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65aac5586f718f54/Documents/UofT/Current/CSCA20 - Introduction to Programming/Project/Spreadsheets/"/>
    </mc:Choice>
  </mc:AlternateContent>
  <xr:revisionPtr revIDLastSave="106" documentId="8_{D378512B-2BED-46D1-962E-8097449F7573}" xr6:coauthVersionLast="47" xr6:coauthVersionMax="47" xr10:uidLastSave="{B577151A-66D6-4D99-9AED-DAE1F31BD203}"/>
  <bookViews>
    <workbookView xWindow="-120" yWindow="-120" windowWidth="29040" windowHeight="15720" activeTab="3" xr2:uid="{00000000-000D-0000-FFFF-FFFF00000000}"/>
  </bookViews>
  <sheets>
    <sheet name="Settings" sheetId="1" r:id="rId1"/>
    <sheet name="The List" sheetId="2" r:id="rId2"/>
    <sheet name="Team Comparison" sheetId="3" r:id="rId3"/>
    <sheet name="Projected Stats" sheetId="13" r:id="rId4"/>
    <sheet name="F" sheetId="4" r:id="rId5"/>
    <sheet name="C" sheetId="5" r:id="rId6"/>
    <sheet name="LW" sheetId="6" r:id="rId7"/>
    <sheet name="RW" sheetId="7" r:id="rId8"/>
    <sheet name="D" sheetId="8" r:id="rId9"/>
    <sheet name="G" sheetId="9" r:id="rId10"/>
    <sheet name="ADP" sheetId="10" r:id="rId11"/>
    <sheet name="Player Data" sheetId="11" r:id="rId12"/>
    <sheet name="Standard Deviations" sheetId="12" r:id="rId13"/>
  </sheets>
  <definedNames>
    <definedName name="_xlnm._FilterDatabase" localSheetId="1" hidden="1">'The List'!$A$1:$AR$730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31" i="12" l="1"/>
  <c r="B730" i="12"/>
  <c r="B729" i="12"/>
  <c r="B728" i="12"/>
  <c r="B727" i="12"/>
  <c r="B726" i="12"/>
  <c r="B725" i="12"/>
  <c r="B724" i="12"/>
  <c r="B723" i="12"/>
  <c r="B722" i="12"/>
  <c r="B721" i="12"/>
  <c r="B720" i="12"/>
  <c r="B719" i="12"/>
  <c r="B718" i="12"/>
  <c r="B717" i="12"/>
  <c r="B716" i="12"/>
  <c r="B715" i="12"/>
  <c r="B714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7" i="12"/>
  <c r="B696" i="12"/>
  <c r="B695" i="12"/>
  <c r="B694" i="12"/>
  <c r="B693" i="12"/>
  <c r="B692" i="12"/>
  <c r="B691" i="12"/>
  <c r="B690" i="12"/>
  <c r="B689" i="12"/>
  <c r="B688" i="12"/>
  <c r="B687" i="12"/>
  <c r="B686" i="12"/>
  <c r="B685" i="12"/>
  <c r="B684" i="12"/>
  <c r="B683" i="12"/>
  <c r="B682" i="12"/>
  <c r="B681" i="12"/>
  <c r="B680" i="12"/>
  <c r="B679" i="12"/>
  <c r="B678" i="12"/>
  <c r="B677" i="12"/>
  <c r="B676" i="12"/>
  <c r="B675" i="12"/>
  <c r="B674" i="12"/>
  <c r="B673" i="12"/>
  <c r="B672" i="12"/>
  <c r="B671" i="12"/>
  <c r="B670" i="12"/>
  <c r="B669" i="12"/>
  <c r="B668" i="12"/>
  <c r="B667" i="12"/>
  <c r="B666" i="12"/>
  <c r="B665" i="12"/>
  <c r="B664" i="12"/>
  <c r="B663" i="12"/>
  <c r="B662" i="12"/>
  <c r="B661" i="12"/>
  <c r="B660" i="12"/>
  <c r="B659" i="12"/>
  <c r="D657" i="12"/>
  <c r="B657" i="12"/>
  <c r="D656" i="12"/>
  <c r="B656" i="12"/>
  <c r="D655" i="12"/>
  <c r="B655" i="12"/>
  <c r="D654" i="12"/>
  <c r="B654" i="12"/>
  <c r="D653" i="12"/>
  <c r="B653" i="12"/>
  <c r="D652" i="12"/>
  <c r="B652" i="12"/>
  <c r="D651" i="12"/>
  <c r="B651" i="12"/>
  <c r="D650" i="12"/>
  <c r="B650" i="12"/>
  <c r="D649" i="12"/>
  <c r="B649" i="12"/>
  <c r="D648" i="12"/>
  <c r="B648" i="12"/>
  <c r="D647" i="12"/>
  <c r="B647" i="12"/>
  <c r="D646" i="12"/>
  <c r="B646" i="12"/>
  <c r="D645" i="12"/>
  <c r="B645" i="12"/>
  <c r="D644" i="12"/>
  <c r="B644" i="12"/>
  <c r="D643" i="12"/>
  <c r="B643" i="12"/>
  <c r="D642" i="12"/>
  <c r="B642" i="12"/>
  <c r="D641" i="12"/>
  <c r="B641" i="12"/>
  <c r="D640" i="12"/>
  <c r="B640" i="12"/>
  <c r="D639" i="12"/>
  <c r="B639" i="12"/>
  <c r="D638" i="12"/>
  <c r="B638" i="12"/>
  <c r="D637" i="12"/>
  <c r="B637" i="12"/>
  <c r="D636" i="12"/>
  <c r="B636" i="12"/>
  <c r="D635" i="12"/>
  <c r="B635" i="12"/>
  <c r="D634" i="12"/>
  <c r="B634" i="12"/>
  <c r="D633" i="12"/>
  <c r="B633" i="12"/>
  <c r="D632" i="12"/>
  <c r="B632" i="12"/>
  <c r="D631" i="12"/>
  <c r="B631" i="12"/>
  <c r="D630" i="12"/>
  <c r="B630" i="12"/>
  <c r="D629" i="12"/>
  <c r="B629" i="12"/>
  <c r="D628" i="12"/>
  <c r="B628" i="12"/>
  <c r="D627" i="12"/>
  <c r="B627" i="12"/>
  <c r="D626" i="12"/>
  <c r="B626" i="12"/>
  <c r="D625" i="12"/>
  <c r="B625" i="12"/>
  <c r="D624" i="12"/>
  <c r="B624" i="12"/>
  <c r="D623" i="12"/>
  <c r="B623" i="12"/>
  <c r="D622" i="12"/>
  <c r="B622" i="12"/>
  <c r="D621" i="12"/>
  <c r="B621" i="12"/>
  <c r="D620" i="12"/>
  <c r="B620" i="12"/>
  <c r="D619" i="12"/>
  <c r="B619" i="12"/>
  <c r="D618" i="12"/>
  <c r="B618" i="12"/>
  <c r="D617" i="12"/>
  <c r="B617" i="12"/>
  <c r="D616" i="12"/>
  <c r="B616" i="12"/>
  <c r="D615" i="12"/>
  <c r="B615" i="12"/>
  <c r="D614" i="12"/>
  <c r="B614" i="12"/>
  <c r="D613" i="12"/>
  <c r="B613" i="12"/>
  <c r="D612" i="12"/>
  <c r="B612" i="12"/>
  <c r="D611" i="12"/>
  <c r="B611" i="12"/>
  <c r="D610" i="12"/>
  <c r="B610" i="12"/>
  <c r="D609" i="12"/>
  <c r="B609" i="12"/>
  <c r="D608" i="12"/>
  <c r="B608" i="12"/>
  <c r="D607" i="12"/>
  <c r="B607" i="12"/>
  <c r="D606" i="12"/>
  <c r="B606" i="12"/>
  <c r="D605" i="12"/>
  <c r="B605" i="12"/>
  <c r="D604" i="12"/>
  <c r="B604" i="12"/>
  <c r="D603" i="12"/>
  <c r="B603" i="12"/>
  <c r="D602" i="12"/>
  <c r="B602" i="12"/>
  <c r="D601" i="12"/>
  <c r="B601" i="12"/>
  <c r="D600" i="12"/>
  <c r="B600" i="12"/>
  <c r="D599" i="12"/>
  <c r="B599" i="12"/>
  <c r="D598" i="12"/>
  <c r="B598" i="12"/>
  <c r="D597" i="12"/>
  <c r="B597" i="12"/>
  <c r="D596" i="12"/>
  <c r="B596" i="12"/>
  <c r="D595" i="12"/>
  <c r="B595" i="12"/>
  <c r="D594" i="12"/>
  <c r="B594" i="12"/>
  <c r="D593" i="12"/>
  <c r="B593" i="12"/>
  <c r="D592" i="12"/>
  <c r="B592" i="12"/>
  <c r="D591" i="12"/>
  <c r="B591" i="12"/>
  <c r="D590" i="12"/>
  <c r="B590" i="12"/>
  <c r="D589" i="12"/>
  <c r="B589" i="12"/>
  <c r="D588" i="12"/>
  <c r="B588" i="12"/>
  <c r="D587" i="12"/>
  <c r="B587" i="12"/>
  <c r="D586" i="12"/>
  <c r="B586" i="12"/>
  <c r="D585" i="12"/>
  <c r="B585" i="12"/>
  <c r="D584" i="12"/>
  <c r="B584" i="12"/>
  <c r="D583" i="12"/>
  <c r="B583" i="12"/>
  <c r="D582" i="12"/>
  <c r="B582" i="12"/>
  <c r="D581" i="12"/>
  <c r="B581" i="12"/>
  <c r="D580" i="12"/>
  <c r="B580" i="12"/>
  <c r="D579" i="12"/>
  <c r="B579" i="12"/>
  <c r="D578" i="12"/>
  <c r="B578" i="12"/>
  <c r="D577" i="12"/>
  <c r="B577" i="12"/>
  <c r="D576" i="12"/>
  <c r="B576" i="12"/>
  <c r="D575" i="12"/>
  <c r="B575" i="12"/>
  <c r="D574" i="12"/>
  <c r="B574" i="12"/>
  <c r="D573" i="12"/>
  <c r="B573" i="12"/>
  <c r="D572" i="12"/>
  <c r="B572" i="12"/>
  <c r="D571" i="12"/>
  <c r="B571" i="12"/>
  <c r="D570" i="12"/>
  <c r="B570" i="12"/>
  <c r="D569" i="12"/>
  <c r="B569" i="12"/>
  <c r="D568" i="12"/>
  <c r="B568" i="12"/>
  <c r="D567" i="12"/>
  <c r="B567" i="12"/>
  <c r="D566" i="12"/>
  <c r="B566" i="12"/>
  <c r="D565" i="12"/>
  <c r="B565" i="12"/>
  <c r="D564" i="12"/>
  <c r="B564" i="12"/>
  <c r="D563" i="12"/>
  <c r="B563" i="12"/>
  <c r="D562" i="12"/>
  <c r="B562" i="12"/>
  <c r="D561" i="12"/>
  <c r="B561" i="12"/>
  <c r="D560" i="12"/>
  <c r="B560" i="12"/>
  <c r="D559" i="12"/>
  <c r="B559" i="12"/>
  <c r="D558" i="12"/>
  <c r="B558" i="12"/>
  <c r="D557" i="12"/>
  <c r="B557" i="12"/>
  <c r="D556" i="12"/>
  <c r="B556" i="12"/>
  <c r="D555" i="12"/>
  <c r="B555" i="12"/>
  <c r="D554" i="12"/>
  <c r="B554" i="12"/>
  <c r="D553" i="12"/>
  <c r="B553" i="12"/>
  <c r="D552" i="12"/>
  <c r="B552" i="12"/>
  <c r="D551" i="12"/>
  <c r="B551" i="12"/>
  <c r="D550" i="12"/>
  <c r="B550" i="12"/>
  <c r="D549" i="12"/>
  <c r="B549" i="12"/>
  <c r="D548" i="12"/>
  <c r="B548" i="12"/>
  <c r="D547" i="12"/>
  <c r="B547" i="12"/>
  <c r="D546" i="12"/>
  <c r="B546" i="12"/>
  <c r="D545" i="12"/>
  <c r="B545" i="12"/>
  <c r="D544" i="12"/>
  <c r="B544" i="12"/>
  <c r="D543" i="12"/>
  <c r="B543" i="12"/>
  <c r="D542" i="12"/>
  <c r="B542" i="12"/>
  <c r="D541" i="12"/>
  <c r="B541" i="12"/>
  <c r="D540" i="12"/>
  <c r="B540" i="12"/>
  <c r="D539" i="12"/>
  <c r="B539" i="12"/>
  <c r="D538" i="12"/>
  <c r="B538" i="12"/>
  <c r="D537" i="12"/>
  <c r="B537" i="12"/>
  <c r="D536" i="12"/>
  <c r="B536" i="12"/>
  <c r="D535" i="12"/>
  <c r="B535" i="12"/>
  <c r="D534" i="12"/>
  <c r="B534" i="12"/>
  <c r="D533" i="12"/>
  <c r="B533" i="12"/>
  <c r="D532" i="12"/>
  <c r="B532" i="12"/>
  <c r="D531" i="12"/>
  <c r="B531" i="12"/>
  <c r="D530" i="12"/>
  <c r="B530" i="12"/>
  <c r="D529" i="12"/>
  <c r="B529" i="12"/>
  <c r="D528" i="12"/>
  <c r="B528" i="12"/>
  <c r="D527" i="12"/>
  <c r="B527" i="12"/>
  <c r="D526" i="12"/>
  <c r="B526" i="12"/>
  <c r="D525" i="12"/>
  <c r="B525" i="12"/>
  <c r="D524" i="12"/>
  <c r="B524" i="12"/>
  <c r="D523" i="12"/>
  <c r="B523" i="12"/>
  <c r="D522" i="12"/>
  <c r="B522" i="12"/>
  <c r="D521" i="12"/>
  <c r="B521" i="12"/>
  <c r="D520" i="12"/>
  <c r="B520" i="12"/>
  <c r="D519" i="12"/>
  <c r="B519" i="12"/>
  <c r="D518" i="12"/>
  <c r="B518" i="12"/>
  <c r="D517" i="12"/>
  <c r="B517" i="12"/>
  <c r="D516" i="12"/>
  <c r="B516" i="12"/>
  <c r="D515" i="12"/>
  <c r="B515" i="12"/>
  <c r="D514" i="12"/>
  <c r="B514" i="12"/>
  <c r="D513" i="12"/>
  <c r="B513" i="12"/>
  <c r="D512" i="12"/>
  <c r="B512" i="12"/>
  <c r="D511" i="12"/>
  <c r="B511" i="12"/>
  <c r="D510" i="12"/>
  <c r="B510" i="12"/>
  <c r="D509" i="12"/>
  <c r="B509" i="12"/>
  <c r="D508" i="12"/>
  <c r="B508" i="12"/>
  <c r="D507" i="12"/>
  <c r="B507" i="12"/>
  <c r="D506" i="12"/>
  <c r="B506" i="12"/>
  <c r="D505" i="12"/>
  <c r="B505" i="12"/>
  <c r="D504" i="12"/>
  <c r="B504" i="12"/>
  <c r="D503" i="12"/>
  <c r="B503" i="12"/>
  <c r="D502" i="12"/>
  <c r="B502" i="12"/>
  <c r="D501" i="12"/>
  <c r="B501" i="12"/>
  <c r="D500" i="12"/>
  <c r="B500" i="12"/>
  <c r="D499" i="12"/>
  <c r="B499" i="12"/>
  <c r="D498" i="12"/>
  <c r="B498" i="12"/>
  <c r="D497" i="12"/>
  <c r="B497" i="12"/>
  <c r="D496" i="12"/>
  <c r="B496" i="12"/>
  <c r="D495" i="12"/>
  <c r="B495" i="12"/>
  <c r="D494" i="12"/>
  <c r="B494" i="12"/>
  <c r="D493" i="12"/>
  <c r="B493" i="12"/>
  <c r="D492" i="12"/>
  <c r="B492" i="12"/>
  <c r="D491" i="12"/>
  <c r="B491" i="12"/>
  <c r="D490" i="12"/>
  <c r="B490" i="12"/>
  <c r="D489" i="12"/>
  <c r="B489" i="12"/>
  <c r="D488" i="12"/>
  <c r="B488" i="12"/>
  <c r="D487" i="12"/>
  <c r="B487" i="12"/>
  <c r="D486" i="12"/>
  <c r="B486" i="12"/>
  <c r="D485" i="12"/>
  <c r="B485" i="12"/>
  <c r="D484" i="12"/>
  <c r="B484" i="12"/>
  <c r="D483" i="12"/>
  <c r="B483" i="12"/>
  <c r="D482" i="12"/>
  <c r="B482" i="12"/>
  <c r="D481" i="12"/>
  <c r="B481" i="12"/>
  <c r="D480" i="12"/>
  <c r="B480" i="12"/>
  <c r="D479" i="12"/>
  <c r="B479" i="12"/>
  <c r="D478" i="12"/>
  <c r="B478" i="12"/>
  <c r="D477" i="12"/>
  <c r="B477" i="12"/>
  <c r="D476" i="12"/>
  <c r="B476" i="12"/>
  <c r="D475" i="12"/>
  <c r="B475" i="12"/>
  <c r="D474" i="12"/>
  <c r="B474" i="12"/>
  <c r="D473" i="12"/>
  <c r="B473" i="12"/>
  <c r="D472" i="12"/>
  <c r="B472" i="12"/>
  <c r="D471" i="12"/>
  <c r="B471" i="12"/>
  <c r="D470" i="12"/>
  <c r="B470" i="12"/>
  <c r="D469" i="12"/>
  <c r="B469" i="12"/>
  <c r="D468" i="12"/>
  <c r="B468" i="12"/>
  <c r="D467" i="12"/>
  <c r="B467" i="12"/>
  <c r="D466" i="12"/>
  <c r="B466" i="12"/>
  <c r="D465" i="12"/>
  <c r="B465" i="12"/>
  <c r="D464" i="12"/>
  <c r="B464" i="12"/>
  <c r="D463" i="12"/>
  <c r="B463" i="12"/>
  <c r="D462" i="12"/>
  <c r="B462" i="12"/>
  <c r="D461" i="12"/>
  <c r="B461" i="12"/>
  <c r="D460" i="12"/>
  <c r="B460" i="12"/>
  <c r="D459" i="12"/>
  <c r="B459" i="12"/>
  <c r="D458" i="12"/>
  <c r="B458" i="12"/>
  <c r="D457" i="12"/>
  <c r="B457" i="12"/>
  <c r="D456" i="12"/>
  <c r="B456" i="12"/>
  <c r="D455" i="12"/>
  <c r="B455" i="12"/>
  <c r="D454" i="12"/>
  <c r="B454" i="12"/>
  <c r="D453" i="12"/>
  <c r="B453" i="12"/>
  <c r="D452" i="12"/>
  <c r="B452" i="12"/>
  <c r="D451" i="12"/>
  <c r="B451" i="12"/>
  <c r="D450" i="12"/>
  <c r="B450" i="12"/>
  <c r="D449" i="12"/>
  <c r="B449" i="12"/>
  <c r="D448" i="12"/>
  <c r="B448" i="12"/>
  <c r="D447" i="12"/>
  <c r="B447" i="12"/>
  <c r="D446" i="12"/>
  <c r="B446" i="12"/>
  <c r="D445" i="12"/>
  <c r="B445" i="12"/>
  <c r="D444" i="12"/>
  <c r="B444" i="12"/>
  <c r="D443" i="12"/>
  <c r="B443" i="12"/>
  <c r="D442" i="12"/>
  <c r="B442" i="12"/>
  <c r="D441" i="12"/>
  <c r="B441" i="12"/>
  <c r="D440" i="12"/>
  <c r="B440" i="12"/>
  <c r="D439" i="12"/>
  <c r="B439" i="12"/>
  <c r="D438" i="12"/>
  <c r="B438" i="12"/>
  <c r="D437" i="12"/>
  <c r="B437" i="12"/>
  <c r="D436" i="12"/>
  <c r="B436" i="12"/>
  <c r="D435" i="12"/>
  <c r="B435" i="12"/>
  <c r="D434" i="12"/>
  <c r="B434" i="12"/>
  <c r="D433" i="12"/>
  <c r="B433" i="12"/>
  <c r="D432" i="12"/>
  <c r="B432" i="12"/>
  <c r="D431" i="12"/>
  <c r="B431" i="12"/>
  <c r="D430" i="12"/>
  <c r="B430" i="12"/>
  <c r="D429" i="12"/>
  <c r="B429" i="12"/>
  <c r="D428" i="12"/>
  <c r="B428" i="12"/>
  <c r="D427" i="12"/>
  <c r="B427" i="12"/>
  <c r="D426" i="12"/>
  <c r="B426" i="12"/>
  <c r="D425" i="12"/>
  <c r="B425" i="12"/>
  <c r="D424" i="12"/>
  <c r="B424" i="12"/>
  <c r="D423" i="12"/>
  <c r="B423" i="12"/>
  <c r="D422" i="12"/>
  <c r="B422" i="12"/>
  <c r="D421" i="12"/>
  <c r="B421" i="12"/>
  <c r="D420" i="12"/>
  <c r="B420" i="12"/>
  <c r="D419" i="12"/>
  <c r="B419" i="12"/>
  <c r="D418" i="12"/>
  <c r="B418" i="12"/>
  <c r="D417" i="12"/>
  <c r="B417" i="12"/>
  <c r="D416" i="12"/>
  <c r="B416" i="12"/>
  <c r="D415" i="12"/>
  <c r="B415" i="12"/>
  <c r="D414" i="12"/>
  <c r="B414" i="12"/>
  <c r="D413" i="12"/>
  <c r="B413" i="12"/>
  <c r="D412" i="12"/>
  <c r="B412" i="12"/>
  <c r="D411" i="12"/>
  <c r="B411" i="12"/>
  <c r="D410" i="12"/>
  <c r="B410" i="12"/>
  <c r="D409" i="12"/>
  <c r="B409" i="12"/>
  <c r="D408" i="12"/>
  <c r="B408" i="12"/>
  <c r="D407" i="12"/>
  <c r="B407" i="12"/>
  <c r="D406" i="12"/>
  <c r="B406" i="12"/>
  <c r="D405" i="12"/>
  <c r="B405" i="12"/>
  <c r="D404" i="12"/>
  <c r="B404" i="12"/>
  <c r="D403" i="12"/>
  <c r="B403" i="12"/>
  <c r="D402" i="12"/>
  <c r="B402" i="12"/>
  <c r="D401" i="12"/>
  <c r="B401" i="12"/>
  <c r="D400" i="12"/>
  <c r="B400" i="12"/>
  <c r="D399" i="12"/>
  <c r="B399" i="12"/>
  <c r="D398" i="12"/>
  <c r="B398" i="12"/>
  <c r="D397" i="12"/>
  <c r="B397" i="12"/>
  <c r="D396" i="12"/>
  <c r="B396" i="12"/>
  <c r="D395" i="12"/>
  <c r="B395" i="12"/>
  <c r="D394" i="12"/>
  <c r="B394" i="12"/>
  <c r="D393" i="12"/>
  <c r="B393" i="12"/>
  <c r="D392" i="12"/>
  <c r="B392" i="12"/>
  <c r="D391" i="12"/>
  <c r="B391" i="12"/>
  <c r="D390" i="12"/>
  <c r="B390" i="12"/>
  <c r="D389" i="12"/>
  <c r="B389" i="12"/>
  <c r="D388" i="12"/>
  <c r="B388" i="12"/>
  <c r="D387" i="12"/>
  <c r="B387" i="12"/>
  <c r="D386" i="12"/>
  <c r="B386" i="12"/>
  <c r="D385" i="12"/>
  <c r="B385" i="12"/>
  <c r="D384" i="12"/>
  <c r="B384" i="12"/>
  <c r="D383" i="12"/>
  <c r="B383" i="12"/>
  <c r="D382" i="12"/>
  <c r="B382" i="12"/>
  <c r="D381" i="12"/>
  <c r="B381" i="12"/>
  <c r="D380" i="12"/>
  <c r="B380" i="12"/>
  <c r="D379" i="12"/>
  <c r="B379" i="12"/>
  <c r="D378" i="12"/>
  <c r="B378" i="12"/>
  <c r="D377" i="12"/>
  <c r="B377" i="12"/>
  <c r="D376" i="12"/>
  <c r="B376" i="12"/>
  <c r="D375" i="12"/>
  <c r="B375" i="12"/>
  <c r="D374" i="12"/>
  <c r="B374" i="12"/>
  <c r="D373" i="12"/>
  <c r="B373" i="12"/>
  <c r="D372" i="12"/>
  <c r="B372" i="12"/>
  <c r="D371" i="12"/>
  <c r="B371" i="12"/>
  <c r="D370" i="12"/>
  <c r="B370" i="12"/>
  <c r="D369" i="12"/>
  <c r="B369" i="12"/>
  <c r="D368" i="12"/>
  <c r="B368" i="12"/>
  <c r="D367" i="12"/>
  <c r="B367" i="12"/>
  <c r="D366" i="12"/>
  <c r="B366" i="12"/>
  <c r="D365" i="12"/>
  <c r="B365" i="12"/>
  <c r="D364" i="12"/>
  <c r="B364" i="12"/>
  <c r="D363" i="12"/>
  <c r="B363" i="12"/>
  <c r="D362" i="12"/>
  <c r="B362" i="12"/>
  <c r="D361" i="12"/>
  <c r="B361" i="12"/>
  <c r="D360" i="12"/>
  <c r="B360" i="12"/>
  <c r="D359" i="12"/>
  <c r="B359" i="12"/>
  <c r="D358" i="12"/>
  <c r="B358" i="12"/>
  <c r="D357" i="12"/>
  <c r="B357" i="12"/>
  <c r="D356" i="12"/>
  <c r="B356" i="12"/>
  <c r="D355" i="12"/>
  <c r="B355" i="12"/>
  <c r="D354" i="12"/>
  <c r="B354" i="12"/>
  <c r="D353" i="12"/>
  <c r="B353" i="12"/>
  <c r="D352" i="12"/>
  <c r="B352" i="12"/>
  <c r="D351" i="12"/>
  <c r="B351" i="12"/>
  <c r="D350" i="12"/>
  <c r="B350" i="12"/>
  <c r="D349" i="12"/>
  <c r="B349" i="12"/>
  <c r="D348" i="12"/>
  <c r="B348" i="12"/>
  <c r="D347" i="12"/>
  <c r="B347" i="12"/>
  <c r="D346" i="12"/>
  <c r="B346" i="12"/>
  <c r="D345" i="12"/>
  <c r="B345" i="12"/>
  <c r="D344" i="12"/>
  <c r="B344" i="12"/>
  <c r="D343" i="12"/>
  <c r="B343" i="12"/>
  <c r="D342" i="12"/>
  <c r="B342" i="12"/>
  <c r="D341" i="12"/>
  <c r="B341" i="12"/>
  <c r="D340" i="12"/>
  <c r="B340" i="12"/>
  <c r="D339" i="12"/>
  <c r="B339" i="12"/>
  <c r="D338" i="12"/>
  <c r="B338" i="12"/>
  <c r="D337" i="12"/>
  <c r="B337" i="12"/>
  <c r="D336" i="12"/>
  <c r="B336" i="12"/>
  <c r="D335" i="12"/>
  <c r="B335" i="12"/>
  <c r="D334" i="12"/>
  <c r="B334" i="12"/>
  <c r="D333" i="12"/>
  <c r="B333" i="12"/>
  <c r="D332" i="12"/>
  <c r="B332" i="12"/>
  <c r="D331" i="12"/>
  <c r="B331" i="12"/>
  <c r="D330" i="12"/>
  <c r="B330" i="12"/>
  <c r="D329" i="12"/>
  <c r="B329" i="12"/>
  <c r="D328" i="12"/>
  <c r="B328" i="12"/>
  <c r="D327" i="12"/>
  <c r="B327" i="12"/>
  <c r="D326" i="12"/>
  <c r="B326" i="12"/>
  <c r="D325" i="12"/>
  <c r="B325" i="12"/>
  <c r="D324" i="12"/>
  <c r="B324" i="12"/>
  <c r="D323" i="12"/>
  <c r="B323" i="12"/>
  <c r="D322" i="12"/>
  <c r="B322" i="12"/>
  <c r="D321" i="12"/>
  <c r="B321" i="12"/>
  <c r="D320" i="12"/>
  <c r="B320" i="12"/>
  <c r="D319" i="12"/>
  <c r="B319" i="12"/>
  <c r="D318" i="12"/>
  <c r="B318" i="12"/>
  <c r="D317" i="12"/>
  <c r="B317" i="12"/>
  <c r="D316" i="12"/>
  <c r="B316" i="12"/>
  <c r="D315" i="12"/>
  <c r="B315" i="12"/>
  <c r="D314" i="12"/>
  <c r="B314" i="12"/>
  <c r="D313" i="12"/>
  <c r="B313" i="12"/>
  <c r="D312" i="12"/>
  <c r="B312" i="12"/>
  <c r="D311" i="12"/>
  <c r="B311" i="12"/>
  <c r="D310" i="12"/>
  <c r="B310" i="12"/>
  <c r="D309" i="12"/>
  <c r="B309" i="12"/>
  <c r="D308" i="12"/>
  <c r="B308" i="12"/>
  <c r="D307" i="12"/>
  <c r="B307" i="12"/>
  <c r="D306" i="12"/>
  <c r="B306" i="12"/>
  <c r="D305" i="12"/>
  <c r="B305" i="12"/>
  <c r="D304" i="12"/>
  <c r="B304" i="12"/>
  <c r="D303" i="12"/>
  <c r="B303" i="12"/>
  <c r="D302" i="12"/>
  <c r="B302" i="12"/>
  <c r="D301" i="12"/>
  <c r="B301" i="12"/>
  <c r="D300" i="12"/>
  <c r="B300" i="12"/>
  <c r="D299" i="12"/>
  <c r="B299" i="12"/>
  <c r="D298" i="12"/>
  <c r="B298" i="12"/>
  <c r="D297" i="12"/>
  <c r="B297" i="12"/>
  <c r="D296" i="12"/>
  <c r="B296" i="12"/>
  <c r="D295" i="12"/>
  <c r="B295" i="12"/>
  <c r="D294" i="12"/>
  <c r="B294" i="12"/>
  <c r="D293" i="12"/>
  <c r="B293" i="12"/>
  <c r="D292" i="12"/>
  <c r="B292" i="12"/>
  <c r="D291" i="12"/>
  <c r="B291" i="12"/>
  <c r="D290" i="12"/>
  <c r="B290" i="12"/>
  <c r="D289" i="12"/>
  <c r="B289" i="12"/>
  <c r="D288" i="12"/>
  <c r="B288" i="12"/>
  <c r="D287" i="12"/>
  <c r="B287" i="12"/>
  <c r="D286" i="12"/>
  <c r="B286" i="12"/>
  <c r="D285" i="12"/>
  <c r="B285" i="12"/>
  <c r="D284" i="12"/>
  <c r="B284" i="12"/>
  <c r="D283" i="12"/>
  <c r="B283" i="12"/>
  <c r="D282" i="12"/>
  <c r="B282" i="12"/>
  <c r="D281" i="12"/>
  <c r="B281" i="12"/>
  <c r="D280" i="12"/>
  <c r="B280" i="12"/>
  <c r="D279" i="12"/>
  <c r="B279" i="12"/>
  <c r="D278" i="12"/>
  <c r="B278" i="12"/>
  <c r="D277" i="12"/>
  <c r="B277" i="12"/>
  <c r="D276" i="12"/>
  <c r="B276" i="12"/>
  <c r="D275" i="12"/>
  <c r="B275" i="12"/>
  <c r="D274" i="12"/>
  <c r="B274" i="12"/>
  <c r="D273" i="12"/>
  <c r="B273" i="12"/>
  <c r="D272" i="12"/>
  <c r="B272" i="12"/>
  <c r="D271" i="12"/>
  <c r="B271" i="12"/>
  <c r="D270" i="12"/>
  <c r="B270" i="12"/>
  <c r="D269" i="12"/>
  <c r="B269" i="12"/>
  <c r="D268" i="12"/>
  <c r="B268" i="12"/>
  <c r="D267" i="12"/>
  <c r="B267" i="12"/>
  <c r="D266" i="12"/>
  <c r="B266" i="12"/>
  <c r="D265" i="12"/>
  <c r="B265" i="12"/>
  <c r="D264" i="12"/>
  <c r="B264" i="12"/>
  <c r="D263" i="12"/>
  <c r="B263" i="12"/>
  <c r="D262" i="12"/>
  <c r="B262" i="12"/>
  <c r="D261" i="12"/>
  <c r="B261" i="12"/>
  <c r="D260" i="12"/>
  <c r="B260" i="12"/>
  <c r="D259" i="12"/>
  <c r="B259" i="12"/>
  <c r="D258" i="12"/>
  <c r="B258" i="12"/>
  <c r="D257" i="12"/>
  <c r="B257" i="12"/>
  <c r="D256" i="12"/>
  <c r="B256" i="12"/>
  <c r="D255" i="12"/>
  <c r="B255" i="12"/>
  <c r="D254" i="12"/>
  <c r="B254" i="12"/>
  <c r="D253" i="12"/>
  <c r="B253" i="12"/>
  <c r="D252" i="12"/>
  <c r="B252" i="12"/>
  <c r="D251" i="12"/>
  <c r="B251" i="12"/>
  <c r="D250" i="12"/>
  <c r="B250" i="12"/>
  <c r="D249" i="12"/>
  <c r="B249" i="12"/>
  <c r="D248" i="12"/>
  <c r="B248" i="12"/>
  <c r="D247" i="12"/>
  <c r="B247" i="12"/>
  <c r="D246" i="12"/>
  <c r="B246" i="12"/>
  <c r="D245" i="12"/>
  <c r="B245" i="12"/>
  <c r="D244" i="12"/>
  <c r="B244" i="12"/>
  <c r="D243" i="12"/>
  <c r="B243" i="12"/>
  <c r="D242" i="12"/>
  <c r="B242" i="12"/>
  <c r="D241" i="12"/>
  <c r="B241" i="12"/>
  <c r="D240" i="12"/>
  <c r="B240" i="12"/>
  <c r="D239" i="12"/>
  <c r="B239" i="12"/>
  <c r="D238" i="12"/>
  <c r="B238" i="12"/>
  <c r="D237" i="12"/>
  <c r="B237" i="12"/>
  <c r="D236" i="12"/>
  <c r="B236" i="12"/>
  <c r="D235" i="12"/>
  <c r="B235" i="12"/>
  <c r="D234" i="12"/>
  <c r="B234" i="12"/>
  <c r="D233" i="12"/>
  <c r="B233" i="12"/>
  <c r="D232" i="12"/>
  <c r="B232" i="12"/>
  <c r="D231" i="12"/>
  <c r="B231" i="12"/>
  <c r="D230" i="12"/>
  <c r="B230" i="12"/>
  <c r="D229" i="12"/>
  <c r="B229" i="12"/>
  <c r="D228" i="12"/>
  <c r="B228" i="12"/>
  <c r="D227" i="12"/>
  <c r="B227" i="12"/>
  <c r="D226" i="12"/>
  <c r="B226" i="12"/>
  <c r="D225" i="12"/>
  <c r="B225" i="12"/>
  <c r="D224" i="12"/>
  <c r="B224" i="12"/>
  <c r="D223" i="12"/>
  <c r="B223" i="12"/>
  <c r="D222" i="12"/>
  <c r="B222" i="12"/>
  <c r="D221" i="12"/>
  <c r="B221" i="12"/>
  <c r="D220" i="12"/>
  <c r="B220" i="12"/>
  <c r="D219" i="12"/>
  <c r="B219" i="12"/>
  <c r="D218" i="12"/>
  <c r="B218" i="12"/>
  <c r="D217" i="12"/>
  <c r="B217" i="12"/>
  <c r="D216" i="12"/>
  <c r="B216" i="12"/>
  <c r="D215" i="12"/>
  <c r="B215" i="12"/>
  <c r="D214" i="12"/>
  <c r="B214" i="12"/>
  <c r="D213" i="12"/>
  <c r="B213" i="12"/>
  <c r="D212" i="12"/>
  <c r="B212" i="12"/>
  <c r="D211" i="12"/>
  <c r="B211" i="12"/>
  <c r="D210" i="12"/>
  <c r="B210" i="12"/>
  <c r="D209" i="12"/>
  <c r="B209" i="12"/>
  <c r="D208" i="12"/>
  <c r="B208" i="12"/>
  <c r="D207" i="12"/>
  <c r="B207" i="12"/>
  <c r="D206" i="12"/>
  <c r="B206" i="12"/>
  <c r="D205" i="12"/>
  <c r="B205" i="12"/>
  <c r="D204" i="12"/>
  <c r="B204" i="12"/>
  <c r="D203" i="12"/>
  <c r="B203" i="12"/>
  <c r="D202" i="12"/>
  <c r="B202" i="12"/>
  <c r="D201" i="12"/>
  <c r="B201" i="12"/>
  <c r="D200" i="12"/>
  <c r="B200" i="12"/>
  <c r="D199" i="12"/>
  <c r="B199" i="12"/>
  <c r="D198" i="12"/>
  <c r="B198" i="12"/>
  <c r="D197" i="12"/>
  <c r="B197" i="12"/>
  <c r="D196" i="12"/>
  <c r="B196" i="12"/>
  <c r="D195" i="12"/>
  <c r="B195" i="12"/>
  <c r="D194" i="12"/>
  <c r="B194" i="12"/>
  <c r="D193" i="12"/>
  <c r="B193" i="12"/>
  <c r="D192" i="12"/>
  <c r="B192" i="12"/>
  <c r="D191" i="12"/>
  <c r="B191" i="12"/>
  <c r="D190" i="12"/>
  <c r="B190" i="12"/>
  <c r="D189" i="12"/>
  <c r="B189" i="12"/>
  <c r="D188" i="12"/>
  <c r="B188" i="12"/>
  <c r="D187" i="12"/>
  <c r="B187" i="12"/>
  <c r="D186" i="12"/>
  <c r="B186" i="12"/>
  <c r="D185" i="12"/>
  <c r="B185" i="12"/>
  <c r="D184" i="12"/>
  <c r="B184" i="12"/>
  <c r="D183" i="12"/>
  <c r="B183" i="12"/>
  <c r="D182" i="12"/>
  <c r="B182" i="12"/>
  <c r="D181" i="12"/>
  <c r="B181" i="12"/>
  <c r="D180" i="12"/>
  <c r="B180" i="12"/>
  <c r="D179" i="12"/>
  <c r="B179" i="12"/>
  <c r="D178" i="12"/>
  <c r="B178" i="12"/>
  <c r="D177" i="12"/>
  <c r="B177" i="12"/>
  <c r="D176" i="12"/>
  <c r="B176" i="12"/>
  <c r="D175" i="12"/>
  <c r="B175" i="12"/>
  <c r="D174" i="12"/>
  <c r="B174" i="12"/>
  <c r="D173" i="12"/>
  <c r="B173" i="12"/>
  <c r="D172" i="12"/>
  <c r="B172" i="12"/>
  <c r="D171" i="12"/>
  <c r="B171" i="12"/>
  <c r="D170" i="12"/>
  <c r="B170" i="12"/>
  <c r="D169" i="12"/>
  <c r="B169" i="12"/>
  <c r="D168" i="12"/>
  <c r="B168" i="12"/>
  <c r="D167" i="12"/>
  <c r="B167" i="12"/>
  <c r="D166" i="12"/>
  <c r="B166" i="12"/>
  <c r="D165" i="12"/>
  <c r="B165" i="12"/>
  <c r="D164" i="12"/>
  <c r="B164" i="12"/>
  <c r="D163" i="12"/>
  <c r="B163" i="12"/>
  <c r="D162" i="12"/>
  <c r="B162" i="12"/>
  <c r="D161" i="12"/>
  <c r="B161" i="12"/>
  <c r="D160" i="12"/>
  <c r="B160" i="12"/>
  <c r="D159" i="12"/>
  <c r="B159" i="12"/>
  <c r="D158" i="12"/>
  <c r="B158" i="12"/>
  <c r="D157" i="12"/>
  <c r="B157" i="12"/>
  <c r="D156" i="12"/>
  <c r="B156" i="12"/>
  <c r="D155" i="12"/>
  <c r="B155" i="12"/>
  <c r="D154" i="12"/>
  <c r="B154" i="12"/>
  <c r="D153" i="12"/>
  <c r="B153" i="12"/>
  <c r="D152" i="12"/>
  <c r="B152" i="12"/>
  <c r="D151" i="12"/>
  <c r="B151" i="12"/>
  <c r="D150" i="12"/>
  <c r="B150" i="12"/>
  <c r="D149" i="12"/>
  <c r="B149" i="12"/>
  <c r="D148" i="12"/>
  <c r="B148" i="12"/>
  <c r="D147" i="12"/>
  <c r="B147" i="12"/>
  <c r="D146" i="12"/>
  <c r="B146" i="12"/>
  <c r="D145" i="12"/>
  <c r="B145" i="12"/>
  <c r="D144" i="12"/>
  <c r="B144" i="12"/>
  <c r="D143" i="12"/>
  <c r="B143" i="12"/>
  <c r="D142" i="12"/>
  <c r="B142" i="12"/>
  <c r="D141" i="12"/>
  <c r="B141" i="12"/>
  <c r="D140" i="12"/>
  <c r="B140" i="12"/>
  <c r="D139" i="12"/>
  <c r="B139" i="12"/>
  <c r="D138" i="12"/>
  <c r="B138" i="12"/>
  <c r="D137" i="12"/>
  <c r="B137" i="12"/>
  <c r="D136" i="12"/>
  <c r="B136" i="12"/>
  <c r="D135" i="12"/>
  <c r="B135" i="12"/>
  <c r="D134" i="12"/>
  <c r="B134" i="12"/>
  <c r="D133" i="12"/>
  <c r="B133" i="12"/>
  <c r="D132" i="12"/>
  <c r="B132" i="12"/>
  <c r="D131" i="12"/>
  <c r="B131" i="12"/>
  <c r="D130" i="12"/>
  <c r="B130" i="12"/>
  <c r="D129" i="12"/>
  <c r="B129" i="12"/>
  <c r="D128" i="12"/>
  <c r="B128" i="12"/>
  <c r="D127" i="12"/>
  <c r="B127" i="12"/>
  <c r="D126" i="12"/>
  <c r="B126" i="12"/>
  <c r="D125" i="12"/>
  <c r="B125" i="12"/>
  <c r="D124" i="12"/>
  <c r="B124" i="12"/>
  <c r="D123" i="12"/>
  <c r="B123" i="12"/>
  <c r="D122" i="12"/>
  <c r="B122" i="12"/>
  <c r="D121" i="12"/>
  <c r="B121" i="12"/>
  <c r="D120" i="12"/>
  <c r="B120" i="12"/>
  <c r="D119" i="12"/>
  <c r="B119" i="12"/>
  <c r="D118" i="12"/>
  <c r="B118" i="12"/>
  <c r="D117" i="12"/>
  <c r="B117" i="12"/>
  <c r="D116" i="12"/>
  <c r="B116" i="12"/>
  <c r="D115" i="12"/>
  <c r="B115" i="12"/>
  <c r="D114" i="12"/>
  <c r="B114" i="12"/>
  <c r="D113" i="12"/>
  <c r="B113" i="12"/>
  <c r="D112" i="12"/>
  <c r="B112" i="12"/>
  <c r="D111" i="12"/>
  <c r="B111" i="12"/>
  <c r="D110" i="12"/>
  <c r="B110" i="12"/>
  <c r="D109" i="12"/>
  <c r="B109" i="12"/>
  <c r="D108" i="12"/>
  <c r="B108" i="12"/>
  <c r="D107" i="12"/>
  <c r="B107" i="12"/>
  <c r="D106" i="12"/>
  <c r="B106" i="12"/>
  <c r="D105" i="12"/>
  <c r="B105" i="12"/>
  <c r="D104" i="12"/>
  <c r="B104" i="12"/>
  <c r="D103" i="12"/>
  <c r="B103" i="12"/>
  <c r="D102" i="12"/>
  <c r="B102" i="12"/>
  <c r="D101" i="12"/>
  <c r="B101" i="12"/>
  <c r="D100" i="12"/>
  <c r="B100" i="12"/>
  <c r="D99" i="12"/>
  <c r="B99" i="12"/>
  <c r="D98" i="12"/>
  <c r="B98" i="12"/>
  <c r="D97" i="12"/>
  <c r="B97" i="12"/>
  <c r="D96" i="12"/>
  <c r="B96" i="12"/>
  <c r="D95" i="12"/>
  <c r="B95" i="12"/>
  <c r="D94" i="12"/>
  <c r="B94" i="12"/>
  <c r="D93" i="12"/>
  <c r="B93" i="12"/>
  <c r="D92" i="12"/>
  <c r="B92" i="12"/>
  <c r="D91" i="12"/>
  <c r="B91" i="12"/>
  <c r="D90" i="12"/>
  <c r="B90" i="12"/>
  <c r="D89" i="12"/>
  <c r="B89" i="12"/>
  <c r="D88" i="12"/>
  <c r="B88" i="12"/>
  <c r="D87" i="12"/>
  <c r="B87" i="12"/>
  <c r="D86" i="12"/>
  <c r="B86" i="12"/>
  <c r="D85" i="12"/>
  <c r="B85" i="12"/>
  <c r="D84" i="12"/>
  <c r="B84" i="12"/>
  <c r="D83" i="12"/>
  <c r="B83" i="12"/>
  <c r="D82" i="12"/>
  <c r="B82" i="12"/>
  <c r="D81" i="12"/>
  <c r="B81" i="12"/>
  <c r="D80" i="12"/>
  <c r="B80" i="12"/>
  <c r="D79" i="12"/>
  <c r="B79" i="12"/>
  <c r="D78" i="12"/>
  <c r="B78" i="12"/>
  <c r="D77" i="12"/>
  <c r="B77" i="12"/>
  <c r="D76" i="12"/>
  <c r="B76" i="12"/>
  <c r="D75" i="12"/>
  <c r="B75" i="12"/>
  <c r="D74" i="12"/>
  <c r="B74" i="12"/>
  <c r="D73" i="12"/>
  <c r="B73" i="12"/>
  <c r="D72" i="12"/>
  <c r="B72" i="12"/>
  <c r="D71" i="12"/>
  <c r="B71" i="12"/>
  <c r="D70" i="12"/>
  <c r="B70" i="12"/>
  <c r="D69" i="12"/>
  <c r="B69" i="12"/>
  <c r="D68" i="12"/>
  <c r="B68" i="12"/>
  <c r="D67" i="12"/>
  <c r="B67" i="12"/>
  <c r="D66" i="12"/>
  <c r="B66" i="12"/>
  <c r="D65" i="12"/>
  <c r="B65" i="12"/>
  <c r="D64" i="12"/>
  <c r="B64" i="12"/>
  <c r="D63" i="12"/>
  <c r="B63" i="12"/>
  <c r="D62" i="12"/>
  <c r="B62" i="12"/>
  <c r="D61" i="12"/>
  <c r="B61" i="12"/>
  <c r="D60" i="12"/>
  <c r="B60" i="12"/>
  <c r="D59" i="12"/>
  <c r="B59" i="12"/>
  <c r="D58" i="12"/>
  <c r="B58" i="12"/>
  <c r="D57" i="12"/>
  <c r="B57" i="12"/>
  <c r="D56" i="12"/>
  <c r="B56" i="12"/>
  <c r="D55" i="12"/>
  <c r="B55" i="12"/>
  <c r="D54" i="12"/>
  <c r="B54" i="12"/>
  <c r="D53" i="12"/>
  <c r="B53" i="12"/>
  <c r="D52" i="12"/>
  <c r="B52" i="12"/>
  <c r="D51" i="12"/>
  <c r="B51" i="12"/>
  <c r="D50" i="12"/>
  <c r="B50" i="12"/>
  <c r="D49" i="12"/>
  <c r="B49" i="12"/>
  <c r="D48" i="12"/>
  <c r="B48" i="12"/>
  <c r="D47" i="12"/>
  <c r="B47" i="12"/>
  <c r="D46" i="12"/>
  <c r="B46" i="12"/>
  <c r="D45" i="12"/>
  <c r="B45" i="12"/>
  <c r="D44" i="12"/>
  <c r="B44" i="12"/>
  <c r="D43" i="12"/>
  <c r="B43" i="12"/>
  <c r="D42" i="12"/>
  <c r="B42" i="12"/>
  <c r="D41" i="12"/>
  <c r="B41" i="12"/>
  <c r="D40" i="12"/>
  <c r="B40" i="12"/>
  <c r="D39" i="12"/>
  <c r="B39" i="12"/>
  <c r="D38" i="12"/>
  <c r="B38" i="12"/>
  <c r="D37" i="12"/>
  <c r="B37" i="12"/>
  <c r="D36" i="12"/>
  <c r="B36" i="12"/>
  <c r="D35" i="12"/>
  <c r="B35" i="12"/>
  <c r="D34" i="12"/>
  <c r="B34" i="12"/>
  <c r="D33" i="12"/>
  <c r="B33" i="12"/>
  <c r="D32" i="12"/>
  <c r="B32" i="12"/>
  <c r="D31" i="12"/>
  <c r="B31" i="12"/>
  <c r="D30" i="12"/>
  <c r="B30" i="12"/>
  <c r="D29" i="12"/>
  <c r="B29" i="12"/>
  <c r="D28" i="12"/>
  <c r="B28" i="12"/>
  <c r="D27" i="12"/>
  <c r="B27" i="12"/>
  <c r="D26" i="12"/>
  <c r="B26" i="12"/>
  <c r="D25" i="12"/>
  <c r="B25" i="12"/>
  <c r="D24" i="12"/>
  <c r="B24" i="12"/>
  <c r="D23" i="12"/>
  <c r="B23" i="12"/>
  <c r="D22" i="12"/>
  <c r="B22" i="12"/>
  <c r="D21" i="12"/>
  <c r="B21" i="12"/>
  <c r="D20" i="12"/>
  <c r="B20" i="12"/>
  <c r="D19" i="12"/>
  <c r="B19" i="12"/>
  <c r="D18" i="12"/>
  <c r="B18" i="12"/>
  <c r="D17" i="12"/>
  <c r="B17" i="12"/>
  <c r="D16" i="12"/>
  <c r="B16" i="12"/>
  <c r="D15" i="12"/>
  <c r="B15" i="12"/>
  <c r="D14" i="12"/>
  <c r="B14" i="12"/>
  <c r="D13" i="12"/>
  <c r="B13" i="12"/>
  <c r="D12" i="12"/>
  <c r="B12" i="12"/>
  <c r="D11" i="12"/>
  <c r="B11" i="12"/>
  <c r="D10" i="12"/>
  <c r="B10" i="12"/>
  <c r="D9" i="12"/>
  <c r="B9" i="12"/>
  <c r="D8" i="12"/>
  <c r="B8" i="12"/>
  <c r="D7" i="12"/>
  <c r="B7" i="12"/>
  <c r="D6" i="12"/>
  <c r="B6" i="12"/>
  <c r="D5" i="12"/>
  <c r="B5" i="12"/>
  <c r="D4" i="12"/>
  <c r="B4" i="12"/>
  <c r="D3" i="12"/>
  <c r="B3" i="12"/>
  <c r="D2" i="12"/>
  <c r="B2" i="12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" i="10"/>
  <c r="Q462" i="3"/>
  <c r="P462" i="3"/>
  <c r="O462" i="3"/>
  <c r="N462" i="3"/>
  <c r="M462" i="3"/>
  <c r="L462" i="3"/>
  <c r="K462" i="3"/>
  <c r="J462" i="3"/>
  <c r="I462" i="3"/>
  <c r="G462" i="3"/>
  <c r="F462" i="3"/>
  <c r="E462" i="3"/>
  <c r="D462" i="3"/>
  <c r="C462" i="3"/>
  <c r="B462" i="3"/>
  <c r="Q461" i="3"/>
  <c r="P461" i="3"/>
  <c r="O461" i="3"/>
  <c r="N461" i="3"/>
  <c r="M461" i="3"/>
  <c r="L461" i="3"/>
  <c r="K461" i="3"/>
  <c r="J461" i="3"/>
  <c r="I461" i="3"/>
  <c r="G461" i="3"/>
  <c r="F461" i="3"/>
  <c r="E461" i="3"/>
  <c r="D461" i="3"/>
  <c r="C461" i="3"/>
  <c r="B461" i="3"/>
  <c r="T460" i="3"/>
  <c r="Q460" i="3"/>
  <c r="P460" i="3"/>
  <c r="O460" i="3"/>
  <c r="N460" i="3"/>
  <c r="M460" i="3"/>
  <c r="L460" i="3"/>
  <c r="K460" i="3"/>
  <c r="J460" i="3"/>
  <c r="I460" i="3"/>
  <c r="G460" i="3"/>
  <c r="F460" i="3"/>
  <c r="E460" i="3"/>
  <c r="D460" i="3"/>
  <c r="C460" i="3"/>
  <c r="B460" i="3"/>
  <c r="Z456" i="3"/>
  <c r="Y456" i="3"/>
  <c r="X456" i="3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G456" i="3"/>
  <c r="F456" i="3"/>
  <c r="E456" i="3"/>
  <c r="D456" i="3"/>
  <c r="C456" i="3"/>
  <c r="B456" i="3"/>
  <c r="Z455" i="3"/>
  <c r="Y455" i="3"/>
  <c r="X455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G455" i="3"/>
  <c r="F455" i="3"/>
  <c r="E455" i="3"/>
  <c r="D455" i="3"/>
  <c r="C455" i="3"/>
  <c r="B455" i="3"/>
  <c r="Z454" i="3"/>
  <c r="Y454" i="3"/>
  <c r="X454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G454" i="3"/>
  <c r="F454" i="3"/>
  <c r="E454" i="3"/>
  <c r="D454" i="3"/>
  <c r="C454" i="3"/>
  <c r="B454" i="3"/>
  <c r="Z453" i="3"/>
  <c r="Y453" i="3"/>
  <c r="X453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G453" i="3"/>
  <c r="F453" i="3"/>
  <c r="E453" i="3"/>
  <c r="D453" i="3"/>
  <c r="C453" i="3"/>
  <c r="B453" i="3"/>
  <c r="Z452" i="3"/>
  <c r="Y452" i="3"/>
  <c r="X452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G452" i="3"/>
  <c r="F452" i="3"/>
  <c r="E452" i="3"/>
  <c r="D452" i="3"/>
  <c r="C452" i="3"/>
  <c r="B452" i="3"/>
  <c r="Z451" i="3"/>
  <c r="Y451" i="3"/>
  <c r="X451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G451" i="3"/>
  <c r="F451" i="3"/>
  <c r="E451" i="3"/>
  <c r="D451" i="3"/>
  <c r="C451" i="3"/>
  <c r="B451" i="3"/>
  <c r="Z450" i="3"/>
  <c r="Y450" i="3"/>
  <c r="X450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G450" i="3"/>
  <c r="F450" i="3"/>
  <c r="E450" i="3"/>
  <c r="D450" i="3"/>
  <c r="C450" i="3"/>
  <c r="B450" i="3"/>
  <c r="Z449" i="3"/>
  <c r="Y449" i="3"/>
  <c r="X449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G449" i="3"/>
  <c r="F449" i="3"/>
  <c r="E449" i="3"/>
  <c r="D449" i="3"/>
  <c r="C449" i="3"/>
  <c r="B449" i="3"/>
  <c r="Z448" i="3"/>
  <c r="Y448" i="3"/>
  <c r="X448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G448" i="3"/>
  <c r="F448" i="3"/>
  <c r="E448" i="3"/>
  <c r="D448" i="3"/>
  <c r="C448" i="3"/>
  <c r="B448" i="3"/>
  <c r="Z447" i="3"/>
  <c r="Y447" i="3"/>
  <c r="X447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G447" i="3"/>
  <c r="F447" i="3"/>
  <c r="E447" i="3"/>
  <c r="D447" i="3"/>
  <c r="C447" i="3"/>
  <c r="B447" i="3"/>
  <c r="Z446" i="3"/>
  <c r="Y446" i="3"/>
  <c r="X446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G446" i="3"/>
  <c r="F446" i="3"/>
  <c r="E446" i="3"/>
  <c r="D446" i="3"/>
  <c r="C446" i="3"/>
  <c r="B446" i="3"/>
  <c r="Z445" i="3"/>
  <c r="Y445" i="3"/>
  <c r="X445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G445" i="3"/>
  <c r="F445" i="3"/>
  <c r="E445" i="3"/>
  <c r="D445" i="3"/>
  <c r="C445" i="3"/>
  <c r="B445" i="3"/>
  <c r="Z444" i="3"/>
  <c r="Y444" i="3"/>
  <c r="X444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G444" i="3"/>
  <c r="F444" i="3"/>
  <c r="E444" i="3"/>
  <c r="D444" i="3"/>
  <c r="C444" i="3"/>
  <c r="B444" i="3"/>
  <c r="Z443" i="3"/>
  <c r="Y443" i="3"/>
  <c r="X443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G443" i="3"/>
  <c r="F443" i="3"/>
  <c r="E443" i="3"/>
  <c r="D443" i="3"/>
  <c r="C443" i="3"/>
  <c r="B443" i="3"/>
  <c r="Z442" i="3"/>
  <c r="Y442" i="3"/>
  <c r="X442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G442" i="3"/>
  <c r="F442" i="3"/>
  <c r="E442" i="3"/>
  <c r="D442" i="3"/>
  <c r="C442" i="3"/>
  <c r="B442" i="3"/>
  <c r="Z441" i="3"/>
  <c r="Y441" i="3"/>
  <c r="X441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G441" i="3"/>
  <c r="F441" i="3"/>
  <c r="E441" i="3"/>
  <c r="D441" i="3"/>
  <c r="C441" i="3"/>
  <c r="B441" i="3"/>
  <c r="Z440" i="3"/>
  <c r="Y440" i="3"/>
  <c r="X440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G440" i="3"/>
  <c r="F440" i="3"/>
  <c r="E440" i="3"/>
  <c r="D440" i="3"/>
  <c r="C440" i="3"/>
  <c r="B440" i="3"/>
  <c r="Z439" i="3"/>
  <c r="Y439" i="3"/>
  <c r="X439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G439" i="3"/>
  <c r="F439" i="3"/>
  <c r="E439" i="3"/>
  <c r="D439" i="3"/>
  <c r="C439" i="3"/>
  <c r="B439" i="3"/>
  <c r="Z438" i="3"/>
  <c r="Y438" i="3"/>
  <c r="X438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G438" i="3"/>
  <c r="F438" i="3"/>
  <c r="E438" i="3"/>
  <c r="D438" i="3"/>
  <c r="C438" i="3"/>
  <c r="B438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G437" i="3"/>
  <c r="F437" i="3"/>
  <c r="E437" i="3"/>
  <c r="D437" i="3"/>
  <c r="C437" i="3"/>
  <c r="B437" i="3"/>
  <c r="Q433" i="3"/>
  <c r="P433" i="3"/>
  <c r="O433" i="3"/>
  <c r="N433" i="3"/>
  <c r="M433" i="3"/>
  <c r="L433" i="3"/>
  <c r="K433" i="3"/>
  <c r="J433" i="3"/>
  <c r="I433" i="3"/>
  <c r="G433" i="3"/>
  <c r="F433" i="3"/>
  <c r="E433" i="3"/>
  <c r="D433" i="3"/>
  <c r="C433" i="3"/>
  <c r="B433" i="3"/>
  <c r="Q432" i="3"/>
  <c r="P432" i="3"/>
  <c r="O432" i="3"/>
  <c r="N432" i="3"/>
  <c r="M432" i="3"/>
  <c r="L432" i="3"/>
  <c r="K432" i="3"/>
  <c r="J432" i="3"/>
  <c r="I432" i="3"/>
  <c r="G432" i="3"/>
  <c r="F432" i="3"/>
  <c r="E432" i="3"/>
  <c r="D432" i="3"/>
  <c r="C432" i="3"/>
  <c r="B432" i="3"/>
  <c r="T431" i="3"/>
  <c r="Q431" i="3"/>
  <c r="P431" i="3"/>
  <c r="O431" i="3"/>
  <c r="N431" i="3"/>
  <c r="M431" i="3"/>
  <c r="L431" i="3"/>
  <c r="K431" i="3"/>
  <c r="J431" i="3"/>
  <c r="I431" i="3"/>
  <c r="G431" i="3"/>
  <c r="F431" i="3"/>
  <c r="E431" i="3"/>
  <c r="D431" i="3"/>
  <c r="C431" i="3"/>
  <c r="B431" i="3"/>
  <c r="Z427" i="3"/>
  <c r="Y427" i="3"/>
  <c r="X427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G427" i="3"/>
  <c r="F427" i="3"/>
  <c r="E427" i="3"/>
  <c r="D427" i="3"/>
  <c r="C427" i="3"/>
  <c r="B427" i="3"/>
  <c r="Z426" i="3"/>
  <c r="Y426" i="3"/>
  <c r="X426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G426" i="3"/>
  <c r="F426" i="3"/>
  <c r="E426" i="3"/>
  <c r="D426" i="3"/>
  <c r="C426" i="3"/>
  <c r="B426" i="3"/>
  <c r="Z425" i="3"/>
  <c r="Y425" i="3"/>
  <c r="X425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G425" i="3"/>
  <c r="F425" i="3"/>
  <c r="E425" i="3"/>
  <c r="D425" i="3"/>
  <c r="C425" i="3"/>
  <c r="B425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G424" i="3"/>
  <c r="F424" i="3"/>
  <c r="E424" i="3"/>
  <c r="D424" i="3"/>
  <c r="C424" i="3"/>
  <c r="B424" i="3"/>
  <c r="Z423" i="3"/>
  <c r="Y423" i="3"/>
  <c r="X423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G423" i="3"/>
  <c r="F423" i="3"/>
  <c r="E423" i="3"/>
  <c r="D423" i="3"/>
  <c r="C423" i="3"/>
  <c r="B423" i="3"/>
  <c r="Z422" i="3"/>
  <c r="Y422" i="3"/>
  <c r="X422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G422" i="3"/>
  <c r="F422" i="3"/>
  <c r="E422" i="3"/>
  <c r="D422" i="3"/>
  <c r="C422" i="3"/>
  <c r="B422" i="3"/>
  <c r="Z421" i="3"/>
  <c r="Y421" i="3"/>
  <c r="X421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G421" i="3"/>
  <c r="F421" i="3"/>
  <c r="E421" i="3"/>
  <c r="D421" i="3"/>
  <c r="C421" i="3"/>
  <c r="B421" i="3"/>
  <c r="Z420" i="3"/>
  <c r="Y420" i="3"/>
  <c r="X420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G420" i="3"/>
  <c r="F420" i="3"/>
  <c r="E420" i="3"/>
  <c r="D420" i="3"/>
  <c r="C420" i="3"/>
  <c r="B420" i="3"/>
  <c r="Z419" i="3"/>
  <c r="Y419" i="3"/>
  <c r="X419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G419" i="3"/>
  <c r="F419" i="3"/>
  <c r="E419" i="3"/>
  <c r="D419" i="3"/>
  <c r="C419" i="3"/>
  <c r="B419" i="3"/>
  <c r="Z418" i="3"/>
  <c r="Y418" i="3"/>
  <c r="X418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G418" i="3"/>
  <c r="F418" i="3"/>
  <c r="E418" i="3"/>
  <c r="D418" i="3"/>
  <c r="C418" i="3"/>
  <c r="B418" i="3"/>
  <c r="Z417" i="3"/>
  <c r="Y417" i="3"/>
  <c r="X417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G417" i="3"/>
  <c r="F417" i="3"/>
  <c r="E417" i="3"/>
  <c r="D417" i="3"/>
  <c r="C417" i="3"/>
  <c r="B417" i="3"/>
  <c r="Z416" i="3"/>
  <c r="Y416" i="3"/>
  <c r="X416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G416" i="3"/>
  <c r="F416" i="3"/>
  <c r="E416" i="3"/>
  <c r="D416" i="3"/>
  <c r="C416" i="3"/>
  <c r="B416" i="3"/>
  <c r="Z415" i="3"/>
  <c r="Y415" i="3"/>
  <c r="X415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G415" i="3"/>
  <c r="F415" i="3"/>
  <c r="E415" i="3"/>
  <c r="D415" i="3"/>
  <c r="C415" i="3"/>
  <c r="B415" i="3"/>
  <c r="Z414" i="3"/>
  <c r="Y414" i="3"/>
  <c r="X414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G414" i="3"/>
  <c r="F414" i="3"/>
  <c r="E414" i="3"/>
  <c r="D414" i="3"/>
  <c r="C414" i="3"/>
  <c r="B414" i="3"/>
  <c r="Z413" i="3"/>
  <c r="Y413" i="3"/>
  <c r="X413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G413" i="3"/>
  <c r="F413" i="3"/>
  <c r="E413" i="3"/>
  <c r="D413" i="3"/>
  <c r="C413" i="3"/>
  <c r="B413" i="3"/>
  <c r="Z412" i="3"/>
  <c r="Y412" i="3"/>
  <c r="X412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G412" i="3"/>
  <c r="F412" i="3"/>
  <c r="E412" i="3"/>
  <c r="D412" i="3"/>
  <c r="C412" i="3"/>
  <c r="B412" i="3"/>
  <c r="Z411" i="3"/>
  <c r="Y411" i="3"/>
  <c r="X411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G411" i="3"/>
  <c r="F411" i="3"/>
  <c r="E411" i="3"/>
  <c r="D411" i="3"/>
  <c r="C411" i="3"/>
  <c r="B411" i="3"/>
  <c r="Z410" i="3"/>
  <c r="Y410" i="3"/>
  <c r="X410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G410" i="3"/>
  <c r="F410" i="3"/>
  <c r="E410" i="3"/>
  <c r="D410" i="3"/>
  <c r="C410" i="3"/>
  <c r="B410" i="3"/>
  <c r="Z409" i="3"/>
  <c r="Y409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G409" i="3"/>
  <c r="F409" i="3"/>
  <c r="E409" i="3"/>
  <c r="D409" i="3"/>
  <c r="C409" i="3"/>
  <c r="B409" i="3"/>
  <c r="Z408" i="3"/>
  <c r="Y408" i="3"/>
  <c r="X408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G408" i="3"/>
  <c r="F408" i="3"/>
  <c r="E408" i="3"/>
  <c r="D408" i="3"/>
  <c r="C408" i="3"/>
  <c r="B408" i="3"/>
  <c r="Q404" i="3"/>
  <c r="P404" i="3"/>
  <c r="O404" i="3"/>
  <c r="N404" i="3"/>
  <c r="M404" i="3"/>
  <c r="L404" i="3"/>
  <c r="K404" i="3"/>
  <c r="J404" i="3"/>
  <c r="I404" i="3"/>
  <c r="G404" i="3"/>
  <c r="F404" i="3"/>
  <c r="E404" i="3"/>
  <c r="D404" i="3"/>
  <c r="C404" i="3"/>
  <c r="B404" i="3"/>
  <c r="Q403" i="3"/>
  <c r="P403" i="3"/>
  <c r="O403" i="3"/>
  <c r="N403" i="3"/>
  <c r="M403" i="3"/>
  <c r="L403" i="3"/>
  <c r="K403" i="3"/>
  <c r="J403" i="3"/>
  <c r="I403" i="3"/>
  <c r="G403" i="3"/>
  <c r="F403" i="3"/>
  <c r="E403" i="3"/>
  <c r="D403" i="3"/>
  <c r="C403" i="3"/>
  <c r="B403" i="3"/>
  <c r="T402" i="3"/>
  <c r="Q402" i="3"/>
  <c r="P402" i="3"/>
  <c r="O402" i="3"/>
  <c r="N402" i="3"/>
  <c r="M402" i="3"/>
  <c r="L402" i="3"/>
  <c r="K402" i="3"/>
  <c r="J402" i="3"/>
  <c r="I402" i="3"/>
  <c r="G402" i="3"/>
  <c r="F402" i="3"/>
  <c r="E402" i="3"/>
  <c r="D402" i="3"/>
  <c r="C402" i="3"/>
  <c r="B402" i="3"/>
  <c r="Z398" i="3"/>
  <c r="Y398" i="3"/>
  <c r="X398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G398" i="3"/>
  <c r="F398" i="3"/>
  <c r="E398" i="3"/>
  <c r="D398" i="3"/>
  <c r="C398" i="3"/>
  <c r="B398" i="3"/>
  <c r="Z397" i="3"/>
  <c r="Y397" i="3"/>
  <c r="X397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G397" i="3"/>
  <c r="F397" i="3"/>
  <c r="E397" i="3"/>
  <c r="D397" i="3"/>
  <c r="C397" i="3"/>
  <c r="B397" i="3"/>
  <c r="Z396" i="3"/>
  <c r="Y396" i="3"/>
  <c r="X396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G396" i="3"/>
  <c r="F396" i="3"/>
  <c r="E396" i="3"/>
  <c r="D396" i="3"/>
  <c r="C396" i="3"/>
  <c r="B396" i="3"/>
  <c r="Z395" i="3"/>
  <c r="Y395" i="3"/>
  <c r="X395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G395" i="3"/>
  <c r="F395" i="3"/>
  <c r="E395" i="3"/>
  <c r="D395" i="3"/>
  <c r="C395" i="3"/>
  <c r="B395" i="3"/>
  <c r="Z394" i="3"/>
  <c r="Y394" i="3"/>
  <c r="X394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G394" i="3"/>
  <c r="F394" i="3"/>
  <c r="E394" i="3"/>
  <c r="D394" i="3"/>
  <c r="C394" i="3"/>
  <c r="B394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G393" i="3"/>
  <c r="F393" i="3"/>
  <c r="E393" i="3"/>
  <c r="D393" i="3"/>
  <c r="C393" i="3"/>
  <c r="B393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G392" i="3"/>
  <c r="F392" i="3"/>
  <c r="E392" i="3"/>
  <c r="D392" i="3"/>
  <c r="C392" i="3"/>
  <c r="B392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G391" i="3"/>
  <c r="F391" i="3"/>
  <c r="E391" i="3"/>
  <c r="D391" i="3"/>
  <c r="C391" i="3"/>
  <c r="B391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G390" i="3"/>
  <c r="F390" i="3"/>
  <c r="E390" i="3"/>
  <c r="D390" i="3"/>
  <c r="C390" i="3"/>
  <c r="B390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G389" i="3"/>
  <c r="F389" i="3"/>
  <c r="E389" i="3"/>
  <c r="D389" i="3"/>
  <c r="C389" i="3"/>
  <c r="B389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G388" i="3"/>
  <c r="F388" i="3"/>
  <c r="E388" i="3"/>
  <c r="D388" i="3"/>
  <c r="C388" i="3"/>
  <c r="B388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G387" i="3"/>
  <c r="F387" i="3"/>
  <c r="E387" i="3"/>
  <c r="D387" i="3"/>
  <c r="C387" i="3"/>
  <c r="B387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G386" i="3"/>
  <c r="F386" i="3"/>
  <c r="E386" i="3"/>
  <c r="D386" i="3"/>
  <c r="C386" i="3"/>
  <c r="B386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G385" i="3"/>
  <c r="F385" i="3"/>
  <c r="E385" i="3"/>
  <c r="D385" i="3"/>
  <c r="C385" i="3"/>
  <c r="B385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G384" i="3"/>
  <c r="F384" i="3"/>
  <c r="E384" i="3"/>
  <c r="D384" i="3"/>
  <c r="C384" i="3"/>
  <c r="B384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G383" i="3"/>
  <c r="F383" i="3"/>
  <c r="E383" i="3"/>
  <c r="D383" i="3"/>
  <c r="C383" i="3"/>
  <c r="B383" i="3"/>
  <c r="Z382" i="3"/>
  <c r="Y382" i="3"/>
  <c r="X382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G382" i="3"/>
  <c r="F382" i="3"/>
  <c r="E382" i="3"/>
  <c r="D382" i="3"/>
  <c r="C382" i="3"/>
  <c r="B382" i="3"/>
  <c r="Z381" i="3"/>
  <c r="Y381" i="3"/>
  <c r="X381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G381" i="3"/>
  <c r="F381" i="3"/>
  <c r="E381" i="3"/>
  <c r="D381" i="3"/>
  <c r="C381" i="3"/>
  <c r="B381" i="3"/>
  <c r="Z380" i="3"/>
  <c r="Y380" i="3"/>
  <c r="X380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G380" i="3"/>
  <c r="F380" i="3"/>
  <c r="E380" i="3"/>
  <c r="D380" i="3"/>
  <c r="C380" i="3"/>
  <c r="B380" i="3"/>
  <c r="Z379" i="3"/>
  <c r="Y379" i="3"/>
  <c r="X379" i="3"/>
  <c r="W379" i="3"/>
  <c r="V379" i="3"/>
  <c r="U379" i="3"/>
  <c r="T379" i="3"/>
  <c r="S379" i="3"/>
  <c r="R379" i="3"/>
  <c r="Q379" i="3"/>
  <c r="Q399" i="3" s="1"/>
  <c r="P379" i="3"/>
  <c r="O379" i="3"/>
  <c r="N379" i="3"/>
  <c r="M379" i="3"/>
  <c r="L379" i="3"/>
  <c r="K379" i="3"/>
  <c r="J379" i="3"/>
  <c r="I379" i="3"/>
  <c r="G379" i="3"/>
  <c r="F379" i="3"/>
  <c r="E379" i="3"/>
  <c r="D379" i="3"/>
  <c r="C379" i="3"/>
  <c r="B379" i="3"/>
  <c r="Q375" i="3"/>
  <c r="P375" i="3"/>
  <c r="O375" i="3"/>
  <c r="N375" i="3"/>
  <c r="M375" i="3"/>
  <c r="L375" i="3"/>
  <c r="K375" i="3"/>
  <c r="J375" i="3"/>
  <c r="I375" i="3"/>
  <c r="G375" i="3"/>
  <c r="F375" i="3"/>
  <c r="E375" i="3"/>
  <c r="D375" i="3"/>
  <c r="C375" i="3"/>
  <c r="B375" i="3"/>
  <c r="Q374" i="3"/>
  <c r="P374" i="3"/>
  <c r="O374" i="3"/>
  <c r="N374" i="3"/>
  <c r="M374" i="3"/>
  <c r="L374" i="3"/>
  <c r="K374" i="3"/>
  <c r="J374" i="3"/>
  <c r="I374" i="3"/>
  <c r="G374" i="3"/>
  <c r="F374" i="3"/>
  <c r="E374" i="3"/>
  <c r="D374" i="3"/>
  <c r="C374" i="3"/>
  <c r="B374" i="3"/>
  <c r="T373" i="3"/>
  <c r="Q373" i="3"/>
  <c r="P373" i="3"/>
  <c r="O373" i="3"/>
  <c r="N373" i="3"/>
  <c r="M373" i="3"/>
  <c r="L373" i="3"/>
  <c r="K373" i="3"/>
  <c r="J373" i="3"/>
  <c r="I373" i="3"/>
  <c r="G373" i="3"/>
  <c r="F373" i="3"/>
  <c r="E373" i="3"/>
  <c r="D373" i="3"/>
  <c r="C373" i="3"/>
  <c r="B373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G369" i="3"/>
  <c r="F369" i="3"/>
  <c r="E369" i="3"/>
  <c r="D369" i="3"/>
  <c r="C369" i="3"/>
  <c r="B369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G368" i="3"/>
  <c r="F368" i="3"/>
  <c r="E368" i="3"/>
  <c r="D368" i="3"/>
  <c r="C368" i="3"/>
  <c r="B368" i="3"/>
  <c r="Z367" i="3"/>
  <c r="Y367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G367" i="3"/>
  <c r="F367" i="3"/>
  <c r="E367" i="3"/>
  <c r="D367" i="3"/>
  <c r="C367" i="3"/>
  <c r="B367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G366" i="3"/>
  <c r="F366" i="3"/>
  <c r="E366" i="3"/>
  <c r="D366" i="3"/>
  <c r="C366" i="3"/>
  <c r="B366" i="3"/>
  <c r="Z365" i="3"/>
  <c r="Y365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G365" i="3"/>
  <c r="F365" i="3"/>
  <c r="E365" i="3"/>
  <c r="D365" i="3"/>
  <c r="C365" i="3"/>
  <c r="B365" i="3"/>
  <c r="Z364" i="3"/>
  <c r="Y364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G364" i="3"/>
  <c r="F364" i="3"/>
  <c r="E364" i="3"/>
  <c r="D364" i="3"/>
  <c r="C364" i="3"/>
  <c r="B364" i="3"/>
  <c r="Z363" i="3"/>
  <c r="Y363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G363" i="3"/>
  <c r="F363" i="3"/>
  <c r="E363" i="3"/>
  <c r="D363" i="3"/>
  <c r="C363" i="3"/>
  <c r="B363" i="3"/>
  <c r="Z362" i="3"/>
  <c r="Y362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G362" i="3"/>
  <c r="F362" i="3"/>
  <c r="E362" i="3"/>
  <c r="D362" i="3"/>
  <c r="C362" i="3"/>
  <c r="B362" i="3"/>
  <c r="Z361" i="3"/>
  <c r="Y361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G361" i="3"/>
  <c r="F361" i="3"/>
  <c r="E361" i="3"/>
  <c r="D361" i="3"/>
  <c r="C361" i="3"/>
  <c r="B361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G360" i="3"/>
  <c r="F360" i="3"/>
  <c r="E360" i="3"/>
  <c r="D360" i="3"/>
  <c r="C360" i="3"/>
  <c r="B360" i="3"/>
  <c r="Z359" i="3"/>
  <c r="Y359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G359" i="3"/>
  <c r="F359" i="3"/>
  <c r="E359" i="3"/>
  <c r="D359" i="3"/>
  <c r="C359" i="3"/>
  <c r="B359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G358" i="3"/>
  <c r="F358" i="3"/>
  <c r="E358" i="3"/>
  <c r="D358" i="3"/>
  <c r="C358" i="3"/>
  <c r="B358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G357" i="3"/>
  <c r="F357" i="3"/>
  <c r="E357" i="3"/>
  <c r="D357" i="3"/>
  <c r="C357" i="3"/>
  <c r="B357" i="3"/>
  <c r="Z356" i="3"/>
  <c r="Y356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G356" i="3"/>
  <c r="F356" i="3"/>
  <c r="E356" i="3"/>
  <c r="D356" i="3"/>
  <c r="C356" i="3"/>
  <c r="B356" i="3"/>
  <c r="Z355" i="3"/>
  <c r="Y355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G355" i="3"/>
  <c r="F355" i="3"/>
  <c r="E355" i="3"/>
  <c r="D355" i="3"/>
  <c r="C355" i="3"/>
  <c r="B355" i="3"/>
  <c r="Z354" i="3"/>
  <c r="Y354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G354" i="3"/>
  <c r="F354" i="3"/>
  <c r="E354" i="3"/>
  <c r="D354" i="3"/>
  <c r="C354" i="3"/>
  <c r="B354" i="3"/>
  <c r="Z353" i="3"/>
  <c r="Y353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G353" i="3"/>
  <c r="F353" i="3"/>
  <c r="E353" i="3"/>
  <c r="D353" i="3"/>
  <c r="C353" i="3"/>
  <c r="B353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G352" i="3"/>
  <c r="F352" i="3"/>
  <c r="E352" i="3"/>
  <c r="D352" i="3"/>
  <c r="C352" i="3"/>
  <c r="B352" i="3"/>
  <c r="Z351" i="3"/>
  <c r="Y351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G351" i="3"/>
  <c r="F351" i="3"/>
  <c r="E351" i="3"/>
  <c r="D351" i="3"/>
  <c r="C351" i="3"/>
  <c r="B351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G350" i="3"/>
  <c r="F350" i="3"/>
  <c r="E350" i="3"/>
  <c r="D350" i="3"/>
  <c r="C350" i="3"/>
  <c r="B350" i="3"/>
  <c r="Q346" i="3"/>
  <c r="P346" i="3"/>
  <c r="O346" i="3"/>
  <c r="N346" i="3"/>
  <c r="M346" i="3"/>
  <c r="L346" i="3"/>
  <c r="K346" i="3"/>
  <c r="J346" i="3"/>
  <c r="I346" i="3"/>
  <c r="G346" i="3"/>
  <c r="F346" i="3"/>
  <c r="E346" i="3"/>
  <c r="D346" i="3"/>
  <c r="C346" i="3"/>
  <c r="B346" i="3"/>
  <c r="T344" i="3"/>
  <c r="Z340" i="3"/>
  <c r="Y340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G340" i="3"/>
  <c r="F340" i="3"/>
  <c r="E340" i="3"/>
  <c r="D340" i="3"/>
  <c r="C340" i="3"/>
  <c r="B340" i="3"/>
  <c r="Z339" i="3"/>
  <c r="Y339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G339" i="3"/>
  <c r="F339" i="3"/>
  <c r="E339" i="3"/>
  <c r="D339" i="3"/>
  <c r="C339" i="3"/>
  <c r="B339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G338" i="3"/>
  <c r="F338" i="3"/>
  <c r="E338" i="3"/>
  <c r="D338" i="3"/>
  <c r="C338" i="3"/>
  <c r="B338" i="3"/>
  <c r="Z337" i="3"/>
  <c r="Y337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G337" i="3"/>
  <c r="F337" i="3"/>
  <c r="E337" i="3"/>
  <c r="D337" i="3"/>
  <c r="C337" i="3"/>
  <c r="B337" i="3"/>
  <c r="Z332" i="3"/>
  <c r="Y332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G332" i="3"/>
  <c r="F332" i="3"/>
  <c r="E332" i="3"/>
  <c r="D332" i="3"/>
  <c r="C332" i="3"/>
  <c r="B332" i="3"/>
  <c r="Z331" i="3"/>
  <c r="Y331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G331" i="3"/>
  <c r="F331" i="3"/>
  <c r="E331" i="3"/>
  <c r="D331" i="3"/>
  <c r="C331" i="3"/>
  <c r="B331" i="3"/>
  <c r="Q317" i="3"/>
  <c r="P317" i="3"/>
  <c r="O317" i="3"/>
  <c r="N317" i="3"/>
  <c r="M317" i="3"/>
  <c r="L317" i="3"/>
  <c r="K317" i="3"/>
  <c r="J317" i="3"/>
  <c r="I317" i="3"/>
  <c r="G317" i="3"/>
  <c r="F317" i="3"/>
  <c r="E317" i="3"/>
  <c r="D317" i="3"/>
  <c r="C317" i="3"/>
  <c r="B317" i="3"/>
  <c r="T315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G311" i="3"/>
  <c r="F311" i="3"/>
  <c r="E311" i="3"/>
  <c r="D311" i="3"/>
  <c r="C311" i="3"/>
  <c r="B311" i="3"/>
  <c r="Z310" i="3"/>
  <c r="Y310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G310" i="3"/>
  <c r="F310" i="3"/>
  <c r="E310" i="3"/>
  <c r="D310" i="3"/>
  <c r="C310" i="3"/>
  <c r="B310" i="3"/>
  <c r="Z309" i="3"/>
  <c r="Y309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G309" i="3"/>
  <c r="F309" i="3"/>
  <c r="E309" i="3"/>
  <c r="D309" i="3"/>
  <c r="C309" i="3"/>
  <c r="B309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G308" i="3"/>
  <c r="F308" i="3"/>
  <c r="E308" i="3"/>
  <c r="D308" i="3"/>
  <c r="C308" i="3"/>
  <c r="B308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G303" i="3"/>
  <c r="F303" i="3"/>
  <c r="E303" i="3"/>
  <c r="D303" i="3"/>
  <c r="C303" i="3"/>
  <c r="B303" i="3"/>
  <c r="Z302" i="3"/>
  <c r="Y302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G302" i="3"/>
  <c r="F302" i="3"/>
  <c r="E302" i="3"/>
  <c r="D302" i="3"/>
  <c r="C302" i="3"/>
  <c r="B302" i="3"/>
  <c r="Q288" i="3"/>
  <c r="P288" i="3"/>
  <c r="O288" i="3"/>
  <c r="N288" i="3"/>
  <c r="M288" i="3"/>
  <c r="L288" i="3"/>
  <c r="K288" i="3"/>
  <c r="J288" i="3"/>
  <c r="I288" i="3"/>
  <c r="G288" i="3"/>
  <c r="F288" i="3"/>
  <c r="E288" i="3"/>
  <c r="D288" i="3"/>
  <c r="C288" i="3"/>
  <c r="B288" i="3"/>
  <c r="T286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G282" i="3"/>
  <c r="F282" i="3"/>
  <c r="E282" i="3"/>
  <c r="D282" i="3"/>
  <c r="C282" i="3"/>
  <c r="B282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G281" i="3"/>
  <c r="F281" i="3"/>
  <c r="E281" i="3"/>
  <c r="D281" i="3"/>
  <c r="C281" i="3"/>
  <c r="B281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G280" i="3"/>
  <c r="F280" i="3"/>
  <c r="E280" i="3"/>
  <c r="D280" i="3"/>
  <c r="C280" i="3"/>
  <c r="B280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G279" i="3"/>
  <c r="F279" i="3"/>
  <c r="E279" i="3"/>
  <c r="D279" i="3"/>
  <c r="C279" i="3"/>
  <c r="B279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G274" i="3"/>
  <c r="F274" i="3"/>
  <c r="E274" i="3"/>
  <c r="D274" i="3"/>
  <c r="C274" i="3"/>
  <c r="B274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G266" i="3"/>
  <c r="F266" i="3"/>
  <c r="E266" i="3"/>
  <c r="D266" i="3"/>
  <c r="C266" i="3"/>
  <c r="B266" i="3"/>
  <c r="Q259" i="3"/>
  <c r="P259" i="3"/>
  <c r="O259" i="3"/>
  <c r="N259" i="3"/>
  <c r="M259" i="3"/>
  <c r="L259" i="3"/>
  <c r="K259" i="3"/>
  <c r="J259" i="3"/>
  <c r="I259" i="3"/>
  <c r="G259" i="3"/>
  <c r="F259" i="3"/>
  <c r="E259" i="3"/>
  <c r="D259" i="3"/>
  <c r="C259" i="3"/>
  <c r="B259" i="3"/>
  <c r="T257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G253" i="3"/>
  <c r="F253" i="3"/>
  <c r="E253" i="3"/>
  <c r="D253" i="3"/>
  <c r="C253" i="3"/>
  <c r="B253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G252" i="3"/>
  <c r="F252" i="3"/>
  <c r="E252" i="3"/>
  <c r="D252" i="3"/>
  <c r="C252" i="3"/>
  <c r="B252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G251" i="3"/>
  <c r="F251" i="3"/>
  <c r="E251" i="3"/>
  <c r="D251" i="3"/>
  <c r="C251" i="3"/>
  <c r="B251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G250" i="3"/>
  <c r="F250" i="3"/>
  <c r="E250" i="3"/>
  <c r="D250" i="3"/>
  <c r="C250" i="3"/>
  <c r="B250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G245" i="3"/>
  <c r="F245" i="3"/>
  <c r="E245" i="3"/>
  <c r="D245" i="3"/>
  <c r="C245" i="3"/>
  <c r="B245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G244" i="3"/>
  <c r="F244" i="3"/>
  <c r="E244" i="3"/>
  <c r="D244" i="3"/>
  <c r="C244" i="3"/>
  <c r="B244" i="3"/>
  <c r="Q230" i="3"/>
  <c r="P230" i="3"/>
  <c r="O230" i="3"/>
  <c r="N230" i="3"/>
  <c r="M230" i="3"/>
  <c r="L230" i="3"/>
  <c r="K230" i="3"/>
  <c r="J230" i="3"/>
  <c r="I230" i="3"/>
  <c r="G230" i="3"/>
  <c r="F230" i="3"/>
  <c r="E230" i="3"/>
  <c r="D230" i="3"/>
  <c r="C230" i="3"/>
  <c r="B230" i="3"/>
  <c r="T228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G224" i="3"/>
  <c r="F224" i="3"/>
  <c r="E224" i="3"/>
  <c r="D224" i="3"/>
  <c r="C224" i="3"/>
  <c r="B224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G223" i="3"/>
  <c r="F223" i="3"/>
  <c r="E223" i="3"/>
  <c r="D223" i="3"/>
  <c r="C223" i="3"/>
  <c r="B223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G222" i="3"/>
  <c r="F222" i="3"/>
  <c r="E222" i="3"/>
  <c r="D222" i="3"/>
  <c r="C222" i="3"/>
  <c r="B222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G221" i="3"/>
  <c r="F221" i="3"/>
  <c r="E221" i="3"/>
  <c r="D221" i="3"/>
  <c r="C221" i="3"/>
  <c r="B221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G216" i="3"/>
  <c r="F216" i="3"/>
  <c r="E216" i="3"/>
  <c r="D216" i="3"/>
  <c r="C216" i="3"/>
  <c r="B216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G212" i="3"/>
  <c r="F212" i="3"/>
  <c r="E212" i="3"/>
  <c r="D212" i="3"/>
  <c r="C212" i="3"/>
  <c r="B212" i="3"/>
  <c r="Q201" i="3"/>
  <c r="P201" i="3"/>
  <c r="O201" i="3"/>
  <c r="N201" i="3"/>
  <c r="M201" i="3"/>
  <c r="L201" i="3"/>
  <c r="K201" i="3"/>
  <c r="J201" i="3"/>
  <c r="I201" i="3"/>
  <c r="G201" i="3"/>
  <c r="F201" i="3"/>
  <c r="E201" i="3"/>
  <c r="D201" i="3"/>
  <c r="C201" i="3"/>
  <c r="B201" i="3"/>
  <c r="T199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G195" i="3"/>
  <c r="F195" i="3"/>
  <c r="E195" i="3"/>
  <c r="D195" i="3"/>
  <c r="C195" i="3"/>
  <c r="B195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G194" i="3"/>
  <c r="F194" i="3"/>
  <c r="E194" i="3"/>
  <c r="D194" i="3"/>
  <c r="C194" i="3"/>
  <c r="B194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G193" i="3"/>
  <c r="F193" i="3"/>
  <c r="E193" i="3"/>
  <c r="D193" i="3"/>
  <c r="C193" i="3"/>
  <c r="B193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G192" i="3"/>
  <c r="F192" i="3"/>
  <c r="E192" i="3"/>
  <c r="D192" i="3"/>
  <c r="C192" i="3"/>
  <c r="B192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G187" i="3"/>
  <c r="F187" i="3"/>
  <c r="E187" i="3"/>
  <c r="D187" i="3"/>
  <c r="C187" i="3"/>
  <c r="B187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G183" i="3"/>
  <c r="F183" i="3"/>
  <c r="E183" i="3"/>
  <c r="D183" i="3"/>
  <c r="C183" i="3"/>
  <c r="B183" i="3"/>
  <c r="Q172" i="3"/>
  <c r="P172" i="3"/>
  <c r="O172" i="3"/>
  <c r="N172" i="3"/>
  <c r="M172" i="3"/>
  <c r="L172" i="3"/>
  <c r="K172" i="3"/>
  <c r="J172" i="3"/>
  <c r="I172" i="3"/>
  <c r="G172" i="3"/>
  <c r="F172" i="3"/>
  <c r="E172" i="3"/>
  <c r="D172" i="3"/>
  <c r="C172" i="3"/>
  <c r="B172" i="3"/>
  <c r="T170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G166" i="3"/>
  <c r="F166" i="3"/>
  <c r="E166" i="3"/>
  <c r="D166" i="3"/>
  <c r="C166" i="3"/>
  <c r="B166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G165" i="3"/>
  <c r="F165" i="3"/>
  <c r="E165" i="3"/>
  <c r="D165" i="3"/>
  <c r="C165" i="3"/>
  <c r="B165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G164" i="3"/>
  <c r="F164" i="3"/>
  <c r="E164" i="3"/>
  <c r="D164" i="3"/>
  <c r="C164" i="3"/>
  <c r="B164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G163" i="3"/>
  <c r="F163" i="3"/>
  <c r="E163" i="3"/>
  <c r="D163" i="3"/>
  <c r="C163" i="3"/>
  <c r="B163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G158" i="3"/>
  <c r="F158" i="3"/>
  <c r="E158" i="3"/>
  <c r="D158" i="3"/>
  <c r="C158" i="3"/>
  <c r="B158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G154" i="3"/>
  <c r="F154" i="3"/>
  <c r="E154" i="3"/>
  <c r="D154" i="3"/>
  <c r="C154" i="3"/>
  <c r="B154" i="3"/>
  <c r="Q143" i="3"/>
  <c r="P143" i="3"/>
  <c r="O143" i="3"/>
  <c r="N143" i="3"/>
  <c r="M143" i="3"/>
  <c r="L143" i="3"/>
  <c r="K143" i="3"/>
  <c r="J143" i="3"/>
  <c r="I143" i="3"/>
  <c r="G143" i="3"/>
  <c r="F143" i="3"/>
  <c r="E143" i="3"/>
  <c r="D143" i="3"/>
  <c r="C143" i="3"/>
  <c r="B143" i="3"/>
  <c r="T141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G137" i="3"/>
  <c r="F137" i="3"/>
  <c r="E137" i="3"/>
  <c r="D137" i="3"/>
  <c r="C137" i="3"/>
  <c r="B137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G136" i="3"/>
  <c r="F136" i="3"/>
  <c r="E136" i="3"/>
  <c r="D136" i="3"/>
  <c r="C136" i="3"/>
  <c r="B136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G135" i="3"/>
  <c r="F135" i="3"/>
  <c r="E135" i="3"/>
  <c r="D135" i="3"/>
  <c r="C135" i="3"/>
  <c r="B135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G134" i="3"/>
  <c r="F134" i="3"/>
  <c r="E134" i="3"/>
  <c r="D134" i="3"/>
  <c r="C134" i="3"/>
  <c r="B134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G129" i="3"/>
  <c r="F129" i="3"/>
  <c r="E129" i="3"/>
  <c r="D129" i="3"/>
  <c r="C129" i="3"/>
  <c r="B129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G121" i="3"/>
  <c r="F121" i="3"/>
  <c r="E121" i="3"/>
  <c r="D121" i="3"/>
  <c r="C121" i="3"/>
  <c r="B121" i="3"/>
  <c r="Q114" i="3"/>
  <c r="P114" i="3"/>
  <c r="O114" i="3"/>
  <c r="N114" i="3"/>
  <c r="M114" i="3"/>
  <c r="L114" i="3"/>
  <c r="K114" i="3"/>
  <c r="J114" i="3"/>
  <c r="I114" i="3"/>
  <c r="G114" i="3"/>
  <c r="F114" i="3"/>
  <c r="E114" i="3"/>
  <c r="D114" i="3"/>
  <c r="C114" i="3"/>
  <c r="B114" i="3"/>
  <c r="T112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G108" i="3"/>
  <c r="F108" i="3"/>
  <c r="E108" i="3"/>
  <c r="D108" i="3"/>
  <c r="C108" i="3"/>
  <c r="B108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G107" i="3"/>
  <c r="F107" i="3"/>
  <c r="E107" i="3"/>
  <c r="D107" i="3"/>
  <c r="C107" i="3"/>
  <c r="B107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G106" i="3"/>
  <c r="F106" i="3"/>
  <c r="E106" i="3"/>
  <c r="D106" i="3"/>
  <c r="C106" i="3"/>
  <c r="B106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G105" i="3"/>
  <c r="F105" i="3"/>
  <c r="E105" i="3"/>
  <c r="D105" i="3"/>
  <c r="C105" i="3"/>
  <c r="B105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G100" i="3"/>
  <c r="F100" i="3"/>
  <c r="E100" i="3"/>
  <c r="D100" i="3"/>
  <c r="C100" i="3"/>
  <c r="B100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G92" i="3"/>
  <c r="F92" i="3"/>
  <c r="E92" i="3"/>
  <c r="D92" i="3"/>
  <c r="C92" i="3"/>
  <c r="B92" i="3"/>
  <c r="Q85" i="3"/>
  <c r="P85" i="3"/>
  <c r="O85" i="3"/>
  <c r="N85" i="3"/>
  <c r="M85" i="3"/>
  <c r="L85" i="3"/>
  <c r="K85" i="3"/>
  <c r="J85" i="3"/>
  <c r="I85" i="3"/>
  <c r="G85" i="3"/>
  <c r="F85" i="3"/>
  <c r="E85" i="3"/>
  <c r="D85" i="3"/>
  <c r="C85" i="3"/>
  <c r="B85" i="3"/>
  <c r="T83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G79" i="3"/>
  <c r="F79" i="3"/>
  <c r="E79" i="3"/>
  <c r="D79" i="3"/>
  <c r="C79" i="3"/>
  <c r="B79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G78" i="3"/>
  <c r="F78" i="3"/>
  <c r="E78" i="3"/>
  <c r="D78" i="3"/>
  <c r="C78" i="3"/>
  <c r="B78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G77" i="3"/>
  <c r="F77" i="3"/>
  <c r="E77" i="3"/>
  <c r="D77" i="3"/>
  <c r="C77" i="3"/>
  <c r="B77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G76" i="3"/>
  <c r="F76" i="3"/>
  <c r="E76" i="3"/>
  <c r="D76" i="3"/>
  <c r="C76" i="3"/>
  <c r="B76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G75" i="3"/>
  <c r="F75" i="3"/>
  <c r="E75" i="3"/>
  <c r="D75" i="3"/>
  <c r="C75" i="3"/>
  <c r="B75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G63" i="3"/>
  <c r="F63" i="3"/>
  <c r="E63" i="3"/>
  <c r="D63" i="3"/>
  <c r="C63" i="3"/>
  <c r="B63" i="3"/>
  <c r="Q56" i="3"/>
  <c r="P56" i="3"/>
  <c r="O56" i="3"/>
  <c r="N56" i="3"/>
  <c r="M56" i="3"/>
  <c r="L56" i="3"/>
  <c r="K56" i="3"/>
  <c r="J56" i="3"/>
  <c r="I56" i="3"/>
  <c r="G56" i="3"/>
  <c r="F56" i="3"/>
  <c r="E56" i="3"/>
  <c r="D56" i="3"/>
  <c r="C56" i="3"/>
  <c r="B56" i="3"/>
  <c r="T54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G50" i="3"/>
  <c r="F50" i="3"/>
  <c r="E50" i="3"/>
  <c r="D50" i="3"/>
  <c r="C50" i="3"/>
  <c r="B50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G49" i="3"/>
  <c r="F49" i="3"/>
  <c r="E49" i="3"/>
  <c r="D49" i="3"/>
  <c r="C49" i="3"/>
  <c r="B49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G48" i="3"/>
  <c r="F48" i="3"/>
  <c r="E48" i="3"/>
  <c r="D48" i="3"/>
  <c r="C48" i="3"/>
  <c r="B48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G47" i="3"/>
  <c r="F47" i="3"/>
  <c r="E47" i="3"/>
  <c r="D47" i="3"/>
  <c r="C47" i="3"/>
  <c r="B47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G42" i="3"/>
  <c r="F42" i="3"/>
  <c r="E42" i="3"/>
  <c r="D42" i="3"/>
  <c r="C42" i="3"/>
  <c r="B42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G34" i="3"/>
  <c r="F34" i="3"/>
  <c r="E34" i="3"/>
  <c r="D34" i="3"/>
  <c r="C34" i="3"/>
  <c r="B34" i="3"/>
  <c r="Q27" i="3"/>
  <c r="P27" i="3"/>
  <c r="O27" i="3"/>
  <c r="N27" i="3"/>
  <c r="M27" i="3"/>
  <c r="L27" i="3"/>
  <c r="K27" i="3"/>
  <c r="J27" i="3"/>
  <c r="I27" i="3"/>
  <c r="G27" i="3"/>
  <c r="F27" i="3"/>
  <c r="E27" i="3"/>
  <c r="D27" i="3"/>
  <c r="C27" i="3"/>
  <c r="B27" i="3"/>
  <c r="T25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G21" i="3"/>
  <c r="F21" i="3"/>
  <c r="E21" i="3"/>
  <c r="D21" i="3"/>
  <c r="C21" i="3"/>
  <c r="B21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G20" i="3"/>
  <c r="F20" i="3"/>
  <c r="E20" i="3"/>
  <c r="D20" i="3"/>
  <c r="C20" i="3"/>
  <c r="B20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G19" i="3"/>
  <c r="F19" i="3"/>
  <c r="E19" i="3"/>
  <c r="D19" i="3"/>
  <c r="C19" i="3"/>
  <c r="B19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G18" i="3"/>
  <c r="F18" i="3"/>
  <c r="E18" i="3"/>
  <c r="D18" i="3"/>
  <c r="C18" i="3"/>
  <c r="B18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G9" i="3"/>
  <c r="F9" i="3"/>
  <c r="E9" i="3"/>
  <c r="D9" i="3"/>
  <c r="C9" i="3"/>
  <c r="B9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G5" i="3"/>
  <c r="F5" i="3"/>
  <c r="E5" i="3"/>
  <c r="D5" i="3"/>
  <c r="C5" i="3"/>
  <c r="B5" i="3"/>
  <c r="AJ341" i="2"/>
  <c r="AN341" i="2" s="1"/>
  <c r="P341" i="2"/>
  <c r="M341" i="2"/>
  <c r="H341" i="2"/>
  <c r="G341" i="2"/>
  <c r="F341" i="2"/>
  <c r="D75" i="9" s="1"/>
  <c r="D341" i="2"/>
  <c r="B75" i="9" s="1"/>
  <c r="AJ333" i="2"/>
  <c r="AN333" i="2" s="1"/>
  <c r="P333" i="2"/>
  <c r="AK333" i="2" s="1"/>
  <c r="M333" i="2"/>
  <c r="H333" i="2"/>
  <c r="G333" i="2"/>
  <c r="F333" i="2"/>
  <c r="D74" i="9" s="1"/>
  <c r="D333" i="2"/>
  <c r="B74" i="9" s="1"/>
  <c r="AJ338" i="2"/>
  <c r="AM338" i="2" s="1"/>
  <c r="P338" i="2"/>
  <c r="M338" i="2"/>
  <c r="H338" i="2"/>
  <c r="G338" i="2"/>
  <c r="F338" i="2"/>
  <c r="D73" i="9" s="1"/>
  <c r="D338" i="2"/>
  <c r="B73" i="9" s="1"/>
  <c r="AJ332" i="2"/>
  <c r="AM332" i="2" s="1"/>
  <c r="P332" i="2"/>
  <c r="M332" i="2"/>
  <c r="H332" i="2"/>
  <c r="G332" i="2"/>
  <c r="F332" i="2"/>
  <c r="D72" i="9" s="1"/>
  <c r="D332" i="2"/>
  <c r="B72" i="9" s="1"/>
  <c r="AJ320" i="2"/>
  <c r="P320" i="2"/>
  <c r="M320" i="2"/>
  <c r="H320" i="2"/>
  <c r="G320" i="2"/>
  <c r="F320" i="2"/>
  <c r="D71" i="9" s="1"/>
  <c r="D320" i="2"/>
  <c r="B71" i="9" s="1"/>
  <c r="AJ312" i="2"/>
  <c r="AN312" i="2" s="1"/>
  <c r="P312" i="2"/>
  <c r="M312" i="2"/>
  <c r="H312" i="2"/>
  <c r="G312" i="2"/>
  <c r="F312" i="2"/>
  <c r="D70" i="9" s="1"/>
  <c r="D312" i="2"/>
  <c r="B70" i="9" s="1"/>
  <c r="AJ308" i="2"/>
  <c r="AN308" i="2" s="1"/>
  <c r="P308" i="2"/>
  <c r="M308" i="2"/>
  <c r="H308" i="2"/>
  <c r="G308" i="2"/>
  <c r="F308" i="2"/>
  <c r="D69" i="9" s="1"/>
  <c r="D308" i="2"/>
  <c r="B69" i="9" s="1"/>
  <c r="AJ296" i="2"/>
  <c r="AM296" i="2" s="1"/>
  <c r="P296" i="2"/>
  <c r="M296" i="2"/>
  <c r="H296" i="2"/>
  <c r="G296" i="2"/>
  <c r="F296" i="2"/>
  <c r="D68" i="9" s="1"/>
  <c r="D296" i="2"/>
  <c r="B68" i="9" s="1"/>
  <c r="AH730" i="2"/>
  <c r="R730" i="2"/>
  <c r="Q730" i="2"/>
  <c r="Y730" i="2" s="1"/>
  <c r="P730" i="2"/>
  <c r="M730" i="2"/>
  <c r="H730" i="2"/>
  <c r="G730" i="2"/>
  <c r="F730" i="2"/>
  <c r="D730" i="2"/>
  <c r="AJ292" i="2"/>
  <c r="P292" i="2"/>
  <c r="M292" i="2"/>
  <c r="H292" i="2"/>
  <c r="G292" i="2"/>
  <c r="F292" i="2"/>
  <c r="D67" i="9" s="1"/>
  <c r="D292" i="2"/>
  <c r="B67" i="9" s="1"/>
  <c r="AH721" i="2"/>
  <c r="R721" i="2"/>
  <c r="Q721" i="2"/>
  <c r="AA721" i="2" s="1"/>
  <c r="P721" i="2"/>
  <c r="M721" i="2"/>
  <c r="H721" i="2"/>
  <c r="G721" i="2"/>
  <c r="F721" i="2"/>
  <c r="D721" i="2"/>
  <c r="AH727" i="2"/>
  <c r="R727" i="2"/>
  <c r="Q727" i="2"/>
  <c r="AA727" i="2" s="1"/>
  <c r="P727" i="2"/>
  <c r="M727" i="2"/>
  <c r="H727" i="2"/>
  <c r="G727" i="2"/>
  <c r="F727" i="2"/>
  <c r="D727" i="2"/>
  <c r="AH714" i="2"/>
  <c r="R714" i="2"/>
  <c r="Q714" i="2"/>
  <c r="P714" i="2"/>
  <c r="M714" i="2"/>
  <c r="H714" i="2"/>
  <c r="G714" i="2"/>
  <c r="F714" i="2"/>
  <c r="D714" i="2"/>
  <c r="AH716" i="2"/>
  <c r="R716" i="2"/>
  <c r="Q716" i="2"/>
  <c r="P716" i="2"/>
  <c r="M716" i="2"/>
  <c r="H716" i="2"/>
  <c r="G716" i="2"/>
  <c r="F716" i="2"/>
  <c r="D716" i="2"/>
  <c r="AH722" i="2"/>
  <c r="R722" i="2"/>
  <c r="Q722" i="2"/>
  <c r="P722" i="2"/>
  <c r="M722" i="2"/>
  <c r="H722" i="2"/>
  <c r="G722" i="2"/>
  <c r="F722" i="2"/>
  <c r="D722" i="2"/>
  <c r="AJ281" i="2"/>
  <c r="AM281" i="2" s="1"/>
  <c r="P281" i="2"/>
  <c r="M281" i="2"/>
  <c r="H281" i="2"/>
  <c r="G281" i="2"/>
  <c r="F281" i="2"/>
  <c r="D66" i="9" s="1"/>
  <c r="D281" i="2"/>
  <c r="B66" i="9" s="1"/>
  <c r="AJ273" i="2"/>
  <c r="P273" i="2"/>
  <c r="M273" i="2"/>
  <c r="H273" i="2"/>
  <c r="G273" i="2"/>
  <c r="F273" i="2"/>
  <c r="D65" i="9" s="1"/>
  <c r="D273" i="2"/>
  <c r="B65" i="9" s="1"/>
  <c r="AJ276" i="2"/>
  <c r="P276" i="2"/>
  <c r="M276" i="2"/>
  <c r="H276" i="2"/>
  <c r="G276" i="2"/>
  <c r="F276" i="2"/>
  <c r="D64" i="9" s="1"/>
  <c r="D276" i="2"/>
  <c r="B64" i="9" s="1"/>
  <c r="AH697" i="2"/>
  <c r="R697" i="2"/>
  <c r="Q697" i="2"/>
  <c r="AB697" i="2" s="1"/>
  <c r="P697" i="2"/>
  <c r="M697" i="2"/>
  <c r="H697" i="2"/>
  <c r="G697" i="2"/>
  <c r="F697" i="2"/>
  <c r="D697" i="2"/>
  <c r="AH719" i="2"/>
  <c r="R719" i="2"/>
  <c r="Q719" i="2"/>
  <c r="AA719" i="2" s="1"/>
  <c r="P719" i="2"/>
  <c r="M719" i="2"/>
  <c r="H719" i="2"/>
  <c r="G719" i="2"/>
  <c r="F719" i="2"/>
  <c r="D719" i="2"/>
  <c r="AJ264" i="2"/>
  <c r="P264" i="2"/>
  <c r="M264" i="2"/>
  <c r="H264" i="2"/>
  <c r="G264" i="2"/>
  <c r="F264" i="2"/>
  <c r="D63" i="9" s="1"/>
  <c r="D264" i="2"/>
  <c r="B63" i="9" s="1"/>
  <c r="AH726" i="2"/>
  <c r="R726" i="2"/>
  <c r="Q726" i="2"/>
  <c r="AG726" i="2" s="1"/>
  <c r="P726" i="2"/>
  <c r="M726" i="2"/>
  <c r="H726" i="2"/>
  <c r="G726" i="2"/>
  <c r="F726" i="2"/>
  <c r="D726" i="2"/>
  <c r="AJ265" i="2"/>
  <c r="P265" i="2"/>
  <c r="M265" i="2"/>
  <c r="H265" i="2"/>
  <c r="G265" i="2"/>
  <c r="F265" i="2"/>
  <c r="D62" i="9" s="1"/>
  <c r="D265" i="2"/>
  <c r="B62" i="9" s="1"/>
  <c r="AH701" i="2"/>
  <c r="R701" i="2"/>
  <c r="Q701" i="2"/>
  <c r="AD701" i="2" s="1"/>
  <c r="P701" i="2"/>
  <c r="M701" i="2"/>
  <c r="H701" i="2"/>
  <c r="G701" i="2"/>
  <c r="F701" i="2"/>
  <c r="D701" i="2"/>
  <c r="AJ285" i="2"/>
  <c r="P285" i="2"/>
  <c r="M285" i="2"/>
  <c r="H285" i="2"/>
  <c r="G285" i="2"/>
  <c r="F285" i="2"/>
  <c r="D61" i="9" s="1"/>
  <c r="D285" i="2"/>
  <c r="B61" i="9" s="1"/>
  <c r="AJ267" i="2"/>
  <c r="P267" i="2"/>
  <c r="M267" i="2"/>
  <c r="H267" i="2"/>
  <c r="G267" i="2"/>
  <c r="F267" i="2"/>
  <c r="D60" i="9" s="1"/>
  <c r="D267" i="2"/>
  <c r="B60" i="9" s="1"/>
  <c r="AH713" i="2"/>
  <c r="R713" i="2"/>
  <c r="Q713" i="2"/>
  <c r="P713" i="2"/>
  <c r="M713" i="2"/>
  <c r="H713" i="2"/>
  <c r="G713" i="2"/>
  <c r="F713" i="2"/>
  <c r="D713" i="2"/>
  <c r="AH712" i="2"/>
  <c r="R712" i="2"/>
  <c r="Q712" i="2"/>
  <c r="P712" i="2"/>
  <c r="M712" i="2"/>
  <c r="H712" i="2"/>
  <c r="G712" i="2"/>
  <c r="F712" i="2"/>
  <c r="D712" i="2"/>
  <c r="AH698" i="2"/>
  <c r="R698" i="2"/>
  <c r="Q698" i="2"/>
  <c r="AG698" i="2" s="1"/>
  <c r="P698" i="2"/>
  <c r="M698" i="2"/>
  <c r="H698" i="2"/>
  <c r="G698" i="2"/>
  <c r="F698" i="2"/>
  <c r="D698" i="2"/>
  <c r="AJ270" i="2"/>
  <c r="P270" i="2"/>
  <c r="M270" i="2"/>
  <c r="H270" i="2"/>
  <c r="G270" i="2"/>
  <c r="F270" i="2"/>
  <c r="D59" i="9" s="1"/>
  <c r="D270" i="2"/>
  <c r="B59" i="9" s="1"/>
  <c r="AH658" i="2"/>
  <c r="R658" i="2"/>
  <c r="Q658" i="2"/>
  <c r="Y658" i="2" s="1"/>
  <c r="P658" i="2"/>
  <c r="M658" i="2"/>
  <c r="H658" i="2"/>
  <c r="G658" i="2"/>
  <c r="F658" i="2"/>
  <c r="D658" i="2"/>
  <c r="AH695" i="2"/>
  <c r="R695" i="2"/>
  <c r="Q695" i="2"/>
  <c r="P695" i="2"/>
  <c r="M695" i="2"/>
  <c r="H695" i="2"/>
  <c r="G695" i="2"/>
  <c r="F695" i="2"/>
  <c r="D695" i="2"/>
  <c r="AH679" i="2"/>
  <c r="R679" i="2"/>
  <c r="Q679" i="2"/>
  <c r="P679" i="2"/>
  <c r="M679" i="2"/>
  <c r="H679" i="2"/>
  <c r="G679" i="2"/>
  <c r="F679" i="2"/>
  <c r="D679" i="2"/>
  <c r="AH705" i="2"/>
  <c r="R705" i="2"/>
  <c r="Q705" i="2"/>
  <c r="AB705" i="2" s="1"/>
  <c r="P705" i="2"/>
  <c r="M705" i="2"/>
  <c r="H705" i="2"/>
  <c r="G705" i="2"/>
  <c r="F705" i="2"/>
  <c r="D705" i="2"/>
  <c r="AH677" i="2"/>
  <c r="R677" i="2"/>
  <c r="Q677" i="2"/>
  <c r="AA677" i="2" s="1"/>
  <c r="P677" i="2"/>
  <c r="M677" i="2"/>
  <c r="H677" i="2"/>
  <c r="G677" i="2"/>
  <c r="F677" i="2"/>
  <c r="D677" i="2"/>
  <c r="AH729" i="2"/>
  <c r="R729" i="2"/>
  <c r="Q729" i="2"/>
  <c r="Y729" i="2" s="1"/>
  <c r="P729" i="2"/>
  <c r="M729" i="2"/>
  <c r="H729" i="2"/>
  <c r="G729" i="2"/>
  <c r="F729" i="2"/>
  <c r="D729" i="2"/>
  <c r="AH718" i="2"/>
  <c r="R718" i="2"/>
  <c r="Q718" i="2"/>
  <c r="AA718" i="2" s="1"/>
  <c r="P718" i="2"/>
  <c r="M718" i="2"/>
  <c r="H718" i="2"/>
  <c r="G718" i="2"/>
  <c r="F718" i="2"/>
  <c r="D718" i="2"/>
  <c r="AH704" i="2"/>
  <c r="R704" i="2"/>
  <c r="Q704" i="2"/>
  <c r="AG704" i="2" s="1"/>
  <c r="P704" i="2"/>
  <c r="M704" i="2"/>
  <c r="H704" i="2"/>
  <c r="G704" i="2"/>
  <c r="F704" i="2"/>
  <c r="D704" i="2"/>
  <c r="AH724" i="2"/>
  <c r="R724" i="2"/>
  <c r="Q724" i="2"/>
  <c r="Z724" i="2" s="1"/>
  <c r="P724" i="2"/>
  <c r="M724" i="2"/>
  <c r="H724" i="2"/>
  <c r="G724" i="2"/>
  <c r="F724" i="2"/>
  <c r="D724" i="2"/>
  <c r="AJ262" i="2"/>
  <c r="P262" i="2"/>
  <c r="M262" i="2"/>
  <c r="H262" i="2"/>
  <c r="G262" i="2"/>
  <c r="F262" i="2"/>
  <c r="D58" i="9" s="1"/>
  <c r="D262" i="2"/>
  <c r="B58" i="9" s="1"/>
  <c r="AH676" i="2"/>
  <c r="R676" i="2"/>
  <c r="Q676" i="2"/>
  <c r="P676" i="2"/>
  <c r="M676" i="2"/>
  <c r="H676" i="2"/>
  <c r="G676" i="2"/>
  <c r="F676" i="2"/>
  <c r="D676" i="2"/>
  <c r="AH715" i="2"/>
  <c r="R715" i="2"/>
  <c r="Q715" i="2"/>
  <c r="AA715" i="2" s="1"/>
  <c r="P715" i="2"/>
  <c r="M715" i="2"/>
  <c r="H715" i="2"/>
  <c r="G715" i="2"/>
  <c r="F715" i="2"/>
  <c r="D715" i="2"/>
  <c r="AH669" i="2"/>
  <c r="R669" i="2"/>
  <c r="Q669" i="2"/>
  <c r="AB669" i="2" s="1"/>
  <c r="P669" i="2"/>
  <c r="M669" i="2"/>
  <c r="H669" i="2"/>
  <c r="G669" i="2"/>
  <c r="F669" i="2"/>
  <c r="D669" i="2"/>
  <c r="AH728" i="2"/>
  <c r="R728" i="2"/>
  <c r="Q728" i="2"/>
  <c r="AF728" i="2" s="1"/>
  <c r="P728" i="2"/>
  <c r="M728" i="2"/>
  <c r="H728" i="2"/>
  <c r="G728" i="2"/>
  <c r="F728" i="2"/>
  <c r="D728" i="2"/>
  <c r="AJ247" i="2"/>
  <c r="AM247" i="2" s="1"/>
  <c r="P247" i="2"/>
  <c r="M247" i="2"/>
  <c r="H247" i="2"/>
  <c r="G247" i="2"/>
  <c r="F247" i="2"/>
  <c r="D57" i="9" s="1"/>
  <c r="D247" i="2"/>
  <c r="B57" i="9" s="1"/>
  <c r="AH653" i="2"/>
  <c r="R653" i="2"/>
  <c r="Q653" i="2"/>
  <c r="AG653" i="2" s="1"/>
  <c r="P653" i="2"/>
  <c r="M653" i="2"/>
  <c r="H653" i="2"/>
  <c r="G653" i="2"/>
  <c r="F653" i="2"/>
  <c r="D653" i="2"/>
  <c r="AH725" i="2"/>
  <c r="R725" i="2"/>
  <c r="Q725" i="2"/>
  <c r="P725" i="2"/>
  <c r="M725" i="2"/>
  <c r="H725" i="2"/>
  <c r="G725" i="2"/>
  <c r="F725" i="2"/>
  <c r="D725" i="2"/>
  <c r="AJ233" i="2"/>
  <c r="AN233" i="2" s="1"/>
  <c r="P233" i="2"/>
  <c r="M233" i="2"/>
  <c r="H233" i="2"/>
  <c r="G233" i="2"/>
  <c r="F233" i="2"/>
  <c r="D56" i="9" s="1"/>
  <c r="D233" i="2"/>
  <c r="B56" i="9" s="1"/>
  <c r="AH685" i="2"/>
  <c r="R685" i="2"/>
  <c r="Q685" i="2"/>
  <c r="AA685" i="2" s="1"/>
  <c r="P685" i="2"/>
  <c r="M685" i="2"/>
  <c r="H685" i="2"/>
  <c r="G685" i="2"/>
  <c r="F685" i="2"/>
  <c r="D685" i="2"/>
  <c r="AH696" i="2"/>
  <c r="R696" i="2"/>
  <c r="Q696" i="2"/>
  <c r="AA696" i="2" s="1"/>
  <c r="P696" i="2"/>
  <c r="M696" i="2"/>
  <c r="H696" i="2"/>
  <c r="G696" i="2"/>
  <c r="F696" i="2"/>
  <c r="D696" i="2"/>
  <c r="AH680" i="2"/>
  <c r="R680" i="2"/>
  <c r="Q680" i="2"/>
  <c r="AB680" i="2" s="1"/>
  <c r="P680" i="2"/>
  <c r="M680" i="2"/>
  <c r="H680" i="2"/>
  <c r="G680" i="2"/>
  <c r="F680" i="2"/>
  <c r="D680" i="2"/>
  <c r="AH720" i="2"/>
  <c r="R720" i="2"/>
  <c r="Q720" i="2"/>
  <c r="AF720" i="2" s="1"/>
  <c r="P720" i="2"/>
  <c r="M720" i="2"/>
  <c r="H720" i="2"/>
  <c r="G720" i="2"/>
  <c r="F720" i="2"/>
  <c r="D720" i="2"/>
  <c r="AJ245" i="2"/>
  <c r="AN245" i="2" s="1"/>
  <c r="P245" i="2"/>
  <c r="M245" i="2"/>
  <c r="H245" i="2"/>
  <c r="G245" i="2"/>
  <c r="F245" i="2"/>
  <c r="D55" i="9" s="1"/>
  <c r="D245" i="2"/>
  <c r="B55" i="9" s="1"/>
  <c r="AH717" i="2"/>
  <c r="R717" i="2"/>
  <c r="Q717" i="2"/>
  <c r="P717" i="2"/>
  <c r="M717" i="2"/>
  <c r="H717" i="2"/>
  <c r="G717" i="2"/>
  <c r="F717" i="2"/>
  <c r="D717" i="2"/>
  <c r="AH708" i="2"/>
  <c r="R708" i="2"/>
  <c r="Q708" i="2"/>
  <c r="AF708" i="2" s="1"/>
  <c r="P708" i="2"/>
  <c r="M708" i="2"/>
  <c r="H708" i="2"/>
  <c r="G708" i="2"/>
  <c r="F708" i="2"/>
  <c r="D708" i="2"/>
  <c r="AH706" i="2"/>
  <c r="R706" i="2"/>
  <c r="Q706" i="2"/>
  <c r="P706" i="2"/>
  <c r="M706" i="2"/>
  <c r="H706" i="2"/>
  <c r="G706" i="2"/>
  <c r="F706" i="2"/>
  <c r="D706" i="2"/>
  <c r="AJ242" i="2"/>
  <c r="AN242" i="2" s="1"/>
  <c r="P242" i="2"/>
  <c r="M242" i="2"/>
  <c r="H242" i="2"/>
  <c r="G242" i="2"/>
  <c r="F242" i="2"/>
  <c r="D54" i="9" s="1"/>
  <c r="D242" i="2"/>
  <c r="B54" i="9" s="1"/>
  <c r="AH723" i="2"/>
  <c r="R723" i="2"/>
  <c r="Q723" i="2"/>
  <c r="AA723" i="2" s="1"/>
  <c r="P723" i="2"/>
  <c r="M723" i="2"/>
  <c r="H723" i="2"/>
  <c r="G723" i="2"/>
  <c r="F723" i="2"/>
  <c r="D723" i="2"/>
  <c r="AH702" i="2"/>
  <c r="R702" i="2"/>
  <c r="Q702" i="2"/>
  <c r="AB702" i="2" s="1"/>
  <c r="P702" i="2"/>
  <c r="M702" i="2"/>
  <c r="H702" i="2"/>
  <c r="G702" i="2"/>
  <c r="F702" i="2"/>
  <c r="D702" i="2"/>
  <c r="AJ248" i="2"/>
  <c r="P248" i="2"/>
  <c r="M248" i="2"/>
  <c r="H248" i="2"/>
  <c r="G248" i="2"/>
  <c r="F248" i="2"/>
  <c r="D53" i="9" s="1"/>
  <c r="D248" i="2"/>
  <c r="AH686" i="2"/>
  <c r="R686" i="2"/>
  <c r="Q686" i="2"/>
  <c r="Z686" i="2" s="1"/>
  <c r="P686" i="2"/>
  <c r="M686" i="2"/>
  <c r="H686" i="2"/>
  <c r="G686" i="2"/>
  <c r="F686" i="2"/>
  <c r="D686" i="2"/>
  <c r="AJ222" i="2"/>
  <c r="AN222" i="2" s="1"/>
  <c r="P222" i="2"/>
  <c r="M222" i="2"/>
  <c r="H222" i="2"/>
  <c r="G222" i="2"/>
  <c r="F222" i="2"/>
  <c r="D52" i="9" s="1"/>
  <c r="D222" i="2"/>
  <c r="B52" i="9" s="1"/>
  <c r="AH672" i="2"/>
  <c r="R672" i="2"/>
  <c r="Q672" i="2"/>
  <c r="P672" i="2"/>
  <c r="M672" i="2"/>
  <c r="H672" i="2"/>
  <c r="G672" i="2"/>
  <c r="F672" i="2"/>
  <c r="D672" i="2"/>
  <c r="AH707" i="2"/>
  <c r="R707" i="2"/>
  <c r="Q707" i="2"/>
  <c r="AD707" i="2" s="1"/>
  <c r="P707" i="2"/>
  <c r="M707" i="2"/>
  <c r="H707" i="2"/>
  <c r="G707" i="2"/>
  <c r="F707" i="2"/>
  <c r="D707" i="2"/>
  <c r="AH660" i="2"/>
  <c r="R660" i="2"/>
  <c r="Q660" i="2"/>
  <c r="AG660" i="2" s="1"/>
  <c r="P660" i="2"/>
  <c r="M660" i="2"/>
  <c r="H660" i="2"/>
  <c r="G660" i="2"/>
  <c r="F660" i="2"/>
  <c r="D660" i="2"/>
  <c r="AH687" i="2"/>
  <c r="R687" i="2"/>
  <c r="Q687" i="2"/>
  <c r="AF687" i="2" s="1"/>
  <c r="P687" i="2"/>
  <c r="M687" i="2"/>
  <c r="H687" i="2"/>
  <c r="G687" i="2"/>
  <c r="F687" i="2"/>
  <c r="D687" i="2"/>
  <c r="AH671" i="2"/>
  <c r="R671" i="2"/>
  <c r="Q671" i="2"/>
  <c r="AB671" i="2" s="1"/>
  <c r="P671" i="2"/>
  <c r="M671" i="2"/>
  <c r="H671" i="2"/>
  <c r="G671" i="2"/>
  <c r="F671" i="2"/>
  <c r="D671" i="2"/>
  <c r="AH703" i="2"/>
  <c r="R703" i="2"/>
  <c r="Q703" i="2"/>
  <c r="AF703" i="2" s="1"/>
  <c r="P703" i="2"/>
  <c r="M703" i="2"/>
  <c r="H703" i="2"/>
  <c r="G703" i="2"/>
  <c r="F703" i="2"/>
  <c r="D703" i="2"/>
  <c r="AH690" i="2"/>
  <c r="R690" i="2"/>
  <c r="Q690" i="2"/>
  <c r="P690" i="2"/>
  <c r="M690" i="2"/>
  <c r="H690" i="2"/>
  <c r="G690" i="2"/>
  <c r="F690" i="2"/>
  <c r="D690" i="2"/>
  <c r="AH693" i="2"/>
  <c r="R693" i="2"/>
  <c r="Q693" i="2"/>
  <c r="AB693" i="2" s="1"/>
  <c r="P693" i="2"/>
  <c r="M693" i="2"/>
  <c r="H693" i="2"/>
  <c r="G693" i="2"/>
  <c r="F693" i="2"/>
  <c r="D693" i="2"/>
  <c r="AH675" i="2"/>
  <c r="R675" i="2"/>
  <c r="Q675" i="2"/>
  <c r="P675" i="2"/>
  <c r="M675" i="2"/>
  <c r="H675" i="2"/>
  <c r="G675" i="2"/>
  <c r="F675" i="2"/>
  <c r="D675" i="2"/>
  <c r="AH710" i="2"/>
  <c r="R710" i="2"/>
  <c r="Q710" i="2"/>
  <c r="AG710" i="2" s="1"/>
  <c r="P710" i="2"/>
  <c r="M710" i="2"/>
  <c r="H710" i="2"/>
  <c r="G710" i="2"/>
  <c r="F710" i="2"/>
  <c r="D710" i="2"/>
  <c r="AH694" i="2"/>
  <c r="R694" i="2"/>
  <c r="Q694" i="2"/>
  <c r="AA694" i="2" s="1"/>
  <c r="P694" i="2"/>
  <c r="M694" i="2"/>
  <c r="H694" i="2"/>
  <c r="G694" i="2"/>
  <c r="F694" i="2"/>
  <c r="D694" i="2"/>
  <c r="AH709" i="2"/>
  <c r="R709" i="2"/>
  <c r="Q709" i="2"/>
  <c r="AG709" i="2" s="1"/>
  <c r="P709" i="2"/>
  <c r="M709" i="2"/>
  <c r="H709" i="2"/>
  <c r="G709" i="2"/>
  <c r="F709" i="2"/>
  <c r="D709" i="2"/>
  <c r="AH678" i="2"/>
  <c r="R678" i="2"/>
  <c r="Q678" i="2"/>
  <c r="AA678" i="2" s="1"/>
  <c r="P678" i="2"/>
  <c r="M678" i="2"/>
  <c r="H678" i="2"/>
  <c r="G678" i="2"/>
  <c r="F678" i="2"/>
  <c r="D678" i="2"/>
  <c r="AH691" i="2"/>
  <c r="R691" i="2"/>
  <c r="Q691" i="2"/>
  <c r="P691" i="2"/>
  <c r="M691" i="2"/>
  <c r="H691" i="2"/>
  <c r="G691" i="2"/>
  <c r="F691" i="2"/>
  <c r="D691" i="2"/>
  <c r="AH662" i="2"/>
  <c r="R662" i="2"/>
  <c r="Q662" i="2"/>
  <c r="P662" i="2"/>
  <c r="M662" i="2"/>
  <c r="H662" i="2"/>
  <c r="G662" i="2"/>
  <c r="F662" i="2"/>
  <c r="D662" i="2"/>
  <c r="AH692" i="2"/>
  <c r="R692" i="2"/>
  <c r="Q692" i="2"/>
  <c r="AF692" i="2" s="1"/>
  <c r="P692" i="2"/>
  <c r="M692" i="2"/>
  <c r="H692" i="2"/>
  <c r="G692" i="2"/>
  <c r="F692" i="2"/>
  <c r="D692" i="2"/>
  <c r="AJ236" i="2"/>
  <c r="AN236" i="2" s="1"/>
  <c r="P236" i="2"/>
  <c r="M236" i="2"/>
  <c r="H236" i="2"/>
  <c r="G236" i="2"/>
  <c r="F236" i="2"/>
  <c r="D51" i="9" s="1"/>
  <c r="D236" i="2"/>
  <c r="B51" i="9" s="1"/>
  <c r="AH663" i="2"/>
  <c r="R663" i="2"/>
  <c r="Q663" i="2"/>
  <c r="P663" i="2"/>
  <c r="M663" i="2"/>
  <c r="H663" i="2"/>
  <c r="G663" i="2"/>
  <c r="F663" i="2"/>
  <c r="D663" i="2"/>
  <c r="AH689" i="2"/>
  <c r="R689" i="2"/>
  <c r="Q689" i="2"/>
  <c r="AA689" i="2" s="1"/>
  <c r="P689" i="2"/>
  <c r="M689" i="2"/>
  <c r="H689" i="2"/>
  <c r="G689" i="2"/>
  <c r="F689" i="2"/>
  <c r="D689" i="2"/>
  <c r="AH699" i="2"/>
  <c r="R699" i="2"/>
  <c r="Q699" i="2"/>
  <c r="P699" i="2"/>
  <c r="AC699" i="2" s="1"/>
  <c r="M699" i="2"/>
  <c r="H699" i="2"/>
  <c r="G699" i="2"/>
  <c r="F699" i="2"/>
  <c r="D699" i="2"/>
  <c r="AH518" i="2"/>
  <c r="R518" i="2"/>
  <c r="Q518" i="2"/>
  <c r="AF518" i="2" s="1"/>
  <c r="P518" i="2"/>
  <c r="M518" i="2"/>
  <c r="H518" i="2"/>
  <c r="G518" i="2"/>
  <c r="F518" i="2"/>
  <c r="D518" i="2"/>
  <c r="AH700" i="2"/>
  <c r="R700" i="2"/>
  <c r="Q700" i="2"/>
  <c r="Z700" i="2" s="1"/>
  <c r="P700" i="2"/>
  <c r="M700" i="2"/>
  <c r="H700" i="2"/>
  <c r="G700" i="2"/>
  <c r="F700" i="2"/>
  <c r="D700" i="2"/>
  <c r="AH635" i="2"/>
  <c r="R635" i="2"/>
  <c r="Q635" i="2"/>
  <c r="AF635" i="2" s="1"/>
  <c r="P635" i="2"/>
  <c r="M635" i="2"/>
  <c r="H635" i="2"/>
  <c r="G635" i="2"/>
  <c r="F635" i="2"/>
  <c r="D635" i="2"/>
  <c r="AJ221" i="2"/>
  <c r="AM221" i="2" s="1"/>
  <c r="P221" i="2"/>
  <c r="M221" i="2"/>
  <c r="H221" i="2"/>
  <c r="G221" i="2"/>
  <c r="F221" i="2"/>
  <c r="D50" i="9" s="1"/>
  <c r="D221" i="2"/>
  <c r="B50" i="9" s="1"/>
  <c r="AH609" i="2"/>
  <c r="R609" i="2"/>
  <c r="Q609" i="2"/>
  <c r="Y609" i="2" s="1"/>
  <c r="P609" i="2"/>
  <c r="M609" i="2"/>
  <c r="H609" i="2"/>
  <c r="G609" i="2"/>
  <c r="F609" i="2"/>
  <c r="D609" i="2"/>
  <c r="AJ226" i="2"/>
  <c r="P226" i="2"/>
  <c r="M226" i="2"/>
  <c r="H226" i="2"/>
  <c r="G226" i="2"/>
  <c r="F226" i="2"/>
  <c r="D49" i="9" s="1"/>
  <c r="D226" i="2"/>
  <c r="AH711" i="2"/>
  <c r="R711" i="2"/>
  <c r="Q711" i="2"/>
  <c r="AA711" i="2" s="1"/>
  <c r="P711" i="2"/>
  <c r="M711" i="2"/>
  <c r="H711" i="2"/>
  <c r="G711" i="2"/>
  <c r="F711" i="2"/>
  <c r="D711" i="2"/>
  <c r="AH683" i="2"/>
  <c r="R683" i="2"/>
  <c r="Q683" i="2"/>
  <c r="P683" i="2"/>
  <c r="M683" i="2"/>
  <c r="H683" i="2"/>
  <c r="G683" i="2"/>
  <c r="F683" i="2"/>
  <c r="D683" i="2"/>
  <c r="AH596" i="2"/>
  <c r="R596" i="2"/>
  <c r="Q596" i="2"/>
  <c r="AD596" i="2" s="1"/>
  <c r="P596" i="2"/>
  <c r="M596" i="2"/>
  <c r="H596" i="2"/>
  <c r="G596" i="2"/>
  <c r="F596" i="2"/>
  <c r="D596" i="2"/>
  <c r="AH654" i="2"/>
  <c r="R654" i="2"/>
  <c r="Q654" i="2"/>
  <c r="AA654" i="2" s="1"/>
  <c r="P654" i="2"/>
  <c r="M654" i="2"/>
  <c r="H654" i="2"/>
  <c r="G654" i="2"/>
  <c r="F654" i="2"/>
  <c r="D654" i="2"/>
  <c r="AH673" i="2"/>
  <c r="R673" i="2"/>
  <c r="Q673" i="2"/>
  <c r="AF673" i="2" s="1"/>
  <c r="P673" i="2"/>
  <c r="M673" i="2"/>
  <c r="H673" i="2"/>
  <c r="G673" i="2"/>
  <c r="F673" i="2"/>
  <c r="D673" i="2"/>
  <c r="AH652" i="2"/>
  <c r="R652" i="2"/>
  <c r="Q652" i="2"/>
  <c r="P652" i="2"/>
  <c r="M652" i="2"/>
  <c r="H652" i="2"/>
  <c r="G652" i="2"/>
  <c r="F652" i="2"/>
  <c r="D652" i="2"/>
  <c r="AH620" i="2"/>
  <c r="R620" i="2"/>
  <c r="Q620" i="2"/>
  <c r="P620" i="2"/>
  <c r="M620" i="2"/>
  <c r="H620" i="2"/>
  <c r="G620" i="2"/>
  <c r="F620" i="2"/>
  <c r="D620" i="2"/>
  <c r="AJ229" i="2"/>
  <c r="P229" i="2"/>
  <c r="M229" i="2"/>
  <c r="H229" i="2"/>
  <c r="G229" i="2"/>
  <c r="F229" i="2"/>
  <c r="D48" i="9" s="1"/>
  <c r="D229" i="2"/>
  <c r="B48" i="9" s="1"/>
  <c r="AH688" i="2"/>
  <c r="R688" i="2"/>
  <c r="Q688" i="2"/>
  <c r="Z688" i="2" s="1"/>
  <c r="P688" i="2"/>
  <c r="M688" i="2"/>
  <c r="H688" i="2"/>
  <c r="G688" i="2"/>
  <c r="F688" i="2"/>
  <c r="D688" i="2"/>
  <c r="AH615" i="2"/>
  <c r="R615" i="2"/>
  <c r="Q615" i="2"/>
  <c r="AA615" i="2" s="1"/>
  <c r="P615" i="2"/>
  <c r="M615" i="2"/>
  <c r="H615" i="2"/>
  <c r="G615" i="2"/>
  <c r="F615" i="2"/>
  <c r="D615" i="2"/>
  <c r="AH684" i="2"/>
  <c r="R684" i="2"/>
  <c r="Q684" i="2"/>
  <c r="AG684" i="2" s="1"/>
  <c r="P684" i="2"/>
  <c r="M684" i="2"/>
  <c r="H684" i="2"/>
  <c r="G684" i="2"/>
  <c r="F684" i="2"/>
  <c r="D684" i="2"/>
  <c r="AH621" i="2"/>
  <c r="R621" i="2"/>
  <c r="Q621" i="2"/>
  <c r="AA621" i="2" s="1"/>
  <c r="P621" i="2"/>
  <c r="M621" i="2"/>
  <c r="H621" i="2"/>
  <c r="G621" i="2"/>
  <c r="F621" i="2"/>
  <c r="D621" i="2"/>
  <c r="AH668" i="2"/>
  <c r="R668" i="2"/>
  <c r="Q668" i="2"/>
  <c r="P668" i="2"/>
  <c r="M668" i="2"/>
  <c r="H668" i="2"/>
  <c r="G668" i="2"/>
  <c r="F668" i="2"/>
  <c r="D668" i="2"/>
  <c r="AH659" i="2"/>
  <c r="R659" i="2"/>
  <c r="Q659" i="2"/>
  <c r="AB659" i="2" s="1"/>
  <c r="P659" i="2"/>
  <c r="M659" i="2"/>
  <c r="H659" i="2"/>
  <c r="G659" i="2"/>
  <c r="F659" i="2"/>
  <c r="D659" i="2"/>
  <c r="AH645" i="2"/>
  <c r="R645" i="2"/>
  <c r="Q645" i="2"/>
  <c r="P645" i="2"/>
  <c r="M645" i="2"/>
  <c r="H645" i="2"/>
  <c r="G645" i="2"/>
  <c r="F645" i="2"/>
  <c r="D645" i="2"/>
  <c r="AH639" i="2"/>
  <c r="R639" i="2"/>
  <c r="Q639" i="2"/>
  <c r="AG639" i="2" s="1"/>
  <c r="P639" i="2"/>
  <c r="M639" i="2"/>
  <c r="H639" i="2"/>
  <c r="G639" i="2"/>
  <c r="F639" i="2"/>
  <c r="D639" i="2"/>
  <c r="AH682" i="2"/>
  <c r="R682" i="2"/>
  <c r="Q682" i="2"/>
  <c r="P682" i="2"/>
  <c r="M682" i="2"/>
  <c r="H682" i="2"/>
  <c r="G682" i="2"/>
  <c r="F682" i="2"/>
  <c r="D682" i="2"/>
  <c r="AJ218" i="2"/>
  <c r="P218" i="2"/>
  <c r="M218" i="2"/>
  <c r="H218" i="2"/>
  <c r="G218" i="2"/>
  <c r="F218" i="2"/>
  <c r="D47" i="9" s="1"/>
  <c r="D218" i="2"/>
  <c r="B47" i="9" s="1"/>
  <c r="AH648" i="2"/>
  <c r="R648" i="2"/>
  <c r="Q648" i="2"/>
  <c r="P648" i="2"/>
  <c r="M648" i="2"/>
  <c r="H648" i="2"/>
  <c r="G648" i="2"/>
  <c r="F648" i="2"/>
  <c r="D648" i="2"/>
  <c r="AH651" i="2"/>
  <c r="R651" i="2"/>
  <c r="Q651" i="2"/>
  <c r="AG651" i="2" s="1"/>
  <c r="P651" i="2"/>
  <c r="M651" i="2"/>
  <c r="H651" i="2"/>
  <c r="G651" i="2"/>
  <c r="F651" i="2"/>
  <c r="D651" i="2"/>
  <c r="AH631" i="2"/>
  <c r="R631" i="2"/>
  <c r="Q631" i="2"/>
  <c r="AD631" i="2" s="1"/>
  <c r="P631" i="2"/>
  <c r="M631" i="2"/>
  <c r="H631" i="2"/>
  <c r="G631" i="2"/>
  <c r="F631" i="2"/>
  <c r="D631" i="2"/>
  <c r="AH649" i="2"/>
  <c r="R649" i="2"/>
  <c r="Q649" i="2"/>
  <c r="P649" i="2"/>
  <c r="M649" i="2"/>
  <c r="H649" i="2"/>
  <c r="G649" i="2"/>
  <c r="F649" i="2"/>
  <c r="D649" i="2"/>
  <c r="AH681" i="2"/>
  <c r="R681" i="2"/>
  <c r="Q681" i="2"/>
  <c r="P681" i="2"/>
  <c r="M681" i="2"/>
  <c r="H681" i="2"/>
  <c r="G681" i="2"/>
  <c r="F681" i="2"/>
  <c r="D681" i="2"/>
  <c r="AH646" i="2"/>
  <c r="R646" i="2"/>
  <c r="Q646" i="2"/>
  <c r="P646" i="2"/>
  <c r="M646" i="2"/>
  <c r="H646" i="2"/>
  <c r="G646" i="2"/>
  <c r="F646" i="2"/>
  <c r="D646" i="2"/>
  <c r="AH664" i="2"/>
  <c r="R664" i="2"/>
  <c r="Q664" i="2"/>
  <c r="AA664" i="2" s="1"/>
  <c r="P664" i="2"/>
  <c r="M664" i="2"/>
  <c r="H664" i="2"/>
  <c r="G664" i="2"/>
  <c r="F664" i="2"/>
  <c r="D664" i="2"/>
  <c r="AH674" i="2"/>
  <c r="R674" i="2"/>
  <c r="Q674" i="2"/>
  <c r="P674" i="2"/>
  <c r="M674" i="2"/>
  <c r="H674" i="2"/>
  <c r="G674" i="2"/>
  <c r="F674" i="2"/>
  <c r="D674" i="2"/>
  <c r="AH656" i="2"/>
  <c r="R656" i="2"/>
  <c r="Q656" i="2"/>
  <c r="Z656" i="2" s="1"/>
  <c r="P656" i="2"/>
  <c r="M656" i="2"/>
  <c r="H656" i="2"/>
  <c r="G656" i="2"/>
  <c r="F656" i="2"/>
  <c r="D656" i="2"/>
  <c r="AH619" i="2"/>
  <c r="R619" i="2"/>
  <c r="Q619" i="2"/>
  <c r="Z619" i="2" s="1"/>
  <c r="P619" i="2"/>
  <c r="M619" i="2"/>
  <c r="H619" i="2"/>
  <c r="G619" i="2"/>
  <c r="F619" i="2"/>
  <c r="D619" i="2"/>
  <c r="AH633" i="2"/>
  <c r="R633" i="2"/>
  <c r="Q633" i="2"/>
  <c r="P633" i="2"/>
  <c r="M633" i="2"/>
  <c r="H633" i="2"/>
  <c r="G633" i="2"/>
  <c r="F633" i="2"/>
  <c r="D633" i="2"/>
  <c r="AH670" i="2"/>
  <c r="R670" i="2"/>
  <c r="Q670" i="2"/>
  <c r="P670" i="2"/>
  <c r="M670" i="2"/>
  <c r="H670" i="2"/>
  <c r="G670" i="2"/>
  <c r="F670" i="2"/>
  <c r="D670" i="2"/>
  <c r="AH603" i="2"/>
  <c r="R603" i="2"/>
  <c r="Q603" i="2"/>
  <c r="AA603" i="2" s="1"/>
  <c r="P603" i="2"/>
  <c r="M603" i="2"/>
  <c r="H603" i="2"/>
  <c r="G603" i="2"/>
  <c r="F603" i="2"/>
  <c r="D603" i="2"/>
  <c r="AH647" i="2"/>
  <c r="R647" i="2"/>
  <c r="Q647" i="2"/>
  <c r="AB647" i="2" s="1"/>
  <c r="P647" i="2"/>
  <c r="M647" i="2"/>
  <c r="H647" i="2"/>
  <c r="G647" i="2"/>
  <c r="F647" i="2"/>
  <c r="D647" i="2"/>
  <c r="AH636" i="2"/>
  <c r="R636" i="2"/>
  <c r="Q636" i="2"/>
  <c r="AF636" i="2" s="1"/>
  <c r="P636" i="2"/>
  <c r="M636" i="2"/>
  <c r="H636" i="2"/>
  <c r="G636" i="2"/>
  <c r="F636" i="2"/>
  <c r="D636" i="2"/>
  <c r="AH661" i="2"/>
  <c r="R661" i="2"/>
  <c r="Q661" i="2"/>
  <c r="AG661" i="2" s="1"/>
  <c r="P661" i="2"/>
  <c r="M661" i="2"/>
  <c r="H661" i="2"/>
  <c r="G661" i="2"/>
  <c r="F661" i="2"/>
  <c r="D661" i="2"/>
  <c r="AH632" i="2"/>
  <c r="R632" i="2"/>
  <c r="Q632" i="2"/>
  <c r="P632" i="2"/>
  <c r="M632" i="2"/>
  <c r="H632" i="2"/>
  <c r="G632" i="2"/>
  <c r="F632" i="2"/>
  <c r="D632" i="2"/>
  <c r="AH628" i="2"/>
  <c r="R628" i="2"/>
  <c r="Q628" i="2"/>
  <c r="Y628" i="2" s="1"/>
  <c r="P628" i="2"/>
  <c r="M628" i="2"/>
  <c r="H628" i="2"/>
  <c r="G628" i="2"/>
  <c r="F628" i="2"/>
  <c r="D628" i="2"/>
  <c r="AH576" i="2"/>
  <c r="R576" i="2"/>
  <c r="Q576" i="2"/>
  <c r="AG576" i="2" s="1"/>
  <c r="P576" i="2"/>
  <c r="M576" i="2"/>
  <c r="H576" i="2"/>
  <c r="G576" i="2"/>
  <c r="F576" i="2"/>
  <c r="D576" i="2"/>
  <c r="AH617" i="2"/>
  <c r="R617" i="2"/>
  <c r="Q617" i="2"/>
  <c r="P617" i="2"/>
  <c r="M617" i="2"/>
  <c r="H617" i="2"/>
  <c r="G617" i="2"/>
  <c r="F617" i="2"/>
  <c r="D617" i="2"/>
  <c r="AH608" i="2"/>
  <c r="R608" i="2"/>
  <c r="Q608" i="2"/>
  <c r="AA608" i="2" s="1"/>
  <c r="P608" i="2"/>
  <c r="M608" i="2"/>
  <c r="H608" i="2"/>
  <c r="G608" i="2"/>
  <c r="F608" i="2"/>
  <c r="D608" i="2"/>
  <c r="AH638" i="2"/>
  <c r="R638" i="2"/>
  <c r="Q638" i="2"/>
  <c r="P638" i="2"/>
  <c r="M638" i="2"/>
  <c r="H638" i="2"/>
  <c r="G638" i="2"/>
  <c r="F638" i="2"/>
  <c r="D638" i="2"/>
  <c r="AH655" i="2"/>
  <c r="R655" i="2"/>
  <c r="Q655" i="2"/>
  <c r="P655" i="2"/>
  <c r="M655" i="2"/>
  <c r="H655" i="2"/>
  <c r="G655" i="2"/>
  <c r="F655" i="2"/>
  <c r="D655" i="2"/>
  <c r="AH641" i="2"/>
  <c r="R641" i="2"/>
  <c r="Q641" i="2"/>
  <c r="AD641" i="2" s="1"/>
  <c r="P641" i="2"/>
  <c r="M641" i="2"/>
  <c r="H641" i="2"/>
  <c r="G641" i="2"/>
  <c r="F641" i="2"/>
  <c r="D641" i="2"/>
  <c r="AH666" i="2"/>
  <c r="R666" i="2"/>
  <c r="Q666" i="2"/>
  <c r="P666" i="2"/>
  <c r="M666" i="2"/>
  <c r="H666" i="2"/>
  <c r="G666" i="2"/>
  <c r="F666" i="2"/>
  <c r="D666" i="2"/>
  <c r="AH643" i="2"/>
  <c r="R643" i="2"/>
  <c r="Q643" i="2"/>
  <c r="AG643" i="2" s="1"/>
  <c r="P643" i="2"/>
  <c r="M643" i="2"/>
  <c r="H643" i="2"/>
  <c r="G643" i="2"/>
  <c r="F643" i="2"/>
  <c r="D643" i="2"/>
  <c r="AH565" i="2"/>
  <c r="R565" i="2"/>
  <c r="Q565" i="2"/>
  <c r="AA565" i="2" s="1"/>
  <c r="P565" i="2"/>
  <c r="M565" i="2"/>
  <c r="H565" i="2"/>
  <c r="G565" i="2"/>
  <c r="F565" i="2"/>
  <c r="D565" i="2"/>
  <c r="AH657" i="2"/>
  <c r="R657" i="2"/>
  <c r="Q657" i="2"/>
  <c r="AG657" i="2" s="1"/>
  <c r="P657" i="2"/>
  <c r="M657" i="2"/>
  <c r="H657" i="2"/>
  <c r="G657" i="2"/>
  <c r="F657" i="2"/>
  <c r="D657" i="2"/>
  <c r="AH665" i="2"/>
  <c r="R665" i="2"/>
  <c r="Q665" i="2"/>
  <c r="Y665" i="2" s="1"/>
  <c r="P665" i="2"/>
  <c r="M665" i="2"/>
  <c r="H665" i="2"/>
  <c r="G665" i="2"/>
  <c r="F665" i="2"/>
  <c r="D665" i="2"/>
  <c r="AH637" i="2"/>
  <c r="R637" i="2"/>
  <c r="Q637" i="2"/>
  <c r="Z637" i="2" s="1"/>
  <c r="P637" i="2"/>
  <c r="M637" i="2"/>
  <c r="H637" i="2"/>
  <c r="G637" i="2"/>
  <c r="F637" i="2"/>
  <c r="D637" i="2"/>
  <c r="AH600" i="2"/>
  <c r="R600" i="2"/>
  <c r="Q600" i="2"/>
  <c r="AA600" i="2" s="1"/>
  <c r="P600" i="2"/>
  <c r="M600" i="2"/>
  <c r="H600" i="2"/>
  <c r="G600" i="2"/>
  <c r="F600" i="2"/>
  <c r="D600" i="2"/>
  <c r="AH650" i="2"/>
  <c r="R650" i="2"/>
  <c r="Q650" i="2"/>
  <c r="AB650" i="2" s="1"/>
  <c r="P650" i="2"/>
  <c r="M650" i="2"/>
  <c r="H650" i="2"/>
  <c r="G650" i="2"/>
  <c r="F650" i="2"/>
  <c r="D650" i="2"/>
  <c r="AH642" i="2"/>
  <c r="R642" i="2"/>
  <c r="Q642" i="2"/>
  <c r="AA642" i="2" s="1"/>
  <c r="P642" i="2"/>
  <c r="M642" i="2"/>
  <c r="H642" i="2"/>
  <c r="G642" i="2"/>
  <c r="F642" i="2"/>
  <c r="D642" i="2"/>
  <c r="AH630" i="2"/>
  <c r="R630" i="2"/>
  <c r="Q630" i="2"/>
  <c r="P630" i="2"/>
  <c r="M630" i="2"/>
  <c r="H630" i="2"/>
  <c r="G630" i="2"/>
  <c r="F630" i="2"/>
  <c r="D630" i="2"/>
  <c r="AH561" i="2"/>
  <c r="R561" i="2"/>
  <c r="Q561" i="2"/>
  <c r="AF561" i="2" s="1"/>
  <c r="P561" i="2"/>
  <c r="M561" i="2"/>
  <c r="H561" i="2"/>
  <c r="G561" i="2"/>
  <c r="F561" i="2"/>
  <c r="D229" i="8" s="1"/>
  <c r="D561" i="2"/>
  <c r="B229" i="8" s="1"/>
  <c r="AH614" i="2"/>
  <c r="R614" i="2"/>
  <c r="Q614" i="2"/>
  <c r="P614" i="2"/>
  <c r="M614" i="2"/>
  <c r="H614" i="2"/>
  <c r="G614" i="2"/>
  <c r="F614" i="2"/>
  <c r="D614" i="2"/>
  <c r="AH640" i="2"/>
  <c r="R640" i="2"/>
  <c r="Q640" i="2"/>
  <c r="AF640" i="2" s="1"/>
  <c r="P640" i="2"/>
  <c r="M640" i="2"/>
  <c r="H640" i="2"/>
  <c r="G640" i="2"/>
  <c r="F640" i="2"/>
  <c r="D640" i="2"/>
  <c r="AH606" i="2"/>
  <c r="R606" i="2"/>
  <c r="Q606" i="2"/>
  <c r="AG606" i="2" s="1"/>
  <c r="P606" i="2"/>
  <c r="M606" i="2"/>
  <c r="H606" i="2"/>
  <c r="G606" i="2"/>
  <c r="F606" i="2"/>
  <c r="D606" i="2"/>
  <c r="AH634" i="2"/>
  <c r="R634" i="2"/>
  <c r="Q634" i="2"/>
  <c r="AD634" i="2" s="1"/>
  <c r="P634" i="2"/>
  <c r="M634" i="2"/>
  <c r="H634" i="2"/>
  <c r="G634" i="2"/>
  <c r="F634" i="2"/>
  <c r="D634" i="2"/>
  <c r="AJ216" i="2"/>
  <c r="P216" i="2"/>
  <c r="M216" i="2"/>
  <c r="H216" i="2"/>
  <c r="G216" i="2"/>
  <c r="F216" i="2"/>
  <c r="D46" i="9" s="1"/>
  <c r="D216" i="2"/>
  <c r="B46" i="9" s="1"/>
  <c r="AH564" i="2"/>
  <c r="R564" i="2"/>
  <c r="Q564" i="2"/>
  <c r="Y564" i="2" s="1"/>
  <c r="P564" i="2"/>
  <c r="M564" i="2"/>
  <c r="H564" i="2"/>
  <c r="G564" i="2"/>
  <c r="F564" i="2"/>
  <c r="D564" i="2"/>
  <c r="AH605" i="2"/>
  <c r="R605" i="2"/>
  <c r="Q605" i="2"/>
  <c r="AA605" i="2" s="1"/>
  <c r="P605" i="2"/>
  <c r="M605" i="2"/>
  <c r="H605" i="2"/>
  <c r="G605" i="2"/>
  <c r="F605" i="2"/>
  <c r="D605" i="2"/>
  <c r="AH644" i="2"/>
  <c r="R644" i="2"/>
  <c r="Q644" i="2"/>
  <c r="AA644" i="2" s="1"/>
  <c r="P644" i="2"/>
  <c r="M644" i="2"/>
  <c r="H644" i="2"/>
  <c r="G644" i="2"/>
  <c r="F644" i="2"/>
  <c r="D644" i="2"/>
  <c r="AH597" i="2"/>
  <c r="R597" i="2"/>
  <c r="Q597" i="2"/>
  <c r="AD597" i="2" s="1"/>
  <c r="P597" i="2"/>
  <c r="M597" i="2"/>
  <c r="H597" i="2"/>
  <c r="G597" i="2"/>
  <c r="F597" i="2"/>
  <c r="D597" i="2"/>
  <c r="AH595" i="2"/>
  <c r="R595" i="2"/>
  <c r="Q595" i="2"/>
  <c r="P595" i="2"/>
  <c r="M595" i="2"/>
  <c r="H595" i="2"/>
  <c r="G595" i="2"/>
  <c r="F595" i="2"/>
  <c r="D595" i="2"/>
  <c r="AH601" i="2"/>
  <c r="R601" i="2"/>
  <c r="Q601" i="2"/>
  <c r="P601" i="2"/>
  <c r="M601" i="2"/>
  <c r="H601" i="2"/>
  <c r="G601" i="2"/>
  <c r="F601" i="2"/>
  <c r="D601" i="2"/>
  <c r="AH612" i="2"/>
  <c r="R612" i="2"/>
  <c r="Q612" i="2"/>
  <c r="AG612" i="2" s="1"/>
  <c r="P612" i="2"/>
  <c r="M612" i="2"/>
  <c r="H612" i="2"/>
  <c r="G612" i="2"/>
  <c r="F612" i="2"/>
  <c r="D612" i="2"/>
  <c r="AJ204" i="2"/>
  <c r="P204" i="2"/>
  <c r="M204" i="2"/>
  <c r="H204" i="2"/>
  <c r="G204" i="2"/>
  <c r="F204" i="2"/>
  <c r="D45" i="9" s="1"/>
  <c r="D204" i="2"/>
  <c r="AH551" i="2"/>
  <c r="R551" i="2"/>
  <c r="Q551" i="2"/>
  <c r="AF551" i="2" s="1"/>
  <c r="P551" i="2"/>
  <c r="M551" i="2"/>
  <c r="H551" i="2"/>
  <c r="G551" i="2"/>
  <c r="F551" i="2"/>
  <c r="D551" i="2"/>
  <c r="AH610" i="2"/>
  <c r="R610" i="2"/>
  <c r="Q610" i="2"/>
  <c r="P610" i="2"/>
  <c r="M610" i="2"/>
  <c r="H610" i="2"/>
  <c r="G610" i="2"/>
  <c r="F610" i="2"/>
  <c r="D610" i="2"/>
  <c r="AH667" i="2"/>
  <c r="R667" i="2"/>
  <c r="Q667" i="2"/>
  <c r="AA667" i="2" s="1"/>
  <c r="P667" i="2"/>
  <c r="M667" i="2"/>
  <c r="H667" i="2"/>
  <c r="G667" i="2"/>
  <c r="F667" i="2"/>
  <c r="D667" i="2"/>
  <c r="AH613" i="2"/>
  <c r="R613" i="2"/>
  <c r="Q613" i="2"/>
  <c r="P613" i="2"/>
  <c r="M613" i="2"/>
  <c r="H613" i="2"/>
  <c r="G613" i="2"/>
  <c r="F613" i="2"/>
  <c r="D613" i="2"/>
  <c r="AH560" i="2"/>
  <c r="R560" i="2"/>
  <c r="Q560" i="2"/>
  <c r="P560" i="2"/>
  <c r="M560" i="2"/>
  <c r="H560" i="2"/>
  <c r="G560" i="2"/>
  <c r="F560" i="2"/>
  <c r="D228" i="8" s="1"/>
  <c r="D560" i="2"/>
  <c r="B228" i="8" s="1"/>
  <c r="AH598" i="2"/>
  <c r="R598" i="2"/>
  <c r="Q598" i="2"/>
  <c r="AF598" i="2" s="1"/>
  <c r="P598" i="2"/>
  <c r="M598" i="2"/>
  <c r="H598" i="2"/>
  <c r="G598" i="2"/>
  <c r="F598" i="2"/>
  <c r="D598" i="2"/>
  <c r="AH530" i="2"/>
  <c r="R530" i="2"/>
  <c r="Q530" i="2"/>
  <c r="AB530" i="2" s="1"/>
  <c r="P530" i="2"/>
  <c r="M530" i="2"/>
  <c r="H530" i="2"/>
  <c r="G530" i="2"/>
  <c r="F530" i="2"/>
  <c r="D530" i="2"/>
  <c r="AH533" i="2"/>
  <c r="R533" i="2"/>
  <c r="Q533" i="2"/>
  <c r="AF533" i="2" s="1"/>
  <c r="P533" i="2"/>
  <c r="M533" i="2"/>
  <c r="H533" i="2"/>
  <c r="G533" i="2"/>
  <c r="F533" i="2"/>
  <c r="D227" i="8" s="1"/>
  <c r="D533" i="2"/>
  <c r="B227" i="8" s="1"/>
  <c r="AH624" i="2"/>
  <c r="R624" i="2"/>
  <c r="Q624" i="2"/>
  <c r="P624" i="2"/>
  <c r="M624" i="2"/>
  <c r="H624" i="2"/>
  <c r="G624" i="2"/>
  <c r="F624" i="2"/>
  <c r="D624" i="2"/>
  <c r="AH572" i="2"/>
  <c r="R572" i="2"/>
  <c r="Q572" i="2"/>
  <c r="AA572" i="2" s="1"/>
  <c r="P572" i="2"/>
  <c r="M572" i="2"/>
  <c r="H572" i="2"/>
  <c r="G572" i="2"/>
  <c r="F572" i="2"/>
  <c r="D572" i="2"/>
  <c r="AH556" i="2"/>
  <c r="R556" i="2"/>
  <c r="Q556" i="2"/>
  <c r="AF556" i="2" s="1"/>
  <c r="P556" i="2"/>
  <c r="M556" i="2"/>
  <c r="H556" i="2"/>
  <c r="G556" i="2"/>
  <c r="F556" i="2"/>
  <c r="D556" i="2"/>
  <c r="AH618" i="2"/>
  <c r="R618" i="2"/>
  <c r="Q618" i="2"/>
  <c r="AG618" i="2" s="1"/>
  <c r="P618" i="2"/>
  <c r="M618" i="2"/>
  <c r="H618" i="2"/>
  <c r="G618" i="2"/>
  <c r="F618" i="2"/>
  <c r="D618" i="2"/>
  <c r="AH627" i="2"/>
  <c r="R627" i="2"/>
  <c r="Q627" i="2"/>
  <c r="P627" i="2"/>
  <c r="M627" i="2"/>
  <c r="H627" i="2"/>
  <c r="G627" i="2"/>
  <c r="F627" i="2"/>
  <c r="D627" i="2"/>
  <c r="AH594" i="2"/>
  <c r="R594" i="2"/>
  <c r="Q594" i="2"/>
  <c r="P594" i="2"/>
  <c r="M594" i="2"/>
  <c r="H594" i="2"/>
  <c r="G594" i="2"/>
  <c r="F594" i="2"/>
  <c r="D594" i="2"/>
  <c r="AH623" i="2"/>
  <c r="R623" i="2"/>
  <c r="Q623" i="2"/>
  <c r="AB623" i="2" s="1"/>
  <c r="P623" i="2"/>
  <c r="M623" i="2"/>
  <c r="H623" i="2"/>
  <c r="G623" i="2"/>
  <c r="F623" i="2"/>
  <c r="D623" i="2"/>
  <c r="AH573" i="2"/>
  <c r="R573" i="2"/>
  <c r="Q573" i="2"/>
  <c r="P573" i="2"/>
  <c r="M573" i="2"/>
  <c r="H573" i="2"/>
  <c r="G573" i="2"/>
  <c r="F573" i="2"/>
  <c r="D226" i="8" s="1"/>
  <c r="D573" i="2"/>
  <c r="B226" i="8" s="1"/>
  <c r="AH559" i="2"/>
  <c r="R559" i="2"/>
  <c r="Q559" i="2"/>
  <c r="AB559" i="2" s="1"/>
  <c r="P559" i="2"/>
  <c r="M559" i="2"/>
  <c r="H559" i="2"/>
  <c r="G559" i="2"/>
  <c r="F559" i="2"/>
  <c r="D559" i="2"/>
  <c r="AH523" i="2"/>
  <c r="R523" i="2"/>
  <c r="Q523" i="2"/>
  <c r="P523" i="2"/>
  <c r="M523" i="2"/>
  <c r="H523" i="2"/>
  <c r="G523" i="2"/>
  <c r="F523" i="2"/>
  <c r="D225" i="8" s="1"/>
  <c r="D523" i="2"/>
  <c r="B225" i="8" s="1"/>
  <c r="AH582" i="2"/>
  <c r="R582" i="2"/>
  <c r="Q582" i="2"/>
  <c r="P582" i="2"/>
  <c r="M582" i="2"/>
  <c r="H582" i="2"/>
  <c r="G582" i="2"/>
  <c r="F582" i="2"/>
  <c r="D582" i="2"/>
  <c r="AH593" i="2"/>
  <c r="R593" i="2"/>
  <c r="Q593" i="2"/>
  <c r="P593" i="2"/>
  <c r="M593" i="2"/>
  <c r="H593" i="2"/>
  <c r="G593" i="2"/>
  <c r="F593" i="2"/>
  <c r="D593" i="2"/>
  <c r="AH629" i="2"/>
  <c r="R629" i="2"/>
  <c r="Q629" i="2"/>
  <c r="P629" i="2"/>
  <c r="M629" i="2"/>
  <c r="H629" i="2"/>
  <c r="G629" i="2"/>
  <c r="F629" i="2"/>
  <c r="D629" i="2"/>
  <c r="AH577" i="2"/>
  <c r="R577" i="2"/>
  <c r="Q577" i="2"/>
  <c r="AG577" i="2" s="1"/>
  <c r="P577" i="2"/>
  <c r="M577" i="2"/>
  <c r="H577" i="2"/>
  <c r="G577" i="2"/>
  <c r="F577" i="2"/>
  <c r="D577" i="2"/>
  <c r="AH544" i="2"/>
  <c r="R544" i="2"/>
  <c r="Q544" i="2"/>
  <c r="P544" i="2"/>
  <c r="M544" i="2"/>
  <c r="H544" i="2"/>
  <c r="G544" i="2"/>
  <c r="F544" i="2"/>
  <c r="D544" i="2"/>
  <c r="AH425" i="2"/>
  <c r="R425" i="2"/>
  <c r="Q425" i="2"/>
  <c r="AB425" i="2" s="1"/>
  <c r="P425" i="2"/>
  <c r="M425" i="2"/>
  <c r="H425" i="2"/>
  <c r="G425" i="2"/>
  <c r="F425" i="2"/>
  <c r="D425" i="2"/>
  <c r="AH548" i="2"/>
  <c r="R548" i="2"/>
  <c r="Q548" i="2"/>
  <c r="AB548" i="2" s="1"/>
  <c r="P548" i="2"/>
  <c r="M548" i="2"/>
  <c r="H548" i="2"/>
  <c r="G548" i="2"/>
  <c r="F548" i="2"/>
  <c r="D223" i="8" s="1"/>
  <c r="D548" i="2"/>
  <c r="B223" i="8" s="1"/>
  <c r="AJ205" i="2"/>
  <c r="AM205" i="2" s="1"/>
  <c r="P205" i="2"/>
  <c r="M205" i="2"/>
  <c r="H205" i="2"/>
  <c r="G205" i="2"/>
  <c r="F205" i="2"/>
  <c r="D44" i="9" s="1"/>
  <c r="D205" i="2"/>
  <c r="B44" i="9" s="1"/>
  <c r="AH542" i="2"/>
  <c r="R542" i="2"/>
  <c r="Q542" i="2"/>
  <c r="P542" i="2"/>
  <c r="M542" i="2"/>
  <c r="H542" i="2"/>
  <c r="G542" i="2"/>
  <c r="F542" i="2"/>
  <c r="D542" i="2"/>
  <c r="AH554" i="2"/>
  <c r="R554" i="2"/>
  <c r="Q554" i="2"/>
  <c r="P554" i="2"/>
  <c r="M554" i="2"/>
  <c r="H554" i="2"/>
  <c r="G554" i="2"/>
  <c r="F554" i="2"/>
  <c r="D222" i="8" s="1"/>
  <c r="D554" i="2"/>
  <c r="AH592" i="2"/>
  <c r="R592" i="2"/>
  <c r="Q592" i="2"/>
  <c r="Z592" i="2" s="1"/>
  <c r="P592" i="2"/>
  <c r="M592" i="2"/>
  <c r="H592" i="2"/>
  <c r="G592" i="2"/>
  <c r="F592" i="2"/>
  <c r="D592" i="2"/>
  <c r="AH626" i="2"/>
  <c r="R626" i="2"/>
  <c r="Q626" i="2"/>
  <c r="P626" i="2"/>
  <c r="M626" i="2"/>
  <c r="H626" i="2"/>
  <c r="G626" i="2"/>
  <c r="F626" i="2"/>
  <c r="D626" i="2"/>
  <c r="AH403" i="2"/>
  <c r="R403" i="2"/>
  <c r="Q403" i="2"/>
  <c r="P403" i="2"/>
  <c r="M403" i="2"/>
  <c r="H403" i="2"/>
  <c r="G403" i="2"/>
  <c r="F403" i="2"/>
  <c r="D403" i="2"/>
  <c r="AH536" i="2"/>
  <c r="R536" i="2"/>
  <c r="Q536" i="2"/>
  <c r="AD536" i="2" s="1"/>
  <c r="P536" i="2"/>
  <c r="M536" i="2"/>
  <c r="H536" i="2"/>
  <c r="G536" i="2"/>
  <c r="F536" i="2"/>
  <c r="D221" i="8" s="1"/>
  <c r="D536" i="2"/>
  <c r="B221" i="8" s="1"/>
  <c r="AH616" i="2"/>
  <c r="R616" i="2"/>
  <c r="Q616" i="2"/>
  <c r="P616" i="2"/>
  <c r="M616" i="2"/>
  <c r="H616" i="2"/>
  <c r="G616" i="2"/>
  <c r="F616" i="2"/>
  <c r="D616" i="2"/>
  <c r="AH607" i="2"/>
  <c r="R607" i="2"/>
  <c r="Q607" i="2"/>
  <c r="AB607" i="2" s="1"/>
  <c r="P607" i="2"/>
  <c r="M607" i="2"/>
  <c r="H607" i="2"/>
  <c r="G607" i="2"/>
  <c r="F607" i="2"/>
  <c r="D607" i="2"/>
  <c r="AH622" i="2"/>
  <c r="R622" i="2"/>
  <c r="Q622" i="2"/>
  <c r="P622" i="2"/>
  <c r="M622" i="2"/>
  <c r="H622" i="2"/>
  <c r="G622" i="2"/>
  <c r="F622" i="2"/>
  <c r="D622" i="2"/>
  <c r="AH611" i="2"/>
  <c r="R611" i="2"/>
  <c r="Q611" i="2"/>
  <c r="AF611" i="2" s="1"/>
  <c r="P611" i="2"/>
  <c r="M611" i="2"/>
  <c r="H611" i="2"/>
  <c r="G611" i="2"/>
  <c r="F611" i="2"/>
  <c r="D611" i="2"/>
  <c r="AJ182" i="2"/>
  <c r="P182" i="2"/>
  <c r="M182" i="2"/>
  <c r="H182" i="2"/>
  <c r="G182" i="2"/>
  <c r="F182" i="2"/>
  <c r="D43" i="9" s="1"/>
  <c r="D182" i="2"/>
  <c r="AH558" i="2"/>
  <c r="R558" i="2"/>
  <c r="Q558" i="2"/>
  <c r="Z558" i="2" s="1"/>
  <c r="P558" i="2"/>
  <c r="M558" i="2"/>
  <c r="H558" i="2"/>
  <c r="G558" i="2"/>
  <c r="F558" i="2"/>
  <c r="D558" i="2"/>
  <c r="AH493" i="2"/>
  <c r="R493" i="2"/>
  <c r="Q493" i="2"/>
  <c r="P493" i="2"/>
  <c r="M493" i="2"/>
  <c r="H493" i="2"/>
  <c r="G493" i="2"/>
  <c r="F493" i="2"/>
  <c r="D220" i="8" s="1"/>
  <c r="D493" i="2"/>
  <c r="AH478" i="2"/>
  <c r="R478" i="2"/>
  <c r="Q478" i="2"/>
  <c r="AA478" i="2" s="1"/>
  <c r="P478" i="2"/>
  <c r="M478" i="2"/>
  <c r="H478" i="2"/>
  <c r="G478" i="2"/>
  <c r="F478" i="2"/>
  <c r="D219" i="8" s="1"/>
  <c r="D478" i="2"/>
  <c r="B219" i="8" s="1"/>
  <c r="AH563" i="2"/>
  <c r="R563" i="2"/>
  <c r="Q563" i="2"/>
  <c r="P563" i="2"/>
  <c r="M563" i="2"/>
  <c r="H563" i="2"/>
  <c r="G563" i="2"/>
  <c r="F563" i="2"/>
  <c r="D563" i="2"/>
  <c r="AH625" i="2"/>
  <c r="R625" i="2"/>
  <c r="Q625" i="2"/>
  <c r="P625" i="2"/>
  <c r="M625" i="2"/>
  <c r="H625" i="2"/>
  <c r="G625" i="2"/>
  <c r="F625" i="2"/>
  <c r="D625" i="2"/>
  <c r="AH580" i="2"/>
  <c r="R580" i="2"/>
  <c r="Q580" i="2"/>
  <c r="AA580" i="2" s="1"/>
  <c r="P580" i="2"/>
  <c r="M580" i="2"/>
  <c r="H580" i="2"/>
  <c r="G580" i="2"/>
  <c r="F580" i="2"/>
  <c r="D580" i="2"/>
  <c r="AH510" i="2"/>
  <c r="R510" i="2"/>
  <c r="Q510" i="2"/>
  <c r="P510" i="2"/>
  <c r="M510" i="2"/>
  <c r="H510" i="2"/>
  <c r="G510" i="2"/>
  <c r="F510" i="2"/>
  <c r="D218" i="8" s="1"/>
  <c r="D510" i="2"/>
  <c r="AH599" i="2"/>
  <c r="R599" i="2"/>
  <c r="Q599" i="2"/>
  <c r="AD599" i="2" s="1"/>
  <c r="P599" i="2"/>
  <c r="M599" i="2"/>
  <c r="H599" i="2"/>
  <c r="G599" i="2"/>
  <c r="F599" i="2"/>
  <c r="D599" i="2"/>
  <c r="AH562" i="2"/>
  <c r="R562" i="2"/>
  <c r="Q562" i="2"/>
  <c r="P562" i="2"/>
  <c r="M562" i="2"/>
  <c r="H562" i="2"/>
  <c r="G562" i="2"/>
  <c r="F562" i="2"/>
  <c r="D217" i="8" s="1"/>
  <c r="D562" i="2"/>
  <c r="AH587" i="2"/>
  <c r="R587" i="2"/>
  <c r="Q587" i="2"/>
  <c r="AF587" i="2" s="1"/>
  <c r="P587" i="2"/>
  <c r="M587" i="2"/>
  <c r="H587" i="2"/>
  <c r="G587" i="2"/>
  <c r="F587" i="2"/>
  <c r="D587" i="2"/>
  <c r="AH539" i="2"/>
  <c r="R539" i="2"/>
  <c r="Q539" i="2"/>
  <c r="Y539" i="2" s="1"/>
  <c r="P539" i="2"/>
  <c r="M539" i="2"/>
  <c r="H539" i="2"/>
  <c r="G539" i="2"/>
  <c r="F539" i="2"/>
  <c r="D216" i="8" s="1"/>
  <c r="D539" i="2"/>
  <c r="B216" i="8" s="1"/>
  <c r="AH604" i="2"/>
  <c r="R604" i="2"/>
  <c r="Q604" i="2"/>
  <c r="AG604" i="2" s="1"/>
  <c r="P604" i="2"/>
  <c r="M604" i="2"/>
  <c r="H604" i="2"/>
  <c r="G604" i="2"/>
  <c r="F604" i="2"/>
  <c r="D604" i="2"/>
  <c r="AH524" i="2"/>
  <c r="R524" i="2"/>
  <c r="Q524" i="2"/>
  <c r="AD524" i="2" s="1"/>
  <c r="P524" i="2"/>
  <c r="M524" i="2"/>
  <c r="H524" i="2"/>
  <c r="G524" i="2"/>
  <c r="F524" i="2"/>
  <c r="D215" i="8" s="1"/>
  <c r="D524" i="2"/>
  <c r="B215" i="8" s="1"/>
  <c r="AH570" i="2"/>
  <c r="R570" i="2"/>
  <c r="Q570" i="2"/>
  <c r="P570" i="2"/>
  <c r="M570" i="2"/>
  <c r="H570" i="2"/>
  <c r="G570" i="2"/>
  <c r="F570" i="2"/>
  <c r="D570" i="2"/>
  <c r="AH546" i="2"/>
  <c r="R546" i="2"/>
  <c r="Q546" i="2"/>
  <c r="P546" i="2"/>
  <c r="M546" i="2"/>
  <c r="H546" i="2"/>
  <c r="G546" i="2"/>
  <c r="F546" i="2"/>
  <c r="D214" i="8" s="1"/>
  <c r="D546" i="2"/>
  <c r="AH571" i="2"/>
  <c r="R571" i="2"/>
  <c r="Q571" i="2"/>
  <c r="P571" i="2"/>
  <c r="M571" i="2"/>
  <c r="H571" i="2"/>
  <c r="G571" i="2"/>
  <c r="F571" i="2"/>
  <c r="D571" i="2"/>
  <c r="AH520" i="2"/>
  <c r="R520" i="2"/>
  <c r="Q520" i="2"/>
  <c r="P520" i="2"/>
  <c r="M520" i="2"/>
  <c r="H520" i="2"/>
  <c r="G520" i="2"/>
  <c r="F520" i="2"/>
  <c r="D213" i="8" s="1"/>
  <c r="D520" i="2"/>
  <c r="B213" i="8" s="1"/>
  <c r="AH502" i="2"/>
  <c r="R502" i="2"/>
  <c r="Q502" i="2"/>
  <c r="P502" i="2"/>
  <c r="M502" i="2"/>
  <c r="H502" i="2"/>
  <c r="G502" i="2"/>
  <c r="F502" i="2"/>
  <c r="D212" i="8" s="1"/>
  <c r="D502" i="2"/>
  <c r="B212" i="8" s="1"/>
  <c r="AH566" i="2"/>
  <c r="R566" i="2"/>
  <c r="Q566" i="2"/>
  <c r="AD566" i="2" s="1"/>
  <c r="P566" i="2"/>
  <c r="M566" i="2"/>
  <c r="H566" i="2"/>
  <c r="G566" i="2"/>
  <c r="F566" i="2"/>
  <c r="D566" i="2"/>
  <c r="AH581" i="2"/>
  <c r="R581" i="2"/>
  <c r="Q581" i="2"/>
  <c r="P581" i="2"/>
  <c r="M581" i="2"/>
  <c r="H581" i="2"/>
  <c r="G581" i="2"/>
  <c r="F581" i="2"/>
  <c r="D581" i="2"/>
  <c r="AH586" i="2"/>
  <c r="R586" i="2"/>
  <c r="Q586" i="2"/>
  <c r="AG586" i="2" s="1"/>
  <c r="P586" i="2"/>
  <c r="M586" i="2"/>
  <c r="H586" i="2"/>
  <c r="G586" i="2"/>
  <c r="F586" i="2"/>
  <c r="D586" i="2"/>
  <c r="AH485" i="2"/>
  <c r="R485" i="2"/>
  <c r="Q485" i="2"/>
  <c r="P485" i="2"/>
  <c r="M485" i="2"/>
  <c r="H485" i="2"/>
  <c r="G485" i="2"/>
  <c r="F485" i="2"/>
  <c r="D211" i="8" s="1"/>
  <c r="D485" i="2"/>
  <c r="AH532" i="2"/>
  <c r="R532" i="2"/>
  <c r="Q532" i="2"/>
  <c r="AB532" i="2" s="1"/>
  <c r="P532" i="2"/>
  <c r="M532" i="2"/>
  <c r="H532" i="2"/>
  <c r="G532" i="2"/>
  <c r="F532" i="2"/>
  <c r="D532" i="2"/>
  <c r="AH585" i="2"/>
  <c r="R585" i="2"/>
  <c r="Q585" i="2"/>
  <c r="P585" i="2"/>
  <c r="M585" i="2"/>
  <c r="H585" i="2"/>
  <c r="G585" i="2"/>
  <c r="F585" i="2"/>
  <c r="D585" i="2"/>
  <c r="AH588" i="2"/>
  <c r="R588" i="2"/>
  <c r="Q588" i="2"/>
  <c r="AA588" i="2" s="1"/>
  <c r="P588" i="2"/>
  <c r="M588" i="2"/>
  <c r="H588" i="2"/>
  <c r="G588" i="2"/>
  <c r="F588" i="2"/>
  <c r="D588" i="2"/>
  <c r="AH590" i="2"/>
  <c r="R590" i="2"/>
  <c r="Q590" i="2"/>
  <c r="P590" i="2"/>
  <c r="M590" i="2"/>
  <c r="H590" i="2"/>
  <c r="G590" i="2"/>
  <c r="F590" i="2"/>
  <c r="D590" i="2"/>
  <c r="AH515" i="2"/>
  <c r="R515" i="2"/>
  <c r="Q515" i="2"/>
  <c r="P515" i="2"/>
  <c r="M515" i="2"/>
  <c r="H515" i="2"/>
  <c r="G515" i="2"/>
  <c r="F515" i="2"/>
  <c r="D210" i="8" s="1"/>
  <c r="D515" i="2"/>
  <c r="B210" i="8" s="1"/>
  <c r="AH528" i="2"/>
  <c r="R528" i="2"/>
  <c r="Q528" i="2"/>
  <c r="AF528" i="2" s="1"/>
  <c r="P528" i="2"/>
  <c r="M528" i="2"/>
  <c r="H528" i="2"/>
  <c r="G528" i="2"/>
  <c r="F528" i="2"/>
  <c r="D209" i="8" s="1"/>
  <c r="D528" i="2"/>
  <c r="B209" i="8" s="1"/>
  <c r="AH602" i="2"/>
  <c r="R602" i="2"/>
  <c r="Q602" i="2"/>
  <c r="AF602" i="2" s="1"/>
  <c r="P602" i="2"/>
  <c r="M602" i="2"/>
  <c r="H602" i="2"/>
  <c r="G602" i="2"/>
  <c r="F602" i="2"/>
  <c r="D602" i="2"/>
  <c r="AH488" i="2"/>
  <c r="R488" i="2"/>
  <c r="Q488" i="2"/>
  <c r="P488" i="2"/>
  <c r="M488" i="2"/>
  <c r="H488" i="2"/>
  <c r="G488" i="2"/>
  <c r="F488" i="2"/>
  <c r="D208" i="8" s="1"/>
  <c r="D488" i="2"/>
  <c r="B208" i="8" s="1"/>
  <c r="AH535" i="2"/>
  <c r="R535" i="2"/>
  <c r="Q535" i="2"/>
  <c r="P535" i="2"/>
  <c r="M535" i="2"/>
  <c r="H535" i="2"/>
  <c r="G535" i="2"/>
  <c r="F535" i="2"/>
  <c r="D535" i="2"/>
  <c r="AH579" i="2"/>
  <c r="R579" i="2"/>
  <c r="Q579" i="2"/>
  <c r="AA579" i="2" s="1"/>
  <c r="P579" i="2"/>
  <c r="M579" i="2"/>
  <c r="H579" i="2"/>
  <c r="G579" i="2"/>
  <c r="F579" i="2"/>
  <c r="D579" i="2"/>
  <c r="AH567" i="2"/>
  <c r="R567" i="2"/>
  <c r="Q567" i="2"/>
  <c r="P567" i="2"/>
  <c r="M567" i="2"/>
  <c r="H567" i="2"/>
  <c r="G567" i="2"/>
  <c r="F567" i="2"/>
  <c r="D567" i="2"/>
  <c r="AH534" i="2"/>
  <c r="R534" i="2"/>
  <c r="Q534" i="2"/>
  <c r="Z534" i="2" s="1"/>
  <c r="P534" i="2"/>
  <c r="M534" i="2"/>
  <c r="H534" i="2"/>
  <c r="G534" i="2"/>
  <c r="F534" i="2"/>
  <c r="D207" i="8" s="1"/>
  <c r="D534" i="2"/>
  <c r="AJ176" i="2"/>
  <c r="P176" i="2"/>
  <c r="M176" i="2"/>
  <c r="H176" i="2"/>
  <c r="G176" i="2"/>
  <c r="F176" i="2"/>
  <c r="D42" i="9" s="1"/>
  <c r="D176" i="2"/>
  <c r="B42" i="9" s="1"/>
  <c r="AH589" i="2"/>
  <c r="R589" i="2"/>
  <c r="Q589" i="2"/>
  <c r="Z589" i="2" s="1"/>
  <c r="P589" i="2"/>
  <c r="M589" i="2"/>
  <c r="H589" i="2"/>
  <c r="G589" i="2"/>
  <c r="F589" i="2"/>
  <c r="D589" i="2"/>
  <c r="AH591" i="2"/>
  <c r="R591" i="2"/>
  <c r="Q591" i="2"/>
  <c r="AD591" i="2" s="1"/>
  <c r="P591" i="2"/>
  <c r="M591" i="2"/>
  <c r="H591" i="2"/>
  <c r="G591" i="2"/>
  <c r="F591" i="2"/>
  <c r="D591" i="2"/>
  <c r="AH436" i="2"/>
  <c r="R436" i="2"/>
  <c r="Q436" i="2"/>
  <c r="P436" i="2"/>
  <c r="M436" i="2"/>
  <c r="H436" i="2"/>
  <c r="G436" i="2"/>
  <c r="F436" i="2"/>
  <c r="D206" i="8" s="1"/>
  <c r="D436" i="2"/>
  <c r="B206" i="8" s="1"/>
  <c r="AH418" i="2"/>
  <c r="R418" i="2"/>
  <c r="Q418" i="2"/>
  <c r="P418" i="2"/>
  <c r="M418" i="2"/>
  <c r="H418" i="2"/>
  <c r="G418" i="2"/>
  <c r="F418" i="2"/>
  <c r="D205" i="8" s="1"/>
  <c r="D418" i="2"/>
  <c r="B205" i="8" s="1"/>
  <c r="AH578" i="2"/>
  <c r="R578" i="2"/>
  <c r="Q578" i="2"/>
  <c r="P578" i="2"/>
  <c r="M578" i="2"/>
  <c r="H578" i="2"/>
  <c r="G578" i="2"/>
  <c r="F578" i="2"/>
  <c r="D578" i="2"/>
  <c r="AJ193" i="2"/>
  <c r="P193" i="2"/>
  <c r="M193" i="2"/>
  <c r="H193" i="2"/>
  <c r="G193" i="2"/>
  <c r="F193" i="2"/>
  <c r="D41" i="9" s="1"/>
  <c r="D193" i="2"/>
  <c r="AH557" i="2"/>
  <c r="R557" i="2"/>
  <c r="Q557" i="2"/>
  <c r="Z557" i="2" s="1"/>
  <c r="P557" i="2"/>
  <c r="M557" i="2"/>
  <c r="H557" i="2"/>
  <c r="G557" i="2"/>
  <c r="F557" i="2"/>
  <c r="D557" i="2"/>
  <c r="AJ181" i="2"/>
  <c r="P181" i="2"/>
  <c r="M181" i="2"/>
  <c r="H181" i="2"/>
  <c r="G181" i="2"/>
  <c r="F181" i="2"/>
  <c r="D40" i="9" s="1"/>
  <c r="D181" i="2"/>
  <c r="B40" i="9" s="1"/>
  <c r="AH547" i="2"/>
  <c r="R547" i="2"/>
  <c r="Q547" i="2"/>
  <c r="P547" i="2"/>
  <c r="M547" i="2"/>
  <c r="H547" i="2"/>
  <c r="G547" i="2"/>
  <c r="F547" i="2"/>
  <c r="D204" i="8" s="1"/>
  <c r="D547" i="2"/>
  <c r="B204" i="8" s="1"/>
  <c r="AJ188" i="2"/>
  <c r="P188" i="2"/>
  <c r="M188" i="2"/>
  <c r="H188" i="2"/>
  <c r="G188" i="2"/>
  <c r="F188" i="2"/>
  <c r="D39" i="9" s="1"/>
  <c r="D188" i="2"/>
  <c r="B39" i="9" s="1"/>
  <c r="AH507" i="2"/>
  <c r="R507" i="2"/>
  <c r="Q507" i="2"/>
  <c r="P507" i="2"/>
  <c r="M507" i="2"/>
  <c r="H507" i="2"/>
  <c r="G507" i="2"/>
  <c r="F507" i="2"/>
  <c r="D203" i="8" s="1"/>
  <c r="D507" i="2"/>
  <c r="B203" i="8" s="1"/>
  <c r="AH525" i="2"/>
  <c r="R525" i="2"/>
  <c r="Q525" i="2"/>
  <c r="P525" i="2"/>
  <c r="M525" i="2"/>
  <c r="H525" i="2"/>
  <c r="G525" i="2"/>
  <c r="F525" i="2"/>
  <c r="D202" i="8" s="1"/>
  <c r="D525" i="2"/>
  <c r="B202" i="8" s="1"/>
  <c r="AH499" i="2"/>
  <c r="R499" i="2"/>
  <c r="Q499" i="2"/>
  <c r="P499" i="2"/>
  <c r="M499" i="2"/>
  <c r="H499" i="2"/>
  <c r="G499" i="2"/>
  <c r="F499" i="2"/>
  <c r="D201" i="8" s="1"/>
  <c r="D499" i="2"/>
  <c r="AH549" i="2"/>
  <c r="R549" i="2"/>
  <c r="Q549" i="2"/>
  <c r="Y549" i="2" s="1"/>
  <c r="P549" i="2"/>
  <c r="M549" i="2"/>
  <c r="H549" i="2"/>
  <c r="G549" i="2"/>
  <c r="F549" i="2"/>
  <c r="D200" i="8" s="1"/>
  <c r="D549" i="2"/>
  <c r="AH575" i="2"/>
  <c r="R575" i="2"/>
  <c r="Q575" i="2"/>
  <c r="Z575" i="2" s="1"/>
  <c r="P575" i="2"/>
  <c r="M575" i="2"/>
  <c r="H575" i="2"/>
  <c r="G575" i="2"/>
  <c r="F575" i="2"/>
  <c r="D575" i="2"/>
  <c r="AH501" i="2"/>
  <c r="R501" i="2"/>
  <c r="Q501" i="2"/>
  <c r="P501" i="2"/>
  <c r="M501" i="2"/>
  <c r="H501" i="2"/>
  <c r="G501" i="2"/>
  <c r="F501" i="2"/>
  <c r="D199" i="8" s="1"/>
  <c r="D501" i="2"/>
  <c r="AH495" i="2"/>
  <c r="R495" i="2"/>
  <c r="Q495" i="2"/>
  <c r="P495" i="2"/>
  <c r="M495" i="2"/>
  <c r="H495" i="2"/>
  <c r="G495" i="2"/>
  <c r="F495" i="2"/>
  <c r="D198" i="8" s="1"/>
  <c r="D495" i="2"/>
  <c r="B198" i="8" s="1"/>
  <c r="AH441" i="2"/>
  <c r="R441" i="2"/>
  <c r="Q441" i="2"/>
  <c r="P441" i="2"/>
  <c r="M441" i="2"/>
  <c r="H441" i="2"/>
  <c r="G441" i="2"/>
  <c r="F441" i="2"/>
  <c r="D197" i="8" s="1"/>
  <c r="D441" i="2"/>
  <c r="B197" i="8" s="1"/>
  <c r="AH522" i="2"/>
  <c r="R522" i="2"/>
  <c r="Q522" i="2"/>
  <c r="AF522" i="2" s="1"/>
  <c r="P522" i="2"/>
  <c r="M522" i="2"/>
  <c r="H522" i="2"/>
  <c r="G522" i="2"/>
  <c r="F522" i="2"/>
  <c r="D196" i="8" s="1"/>
  <c r="D522" i="2"/>
  <c r="B196" i="8" s="1"/>
  <c r="AH509" i="2"/>
  <c r="R509" i="2"/>
  <c r="Q509" i="2"/>
  <c r="AG509" i="2" s="1"/>
  <c r="P509" i="2"/>
  <c r="M509" i="2"/>
  <c r="H509" i="2"/>
  <c r="G509" i="2"/>
  <c r="F509" i="2"/>
  <c r="D195" i="8" s="1"/>
  <c r="D509" i="2"/>
  <c r="B195" i="8" s="1"/>
  <c r="AH514" i="2"/>
  <c r="R514" i="2"/>
  <c r="Q514" i="2"/>
  <c r="P514" i="2"/>
  <c r="M514" i="2"/>
  <c r="H514" i="2"/>
  <c r="G514" i="2"/>
  <c r="F514" i="2"/>
  <c r="D194" i="8" s="1"/>
  <c r="D514" i="2"/>
  <c r="B194" i="8" s="1"/>
  <c r="AH537" i="2"/>
  <c r="R537" i="2"/>
  <c r="Q537" i="2"/>
  <c r="AD537" i="2" s="1"/>
  <c r="P537" i="2"/>
  <c r="M537" i="2"/>
  <c r="H537" i="2"/>
  <c r="G537" i="2"/>
  <c r="F537" i="2"/>
  <c r="D193" i="8" s="1"/>
  <c r="D537" i="2"/>
  <c r="B193" i="8" s="1"/>
  <c r="AH429" i="2"/>
  <c r="R429" i="2"/>
  <c r="Q429" i="2"/>
  <c r="P429" i="2"/>
  <c r="M429" i="2"/>
  <c r="H429" i="2"/>
  <c r="G429" i="2"/>
  <c r="F429" i="2"/>
  <c r="D192" i="8" s="1"/>
  <c r="D429" i="2"/>
  <c r="AH538" i="2"/>
  <c r="R538" i="2"/>
  <c r="Q538" i="2"/>
  <c r="P538" i="2"/>
  <c r="M538" i="2"/>
  <c r="H538" i="2"/>
  <c r="G538" i="2"/>
  <c r="F538" i="2"/>
  <c r="D191" i="8" s="1"/>
  <c r="D538" i="2"/>
  <c r="AH583" i="2"/>
  <c r="R583" i="2"/>
  <c r="Q583" i="2"/>
  <c r="P583" i="2"/>
  <c r="M583" i="2"/>
  <c r="H583" i="2"/>
  <c r="G583" i="2"/>
  <c r="F583" i="2"/>
  <c r="D583" i="2"/>
  <c r="AH545" i="2"/>
  <c r="R545" i="2"/>
  <c r="Q545" i="2"/>
  <c r="Y545" i="2" s="1"/>
  <c r="P545" i="2"/>
  <c r="M545" i="2"/>
  <c r="H545" i="2"/>
  <c r="G545" i="2"/>
  <c r="F545" i="2"/>
  <c r="D545" i="2"/>
  <c r="AH352" i="2"/>
  <c r="R352" i="2"/>
  <c r="Q352" i="2"/>
  <c r="Z352" i="2" s="1"/>
  <c r="P352" i="2"/>
  <c r="M352" i="2"/>
  <c r="H352" i="2"/>
  <c r="G352" i="2"/>
  <c r="F352" i="2"/>
  <c r="D190" i="8" s="1"/>
  <c r="D352" i="2"/>
  <c r="B190" i="8" s="1"/>
  <c r="AH504" i="2"/>
  <c r="R504" i="2"/>
  <c r="Q504" i="2"/>
  <c r="P504" i="2"/>
  <c r="M504" i="2"/>
  <c r="H504" i="2"/>
  <c r="G504" i="2"/>
  <c r="F504" i="2"/>
  <c r="D189" i="8" s="1"/>
  <c r="D504" i="2"/>
  <c r="B189" i="8" s="1"/>
  <c r="AH376" i="2"/>
  <c r="R376" i="2"/>
  <c r="Q376" i="2"/>
  <c r="P376" i="2"/>
  <c r="M376" i="2"/>
  <c r="H376" i="2"/>
  <c r="G376" i="2"/>
  <c r="F376" i="2"/>
  <c r="D376" i="2"/>
  <c r="AH553" i="2"/>
  <c r="R553" i="2"/>
  <c r="Q553" i="2"/>
  <c r="AB553" i="2" s="1"/>
  <c r="P553" i="2"/>
  <c r="M553" i="2"/>
  <c r="H553" i="2"/>
  <c r="G553" i="2"/>
  <c r="F553" i="2"/>
  <c r="D553" i="2"/>
  <c r="AH574" i="2"/>
  <c r="R574" i="2"/>
  <c r="Q574" i="2"/>
  <c r="P574" i="2"/>
  <c r="M574" i="2"/>
  <c r="H574" i="2"/>
  <c r="G574" i="2"/>
  <c r="F574" i="2"/>
  <c r="D574" i="2"/>
  <c r="AH527" i="2"/>
  <c r="R527" i="2"/>
  <c r="Q527" i="2"/>
  <c r="P527" i="2"/>
  <c r="M527" i="2"/>
  <c r="H527" i="2"/>
  <c r="G527" i="2"/>
  <c r="F527" i="2"/>
  <c r="D188" i="8" s="1"/>
  <c r="D527" i="2"/>
  <c r="B188" i="8" s="1"/>
  <c r="AJ180" i="2"/>
  <c r="I287" i="3" s="1"/>
  <c r="P180" i="2"/>
  <c r="M180" i="2"/>
  <c r="H180" i="2"/>
  <c r="G180" i="2"/>
  <c r="E287" i="3" s="1"/>
  <c r="F180" i="2"/>
  <c r="D180" i="2"/>
  <c r="B287" i="3" s="1"/>
  <c r="AJ190" i="2"/>
  <c r="P190" i="2"/>
  <c r="M190" i="2"/>
  <c r="H190" i="2"/>
  <c r="G190" i="2"/>
  <c r="F190" i="2"/>
  <c r="D37" i="9" s="1"/>
  <c r="D190" i="2"/>
  <c r="AH584" i="2"/>
  <c r="R584" i="2"/>
  <c r="Q584" i="2"/>
  <c r="AD584" i="2" s="1"/>
  <c r="P584" i="2"/>
  <c r="M584" i="2"/>
  <c r="H584" i="2"/>
  <c r="G584" i="2"/>
  <c r="F584" i="2"/>
  <c r="D584" i="2"/>
  <c r="AH512" i="2"/>
  <c r="R512" i="2"/>
  <c r="Q512" i="2"/>
  <c r="AB512" i="2" s="1"/>
  <c r="P512" i="2"/>
  <c r="M512" i="2"/>
  <c r="H512" i="2"/>
  <c r="G512" i="2"/>
  <c r="F512" i="2"/>
  <c r="D512" i="2"/>
  <c r="AH415" i="2"/>
  <c r="R415" i="2"/>
  <c r="Q415" i="2"/>
  <c r="AF415" i="2" s="1"/>
  <c r="P415" i="2"/>
  <c r="M415" i="2"/>
  <c r="H415" i="2"/>
  <c r="G415" i="2"/>
  <c r="F415" i="2"/>
  <c r="D187" i="8" s="1"/>
  <c r="D415" i="2"/>
  <c r="B187" i="8" s="1"/>
  <c r="AH481" i="2"/>
  <c r="R481" i="2"/>
  <c r="Q481" i="2"/>
  <c r="P481" i="2"/>
  <c r="M481" i="2"/>
  <c r="H481" i="2"/>
  <c r="G481" i="2"/>
  <c r="F481" i="2"/>
  <c r="D186" i="8" s="1"/>
  <c r="D481" i="2"/>
  <c r="B186" i="8" s="1"/>
  <c r="AH568" i="2"/>
  <c r="R568" i="2"/>
  <c r="Q568" i="2"/>
  <c r="AG568" i="2" s="1"/>
  <c r="P568" i="2"/>
  <c r="M568" i="2"/>
  <c r="H568" i="2"/>
  <c r="G568" i="2"/>
  <c r="F568" i="2"/>
  <c r="D568" i="2"/>
  <c r="AH569" i="2"/>
  <c r="R569" i="2"/>
  <c r="Q569" i="2"/>
  <c r="AF569" i="2" s="1"/>
  <c r="P569" i="2"/>
  <c r="M569" i="2"/>
  <c r="H569" i="2"/>
  <c r="G569" i="2"/>
  <c r="F569" i="2"/>
  <c r="D569" i="2"/>
  <c r="AH552" i="2"/>
  <c r="R552" i="2"/>
  <c r="Q552" i="2"/>
  <c r="P552" i="2"/>
  <c r="M552" i="2"/>
  <c r="H552" i="2"/>
  <c r="G552" i="2"/>
  <c r="F552" i="2"/>
  <c r="D552" i="2"/>
  <c r="AH513" i="2"/>
  <c r="R513" i="2"/>
  <c r="Q513" i="2"/>
  <c r="P513" i="2"/>
  <c r="M513" i="2"/>
  <c r="H513" i="2"/>
  <c r="G513" i="2"/>
  <c r="F513" i="2"/>
  <c r="D185" i="8" s="1"/>
  <c r="D513" i="2"/>
  <c r="AH484" i="2"/>
  <c r="R484" i="2"/>
  <c r="Q484" i="2"/>
  <c r="AA484" i="2" s="1"/>
  <c r="P484" i="2"/>
  <c r="M484" i="2"/>
  <c r="H484" i="2"/>
  <c r="G484" i="2"/>
  <c r="F484" i="2"/>
  <c r="D484" i="2"/>
  <c r="AH460" i="2"/>
  <c r="R460" i="2"/>
  <c r="Q460" i="2"/>
  <c r="P460" i="2"/>
  <c r="M460" i="2"/>
  <c r="H460" i="2"/>
  <c r="G460" i="2"/>
  <c r="F460" i="2"/>
  <c r="D184" i="8" s="1"/>
  <c r="D460" i="2"/>
  <c r="AH410" i="2"/>
  <c r="R410" i="2"/>
  <c r="Q410" i="2"/>
  <c r="AD410" i="2" s="1"/>
  <c r="P410" i="2"/>
  <c r="M410" i="2"/>
  <c r="H410" i="2"/>
  <c r="G410" i="2"/>
  <c r="F410" i="2"/>
  <c r="D410" i="2"/>
  <c r="AH519" i="2"/>
  <c r="R519" i="2"/>
  <c r="Q519" i="2"/>
  <c r="P519" i="2"/>
  <c r="M519" i="2"/>
  <c r="H519" i="2"/>
  <c r="G519" i="2"/>
  <c r="F519" i="2"/>
  <c r="D519" i="2"/>
  <c r="AH496" i="2"/>
  <c r="R496" i="2"/>
  <c r="Q496" i="2"/>
  <c r="P496" i="2"/>
  <c r="M496" i="2"/>
  <c r="H496" i="2"/>
  <c r="G496" i="2"/>
  <c r="F496" i="2"/>
  <c r="D183" i="8" s="1"/>
  <c r="D496" i="2"/>
  <c r="B183" i="8" s="1"/>
  <c r="AJ187" i="2"/>
  <c r="P187" i="2"/>
  <c r="M187" i="2"/>
  <c r="H187" i="2"/>
  <c r="G187" i="2"/>
  <c r="F187" i="2"/>
  <c r="D36" i="9" s="1"/>
  <c r="D187" i="2"/>
  <c r="B36" i="9" s="1"/>
  <c r="AH479" i="2"/>
  <c r="R479" i="2"/>
  <c r="Q479" i="2"/>
  <c r="AG479" i="2" s="1"/>
  <c r="P479" i="2"/>
  <c r="M479" i="2"/>
  <c r="H479" i="2"/>
  <c r="G479" i="2"/>
  <c r="F479" i="2"/>
  <c r="D479" i="2"/>
  <c r="AH529" i="2"/>
  <c r="R529" i="2"/>
  <c r="Q529" i="2"/>
  <c r="P529" i="2"/>
  <c r="M529" i="2"/>
  <c r="H529" i="2"/>
  <c r="G529" i="2"/>
  <c r="F529" i="2"/>
  <c r="D529" i="2"/>
  <c r="AH397" i="2"/>
  <c r="R397" i="2"/>
  <c r="Q397" i="2"/>
  <c r="AG397" i="2" s="1"/>
  <c r="P397" i="2"/>
  <c r="M397" i="2"/>
  <c r="H397" i="2"/>
  <c r="G397" i="2"/>
  <c r="F397" i="2"/>
  <c r="D182" i="8" s="1"/>
  <c r="D397" i="2"/>
  <c r="B182" i="8" s="1"/>
  <c r="AH511" i="2"/>
  <c r="R511" i="2"/>
  <c r="Q511" i="2"/>
  <c r="P511" i="2"/>
  <c r="M511" i="2"/>
  <c r="H511" i="2"/>
  <c r="G511" i="2"/>
  <c r="F511" i="2"/>
  <c r="D511" i="2"/>
  <c r="AH355" i="2"/>
  <c r="R355" i="2"/>
  <c r="Q355" i="2"/>
  <c r="P355" i="2"/>
  <c r="M355" i="2"/>
  <c r="H355" i="2"/>
  <c r="G355" i="2"/>
  <c r="F355" i="2"/>
  <c r="D181" i="8" s="1"/>
  <c r="D355" i="2"/>
  <c r="AH492" i="2"/>
  <c r="R492" i="2"/>
  <c r="Q492" i="2"/>
  <c r="P492" i="2"/>
  <c r="M492" i="2"/>
  <c r="H492" i="2"/>
  <c r="G492" i="2"/>
  <c r="F492" i="2"/>
  <c r="D492" i="2"/>
  <c r="AH458" i="2"/>
  <c r="R458" i="2"/>
  <c r="Q458" i="2"/>
  <c r="P458" i="2"/>
  <c r="M458" i="2"/>
  <c r="H458" i="2"/>
  <c r="G458" i="2"/>
  <c r="F458" i="2"/>
  <c r="D180" i="8" s="1"/>
  <c r="D458" i="2"/>
  <c r="AJ183" i="2"/>
  <c r="AM183" i="2" s="1"/>
  <c r="P183" i="2"/>
  <c r="M183" i="2"/>
  <c r="H183" i="2"/>
  <c r="G183" i="2"/>
  <c r="F183" i="2"/>
  <c r="D35" i="9" s="1"/>
  <c r="D183" i="2"/>
  <c r="B35" i="9" s="1"/>
  <c r="AH475" i="2"/>
  <c r="R475" i="2"/>
  <c r="Q475" i="2"/>
  <c r="P475" i="2"/>
  <c r="M475" i="2"/>
  <c r="H475" i="2"/>
  <c r="G475" i="2"/>
  <c r="F475" i="2"/>
  <c r="D179" i="8" s="1"/>
  <c r="D475" i="2"/>
  <c r="B179" i="8" s="1"/>
  <c r="AH541" i="2"/>
  <c r="R541" i="2"/>
  <c r="Q541" i="2"/>
  <c r="AF541" i="2" s="1"/>
  <c r="P541" i="2"/>
  <c r="M541" i="2"/>
  <c r="H541" i="2"/>
  <c r="G541" i="2"/>
  <c r="F541" i="2"/>
  <c r="D541" i="2"/>
  <c r="AH508" i="2"/>
  <c r="R508" i="2"/>
  <c r="Q508" i="2"/>
  <c r="P508" i="2"/>
  <c r="M508" i="2"/>
  <c r="H508" i="2"/>
  <c r="G508" i="2"/>
  <c r="F508" i="2"/>
  <c r="D508" i="2"/>
  <c r="AH368" i="2"/>
  <c r="R368" i="2"/>
  <c r="Q368" i="2"/>
  <c r="P368" i="2"/>
  <c r="M368" i="2"/>
  <c r="H368" i="2"/>
  <c r="G368" i="2"/>
  <c r="F368" i="2"/>
  <c r="D368" i="2"/>
  <c r="AH543" i="2"/>
  <c r="R543" i="2"/>
  <c r="Q543" i="2"/>
  <c r="AF543" i="2" s="1"/>
  <c r="P543" i="2"/>
  <c r="M543" i="2"/>
  <c r="H543" i="2"/>
  <c r="G543" i="2"/>
  <c r="F543" i="2"/>
  <c r="D543" i="2"/>
  <c r="AH473" i="2"/>
  <c r="R473" i="2"/>
  <c r="Q473" i="2"/>
  <c r="Z473" i="2" s="1"/>
  <c r="P473" i="2"/>
  <c r="M473" i="2"/>
  <c r="H473" i="2"/>
  <c r="G473" i="2"/>
  <c r="F473" i="2"/>
  <c r="D473" i="2"/>
  <c r="AH280" i="2"/>
  <c r="R280" i="2"/>
  <c r="Q280" i="2"/>
  <c r="AD280" i="2" s="1"/>
  <c r="P280" i="2"/>
  <c r="M280" i="2"/>
  <c r="H280" i="2"/>
  <c r="G280" i="2"/>
  <c r="F280" i="2"/>
  <c r="D280" i="2"/>
  <c r="AJ178" i="2"/>
  <c r="P178" i="2"/>
  <c r="M178" i="2"/>
  <c r="H178" i="2"/>
  <c r="G178" i="2"/>
  <c r="F178" i="2"/>
  <c r="D34" i="9" s="1"/>
  <c r="D178" i="2"/>
  <c r="B34" i="9" s="1"/>
  <c r="AH435" i="2"/>
  <c r="R435" i="2"/>
  <c r="Q435" i="2"/>
  <c r="AD435" i="2" s="1"/>
  <c r="P435" i="2"/>
  <c r="M435" i="2"/>
  <c r="H435" i="2"/>
  <c r="G435" i="2"/>
  <c r="F435" i="2"/>
  <c r="D178" i="8" s="1"/>
  <c r="D435" i="2"/>
  <c r="B178" i="8" s="1"/>
  <c r="AH324" i="2"/>
  <c r="R324" i="2"/>
  <c r="Q324" i="2"/>
  <c r="P324" i="2"/>
  <c r="M324" i="2"/>
  <c r="H324" i="2"/>
  <c r="G324" i="2"/>
  <c r="F324" i="2"/>
  <c r="D177" i="8" s="1"/>
  <c r="D324" i="2"/>
  <c r="B177" i="8" s="1"/>
  <c r="AH455" i="2"/>
  <c r="R455" i="2"/>
  <c r="Q455" i="2"/>
  <c r="P455" i="2"/>
  <c r="M455" i="2"/>
  <c r="H455" i="2"/>
  <c r="G455" i="2"/>
  <c r="F455" i="2"/>
  <c r="D176" i="8" s="1"/>
  <c r="D455" i="2"/>
  <c r="B176" i="8" s="1"/>
  <c r="AH503" i="2"/>
  <c r="R503" i="2"/>
  <c r="Q503" i="2"/>
  <c r="P503" i="2"/>
  <c r="M503" i="2"/>
  <c r="H503" i="2"/>
  <c r="G503" i="2"/>
  <c r="F503" i="2"/>
  <c r="D175" i="8" s="1"/>
  <c r="D503" i="2"/>
  <c r="B175" i="8" s="1"/>
  <c r="AH555" i="2"/>
  <c r="R555" i="2"/>
  <c r="Q555" i="2"/>
  <c r="P555" i="2"/>
  <c r="M555" i="2"/>
  <c r="H555" i="2"/>
  <c r="G555" i="2"/>
  <c r="F555" i="2"/>
  <c r="D555" i="2"/>
  <c r="AH467" i="2"/>
  <c r="R467" i="2"/>
  <c r="Q467" i="2"/>
  <c r="P467" i="2"/>
  <c r="M467" i="2"/>
  <c r="H467" i="2"/>
  <c r="G467" i="2"/>
  <c r="F467" i="2"/>
  <c r="D467" i="2"/>
  <c r="AH439" i="2"/>
  <c r="R439" i="2"/>
  <c r="Q439" i="2"/>
  <c r="Y439" i="2" s="1"/>
  <c r="P439" i="2"/>
  <c r="M439" i="2"/>
  <c r="H439" i="2"/>
  <c r="G439" i="2"/>
  <c r="F439" i="2"/>
  <c r="D174" i="8" s="1"/>
  <c r="D439" i="2"/>
  <c r="AH521" i="2"/>
  <c r="R521" i="2"/>
  <c r="Q521" i="2"/>
  <c r="Y521" i="2" s="1"/>
  <c r="P521" i="2"/>
  <c r="M521" i="2"/>
  <c r="H521" i="2"/>
  <c r="G521" i="2"/>
  <c r="F521" i="2"/>
  <c r="D521" i="2"/>
  <c r="AH487" i="2"/>
  <c r="R487" i="2"/>
  <c r="Q487" i="2"/>
  <c r="P487" i="2"/>
  <c r="M487" i="2"/>
  <c r="H487" i="2"/>
  <c r="G487" i="2"/>
  <c r="F487" i="2"/>
  <c r="D173" i="8" s="1"/>
  <c r="D487" i="2"/>
  <c r="B173" i="8" s="1"/>
  <c r="AH454" i="2"/>
  <c r="R454" i="2"/>
  <c r="Q454" i="2"/>
  <c r="P454" i="2"/>
  <c r="M454" i="2"/>
  <c r="H454" i="2"/>
  <c r="G454" i="2"/>
  <c r="F454" i="2"/>
  <c r="D172" i="8" s="1"/>
  <c r="D454" i="2"/>
  <c r="AH516" i="2"/>
  <c r="R516" i="2"/>
  <c r="Q516" i="2"/>
  <c r="Z516" i="2" s="1"/>
  <c r="P516" i="2"/>
  <c r="M516" i="2"/>
  <c r="H516" i="2"/>
  <c r="G516" i="2"/>
  <c r="F516" i="2"/>
  <c r="D171" i="8" s="1"/>
  <c r="D516" i="2"/>
  <c r="B171" i="8" s="1"/>
  <c r="AH517" i="2"/>
  <c r="R517" i="2"/>
  <c r="Q517" i="2"/>
  <c r="AF517" i="2" s="1"/>
  <c r="P517" i="2"/>
  <c r="M517" i="2"/>
  <c r="H517" i="2"/>
  <c r="G517" i="2"/>
  <c r="F517" i="2"/>
  <c r="D517" i="2"/>
  <c r="AH526" i="2"/>
  <c r="R526" i="2"/>
  <c r="Q526" i="2"/>
  <c r="P526" i="2"/>
  <c r="M526" i="2"/>
  <c r="H526" i="2"/>
  <c r="G526" i="2"/>
  <c r="F526" i="2"/>
  <c r="D526" i="2"/>
  <c r="AH456" i="2"/>
  <c r="R456" i="2"/>
  <c r="Q456" i="2"/>
  <c r="AG456" i="2" s="1"/>
  <c r="P456" i="2"/>
  <c r="M456" i="2"/>
  <c r="H456" i="2"/>
  <c r="G456" i="2"/>
  <c r="F456" i="2"/>
  <c r="D170" i="8" s="1"/>
  <c r="D456" i="2"/>
  <c r="B170" i="8" s="1"/>
  <c r="AH462" i="2"/>
  <c r="R462" i="2"/>
  <c r="Q462" i="2"/>
  <c r="P462" i="2"/>
  <c r="M462" i="2"/>
  <c r="H462" i="2"/>
  <c r="G462" i="2"/>
  <c r="F462" i="2"/>
  <c r="D462" i="2"/>
  <c r="AH393" i="2"/>
  <c r="Z324" i="3" s="1"/>
  <c r="R393" i="2"/>
  <c r="J324" i="3" s="1"/>
  <c r="Q393" i="2"/>
  <c r="P393" i="2"/>
  <c r="M393" i="2"/>
  <c r="H393" i="2"/>
  <c r="G393" i="2"/>
  <c r="E324" i="3" s="1"/>
  <c r="F393" i="2"/>
  <c r="D324" i="3" s="1"/>
  <c r="D393" i="2"/>
  <c r="B324" i="3" s="1"/>
  <c r="AH357" i="2"/>
  <c r="R357" i="2"/>
  <c r="Q357" i="2"/>
  <c r="P357" i="2"/>
  <c r="M357" i="2"/>
  <c r="H357" i="2"/>
  <c r="G357" i="2"/>
  <c r="F357" i="2"/>
  <c r="D169" i="8" s="1"/>
  <c r="D357" i="2"/>
  <c r="AH480" i="2"/>
  <c r="R480" i="2"/>
  <c r="Q480" i="2"/>
  <c r="AD480" i="2" s="1"/>
  <c r="P480" i="2"/>
  <c r="M480" i="2"/>
  <c r="H480" i="2"/>
  <c r="G480" i="2"/>
  <c r="F480" i="2"/>
  <c r="D168" i="8" s="1"/>
  <c r="D480" i="2"/>
  <c r="AH550" i="2"/>
  <c r="R550" i="2"/>
  <c r="Q550" i="2"/>
  <c r="P550" i="2"/>
  <c r="M550" i="2"/>
  <c r="H550" i="2"/>
  <c r="G550" i="2"/>
  <c r="F550" i="2"/>
  <c r="D550" i="2"/>
  <c r="AH464" i="2"/>
  <c r="R464" i="2"/>
  <c r="Q464" i="2"/>
  <c r="Z464" i="2" s="1"/>
  <c r="P464" i="2"/>
  <c r="M464" i="2"/>
  <c r="H464" i="2"/>
  <c r="G464" i="2"/>
  <c r="F464" i="2"/>
  <c r="D464" i="2"/>
  <c r="AH500" i="2"/>
  <c r="R500" i="2"/>
  <c r="Q500" i="2"/>
  <c r="P500" i="2"/>
  <c r="M500" i="2"/>
  <c r="H500" i="2"/>
  <c r="G500" i="2"/>
  <c r="F500" i="2"/>
  <c r="D500" i="2"/>
  <c r="AH491" i="2"/>
  <c r="R491" i="2"/>
  <c r="Q491" i="2"/>
  <c r="P491" i="2"/>
  <c r="M491" i="2"/>
  <c r="H491" i="2"/>
  <c r="G491" i="2"/>
  <c r="F491" i="2"/>
  <c r="D167" i="8" s="1"/>
  <c r="D491" i="2"/>
  <c r="B167" i="8" s="1"/>
  <c r="AH453" i="2"/>
  <c r="R453" i="2"/>
  <c r="Q453" i="2"/>
  <c r="AA453" i="2" s="1"/>
  <c r="P453" i="2"/>
  <c r="M453" i="2"/>
  <c r="H453" i="2"/>
  <c r="G453" i="2"/>
  <c r="F453" i="2"/>
  <c r="D166" i="8" s="1"/>
  <c r="D453" i="2"/>
  <c r="AH506" i="2"/>
  <c r="R506" i="2"/>
  <c r="Q506" i="2"/>
  <c r="AA506" i="2" s="1"/>
  <c r="P506" i="2"/>
  <c r="M506" i="2"/>
  <c r="H506" i="2"/>
  <c r="G506" i="2"/>
  <c r="F506" i="2"/>
  <c r="D506" i="2"/>
  <c r="AH451" i="2"/>
  <c r="R451" i="2"/>
  <c r="Q451" i="2"/>
  <c r="AB451" i="2" s="1"/>
  <c r="P451" i="2"/>
  <c r="M451" i="2"/>
  <c r="H451" i="2"/>
  <c r="G451" i="2"/>
  <c r="F451" i="2"/>
  <c r="D165" i="8" s="1"/>
  <c r="D451" i="2"/>
  <c r="AH468" i="2"/>
  <c r="R468" i="2"/>
  <c r="Q468" i="2"/>
  <c r="AA468" i="2" s="1"/>
  <c r="P468" i="2"/>
  <c r="M468" i="2"/>
  <c r="H468" i="2"/>
  <c r="G468" i="2"/>
  <c r="F468" i="2"/>
  <c r="D164" i="8" s="1"/>
  <c r="D468" i="2"/>
  <c r="AH232" i="2"/>
  <c r="R232" i="2"/>
  <c r="Q232" i="2"/>
  <c r="P232" i="2"/>
  <c r="M232" i="2"/>
  <c r="H232" i="2"/>
  <c r="G232" i="2"/>
  <c r="F232" i="2"/>
  <c r="D232" i="2"/>
  <c r="AH395" i="2"/>
  <c r="R395" i="2"/>
  <c r="Q395" i="2"/>
  <c r="P395" i="2"/>
  <c r="M395" i="2"/>
  <c r="H395" i="2"/>
  <c r="G395" i="2"/>
  <c r="F395" i="2"/>
  <c r="D163" i="8" s="1"/>
  <c r="D395" i="2"/>
  <c r="AH463" i="2"/>
  <c r="R463" i="2"/>
  <c r="Q463" i="2"/>
  <c r="P463" i="2"/>
  <c r="M463" i="2"/>
  <c r="H463" i="2"/>
  <c r="G463" i="2"/>
  <c r="F463" i="2"/>
  <c r="D463" i="2"/>
  <c r="AH375" i="2"/>
  <c r="R375" i="2"/>
  <c r="Q375" i="2"/>
  <c r="P375" i="2"/>
  <c r="M375" i="2"/>
  <c r="H375" i="2"/>
  <c r="G375" i="2"/>
  <c r="F375" i="2"/>
  <c r="D162" i="8" s="1"/>
  <c r="D375" i="2"/>
  <c r="B162" i="8" s="1"/>
  <c r="AH477" i="2"/>
  <c r="R477" i="2"/>
  <c r="Q477" i="2"/>
  <c r="AA477" i="2" s="1"/>
  <c r="P477" i="2"/>
  <c r="M477" i="2"/>
  <c r="H477" i="2"/>
  <c r="G477" i="2"/>
  <c r="F477" i="2"/>
  <c r="D477" i="2"/>
  <c r="AH540" i="2"/>
  <c r="R540" i="2"/>
  <c r="Q540" i="2"/>
  <c r="P540" i="2"/>
  <c r="M540" i="2"/>
  <c r="H540" i="2"/>
  <c r="G540" i="2"/>
  <c r="F540" i="2"/>
  <c r="D540" i="2"/>
  <c r="AH438" i="2"/>
  <c r="R438" i="2"/>
  <c r="Q438" i="2"/>
  <c r="P438" i="2"/>
  <c r="M438" i="2"/>
  <c r="H438" i="2"/>
  <c r="G438" i="2"/>
  <c r="F438" i="2"/>
  <c r="D161" i="8" s="1"/>
  <c r="D438" i="2"/>
  <c r="B161" i="8" s="1"/>
  <c r="AH474" i="2"/>
  <c r="R474" i="2"/>
  <c r="Q474" i="2"/>
  <c r="AB474" i="2" s="1"/>
  <c r="P474" i="2"/>
  <c r="M474" i="2"/>
  <c r="H474" i="2"/>
  <c r="G474" i="2"/>
  <c r="F474" i="2"/>
  <c r="D160" i="8" s="1"/>
  <c r="D474" i="2"/>
  <c r="B160" i="8" s="1"/>
  <c r="AH531" i="2"/>
  <c r="R531" i="2"/>
  <c r="Q531" i="2"/>
  <c r="P531" i="2"/>
  <c r="M531" i="2"/>
  <c r="H531" i="2"/>
  <c r="G531" i="2"/>
  <c r="F531" i="2"/>
  <c r="D531" i="2"/>
  <c r="AH459" i="2"/>
  <c r="R459" i="2"/>
  <c r="Q459" i="2"/>
  <c r="AA459" i="2" s="1"/>
  <c r="P459" i="2"/>
  <c r="M459" i="2"/>
  <c r="H459" i="2"/>
  <c r="G459" i="2"/>
  <c r="F459" i="2"/>
  <c r="D159" i="8" s="1"/>
  <c r="D459" i="2"/>
  <c r="B159" i="8" s="1"/>
  <c r="AH366" i="2"/>
  <c r="R366" i="2"/>
  <c r="Q366" i="2"/>
  <c r="P366" i="2"/>
  <c r="M366" i="2"/>
  <c r="H366" i="2"/>
  <c r="G366" i="2"/>
  <c r="F366" i="2"/>
  <c r="D158" i="8" s="1"/>
  <c r="D366" i="2"/>
  <c r="B158" i="8" s="1"/>
  <c r="AH471" i="2"/>
  <c r="R471" i="2"/>
  <c r="Q471" i="2"/>
  <c r="P471" i="2"/>
  <c r="M471" i="2"/>
  <c r="H471" i="2"/>
  <c r="G471" i="2"/>
  <c r="F471" i="2"/>
  <c r="D157" i="8" s="1"/>
  <c r="D471" i="2"/>
  <c r="B157" i="8" s="1"/>
  <c r="AH494" i="2"/>
  <c r="R494" i="2"/>
  <c r="Q494" i="2"/>
  <c r="AG494" i="2" s="1"/>
  <c r="P494" i="2"/>
  <c r="M494" i="2"/>
  <c r="H494" i="2"/>
  <c r="G494" i="2"/>
  <c r="F494" i="2"/>
  <c r="D494" i="2"/>
  <c r="AH386" i="2"/>
  <c r="R386" i="2"/>
  <c r="Q386" i="2"/>
  <c r="P386" i="2"/>
  <c r="M386" i="2"/>
  <c r="H386" i="2"/>
  <c r="G386" i="2"/>
  <c r="F386" i="2"/>
  <c r="D386" i="2"/>
  <c r="AH490" i="2"/>
  <c r="R490" i="2"/>
  <c r="Q490" i="2"/>
  <c r="P490" i="2"/>
  <c r="M490" i="2"/>
  <c r="H490" i="2"/>
  <c r="G490" i="2"/>
  <c r="F490" i="2"/>
  <c r="D490" i="2"/>
  <c r="AH385" i="2"/>
  <c r="R385" i="2"/>
  <c r="Q385" i="2"/>
  <c r="P385" i="2"/>
  <c r="M385" i="2"/>
  <c r="H385" i="2"/>
  <c r="G385" i="2"/>
  <c r="F385" i="2"/>
  <c r="D385" i="2"/>
  <c r="AH469" i="2"/>
  <c r="R469" i="2"/>
  <c r="Q469" i="2"/>
  <c r="AA469" i="2" s="1"/>
  <c r="P469" i="2"/>
  <c r="M469" i="2"/>
  <c r="H469" i="2"/>
  <c r="G469" i="2"/>
  <c r="F469" i="2"/>
  <c r="D156" i="8" s="1"/>
  <c r="D469" i="2"/>
  <c r="B156" i="8" s="1"/>
  <c r="AH426" i="2"/>
  <c r="R426" i="2"/>
  <c r="Q426" i="2"/>
  <c r="AA426" i="2" s="1"/>
  <c r="P426" i="2"/>
  <c r="M426" i="2"/>
  <c r="H426" i="2"/>
  <c r="G426" i="2"/>
  <c r="F426" i="2"/>
  <c r="D155" i="8" s="1"/>
  <c r="D426" i="2"/>
  <c r="B155" i="8" s="1"/>
  <c r="AH465" i="2"/>
  <c r="R465" i="2"/>
  <c r="Q465" i="2"/>
  <c r="AB465" i="2" s="1"/>
  <c r="P465" i="2"/>
  <c r="M465" i="2"/>
  <c r="H465" i="2"/>
  <c r="G465" i="2"/>
  <c r="F465" i="2"/>
  <c r="D154" i="8" s="1"/>
  <c r="D465" i="2"/>
  <c r="B154" i="8" s="1"/>
  <c r="AH443" i="2"/>
  <c r="R443" i="2"/>
  <c r="Q443" i="2"/>
  <c r="P443" i="2"/>
  <c r="M443" i="2"/>
  <c r="H443" i="2"/>
  <c r="G443" i="2"/>
  <c r="F443" i="2"/>
  <c r="D153" i="8" s="1"/>
  <c r="D443" i="2"/>
  <c r="B153" i="8" s="1"/>
  <c r="AH428" i="2"/>
  <c r="R428" i="2"/>
  <c r="Q428" i="2"/>
  <c r="AB428" i="2" s="1"/>
  <c r="P428" i="2"/>
  <c r="M428" i="2"/>
  <c r="H428" i="2"/>
  <c r="G428" i="2"/>
  <c r="F428" i="2"/>
  <c r="D152" i="8" s="1"/>
  <c r="D428" i="2"/>
  <c r="B152" i="8" s="1"/>
  <c r="AH351" i="2"/>
  <c r="R351" i="2"/>
  <c r="Q351" i="2"/>
  <c r="P351" i="2"/>
  <c r="M351" i="2"/>
  <c r="H351" i="2"/>
  <c r="G351" i="2"/>
  <c r="F351" i="2"/>
  <c r="D151" i="8" s="1"/>
  <c r="D351" i="2"/>
  <c r="B151" i="8" s="1"/>
  <c r="AH457" i="2"/>
  <c r="R457" i="2"/>
  <c r="Q457" i="2"/>
  <c r="AG457" i="2" s="1"/>
  <c r="P457" i="2"/>
  <c r="M457" i="2"/>
  <c r="H457" i="2"/>
  <c r="G457" i="2"/>
  <c r="F457" i="2"/>
  <c r="D150" i="8" s="1"/>
  <c r="D457" i="2"/>
  <c r="B150" i="8" s="1"/>
  <c r="AH423" i="2"/>
  <c r="R423" i="2"/>
  <c r="Q423" i="2"/>
  <c r="AG423" i="2" s="1"/>
  <c r="P423" i="2"/>
  <c r="M423" i="2"/>
  <c r="H423" i="2"/>
  <c r="G423" i="2"/>
  <c r="F423" i="2"/>
  <c r="D149" i="8" s="1"/>
  <c r="D423" i="2"/>
  <c r="B149" i="8" s="1"/>
  <c r="AH347" i="2"/>
  <c r="R347" i="2"/>
  <c r="Q347" i="2"/>
  <c r="Z347" i="2" s="1"/>
  <c r="P347" i="2"/>
  <c r="M347" i="2"/>
  <c r="H347" i="2"/>
  <c r="G347" i="2"/>
  <c r="F347" i="2"/>
  <c r="D148" i="8" s="1"/>
  <c r="D347" i="2"/>
  <c r="AH290" i="2"/>
  <c r="R290" i="2"/>
  <c r="Q290" i="2"/>
  <c r="AG290" i="2" s="1"/>
  <c r="P290" i="2"/>
  <c r="M290" i="2"/>
  <c r="H290" i="2"/>
  <c r="G290" i="2"/>
  <c r="F290" i="2"/>
  <c r="D290" i="2"/>
  <c r="AH505" i="2"/>
  <c r="R505" i="2"/>
  <c r="Q505" i="2"/>
  <c r="Z505" i="2" s="1"/>
  <c r="P505" i="2"/>
  <c r="M505" i="2"/>
  <c r="H505" i="2"/>
  <c r="G505" i="2"/>
  <c r="F505" i="2"/>
  <c r="D505" i="2"/>
  <c r="AH405" i="2"/>
  <c r="R405" i="2"/>
  <c r="Q405" i="2"/>
  <c r="P405" i="2"/>
  <c r="M405" i="2"/>
  <c r="H405" i="2"/>
  <c r="G405" i="2"/>
  <c r="F405" i="2"/>
  <c r="D405" i="2"/>
  <c r="AH476" i="2"/>
  <c r="R476" i="2"/>
  <c r="Q476" i="2"/>
  <c r="P476" i="2"/>
  <c r="M476" i="2"/>
  <c r="H476" i="2"/>
  <c r="G476" i="2"/>
  <c r="F476" i="2"/>
  <c r="D476" i="2"/>
  <c r="AH472" i="2"/>
  <c r="R472" i="2"/>
  <c r="Q472" i="2"/>
  <c r="P472" i="2"/>
  <c r="M472" i="2"/>
  <c r="H472" i="2"/>
  <c r="G472" i="2"/>
  <c r="F472" i="2"/>
  <c r="D147" i="8" s="1"/>
  <c r="D472" i="2"/>
  <c r="AH417" i="2"/>
  <c r="AG417" i="2"/>
  <c r="R417" i="2"/>
  <c r="Q417" i="2"/>
  <c r="AF417" i="2" s="1"/>
  <c r="P417" i="2"/>
  <c r="M417" i="2"/>
  <c r="H417" i="2"/>
  <c r="G417" i="2"/>
  <c r="F417" i="2"/>
  <c r="D417" i="2"/>
  <c r="AH409" i="2"/>
  <c r="R409" i="2"/>
  <c r="Q409" i="2"/>
  <c r="P409" i="2"/>
  <c r="M409" i="2"/>
  <c r="H409" i="2"/>
  <c r="G409" i="2"/>
  <c r="F409" i="2"/>
  <c r="D146" i="8" s="1"/>
  <c r="D409" i="2"/>
  <c r="B146" i="8" s="1"/>
  <c r="AH372" i="2"/>
  <c r="R372" i="2"/>
  <c r="Q372" i="2"/>
  <c r="AG372" i="2" s="1"/>
  <c r="P372" i="2"/>
  <c r="M372" i="2"/>
  <c r="H372" i="2"/>
  <c r="G372" i="2"/>
  <c r="F372" i="2"/>
  <c r="D145" i="8" s="1"/>
  <c r="D372" i="2"/>
  <c r="B145" i="8" s="1"/>
  <c r="AH401" i="2"/>
  <c r="R401" i="2"/>
  <c r="Q401" i="2"/>
  <c r="AD401" i="2" s="1"/>
  <c r="P401" i="2"/>
  <c r="M401" i="2"/>
  <c r="H401" i="2"/>
  <c r="G401" i="2"/>
  <c r="F401" i="2"/>
  <c r="D144" i="8" s="1"/>
  <c r="D401" i="2"/>
  <c r="B144" i="8" s="1"/>
  <c r="AH442" i="2"/>
  <c r="R442" i="2"/>
  <c r="Q442" i="2"/>
  <c r="P442" i="2"/>
  <c r="M442" i="2"/>
  <c r="H442" i="2"/>
  <c r="G442" i="2"/>
  <c r="F442" i="2"/>
  <c r="D442" i="2"/>
  <c r="AH371" i="2"/>
  <c r="R371" i="2"/>
  <c r="Q371" i="2"/>
  <c r="Z371" i="2" s="1"/>
  <c r="P371" i="2"/>
  <c r="M371" i="2"/>
  <c r="H371" i="2"/>
  <c r="G371" i="2"/>
  <c r="F371" i="2"/>
  <c r="D143" i="8" s="1"/>
  <c r="D371" i="2"/>
  <c r="B143" i="8" s="1"/>
  <c r="AH330" i="2"/>
  <c r="R330" i="2"/>
  <c r="Q330" i="2"/>
  <c r="P330" i="2"/>
  <c r="M330" i="2"/>
  <c r="H330" i="2"/>
  <c r="G330" i="2"/>
  <c r="F330" i="2"/>
  <c r="D330" i="2"/>
  <c r="AH497" i="2"/>
  <c r="R497" i="2"/>
  <c r="Q497" i="2"/>
  <c r="AG497" i="2" s="1"/>
  <c r="P497" i="2"/>
  <c r="M497" i="2"/>
  <c r="H497" i="2"/>
  <c r="G497" i="2"/>
  <c r="F497" i="2"/>
  <c r="D497" i="2"/>
  <c r="AH448" i="2"/>
  <c r="R448" i="2"/>
  <c r="Q448" i="2"/>
  <c r="P448" i="2"/>
  <c r="M448" i="2"/>
  <c r="H448" i="2"/>
  <c r="G448" i="2"/>
  <c r="F448" i="2"/>
  <c r="D448" i="2"/>
  <c r="AH449" i="2"/>
  <c r="R449" i="2"/>
  <c r="Q449" i="2"/>
  <c r="AA449" i="2" s="1"/>
  <c r="P449" i="2"/>
  <c r="M449" i="2"/>
  <c r="H449" i="2"/>
  <c r="G449" i="2"/>
  <c r="F449" i="2"/>
  <c r="D142" i="8" s="1"/>
  <c r="D449" i="2"/>
  <c r="B142" i="8" s="1"/>
  <c r="AH483" i="2"/>
  <c r="R483" i="2"/>
  <c r="Q483" i="2"/>
  <c r="P483" i="2"/>
  <c r="M483" i="2"/>
  <c r="H483" i="2"/>
  <c r="G483" i="2"/>
  <c r="F483" i="2"/>
  <c r="D483" i="2"/>
  <c r="AH470" i="2"/>
  <c r="R470" i="2"/>
  <c r="Q470" i="2"/>
  <c r="P470" i="2"/>
  <c r="M470" i="2"/>
  <c r="H470" i="2"/>
  <c r="G470" i="2"/>
  <c r="F470" i="2"/>
  <c r="D141" i="8" s="1"/>
  <c r="D470" i="2"/>
  <c r="B141" i="8" s="1"/>
  <c r="AH388" i="2"/>
  <c r="R388" i="2"/>
  <c r="Q388" i="2"/>
  <c r="AG388" i="2" s="1"/>
  <c r="P388" i="2"/>
  <c r="M388" i="2"/>
  <c r="H388" i="2"/>
  <c r="G388" i="2"/>
  <c r="F388" i="2"/>
  <c r="D140" i="8" s="1"/>
  <c r="D388" i="2"/>
  <c r="B140" i="8" s="1"/>
  <c r="AH404" i="2"/>
  <c r="R404" i="2"/>
  <c r="Q404" i="2"/>
  <c r="AG404" i="2" s="1"/>
  <c r="P404" i="2"/>
  <c r="M404" i="2"/>
  <c r="H404" i="2"/>
  <c r="G404" i="2"/>
  <c r="F404" i="2"/>
  <c r="D139" i="8" s="1"/>
  <c r="D404" i="2"/>
  <c r="AH419" i="2"/>
  <c r="R419" i="2"/>
  <c r="Q419" i="2"/>
  <c r="Y419" i="2" s="1"/>
  <c r="P419" i="2"/>
  <c r="M419" i="2"/>
  <c r="H419" i="2"/>
  <c r="G419" i="2"/>
  <c r="F419" i="2"/>
  <c r="D138" i="8" s="1"/>
  <c r="D419" i="2"/>
  <c r="AH400" i="2"/>
  <c r="R400" i="2"/>
  <c r="Q400" i="2"/>
  <c r="P400" i="2"/>
  <c r="M400" i="2"/>
  <c r="H400" i="2"/>
  <c r="G400" i="2"/>
  <c r="F400" i="2"/>
  <c r="D400" i="2"/>
  <c r="AH461" i="2"/>
  <c r="R461" i="2"/>
  <c r="Q461" i="2"/>
  <c r="P461" i="2"/>
  <c r="M461" i="2"/>
  <c r="H461" i="2"/>
  <c r="G461" i="2"/>
  <c r="F461" i="2"/>
  <c r="D137" i="8" s="1"/>
  <c r="D461" i="2"/>
  <c r="B137" i="8" s="1"/>
  <c r="AH444" i="2"/>
  <c r="R444" i="2"/>
  <c r="Q444" i="2"/>
  <c r="P444" i="2"/>
  <c r="M444" i="2"/>
  <c r="H444" i="2"/>
  <c r="G444" i="2"/>
  <c r="F444" i="2"/>
  <c r="D444" i="2"/>
  <c r="AH434" i="2"/>
  <c r="R434" i="2"/>
  <c r="Q434" i="2"/>
  <c r="P434" i="2"/>
  <c r="M434" i="2"/>
  <c r="H434" i="2"/>
  <c r="G434" i="2"/>
  <c r="F434" i="2"/>
  <c r="D434" i="2"/>
  <c r="AH466" i="2"/>
  <c r="R466" i="2"/>
  <c r="Q466" i="2"/>
  <c r="AF466" i="2" s="1"/>
  <c r="P466" i="2"/>
  <c r="M466" i="2"/>
  <c r="H466" i="2"/>
  <c r="G466" i="2"/>
  <c r="F466" i="2"/>
  <c r="D466" i="2"/>
  <c r="AH446" i="2"/>
  <c r="R446" i="2"/>
  <c r="Q446" i="2"/>
  <c r="AD446" i="2" s="1"/>
  <c r="P446" i="2"/>
  <c r="M446" i="2"/>
  <c r="H446" i="2"/>
  <c r="G446" i="2"/>
  <c r="F446" i="2"/>
  <c r="D446" i="2"/>
  <c r="AH440" i="2"/>
  <c r="R440" i="2"/>
  <c r="Q440" i="2"/>
  <c r="P440" i="2"/>
  <c r="M440" i="2"/>
  <c r="H440" i="2"/>
  <c r="G440" i="2"/>
  <c r="F440" i="2"/>
  <c r="D136" i="8" s="1"/>
  <c r="D440" i="2"/>
  <c r="B136" i="8" s="1"/>
  <c r="AH416" i="2"/>
  <c r="R416" i="2"/>
  <c r="Q416" i="2"/>
  <c r="P416" i="2"/>
  <c r="M416" i="2"/>
  <c r="H416" i="2"/>
  <c r="G416" i="2"/>
  <c r="F416" i="2"/>
  <c r="D135" i="8" s="1"/>
  <c r="D416" i="2"/>
  <c r="B135" i="8" s="1"/>
  <c r="AH381" i="2"/>
  <c r="R381" i="2"/>
  <c r="Q381" i="2"/>
  <c r="AF381" i="2" s="1"/>
  <c r="P381" i="2"/>
  <c r="M381" i="2"/>
  <c r="H381" i="2"/>
  <c r="G381" i="2"/>
  <c r="F381" i="2"/>
  <c r="D381" i="2"/>
  <c r="AH427" i="2"/>
  <c r="R427" i="2"/>
  <c r="Q427" i="2"/>
  <c r="AG427" i="2" s="1"/>
  <c r="P427" i="2"/>
  <c r="M427" i="2"/>
  <c r="H427" i="2"/>
  <c r="G427" i="2"/>
  <c r="F427" i="2"/>
  <c r="D427" i="2"/>
  <c r="AH411" i="2"/>
  <c r="R411" i="2"/>
  <c r="Q411" i="2"/>
  <c r="Z411" i="2" s="1"/>
  <c r="P411" i="2"/>
  <c r="M411" i="2"/>
  <c r="H411" i="2"/>
  <c r="G411" i="2"/>
  <c r="F411" i="2"/>
  <c r="D134" i="8" s="1"/>
  <c r="D411" i="2"/>
  <c r="B134" i="8" s="1"/>
  <c r="AH370" i="2"/>
  <c r="R370" i="2"/>
  <c r="Q370" i="2"/>
  <c r="AB370" i="2" s="1"/>
  <c r="P370" i="2"/>
  <c r="M370" i="2"/>
  <c r="H370" i="2"/>
  <c r="G370" i="2"/>
  <c r="F370" i="2"/>
  <c r="D133" i="8" s="1"/>
  <c r="D370" i="2"/>
  <c r="AH433" i="2"/>
  <c r="R433" i="2"/>
  <c r="Q433" i="2"/>
  <c r="AB433" i="2" s="1"/>
  <c r="P433" i="2"/>
  <c r="M433" i="2"/>
  <c r="H433" i="2"/>
  <c r="G433" i="2"/>
  <c r="F433" i="2"/>
  <c r="D132" i="8" s="1"/>
  <c r="D433" i="2"/>
  <c r="B132" i="8" s="1"/>
  <c r="AH482" i="2"/>
  <c r="R482" i="2"/>
  <c r="Q482" i="2"/>
  <c r="P482" i="2"/>
  <c r="M482" i="2"/>
  <c r="H482" i="2"/>
  <c r="G482" i="2"/>
  <c r="F482" i="2"/>
  <c r="D482" i="2"/>
  <c r="AH412" i="2"/>
  <c r="R412" i="2"/>
  <c r="Q412" i="2"/>
  <c r="Z412" i="2" s="1"/>
  <c r="P412" i="2"/>
  <c r="M412" i="2"/>
  <c r="H412" i="2"/>
  <c r="G412" i="2"/>
  <c r="F412" i="2"/>
  <c r="D131" i="8" s="1"/>
  <c r="D412" i="2"/>
  <c r="B131" i="8" s="1"/>
  <c r="AH489" i="2"/>
  <c r="R489" i="2"/>
  <c r="Q489" i="2"/>
  <c r="P489" i="2"/>
  <c r="M489" i="2"/>
  <c r="H489" i="2"/>
  <c r="G489" i="2"/>
  <c r="F489" i="2"/>
  <c r="D489" i="2"/>
  <c r="AH407" i="2"/>
  <c r="R407" i="2"/>
  <c r="Q407" i="2"/>
  <c r="AF407" i="2" s="1"/>
  <c r="P407" i="2"/>
  <c r="M407" i="2"/>
  <c r="H407" i="2"/>
  <c r="G407" i="2"/>
  <c r="F407" i="2"/>
  <c r="D130" i="8" s="1"/>
  <c r="D407" i="2"/>
  <c r="B130" i="8" s="1"/>
  <c r="AH359" i="2"/>
  <c r="R359" i="2"/>
  <c r="Q359" i="2"/>
  <c r="P359" i="2"/>
  <c r="M359" i="2"/>
  <c r="H359" i="2"/>
  <c r="G359" i="2"/>
  <c r="F359" i="2"/>
  <c r="D129" i="8" s="1"/>
  <c r="D359" i="2"/>
  <c r="B129" i="8" s="1"/>
  <c r="AH413" i="2"/>
  <c r="R413" i="2"/>
  <c r="Q413" i="2"/>
  <c r="Y413" i="2" s="1"/>
  <c r="P413" i="2"/>
  <c r="M413" i="2"/>
  <c r="H413" i="2"/>
  <c r="G413" i="2"/>
  <c r="F413" i="2"/>
  <c r="D128" i="8" s="1"/>
  <c r="D413" i="2"/>
  <c r="AH394" i="2"/>
  <c r="R394" i="2"/>
  <c r="Q394" i="2"/>
  <c r="P394" i="2"/>
  <c r="M394" i="2"/>
  <c r="H394" i="2"/>
  <c r="G394" i="2"/>
  <c r="F394" i="2"/>
  <c r="D127" i="8" s="1"/>
  <c r="D394" i="2"/>
  <c r="AH430" i="2"/>
  <c r="R430" i="2"/>
  <c r="Q430" i="2"/>
  <c r="Z430" i="2" s="1"/>
  <c r="P430" i="2"/>
  <c r="M430" i="2"/>
  <c r="H430" i="2"/>
  <c r="G430" i="2"/>
  <c r="F430" i="2"/>
  <c r="D126" i="8" s="1"/>
  <c r="D430" i="2"/>
  <c r="B126" i="8" s="1"/>
  <c r="AH321" i="2"/>
  <c r="R321" i="2"/>
  <c r="Q321" i="2"/>
  <c r="AF321" i="2" s="1"/>
  <c r="P321" i="2"/>
  <c r="M321" i="2"/>
  <c r="H321" i="2"/>
  <c r="G321" i="2"/>
  <c r="F321" i="2"/>
  <c r="D125" i="8" s="1"/>
  <c r="D321" i="2"/>
  <c r="AH390" i="2"/>
  <c r="R390" i="2"/>
  <c r="Q390" i="2"/>
  <c r="Z390" i="2" s="1"/>
  <c r="P390" i="2"/>
  <c r="M390" i="2"/>
  <c r="H390" i="2"/>
  <c r="G390" i="2"/>
  <c r="F390" i="2"/>
  <c r="D124" i="8" s="1"/>
  <c r="D390" i="2"/>
  <c r="B124" i="8" s="1"/>
  <c r="AH364" i="2"/>
  <c r="R364" i="2"/>
  <c r="Q364" i="2"/>
  <c r="P364" i="2"/>
  <c r="M364" i="2"/>
  <c r="H364" i="2"/>
  <c r="G364" i="2"/>
  <c r="F364" i="2"/>
  <c r="D123" i="8" s="1"/>
  <c r="D364" i="2"/>
  <c r="B123" i="8" s="1"/>
  <c r="AJ168" i="2"/>
  <c r="AN168" i="2" s="1"/>
  <c r="P168" i="2"/>
  <c r="M168" i="2"/>
  <c r="H168" i="2"/>
  <c r="G168" i="2"/>
  <c r="F168" i="2"/>
  <c r="D33" i="9" s="1"/>
  <c r="D168" i="2"/>
  <c r="B33" i="9" s="1"/>
  <c r="AH437" i="2"/>
  <c r="R437" i="2"/>
  <c r="Q437" i="2"/>
  <c r="P437" i="2"/>
  <c r="M437" i="2"/>
  <c r="H437" i="2"/>
  <c r="G437" i="2"/>
  <c r="F437" i="2"/>
  <c r="D437" i="2"/>
  <c r="AH398" i="2"/>
  <c r="R398" i="2"/>
  <c r="Q398" i="2"/>
  <c r="P398" i="2"/>
  <c r="M398" i="2"/>
  <c r="H398" i="2"/>
  <c r="G398" i="2"/>
  <c r="F398" i="2"/>
  <c r="D398" i="2"/>
  <c r="AH399" i="2"/>
  <c r="R399" i="2"/>
  <c r="Q399" i="2"/>
  <c r="AA399" i="2" s="1"/>
  <c r="P399" i="2"/>
  <c r="M399" i="2"/>
  <c r="H399" i="2"/>
  <c r="G399" i="2"/>
  <c r="F399" i="2"/>
  <c r="D122" i="8" s="1"/>
  <c r="D399" i="2"/>
  <c r="AH414" i="2"/>
  <c r="R414" i="2"/>
  <c r="Q414" i="2"/>
  <c r="P414" i="2"/>
  <c r="M414" i="2"/>
  <c r="H414" i="2"/>
  <c r="G414" i="2"/>
  <c r="F414" i="2"/>
  <c r="D121" i="8" s="1"/>
  <c r="D414" i="2"/>
  <c r="AH421" i="2"/>
  <c r="R421" i="2"/>
  <c r="Q421" i="2"/>
  <c r="P421" i="2"/>
  <c r="M421" i="2"/>
  <c r="H421" i="2"/>
  <c r="G421" i="2"/>
  <c r="F421" i="2"/>
  <c r="D120" i="8" s="1"/>
  <c r="D421" i="2"/>
  <c r="B120" i="8" s="1"/>
  <c r="AH406" i="2"/>
  <c r="R406" i="2"/>
  <c r="Q406" i="2"/>
  <c r="AA406" i="2" s="1"/>
  <c r="P406" i="2"/>
  <c r="M406" i="2"/>
  <c r="H406" i="2"/>
  <c r="G406" i="2"/>
  <c r="F406" i="2"/>
  <c r="D119" i="8" s="1"/>
  <c r="D406" i="2"/>
  <c r="AH447" i="2"/>
  <c r="R447" i="2"/>
  <c r="Q447" i="2"/>
  <c r="AD447" i="2" s="1"/>
  <c r="P447" i="2"/>
  <c r="M447" i="2"/>
  <c r="H447" i="2"/>
  <c r="G447" i="2"/>
  <c r="F447" i="2"/>
  <c r="D447" i="2"/>
  <c r="AH346" i="2"/>
  <c r="R346" i="2"/>
  <c r="Q346" i="2"/>
  <c r="Y346" i="2" s="1"/>
  <c r="P346" i="2"/>
  <c r="M346" i="2"/>
  <c r="H346" i="2"/>
  <c r="G346" i="2"/>
  <c r="F346" i="2"/>
  <c r="D346" i="2"/>
  <c r="AH422" i="2"/>
  <c r="Z191" i="3" s="1"/>
  <c r="R422" i="2"/>
  <c r="J191" i="3" s="1"/>
  <c r="Q422" i="2"/>
  <c r="I191" i="3" s="1"/>
  <c r="P422" i="2"/>
  <c r="M422" i="2"/>
  <c r="H422" i="2"/>
  <c r="G422" i="2"/>
  <c r="E191" i="3" s="1"/>
  <c r="F422" i="2"/>
  <c r="D422" i="2"/>
  <c r="AH349" i="2"/>
  <c r="R349" i="2"/>
  <c r="Q349" i="2"/>
  <c r="P349" i="2"/>
  <c r="M349" i="2"/>
  <c r="H349" i="2"/>
  <c r="G349" i="2"/>
  <c r="F349" i="2"/>
  <c r="D349" i="2"/>
  <c r="AH374" i="2"/>
  <c r="R374" i="2"/>
  <c r="Q374" i="2"/>
  <c r="P374" i="2"/>
  <c r="M374" i="2"/>
  <c r="H374" i="2"/>
  <c r="G374" i="2"/>
  <c r="F374" i="2"/>
  <c r="D117" i="8" s="1"/>
  <c r="D374" i="2"/>
  <c r="B117" i="8" s="1"/>
  <c r="AH383" i="2"/>
  <c r="R383" i="2"/>
  <c r="Q383" i="2"/>
  <c r="Y383" i="2" s="1"/>
  <c r="P383" i="2"/>
  <c r="M383" i="2"/>
  <c r="H383" i="2"/>
  <c r="G383" i="2"/>
  <c r="F383" i="2"/>
  <c r="D116" i="8" s="1"/>
  <c r="D383" i="2"/>
  <c r="B116" i="8" s="1"/>
  <c r="AH486" i="2"/>
  <c r="R486" i="2"/>
  <c r="Q486" i="2"/>
  <c r="AG486" i="2" s="1"/>
  <c r="P486" i="2"/>
  <c r="M486" i="2"/>
  <c r="H486" i="2"/>
  <c r="G486" i="2"/>
  <c r="F486" i="2"/>
  <c r="D486" i="2"/>
  <c r="AH498" i="2"/>
  <c r="R498" i="2"/>
  <c r="Q498" i="2"/>
  <c r="Z498" i="2" s="1"/>
  <c r="P498" i="2"/>
  <c r="M498" i="2"/>
  <c r="H498" i="2"/>
  <c r="G498" i="2"/>
  <c r="F498" i="2"/>
  <c r="D498" i="2"/>
  <c r="AH396" i="2"/>
  <c r="R396" i="2"/>
  <c r="Q396" i="2"/>
  <c r="P396" i="2"/>
  <c r="M396" i="2"/>
  <c r="H396" i="2"/>
  <c r="G396" i="2"/>
  <c r="F396" i="2"/>
  <c r="D115" i="8" s="1"/>
  <c r="D396" i="2"/>
  <c r="B115" i="8" s="1"/>
  <c r="AH424" i="2"/>
  <c r="R424" i="2"/>
  <c r="Q424" i="2"/>
  <c r="P424" i="2"/>
  <c r="M424" i="2"/>
  <c r="H424" i="2"/>
  <c r="G424" i="2"/>
  <c r="F424" i="2"/>
  <c r="D424" i="2"/>
  <c r="AH420" i="2"/>
  <c r="R420" i="2"/>
  <c r="Q420" i="2"/>
  <c r="P420" i="2"/>
  <c r="M420" i="2"/>
  <c r="H420" i="2"/>
  <c r="G420" i="2"/>
  <c r="F420" i="2"/>
  <c r="D420" i="2"/>
  <c r="AH408" i="2"/>
  <c r="R408" i="2"/>
  <c r="Q408" i="2"/>
  <c r="P408" i="2"/>
  <c r="M408" i="2"/>
  <c r="H408" i="2"/>
  <c r="G408" i="2"/>
  <c r="F408" i="2"/>
  <c r="D408" i="2"/>
  <c r="AH342" i="2"/>
  <c r="R342" i="2"/>
  <c r="Q342" i="2"/>
  <c r="P342" i="2"/>
  <c r="M342" i="2"/>
  <c r="H342" i="2"/>
  <c r="G342" i="2"/>
  <c r="F342" i="2"/>
  <c r="D342" i="2"/>
  <c r="AH445" i="2"/>
  <c r="R445" i="2"/>
  <c r="Q445" i="2"/>
  <c r="P445" i="2"/>
  <c r="M445" i="2"/>
  <c r="H445" i="2"/>
  <c r="G445" i="2"/>
  <c r="F445" i="2"/>
  <c r="D445" i="2"/>
  <c r="AH329" i="2"/>
  <c r="R329" i="2"/>
  <c r="Q329" i="2"/>
  <c r="P329" i="2"/>
  <c r="M329" i="2"/>
  <c r="H329" i="2"/>
  <c r="G329" i="2"/>
  <c r="F329" i="2"/>
  <c r="D114" i="8" s="1"/>
  <c r="D329" i="2"/>
  <c r="B114" i="8" s="1"/>
  <c r="AH358" i="2"/>
  <c r="R358" i="2"/>
  <c r="Q358" i="2"/>
  <c r="AG358" i="2" s="1"/>
  <c r="P358" i="2"/>
  <c r="M358" i="2"/>
  <c r="H358" i="2"/>
  <c r="G358" i="2"/>
  <c r="F358" i="2"/>
  <c r="D113" i="8" s="1"/>
  <c r="D358" i="2"/>
  <c r="B113" i="8" s="1"/>
  <c r="AH432" i="2"/>
  <c r="R432" i="2"/>
  <c r="Q432" i="2"/>
  <c r="AD432" i="2" s="1"/>
  <c r="P432" i="2"/>
  <c r="M432" i="2"/>
  <c r="H432" i="2"/>
  <c r="G432" i="2"/>
  <c r="F432" i="2"/>
  <c r="D112" i="8" s="1"/>
  <c r="D432" i="2"/>
  <c r="AH379" i="2"/>
  <c r="R379" i="2"/>
  <c r="Q379" i="2"/>
  <c r="Z379" i="2" s="1"/>
  <c r="P379" i="2"/>
  <c r="M379" i="2"/>
  <c r="H379" i="2"/>
  <c r="G379" i="2"/>
  <c r="F379" i="2"/>
  <c r="D111" i="8" s="1"/>
  <c r="D379" i="2"/>
  <c r="AJ164" i="2"/>
  <c r="I229" i="3" s="1"/>
  <c r="P164" i="2"/>
  <c r="M164" i="2"/>
  <c r="H164" i="2"/>
  <c r="G164" i="2"/>
  <c r="E229" i="3" s="1"/>
  <c r="F164" i="2"/>
  <c r="D164" i="2"/>
  <c r="B229" i="3" s="1"/>
  <c r="AH380" i="2"/>
  <c r="R380" i="2"/>
  <c r="Q380" i="2"/>
  <c r="P380" i="2"/>
  <c r="M380" i="2"/>
  <c r="H380" i="2"/>
  <c r="G380" i="2"/>
  <c r="F380" i="2"/>
  <c r="D110" i="8" s="1"/>
  <c r="D380" i="2"/>
  <c r="B110" i="8" s="1"/>
  <c r="AH452" i="2"/>
  <c r="R452" i="2"/>
  <c r="Q452" i="2"/>
  <c r="P452" i="2"/>
  <c r="M452" i="2"/>
  <c r="H452" i="2"/>
  <c r="G452" i="2"/>
  <c r="F452" i="2"/>
  <c r="D452" i="2"/>
  <c r="AH431" i="2"/>
  <c r="R431" i="2"/>
  <c r="Q431" i="2"/>
  <c r="P431" i="2"/>
  <c r="M431" i="2"/>
  <c r="H431" i="2"/>
  <c r="G431" i="2"/>
  <c r="F431" i="2"/>
  <c r="D431" i="2"/>
  <c r="AJ152" i="2"/>
  <c r="P152" i="2"/>
  <c r="M152" i="2"/>
  <c r="H152" i="2"/>
  <c r="G152" i="2"/>
  <c r="F152" i="2"/>
  <c r="D31" i="9" s="1"/>
  <c r="D152" i="2"/>
  <c r="B31" i="9" s="1"/>
  <c r="AH450" i="2"/>
  <c r="R450" i="2"/>
  <c r="Q450" i="2"/>
  <c r="Y450" i="2" s="1"/>
  <c r="P450" i="2"/>
  <c r="M450" i="2"/>
  <c r="H450" i="2"/>
  <c r="G450" i="2"/>
  <c r="F450" i="2"/>
  <c r="D450" i="2"/>
  <c r="AH295" i="2"/>
  <c r="R295" i="2"/>
  <c r="Q295" i="2"/>
  <c r="AD295" i="2" s="1"/>
  <c r="P295" i="2"/>
  <c r="M295" i="2"/>
  <c r="H295" i="2"/>
  <c r="G295" i="2"/>
  <c r="F295" i="2"/>
  <c r="D109" i="8" s="1"/>
  <c r="D295" i="2"/>
  <c r="AH373" i="2"/>
  <c r="R373" i="2"/>
  <c r="Q373" i="2"/>
  <c r="P373" i="2"/>
  <c r="M373" i="2"/>
  <c r="H373" i="2"/>
  <c r="G373" i="2"/>
  <c r="F373" i="2"/>
  <c r="D108" i="8" s="1"/>
  <c r="D373" i="2"/>
  <c r="B108" i="8" s="1"/>
  <c r="AH369" i="2"/>
  <c r="R369" i="2"/>
  <c r="Q369" i="2"/>
  <c r="Z369" i="2" s="1"/>
  <c r="P369" i="2"/>
  <c r="M369" i="2"/>
  <c r="H369" i="2"/>
  <c r="G369" i="2"/>
  <c r="F369" i="2"/>
  <c r="D107" i="8" s="1"/>
  <c r="D369" i="2"/>
  <c r="B107" i="8" s="1"/>
  <c r="AH328" i="2"/>
  <c r="R328" i="2"/>
  <c r="Q328" i="2"/>
  <c r="AB328" i="2" s="1"/>
  <c r="P328" i="2"/>
  <c r="M328" i="2"/>
  <c r="H328" i="2"/>
  <c r="G328" i="2"/>
  <c r="F328" i="2"/>
  <c r="D328" i="2"/>
  <c r="AH389" i="2"/>
  <c r="R389" i="2"/>
  <c r="Q389" i="2"/>
  <c r="P389" i="2"/>
  <c r="M389" i="2"/>
  <c r="H389" i="2"/>
  <c r="G389" i="2"/>
  <c r="F389" i="2"/>
  <c r="D389" i="2"/>
  <c r="AH322" i="2"/>
  <c r="R322" i="2"/>
  <c r="Q322" i="2"/>
  <c r="AA322" i="2" s="1"/>
  <c r="P322" i="2"/>
  <c r="M322" i="2"/>
  <c r="H322" i="2"/>
  <c r="G322" i="2"/>
  <c r="F322" i="2"/>
  <c r="D322" i="2"/>
  <c r="AH363" i="2"/>
  <c r="R363" i="2"/>
  <c r="Q363" i="2"/>
  <c r="P363" i="2"/>
  <c r="M363" i="2"/>
  <c r="H363" i="2"/>
  <c r="G363" i="2"/>
  <c r="F363" i="2"/>
  <c r="D363" i="2"/>
  <c r="AH361" i="2"/>
  <c r="R361" i="2"/>
  <c r="Q361" i="2"/>
  <c r="P361" i="2"/>
  <c r="M361" i="2"/>
  <c r="H361" i="2"/>
  <c r="G361" i="2"/>
  <c r="F361" i="2"/>
  <c r="D106" i="8" s="1"/>
  <c r="D361" i="2"/>
  <c r="B106" i="8" s="1"/>
  <c r="AJ161" i="2"/>
  <c r="P161" i="2"/>
  <c r="M161" i="2"/>
  <c r="H161" i="2"/>
  <c r="G161" i="2"/>
  <c r="F161" i="2"/>
  <c r="D30" i="9" s="1"/>
  <c r="D161" i="2"/>
  <c r="AH384" i="2"/>
  <c r="R384" i="2"/>
  <c r="Q384" i="2"/>
  <c r="P384" i="2"/>
  <c r="M384" i="2"/>
  <c r="H384" i="2"/>
  <c r="G384" i="2"/>
  <c r="F384" i="2"/>
  <c r="D105" i="8" s="1"/>
  <c r="D384" i="2"/>
  <c r="AH354" i="2"/>
  <c r="R354" i="2"/>
  <c r="Q354" i="2"/>
  <c r="AA354" i="2" s="1"/>
  <c r="P354" i="2"/>
  <c r="M354" i="2"/>
  <c r="H354" i="2"/>
  <c r="G354" i="2"/>
  <c r="F354" i="2"/>
  <c r="D104" i="8" s="1"/>
  <c r="D354" i="2"/>
  <c r="B104" i="8" s="1"/>
  <c r="AH402" i="2"/>
  <c r="R402" i="2"/>
  <c r="Q402" i="2"/>
  <c r="AD402" i="2" s="1"/>
  <c r="P402" i="2"/>
  <c r="M402" i="2"/>
  <c r="H402" i="2"/>
  <c r="G402" i="2"/>
  <c r="F402" i="2"/>
  <c r="D402" i="2"/>
  <c r="AH315" i="2"/>
  <c r="Z4" i="3" s="1"/>
  <c r="R315" i="2"/>
  <c r="J4" i="3" s="1"/>
  <c r="Q315" i="2"/>
  <c r="I4" i="3" s="1"/>
  <c r="P315" i="2"/>
  <c r="M315" i="2"/>
  <c r="H315" i="2"/>
  <c r="G315" i="2"/>
  <c r="E4" i="3" s="1"/>
  <c r="F315" i="2"/>
  <c r="D4" i="3" s="1"/>
  <c r="D315" i="2"/>
  <c r="B4" i="3" s="1"/>
  <c r="AH334" i="2"/>
  <c r="R334" i="2"/>
  <c r="Q334" i="2"/>
  <c r="P334" i="2"/>
  <c r="M334" i="2"/>
  <c r="H334" i="2"/>
  <c r="G334" i="2"/>
  <c r="F334" i="2"/>
  <c r="D103" i="8" s="1"/>
  <c r="D334" i="2"/>
  <c r="AH377" i="2"/>
  <c r="R377" i="2"/>
  <c r="Q377" i="2"/>
  <c r="AD377" i="2" s="1"/>
  <c r="P377" i="2"/>
  <c r="M377" i="2"/>
  <c r="H377" i="2"/>
  <c r="G377" i="2"/>
  <c r="F377" i="2"/>
  <c r="D377" i="2"/>
  <c r="AH327" i="2"/>
  <c r="R327" i="2"/>
  <c r="Q327" i="2"/>
  <c r="P327" i="2"/>
  <c r="M327" i="2"/>
  <c r="H327" i="2"/>
  <c r="G327" i="2"/>
  <c r="F327" i="2"/>
  <c r="D327" i="2"/>
  <c r="AH382" i="2"/>
  <c r="R382" i="2"/>
  <c r="Q382" i="2"/>
  <c r="AB382" i="2" s="1"/>
  <c r="P382" i="2"/>
  <c r="M382" i="2"/>
  <c r="H382" i="2"/>
  <c r="G382" i="2"/>
  <c r="F382" i="2"/>
  <c r="D382" i="2"/>
  <c r="AH336" i="2"/>
  <c r="R336" i="2"/>
  <c r="Q336" i="2"/>
  <c r="AB336" i="2" s="1"/>
  <c r="P336" i="2"/>
  <c r="M336" i="2"/>
  <c r="H336" i="2"/>
  <c r="G336" i="2"/>
  <c r="F336" i="2"/>
  <c r="D102" i="8" s="1"/>
  <c r="D336" i="2"/>
  <c r="B102" i="8" s="1"/>
  <c r="AH335" i="2"/>
  <c r="R335" i="2"/>
  <c r="Q335" i="2"/>
  <c r="Z335" i="2" s="1"/>
  <c r="P335" i="2"/>
  <c r="M335" i="2"/>
  <c r="H335" i="2"/>
  <c r="G335" i="2"/>
  <c r="F335" i="2"/>
  <c r="D335" i="2"/>
  <c r="AH287" i="2"/>
  <c r="R287" i="2"/>
  <c r="Q287" i="2"/>
  <c r="AA287" i="2" s="1"/>
  <c r="P287" i="2"/>
  <c r="M287" i="2"/>
  <c r="H287" i="2"/>
  <c r="G287" i="2"/>
  <c r="F287" i="2"/>
  <c r="D101" i="8" s="1"/>
  <c r="D287" i="2"/>
  <c r="AH391" i="2"/>
  <c r="Z67" i="3" s="1"/>
  <c r="R391" i="2"/>
  <c r="J67" i="3" s="1"/>
  <c r="Q391" i="2"/>
  <c r="P391" i="2"/>
  <c r="M391" i="2"/>
  <c r="H391" i="2"/>
  <c r="G391" i="2"/>
  <c r="E67" i="3" s="1"/>
  <c r="F391" i="2"/>
  <c r="D67" i="3" s="1"/>
  <c r="D391" i="2"/>
  <c r="B67" i="3" s="1"/>
  <c r="AH367" i="2"/>
  <c r="R367" i="2"/>
  <c r="Q367" i="2"/>
  <c r="P367" i="2"/>
  <c r="M367" i="2"/>
  <c r="H367" i="2"/>
  <c r="G367" i="2"/>
  <c r="F367" i="2"/>
  <c r="D100" i="8" s="1"/>
  <c r="D367" i="2"/>
  <c r="B100" i="8" s="1"/>
  <c r="AH301" i="2"/>
  <c r="R301" i="2"/>
  <c r="Q301" i="2"/>
  <c r="P301" i="2"/>
  <c r="M301" i="2"/>
  <c r="H301" i="2"/>
  <c r="G301" i="2"/>
  <c r="F301" i="2"/>
  <c r="D301" i="2"/>
  <c r="AH326" i="2"/>
  <c r="R326" i="2"/>
  <c r="Q326" i="2"/>
  <c r="AA326" i="2" s="1"/>
  <c r="P326" i="2"/>
  <c r="M326" i="2"/>
  <c r="H326" i="2"/>
  <c r="G326" i="2"/>
  <c r="F326" i="2"/>
  <c r="D99" i="8" s="1"/>
  <c r="D326" i="2"/>
  <c r="AH350" i="2"/>
  <c r="R350" i="2"/>
  <c r="Q350" i="2"/>
  <c r="P350" i="2"/>
  <c r="M350" i="2"/>
  <c r="H350" i="2"/>
  <c r="G350" i="2"/>
  <c r="F350" i="2"/>
  <c r="D98" i="8" s="1"/>
  <c r="D350" i="2"/>
  <c r="B98" i="8" s="1"/>
  <c r="AH284" i="2"/>
  <c r="R284" i="2"/>
  <c r="Q284" i="2"/>
  <c r="P284" i="2"/>
  <c r="M284" i="2"/>
  <c r="H284" i="2"/>
  <c r="G284" i="2"/>
  <c r="F284" i="2"/>
  <c r="D284" i="2"/>
  <c r="AH365" i="2"/>
  <c r="Z190" i="3" s="1"/>
  <c r="R365" i="2"/>
  <c r="J190" i="3" s="1"/>
  <c r="Q365" i="2"/>
  <c r="I190" i="3" s="1"/>
  <c r="P365" i="2"/>
  <c r="M365" i="2"/>
  <c r="H365" i="2"/>
  <c r="G365" i="2"/>
  <c r="E190" i="3" s="1"/>
  <c r="F365" i="2"/>
  <c r="D365" i="2"/>
  <c r="B190" i="3" s="1"/>
  <c r="AH356" i="2"/>
  <c r="R356" i="2"/>
  <c r="Q356" i="2"/>
  <c r="P356" i="2"/>
  <c r="M356" i="2"/>
  <c r="H356" i="2"/>
  <c r="G356" i="2"/>
  <c r="F356" i="2"/>
  <c r="D356" i="2"/>
  <c r="AH392" i="2"/>
  <c r="R392" i="2"/>
  <c r="Q392" i="2"/>
  <c r="Z392" i="2" s="1"/>
  <c r="P392" i="2"/>
  <c r="M392" i="2"/>
  <c r="H392" i="2"/>
  <c r="G392" i="2"/>
  <c r="F392" i="2"/>
  <c r="D392" i="2"/>
  <c r="AH258" i="2"/>
  <c r="R258" i="2"/>
  <c r="Q258" i="2"/>
  <c r="AG258" i="2" s="1"/>
  <c r="P258" i="2"/>
  <c r="M258" i="2"/>
  <c r="H258" i="2"/>
  <c r="G258" i="2"/>
  <c r="F258" i="2"/>
  <c r="D258" i="2"/>
  <c r="AH325" i="2"/>
  <c r="R325" i="2"/>
  <c r="Q325" i="2"/>
  <c r="AB325" i="2" s="1"/>
  <c r="P325" i="2"/>
  <c r="M325" i="2"/>
  <c r="H325" i="2"/>
  <c r="G325" i="2"/>
  <c r="F325" i="2"/>
  <c r="D96" i="8" s="1"/>
  <c r="D325" i="2"/>
  <c r="B96" i="8" s="1"/>
  <c r="AH323" i="2"/>
  <c r="R323" i="2"/>
  <c r="Q323" i="2"/>
  <c r="P323" i="2"/>
  <c r="M323" i="2"/>
  <c r="H323" i="2"/>
  <c r="G323" i="2"/>
  <c r="F323" i="2"/>
  <c r="D323" i="2"/>
  <c r="AH343" i="2"/>
  <c r="R343" i="2"/>
  <c r="Q343" i="2"/>
  <c r="P343" i="2"/>
  <c r="M343" i="2"/>
  <c r="H343" i="2"/>
  <c r="G343" i="2"/>
  <c r="F343" i="2"/>
  <c r="D343" i="2"/>
  <c r="AH149" i="2"/>
  <c r="Z323" i="3" s="1"/>
  <c r="R149" i="2"/>
  <c r="J323" i="3" s="1"/>
  <c r="Q149" i="2"/>
  <c r="I323" i="3" s="1"/>
  <c r="P149" i="2"/>
  <c r="M149" i="2"/>
  <c r="H149" i="2"/>
  <c r="G149" i="2"/>
  <c r="E323" i="3" s="1"/>
  <c r="F149" i="2"/>
  <c r="D323" i="3" s="1"/>
  <c r="D149" i="2"/>
  <c r="B323" i="3" s="1"/>
  <c r="AH344" i="2"/>
  <c r="R344" i="2"/>
  <c r="Q344" i="2"/>
  <c r="P344" i="2"/>
  <c r="M344" i="2"/>
  <c r="H344" i="2"/>
  <c r="G344" i="2"/>
  <c r="F344" i="2"/>
  <c r="D95" i="8" s="1"/>
  <c r="D344" i="2"/>
  <c r="B95" i="8" s="1"/>
  <c r="AH378" i="2"/>
  <c r="R378" i="2"/>
  <c r="Q378" i="2"/>
  <c r="AA378" i="2" s="1"/>
  <c r="P378" i="2"/>
  <c r="M378" i="2"/>
  <c r="H378" i="2"/>
  <c r="G378" i="2"/>
  <c r="F378" i="2"/>
  <c r="D378" i="2"/>
  <c r="AH345" i="2"/>
  <c r="R345" i="2"/>
  <c r="Q345" i="2"/>
  <c r="P345" i="2"/>
  <c r="M345" i="2"/>
  <c r="H345" i="2"/>
  <c r="G345" i="2"/>
  <c r="F345" i="2"/>
  <c r="D94" i="8" s="1"/>
  <c r="D345" i="2"/>
  <c r="B94" i="8" s="1"/>
  <c r="AH286" i="2"/>
  <c r="Z296" i="3" s="1"/>
  <c r="R286" i="2"/>
  <c r="J296" i="3" s="1"/>
  <c r="Q286" i="2"/>
  <c r="I296" i="3" s="1"/>
  <c r="P286" i="2"/>
  <c r="M286" i="2"/>
  <c r="H286" i="2"/>
  <c r="G286" i="2"/>
  <c r="E296" i="3" s="1"/>
  <c r="F286" i="2"/>
  <c r="D296" i="3" s="1"/>
  <c r="D286" i="2"/>
  <c r="B296" i="3" s="1"/>
  <c r="AH313" i="2"/>
  <c r="R313" i="2"/>
  <c r="Q313" i="2"/>
  <c r="AG313" i="2" s="1"/>
  <c r="P313" i="2"/>
  <c r="M313" i="2"/>
  <c r="H313" i="2"/>
  <c r="G313" i="2"/>
  <c r="F313" i="2"/>
  <c r="D93" i="8" s="1"/>
  <c r="D313" i="2"/>
  <c r="B93" i="8" s="1"/>
  <c r="AH340" i="2"/>
  <c r="R340" i="2"/>
  <c r="Q340" i="2"/>
  <c r="AD340" i="2" s="1"/>
  <c r="P340" i="2"/>
  <c r="M340" i="2"/>
  <c r="H340" i="2"/>
  <c r="G340" i="2"/>
  <c r="F340" i="2"/>
  <c r="D92" i="8" s="1"/>
  <c r="D340" i="2"/>
  <c r="B92" i="8" s="1"/>
  <c r="AH224" i="2"/>
  <c r="R224" i="2"/>
  <c r="Q224" i="2"/>
  <c r="AG224" i="2" s="1"/>
  <c r="P224" i="2"/>
  <c r="M224" i="2"/>
  <c r="H224" i="2"/>
  <c r="G224" i="2"/>
  <c r="F224" i="2"/>
  <c r="D91" i="8" s="1"/>
  <c r="D224" i="2"/>
  <c r="B91" i="8" s="1"/>
  <c r="AH339" i="2"/>
  <c r="R339" i="2"/>
  <c r="Q339" i="2"/>
  <c r="P339" i="2"/>
  <c r="M339" i="2"/>
  <c r="H339" i="2"/>
  <c r="G339" i="2"/>
  <c r="F339" i="2"/>
  <c r="D90" i="8" s="1"/>
  <c r="D339" i="2"/>
  <c r="B90" i="8" s="1"/>
  <c r="AH348" i="2"/>
  <c r="R348" i="2"/>
  <c r="Q348" i="2"/>
  <c r="AF348" i="2" s="1"/>
  <c r="P348" i="2"/>
  <c r="M348" i="2"/>
  <c r="H348" i="2"/>
  <c r="G348" i="2"/>
  <c r="F348" i="2"/>
  <c r="D348" i="2"/>
  <c r="AJ143" i="2"/>
  <c r="I316" i="3" s="1"/>
  <c r="P143" i="2"/>
  <c r="M143" i="2"/>
  <c r="H143" i="2"/>
  <c r="G143" i="2"/>
  <c r="E316" i="3" s="1"/>
  <c r="F143" i="2"/>
  <c r="D143" i="2"/>
  <c r="AH360" i="2"/>
  <c r="R360" i="2"/>
  <c r="Q360" i="2"/>
  <c r="AA360" i="2" s="1"/>
  <c r="P360" i="2"/>
  <c r="M360" i="2"/>
  <c r="H360" i="2"/>
  <c r="G360" i="2"/>
  <c r="F360" i="2"/>
  <c r="D360" i="2"/>
  <c r="AJ154" i="2"/>
  <c r="P154" i="2"/>
  <c r="M154" i="2"/>
  <c r="H154" i="2"/>
  <c r="G154" i="2"/>
  <c r="F154" i="2"/>
  <c r="D28" i="9" s="1"/>
  <c r="D154" i="2"/>
  <c r="B28" i="9" s="1"/>
  <c r="AH294" i="2"/>
  <c r="R294" i="2"/>
  <c r="Q294" i="2"/>
  <c r="P294" i="2"/>
  <c r="M294" i="2"/>
  <c r="H294" i="2"/>
  <c r="G294" i="2"/>
  <c r="F294" i="2"/>
  <c r="D89" i="8" s="1"/>
  <c r="D294" i="2"/>
  <c r="B89" i="8" s="1"/>
  <c r="AH299" i="2"/>
  <c r="R299" i="2"/>
  <c r="Q299" i="2"/>
  <c r="P299" i="2"/>
  <c r="M299" i="2"/>
  <c r="H299" i="2"/>
  <c r="G299" i="2"/>
  <c r="F299" i="2"/>
  <c r="D299" i="2"/>
  <c r="AH303" i="2"/>
  <c r="R303" i="2"/>
  <c r="Q303" i="2"/>
  <c r="P303" i="2"/>
  <c r="M303" i="2"/>
  <c r="H303" i="2"/>
  <c r="G303" i="2"/>
  <c r="F303" i="2"/>
  <c r="D303" i="2"/>
  <c r="AH275" i="2"/>
  <c r="R275" i="2"/>
  <c r="Q275" i="2"/>
  <c r="AF275" i="2" s="1"/>
  <c r="P275" i="2"/>
  <c r="M275" i="2"/>
  <c r="H275" i="2"/>
  <c r="G275" i="2"/>
  <c r="F275" i="2"/>
  <c r="D275" i="2"/>
  <c r="AH353" i="2"/>
  <c r="R353" i="2"/>
  <c r="Q353" i="2"/>
  <c r="P353" i="2"/>
  <c r="M353" i="2"/>
  <c r="H353" i="2"/>
  <c r="G353" i="2"/>
  <c r="F353" i="2"/>
  <c r="D88" i="8" s="1"/>
  <c r="D353" i="2"/>
  <c r="AH387" i="2"/>
  <c r="R387" i="2"/>
  <c r="Q387" i="2"/>
  <c r="P387" i="2"/>
  <c r="M387" i="2"/>
  <c r="H387" i="2"/>
  <c r="G387" i="2"/>
  <c r="F387" i="2"/>
  <c r="D387" i="2"/>
  <c r="AH256" i="2"/>
  <c r="Z189" i="3" s="1"/>
  <c r="R256" i="2"/>
  <c r="J189" i="3" s="1"/>
  <c r="Q256" i="2"/>
  <c r="I189" i="3" s="1"/>
  <c r="P256" i="2"/>
  <c r="M256" i="2"/>
  <c r="H256" i="2"/>
  <c r="G256" i="2"/>
  <c r="E189" i="3" s="1"/>
  <c r="F256" i="2"/>
  <c r="D256" i="2"/>
  <c r="B189" i="3" s="1"/>
  <c r="AH263" i="2"/>
  <c r="Z62" i="3" s="1"/>
  <c r="R263" i="2"/>
  <c r="J62" i="3" s="1"/>
  <c r="Q263" i="2"/>
  <c r="I62" i="3" s="1"/>
  <c r="P263" i="2"/>
  <c r="M263" i="2"/>
  <c r="H263" i="2"/>
  <c r="G263" i="2"/>
  <c r="E62" i="3" s="1"/>
  <c r="F263" i="2"/>
  <c r="D62" i="3" s="1"/>
  <c r="D263" i="2"/>
  <c r="B62" i="3" s="1"/>
  <c r="AH259" i="2"/>
  <c r="Z69" i="3" s="1"/>
  <c r="R259" i="2"/>
  <c r="J69" i="3" s="1"/>
  <c r="Q259" i="2"/>
  <c r="I69" i="3" s="1"/>
  <c r="P259" i="2"/>
  <c r="M259" i="2"/>
  <c r="H259" i="2"/>
  <c r="G259" i="2"/>
  <c r="E69" i="3" s="1"/>
  <c r="F259" i="2"/>
  <c r="D69" i="3" s="1"/>
  <c r="D259" i="2"/>
  <c r="B69" i="3" s="1"/>
  <c r="AJ145" i="2"/>
  <c r="I286" i="3" s="1"/>
  <c r="P145" i="2"/>
  <c r="M145" i="2"/>
  <c r="H145" i="2"/>
  <c r="G145" i="2"/>
  <c r="E286" i="3" s="1"/>
  <c r="F145" i="2"/>
  <c r="D145" i="2"/>
  <c r="AH297" i="2"/>
  <c r="R297" i="2"/>
  <c r="Q297" i="2"/>
  <c r="AG297" i="2" s="1"/>
  <c r="P297" i="2"/>
  <c r="M297" i="2"/>
  <c r="H297" i="2"/>
  <c r="G297" i="2"/>
  <c r="F297" i="2"/>
  <c r="D297" i="2"/>
  <c r="AH257" i="2"/>
  <c r="R257" i="2"/>
  <c r="Q257" i="2"/>
  <c r="AG257" i="2" s="1"/>
  <c r="P257" i="2"/>
  <c r="M257" i="2"/>
  <c r="H257" i="2"/>
  <c r="G257" i="2"/>
  <c r="F257" i="2"/>
  <c r="D257" i="2"/>
  <c r="AH362" i="2"/>
  <c r="R362" i="2"/>
  <c r="Q362" i="2"/>
  <c r="P362" i="2"/>
  <c r="M362" i="2"/>
  <c r="H362" i="2"/>
  <c r="G362" i="2"/>
  <c r="F362" i="2"/>
  <c r="D362" i="2"/>
  <c r="AH337" i="2"/>
  <c r="R337" i="2"/>
  <c r="Q337" i="2"/>
  <c r="P337" i="2"/>
  <c r="M337" i="2"/>
  <c r="H337" i="2"/>
  <c r="G337" i="2"/>
  <c r="F337" i="2"/>
  <c r="D337" i="2"/>
  <c r="AH317" i="2"/>
  <c r="R317" i="2"/>
  <c r="Q317" i="2"/>
  <c r="P317" i="2"/>
  <c r="M317" i="2"/>
  <c r="H317" i="2"/>
  <c r="G317" i="2"/>
  <c r="F317" i="2"/>
  <c r="D86" i="8" s="1"/>
  <c r="D317" i="2"/>
  <c r="AJ135" i="2"/>
  <c r="I26" i="3" s="1"/>
  <c r="P135" i="2"/>
  <c r="M135" i="2"/>
  <c r="H135" i="2"/>
  <c r="G135" i="2"/>
  <c r="E26" i="3" s="1"/>
  <c r="F135" i="2"/>
  <c r="D135" i="2"/>
  <c r="AH316" i="2"/>
  <c r="R316" i="2"/>
  <c r="Q316" i="2"/>
  <c r="P316" i="2"/>
  <c r="M316" i="2"/>
  <c r="H316" i="2"/>
  <c r="G316" i="2"/>
  <c r="F316" i="2"/>
  <c r="D85" i="8" s="1"/>
  <c r="D316" i="2"/>
  <c r="B85" i="8" s="1"/>
  <c r="AH318" i="2"/>
  <c r="R318" i="2"/>
  <c r="Q318" i="2"/>
  <c r="Z318" i="2" s="1"/>
  <c r="P318" i="2"/>
  <c r="M318" i="2"/>
  <c r="H318" i="2"/>
  <c r="G318" i="2"/>
  <c r="F318" i="2"/>
  <c r="D318" i="2"/>
  <c r="AH302" i="2"/>
  <c r="R302" i="2"/>
  <c r="Q302" i="2"/>
  <c r="AD302" i="2" s="1"/>
  <c r="P302" i="2"/>
  <c r="M302" i="2"/>
  <c r="H302" i="2"/>
  <c r="G302" i="2"/>
  <c r="F302" i="2"/>
  <c r="D302" i="2"/>
  <c r="AH255" i="2"/>
  <c r="R255" i="2"/>
  <c r="Q255" i="2"/>
  <c r="P255" i="2"/>
  <c r="M255" i="2"/>
  <c r="H255" i="2"/>
  <c r="G255" i="2"/>
  <c r="F255" i="2"/>
  <c r="D255" i="2"/>
  <c r="AH198" i="2"/>
  <c r="R198" i="2"/>
  <c r="Q198" i="2"/>
  <c r="P198" i="2"/>
  <c r="M198" i="2"/>
  <c r="H198" i="2"/>
  <c r="G198" i="2"/>
  <c r="F198" i="2"/>
  <c r="D84" i="8" s="1"/>
  <c r="D198" i="2"/>
  <c r="B84" i="8" s="1"/>
  <c r="AH288" i="2"/>
  <c r="Z243" i="3" s="1"/>
  <c r="R288" i="2"/>
  <c r="J243" i="3" s="1"/>
  <c r="Q288" i="2"/>
  <c r="I243" i="3" s="1"/>
  <c r="P288" i="2"/>
  <c r="M288" i="2"/>
  <c r="H288" i="2"/>
  <c r="G288" i="2"/>
  <c r="E243" i="3" s="1"/>
  <c r="F288" i="2"/>
  <c r="D243" i="3" s="1"/>
  <c r="D288" i="2"/>
  <c r="B243" i="3" s="1"/>
  <c r="AH175" i="2"/>
  <c r="R175" i="2"/>
  <c r="Q175" i="2"/>
  <c r="AF175" i="2" s="1"/>
  <c r="P175" i="2"/>
  <c r="M175" i="2"/>
  <c r="H175" i="2"/>
  <c r="G175" i="2"/>
  <c r="F175" i="2"/>
  <c r="D83" i="8" s="1"/>
  <c r="D175" i="2"/>
  <c r="AH278" i="2"/>
  <c r="R278" i="2"/>
  <c r="Q278" i="2"/>
  <c r="AG278" i="2" s="1"/>
  <c r="P278" i="2"/>
  <c r="M278" i="2"/>
  <c r="H278" i="2"/>
  <c r="G278" i="2"/>
  <c r="F278" i="2"/>
  <c r="D278" i="2"/>
  <c r="AH251" i="2"/>
  <c r="R251" i="2"/>
  <c r="Q251" i="2"/>
  <c r="P251" i="2"/>
  <c r="M251" i="2"/>
  <c r="H251" i="2"/>
  <c r="G251" i="2"/>
  <c r="F251" i="2"/>
  <c r="D82" i="8" s="1"/>
  <c r="D251" i="2"/>
  <c r="AH274" i="2"/>
  <c r="R274" i="2"/>
  <c r="Q274" i="2"/>
  <c r="AA274" i="2" s="1"/>
  <c r="P274" i="2"/>
  <c r="M274" i="2"/>
  <c r="H274" i="2"/>
  <c r="G274" i="2"/>
  <c r="F274" i="2"/>
  <c r="D81" i="8" s="1"/>
  <c r="D274" i="2"/>
  <c r="B81" i="8" s="1"/>
  <c r="AH298" i="2"/>
  <c r="R298" i="2"/>
  <c r="Q298" i="2"/>
  <c r="P298" i="2"/>
  <c r="M298" i="2"/>
  <c r="H298" i="2"/>
  <c r="G298" i="2"/>
  <c r="F298" i="2"/>
  <c r="D298" i="2"/>
  <c r="AH213" i="2"/>
  <c r="R213" i="2"/>
  <c r="Q213" i="2"/>
  <c r="AG213" i="2" s="1"/>
  <c r="P213" i="2"/>
  <c r="M213" i="2"/>
  <c r="H213" i="2"/>
  <c r="G213" i="2"/>
  <c r="F213" i="2"/>
  <c r="D213" i="2"/>
  <c r="AH300" i="2"/>
  <c r="R300" i="2"/>
  <c r="Q300" i="2"/>
  <c r="AG300" i="2" s="1"/>
  <c r="P300" i="2"/>
  <c r="M300" i="2"/>
  <c r="H300" i="2"/>
  <c r="G300" i="2"/>
  <c r="F300" i="2"/>
  <c r="D80" i="8" s="1"/>
  <c r="D300" i="2"/>
  <c r="B80" i="8" s="1"/>
  <c r="AH319" i="2"/>
  <c r="Z66" i="3" s="1"/>
  <c r="R319" i="2"/>
  <c r="J66" i="3" s="1"/>
  <c r="Q319" i="2"/>
  <c r="I66" i="3" s="1"/>
  <c r="P319" i="2"/>
  <c r="M319" i="2"/>
  <c r="H319" i="2"/>
  <c r="G319" i="2"/>
  <c r="E66" i="3" s="1"/>
  <c r="F319" i="2"/>
  <c r="D66" i="3" s="1"/>
  <c r="D319" i="2"/>
  <c r="B66" i="3" s="1"/>
  <c r="AH311" i="2"/>
  <c r="R311" i="2"/>
  <c r="Q311" i="2"/>
  <c r="AD311" i="2" s="1"/>
  <c r="P311" i="2"/>
  <c r="M311" i="2"/>
  <c r="H311" i="2"/>
  <c r="G311" i="2"/>
  <c r="F311" i="2"/>
  <c r="D79" i="8" s="1"/>
  <c r="D311" i="2"/>
  <c r="B79" i="8" s="1"/>
  <c r="AH202" i="2"/>
  <c r="R202" i="2"/>
  <c r="Q202" i="2"/>
  <c r="P202" i="2"/>
  <c r="M202" i="2"/>
  <c r="H202" i="2"/>
  <c r="G202" i="2"/>
  <c r="F202" i="2"/>
  <c r="D78" i="8" s="1"/>
  <c r="D202" i="2"/>
  <c r="B78" i="8" s="1"/>
  <c r="AH331" i="2"/>
  <c r="R331" i="2"/>
  <c r="Q331" i="2"/>
  <c r="P331" i="2"/>
  <c r="M331" i="2"/>
  <c r="H331" i="2"/>
  <c r="G331" i="2"/>
  <c r="F331" i="2"/>
  <c r="D331" i="2"/>
  <c r="AH291" i="2"/>
  <c r="R291" i="2"/>
  <c r="Q291" i="2"/>
  <c r="P291" i="2"/>
  <c r="M291" i="2"/>
  <c r="H291" i="2"/>
  <c r="G291" i="2"/>
  <c r="F291" i="2"/>
  <c r="D77" i="8" s="1"/>
  <c r="D291" i="2"/>
  <c r="AH283" i="2"/>
  <c r="R283" i="2"/>
  <c r="Q283" i="2"/>
  <c r="Z283" i="2" s="1"/>
  <c r="P283" i="2"/>
  <c r="M283" i="2"/>
  <c r="H283" i="2"/>
  <c r="G283" i="2"/>
  <c r="F283" i="2"/>
  <c r="D283" i="2"/>
  <c r="AH314" i="2"/>
  <c r="R314" i="2"/>
  <c r="Q314" i="2"/>
  <c r="P314" i="2"/>
  <c r="M314" i="2"/>
  <c r="H314" i="2"/>
  <c r="G314" i="2"/>
  <c r="F314" i="2"/>
  <c r="D314" i="2"/>
  <c r="AH243" i="2"/>
  <c r="R243" i="2"/>
  <c r="Q243" i="2"/>
  <c r="P243" i="2"/>
  <c r="M243" i="2"/>
  <c r="H243" i="2"/>
  <c r="G243" i="2"/>
  <c r="F243" i="2"/>
  <c r="D76" i="8" s="1"/>
  <c r="D243" i="2"/>
  <c r="B76" i="8" s="1"/>
  <c r="AH310" i="2"/>
  <c r="R310" i="2"/>
  <c r="Q310" i="2"/>
  <c r="AA310" i="2" s="1"/>
  <c r="P310" i="2"/>
  <c r="M310" i="2"/>
  <c r="H310" i="2"/>
  <c r="G310" i="2"/>
  <c r="F310" i="2"/>
  <c r="D75" i="8" s="1"/>
  <c r="D310" i="2"/>
  <c r="B75" i="8" s="1"/>
  <c r="AH307" i="2"/>
  <c r="R307" i="2"/>
  <c r="Q307" i="2"/>
  <c r="P307" i="2"/>
  <c r="M307" i="2"/>
  <c r="H307" i="2"/>
  <c r="G307" i="2"/>
  <c r="F307" i="2"/>
  <c r="D74" i="8" s="1"/>
  <c r="D307" i="2"/>
  <c r="B74" i="8" s="1"/>
  <c r="AH234" i="2"/>
  <c r="Z328" i="3" s="1"/>
  <c r="R234" i="2"/>
  <c r="J328" i="3" s="1"/>
  <c r="Q234" i="2"/>
  <c r="I328" i="3" s="1"/>
  <c r="P234" i="2"/>
  <c r="M234" i="2"/>
  <c r="H234" i="2"/>
  <c r="G234" i="2"/>
  <c r="E328" i="3" s="1"/>
  <c r="F234" i="2"/>
  <c r="D328" i="3" s="1"/>
  <c r="D234" i="2"/>
  <c r="B328" i="3" s="1"/>
  <c r="AH235" i="2"/>
  <c r="R235" i="2"/>
  <c r="Q235" i="2"/>
  <c r="P235" i="2"/>
  <c r="M235" i="2"/>
  <c r="H235" i="2"/>
  <c r="G235" i="2"/>
  <c r="F235" i="2"/>
  <c r="D73" i="8" s="1"/>
  <c r="D235" i="2"/>
  <c r="B73" i="8" s="1"/>
  <c r="AH305" i="2"/>
  <c r="R305" i="2"/>
  <c r="Q305" i="2"/>
  <c r="P305" i="2"/>
  <c r="M305" i="2"/>
  <c r="H305" i="2"/>
  <c r="G305" i="2"/>
  <c r="F305" i="2"/>
  <c r="D305" i="2"/>
  <c r="AH252" i="2"/>
  <c r="R252" i="2"/>
  <c r="Q252" i="2"/>
  <c r="P252" i="2"/>
  <c r="M252" i="2"/>
  <c r="H252" i="2"/>
  <c r="G252" i="2"/>
  <c r="F252" i="2"/>
  <c r="D72" i="8" s="1"/>
  <c r="D252" i="2"/>
  <c r="AH223" i="2"/>
  <c r="R223" i="2"/>
  <c r="Q223" i="2"/>
  <c r="P223" i="2"/>
  <c r="M223" i="2"/>
  <c r="H223" i="2"/>
  <c r="G223" i="2"/>
  <c r="F223" i="2"/>
  <c r="D223" i="2"/>
  <c r="AH253" i="2"/>
  <c r="R253" i="2"/>
  <c r="Q253" i="2"/>
  <c r="P253" i="2"/>
  <c r="M253" i="2"/>
  <c r="H253" i="2"/>
  <c r="G253" i="2"/>
  <c r="F253" i="2"/>
  <c r="D71" i="8" s="1"/>
  <c r="D253" i="2"/>
  <c r="AH266" i="2"/>
  <c r="R266" i="2"/>
  <c r="Q266" i="2"/>
  <c r="AD266" i="2" s="1"/>
  <c r="P266" i="2"/>
  <c r="M266" i="2"/>
  <c r="H266" i="2"/>
  <c r="G266" i="2"/>
  <c r="F266" i="2"/>
  <c r="D70" i="8" s="1"/>
  <c r="D266" i="2"/>
  <c r="B70" i="8" s="1"/>
  <c r="AH244" i="2"/>
  <c r="Z127" i="3" s="1"/>
  <c r="R244" i="2"/>
  <c r="J127" i="3" s="1"/>
  <c r="Q244" i="2"/>
  <c r="AA244" i="2" s="1"/>
  <c r="S127" i="3" s="1"/>
  <c r="P244" i="2"/>
  <c r="M244" i="2"/>
  <c r="H244" i="2"/>
  <c r="G244" i="2"/>
  <c r="E127" i="3" s="1"/>
  <c r="F244" i="2"/>
  <c r="D127" i="3" s="1"/>
  <c r="D244" i="2"/>
  <c r="B127" i="3" s="1"/>
  <c r="AH185" i="2"/>
  <c r="Z33" i="3" s="1"/>
  <c r="R185" i="2"/>
  <c r="J33" i="3" s="1"/>
  <c r="Q185" i="2"/>
  <c r="Y185" i="2" s="1"/>
  <c r="Q33" i="3" s="1"/>
  <c r="P185" i="2"/>
  <c r="M185" i="2"/>
  <c r="H185" i="2"/>
  <c r="G185" i="2"/>
  <c r="E33" i="3" s="1"/>
  <c r="F185" i="2"/>
  <c r="D33" i="3" s="1"/>
  <c r="D185" i="2"/>
  <c r="B33" i="3" s="1"/>
  <c r="AH231" i="2"/>
  <c r="R231" i="2"/>
  <c r="Q231" i="2"/>
  <c r="AG231" i="2" s="1"/>
  <c r="P231" i="2"/>
  <c r="M231" i="2"/>
  <c r="H231" i="2"/>
  <c r="G231" i="2"/>
  <c r="F231" i="2"/>
  <c r="D69" i="8" s="1"/>
  <c r="D231" i="2"/>
  <c r="B69" i="8" s="1"/>
  <c r="AH203" i="2"/>
  <c r="R203" i="2"/>
  <c r="Q203" i="2"/>
  <c r="AF203" i="2" s="1"/>
  <c r="P203" i="2"/>
  <c r="M203" i="2"/>
  <c r="H203" i="2"/>
  <c r="G203" i="2"/>
  <c r="F203" i="2"/>
  <c r="D68" i="8" s="1"/>
  <c r="D203" i="2"/>
  <c r="B68" i="8" s="1"/>
  <c r="AH191" i="2"/>
  <c r="R191" i="2"/>
  <c r="Q191" i="2"/>
  <c r="P191" i="2"/>
  <c r="M191" i="2"/>
  <c r="H191" i="2"/>
  <c r="G191" i="2"/>
  <c r="F191" i="2"/>
  <c r="D191" i="2"/>
  <c r="AH200" i="2"/>
  <c r="Z65" i="3" s="1"/>
  <c r="R200" i="2"/>
  <c r="J65" i="3" s="1"/>
  <c r="Q200" i="2"/>
  <c r="I65" i="3" s="1"/>
  <c r="P200" i="2"/>
  <c r="M200" i="2"/>
  <c r="H200" i="2"/>
  <c r="G200" i="2"/>
  <c r="E65" i="3" s="1"/>
  <c r="F200" i="2"/>
  <c r="D65" i="3" s="1"/>
  <c r="D200" i="2"/>
  <c r="B65" i="3" s="1"/>
  <c r="AH228" i="2"/>
  <c r="R228" i="2"/>
  <c r="Q228" i="2"/>
  <c r="AG228" i="2" s="1"/>
  <c r="P228" i="2"/>
  <c r="M228" i="2"/>
  <c r="H228" i="2"/>
  <c r="G228" i="2"/>
  <c r="F228" i="2"/>
  <c r="D228" i="2"/>
  <c r="AH306" i="2"/>
  <c r="Z249" i="3" s="1"/>
  <c r="R306" i="2"/>
  <c r="J249" i="3" s="1"/>
  <c r="Q306" i="2"/>
  <c r="P306" i="2"/>
  <c r="M306" i="2"/>
  <c r="H306" i="2"/>
  <c r="G306" i="2"/>
  <c r="E249" i="3" s="1"/>
  <c r="F306" i="2"/>
  <c r="D306" i="2"/>
  <c r="B249" i="3" s="1"/>
  <c r="AH277" i="2"/>
  <c r="Z220" i="3" s="1"/>
  <c r="R277" i="2"/>
  <c r="J220" i="3" s="1"/>
  <c r="Q277" i="2"/>
  <c r="I220" i="3" s="1"/>
  <c r="P277" i="2"/>
  <c r="M277" i="2"/>
  <c r="H277" i="2"/>
  <c r="G277" i="2"/>
  <c r="E220" i="3" s="1"/>
  <c r="F277" i="2"/>
  <c r="D277" i="2"/>
  <c r="B220" i="3" s="1"/>
  <c r="AH254" i="2"/>
  <c r="R254" i="2"/>
  <c r="Q254" i="2"/>
  <c r="P254" i="2"/>
  <c r="M254" i="2"/>
  <c r="H254" i="2"/>
  <c r="G254" i="2"/>
  <c r="F254" i="2"/>
  <c r="D65" i="8" s="1"/>
  <c r="D254" i="2"/>
  <c r="B65" i="8" s="1"/>
  <c r="AH250" i="2"/>
  <c r="R250" i="2"/>
  <c r="Q250" i="2"/>
  <c r="AB250" i="2" s="1"/>
  <c r="P250" i="2"/>
  <c r="S250" i="2" s="1"/>
  <c r="M250" i="2"/>
  <c r="H250" i="2"/>
  <c r="G250" i="2"/>
  <c r="F250" i="2"/>
  <c r="D64" i="8" s="1"/>
  <c r="D250" i="2"/>
  <c r="B64" i="8" s="1"/>
  <c r="AH304" i="2"/>
  <c r="Z13" i="3" s="1"/>
  <c r="R304" i="2"/>
  <c r="J13" i="3" s="1"/>
  <c r="Q304" i="2"/>
  <c r="I13" i="3" s="1"/>
  <c r="P304" i="2"/>
  <c r="M304" i="2"/>
  <c r="H304" i="2"/>
  <c r="G304" i="2"/>
  <c r="E13" i="3" s="1"/>
  <c r="F304" i="2"/>
  <c r="D13" i="3" s="1"/>
  <c r="D304" i="2"/>
  <c r="B13" i="3" s="1"/>
  <c r="AH309" i="2"/>
  <c r="R309" i="2"/>
  <c r="Q309" i="2"/>
  <c r="AB309" i="2" s="1"/>
  <c r="P309" i="2"/>
  <c r="M309" i="2"/>
  <c r="H309" i="2"/>
  <c r="G309" i="2"/>
  <c r="F309" i="2"/>
  <c r="D309" i="2"/>
  <c r="AH282" i="2"/>
  <c r="R282" i="2"/>
  <c r="Q282" i="2"/>
  <c r="AD282" i="2" s="1"/>
  <c r="P282" i="2"/>
  <c r="M282" i="2"/>
  <c r="H282" i="2"/>
  <c r="G282" i="2"/>
  <c r="F282" i="2"/>
  <c r="D282" i="2"/>
  <c r="AJ150" i="2"/>
  <c r="P150" i="2"/>
  <c r="M150" i="2"/>
  <c r="H150" i="2"/>
  <c r="G150" i="2"/>
  <c r="F150" i="2"/>
  <c r="D25" i="9" s="1"/>
  <c r="D150" i="2"/>
  <c r="AH293" i="2"/>
  <c r="R293" i="2"/>
  <c r="Q293" i="2"/>
  <c r="AG293" i="2" s="1"/>
  <c r="P293" i="2"/>
  <c r="M293" i="2"/>
  <c r="H293" i="2"/>
  <c r="G293" i="2"/>
  <c r="F293" i="2"/>
  <c r="D293" i="2"/>
  <c r="AH279" i="2"/>
  <c r="R279" i="2"/>
  <c r="Q279" i="2"/>
  <c r="AA279" i="2" s="1"/>
  <c r="P279" i="2"/>
  <c r="M279" i="2"/>
  <c r="H279" i="2"/>
  <c r="G279" i="2"/>
  <c r="F279" i="2"/>
  <c r="D63" i="8" s="1"/>
  <c r="D279" i="2"/>
  <c r="AH212" i="2"/>
  <c r="R212" i="2"/>
  <c r="Q212" i="2"/>
  <c r="P212" i="2"/>
  <c r="M212" i="2"/>
  <c r="H212" i="2"/>
  <c r="G212" i="2"/>
  <c r="F212" i="2"/>
  <c r="D212" i="2"/>
  <c r="AH238" i="2"/>
  <c r="Z237" i="3" s="1"/>
  <c r="R238" i="2"/>
  <c r="J237" i="3" s="1"/>
  <c r="Q238" i="2"/>
  <c r="I237" i="3" s="1"/>
  <c r="P238" i="2"/>
  <c r="M238" i="2"/>
  <c r="H238" i="2"/>
  <c r="G238" i="2"/>
  <c r="E237" i="3" s="1"/>
  <c r="F238" i="2"/>
  <c r="D237" i="3" s="1"/>
  <c r="D238" i="2"/>
  <c r="B237" i="3" s="1"/>
  <c r="AJ133" i="2"/>
  <c r="AM133" i="2" s="1"/>
  <c r="L55" i="3" s="1"/>
  <c r="P133" i="2"/>
  <c r="M133" i="2"/>
  <c r="H133" i="2"/>
  <c r="G133" i="2"/>
  <c r="E55" i="3" s="1"/>
  <c r="F133" i="2"/>
  <c r="D133" i="2"/>
  <c r="AH227" i="2"/>
  <c r="R227" i="2"/>
  <c r="Q227" i="2"/>
  <c r="AB227" i="2" s="1"/>
  <c r="P227" i="2"/>
  <c r="M227" i="2"/>
  <c r="H227" i="2"/>
  <c r="G227" i="2"/>
  <c r="F227" i="2"/>
  <c r="D227" i="2"/>
  <c r="AH268" i="2"/>
  <c r="R268" i="2"/>
  <c r="Q268" i="2"/>
  <c r="AD268" i="2" s="1"/>
  <c r="P268" i="2"/>
  <c r="M268" i="2"/>
  <c r="H268" i="2"/>
  <c r="G268" i="2"/>
  <c r="F268" i="2"/>
  <c r="D62" i="8" s="1"/>
  <c r="D268" i="2"/>
  <c r="B62" i="8" s="1"/>
  <c r="AH211" i="2"/>
  <c r="Z207" i="3" s="1"/>
  <c r="R211" i="2"/>
  <c r="J207" i="3" s="1"/>
  <c r="Q211" i="2"/>
  <c r="I207" i="3" s="1"/>
  <c r="P211" i="2"/>
  <c r="M211" i="2"/>
  <c r="H211" i="2"/>
  <c r="G211" i="2"/>
  <c r="E207" i="3" s="1"/>
  <c r="F211" i="2"/>
  <c r="D207" i="3" s="1"/>
  <c r="D211" i="2"/>
  <c r="B207" i="3" s="1"/>
  <c r="AH272" i="2"/>
  <c r="R272" i="2"/>
  <c r="Q272" i="2"/>
  <c r="AF272" i="2" s="1"/>
  <c r="P272" i="2"/>
  <c r="M272" i="2"/>
  <c r="H272" i="2"/>
  <c r="G272" i="2"/>
  <c r="F272" i="2"/>
  <c r="D61" i="8" s="1"/>
  <c r="D272" i="2"/>
  <c r="AH249" i="2"/>
  <c r="R249" i="2"/>
  <c r="Q249" i="2"/>
  <c r="AG249" i="2" s="1"/>
  <c r="P249" i="2"/>
  <c r="M249" i="2"/>
  <c r="H249" i="2"/>
  <c r="G249" i="2"/>
  <c r="F249" i="2"/>
  <c r="D249" i="2"/>
  <c r="AH260" i="2"/>
  <c r="R260" i="2"/>
  <c r="Q260" i="2"/>
  <c r="Z260" i="2" s="1"/>
  <c r="P260" i="2"/>
  <c r="M260" i="2"/>
  <c r="H260" i="2"/>
  <c r="G260" i="2"/>
  <c r="F260" i="2"/>
  <c r="D260" i="2"/>
  <c r="AH206" i="2"/>
  <c r="R206" i="2"/>
  <c r="Q206" i="2"/>
  <c r="AA206" i="2" s="1"/>
  <c r="P206" i="2"/>
  <c r="M206" i="2"/>
  <c r="H206" i="2"/>
  <c r="G206" i="2"/>
  <c r="F206" i="2"/>
  <c r="D60" i="8" s="1"/>
  <c r="D206" i="2"/>
  <c r="AH289" i="2"/>
  <c r="R289" i="2"/>
  <c r="Q289" i="2"/>
  <c r="AB289" i="2" s="1"/>
  <c r="P289" i="2"/>
  <c r="M289" i="2"/>
  <c r="H289" i="2"/>
  <c r="G289" i="2"/>
  <c r="F289" i="2"/>
  <c r="D289" i="2"/>
  <c r="AH241" i="2"/>
  <c r="R241" i="2"/>
  <c r="Q241" i="2"/>
  <c r="P241" i="2"/>
  <c r="M241" i="2"/>
  <c r="H241" i="2"/>
  <c r="G241" i="2"/>
  <c r="F241" i="2"/>
  <c r="D241" i="2"/>
  <c r="AH240" i="2"/>
  <c r="R240" i="2"/>
  <c r="Q240" i="2"/>
  <c r="AA240" i="2" s="1"/>
  <c r="P240" i="2"/>
  <c r="M240" i="2"/>
  <c r="H240" i="2"/>
  <c r="G240" i="2"/>
  <c r="F240" i="2"/>
  <c r="D240" i="2"/>
  <c r="AH214" i="2"/>
  <c r="Z336" i="3" s="1"/>
  <c r="R214" i="2"/>
  <c r="J336" i="3" s="1"/>
  <c r="Q214" i="2"/>
  <c r="P214" i="2"/>
  <c r="M214" i="2"/>
  <c r="H214" i="2"/>
  <c r="G214" i="2"/>
  <c r="E336" i="3" s="1"/>
  <c r="F214" i="2"/>
  <c r="D214" i="2"/>
  <c r="AH230" i="2"/>
  <c r="Z211" i="3" s="1"/>
  <c r="R230" i="2"/>
  <c r="J211" i="3" s="1"/>
  <c r="Q230" i="2"/>
  <c r="I211" i="3" s="1"/>
  <c r="P230" i="2"/>
  <c r="M230" i="2"/>
  <c r="H230" i="2"/>
  <c r="G230" i="2"/>
  <c r="E211" i="3" s="1"/>
  <c r="F230" i="2"/>
  <c r="D211" i="3" s="1"/>
  <c r="D230" i="2"/>
  <c r="B211" i="3" s="1"/>
  <c r="AJ126" i="2"/>
  <c r="P126" i="2"/>
  <c r="M126" i="2"/>
  <c r="H126" i="2"/>
  <c r="G126" i="2"/>
  <c r="E345" i="3" s="1"/>
  <c r="F126" i="2"/>
  <c r="D126" i="2"/>
  <c r="B345" i="3" s="1"/>
  <c r="AH261" i="2"/>
  <c r="R261" i="2"/>
  <c r="Q261" i="2"/>
  <c r="AG261" i="2" s="1"/>
  <c r="P261" i="2"/>
  <c r="M261" i="2"/>
  <c r="H261" i="2"/>
  <c r="G261" i="2"/>
  <c r="F261" i="2"/>
  <c r="D261" i="2"/>
  <c r="AH269" i="2"/>
  <c r="R269" i="2"/>
  <c r="Q269" i="2"/>
  <c r="P269" i="2"/>
  <c r="M269" i="2"/>
  <c r="H269" i="2"/>
  <c r="G269" i="2"/>
  <c r="F269" i="2"/>
  <c r="D269" i="2"/>
  <c r="AH225" i="2"/>
  <c r="R225" i="2"/>
  <c r="Q225" i="2"/>
  <c r="AF225" i="2" s="1"/>
  <c r="P225" i="2"/>
  <c r="M225" i="2"/>
  <c r="H225" i="2"/>
  <c r="G225" i="2"/>
  <c r="F225" i="2"/>
  <c r="D58" i="8" s="1"/>
  <c r="D225" i="2"/>
  <c r="AH220" i="2"/>
  <c r="R220" i="2"/>
  <c r="Q220" i="2"/>
  <c r="P220" i="2"/>
  <c r="M220" i="2"/>
  <c r="H220" i="2"/>
  <c r="G220" i="2"/>
  <c r="F220" i="2"/>
  <c r="D57" i="8" s="1"/>
  <c r="D220" i="2"/>
  <c r="B57" i="8" s="1"/>
  <c r="AJ137" i="2"/>
  <c r="P137" i="2"/>
  <c r="M137" i="2"/>
  <c r="H137" i="2"/>
  <c r="G137" i="2"/>
  <c r="F137" i="2"/>
  <c r="D22" i="9" s="1"/>
  <c r="D137" i="2"/>
  <c r="B22" i="9" s="1"/>
  <c r="AH201" i="2"/>
  <c r="R201" i="2"/>
  <c r="Q201" i="2"/>
  <c r="P201" i="2"/>
  <c r="M201" i="2"/>
  <c r="H201" i="2"/>
  <c r="G201" i="2"/>
  <c r="F201" i="2"/>
  <c r="D56" i="8" s="1"/>
  <c r="D201" i="2"/>
  <c r="B56" i="8" s="1"/>
  <c r="AH271" i="2"/>
  <c r="R271" i="2"/>
  <c r="Q271" i="2"/>
  <c r="AA271" i="2" s="1"/>
  <c r="P271" i="2"/>
  <c r="M271" i="2"/>
  <c r="H271" i="2"/>
  <c r="G271" i="2"/>
  <c r="F271" i="2"/>
  <c r="D271" i="2"/>
  <c r="AH246" i="2"/>
  <c r="Z74" i="3" s="1"/>
  <c r="R246" i="2"/>
  <c r="J74" i="3" s="1"/>
  <c r="Q246" i="2"/>
  <c r="I74" i="3" s="1"/>
  <c r="P246" i="2"/>
  <c r="M246" i="2"/>
  <c r="H246" i="2"/>
  <c r="G246" i="2"/>
  <c r="E74" i="3" s="1"/>
  <c r="F246" i="2"/>
  <c r="D246" i="2"/>
  <c r="AH209" i="2"/>
  <c r="Z32" i="3" s="1"/>
  <c r="R209" i="2"/>
  <c r="J32" i="3" s="1"/>
  <c r="Q209" i="2"/>
  <c r="P209" i="2"/>
  <c r="M209" i="2"/>
  <c r="H209" i="2"/>
  <c r="G209" i="2"/>
  <c r="E32" i="3" s="1"/>
  <c r="F209" i="2"/>
  <c r="D32" i="3" s="1"/>
  <c r="D209" i="2"/>
  <c r="B32" i="3" s="1"/>
  <c r="AJ144" i="2"/>
  <c r="I257" i="3" s="1"/>
  <c r="P144" i="2"/>
  <c r="M144" i="2"/>
  <c r="H144" i="2"/>
  <c r="G144" i="2"/>
  <c r="F144" i="2"/>
  <c r="D257" i="3" s="1"/>
  <c r="D144" i="2"/>
  <c r="B257" i="3" s="1"/>
  <c r="AH189" i="2"/>
  <c r="R189" i="2"/>
  <c r="Q189" i="2"/>
  <c r="P189" i="2"/>
  <c r="M189" i="2"/>
  <c r="H189" i="2"/>
  <c r="G189" i="2"/>
  <c r="F189" i="2"/>
  <c r="D54" i="8" s="1"/>
  <c r="D189" i="2"/>
  <c r="AH237" i="2"/>
  <c r="R237" i="2"/>
  <c r="Q237" i="2"/>
  <c r="Z237" i="2" s="1"/>
  <c r="P237" i="2"/>
  <c r="M237" i="2"/>
  <c r="H237" i="2"/>
  <c r="G237" i="2"/>
  <c r="F237" i="2"/>
  <c r="D237" i="2"/>
  <c r="AH217" i="2"/>
  <c r="R217" i="2"/>
  <c r="Q217" i="2"/>
  <c r="P217" i="2"/>
  <c r="M217" i="2"/>
  <c r="H217" i="2"/>
  <c r="G217" i="2"/>
  <c r="F217" i="2"/>
  <c r="D53" i="8" s="1"/>
  <c r="D217" i="2"/>
  <c r="B53" i="8" s="1"/>
  <c r="AH219" i="2"/>
  <c r="R219" i="2"/>
  <c r="Q219" i="2"/>
  <c r="P219" i="2"/>
  <c r="M219" i="2"/>
  <c r="H219" i="2"/>
  <c r="G219" i="2"/>
  <c r="F219" i="2"/>
  <c r="D52" i="8" s="1"/>
  <c r="D219" i="2"/>
  <c r="B52" i="8" s="1"/>
  <c r="AH239" i="2"/>
  <c r="R239" i="2"/>
  <c r="Q239" i="2"/>
  <c r="Y239" i="2" s="1"/>
  <c r="P239" i="2"/>
  <c r="M239" i="2"/>
  <c r="H239" i="2"/>
  <c r="G239" i="2"/>
  <c r="F239" i="2"/>
  <c r="D239" i="2"/>
  <c r="AH215" i="2"/>
  <c r="R215" i="2"/>
  <c r="Q215" i="2"/>
  <c r="P215" i="2"/>
  <c r="M215" i="2"/>
  <c r="H215" i="2"/>
  <c r="G215" i="2"/>
  <c r="F215" i="2"/>
  <c r="D215" i="2"/>
  <c r="AH171" i="2"/>
  <c r="R171" i="2"/>
  <c r="Q171" i="2"/>
  <c r="P171" i="2"/>
  <c r="M171" i="2"/>
  <c r="H171" i="2"/>
  <c r="G171" i="2"/>
  <c r="F171" i="2"/>
  <c r="D51" i="8" s="1"/>
  <c r="D171" i="2"/>
  <c r="B51" i="8" s="1"/>
  <c r="AH207" i="2"/>
  <c r="Z104" i="3" s="1"/>
  <c r="R207" i="2"/>
  <c r="J104" i="3" s="1"/>
  <c r="Q207" i="2"/>
  <c r="P207" i="2"/>
  <c r="M207" i="2"/>
  <c r="H207" i="2"/>
  <c r="G207" i="2"/>
  <c r="E104" i="3" s="1"/>
  <c r="F207" i="2"/>
  <c r="D207" i="2"/>
  <c r="B104" i="3" s="1"/>
  <c r="AH125" i="2"/>
  <c r="Z161" i="3" s="1"/>
  <c r="R125" i="2"/>
  <c r="J161" i="3" s="1"/>
  <c r="Q125" i="2"/>
  <c r="AA125" i="2" s="1"/>
  <c r="S161" i="3" s="1"/>
  <c r="P125" i="2"/>
  <c r="M125" i="2"/>
  <c r="H125" i="2"/>
  <c r="G125" i="2"/>
  <c r="E161" i="3" s="1"/>
  <c r="F125" i="2"/>
  <c r="D125" i="2"/>
  <c r="B161" i="3" s="1"/>
  <c r="AH173" i="2"/>
  <c r="R173" i="2"/>
  <c r="Q173" i="2"/>
  <c r="Z173" i="2" s="1"/>
  <c r="P173" i="2"/>
  <c r="M173" i="2"/>
  <c r="H173" i="2"/>
  <c r="G173" i="2"/>
  <c r="F173" i="2"/>
  <c r="D173" i="2"/>
  <c r="AH208" i="2"/>
  <c r="Z299" i="3" s="1"/>
  <c r="R208" i="2"/>
  <c r="J299" i="3" s="1"/>
  <c r="Q208" i="2"/>
  <c r="P208" i="2"/>
  <c r="M208" i="2"/>
  <c r="H208" i="2"/>
  <c r="G208" i="2"/>
  <c r="E299" i="3" s="1"/>
  <c r="F208" i="2"/>
  <c r="D299" i="3" s="1"/>
  <c r="D208" i="2"/>
  <c r="B299" i="3" s="1"/>
  <c r="AH179" i="2"/>
  <c r="Z162" i="3" s="1"/>
  <c r="R179" i="2"/>
  <c r="J162" i="3" s="1"/>
  <c r="Q179" i="2"/>
  <c r="I162" i="3" s="1"/>
  <c r="P179" i="2"/>
  <c r="M179" i="2"/>
  <c r="H179" i="2"/>
  <c r="G179" i="2"/>
  <c r="E162" i="3" s="1"/>
  <c r="F179" i="2"/>
  <c r="D179" i="2"/>
  <c r="AH174" i="2"/>
  <c r="R174" i="2"/>
  <c r="Q174" i="2"/>
  <c r="P174" i="2"/>
  <c r="M174" i="2"/>
  <c r="H174" i="2"/>
  <c r="G174" i="2"/>
  <c r="F174" i="2"/>
  <c r="D47" i="8" s="1"/>
  <c r="D174" i="2"/>
  <c r="B47" i="8" s="1"/>
  <c r="AH172" i="2"/>
  <c r="Z307" i="3" s="1"/>
  <c r="R172" i="2"/>
  <c r="J307" i="3" s="1"/>
  <c r="Q172" i="2"/>
  <c r="P172" i="2"/>
  <c r="M172" i="2"/>
  <c r="H172" i="2"/>
  <c r="G172" i="2"/>
  <c r="E307" i="3" s="1"/>
  <c r="F172" i="2"/>
  <c r="D172" i="2"/>
  <c r="AH195" i="2"/>
  <c r="Z132" i="3" s="1"/>
  <c r="R195" i="2"/>
  <c r="J132" i="3" s="1"/>
  <c r="Q195" i="2"/>
  <c r="I132" i="3" s="1"/>
  <c r="P195" i="2"/>
  <c r="M195" i="2"/>
  <c r="H195" i="2"/>
  <c r="G195" i="2"/>
  <c r="E132" i="3" s="1"/>
  <c r="F195" i="2"/>
  <c r="D195" i="2"/>
  <c r="AH184" i="2"/>
  <c r="Z133" i="3" s="1"/>
  <c r="R184" i="2"/>
  <c r="J133" i="3" s="1"/>
  <c r="Q184" i="2"/>
  <c r="I133" i="3" s="1"/>
  <c r="P184" i="2"/>
  <c r="M184" i="2"/>
  <c r="H184" i="2"/>
  <c r="G184" i="2"/>
  <c r="E133" i="3" s="1"/>
  <c r="F184" i="2"/>
  <c r="D184" i="2"/>
  <c r="AJ132" i="2"/>
  <c r="I170" i="3" s="1"/>
  <c r="P132" i="2"/>
  <c r="M132" i="2"/>
  <c r="H132" i="2"/>
  <c r="G132" i="2"/>
  <c r="E170" i="3" s="1"/>
  <c r="F132" i="2"/>
  <c r="D132" i="2"/>
  <c r="B170" i="3" s="1"/>
  <c r="AH194" i="2"/>
  <c r="Z38" i="3" s="1"/>
  <c r="R194" i="2"/>
  <c r="J38" i="3" s="1"/>
  <c r="Q194" i="2"/>
  <c r="I38" i="3" s="1"/>
  <c r="P194" i="2"/>
  <c r="M194" i="2"/>
  <c r="H194" i="2"/>
  <c r="G194" i="2"/>
  <c r="E38" i="3" s="1"/>
  <c r="F194" i="2"/>
  <c r="D38" i="3" s="1"/>
  <c r="D194" i="2"/>
  <c r="B38" i="3" s="1"/>
  <c r="AH156" i="2"/>
  <c r="Z306" i="3" s="1"/>
  <c r="R156" i="2"/>
  <c r="J306" i="3" s="1"/>
  <c r="Q156" i="2"/>
  <c r="P156" i="2"/>
  <c r="M156" i="2"/>
  <c r="H156" i="2"/>
  <c r="G156" i="2"/>
  <c r="E306" i="3" s="1"/>
  <c r="F156" i="2"/>
  <c r="D156" i="2"/>
  <c r="AH163" i="2"/>
  <c r="Z70" i="3" s="1"/>
  <c r="R163" i="2"/>
  <c r="J70" i="3" s="1"/>
  <c r="Q163" i="2"/>
  <c r="I70" i="3" s="1"/>
  <c r="P163" i="2"/>
  <c r="M163" i="2"/>
  <c r="H163" i="2"/>
  <c r="G163" i="2"/>
  <c r="E70" i="3" s="1"/>
  <c r="F163" i="2"/>
  <c r="D70" i="3" s="1"/>
  <c r="D163" i="2"/>
  <c r="B70" i="3" s="1"/>
  <c r="AH170" i="2"/>
  <c r="Z150" i="3" s="1"/>
  <c r="R170" i="2"/>
  <c r="J150" i="3" s="1"/>
  <c r="Q170" i="2"/>
  <c r="I150" i="3" s="1"/>
  <c r="P170" i="2"/>
  <c r="M170" i="2"/>
  <c r="H170" i="2"/>
  <c r="G170" i="2"/>
  <c r="E150" i="3" s="1"/>
  <c r="F170" i="2"/>
  <c r="D150" i="3" s="1"/>
  <c r="D170" i="2"/>
  <c r="B150" i="3" s="1"/>
  <c r="AH199" i="2"/>
  <c r="Z268" i="3" s="1"/>
  <c r="R199" i="2"/>
  <c r="J268" i="3" s="1"/>
  <c r="Q199" i="2"/>
  <c r="AF199" i="2" s="1"/>
  <c r="X268" i="3" s="1"/>
  <c r="P199" i="2"/>
  <c r="M199" i="2"/>
  <c r="H199" i="2"/>
  <c r="G199" i="2"/>
  <c r="E268" i="3" s="1"/>
  <c r="F199" i="2"/>
  <c r="D268" i="3" s="1"/>
  <c r="D199" i="2"/>
  <c r="B268" i="3" s="1"/>
  <c r="AH186" i="2"/>
  <c r="Z186" i="3" s="1"/>
  <c r="R186" i="2"/>
  <c r="J186" i="3" s="1"/>
  <c r="Q186" i="2"/>
  <c r="I186" i="3" s="1"/>
  <c r="P186" i="2"/>
  <c r="M186" i="2"/>
  <c r="H186" i="2"/>
  <c r="G186" i="2"/>
  <c r="E186" i="3" s="1"/>
  <c r="F186" i="2"/>
  <c r="D186" i="3" s="1"/>
  <c r="D186" i="2"/>
  <c r="B186" i="3" s="1"/>
  <c r="AH177" i="2"/>
  <c r="Z91" i="3" s="1"/>
  <c r="R177" i="2"/>
  <c r="J91" i="3" s="1"/>
  <c r="Q177" i="2"/>
  <c r="AF177" i="2" s="1"/>
  <c r="X91" i="3" s="1"/>
  <c r="P177" i="2"/>
  <c r="M177" i="2"/>
  <c r="H177" i="2"/>
  <c r="G177" i="2"/>
  <c r="E91" i="3" s="1"/>
  <c r="F177" i="2"/>
  <c r="D91" i="3" s="1"/>
  <c r="D177" i="2"/>
  <c r="B91" i="3" s="1"/>
  <c r="AH197" i="2"/>
  <c r="Z156" i="3" s="1"/>
  <c r="R197" i="2"/>
  <c r="J156" i="3" s="1"/>
  <c r="Q197" i="2"/>
  <c r="P197" i="2"/>
  <c r="M197" i="2"/>
  <c r="H197" i="2"/>
  <c r="G197" i="2"/>
  <c r="E156" i="3" s="1"/>
  <c r="F197" i="2"/>
  <c r="D156" i="3" s="1"/>
  <c r="D197" i="2"/>
  <c r="B156" i="3" s="1"/>
  <c r="AH196" i="2"/>
  <c r="Z7" i="3" s="1"/>
  <c r="R196" i="2"/>
  <c r="J7" i="3" s="1"/>
  <c r="Q196" i="2"/>
  <c r="I7" i="3" s="1"/>
  <c r="P196" i="2"/>
  <c r="M196" i="2"/>
  <c r="H196" i="2"/>
  <c r="G196" i="2"/>
  <c r="E7" i="3" s="1"/>
  <c r="F196" i="2"/>
  <c r="D7" i="3" s="1"/>
  <c r="D196" i="2"/>
  <c r="B7" i="3" s="1"/>
  <c r="AJ112" i="2"/>
  <c r="I171" i="3" s="1"/>
  <c r="P112" i="2"/>
  <c r="M112" i="2"/>
  <c r="H112" i="2"/>
  <c r="G112" i="2"/>
  <c r="E171" i="3" s="1"/>
  <c r="F112" i="2"/>
  <c r="D112" i="2"/>
  <c r="B171" i="3" s="1"/>
  <c r="AH210" i="2"/>
  <c r="R210" i="2"/>
  <c r="Q210" i="2"/>
  <c r="Y210" i="2" s="1"/>
  <c r="P210" i="2"/>
  <c r="M210" i="2"/>
  <c r="H210" i="2"/>
  <c r="G210" i="2"/>
  <c r="F210" i="2"/>
  <c r="D210" i="2"/>
  <c r="AH192" i="2"/>
  <c r="Z102" i="3" s="1"/>
  <c r="R192" i="2"/>
  <c r="J102" i="3" s="1"/>
  <c r="Q192" i="2"/>
  <c r="I102" i="3" s="1"/>
  <c r="P192" i="2"/>
  <c r="M192" i="2"/>
  <c r="H192" i="2"/>
  <c r="G192" i="2"/>
  <c r="E102" i="3" s="1"/>
  <c r="F192" i="2"/>
  <c r="D192" i="2"/>
  <c r="AJ124" i="2"/>
  <c r="P124" i="2"/>
  <c r="M124" i="2"/>
  <c r="H124" i="2"/>
  <c r="G124" i="2"/>
  <c r="E258" i="3" s="1"/>
  <c r="F124" i="2"/>
  <c r="D124" i="2"/>
  <c r="AH151" i="2"/>
  <c r="R151" i="2"/>
  <c r="Q151" i="2"/>
  <c r="P151" i="2"/>
  <c r="M151" i="2"/>
  <c r="H151" i="2"/>
  <c r="G151" i="2"/>
  <c r="F151" i="2"/>
  <c r="D41" i="8" s="1"/>
  <c r="D151" i="2"/>
  <c r="B41" i="8" s="1"/>
  <c r="AJ95" i="2"/>
  <c r="I113" i="3" s="1"/>
  <c r="P95" i="2"/>
  <c r="M95" i="2"/>
  <c r="H95" i="2"/>
  <c r="G95" i="2"/>
  <c r="E113" i="3" s="1"/>
  <c r="F95" i="2"/>
  <c r="D95" i="2"/>
  <c r="AJ111" i="2"/>
  <c r="I228" i="3" s="1"/>
  <c r="P111" i="2"/>
  <c r="M111" i="2"/>
  <c r="H111" i="2"/>
  <c r="G111" i="2"/>
  <c r="E228" i="3" s="1"/>
  <c r="F111" i="2"/>
  <c r="D111" i="2"/>
  <c r="B228" i="3" s="1"/>
  <c r="AH157" i="2"/>
  <c r="Z270" i="3" s="1"/>
  <c r="R157" i="2"/>
  <c r="J270" i="3" s="1"/>
  <c r="Q157" i="2"/>
  <c r="P157" i="2"/>
  <c r="M157" i="2"/>
  <c r="H157" i="2"/>
  <c r="G157" i="2"/>
  <c r="E270" i="3" s="1"/>
  <c r="F157" i="2"/>
  <c r="D270" i="3" s="1"/>
  <c r="D157" i="2"/>
  <c r="B270" i="3" s="1"/>
  <c r="AH167" i="2"/>
  <c r="Z240" i="3" s="1"/>
  <c r="R167" i="2"/>
  <c r="J240" i="3" s="1"/>
  <c r="Q167" i="2"/>
  <c r="P167" i="2"/>
  <c r="M167" i="2"/>
  <c r="H167" i="2"/>
  <c r="G167" i="2"/>
  <c r="E240" i="3" s="1"/>
  <c r="F167" i="2"/>
  <c r="D240" i="3" s="1"/>
  <c r="D167" i="2"/>
  <c r="B240" i="3" s="1"/>
  <c r="AH160" i="2"/>
  <c r="Z277" i="3" s="1"/>
  <c r="R160" i="2"/>
  <c r="J277" i="3" s="1"/>
  <c r="Q160" i="2"/>
  <c r="I277" i="3" s="1"/>
  <c r="P160" i="2"/>
  <c r="M160" i="2"/>
  <c r="H160" i="2"/>
  <c r="G160" i="2"/>
  <c r="E277" i="3" s="1"/>
  <c r="F160" i="2"/>
  <c r="D160" i="2"/>
  <c r="AH147" i="2"/>
  <c r="Z177" i="3" s="1"/>
  <c r="R147" i="2"/>
  <c r="J177" i="3" s="1"/>
  <c r="Q147" i="2"/>
  <c r="I177" i="3" s="1"/>
  <c r="P147" i="2"/>
  <c r="M147" i="2"/>
  <c r="H147" i="2"/>
  <c r="G147" i="2"/>
  <c r="E177" i="3" s="1"/>
  <c r="F147" i="2"/>
  <c r="D177" i="3" s="1"/>
  <c r="D147" i="2"/>
  <c r="B177" i="3" s="1"/>
  <c r="AH117" i="2"/>
  <c r="Z12" i="3" s="1"/>
  <c r="R117" i="2"/>
  <c r="J12" i="3" s="1"/>
  <c r="Q117" i="2"/>
  <c r="I12" i="3" s="1"/>
  <c r="P117" i="2"/>
  <c r="M117" i="2"/>
  <c r="H117" i="2"/>
  <c r="G117" i="2"/>
  <c r="E12" i="3" s="1"/>
  <c r="F117" i="2"/>
  <c r="D12" i="3" s="1"/>
  <c r="D117" i="2"/>
  <c r="B12" i="3" s="1"/>
  <c r="AH130" i="2"/>
  <c r="R130" i="2"/>
  <c r="Q130" i="2"/>
  <c r="AA130" i="2" s="1"/>
  <c r="P130" i="2"/>
  <c r="M130" i="2"/>
  <c r="H130" i="2"/>
  <c r="G130" i="2"/>
  <c r="F130" i="2"/>
  <c r="D39" i="8" s="1"/>
  <c r="D130" i="2"/>
  <c r="B39" i="8" s="1"/>
  <c r="AH158" i="2"/>
  <c r="Z322" i="3" s="1"/>
  <c r="R158" i="2"/>
  <c r="J322" i="3" s="1"/>
  <c r="Q158" i="2"/>
  <c r="I322" i="3" s="1"/>
  <c r="P158" i="2"/>
  <c r="M158" i="2"/>
  <c r="H158" i="2"/>
  <c r="G158" i="2"/>
  <c r="E322" i="3" s="1"/>
  <c r="F158" i="2"/>
  <c r="D322" i="3" s="1"/>
  <c r="D158" i="2"/>
  <c r="B322" i="3" s="1"/>
  <c r="AJ101" i="2"/>
  <c r="P101" i="2"/>
  <c r="M101" i="2"/>
  <c r="H101" i="2"/>
  <c r="G101" i="2"/>
  <c r="F101" i="2"/>
  <c r="D15" i="9" s="1"/>
  <c r="D101" i="2"/>
  <c r="B15" i="9" s="1"/>
  <c r="AH165" i="2"/>
  <c r="Z96" i="3" s="1"/>
  <c r="R165" i="2"/>
  <c r="J96" i="3" s="1"/>
  <c r="Q165" i="2"/>
  <c r="P165" i="2"/>
  <c r="M165" i="2"/>
  <c r="H165" i="2"/>
  <c r="G165" i="2"/>
  <c r="E96" i="3" s="1"/>
  <c r="F165" i="2"/>
  <c r="D96" i="3" s="1"/>
  <c r="D165" i="2"/>
  <c r="B96" i="3" s="1"/>
  <c r="AH159" i="2"/>
  <c r="Z298" i="3" s="1"/>
  <c r="R159" i="2"/>
  <c r="J298" i="3" s="1"/>
  <c r="Q159" i="2"/>
  <c r="I298" i="3" s="1"/>
  <c r="P159" i="2"/>
  <c r="M159" i="2"/>
  <c r="H159" i="2"/>
  <c r="G159" i="2"/>
  <c r="E298" i="3" s="1"/>
  <c r="F159" i="2"/>
  <c r="D298" i="3" s="1"/>
  <c r="D159" i="2"/>
  <c r="B298" i="3" s="1"/>
  <c r="AJ99" i="2"/>
  <c r="I54" i="3" s="1"/>
  <c r="P99" i="2"/>
  <c r="M99" i="2"/>
  <c r="H99" i="2"/>
  <c r="G99" i="2"/>
  <c r="E54" i="3" s="1"/>
  <c r="F99" i="2"/>
  <c r="D99" i="2"/>
  <c r="AH153" i="2"/>
  <c r="Z301" i="3" s="1"/>
  <c r="R153" i="2"/>
  <c r="J301" i="3" s="1"/>
  <c r="Q153" i="2"/>
  <c r="P153" i="2"/>
  <c r="M153" i="2"/>
  <c r="H153" i="2"/>
  <c r="G153" i="2"/>
  <c r="E301" i="3" s="1"/>
  <c r="F153" i="2"/>
  <c r="D301" i="3" s="1"/>
  <c r="D153" i="2"/>
  <c r="B301" i="3" s="1"/>
  <c r="AH166" i="2"/>
  <c r="Z124" i="3" s="1"/>
  <c r="R166" i="2"/>
  <c r="J124" i="3" s="1"/>
  <c r="Q166" i="2"/>
  <c r="I124" i="3" s="1"/>
  <c r="P166" i="2"/>
  <c r="M166" i="2"/>
  <c r="H166" i="2"/>
  <c r="G166" i="2"/>
  <c r="E124" i="3" s="1"/>
  <c r="F166" i="2"/>
  <c r="D124" i="3" s="1"/>
  <c r="D166" i="2"/>
  <c r="B124" i="3" s="1"/>
  <c r="AH127" i="2"/>
  <c r="R127" i="2"/>
  <c r="Q127" i="2"/>
  <c r="P127" i="2"/>
  <c r="M127" i="2"/>
  <c r="H127" i="2"/>
  <c r="G127" i="2"/>
  <c r="F127" i="2"/>
  <c r="D38" i="8" s="1"/>
  <c r="D127" i="2"/>
  <c r="B38" i="8" s="1"/>
  <c r="AJ118" i="2"/>
  <c r="P118" i="2"/>
  <c r="M118" i="2"/>
  <c r="H118" i="2"/>
  <c r="G118" i="2"/>
  <c r="F118" i="2"/>
  <c r="D13" i="9" s="1"/>
  <c r="D118" i="2"/>
  <c r="B13" i="9" s="1"/>
  <c r="AJ92" i="2"/>
  <c r="I142" i="3" s="1"/>
  <c r="P92" i="2"/>
  <c r="M92" i="2"/>
  <c r="H92" i="2"/>
  <c r="G92" i="2"/>
  <c r="E142" i="3" s="1"/>
  <c r="F92" i="2"/>
  <c r="D92" i="2"/>
  <c r="B142" i="3" s="1"/>
  <c r="AH155" i="2"/>
  <c r="R155" i="2"/>
  <c r="Q155" i="2"/>
  <c r="Y155" i="2" s="1"/>
  <c r="P155" i="2"/>
  <c r="M155" i="2"/>
  <c r="H155" i="2"/>
  <c r="G155" i="2"/>
  <c r="F155" i="2"/>
  <c r="D37" i="8" s="1"/>
  <c r="D155" i="2"/>
  <c r="AH162" i="2"/>
  <c r="R162" i="2"/>
  <c r="Q162" i="2"/>
  <c r="P162" i="2"/>
  <c r="M162" i="2"/>
  <c r="H162" i="2"/>
  <c r="G162" i="2"/>
  <c r="F162" i="2"/>
  <c r="D162" i="2"/>
  <c r="AH140" i="2"/>
  <c r="Z208" i="3" s="1"/>
  <c r="R140" i="2"/>
  <c r="J208" i="3" s="1"/>
  <c r="Q140" i="2"/>
  <c r="I208" i="3" s="1"/>
  <c r="P140" i="2"/>
  <c r="M140" i="2"/>
  <c r="H140" i="2"/>
  <c r="G140" i="2"/>
  <c r="E208" i="3" s="1"/>
  <c r="F140" i="2"/>
  <c r="D208" i="3" s="1"/>
  <c r="D140" i="2"/>
  <c r="B208" i="3" s="1"/>
  <c r="AH148" i="2"/>
  <c r="Z179" i="3" s="1"/>
  <c r="R148" i="2"/>
  <c r="J179" i="3" s="1"/>
  <c r="Q148" i="2"/>
  <c r="I179" i="3" s="1"/>
  <c r="P148" i="2"/>
  <c r="M148" i="2"/>
  <c r="H148" i="2"/>
  <c r="G148" i="2"/>
  <c r="E179" i="3" s="1"/>
  <c r="F148" i="2"/>
  <c r="D179" i="3" s="1"/>
  <c r="D148" i="2"/>
  <c r="B179" i="3" s="1"/>
  <c r="AH139" i="2"/>
  <c r="Z61" i="3" s="1"/>
  <c r="R139" i="2"/>
  <c r="J61" i="3" s="1"/>
  <c r="Q139" i="2"/>
  <c r="I61" i="3" s="1"/>
  <c r="P139" i="2"/>
  <c r="M139" i="2"/>
  <c r="H139" i="2"/>
  <c r="G139" i="2"/>
  <c r="E61" i="3" s="1"/>
  <c r="F139" i="2"/>
  <c r="D61" i="3" s="1"/>
  <c r="D139" i="2"/>
  <c r="B61" i="3" s="1"/>
  <c r="AH169" i="2"/>
  <c r="Z269" i="3" s="1"/>
  <c r="R169" i="2"/>
  <c r="J269" i="3" s="1"/>
  <c r="Q169" i="2"/>
  <c r="I269" i="3" s="1"/>
  <c r="P169" i="2"/>
  <c r="M169" i="2"/>
  <c r="H169" i="2"/>
  <c r="G169" i="2"/>
  <c r="E269" i="3" s="1"/>
  <c r="F169" i="2"/>
  <c r="D269" i="3" s="1"/>
  <c r="D169" i="2"/>
  <c r="B269" i="3" s="1"/>
  <c r="AH102" i="2"/>
  <c r="Z159" i="3" s="1"/>
  <c r="R102" i="2"/>
  <c r="J159" i="3" s="1"/>
  <c r="Q102" i="2"/>
  <c r="P102" i="2"/>
  <c r="M102" i="2"/>
  <c r="H102" i="2"/>
  <c r="G102" i="2"/>
  <c r="E159" i="3" s="1"/>
  <c r="F102" i="2"/>
  <c r="D102" i="2"/>
  <c r="AH138" i="2"/>
  <c r="Z241" i="3" s="1"/>
  <c r="R138" i="2"/>
  <c r="J241" i="3" s="1"/>
  <c r="Q138" i="2"/>
  <c r="I241" i="3" s="1"/>
  <c r="P138" i="2"/>
  <c r="M138" i="2"/>
  <c r="H138" i="2"/>
  <c r="G138" i="2"/>
  <c r="E241" i="3" s="1"/>
  <c r="F138" i="2"/>
  <c r="D241" i="3" s="1"/>
  <c r="D138" i="2"/>
  <c r="B241" i="3" s="1"/>
  <c r="AH120" i="2"/>
  <c r="Z178" i="3" s="1"/>
  <c r="R120" i="2"/>
  <c r="J178" i="3" s="1"/>
  <c r="Q120" i="2"/>
  <c r="I178" i="3" s="1"/>
  <c r="P120" i="2"/>
  <c r="M120" i="2"/>
  <c r="H120" i="2"/>
  <c r="G120" i="2"/>
  <c r="E178" i="3" s="1"/>
  <c r="F120" i="2"/>
  <c r="D178" i="3" s="1"/>
  <c r="D120" i="2"/>
  <c r="B178" i="3" s="1"/>
  <c r="AH128" i="2"/>
  <c r="Z8" i="3" s="1"/>
  <c r="R128" i="2"/>
  <c r="J8" i="3" s="1"/>
  <c r="Q128" i="2"/>
  <c r="I8" i="3" s="1"/>
  <c r="P128" i="2"/>
  <c r="M128" i="2"/>
  <c r="H128" i="2"/>
  <c r="G128" i="2"/>
  <c r="E8" i="3" s="1"/>
  <c r="F128" i="2"/>
  <c r="D8" i="3" s="1"/>
  <c r="D128" i="2"/>
  <c r="B8" i="3" s="1"/>
  <c r="AH134" i="2"/>
  <c r="Z40" i="3" s="1"/>
  <c r="R134" i="2"/>
  <c r="J40" i="3" s="1"/>
  <c r="Q134" i="2"/>
  <c r="AB134" i="2" s="1"/>
  <c r="T40" i="3" s="1"/>
  <c r="P134" i="2"/>
  <c r="M134" i="2"/>
  <c r="H134" i="2"/>
  <c r="G134" i="2"/>
  <c r="E40" i="3" s="1"/>
  <c r="F134" i="2"/>
  <c r="D40" i="3" s="1"/>
  <c r="D134" i="2"/>
  <c r="B40" i="3" s="1"/>
  <c r="AH141" i="2"/>
  <c r="Z205" i="3" s="1"/>
  <c r="R141" i="2"/>
  <c r="J205" i="3" s="1"/>
  <c r="Q141" i="2"/>
  <c r="AB141" i="2" s="1"/>
  <c r="T205" i="3" s="1"/>
  <c r="P141" i="2"/>
  <c r="M141" i="2"/>
  <c r="H141" i="2"/>
  <c r="G141" i="2"/>
  <c r="E205" i="3" s="1"/>
  <c r="F141" i="2"/>
  <c r="D205" i="3" s="1"/>
  <c r="D141" i="2"/>
  <c r="B205" i="3" s="1"/>
  <c r="AH107" i="2"/>
  <c r="Z335" i="3" s="1"/>
  <c r="R107" i="2"/>
  <c r="J335" i="3" s="1"/>
  <c r="Q107" i="2"/>
  <c r="AB107" i="2" s="1"/>
  <c r="T335" i="3" s="1"/>
  <c r="P107" i="2"/>
  <c r="M107" i="2"/>
  <c r="H107" i="2"/>
  <c r="G107" i="2"/>
  <c r="E335" i="3" s="1"/>
  <c r="F107" i="2"/>
  <c r="D107" i="2"/>
  <c r="B335" i="3" s="1"/>
  <c r="AH116" i="2"/>
  <c r="R116" i="2"/>
  <c r="Q116" i="2"/>
  <c r="P116" i="2"/>
  <c r="M116" i="2"/>
  <c r="H116" i="2"/>
  <c r="G116" i="2"/>
  <c r="F116" i="2"/>
  <c r="D34" i="8" s="1"/>
  <c r="D116" i="2"/>
  <c r="B34" i="8" s="1"/>
  <c r="AH136" i="2"/>
  <c r="Z327" i="3" s="1"/>
  <c r="R136" i="2"/>
  <c r="J327" i="3" s="1"/>
  <c r="Q136" i="2"/>
  <c r="I327" i="3" s="1"/>
  <c r="P136" i="2"/>
  <c r="M136" i="2"/>
  <c r="H136" i="2"/>
  <c r="G136" i="2"/>
  <c r="E327" i="3" s="1"/>
  <c r="F136" i="2"/>
  <c r="D327" i="3" s="1"/>
  <c r="D136" i="2"/>
  <c r="B327" i="3" s="1"/>
  <c r="AH146" i="2"/>
  <c r="Z238" i="3" s="1"/>
  <c r="R146" i="2"/>
  <c r="J238" i="3" s="1"/>
  <c r="Q146" i="2"/>
  <c r="P146" i="2"/>
  <c r="M146" i="2"/>
  <c r="H146" i="2"/>
  <c r="G146" i="2"/>
  <c r="E238" i="3" s="1"/>
  <c r="F146" i="2"/>
  <c r="D238" i="3" s="1"/>
  <c r="D146" i="2"/>
  <c r="B238" i="3" s="1"/>
  <c r="AH123" i="2"/>
  <c r="R123" i="2"/>
  <c r="Q123" i="2"/>
  <c r="P123" i="2"/>
  <c r="M123" i="2"/>
  <c r="H123" i="2"/>
  <c r="G123" i="2"/>
  <c r="F123" i="2"/>
  <c r="D33" i="8" s="1"/>
  <c r="D123" i="2"/>
  <c r="B33" i="8" s="1"/>
  <c r="AH115" i="2"/>
  <c r="Z128" i="3" s="1"/>
  <c r="R115" i="2"/>
  <c r="J128" i="3" s="1"/>
  <c r="Q115" i="2"/>
  <c r="P115" i="2"/>
  <c r="M115" i="2"/>
  <c r="H115" i="2"/>
  <c r="G115" i="2"/>
  <c r="E128" i="3" s="1"/>
  <c r="F115" i="2"/>
  <c r="D128" i="3" s="1"/>
  <c r="D115" i="2"/>
  <c r="B128" i="3" s="1"/>
  <c r="AH129" i="2"/>
  <c r="Z17" i="3" s="1"/>
  <c r="R129" i="2"/>
  <c r="J17" i="3" s="1"/>
  <c r="Q129" i="2"/>
  <c r="I17" i="3" s="1"/>
  <c r="P129" i="2"/>
  <c r="M129" i="2"/>
  <c r="H129" i="2"/>
  <c r="G129" i="2"/>
  <c r="E17" i="3" s="1"/>
  <c r="F129" i="2"/>
  <c r="D129" i="2"/>
  <c r="AH97" i="2"/>
  <c r="Z131" i="3" s="1"/>
  <c r="R97" i="2"/>
  <c r="J131" i="3" s="1"/>
  <c r="Q97" i="2"/>
  <c r="P97" i="2"/>
  <c r="M97" i="2"/>
  <c r="H97" i="2"/>
  <c r="G97" i="2"/>
  <c r="E131" i="3" s="1"/>
  <c r="F97" i="2"/>
  <c r="D97" i="2"/>
  <c r="B131" i="3" s="1"/>
  <c r="AH119" i="2"/>
  <c r="Z120" i="3" s="1"/>
  <c r="R119" i="2"/>
  <c r="J120" i="3" s="1"/>
  <c r="Q119" i="2"/>
  <c r="P119" i="2"/>
  <c r="M119" i="2"/>
  <c r="H119" i="2"/>
  <c r="G119" i="2"/>
  <c r="E120" i="3" s="1"/>
  <c r="F119" i="2"/>
  <c r="D120" i="3" s="1"/>
  <c r="D119" i="2"/>
  <c r="B120" i="3" s="1"/>
  <c r="AH78" i="2"/>
  <c r="Z330" i="3" s="1"/>
  <c r="R78" i="2"/>
  <c r="J330" i="3" s="1"/>
  <c r="Q78" i="2"/>
  <c r="I330" i="3" s="1"/>
  <c r="P78" i="2"/>
  <c r="M78" i="2"/>
  <c r="H78" i="2"/>
  <c r="G78" i="2"/>
  <c r="E330" i="3" s="1"/>
  <c r="F78" i="2"/>
  <c r="D330" i="3" s="1"/>
  <c r="D78" i="2"/>
  <c r="B330" i="3" s="1"/>
  <c r="AH131" i="2"/>
  <c r="Z160" i="3" s="1"/>
  <c r="R131" i="2"/>
  <c r="J160" i="3" s="1"/>
  <c r="Q131" i="2"/>
  <c r="I160" i="3" s="1"/>
  <c r="P131" i="2"/>
  <c r="M131" i="2"/>
  <c r="H131" i="2"/>
  <c r="G131" i="2"/>
  <c r="E160" i="3" s="1"/>
  <c r="F131" i="2"/>
  <c r="D131" i="2"/>
  <c r="B160" i="3" s="1"/>
  <c r="AH85" i="2"/>
  <c r="Z278" i="3" s="1"/>
  <c r="R85" i="2"/>
  <c r="J278" i="3" s="1"/>
  <c r="Q85" i="2"/>
  <c r="I278" i="3" s="1"/>
  <c r="P85" i="2"/>
  <c r="M85" i="2"/>
  <c r="H85" i="2"/>
  <c r="G85" i="2"/>
  <c r="E278" i="3" s="1"/>
  <c r="F85" i="2"/>
  <c r="D85" i="2"/>
  <c r="AH79" i="2"/>
  <c r="Z126" i="3" s="1"/>
  <c r="R79" i="2"/>
  <c r="J126" i="3" s="1"/>
  <c r="Q79" i="2"/>
  <c r="P79" i="2"/>
  <c r="M79" i="2"/>
  <c r="H79" i="2"/>
  <c r="G79" i="2"/>
  <c r="E126" i="3" s="1"/>
  <c r="F79" i="2"/>
  <c r="D126" i="3" s="1"/>
  <c r="D79" i="2"/>
  <c r="B126" i="3" s="1"/>
  <c r="AH105" i="2"/>
  <c r="Z215" i="3" s="1"/>
  <c r="R105" i="2"/>
  <c r="J215" i="3" s="1"/>
  <c r="Q105" i="2"/>
  <c r="I215" i="3" s="1"/>
  <c r="P105" i="2"/>
  <c r="M105" i="2"/>
  <c r="H105" i="2"/>
  <c r="G105" i="2"/>
  <c r="E215" i="3" s="1"/>
  <c r="F105" i="2"/>
  <c r="D215" i="3" s="1"/>
  <c r="D105" i="2"/>
  <c r="B215" i="3" s="1"/>
  <c r="AH142" i="2"/>
  <c r="Z182" i="3" s="1"/>
  <c r="R142" i="2"/>
  <c r="J182" i="3" s="1"/>
  <c r="Q142" i="2"/>
  <c r="P142" i="2"/>
  <c r="M142" i="2"/>
  <c r="H142" i="2"/>
  <c r="G142" i="2"/>
  <c r="E182" i="3" s="1"/>
  <c r="F142" i="2"/>
  <c r="D182" i="3" s="1"/>
  <c r="D142" i="2"/>
  <c r="B182" i="3" s="1"/>
  <c r="AH67" i="2"/>
  <c r="Z94" i="3" s="1"/>
  <c r="R67" i="2"/>
  <c r="J94" i="3" s="1"/>
  <c r="Q67" i="2"/>
  <c r="I94" i="3" s="1"/>
  <c r="P67" i="2"/>
  <c r="M67" i="2"/>
  <c r="H67" i="2"/>
  <c r="G67" i="2"/>
  <c r="E94" i="3" s="1"/>
  <c r="F67" i="2"/>
  <c r="D94" i="3" s="1"/>
  <c r="D67" i="2"/>
  <c r="B94" i="3" s="1"/>
  <c r="AH74" i="2"/>
  <c r="Z89" i="3" s="1"/>
  <c r="R74" i="2"/>
  <c r="J89" i="3" s="1"/>
  <c r="Q74" i="2"/>
  <c r="I89" i="3" s="1"/>
  <c r="P74" i="2"/>
  <c r="M74" i="2"/>
  <c r="H74" i="2"/>
  <c r="G74" i="2"/>
  <c r="E89" i="3" s="1"/>
  <c r="F74" i="2"/>
  <c r="D89" i="3" s="1"/>
  <c r="D74" i="2"/>
  <c r="B89" i="3" s="1"/>
  <c r="AH42" i="2"/>
  <c r="Z149" i="3" s="1"/>
  <c r="R42" i="2"/>
  <c r="J149" i="3" s="1"/>
  <c r="Q42" i="2"/>
  <c r="I149" i="3" s="1"/>
  <c r="P42" i="2"/>
  <c r="M42" i="2"/>
  <c r="H42" i="2"/>
  <c r="G42" i="2"/>
  <c r="E149" i="3" s="1"/>
  <c r="F42" i="2"/>
  <c r="D149" i="3" s="1"/>
  <c r="D42" i="2"/>
  <c r="B149" i="3" s="1"/>
  <c r="AH113" i="2"/>
  <c r="Z273" i="3" s="1"/>
  <c r="R113" i="2"/>
  <c r="J273" i="3" s="1"/>
  <c r="Q113" i="2"/>
  <c r="P113" i="2"/>
  <c r="M113" i="2"/>
  <c r="H113" i="2"/>
  <c r="G113" i="2"/>
  <c r="E273" i="3" s="1"/>
  <c r="F113" i="2"/>
  <c r="D273" i="3" s="1"/>
  <c r="D113" i="2"/>
  <c r="B273" i="3" s="1"/>
  <c r="AH104" i="2"/>
  <c r="Z206" i="3" s="1"/>
  <c r="R104" i="2"/>
  <c r="J206" i="3" s="1"/>
  <c r="Q104" i="2"/>
  <c r="I206" i="3" s="1"/>
  <c r="P104" i="2"/>
  <c r="M104" i="2"/>
  <c r="H104" i="2"/>
  <c r="G104" i="2"/>
  <c r="E206" i="3" s="1"/>
  <c r="F104" i="2"/>
  <c r="D206" i="3" s="1"/>
  <c r="D104" i="2"/>
  <c r="B206" i="3" s="1"/>
  <c r="AJ96" i="2"/>
  <c r="I141" i="3" s="1"/>
  <c r="P96" i="2"/>
  <c r="M96" i="2"/>
  <c r="H96" i="2"/>
  <c r="G96" i="2"/>
  <c r="E141" i="3" s="1"/>
  <c r="F96" i="2"/>
  <c r="D96" i="2"/>
  <c r="AJ98" i="2"/>
  <c r="I200" i="3" s="1"/>
  <c r="P98" i="2"/>
  <c r="M98" i="2"/>
  <c r="H98" i="2"/>
  <c r="G98" i="2"/>
  <c r="E200" i="3" s="1"/>
  <c r="F98" i="2"/>
  <c r="D98" i="2"/>
  <c r="B200" i="3" s="1"/>
  <c r="AH73" i="2"/>
  <c r="Z294" i="3" s="1"/>
  <c r="R73" i="2"/>
  <c r="J294" i="3" s="1"/>
  <c r="Q73" i="2"/>
  <c r="I294" i="3" s="1"/>
  <c r="P73" i="2"/>
  <c r="M73" i="2"/>
  <c r="H73" i="2"/>
  <c r="G73" i="2"/>
  <c r="E294" i="3" s="1"/>
  <c r="F73" i="2"/>
  <c r="D294" i="3" s="1"/>
  <c r="D73" i="2"/>
  <c r="B294" i="3" s="1"/>
  <c r="AH103" i="2"/>
  <c r="Z125" i="3" s="1"/>
  <c r="R103" i="2"/>
  <c r="J125" i="3" s="1"/>
  <c r="Q103" i="2"/>
  <c r="P103" i="2"/>
  <c r="M103" i="2"/>
  <c r="H103" i="2"/>
  <c r="G103" i="2"/>
  <c r="E125" i="3" s="1"/>
  <c r="F103" i="2"/>
  <c r="D125" i="3" s="1"/>
  <c r="D103" i="2"/>
  <c r="B125" i="3" s="1"/>
  <c r="AH122" i="2"/>
  <c r="Z242" i="3" s="1"/>
  <c r="R122" i="2"/>
  <c r="J242" i="3" s="1"/>
  <c r="Q122" i="2"/>
  <c r="P122" i="2"/>
  <c r="M122" i="2"/>
  <c r="H122" i="2"/>
  <c r="G122" i="2"/>
  <c r="E242" i="3" s="1"/>
  <c r="F122" i="2"/>
  <c r="D242" i="3" s="1"/>
  <c r="D122" i="2"/>
  <c r="B242" i="3" s="1"/>
  <c r="AH44" i="2"/>
  <c r="Z292" i="3" s="1"/>
  <c r="R44" i="2"/>
  <c r="J292" i="3" s="1"/>
  <c r="Q44" i="2"/>
  <c r="P44" i="2"/>
  <c r="M44" i="2"/>
  <c r="H44" i="2"/>
  <c r="G44" i="2"/>
  <c r="E292" i="3" s="1"/>
  <c r="F44" i="2"/>
  <c r="D292" i="3" s="1"/>
  <c r="D44" i="2"/>
  <c r="B292" i="3" s="1"/>
  <c r="AH114" i="2"/>
  <c r="Z35" i="3" s="1"/>
  <c r="R114" i="2"/>
  <c r="J35" i="3" s="1"/>
  <c r="Q114" i="2"/>
  <c r="I35" i="3" s="1"/>
  <c r="P114" i="2"/>
  <c r="M114" i="2"/>
  <c r="H114" i="2"/>
  <c r="G114" i="2"/>
  <c r="E35" i="3" s="1"/>
  <c r="F114" i="2"/>
  <c r="D35" i="3" s="1"/>
  <c r="D114" i="2"/>
  <c r="B35" i="3" s="1"/>
  <c r="AH88" i="2"/>
  <c r="Z248" i="3" s="1"/>
  <c r="R88" i="2"/>
  <c r="J248" i="3" s="1"/>
  <c r="Q88" i="2"/>
  <c r="P88" i="2"/>
  <c r="M88" i="2"/>
  <c r="H88" i="2"/>
  <c r="G88" i="2"/>
  <c r="E248" i="3" s="1"/>
  <c r="F88" i="2"/>
  <c r="D88" i="2"/>
  <c r="AH77" i="2"/>
  <c r="Z15" i="3" s="1"/>
  <c r="R77" i="2"/>
  <c r="J15" i="3" s="1"/>
  <c r="Q77" i="2"/>
  <c r="P77" i="2"/>
  <c r="M77" i="2"/>
  <c r="H77" i="2"/>
  <c r="G77" i="2"/>
  <c r="E15" i="3" s="1"/>
  <c r="F77" i="2"/>
  <c r="D77" i="2"/>
  <c r="AH106" i="2"/>
  <c r="Z95" i="3" s="1"/>
  <c r="R106" i="2"/>
  <c r="J95" i="3" s="1"/>
  <c r="Q106" i="2"/>
  <c r="I95" i="3" s="1"/>
  <c r="P106" i="2"/>
  <c r="M106" i="2"/>
  <c r="H106" i="2"/>
  <c r="G106" i="2"/>
  <c r="E95" i="3" s="1"/>
  <c r="F106" i="2"/>
  <c r="D95" i="3" s="1"/>
  <c r="D106" i="2"/>
  <c r="B95" i="3" s="1"/>
  <c r="AH81" i="2"/>
  <c r="Z265" i="3" s="1"/>
  <c r="R81" i="2"/>
  <c r="J265" i="3" s="1"/>
  <c r="Q81" i="2"/>
  <c r="P81" i="2"/>
  <c r="M81" i="2"/>
  <c r="H81" i="2"/>
  <c r="G81" i="2"/>
  <c r="E265" i="3" s="1"/>
  <c r="F81" i="2"/>
  <c r="D265" i="3" s="1"/>
  <c r="D81" i="2"/>
  <c r="B265" i="3" s="1"/>
  <c r="AH110" i="2"/>
  <c r="Z157" i="3" s="1"/>
  <c r="R110" i="2"/>
  <c r="J157" i="3" s="1"/>
  <c r="Q110" i="2"/>
  <c r="P110" i="2"/>
  <c r="M110" i="2"/>
  <c r="H110" i="2"/>
  <c r="G110" i="2"/>
  <c r="E157" i="3" s="1"/>
  <c r="F110" i="2"/>
  <c r="D157" i="3" s="1"/>
  <c r="D110" i="2"/>
  <c r="B157" i="3" s="1"/>
  <c r="AH84" i="2"/>
  <c r="Z295" i="3" s="1"/>
  <c r="R84" i="2"/>
  <c r="J295" i="3" s="1"/>
  <c r="Q84" i="2"/>
  <c r="Y84" i="2" s="1"/>
  <c r="Q295" i="3" s="1"/>
  <c r="P84" i="2"/>
  <c r="M84" i="2"/>
  <c r="H84" i="2"/>
  <c r="G84" i="2"/>
  <c r="E295" i="3" s="1"/>
  <c r="F84" i="2"/>
  <c r="D295" i="3" s="1"/>
  <c r="D84" i="2"/>
  <c r="B295" i="3" s="1"/>
  <c r="AH94" i="2"/>
  <c r="Z99" i="3" s="1"/>
  <c r="R94" i="2"/>
  <c r="J99" i="3" s="1"/>
  <c r="Q94" i="2"/>
  <c r="I99" i="3" s="1"/>
  <c r="P94" i="2"/>
  <c r="M94" i="2"/>
  <c r="H94" i="2"/>
  <c r="G94" i="2"/>
  <c r="E99" i="3" s="1"/>
  <c r="F94" i="2"/>
  <c r="D99" i="3" s="1"/>
  <c r="D94" i="2"/>
  <c r="B99" i="3" s="1"/>
  <c r="AH109" i="2"/>
  <c r="Z123" i="3" s="1"/>
  <c r="R109" i="2"/>
  <c r="J123" i="3" s="1"/>
  <c r="Q109" i="2"/>
  <c r="P109" i="2"/>
  <c r="M109" i="2"/>
  <c r="H109" i="2"/>
  <c r="G109" i="2"/>
  <c r="E123" i="3" s="1"/>
  <c r="F109" i="2"/>
  <c r="D123" i="3" s="1"/>
  <c r="D109" i="2"/>
  <c r="B123" i="3" s="1"/>
  <c r="AH121" i="2"/>
  <c r="Z68" i="3" s="1"/>
  <c r="R121" i="2"/>
  <c r="J68" i="3" s="1"/>
  <c r="Q121" i="2"/>
  <c r="I68" i="3" s="1"/>
  <c r="P121" i="2"/>
  <c r="M121" i="2"/>
  <c r="H121" i="2"/>
  <c r="G121" i="2"/>
  <c r="E68" i="3" s="1"/>
  <c r="F121" i="2"/>
  <c r="D68" i="3" s="1"/>
  <c r="D121" i="2"/>
  <c r="B68" i="3" s="1"/>
  <c r="AH80" i="2"/>
  <c r="Z305" i="3" s="1"/>
  <c r="R80" i="2"/>
  <c r="J305" i="3" s="1"/>
  <c r="Q80" i="2"/>
  <c r="I305" i="3" s="1"/>
  <c r="P80" i="2"/>
  <c r="M80" i="2"/>
  <c r="H80" i="2"/>
  <c r="G80" i="2"/>
  <c r="E305" i="3" s="1"/>
  <c r="F80" i="2"/>
  <c r="D80" i="2"/>
  <c r="AH100" i="2"/>
  <c r="Z103" i="3" s="1"/>
  <c r="R100" i="2"/>
  <c r="J103" i="3" s="1"/>
  <c r="Q100" i="2"/>
  <c r="I103" i="3" s="1"/>
  <c r="P100" i="2"/>
  <c r="M100" i="2"/>
  <c r="H100" i="2"/>
  <c r="G100" i="2"/>
  <c r="E103" i="3" s="1"/>
  <c r="F100" i="2"/>
  <c r="D100" i="2"/>
  <c r="AH93" i="2"/>
  <c r="Z16" i="3" s="1"/>
  <c r="R93" i="2"/>
  <c r="J16" i="3" s="1"/>
  <c r="Q93" i="2"/>
  <c r="AA93" i="2" s="1"/>
  <c r="S16" i="3" s="1"/>
  <c r="P93" i="2"/>
  <c r="M93" i="2"/>
  <c r="H93" i="2"/>
  <c r="G93" i="2"/>
  <c r="E16" i="3" s="1"/>
  <c r="F93" i="2"/>
  <c r="D93" i="2"/>
  <c r="AJ82" i="2"/>
  <c r="I83" i="3" s="1"/>
  <c r="P82" i="2"/>
  <c r="M82" i="2"/>
  <c r="H82" i="2"/>
  <c r="G82" i="2"/>
  <c r="E83" i="3" s="1"/>
  <c r="F82" i="2"/>
  <c r="D82" i="2"/>
  <c r="AH47" i="2"/>
  <c r="Z188" i="3" s="1"/>
  <c r="R47" i="2"/>
  <c r="J188" i="3" s="1"/>
  <c r="Q47" i="2"/>
  <c r="I188" i="3" s="1"/>
  <c r="P47" i="2"/>
  <c r="M47" i="2"/>
  <c r="H47" i="2"/>
  <c r="G47" i="2"/>
  <c r="E188" i="3" s="1"/>
  <c r="F47" i="2"/>
  <c r="D47" i="2"/>
  <c r="AH75" i="2"/>
  <c r="Z180" i="3" s="1"/>
  <c r="R75" i="2"/>
  <c r="J180" i="3" s="1"/>
  <c r="Q75" i="2"/>
  <c r="I180" i="3" s="1"/>
  <c r="P75" i="2"/>
  <c r="M75" i="2"/>
  <c r="H75" i="2"/>
  <c r="G75" i="2"/>
  <c r="E180" i="3" s="1"/>
  <c r="F75" i="2"/>
  <c r="D180" i="3" s="1"/>
  <c r="D75" i="2"/>
  <c r="B180" i="3" s="1"/>
  <c r="AJ87" i="2"/>
  <c r="I84" i="3" s="1"/>
  <c r="P87" i="2"/>
  <c r="M87" i="2"/>
  <c r="H87" i="2"/>
  <c r="G87" i="2"/>
  <c r="E84" i="3" s="1"/>
  <c r="F87" i="2"/>
  <c r="D87" i="2"/>
  <c r="B84" i="3" s="1"/>
  <c r="AH62" i="2"/>
  <c r="Z219" i="3" s="1"/>
  <c r="R62" i="2"/>
  <c r="J219" i="3" s="1"/>
  <c r="Q62" i="2"/>
  <c r="P62" i="2"/>
  <c r="M62" i="2"/>
  <c r="H62" i="2"/>
  <c r="G62" i="2"/>
  <c r="E219" i="3" s="1"/>
  <c r="F62" i="2"/>
  <c r="D62" i="2"/>
  <c r="AH52" i="2"/>
  <c r="Z234" i="3" s="1"/>
  <c r="R52" i="2"/>
  <c r="J234" i="3" s="1"/>
  <c r="Q52" i="2"/>
  <c r="I234" i="3" s="1"/>
  <c r="P52" i="2"/>
  <c r="M52" i="2"/>
  <c r="H52" i="2"/>
  <c r="G52" i="2"/>
  <c r="E234" i="3" s="1"/>
  <c r="F52" i="2"/>
  <c r="D234" i="3" s="1"/>
  <c r="D52" i="2"/>
  <c r="B234" i="3" s="1"/>
  <c r="AH108" i="2"/>
  <c r="Z97" i="3" s="1"/>
  <c r="R108" i="2"/>
  <c r="J97" i="3" s="1"/>
  <c r="Q108" i="2"/>
  <c r="I97" i="3" s="1"/>
  <c r="P108" i="2"/>
  <c r="M108" i="2"/>
  <c r="H108" i="2"/>
  <c r="G108" i="2"/>
  <c r="E97" i="3" s="1"/>
  <c r="F108" i="2"/>
  <c r="D97" i="3" s="1"/>
  <c r="D108" i="2"/>
  <c r="B97" i="3" s="1"/>
  <c r="AH57" i="2"/>
  <c r="Z98" i="3" s="1"/>
  <c r="R57" i="2"/>
  <c r="J98" i="3" s="1"/>
  <c r="Q57" i="2"/>
  <c r="P57" i="2"/>
  <c r="M57" i="2"/>
  <c r="H57" i="2"/>
  <c r="G57" i="2"/>
  <c r="E98" i="3" s="1"/>
  <c r="F57" i="2"/>
  <c r="D98" i="3" s="1"/>
  <c r="D57" i="2"/>
  <c r="B98" i="3" s="1"/>
  <c r="AH90" i="2"/>
  <c r="Z272" i="3" s="1"/>
  <c r="R90" i="2"/>
  <c r="J272" i="3" s="1"/>
  <c r="Q90" i="2"/>
  <c r="I272" i="3" s="1"/>
  <c r="P90" i="2"/>
  <c r="M90" i="2"/>
  <c r="H90" i="2"/>
  <c r="G90" i="2"/>
  <c r="E272" i="3" s="1"/>
  <c r="F90" i="2"/>
  <c r="D272" i="3" s="1"/>
  <c r="D90" i="2"/>
  <c r="B272" i="3" s="1"/>
  <c r="AH71" i="2"/>
  <c r="Z3" i="3" s="1"/>
  <c r="R71" i="2"/>
  <c r="J3" i="3" s="1"/>
  <c r="Q71" i="2"/>
  <c r="I3" i="3" s="1"/>
  <c r="P71" i="2"/>
  <c r="M71" i="2"/>
  <c r="H71" i="2"/>
  <c r="G71" i="2"/>
  <c r="E3" i="3" s="1"/>
  <c r="F71" i="2"/>
  <c r="D3" i="3" s="1"/>
  <c r="D71" i="2"/>
  <c r="B3" i="3" s="1"/>
  <c r="AH83" i="2"/>
  <c r="Z46" i="3" s="1"/>
  <c r="R83" i="2"/>
  <c r="J46" i="3" s="1"/>
  <c r="Q83" i="2"/>
  <c r="I46" i="3" s="1"/>
  <c r="P83" i="2"/>
  <c r="M83" i="2"/>
  <c r="H83" i="2"/>
  <c r="G83" i="2"/>
  <c r="E46" i="3" s="1"/>
  <c r="F83" i="2"/>
  <c r="D83" i="2"/>
  <c r="AH91" i="2"/>
  <c r="Z41" i="3" s="1"/>
  <c r="R91" i="2"/>
  <c r="J41" i="3" s="1"/>
  <c r="Q91" i="2"/>
  <c r="I41" i="3" s="1"/>
  <c r="P91" i="2"/>
  <c r="M91" i="2"/>
  <c r="H91" i="2"/>
  <c r="G91" i="2"/>
  <c r="E41" i="3" s="1"/>
  <c r="F91" i="2"/>
  <c r="D41" i="3" s="1"/>
  <c r="D91" i="2"/>
  <c r="B41" i="3" s="1"/>
  <c r="AH68" i="2"/>
  <c r="Z45" i="3" s="1"/>
  <c r="R68" i="2"/>
  <c r="J45" i="3" s="1"/>
  <c r="Q68" i="2"/>
  <c r="I45" i="3" s="1"/>
  <c r="P68" i="2"/>
  <c r="M68" i="2"/>
  <c r="H68" i="2"/>
  <c r="G68" i="2"/>
  <c r="E45" i="3" s="1"/>
  <c r="F68" i="2"/>
  <c r="D20" i="8" s="1"/>
  <c r="D68" i="2"/>
  <c r="B45" i="3" s="1"/>
  <c r="AH43" i="2"/>
  <c r="Z334" i="3" s="1"/>
  <c r="R43" i="2"/>
  <c r="J334" i="3" s="1"/>
  <c r="Q43" i="2"/>
  <c r="P43" i="2"/>
  <c r="M43" i="2"/>
  <c r="H43" i="2"/>
  <c r="G43" i="2"/>
  <c r="E334" i="3" s="1"/>
  <c r="F43" i="2"/>
  <c r="D43" i="2"/>
  <c r="B334" i="3" s="1"/>
  <c r="AH65" i="2"/>
  <c r="Z218" i="3" s="1"/>
  <c r="R65" i="2"/>
  <c r="J218" i="3" s="1"/>
  <c r="Q65" i="2"/>
  <c r="P65" i="2"/>
  <c r="M65" i="2"/>
  <c r="H65" i="2"/>
  <c r="G65" i="2"/>
  <c r="E218" i="3" s="1"/>
  <c r="F65" i="2"/>
  <c r="D65" i="2"/>
  <c r="AH89" i="2"/>
  <c r="Z184" i="3" s="1"/>
  <c r="R89" i="2"/>
  <c r="J184" i="3" s="1"/>
  <c r="Q89" i="2"/>
  <c r="I184" i="3" s="1"/>
  <c r="P89" i="2"/>
  <c r="M89" i="2"/>
  <c r="H89" i="2"/>
  <c r="G89" i="2"/>
  <c r="E184" i="3" s="1"/>
  <c r="F89" i="2"/>
  <c r="D184" i="3" s="1"/>
  <c r="D89" i="2"/>
  <c r="B184" i="3" s="1"/>
  <c r="AH72" i="2"/>
  <c r="Z276" i="3" s="1"/>
  <c r="R72" i="2"/>
  <c r="J276" i="3" s="1"/>
  <c r="Q72" i="2"/>
  <c r="P72" i="2"/>
  <c r="M72" i="2"/>
  <c r="H72" i="2"/>
  <c r="G72" i="2"/>
  <c r="E276" i="3" s="1"/>
  <c r="F72" i="2"/>
  <c r="D72" i="2"/>
  <c r="AH58" i="2"/>
  <c r="Z60" i="3" s="1"/>
  <c r="R58" i="2"/>
  <c r="J60" i="3" s="1"/>
  <c r="Q58" i="2"/>
  <c r="P58" i="2"/>
  <c r="M58" i="2"/>
  <c r="H58" i="2"/>
  <c r="G58" i="2"/>
  <c r="E60" i="3" s="1"/>
  <c r="F58" i="2"/>
  <c r="D60" i="3" s="1"/>
  <c r="D58" i="2"/>
  <c r="B60" i="3" s="1"/>
  <c r="AH66" i="2"/>
  <c r="Z297" i="3" s="1"/>
  <c r="R66" i="2"/>
  <c r="J297" i="3" s="1"/>
  <c r="Q66" i="2"/>
  <c r="AG66" i="2" s="1"/>
  <c r="Y297" i="3" s="1"/>
  <c r="P66" i="2"/>
  <c r="M66" i="2"/>
  <c r="H66" i="2"/>
  <c r="G66" i="2"/>
  <c r="E297" i="3" s="1"/>
  <c r="F66" i="2"/>
  <c r="D297" i="3" s="1"/>
  <c r="D66" i="2"/>
  <c r="B297" i="3" s="1"/>
  <c r="AH63" i="2"/>
  <c r="Z214" i="3" s="1"/>
  <c r="R63" i="2"/>
  <c r="J214" i="3" s="1"/>
  <c r="Q63" i="2"/>
  <c r="I214" i="3" s="1"/>
  <c r="P63" i="2"/>
  <c r="M63" i="2"/>
  <c r="H63" i="2"/>
  <c r="G63" i="2"/>
  <c r="E214" i="3" s="1"/>
  <c r="F63" i="2"/>
  <c r="D214" i="3" s="1"/>
  <c r="D63" i="2"/>
  <c r="B214" i="3" s="1"/>
  <c r="AH27" i="2"/>
  <c r="Z101" i="3" s="1"/>
  <c r="R27" i="2"/>
  <c r="J101" i="3" s="1"/>
  <c r="Q27" i="2"/>
  <c r="I101" i="3" s="1"/>
  <c r="P27" i="2"/>
  <c r="M27" i="2"/>
  <c r="H27" i="2"/>
  <c r="G27" i="2"/>
  <c r="E101" i="3" s="1"/>
  <c r="F27" i="2"/>
  <c r="D27" i="2"/>
  <c r="AH53" i="2"/>
  <c r="Z329" i="3" s="1"/>
  <c r="R53" i="2"/>
  <c r="J329" i="3" s="1"/>
  <c r="Q53" i="2"/>
  <c r="AA53" i="2" s="1"/>
  <c r="S329" i="3" s="1"/>
  <c r="P53" i="2"/>
  <c r="M53" i="2"/>
  <c r="H53" i="2"/>
  <c r="G53" i="2"/>
  <c r="E329" i="3" s="1"/>
  <c r="F53" i="2"/>
  <c r="D329" i="3" s="1"/>
  <c r="D53" i="2"/>
  <c r="B329" i="3" s="1"/>
  <c r="AH35" i="2"/>
  <c r="Z321" i="3" s="1"/>
  <c r="R35" i="2"/>
  <c r="J321" i="3" s="1"/>
  <c r="Q35" i="2"/>
  <c r="P35" i="2"/>
  <c r="M35" i="2"/>
  <c r="H35" i="2"/>
  <c r="G35" i="2"/>
  <c r="E321" i="3" s="1"/>
  <c r="F35" i="2"/>
  <c r="D321" i="3" s="1"/>
  <c r="D35" i="2"/>
  <c r="B321" i="3" s="1"/>
  <c r="AH45" i="2"/>
  <c r="Z235" i="3" s="1"/>
  <c r="R45" i="2"/>
  <c r="J235" i="3" s="1"/>
  <c r="Q45" i="2"/>
  <c r="I235" i="3" s="1"/>
  <c r="P45" i="2"/>
  <c r="M45" i="2"/>
  <c r="H45" i="2"/>
  <c r="G45" i="2"/>
  <c r="E235" i="3" s="1"/>
  <c r="F45" i="2"/>
  <c r="D235" i="3" s="1"/>
  <c r="D45" i="2"/>
  <c r="B235" i="3" s="1"/>
  <c r="AH51" i="2"/>
  <c r="Z36" i="3" s="1"/>
  <c r="R51" i="2"/>
  <c r="J36" i="3" s="1"/>
  <c r="Q51" i="2"/>
  <c r="I36" i="3" s="1"/>
  <c r="P51" i="2"/>
  <c r="M51" i="2"/>
  <c r="H51" i="2"/>
  <c r="G51" i="2"/>
  <c r="E36" i="3" s="1"/>
  <c r="F51" i="2"/>
  <c r="D36" i="3" s="1"/>
  <c r="D51" i="2"/>
  <c r="B36" i="3" s="1"/>
  <c r="AH64" i="2"/>
  <c r="Z181" i="3" s="1"/>
  <c r="R64" i="2"/>
  <c r="J181" i="3" s="1"/>
  <c r="Q64" i="2"/>
  <c r="I181" i="3" s="1"/>
  <c r="P64" i="2"/>
  <c r="M64" i="2"/>
  <c r="H64" i="2"/>
  <c r="G64" i="2"/>
  <c r="E181" i="3" s="1"/>
  <c r="F64" i="2"/>
  <c r="D181" i="3" s="1"/>
  <c r="D64" i="2"/>
  <c r="B181" i="3" s="1"/>
  <c r="AH55" i="2"/>
  <c r="R55" i="2"/>
  <c r="Q55" i="2"/>
  <c r="P55" i="2"/>
  <c r="M55" i="2"/>
  <c r="H55" i="2"/>
  <c r="G55" i="2"/>
  <c r="F55" i="2"/>
  <c r="D15" i="8" s="1"/>
  <c r="D55" i="2"/>
  <c r="B15" i="8" s="1"/>
  <c r="AH60" i="2"/>
  <c r="Z155" i="3" s="1"/>
  <c r="R60" i="2"/>
  <c r="J155" i="3" s="1"/>
  <c r="Q60" i="2"/>
  <c r="P60" i="2"/>
  <c r="M60" i="2"/>
  <c r="H60" i="2"/>
  <c r="G60" i="2"/>
  <c r="E155" i="3" s="1"/>
  <c r="F60" i="2"/>
  <c r="D155" i="3" s="1"/>
  <c r="D60" i="2"/>
  <c r="B155" i="3" s="1"/>
  <c r="AH56" i="2"/>
  <c r="Z185" i="3" s="1"/>
  <c r="R56" i="2"/>
  <c r="J185" i="3" s="1"/>
  <c r="Q56" i="2"/>
  <c r="AD56" i="2" s="1"/>
  <c r="V185" i="3" s="1"/>
  <c r="P56" i="2"/>
  <c r="M56" i="2"/>
  <c r="H56" i="2"/>
  <c r="G56" i="2"/>
  <c r="E185" i="3" s="1"/>
  <c r="F56" i="2"/>
  <c r="D185" i="3" s="1"/>
  <c r="D56" i="2"/>
  <c r="B185" i="3" s="1"/>
  <c r="AH49" i="2"/>
  <c r="Z151" i="3" s="1"/>
  <c r="R49" i="2"/>
  <c r="J151" i="3" s="1"/>
  <c r="Q49" i="2"/>
  <c r="P49" i="2"/>
  <c r="M49" i="2"/>
  <c r="H49" i="2"/>
  <c r="G49" i="2"/>
  <c r="E151" i="3" s="1"/>
  <c r="F49" i="2"/>
  <c r="D151" i="3" s="1"/>
  <c r="D49" i="2"/>
  <c r="B151" i="3" s="1"/>
  <c r="AH41" i="2"/>
  <c r="Z247" i="3" s="1"/>
  <c r="R41" i="2"/>
  <c r="J247" i="3" s="1"/>
  <c r="Q41" i="2"/>
  <c r="P41" i="2"/>
  <c r="M41" i="2"/>
  <c r="H41" i="2"/>
  <c r="G41" i="2"/>
  <c r="E247" i="3" s="1"/>
  <c r="F41" i="2"/>
  <c r="D41" i="2"/>
  <c r="AJ86" i="2"/>
  <c r="I344" i="3" s="1"/>
  <c r="P86" i="2"/>
  <c r="M86" i="2"/>
  <c r="H86" i="2"/>
  <c r="G86" i="2"/>
  <c r="E344" i="3" s="1"/>
  <c r="F86" i="2"/>
  <c r="D86" i="2"/>
  <c r="B344" i="3" s="1"/>
  <c r="AH48" i="2"/>
  <c r="Z148" i="3" s="1"/>
  <c r="R48" i="2"/>
  <c r="J148" i="3" s="1"/>
  <c r="Q48" i="2"/>
  <c r="P48" i="2"/>
  <c r="M48" i="2"/>
  <c r="H48" i="2"/>
  <c r="G48" i="2"/>
  <c r="E148" i="3" s="1"/>
  <c r="F48" i="2"/>
  <c r="D148" i="3" s="1"/>
  <c r="D48" i="2"/>
  <c r="B148" i="3" s="1"/>
  <c r="AH46" i="2"/>
  <c r="Z37" i="3" s="1"/>
  <c r="R46" i="2"/>
  <c r="J37" i="3" s="1"/>
  <c r="Q46" i="2"/>
  <c r="I37" i="3" s="1"/>
  <c r="P46" i="2"/>
  <c r="M46" i="2"/>
  <c r="H46" i="2"/>
  <c r="G46" i="2"/>
  <c r="E37" i="3" s="1"/>
  <c r="F46" i="2"/>
  <c r="D37" i="3" s="1"/>
  <c r="D46" i="2"/>
  <c r="B37" i="3" s="1"/>
  <c r="AH39" i="2"/>
  <c r="Z210" i="3" s="1"/>
  <c r="R39" i="2"/>
  <c r="J210" i="3" s="1"/>
  <c r="Q39" i="2"/>
  <c r="P39" i="2"/>
  <c r="M39" i="2"/>
  <c r="H39" i="2"/>
  <c r="G39" i="2"/>
  <c r="E210" i="3" s="1"/>
  <c r="F39" i="2"/>
  <c r="D210" i="3" s="1"/>
  <c r="D39" i="2"/>
  <c r="B210" i="3" s="1"/>
  <c r="AH54" i="2"/>
  <c r="Z147" i="3" s="1"/>
  <c r="R54" i="2"/>
  <c r="J147" i="3" s="1"/>
  <c r="Q54" i="2"/>
  <c r="P54" i="2"/>
  <c r="M54" i="2"/>
  <c r="H54" i="2"/>
  <c r="G54" i="2"/>
  <c r="E147" i="3" s="1"/>
  <c r="F54" i="2"/>
  <c r="D147" i="3" s="1"/>
  <c r="D54" i="2"/>
  <c r="B147" i="3" s="1"/>
  <c r="AH37" i="2"/>
  <c r="Z64" i="3" s="1"/>
  <c r="R37" i="2"/>
  <c r="J64" i="3" s="1"/>
  <c r="Q37" i="2"/>
  <c r="I64" i="3" s="1"/>
  <c r="P37" i="2"/>
  <c r="M37" i="2"/>
  <c r="H37" i="2"/>
  <c r="G37" i="2"/>
  <c r="E64" i="3" s="1"/>
  <c r="F37" i="2"/>
  <c r="D64" i="3" s="1"/>
  <c r="D37" i="2"/>
  <c r="B64" i="3" s="1"/>
  <c r="AH50" i="2"/>
  <c r="R50" i="2"/>
  <c r="Q50" i="2"/>
  <c r="Y50" i="2" s="1"/>
  <c r="P50" i="2"/>
  <c r="M50" i="2"/>
  <c r="H50" i="2"/>
  <c r="G50" i="2"/>
  <c r="F50" i="2"/>
  <c r="D50" i="2"/>
  <c r="AH59" i="2"/>
  <c r="Z304" i="3" s="1"/>
  <c r="R59" i="2"/>
  <c r="J304" i="3" s="1"/>
  <c r="Q59" i="2"/>
  <c r="P59" i="2"/>
  <c r="M59" i="2"/>
  <c r="H59" i="2"/>
  <c r="G59" i="2"/>
  <c r="E304" i="3" s="1"/>
  <c r="F59" i="2"/>
  <c r="D59" i="2"/>
  <c r="AJ70" i="2"/>
  <c r="P70" i="2"/>
  <c r="M70" i="2"/>
  <c r="H70" i="2"/>
  <c r="G70" i="2"/>
  <c r="E112" i="3" s="1"/>
  <c r="F70" i="2"/>
  <c r="D70" i="2"/>
  <c r="AH38" i="2"/>
  <c r="Z239" i="3" s="1"/>
  <c r="R38" i="2"/>
  <c r="J239" i="3" s="1"/>
  <c r="Q38" i="2"/>
  <c r="P38" i="2"/>
  <c r="M38" i="2"/>
  <c r="H38" i="2"/>
  <c r="G38" i="2"/>
  <c r="E239" i="3" s="1"/>
  <c r="F38" i="2"/>
  <c r="D239" i="3" s="1"/>
  <c r="D38" i="2"/>
  <c r="B239" i="3" s="1"/>
  <c r="AH28" i="2"/>
  <c r="Z293" i="3" s="1"/>
  <c r="R28" i="2"/>
  <c r="J293" i="3" s="1"/>
  <c r="Q28" i="2"/>
  <c r="I293" i="3" s="1"/>
  <c r="P28" i="2"/>
  <c r="M28" i="2"/>
  <c r="H28" i="2"/>
  <c r="G28" i="2"/>
  <c r="E293" i="3" s="1"/>
  <c r="F28" i="2"/>
  <c r="D293" i="3" s="1"/>
  <c r="D28" i="2"/>
  <c r="B293" i="3" s="1"/>
  <c r="AH32" i="2"/>
  <c r="Z90" i="3" s="1"/>
  <c r="R32" i="2"/>
  <c r="J90" i="3" s="1"/>
  <c r="Q32" i="2"/>
  <c r="I90" i="3" s="1"/>
  <c r="P32" i="2"/>
  <c r="M32" i="2"/>
  <c r="H32" i="2"/>
  <c r="G32" i="2"/>
  <c r="E90" i="3" s="1"/>
  <c r="F32" i="2"/>
  <c r="D90" i="3" s="1"/>
  <c r="D32" i="2"/>
  <c r="B90" i="3" s="1"/>
  <c r="AH40" i="2"/>
  <c r="Z39" i="3" s="1"/>
  <c r="R40" i="2"/>
  <c r="J39" i="3" s="1"/>
  <c r="Q40" i="2"/>
  <c r="I39" i="3" s="1"/>
  <c r="P40" i="2"/>
  <c r="M40" i="2"/>
  <c r="H40" i="2"/>
  <c r="G40" i="2"/>
  <c r="E39" i="3" s="1"/>
  <c r="F40" i="2"/>
  <c r="D39" i="3" s="1"/>
  <c r="D40" i="2"/>
  <c r="B39" i="3" s="1"/>
  <c r="AH34" i="2"/>
  <c r="Z72" i="3" s="1"/>
  <c r="R34" i="2"/>
  <c r="J72" i="3" s="1"/>
  <c r="Q34" i="2"/>
  <c r="P34" i="2"/>
  <c r="M34" i="2"/>
  <c r="H34" i="2"/>
  <c r="G34" i="2"/>
  <c r="E72" i="3" s="1"/>
  <c r="F34" i="2"/>
  <c r="D34" i="2"/>
  <c r="AH30" i="2"/>
  <c r="Z209" i="3" s="1"/>
  <c r="R30" i="2"/>
  <c r="J209" i="3" s="1"/>
  <c r="Q30" i="2"/>
  <c r="I209" i="3" s="1"/>
  <c r="P30" i="2"/>
  <c r="M30" i="2"/>
  <c r="H30" i="2"/>
  <c r="G30" i="2"/>
  <c r="E209" i="3" s="1"/>
  <c r="F30" i="2"/>
  <c r="D209" i="3" s="1"/>
  <c r="D30" i="2"/>
  <c r="B209" i="3" s="1"/>
  <c r="AH36" i="2"/>
  <c r="Z122" i="3" s="1"/>
  <c r="R36" i="2"/>
  <c r="J122" i="3" s="1"/>
  <c r="Q36" i="2"/>
  <c r="P36" i="2"/>
  <c r="M36" i="2"/>
  <c r="H36" i="2"/>
  <c r="G36" i="2"/>
  <c r="E122" i="3" s="1"/>
  <c r="F36" i="2"/>
  <c r="D122" i="3" s="1"/>
  <c r="D36" i="2"/>
  <c r="B122" i="3" s="1"/>
  <c r="AJ61" i="2"/>
  <c r="P61" i="2"/>
  <c r="M61" i="2"/>
  <c r="H61" i="2"/>
  <c r="G61" i="2"/>
  <c r="F61" i="2"/>
  <c r="D5" i="9" s="1"/>
  <c r="D61" i="2"/>
  <c r="B5" i="9" s="1"/>
  <c r="AH33" i="2"/>
  <c r="Z93" i="3" s="1"/>
  <c r="R33" i="2"/>
  <c r="J93" i="3" s="1"/>
  <c r="Q33" i="2"/>
  <c r="I93" i="3" s="1"/>
  <c r="P33" i="2"/>
  <c r="M33" i="2"/>
  <c r="H33" i="2"/>
  <c r="G33" i="2"/>
  <c r="E93" i="3" s="1"/>
  <c r="F33" i="2"/>
  <c r="D93" i="3" s="1"/>
  <c r="D33" i="2"/>
  <c r="B93" i="3" s="1"/>
  <c r="AH22" i="2"/>
  <c r="Z119" i="3" s="1"/>
  <c r="R22" i="2"/>
  <c r="J119" i="3" s="1"/>
  <c r="Q22" i="2"/>
  <c r="P22" i="2"/>
  <c r="M22" i="2"/>
  <c r="H22" i="2"/>
  <c r="G22" i="2"/>
  <c r="E119" i="3" s="1"/>
  <c r="F22" i="2"/>
  <c r="D119" i="3" s="1"/>
  <c r="D22" i="2"/>
  <c r="B119" i="3" s="1"/>
  <c r="AH29" i="2"/>
  <c r="Z152" i="3" s="1"/>
  <c r="R29" i="2"/>
  <c r="J152" i="3" s="1"/>
  <c r="Q29" i="2"/>
  <c r="I152" i="3" s="1"/>
  <c r="P29" i="2"/>
  <c r="M29" i="2"/>
  <c r="H29" i="2"/>
  <c r="G29" i="2"/>
  <c r="E152" i="3" s="1"/>
  <c r="F29" i="2"/>
  <c r="D152" i="3" s="1"/>
  <c r="D29" i="2"/>
  <c r="B152" i="3" s="1"/>
  <c r="AJ69" i="2"/>
  <c r="I315" i="3" s="1"/>
  <c r="P69" i="2"/>
  <c r="M69" i="2"/>
  <c r="H69" i="2"/>
  <c r="G69" i="2"/>
  <c r="E315" i="3" s="1"/>
  <c r="F69" i="2"/>
  <c r="D69" i="2"/>
  <c r="AJ76" i="2"/>
  <c r="I199" i="3" s="1"/>
  <c r="P76" i="2"/>
  <c r="M76" i="2"/>
  <c r="H76" i="2"/>
  <c r="G76" i="2"/>
  <c r="E199" i="3" s="1"/>
  <c r="F76" i="2"/>
  <c r="D76" i="2"/>
  <c r="AH31" i="2"/>
  <c r="Z236" i="3" s="1"/>
  <c r="R31" i="2"/>
  <c r="J236" i="3" s="1"/>
  <c r="Q31" i="2"/>
  <c r="AB31" i="2" s="1"/>
  <c r="T236" i="3" s="1"/>
  <c r="P31" i="2"/>
  <c r="M31" i="2"/>
  <c r="H31" i="2"/>
  <c r="G31" i="2"/>
  <c r="E236" i="3" s="1"/>
  <c r="F31" i="2"/>
  <c r="D236" i="3" s="1"/>
  <c r="D31" i="2"/>
  <c r="B236" i="3" s="1"/>
  <c r="AH26" i="2"/>
  <c r="Z31" i="3" s="1"/>
  <c r="R26" i="2"/>
  <c r="J31" i="3" s="1"/>
  <c r="Q26" i="2"/>
  <c r="Z26" i="2" s="1"/>
  <c r="R31" i="3" s="1"/>
  <c r="P26" i="2"/>
  <c r="M26" i="2"/>
  <c r="H26" i="2"/>
  <c r="G26" i="2"/>
  <c r="E31" i="3" s="1"/>
  <c r="F26" i="2"/>
  <c r="D31" i="3" s="1"/>
  <c r="D26" i="2"/>
  <c r="B31" i="3" s="1"/>
  <c r="AH25" i="2"/>
  <c r="Z44" i="3" s="1"/>
  <c r="R25" i="2"/>
  <c r="J44" i="3" s="1"/>
  <c r="Q25" i="2"/>
  <c r="I44" i="3" s="1"/>
  <c r="P25" i="2"/>
  <c r="M25" i="2"/>
  <c r="H25" i="2"/>
  <c r="G25" i="2"/>
  <c r="E44" i="3" s="1"/>
  <c r="F25" i="2"/>
  <c r="D25" i="2"/>
  <c r="B11" i="8" s="1"/>
  <c r="AH21" i="2"/>
  <c r="Z275" i="3" s="1"/>
  <c r="R21" i="2"/>
  <c r="J275" i="3" s="1"/>
  <c r="Q21" i="2"/>
  <c r="I275" i="3" s="1"/>
  <c r="P21" i="2"/>
  <c r="M21" i="2"/>
  <c r="H21" i="2"/>
  <c r="G21" i="2"/>
  <c r="E275" i="3" s="1"/>
  <c r="F21" i="2"/>
  <c r="D21" i="2"/>
  <c r="AH20" i="2"/>
  <c r="Z73" i="3" s="1"/>
  <c r="R20" i="2"/>
  <c r="J73" i="3" s="1"/>
  <c r="Q20" i="2"/>
  <c r="I73" i="3" s="1"/>
  <c r="P20" i="2"/>
  <c r="M20" i="2"/>
  <c r="H20" i="2"/>
  <c r="G20" i="2"/>
  <c r="E73" i="3" s="1"/>
  <c r="F20" i="2"/>
  <c r="D20" i="2"/>
  <c r="B73" i="3" s="1"/>
  <c r="AH24" i="2"/>
  <c r="Z71" i="3" s="1"/>
  <c r="R24" i="2"/>
  <c r="J71" i="3" s="1"/>
  <c r="Q24" i="2"/>
  <c r="Y24" i="2" s="1"/>
  <c r="Q71" i="3" s="1"/>
  <c r="P24" i="2"/>
  <c r="M24" i="2"/>
  <c r="H24" i="2"/>
  <c r="G24" i="2"/>
  <c r="E71" i="3" s="1"/>
  <c r="F24" i="2"/>
  <c r="D24" i="2"/>
  <c r="AH17" i="2"/>
  <c r="Z43" i="3" s="1"/>
  <c r="R17" i="2"/>
  <c r="J43" i="3" s="1"/>
  <c r="Q17" i="2"/>
  <c r="P17" i="2"/>
  <c r="M17" i="2"/>
  <c r="H17" i="2"/>
  <c r="G17" i="2"/>
  <c r="E43" i="3" s="1"/>
  <c r="F17" i="2"/>
  <c r="D17" i="2"/>
  <c r="AH19" i="2"/>
  <c r="Z246" i="3" s="1"/>
  <c r="R19" i="2"/>
  <c r="J246" i="3" s="1"/>
  <c r="Q19" i="2"/>
  <c r="P19" i="2"/>
  <c r="M19" i="2"/>
  <c r="H19" i="2"/>
  <c r="G19" i="2"/>
  <c r="E246" i="3" s="1"/>
  <c r="F19" i="2"/>
  <c r="D19" i="2"/>
  <c r="AH23" i="2"/>
  <c r="Z271" i="3" s="1"/>
  <c r="R23" i="2"/>
  <c r="J271" i="3" s="1"/>
  <c r="Q23" i="2"/>
  <c r="I271" i="3" s="1"/>
  <c r="P23" i="2"/>
  <c r="M23" i="2"/>
  <c r="H23" i="2"/>
  <c r="G23" i="2"/>
  <c r="E271" i="3" s="1"/>
  <c r="F23" i="2"/>
  <c r="D271" i="3" s="1"/>
  <c r="D23" i="2"/>
  <c r="B271" i="3" s="1"/>
  <c r="AH13" i="2"/>
  <c r="Z333" i="3" s="1"/>
  <c r="R13" i="2"/>
  <c r="J333" i="3" s="1"/>
  <c r="Q13" i="2"/>
  <c r="P13" i="2"/>
  <c r="M13" i="2"/>
  <c r="H13" i="2"/>
  <c r="G13" i="2"/>
  <c r="E333" i="3" s="1"/>
  <c r="F13" i="2"/>
  <c r="D13" i="2"/>
  <c r="AH18" i="2"/>
  <c r="Z213" i="3" s="1"/>
  <c r="R18" i="2"/>
  <c r="J213" i="3" s="1"/>
  <c r="Q18" i="2"/>
  <c r="P18" i="2"/>
  <c r="M18" i="2"/>
  <c r="H18" i="2"/>
  <c r="G18" i="2"/>
  <c r="E213" i="3" s="1"/>
  <c r="F18" i="2"/>
  <c r="D213" i="3" s="1"/>
  <c r="D18" i="2"/>
  <c r="B213" i="3" s="1"/>
  <c r="AH16" i="2"/>
  <c r="Z153" i="3" s="1"/>
  <c r="R16" i="2"/>
  <c r="J153" i="3" s="1"/>
  <c r="Q16" i="2"/>
  <c r="P16" i="2"/>
  <c r="M16" i="2"/>
  <c r="H16" i="2"/>
  <c r="G16" i="2"/>
  <c r="E153" i="3" s="1"/>
  <c r="F16" i="2"/>
  <c r="D153" i="3" s="1"/>
  <c r="D16" i="2"/>
  <c r="B153" i="3" s="1"/>
  <c r="AH15" i="2"/>
  <c r="Z264" i="3" s="1"/>
  <c r="R15" i="2"/>
  <c r="J264" i="3" s="1"/>
  <c r="Q15" i="2"/>
  <c r="I264" i="3" s="1"/>
  <c r="P15" i="2"/>
  <c r="M15" i="2"/>
  <c r="H15" i="2"/>
  <c r="G15" i="2"/>
  <c r="E264" i="3" s="1"/>
  <c r="F15" i="2"/>
  <c r="D264" i="3" s="1"/>
  <c r="D15" i="2"/>
  <c r="B264" i="3" s="1"/>
  <c r="AH14" i="2"/>
  <c r="Z326" i="3" s="1"/>
  <c r="R14" i="2"/>
  <c r="J326" i="3" s="1"/>
  <c r="Q14" i="2"/>
  <c r="I326" i="3" s="1"/>
  <c r="P14" i="2"/>
  <c r="M14" i="2"/>
  <c r="H14" i="2"/>
  <c r="G14" i="2"/>
  <c r="E326" i="3" s="1"/>
  <c r="F14" i="2"/>
  <c r="D326" i="3" s="1"/>
  <c r="D14" i="2"/>
  <c r="B326" i="3" s="1"/>
  <c r="AH10" i="2"/>
  <c r="R10" i="2"/>
  <c r="Q10" i="2"/>
  <c r="P10" i="2"/>
  <c r="M10" i="2"/>
  <c r="H10" i="2"/>
  <c r="G10" i="2"/>
  <c r="F10" i="2"/>
  <c r="D10" i="2"/>
  <c r="AH12" i="2"/>
  <c r="Z217" i="3" s="1"/>
  <c r="R12" i="2"/>
  <c r="J217" i="3" s="1"/>
  <c r="Q12" i="2"/>
  <c r="I217" i="3" s="1"/>
  <c r="P12" i="2"/>
  <c r="M12" i="2"/>
  <c r="H12" i="2"/>
  <c r="G12" i="2"/>
  <c r="E217" i="3" s="1"/>
  <c r="F12" i="2"/>
  <c r="D12" i="2"/>
  <c r="AH6" i="2"/>
  <c r="Z130" i="3" s="1"/>
  <c r="R6" i="2"/>
  <c r="J130" i="3" s="1"/>
  <c r="Q6" i="2"/>
  <c r="I130" i="3" s="1"/>
  <c r="P6" i="2"/>
  <c r="M6" i="2"/>
  <c r="H6" i="2"/>
  <c r="G6" i="2"/>
  <c r="F6" i="2"/>
  <c r="D130" i="3" s="1"/>
  <c r="D6" i="2"/>
  <c r="B130" i="3" s="1"/>
  <c r="AH11" i="2"/>
  <c r="Z300" i="3" s="1"/>
  <c r="R11" i="2"/>
  <c r="J300" i="3" s="1"/>
  <c r="Q11" i="2"/>
  <c r="P11" i="2"/>
  <c r="M11" i="2"/>
  <c r="H11" i="2"/>
  <c r="G11" i="2"/>
  <c r="E300" i="3" s="1"/>
  <c r="F11" i="2"/>
  <c r="D300" i="3" s="1"/>
  <c r="D11" i="2"/>
  <c r="B300" i="3" s="1"/>
  <c r="AH7" i="2"/>
  <c r="Z11" i="3" s="1"/>
  <c r="R7" i="2"/>
  <c r="J11" i="3" s="1"/>
  <c r="Q7" i="2"/>
  <c r="Z7" i="2" s="1"/>
  <c r="R11" i="3" s="1"/>
  <c r="P7" i="2"/>
  <c r="M7" i="2"/>
  <c r="H7" i="2"/>
  <c r="G7" i="2"/>
  <c r="E11" i="3" s="1"/>
  <c r="F7" i="2"/>
  <c r="D11" i="3" s="1"/>
  <c r="D7" i="2"/>
  <c r="B11" i="3" s="1"/>
  <c r="AH8" i="2"/>
  <c r="R8" i="2"/>
  <c r="Q8" i="2"/>
  <c r="AF8" i="2" s="1"/>
  <c r="P8" i="2"/>
  <c r="M8" i="2"/>
  <c r="H8" i="2"/>
  <c r="G8" i="2"/>
  <c r="E10" i="3" s="1"/>
  <c r="F8" i="2"/>
  <c r="D8" i="2"/>
  <c r="AH5" i="2"/>
  <c r="Z176" i="3" s="1"/>
  <c r="R5" i="2"/>
  <c r="J176" i="3" s="1"/>
  <c r="Q5" i="2"/>
  <c r="P5" i="2"/>
  <c r="M5" i="2"/>
  <c r="H5" i="2"/>
  <c r="G5" i="2"/>
  <c r="E176" i="3" s="1"/>
  <c r="F5" i="2"/>
  <c r="D176" i="3" s="1"/>
  <c r="D5" i="2"/>
  <c r="B176" i="3" s="1"/>
  <c r="AH9" i="2"/>
  <c r="Z267" i="3" s="1"/>
  <c r="R9" i="2"/>
  <c r="J267" i="3" s="1"/>
  <c r="Q9" i="2"/>
  <c r="I267" i="3" s="1"/>
  <c r="P9" i="2"/>
  <c r="M9" i="2"/>
  <c r="H9" i="2"/>
  <c r="G9" i="2"/>
  <c r="F9" i="2"/>
  <c r="D267" i="3" s="1"/>
  <c r="D9" i="2"/>
  <c r="B267" i="3" s="1"/>
  <c r="AH3" i="2"/>
  <c r="Z118" i="3" s="1"/>
  <c r="R3" i="2"/>
  <c r="J118" i="3" s="1"/>
  <c r="Q3" i="2"/>
  <c r="I118" i="3" s="1"/>
  <c r="P3" i="2"/>
  <c r="M3" i="2"/>
  <c r="H3" i="2"/>
  <c r="G3" i="2"/>
  <c r="E118" i="3" s="1"/>
  <c r="F3" i="2"/>
  <c r="D118" i="3" s="1"/>
  <c r="D3" i="2"/>
  <c r="B118" i="3" s="1"/>
  <c r="AH4" i="2"/>
  <c r="Z325" i="3" s="1"/>
  <c r="R4" i="2"/>
  <c r="J325" i="3" s="1"/>
  <c r="Q4" i="2"/>
  <c r="P4" i="2"/>
  <c r="M4" i="2"/>
  <c r="H4" i="2"/>
  <c r="G4" i="2"/>
  <c r="E325" i="3" s="1"/>
  <c r="F4" i="2"/>
  <c r="D325" i="3" s="1"/>
  <c r="D4" i="2"/>
  <c r="B325" i="3" s="1"/>
  <c r="AH2" i="2"/>
  <c r="Z263" i="3" s="1"/>
  <c r="R2" i="2"/>
  <c r="J263" i="3" s="1"/>
  <c r="Q2" i="2"/>
  <c r="I263" i="3" s="1"/>
  <c r="P2" i="2"/>
  <c r="M2" i="2"/>
  <c r="H2" i="2"/>
  <c r="G2" i="2"/>
  <c r="F2" i="2"/>
  <c r="D263" i="3" s="1"/>
  <c r="D2" i="2"/>
  <c r="B263" i="3" s="1"/>
  <c r="I6" i="1"/>
  <c r="F6" i="1"/>
  <c r="B2" i="9" s="1"/>
  <c r="I5" i="1"/>
  <c r="F5" i="1"/>
  <c r="B2" i="8" s="1"/>
  <c r="I4" i="1"/>
  <c r="F4" i="1" s="1"/>
  <c r="B2" i="7" s="1"/>
  <c r="I3" i="1"/>
  <c r="F3" i="1" s="1"/>
  <c r="B2" i="6" s="1"/>
  <c r="I2" i="1"/>
  <c r="F2" i="1"/>
  <c r="AC669" i="2" l="1"/>
  <c r="S59" i="2"/>
  <c r="K304" i="3" s="1"/>
  <c r="V39" i="2"/>
  <c r="N210" i="3" s="1"/>
  <c r="AO308" i="2"/>
  <c r="X232" i="2"/>
  <c r="AA173" i="2"/>
  <c r="AD203" i="2"/>
  <c r="AB64" i="2"/>
  <c r="T181" i="3" s="1"/>
  <c r="AF677" i="2"/>
  <c r="AC131" i="2"/>
  <c r="U160" i="3" s="1"/>
  <c r="AK137" i="2"/>
  <c r="AG326" i="2"/>
  <c r="Z459" i="2"/>
  <c r="X643" i="2"/>
  <c r="AC318" i="2"/>
  <c r="X709" i="2"/>
  <c r="AO296" i="2"/>
  <c r="AB210" i="2"/>
  <c r="AE203" i="2"/>
  <c r="AE367" i="2"/>
  <c r="X488" i="2"/>
  <c r="T518" i="2"/>
  <c r="AD141" i="2"/>
  <c r="V205" i="3" s="1"/>
  <c r="X707" i="2"/>
  <c r="Y669" i="2"/>
  <c r="W695" i="2"/>
  <c r="AF658" i="2"/>
  <c r="S697" i="2"/>
  <c r="AP168" i="2"/>
  <c r="AC459" i="2"/>
  <c r="Z549" i="2"/>
  <c r="Z703" i="2"/>
  <c r="W185" i="2"/>
  <c r="O33" i="3" s="1"/>
  <c r="AA433" i="2"/>
  <c r="W513" i="2"/>
  <c r="T641" i="2"/>
  <c r="T719" i="2"/>
  <c r="AA618" i="2"/>
  <c r="AA210" i="2"/>
  <c r="AE224" i="2"/>
  <c r="S381" i="2"/>
  <c r="AC605" i="2"/>
  <c r="V606" i="2"/>
  <c r="AA46" i="2"/>
  <c r="S37" i="3" s="1"/>
  <c r="Z224" i="2"/>
  <c r="W437" i="2"/>
  <c r="AB321" i="2"/>
  <c r="AC448" i="2"/>
  <c r="T464" i="2"/>
  <c r="AE258" i="2"/>
  <c r="AC412" i="2"/>
  <c r="V612" i="2"/>
  <c r="Y605" i="2"/>
  <c r="AC244" i="2"/>
  <c r="U127" i="3" s="1"/>
  <c r="AC500" i="2"/>
  <c r="W538" i="2"/>
  <c r="Z605" i="2"/>
  <c r="AB310" i="2"/>
  <c r="W488" i="2"/>
  <c r="AD644" i="2"/>
  <c r="T210" i="2"/>
  <c r="AM137" i="2"/>
  <c r="Z261" i="2"/>
  <c r="AG401" i="2"/>
  <c r="AG428" i="2"/>
  <c r="Y480" i="2"/>
  <c r="V528" i="2"/>
  <c r="AD603" i="2"/>
  <c r="AN82" i="2"/>
  <c r="M83" i="3" s="1"/>
  <c r="X116" i="2"/>
  <c r="W353" i="2"/>
  <c r="V301" i="2"/>
  <c r="AC335" i="2"/>
  <c r="V488" i="2"/>
  <c r="AC705" i="2"/>
  <c r="AO61" i="2"/>
  <c r="X309" i="2"/>
  <c r="W432" i="2"/>
  <c r="Z232" i="2"/>
  <c r="AG602" i="2"/>
  <c r="X556" i="2"/>
  <c r="W565" i="2"/>
  <c r="V7" i="2"/>
  <c r="N11" i="3" s="1"/>
  <c r="AB378" i="2"/>
  <c r="AF488" i="2"/>
  <c r="AC18" i="2"/>
  <c r="U213" i="3" s="1"/>
  <c r="AB432" i="2"/>
  <c r="T574" i="2"/>
  <c r="T613" i="2"/>
  <c r="X565" i="2"/>
  <c r="AG671" i="2"/>
  <c r="AG7" i="2"/>
  <c r="Y11" i="3" s="1"/>
  <c r="W93" i="2"/>
  <c r="O16" i="3" s="1"/>
  <c r="AC73" i="2"/>
  <c r="U294" i="3" s="1"/>
  <c r="AE244" i="2"/>
  <c r="W127" i="3" s="1"/>
  <c r="AC481" i="2"/>
  <c r="T266" i="2"/>
  <c r="Z522" i="2"/>
  <c r="W690" i="2"/>
  <c r="W680" i="2"/>
  <c r="T261" i="2"/>
  <c r="Z266" i="2"/>
  <c r="AE401" i="2"/>
  <c r="W428" i="2"/>
  <c r="AA575" i="2"/>
  <c r="AC660" i="2"/>
  <c r="V211" i="2"/>
  <c r="N207" i="3" s="1"/>
  <c r="AA268" i="2"/>
  <c r="X185" i="2"/>
  <c r="P33" i="3" s="1"/>
  <c r="AD258" i="2"/>
  <c r="X384" i="2"/>
  <c r="Y322" i="2"/>
  <c r="Z381" i="2"/>
  <c r="V541" i="2"/>
  <c r="Y484" i="2"/>
  <c r="W581" i="2"/>
  <c r="W639" i="2"/>
  <c r="W24" i="2"/>
  <c r="O71" i="3" s="1"/>
  <c r="V146" i="2"/>
  <c r="N238" i="3" s="1"/>
  <c r="X311" i="2"/>
  <c r="AE303" i="2"/>
  <c r="AC456" i="2"/>
  <c r="AO188" i="2"/>
  <c r="AD488" i="2"/>
  <c r="S626" i="2"/>
  <c r="AO205" i="2"/>
  <c r="X701" i="2"/>
  <c r="AO320" i="2"/>
  <c r="AG690" i="2"/>
  <c r="AP70" i="2"/>
  <c r="AR70" i="2" s="1"/>
  <c r="Q112" i="3" s="1"/>
  <c r="AB93" i="2"/>
  <c r="T16" i="3" s="1"/>
  <c r="AG159" i="2"/>
  <c r="Y298" i="3" s="1"/>
  <c r="V227" i="2"/>
  <c r="AF303" i="2"/>
  <c r="X348" i="2"/>
  <c r="AA335" i="2"/>
  <c r="T346" i="2"/>
  <c r="AB484" i="2"/>
  <c r="Y575" i="2"/>
  <c r="AC507" i="2"/>
  <c r="T589" i="2"/>
  <c r="AC650" i="2"/>
  <c r="V565" i="2"/>
  <c r="AO221" i="2"/>
  <c r="AE699" i="2"/>
  <c r="Z707" i="2"/>
  <c r="W669" i="2"/>
  <c r="W713" i="2"/>
  <c r="AD506" i="2"/>
  <c r="W572" i="2"/>
  <c r="X271" i="2"/>
  <c r="AF63" i="2"/>
  <c r="X214" i="3" s="1"/>
  <c r="AG383" i="2"/>
  <c r="AB399" i="2"/>
  <c r="AF7" i="2"/>
  <c r="X11" i="3" s="1"/>
  <c r="Z24" i="2"/>
  <c r="R71" i="3" s="1"/>
  <c r="AC38" i="2"/>
  <c r="U239" i="3" s="1"/>
  <c r="V208" i="2"/>
  <c r="N299" i="3" s="1"/>
  <c r="V185" i="2"/>
  <c r="N33" i="3" s="1"/>
  <c r="AC266" i="2"/>
  <c r="AF311" i="2"/>
  <c r="S392" i="2"/>
  <c r="X422" i="2"/>
  <c r="P191" i="3" s="1"/>
  <c r="AD399" i="2"/>
  <c r="AC443" i="2"/>
  <c r="AG506" i="2"/>
  <c r="V566" i="2"/>
  <c r="AC565" i="2"/>
  <c r="S680" i="2"/>
  <c r="AE669" i="2"/>
  <c r="AP281" i="2"/>
  <c r="AP341" i="2"/>
  <c r="AB311" i="2"/>
  <c r="Z134" i="2"/>
  <c r="R40" i="3" s="1"/>
  <c r="V128" i="2"/>
  <c r="N8" i="3" s="1"/>
  <c r="AF486" i="2"/>
  <c r="AB346" i="2"/>
  <c r="AF399" i="2"/>
  <c r="V388" i="2"/>
  <c r="AB372" i="2"/>
  <c r="AB589" i="2"/>
  <c r="AG669" i="2"/>
  <c r="X279" i="2"/>
  <c r="AA134" i="2"/>
  <c r="S40" i="3" s="1"/>
  <c r="W128" i="2"/>
  <c r="O8" i="3" s="1"/>
  <c r="T250" i="2"/>
  <c r="AG450" i="2"/>
  <c r="AG399" i="2"/>
  <c r="AF401" i="2"/>
  <c r="X500" i="2"/>
  <c r="T521" i="2"/>
  <c r="Z644" i="2"/>
  <c r="S605" i="2"/>
  <c r="AD642" i="2"/>
  <c r="AG664" i="2"/>
  <c r="AG678" i="2"/>
  <c r="AN281" i="2"/>
  <c r="X130" i="2"/>
  <c r="W68" i="2"/>
  <c r="O45" i="3" s="1"/>
  <c r="AB358" i="2"/>
  <c r="AB422" i="2"/>
  <c r="T191" i="3" s="1"/>
  <c r="X599" i="2"/>
  <c r="Y611" i="2"/>
  <c r="X605" i="2"/>
  <c r="AO247" i="2"/>
  <c r="AE77" i="2"/>
  <c r="W15" i="3" s="1"/>
  <c r="AC258" i="2"/>
  <c r="V432" i="2"/>
  <c r="X434" i="2"/>
  <c r="AG611" i="2"/>
  <c r="AE649" i="2"/>
  <c r="AB159" i="2"/>
  <c r="T298" i="3" s="1"/>
  <c r="Z2" i="2"/>
  <c r="R263" i="3" s="1"/>
  <c r="AG30" i="2"/>
  <c r="Y209" i="3" s="1"/>
  <c r="AC59" i="2"/>
  <c r="U304" i="3" s="1"/>
  <c r="V55" i="2"/>
  <c r="AC71" i="2"/>
  <c r="U3" i="3" s="1"/>
  <c r="S116" i="2"/>
  <c r="AM112" i="2"/>
  <c r="L171" i="3" s="1"/>
  <c r="AA266" i="2"/>
  <c r="Y325" i="2"/>
  <c r="AD379" i="2"/>
  <c r="AB449" i="2"/>
  <c r="AF537" i="2"/>
  <c r="AE563" i="2"/>
  <c r="AC272" i="2"/>
  <c r="AB266" i="2"/>
  <c r="AG325" i="2"/>
  <c r="AG379" i="2"/>
  <c r="AC449" i="2"/>
  <c r="X484" i="2"/>
  <c r="AC522" i="2"/>
  <c r="W549" i="2"/>
  <c r="T520" i="2"/>
  <c r="AF599" i="2"/>
  <c r="AC616" i="2"/>
  <c r="AG559" i="2"/>
  <c r="AD605" i="2"/>
  <c r="S672" i="2"/>
  <c r="AO273" i="2"/>
  <c r="AM308" i="2"/>
  <c r="AB62" i="2"/>
  <c r="T219" i="3" s="1"/>
  <c r="I219" i="3"/>
  <c r="B8" i="8"/>
  <c r="B71" i="3"/>
  <c r="AN188" i="2"/>
  <c r="AA679" i="2"/>
  <c r="AF679" i="2"/>
  <c r="AD679" i="2"/>
  <c r="AD113" i="2"/>
  <c r="V273" i="3" s="1"/>
  <c r="I273" i="3"/>
  <c r="AF207" i="2"/>
  <c r="X104" i="3" s="1"/>
  <c r="I104" i="3"/>
  <c r="D29" i="9"/>
  <c r="D316" i="3"/>
  <c r="B118" i="8"/>
  <c r="B191" i="3"/>
  <c r="AC464" i="2"/>
  <c r="D5" i="8"/>
  <c r="D333" i="3"/>
  <c r="D8" i="8"/>
  <c r="D71" i="3"/>
  <c r="D9" i="8"/>
  <c r="D73" i="3"/>
  <c r="B3" i="9"/>
  <c r="B199" i="3"/>
  <c r="AB49" i="2"/>
  <c r="T151" i="3" s="1"/>
  <c r="I151" i="3"/>
  <c r="D24" i="8"/>
  <c r="D16" i="3"/>
  <c r="AA110" i="2"/>
  <c r="S157" i="3" s="1"/>
  <c r="I157" i="3"/>
  <c r="AA88" i="2"/>
  <c r="S248" i="3" s="1"/>
  <c r="I248" i="3"/>
  <c r="D12" i="9"/>
  <c r="D142" i="3"/>
  <c r="Y177" i="2"/>
  <c r="Q91" i="3" s="1"/>
  <c r="Y172" i="2"/>
  <c r="Q307" i="3" s="1"/>
  <c r="I307" i="3"/>
  <c r="B48" i="8"/>
  <c r="B162" i="3"/>
  <c r="T125" i="2"/>
  <c r="L161" i="3" s="1"/>
  <c r="I161" i="3"/>
  <c r="AE271" i="2"/>
  <c r="AE269" i="2"/>
  <c r="AA306" i="2"/>
  <c r="S249" i="3" s="1"/>
  <c r="I249" i="3"/>
  <c r="AP154" i="2"/>
  <c r="Y287" i="2"/>
  <c r="S389" i="2"/>
  <c r="D32" i="9"/>
  <c r="D229" i="3"/>
  <c r="D118" i="8"/>
  <c r="D191" i="3"/>
  <c r="AE421" i="2"/>
  <c r="V232" i="2"/>
  <c r="AA507" i="2"/>
  <c r="X507" i="2"/>
  <c r="AD626" i="2"/>
  <c r="W626" i="2"/>
  <c r="D66" i="8"/>
  <c r="D220" i="3"/>
  <c r="X19" i="2"/>
  <c r="P246" i="3" s="1"/>
  <c r="I246" i="3"/>
  <c r="D55" i="8"/>
  <c r="D74" i="3"/>
  <c r="AB214" i="2"/>
  <c r="T336" i="3" s="1"/>
  <c r="I336" i="3"/>
  <c r="AE243" i="2"/>
  <c r="AD66" i="2"/>
  <c r="V297" i="3" s="1"/>
  <c r="X383" i="2"/>
  <c r="Z404" i="2"/>
  <c r="V464" i="2"/>
  <c r="Z456" i="2"/>
  <c r="AD553" i="2"/>
  <c r="AF572" i="2"/>
  <c r="Z572" i="2"/>
  <c r="AD5" i="2"/>
  <c r="V176" i="3" s="1"/>
  <c r="I176" i="3"/>
  <c r="D12" i="8"/>
  <c r="D72" i="3"/>
  <c r="D18" i="9"/>
  <c r="D258" i="3"/>
  <c r="Y48" i="2"/>
  <c r="Q148" i="3" s="1"/>
  <c r="I148" i="3"/>
  <c r="AD142" i="2"/>
  <c r="V182" i="3" s="1"/>
  <c r="I182" i="3"/>
  <c r="S129" i="2"/>
  <c r="K17" i="3" s="1"/>
  <c r="D16" i="9"/>
  <c r="D228" i="3"/>
  <c r="D3" i="9"/>
  <c r="D199" i="3"/>
  <c r="Y59" i="2"/>
  <c r="Q304" i="3" s="1"/>
  <c r="B17" i="8"/>
  <c r="B276" i="3"/>
  <c r="B11" i="9"/>
  <c r="B141" i="3"/>
  <c r="AF197" i="2"/>
  <c r="X156" i="3" s="1"/>
  <c r="I156" i="3"/>
  <c r="Z177" i="2"/>
  <c r="R91" i="3" s="1"/>
  <c r="W186" i="2"/>
  <c r="O186" i="3" s="1"/>
  <c r="D48" i="8"/>
  <c r="D162" i="3"/>
  <c r="AF214" i="2"/>
  <c r="X336" i="3" s="1"/>
  <c r="Z274" i="2"/>
  <c r="Y348" i="2"/>
  <c r="AB391" i="2"/>
  <c r="T67" i="3" s="1"/>
  <c r="I67" i="3"/>
  <c r="Z287" i="2"/>
  <c r="B7" i="8"/>
  <c r="B43" i="3"/>
  <c r="V34" i="2"/>
  <c r="N72" i="3" s="1"/>
  <c r="AF39" i="2"/>
  <c r="X210" i="3" s="1"/>
  <c r="I210" i="3"/>
  <c r="W53" i="2"/>
  <c r="O329" i="3" s="1"/>
  <c r="D17" i="8"/>
  <c r="D276" i="3"/>
  <c r="AE65" i="2"/>
  <c r="W218" i="3" s="1"/>
  <c r="I218" i="3"/>
  <c r="D8" i="9"/>
  <c r="D84" i="3"/>
  <c r="B9" i="9"/>
  <c r="B83" i="3"/>
  <c r="AF84" i="2"/>
  <c r="X295" i="3" s="1"/>
  <c r="I295" i="3"/>
  <c r="D11" i="9"/>
  <c r="D141" i="3"/>
  <c r="AD97" i="2"/>
  <c r="V131" i="3" s="1"/>
  <c r="I131" i="3"/>
  <c r="Z146" i="2"/>
  <c r="R238" i="3" s="1"/>
  <c r="I238" i="3"/>
  <c r="T102" i="2"/>
  <c r="L159" i="3" s="1"/>
  <c r="I159" i="3"/>
  <c r="AD153" i="2"/>
  <c r="V301" i="3" s="1"/>
  <c r="I301" i="3"/>
  <c r="S147" i="2"/>
  <c r="K177" i="3" s="1"/>
  <c r="D19" i="9"/>
  <c r="D171" i="3"/>
  <c r="AD177" i="2"/>
  <c r="V91" i="3" s="1"/>
  <c r="AB186" i="2"/>
  <c r="T186" i="3" s="1"/>
  <c r="AE156" i="2"/>
  <c r="W306" i="3" s="1"/>
  <c r="I306" i="3"/>
  <c r="V184" i="2"/>
  <c r="N133" i="3" s="1"/>
  <c r="Z125" i="2"/>
  <c r="R161" i="3" s="1"/>
  <c r="D23" i="9"/>
  <c r="D345" i="3"/>
  <c r="AG214" i="2"/>
  <c r="Y336" i="3" s="1"/>
  <c r="Z227" i="2"/>
  <c r="Y309" i="2"/>
  <c r="T203" i="2"/>
  <c r="AB274" i="2"/>
  <c r="AG348" i="2"/>
  <c r="AD287" i="2"/>
  <c r="X335" i="2"/>
  <c r="W334" i="2"/>
  <c r="AA379" i="2"/>
  <c r="S432" i="2"/>
  <c r="Y486" i="2"/>
  <c r="AB383" i="2"/>
  <c r="AE412" i="2"/>
  <c r="X466" i="2"/>
  <c r="Y372" i="2"/>
  <c r="T490" i="2"/>
  <c r="Y459" i="2"/>
  <c r="Y464" i="2"/>
  <c r="AB456" i="2"/>
  <c r="W467" i="2"/>
  <c r="AG553" i="2"/>
  <c r="W507" i="2"/>
  <c r="I11" i="3"/>
  <c r="I15" i="3"/>
  <c r="B44" i="3"/>
  <c r="Z16" i="2"/>
  <c r="R153" i="3" s="1"/>
  <c r="I153" i="3"/>
  <c r="B25" i="8"/>
  <c r="B103" i="3"/>
  <c r="D44" i="8"/>
  <c r="D133" i="3"/>
  <c r="D27" i="9"/>
  <c r="D286" i="3"/>
  <c r="Y34" i="2"/>
  <c r="Q72" i="3" s="1"/>
  <c r="I72" i="3"/>
  <c r="AM124" i="2"/>
  <c r="L258" i="3" s="1"/>
  <c r="I258" i="3"/>
  <c r="D45" i="8"/>
  <c r="D132" i="3"/>
  <c r="B5" i="8"/>
  <c r="B333" i="3"/>
  <c r="AB59" i="2"/>
  <c r="T304" i="3" s="1"/>
  <c r="I304" i="3"/>
  <c r="B24" i="8"/>
  <c r="B16" i="3"/>
  <c r="AG41" i="2"/>
  <c r="Y247" i="3" s="1"/>
  <c r="I247" i="3"/>
  <c r="D16" i="8"/>
  <c r="D101" i="3"/>
  <c r="D21" i="8"/>
  <c r="D46" i="3"/>
  <c r="AA557" i="2"/>
  <c r="Y557" i="2"/>
  <c r="S632" i="2"/>
  <c r="AB632" i="2"/>
  <c r="AF66" i="2"/>
  <c r="X297" i="3" s="1"/>
  <c r="I297" i="3"/>
  <c r="D25" i="8"/>
  <c r="D103" i="3"/>
  <c r="D20" i="9"/>
  <c r="D170" i="3"/>
  <c r="E2" i="3"/>
  <c r="E263" i="3"/>
  <c r="B4" i="8"/>
  <c r="B217" i="3"/>
  <c r="B22" i="8"/>
  <c r="B219" i="3"/>
  <c r="AB122" i="2"/>
  <c r="T242" i="3" s="1"/>
  <c r="I242" i="3"/>
  <c r="B42" i="8"/>
  <c r="B102" i="3"/>
  <c r="AB208" i="2"/>
  <c r="T299" i="3" s="1"/>
  <c r="I299" i="3"/>
  <c r="AB173" i="2"/>
  <c r="AG271" i="2"/>
  <c r="B24" i="9"/>
  <c r="B55" i="3"/>
  <c r="S307" i="2"/>
  <c r="B26" i="9"/>
  <c r="B26" i="3"/>
  <c r="AM145" i="2"/>
  <c r="L286" i="3" s="1"/>
  <c r="X301" i="2"/>
  <c r="AG287" i="2"/>
  <c r="AB322" i="2"/>
  <c r="X476" i="2"/>
  <c r="AA464" i="2"/>
  <c r="AG499" i="2"/>
  <c r="V499" i="2"/>
  <c r="AE478" i="2"/>
  <c r="X478" i="2"/>
  <c r="Y3" i="2"/>
  <c r="Q118" i="3" s="1"/>
  <c r="D4" i="8"/>
  <c r="D217" i="3"/>
  <c r="AD13" i="2"/>
  <c r="V333" i="3" s="1"/>
  <c r="I333" i="3"/>
  <c r="B6" i="8"/>
  <c r="B246" i="3"/>
  <c r="AG24" i="2"/>
  <c r="Y71" i="3" s="1"/>
  <c r="I71" i="3"/>
  <c r="X31" i="2"/>
  <c r="P236" i="3" s="1"/>
  <c r="AG22" i="2"/>
  <c r="Y119" i="3" s="1"/>
  <c r="I119" i="3"/>
  <c r="X34" i="2"/>
  <c r="P72" i="3" s="1"/>
  <c r="AD38" i="2"/>
  <c r="V239" i="3" s="1"/>
  <c r="I239" i="3"/>
  <c r="B13" i="8"/>
  <c r="B304" i="3"/>
  <c r="AA54" i="2"/>
  <c r="S147" i="3" s="1"/>
  <c r="I147" i="3"/>
  <c r="AG39" i="2"/>
  <c r="Y210" i="3" s="1"/>
  <c r="V53" i="2"/>
  <c r="N329" i="3" s="1"/>
  <c r="Z27" i="2"/>
  <c r="R101" i="3" s="1"/>
  <c r="D22" i="8"/>
  <c r="D219" i="3"/>
  <c r="B23" i="8"/>
  <c r="B188" i="3"/>
  <c r="Y103" i="2"/>
  <c r="Q125" i="3" s="1"/>
  <c r="I125" i="3"/>
  <c r="AG79" i="2"/>
  <c r="Y126" i="3" s="1"/>
  <c r="I126" i="3"/>
  <c r="AC119" i="2"/>
  <c r="U120" i="3" s="1"/>
  <c r="I120" i="3"/>
  <c r="B32" i="8"/>
  <c r="B17" i="3"/>
  <c r="AE141" i="2"/>
  <c r="W205" i="3" s="1"/>
  <c r="B14" i="9"/>
  <c r="B54" i="3"/>
  <c r="S159" i="2"/>
  <c r="K298" i="3" s="1"/>
  <c r="B17" i="9"/>
  <c r="B113" i="3"/>
  <c r="D42" i="8"/>
  <c r="D102" i="3"/>
  <c r="Y196" i="2"/>
  <c r="Q7" i="3" s="1"/>
  <c r="T184" i="2"/>
  <c r="L133" i="3" s="1"/>
  <c r="B59" i="8"/>
  <c r="B336" i="3"/>
  <c r="D24" i="9"/>
  <c r="D55" i="3"/>
  <c r="AF213" i="2"/>
  <c r="AE318" i="2"/>
  <c r="D26" i="9"/>
  <c r="D26" i="3"/>
  <c r="AN145" i="2"/>
  <c r="M286" i="3" s="1"/>
  <c r="S377" i="2"/>
  <c r="X432" i="2"/>
  <c r="AM168" i="2"/>
  <c r="W427" i="2"/>
  <c r="W446" i="2"/>
  <c r="AE466" i="2"/>
  <c r="AD449" i="2"/>
  <c r="AF459" i="2"/>
  <c r="AB393" i="2"/>
  <c r="T324" i="3" s="1"/>
  <c r="I324" i="3"/>
  <c r="Z484" i="2"/>
  <c r="V568" i="2"/>
  <c r="D38" i="9"/>
  <c r="D287" i="3"/>
  <c r="AA527" i="2"/>
  <c r="Y527" i="2"/>
  <c r="AC591" i="2"/>
  <c r="AF520" i="2"/>
  <c r="Y520" i="2"/>
  <c r="S667" i="2"/>
  <c r="AE657" i="2"/>
  <c r="D45" i="3"/>
  <c r="AB177" i="2"/>
  <c r="T91" i="3" s="1"/>
  <c r="I91" i="3"/>
  <c r="AD199" i="2"/>
  <c r="V268" i="3" s="1"/>
  <c r="I268" i="3"/>
  <c r="AP133" i="2"/>
  <c r="I55" i="3"/>
  <c r="I16" i="3"/>
  <c r="D14" i="8"/>
  <c r="D247" i="3"/>
  <c r="W58" i="2"/>
  <c r="O60" i="3" s="1"/>
  <c r="I60" i="3"/>
  <c r="B55" i="8"/>
  <c r="B74" i="3"/>
  <c r="B29" i="9"/>
  <c r="B316" i="3"/>
  <c r="AB43" i="2"/>
  <c r="T334" i="3" s="1"/>
  <c r="I334" i="3"/>
  <c r="AN70" i="2"/>
  <c r="M112" i="3" s="1"/>
  <c r="I112" i="3"/>
  <c r="I115" i="3" s="1"/>
  <c r="D35" i="8"/>
  <c r="D335" i="3"/>
  <c r="B28" i="8"/>
  <c r="B248" i="3"/>
  <c r="T122" i="2"/>
  <c r="L242" i="3" s="1"/>
  <c r="D30" i="8"/>
  <c r="D160" i="3"/>
  <c r="D32" i="8"/>
  <c r="D17" i="3"/>
  <c r="AA166" i="2"/>
  <c r="S124" i="3" s="1"/>
  <c r="AB157" i="2"/>
  <c r="T270" i="3" s="1"/>
  <c r="I270" i="3"/>
  <c r="X184" i="2"/>
  <c r="P133" i="3" s="1"/>
  <c r="Y272" i="2"/>
  <c r="AD300" i="2"/>
  <c r="AO145" i="2"/>
  <c r="N286" i="3" s="1"/>
  <c r="Y301" i="2"/>
  <c r="Z377" i="2"/>
  <c r="Y427" i="2"/>
  <c r="AA439" i="2"/>
  <c r="Y499" i="2"/>
  <c r="AF586" i="2"/>
  <c r="AF604" i="2"/>
  <c r="X10" i="2"/>
  <c r="Y18" i="2"/>
  <c r="Q213" i="3" s="1"/>
  <c r="I213" i="3"/>
  <c r="V17" i="2"/>
  <c r="N43" i="3" s="1"/>
  <c r="B4" i="9"/>
  <c r="B315" i="3"/>
  <c r="AA36" i="2"/>
  <c r="S122" i="3" s="1"/>
  <c r="I122" i="3"/>
  <c r="X60" i="2"/>
  <c r="P155" i="3" s="1"/>
  <c r="I155" i="3"/>
  <c r="AB72" i="2"/>
  <c r="T276" i="3" s="1"/>
  <c r="I276" i="3"/>
  <c r="V57" i="2"/>
  <c r="N98" i="3" s="1"/>
  <c r="I98" i="3"/>
  <c r="X93" i="2"/>
  <c r="P16" i="3" s="1"/>
  <c r="B26" i="8"/>
  <c r="B305" i="3"/>
  <c r="AA109" i="2"/>
  <c r="S123" i="3" s="1"/>
  <c r="I123" i="3"/>
  <c r="D28" i="8"/>
  <c r="D248" i="3"/>
  <c r="Y122" i="2"/>
  <c r="Q242" i="3" s="1"/>
  <c r="D10" i="9"/>
  <c r="D200" i="3"/>
  <c r="AC107" i="2"/>
  <c r="U335" i="3" s="1"/>
  <c r="Y134" i="2"/>
  <c r="Q40" i="3" s="1"/>
  <c r="I40" i="3"/>
  <c r="V139" i="2"/>
  <c r="N61" i="3" s="1"/>
  <c r="Y165" i="2"/>
  <c r="Q96" i="3" s="1"/>
  <c r="I96" i="3"/>
  <c r="AC130" i="2"/>
  <c r="D40" i="8"/>
  <c r="D277" i="3"/>
  <c r="Y184" i="2"/>
  <c r="Q133" i="3" s="1"/>
  <c r="D46" i="8"/>
  <c r="D307" i="3"/>
  <c r="D49" i="8"/>
  <c r="D161" i="3"/>
  <c r="Z209" i="2"/>
  <c r="R32" i="3" s="1"/>
  <c r="I32" i="3"/>
  <c r="AP126" i="2"/>
  <c r="I345" i="3"/>
  <c r="I347" i="3" s="1"/>
  <c r="Z272" i="2"/>
  <c r="D67" i="8"/>
  <c r="D249" i="3"/>
  <c r="V311" i="2"/>
  <c r="AF300" i="2"/>
  <c r="W257" i="2"/>
  <c r="AP145" i="2"/>
  <c r="AD326" i="2"/>
  <c r="Z301" i="2"/>
  <c r="AC361" i="2"/>
  <c r="V422" i="2"/>
  <c r="N191" i="3" s="1"/>
  <c r="S346" i="2"/>
  <c r="U346" i="2" s="1"/>
  <c r="S321" i="2"/>
  <c r="AA411" i="2"/>
  <c r="AE290" i="2"/>
  <c r="Y347" i="2"/>
  <c r="V357" i="2"/>
  <c r="AF439" i="2"/>
  <c r="AD499" i="2"/>
  <c r="AP193" i="2"/>
  <c r="AR193" i="2" s="1"/>
  <c r="V520" i="2"/>
  <c r="W559" i="2"/>
  <c r="D6" i="9"/>
  <c r="D112" i="3"/>
  <c r="D27" i="8"/>
  <c r="D15" i="3"/>
  <c r="D7" i="8"/>
  <c r="D43" i="3"/>
  <c r="D7" i="9"/>
  <c r="D344" i="3"/>
  <c r="Z53" i="2"/>
  <c r="R329" i="3" s="1"/>
  <c r="I329" i="3"/>
  <c r="D9" i="9"/>
  <c r="D83" i="3"/>
  <c r="X203" i="2"/>
  <c r="D87" i="8"/>
  <c r="D189" i="3"/>
  <c r="AF287" i="2"/>
  <c r="Y11" i="2"/>
  <c r="Q300" i="3" s="1"/>
  <c r="I300" i="3"/>
  <c r="AK101" i="2"/>
  <c r="AG4" i="2"/>
  <c r="Y325" i="3" s="1"/>
  <c r="I325" i="3"/>
  <c r="D6" i="8"/>
  <c r="D246" i="3"/>
  <c r="D11" i="8"/>
  <c r="D44" i="3"/>
  <c r="AA31" i="2"/>
  <c r="S236" i="3" s="1"/>
  <c r="I236" i="3"/>
  <c r="Z34" i="2"/>
  <c r="R72" i="3" s="1"/>
  <c r="D13" i="8"/>
  <c r="D304" i="3"/>
  <c r="Z35" i="2"/>
  <c r="R321" i="3" s="1"/>
  <c r="I321" i="3"/>
  <c r="X53" i="2"/>
  <c r="P329" i="3" s="1"/>
  <c r="AB89" i="2"/>
  <c r="T184" i="3" s="1"/>
  <c r="D19" i="8"/>
  <c r="D334" i="3"/>
  <c r="D23" i="8"/>
  <c r="D188" i="3"/>
  <c r="AA44" i="2"/>
  <c r="S292" i="3" s="1"/>
  <c r="I292" i="3"/>
  <c r="Z141" i="2"/>
  <c r="R205" i="3" s="1"/>
  <c r="I205" i="3"/>
  <c r="D14" i="9"/>
  <c r="D54" i="3"/>
  <c r="B40" i="8"/>
  <c r="B277" i="3"/>
  <c r="D17" i="9"/>
  <c r="D113" i="3"/>
  <c r="B46" i="8"/>
  <c r="B307" i="3"/>
  <c r="D50" i="8"/>
  <c r="D104" i="3"/>
  <c r="D59" i="8"/>
  <c r="D336" i="3"/>
  <c r="AG302" i="2"/>
  <c r="AD313" i="2"/>
  <c r="Y17" i="2"/>
  <c r="Q43" i="3" s="1"/>
  <c r="I43" i="3"/>
  <c r="B10" i="8"/>
  <c r="B275" i="3"/>
  <c r="Y31" i="2"/>
  <c r="Q236" i="3" s="1"/>
  <c r="D4" i="9"/>
  <c r="D315" i="3"/>
  <c r="B18" i="8"/>
  <c r="B218" i="3"/>
  <c r="D26" i="8"/>
  <c r="D305" i="3"/>
  <c r="X115" i="2"/>
  <c r="P128" i="3" s="1"/>
  <c r="I128" i="3"/>
  <c r="Y141" i="2"/>
  <c r="Q205" i="3" s="1"/>
  <c r="Y159" i="2"/>
  <c r="Q298" i="3" s="1"/>
  <c r="W157" i="2"/>
  <c r="O270" i="3" s="1"/>
  <c r="AG179" i="2"/>
  <c r="Y162" i="3" s="1"/>
  <c r="E25" i="3"/>
  <c r="E28" i="3" s="1"/>
  <c r="E257" i="3"/>
  <c r="E260" i="3" s="1"/>
  <c r="Z238" i="2"/>
  <c r="R237" i="3" s="1"/>
  <c r="Z506" i="2"/>
  <c r="Z591" i="2"/>
  <c r="AF579" i="2"/>
  <c r="AE524" i="2"/>
  <c r="AB26" i="2"/>
  <c r="T31" i="3" s="1"/>
  <c r="I31" i="3"/>
  <c r="AB44" i="2"/>
  <c r="T292" i="3" s="1"/>
  <c r="Z122" i="2"/>
  <c r="R242" i="3" s="1"/>
  <c r="B29" i="8"/>
  <c r="B278" i="3"/>
  <c r="AA107" i="2"/>
  <c r="S335" i="3" s="1"/>
  <c r="I335" i="3"/>
  <c r="B36" i="8"/>
  <c r="B159" i="3"/>
  <c r="B43" i="8"/>
  <c r="B306" i="3"/>
  <c r="AG301" i="2"/>
  <c r="E6" i="3"/>
  <c r="E267" i="3"/>
  <c r="Y8" i="2"/>
  <c r="E14" i="3"/>
  <c r="E130" i="3"/>
  <c r="E138" i="3" s="1"/>
  <c r="Z18" i="2"/>
  <c r="R213" i="3" s="1"/>
  <c r="AA24" i="2"/>
  <c r="S71" i="3" s="1"/>
  <c r="D10" i="8"/>
  <c r="D275" i="3"/>
  <c r="Z31" i="2"/>
  <c r="R236" i="3" s="1"/>
  <c r="AF36" i="2"/>
  <c r="X122" i="3" s="1"/>
  <c r="B12" i="8"/>
  <c r="B72" i="3"/>
  <c r="B6" i="9"/>
  <c r="B112" i="3"/>
  <c r="Y37" i="2"/>
  <c r="Q64" i="3" s="1"/>
  <c r="B14" i="8"/>
  <c r="B247" i="3"/>
  <c r="AG56" i="2"/>
  <c r="Y185" i="3" s="1"/>
  <c r="I185" i="3"/>
  <c r="B16" i="8"/>
  <c r="B101" i="3"/>
  <c r="D18" i="8"/>
  <c r="D218" i="3"/>
  <c r="B21" i="8"/>
  <c r="B46" i="3"/>
  <c r="AM82" i="2"/>
  <c r="L83" i="3" s="1"/>
  <c r="AB109" i="2"/>
  <c r="T123" i="3" s="1"/>
  <c r="W81" i="2"/>
  <c r="O265" i="3" s="1"/>
  <c r="I265" i="3"/>
  <c r="B27" i="8"/>
  <c r="B15" i="3"/>
  <c r="AA122" i="2"/>
  <c r="S242" i="3" s="1"/>
  <c r="D29" i="8"/>
  <c r="D278" i="3"/>
  <c r="D31" i="8"/>
  <c r="D131" i="3"/>
  <c r="AA141" i="2"/>
  <c r="S205" i="3" s="1"/>
  <c r="T134" i="2"/>
  <c r="L40" i="3" s="1"/>
  <c r="AG120" i="2"/>
  <c r="Y178" i="3" s="1"/>
  <c r="D36" i="8"/>
  <c r="D159" i="3"/>
  <c r="AA159" i="2"/>
  <c r="S298" i="3" s="1"/>
  <c r="AB167" i="2"/>
  <c r="T240" i="3" s="1"/>
  <c r="I240" i="3"/>
  <c r="B18" i="9"/>
  <c r="B258" i="3"/>
  <c r="Z210" i="2"/>
  <c r="S199" i="2"/>
  <c r="K268" i="3" s="1"/>
  <c r="D43" i="8"/>
  <c r="D306" i="3"/>
  <c r="B44" i="8"/>
  <c r="B133" i="3"/>
  <c r="B45" i="8"/>
  <c r="B132" i="3"/>
  <c r="AO133" i="2"/>
  <c r="N55" i="3" s="1"/>
  <c r="AA185" i="2"/>
  <c r="S33" i="3" s="1"/>
  <c r="I33" i="3"/>
  <c r="AB244" i="2"/>
  <c r="T127" i="3" s="1"/>
  <c r="I127" i="3"/>
  <c r="Z311" i="2"/>
  <c r="B27" i="9"/>
  <c r="B286" i="3"/>
  <c r="Y224" i="2"/>
  <c r="AC323" i="2"/>
  <c r="V325" i="2"/>
  <c r="X258" i="2"/>
  <c r="Y392" i="2"/>
  <c r="D97" i="8"/>
  <c r="D190" i="3"/>
  <c r="W287" i="2"/>
  <c r="AD422" i="2"/>
  <c r="V191" i="3" s="1"/>
  <c r="AA346" i="2"/>
  <c r="Z399" i="2"/>
  <c r="AA370" i="2"/>
  <c r="AD428" i="2"/>
  <c r="AB506" i="2"/>
  <c r="S479" i="2"/>
  <c r="AF591" i="2"/>
  <c r="AC589" i="2"/>
  <c r="AD563" i="2"/>
  <c r="Z613" i="2"/>
  <c r="Y613" i="2"/>
  <c r="X603" i="2"/>
  <c r="AC603" i="2"/>
  <c r="T605" i="2"/>
  <c r="S655" i="2"/>
  <c r="X679" i="2"/>
  <c r="AO285" i="2"/>
  <c r="AE680" i="2"/>
  <c r="V572" i="2"/>
  <c r="W661" i="2"/>
  <c r="T703" i="2"/>
  <c r="AG697" i="2"/>
  <c r="AF711" i="2"/>
  <c r="Z599" i="2"/>
  <c r="W478" i="2"/>
  <c r="AA692" i="2"/>
  <c r="V718" i="2"/>
  <c r="AD677" i="2"/>
  <c r="AG705" i="2"/>
  <c r="AC670" i="2"/>
  <c r="AE609" i="2"/>
  <c r="Z709" i="2"/>
  <c r="AM273" i="2"/>
  <c r="X693" i="2"/>
  <c r="AB718" i="2"/>
  <c r="Y534" i="2"/>
  <c r="Y566" i="2"/>
  <c r="T573" i="2"/>
  <c r="AE647" i="2"/>
  <c r="Y603" i="2"/>
  <c r="X700" i="2"/>
  <c r="AC680" i="2"/>
  <c r="AD718" i="2"/>
  <c r="E312" i="3"/>
  <c r="AE16" i="2"/>
  <c r="W153" i="3" s="1"/>
  <c r="V13" i="2"/>
  <c r="N333" i="3" s="1"/>
  <c r="W29" i="2"/>
  <c r="O152" i="3" s="1"/>
  <c r="Z59" i="2"/>
  <c r="R304" i="3" s="1"/>
  <c r="V240" i="2"/>
  <c r="T240" i="2"/>
  <c r="AG489" i="2"/>
  <c r="AE489" i="2"/>
  <c r="AF442" i="2"/>
  <c r="Y442" i="2"/>
  <c r="AF567" i="2"/>
  <c r="AG567" i="2"/>
  <c r="Y567" i="2"/>
  <c r="S536" i="2"/>
  <c r="AC536" i="2"/>
  <c r="AG601" i="2"/>
  <c r="AD601" i="2"/>
  <c r="AC601" i="2"/>
  <c r="W601" i="2"/>
  <c r="Z540" i="2"/>
  <c r="AA540" i="2"/>
  <c r="AD31" i="2"/>
  <c r="V236" i="3" s="1"/>
  <c r="AP61" i="2"/>
  <c r="AD59" i="2"/>
  <c r="V304" i="3" s="1"/>
  <c r="Z48" i="2"/>
  <c r="R148" i="3" s="1"/>
  <c r="T56" i="2"/>
  <c r="L185" i="3" s="1"/>
  <c r="AG119" i="2"/>
  <c r="Y120" i="3" s="1"/>
  <c r="S102" i="2"/>
  <c r="K159" i="3" s="1"/>
  <c r="AA186" i="2"/>
  <c r="S186" i="3" s="1"/>
  <c r="Z186" i="2"/>
  <c r="R186" i="3" s="1"/>
  <c r="X186" i="2"/>
  <c r="P186" i="3" s="1"/>
  <c r="AB194" i="2"/>
  <c r="T38" i="3" s="1"/>
  <c r="AA194" i="2"/>
  <c r="S38" i="3" s="1"/>
  <c r="AG460" i="2"/>
  <c r="AA460" i="2"/>
  <c r="Z460" i="2"/>
  <c r="X399" i="2"/>
  <c r="W399" i="2"/>
  <c r="V399" i="2"/>
  <c r="W16" i="2"/>
  <c r="O153" i="3" s="1"/>
  <c r="AA48" i="2"/>
  <c r="S148" i="3" s="1"/>
  <c r="AB56" i="2"/>
  <c r="T185" i="3" s="1"/>
  <c r="X65" i="2"/>
  <c r="P218" i="3" s="1"/>
  <c r="Z78" i="2"/>
  <c r="R330" i="3" s="1"/>
  <c r="Y78" i="2"/>
  <c r="Q330" i="3" s="1"/>
  <c r="AG166" i="2"/>
  <c r="Y124" i="3" s="1"/>
  <c r="AB166" i="2"/>
  <c r="T124" i="3" s="1"/>
  <c r="T153" i="2"/>
  <c r="L301" i="3" s="1"/>
  <c r="AB201" i="2"/>
  <c r="AD201" i="2"/>
  <c r="Z201" i="2"/>
  <c r="AF620" i="2"/>
  <c r="X620" i="2"/>
  <c r="Y65" i="2"/>
  <c r="Q218" i="3" s="1"/>
  <c r="AF304" i="2"/>
  <c r="X13" i="3" s="1"/>
  <c r="AE304" i="2"/>
  <c r="W13" i="3" s="1"/>
  <c r="AD198" i="2"/>
  <c r="Z198" i="2"/>
  <c r="Y198" i="2"/>
  <c r="X198" i="2"/>
  <c r="V198" i="2"/>
  <c r="AG198" i="2"/>
  <c r="AF198" i="2"/>
  <c r="AB198" i="2"/>
  <c r="AF398" i="2"/>
  <c r="W398" i="2"/>
  <c r="W390" i="2"/>
  <c r="T390" i="2"/>
  <c r="AA440" i="2"/>
  <c r="AE440" i="2"/>
  <c r="W440" i="2"/>
  <c r="V440" i="2"/>
  <c r="AM187" i="2"/>
  <c r="AK187" i="2"/>
  <c r="AD625" i="2"/>
  <c r="AC625" i="2"/>
  <c r="Z192" i="2"/>
  <c r="R102" i="3" s="1"/>
  <c r="AF192" i="2"/>
  <c r="X102" i="3" s="1"/>
  <c r="AB192" i="2"/>
  <c r="T102" i="3" s="1"/>
  <c r="AA192" i="2"/>
  <c r="S102" i="3" s="1"/>
  <c r="Y192" i="2"/>
  <c r="Q102" i="3" s="1"/>
  <c r="AA66" i="2"/>
  <c r="S297" i="3" s="1"/>
  <c r="Z66" i="2"/>
  <c r="R297" i="3" s="1"/>
  <c r="AM98" i="2"/>
  <c r="L200" i="3" s="1"/>
  <c r="AN98" i="2"/>
  <c r="M200" i="3" s="1"/>
  <c r="AP98" i="2"/>
  <c r="O200" i="3" s="1"/>
  <c r="Z131" i="2"/>
  <c r="R160" i="3" s="1"/>
  <c r="Y131" i="2"/>
  <c r="Q160" i="3" s="1"/>
  <c r="AG147" i="2"/>
  <c r="Y177" i="3" s="1"/>
  <c r="AF147" i="2"/>
  <c r="X177" i="3" s="1"/>
  <c r="AB147" i="2"/>
  <c r="T177" i="3" s="1"/>
  <c r="AA147" i="2"/>
  <c r="S177" i="3" s="1"/>
  <c r="V147" i="2"/>
  <c r="N177" i="3" s="1"/>
  <c r="T147" i="2"/>
  <c r="L177" i="3" s="1"/>
  <c r="W339" i="2"/>
  <c r="AG339" i="2"/>
  <c r="X339" i="2"/>
  <c r="AG414" i="2"/>
  <c r="AD414" i="2"/>
  <c r="AA414" i="2"/>
  <c r="Z414" i="2"/>
  <c r="AD504" i="2"/>
  <c r="T504" i="2"/>
  <c r="AD16" i="2"/>
  <c r="V153" i="3" s="1"/>
  <c r="AF16" i="2"/>
  <c r="X153" i="3" s="1"/>
  <c r="X33" i="2"/>
  <c r="P93" i="3" s="1"/>
  <c r="Z73" i="2"/>
  <c r="R294" i="3" s="1"/>
  <c r="AA73" i="2"/>
  <c r="S294" i="3" s="1"/>
  <c r="S142" i="2"/>
  <c r="K182" i="3" s="1"/>
  <c r="Y115" i="2"/>
  <c r="Q128" i="3" s="1"/>
  <c r="AG127" i="2"/>
  <c r="W127" i="2"/>
  <c r="V127" i="2"/>
  <c r="AG196" i="2"/>
  <c r="Y7" i="3" s="1"/>
  <c r="Z196" i="2"/>
  <c r="R7" i="3" s="1"/>
  <c r="W196" i="2"/>
  <c r="O7" i="3" s="1"/>
  <c r="AF189" i="2"/>
  <c r="S189" i="2"/>
  <c r="AF206" i="2"/>
  <c r="AE198" i="2"/>
  <c r="Z345" i="2"/>
  <c r="AC345" i="2"/>
  <c r="AB345" i="2"/>
  <c r="AA452" i="2"/>
  <c r="Y452" i="2"/>
  <c r="X452" i="2"/>
  <c r="S452" i="2"/>
  <c r="AF440" i="2"/>
  <c r="AD65" i="2"/>
  <c r="V218" i="3" s="1"/>
  <c r="S65" i="2"/>
  <c r="K218" i="3" s="1"/>
  <c r="AD327" i="2"/>
  <c r="S327" i="2"/>
  <c r="T7" i="2"/>
  <c r="L11" i="3" s="1"/>
  <c r="T17" i="2"/>
  <c r="L43" i="3" s="1"/>
  <c r="AO70" i="2"/>
  <c r="N112" i="3" s="1"/>
  <c r="T59" i="2"/>
  <c r="L304" i="3" s="1"/>
  <c r="Z54" i="2"/>
  <c r="R147" i="3" s="1"/>
  <c r="AB63" i="2"/>
  <c r="T214" i="3" s="1"/>
  <c r="AG63" i="2"/>
  <c r="Y214" i="3" s="1"/>
  <c r="T66" i="2"/>
  <c r="L297" i="3" s="1"/>
  <c r="AA104" i="2"/>
  <c r="S206" i="3" s="1"/>
  <c r="AF104" i="2"/>
  <c r="X206" i="3" s="1"/>
  <c r="AB104" i="2"/>
  <c r="T206" i="3" s="1"/>
  <c r="AG131" i="2"/>
  <c r="Y160" i="3" s="1"/>
  <c r="W139" i="2"/>
  <c r="O61" i="3" s="1"/>
  <c r="Z147" i="2"/>
  <c r="R177" i="3" s="1"/>
  <c r="X322" i="2"/>
  <c r="S322" i="2"/>
  <c r="AE322" i="2"/>
  <c r="AD482" i="2"/>
  <c r="AB482" i="2"/>
  <c r="X214" i="2"/>
  <c r="P336" i="3" s="1"/>
  <c r="W214" i="2"/>
  <c r="O336" i="3" s="1"/>
  <c r="W7" i="2"/>
  <c r="O11" i="3" s="1"/>
  <c r="AD17" i="2"/>
  <c r="V43" i="3" s="1"/>
  <c r="V59" i="2"/>
  <c r="N304" i="3" s="1"/>
  <c r="W66" i="2"/>
  <c r="O297" i="3" s="1"/>
  <c r="AD364" i="2"/>
  <c r="AC364" i="2"/>
  <c r="AB364" i="2"/>
  <c r="AA364" i="2"/>
  <c r="X364" i="2"/>
  <c r="X459" i="2"/>
  <c r="S459" i="2"/>
  <c r="U459" i="2" s="1"/>
  <c r="Z8" i="2"/>
  <c r="R10" i="3" s="1"/>
  <c r="AD7" i="2"/>
  <c r="V11" i="3" s="1"/>
  <c r="AE17" i="2"/>
  <c r="W43" i="3" s="1"/>
  <c r="X24" i="2"/>
  <c r="P71" i="3" s="1"/>
  <c r="W59" i="2"/>
  <c r="O304" i="3" s="1"/>
  <c r="AB66" i="2"/>
  <c r="T297" i="3" s="1"/>
  <c r="AB94" i="2"/>
  <c r="T99" i="3" s="1"/>
  <c r="AA94" i="2"/>
  <c r="S99" i="3" s="1"/>
  <c r="AG73" i="2"/>
  <c r="Y294" i="3" s="1"/>
  <c r="AD457" i="2"/>
  <c r="AF457" i="2"/>
  <c r="AE457" i="2"/>
  <c r="AB457" i="2"/>
  <c r="S514" i="2"/>
  <c r="AG153" i="2"/>
  <c r="Y301" i="3" s="1"/>
  <c r="AF153" i="2"/>
  <c r="X301" i="3" s="1"/>
  <c r="AE153" i="2"/>
  <c r="W301" i="3" s="1"/>
  <c r="Z153" i="2"/>
  <c r="R301" i="3" s="1"/>
  <c r="V153" i="2"/>
  <c r="N301" i="3" s="1"/>
  <c r="AF17" i="2"/>
  <c r="X43" i="3" s="1"/>
  <c r="X59" i="2"/>
  <c r="P304" i="3" s="1"/>
  <c r="AC66" i="2"/>
  <c r="U297" i="3" s="1"/>
  <c r="V68" i="2"/>
  <c r="N45" i="3" s="1"/>
  <c r="AB57" i="2"/>
  <c r="T98" i="3" s="1"/>
  <c r="AG57" i="2"/>
  <c r="Y98" i="3" s="1"/>
  <c r="AD241" i="2"/>
  <c r="AE241" i="2"/>
  <c r="AG282" i="2"/>
  <c r="AB294" i="2"/>
  <c r="AD294" i="2"/>
  <c r="Z294" i="2"/>
  <c r="Y294" i="2"/>
  <c r="V294" i="2"/>
  <c r="AG294" i="2"/>
  <c r="AF529" i="2"/>
  <c r="AD529" i="2"/>
  <c r="AB529" i="2"/>
  <c r="Z529" i="2"/>
  <c r="Y529" i="2"/>
  <c r="AB595" i="2"/>
  <c r="AE595" i="2"/>
  <c r="AC595" i="2"/>
  <c r="W595" i="2"/>
  <c r="V595" i="2"/>
  <c r="S595" i="2"/>
  <c r="AG68" i="2"/>
  <c r="Y45" i="3" s="1"/>
  <c r="X68" i="2"/>
  <c r="P45" i="3" s="1"/>
  <c r="AA146" i="2"/>
  <c r="S238" i="3" s="1"/>
  <c r="AG146" i="2"/>
  <c r="Y238" i="3" s="1"/>
  <c r="Y146" i="2"/>
  <c r="Q238" i="3" s="1"/>
  <c r="W146" i="2"/>
  <c r="O238" i="3" s="1"/>
  <c r="S496" i="2"/>
  <c r="AG436" i="2"/>
  <c r="AE436" i="2"/>
  <c r="AE403" i="2"/>
  <c r="T403" i="2"/>
  <c r="AC44" i="2"/>
  <c r="U292" i="3" s="1"/>
  <c r="AE142" i="2"/>
  <c r="W182" i="3" s="1"/>
  <c r="X128" i="2"/>
  <c r="P8" i="3" s="1"/>
  <c r="AP92" i="2"/>
  <c r="S153" i="2"/>
  <c r="K301" i="3" s="1"/>
  <c r="AE184" i="2"/>
  <c r="W133" i="3" s="1"/>
  <c r="W125" i="2"/>
  <c r="O161" i="3" s="1"/>
  <c r="T239" i="2"/>
  <c r="AG209" i="2"/>
  <c r="Y32" i="3" s="1"/>
  <c r="Y293" i="2"/>
  <c r="AF302" i="2"/>
  <c r="V318" i="2"/>
  <c r="AG275" i="2"/>
  <c r="AB303" i="2"/>
  <c r="S345" i="2"/>
  <c r="AF326" i="2"/>
  <c r="AB287" i="2"/>
  <c r="AG389" i="2"/>
  <c r="AG328" i="2"/>
  <c r="AA369" i="2"/>
  <c r="Y399" i="2"/>
  <c r="Z449" i="2"/>
  <c r="AC457" i="2"/>
  <c r="AB459" i="2"/>
  <c r="AF468" i="2"/>
  <c r="AF506" i="2"/>
  <c r="AP183" i="2"/>
  <c r="AG481" i="2"/>
  <c r="AB415" i="2"/>
  <c r="AD512" i="2"/>
  <c r="AP180" i="2"/>
  <c r="O287" i="3" s="1"/>
  <c r="V527" i="2"/>
  <c r="AF553" i="2"/>
  <c r="V522" i="2"/>
  <c r="V507" i="2"/>
  <c r="AM188" i="2"/>
  <c r="X604" i="2"/>
  <c r="AG587" i="2"/>
  <c r="AA558" i="2"/>
  <c r="AG626" i="2"/>
  <c r="AK205" i="2"/>
  <c r="AE559" i="2"/>
  <c r="AB642" i="2"/>
  <c r="Y650" i="2"/>
  <c r="AG637" i="2"/>
  <c r="Z665" i="2"/>
  <c r="AD657" i="2"/>
  <c r="T565" i="2"/>
  <c r="AA641" i="2"/>
  <c r="AB603" i="2"/>
  <c r="AD664" i="2"/>
  <c r="AG654" i="2"/>
  <c r="AF689" i="2"/>
  <c r="Y671" i="2"/>
  <c r="AK267" i="2"/>
  <c r="AK332" i="2"/>
  <c r="X196" i="2"/>
  <c r="P7" i="3" s="1"/>
  <c r="T282" i="2"/>
  <c r="AC277" i="2"/>
  <c r="U220" i="3" s="1"/>
  <c r="AE202" i="2"/>
  <c r="V329" i="2"/>
  <c r="AC349" i="2"/>
  <c r="S370" i="2"/>
  <c r="AE470" i="2"/>
  <c r="AE423" i="2"/>
  <c r="AD527" i="2"/>
  <c r="AE597" i="2"/>
  <c r="AP216" i="2"/>
  <c r="AR216" i="2" s="1"/>
  <c r="AP233" i="2"/>
  <c r="AB715" i="2"/>
  <c r="AE724" i="2"/>
  <c r="W697" i="2"/>
  <c r="AK320" i="2"/>
  <c r="AO332" i="2"/>
  <c r="AF527" i="2"/>
  <c r="W499" i="2"/>
  <c r="AE591" i="2"/>
  <c r="S535" i="2"/>
  <c r="AM320" i="2"/>
  <c r="T114" i="2"/>
  <c r="L35" i="3" s="1"/>
  <c r="AA199" i="2"/>
  <c r="S268" i="3" s="1"/>
  <c r="AK132" i="2"/>
  <c r="J170" i="3" s="1"/>
  <c r="AC237" i="2"/>
  <c r="AC238" i="2"/>
  <c r="U237" i="3" s="1"/>
  <c r="T309" i="2"/>
  <c r="T446" i="2"/>
  <c r="S404" i="2"/>
  <c r="V516" i="2"/>
  <c r="AG527" i="2"/>
  <c r="Y537" i="2"/>
  <c r="W602" i="2"/>
  <c r="S528" i="2"/>
  <c r="S533" i="2"/>
  <c r="T667" i="2"/>
  <c r="AD612" i="2"/>
  <c r="Y565" i="2"/>
  <c r="AB643" i="2"/>
  <c r="AN320" i="2"/>
  <c r="T192" i="2"/>
  <c r="L102" i="3" s="1"/>
  <c r="AP132" i="2"/>
  <c r="AQ132" i="2" s="1"/>
  <c r="P170" i="3" s="1"/>
  <c r="W268" i="2"/>
  <c r="AK133" i="2"/>
  <c r="J55" i="3" s="1"/>
  <c r="W309" i="2"/>
  <c r="AC250" i="2"/>
  <c r="Z310" i="2"/>
  <c r="AE311" i="2"/>
  <c r="X294" i="2"/>
  <c r="V313" i="2"/>
  <c r="AC365" i="2"/>
  <c r="U190" i="3" s="1"/>
  <c r="Y432" i="2"/>
  <c r="V358" i="2"/>
  <c r="Z370" i="2"/>
  <c r="Y411" i="2"/>
  <c r="V446" i="2"/>
  <c r="Y404" i="2"/>
  <c r="X472" i="2"/>
  <c r="Y423" i="2"/>
  <c r="S500" i="2"/>
  <c r="AE464" i="2"/>
  <c r="S460" i="2"/>
  <c r="W567" i="2"/>
  <c r="AE602" i="2"/>
  <c r="T528" i="2"/>
  <c r="W571" i="2"/>
  <c r="S403" i="2"/>
  <c r="X533" i="2"/>
  <c r="Z667" i="2"/>
  <c r="S614" i="2"/>
  <c r="AB565" i="2"/>
  <c r="AC643" i="2"/>
  <c r="S688" i="2"/>
  <c r="AB710" i="2"/>
  <c r="S702" i="2"/>
  <c r="AB724" i="2"/>
  <c r="AD658" i="2"/>
  <c r="V684" i="2"/>
  <c r="X711" i="2"/>
  <c r="W678" i="2"/>
  <c r="W709" i="2"/>
  <c r="AF710" i="2"/>
  <c r="W702" i="2"/>
  <c r="X79" i="2"/>
  <c r="P126" i="3" s="1"/>
  <c r="Z130" i="2"/>
  <c r="AK112" i="2"/>
  <c r="AA237" i="2"/>
  <c r="W246" i="2"/>
  <c r="O74" i="3" s="1"/>
  <c r="W271" i="2"/>
  <c r="W227" i="2"/>
  <c r="AN133" i="2"/>
  <c r="M55" i="3" s="1"/>
  <c r="AA238" i="2"/>
  <c r="S237" i="3" s="1"/>
  <c r="AC309" i="2"/>
  <c r="AC310" i="2"/>
  <c r="X291" i="2"/>
  <c r="AG311" i="2"/>
  <c r="X302" i="2"/>
  <c r="AC362" i="2"/>
  <c r="V275" i="2"/>
  <c r="X224" i="2"/>
  <c r="AE313" i="2"/>
  <c r="AC382" i="2"/>
  <c r="X377" i="2"/>
  <c r="W322" i="2"/>
  <c r="AC328" i="2"/>
  <c r="X369" i="2"/>
  <c r="AB295" i="2"/>
  <c r="AC358" i="2"/>
  <c r="AD486" i="2"/>
  <c r="S383" i="2"/>
  <c r="AB412" i="2"/>
  <c r="AF370" i="2"/>
  <c r="AB411" i="2"/>
  <c r="X427" i="2"/>
  <c r="AE446" i="2"/>
  <c r="AB404" i="2"/>
  <c r="AD500" i="2"/>
  <c r="AB439" i="2"/>
  <c r="W541" i="2"/>
  <c r="AB528" i="2"/>
  <c r="T566" i="2"/>
  <c r="V587" i="2"/>
  <c r="X558" i="2"/>
  <c r="V626" i="2"/>
  <c r="AC664" i="2"/>
  <c r="T688" i="2"/>
  <c r="AB711" i="2"/>
  <c r="X678" i="2"/>
  <c r="Y709" i="2"/>
  <c r="Y707" i="2"/>
  <c r="Y702" i="2"/>
  <c r="V723" i="2"/>
  <c r="AK285" i="2"/>
  <c r="AP264" i="2"/>
  <c r="AK273" i="2"/>
  <c r="AD309" i="2"/>
  <c r="AF313" i="2"/>
  <c r="AE411" i="2"/>
  <c r="AF446" i="2"/>
  <c r="AF404" i="2"/>
  <c r="AE500" i="2"/>
  <c r="V623" i="2"/>
  <c r="AC702" i="2"/>
  <c r="AC100" i="2"/>
  <c r="U103" i="3" s="1"/>
  <c r="AD130" i="2"/>
  <c r="AN124" i="2"/>
  <c r="M258" i="3" s="1"/>
  <c r="AE309" i="2"/>
  <c r="AC283" i="2"/>
  <c r="AC301" i="2"/>
  <c r="AE377" i="2"/>
  <c r="AE354" i="2"/>
  <c r="AE396" i="2"/>
  <c r="AD412" i="2"/>
  <c r="Z427" i="2"/>
  <c r="T366" i="2"/>
  <c r="AF500" i="2"/>
  <c r="AG439" i="2"/>
  <c r="X586" i="2"/>
  <c r="T524" i="2"/>
  <c r="AE539" i="2"/>
  <c r="X626" i="2"/>
  <c r="AE634" i="2"/>
  <c r="AE640" i="2"/>
  <c r="W650" i="2"/>
  <c r="S603" i="2"/>
  <c r="AA684" i="2"/>
  <c r="AB615" i="2"/>
  <c r="AE688" i="2"/>
  <c r="W654" i="2"/>
  <c r="AG711" i="2"/>
  <c r="AD709" i="2"/>
  <c r="AB707" i="2"/>
  <c r="AE702" i="2"/>
  <c r="AM285" i="2"/>
  <c r="AN273" i="2"/>
  <c r="AO124" i="2"/>
  <c r="N258" i="3" s="1"/>
  <c r="Z156" i="2"/>
  <c r="R306" i="3" s="1"/>
  <c r="W209" i="2"/>
  <c r="O32" i="3" s="1"/>
  <c r="AA249" i="2"/>
  <c r="AF309" i="2"/>
  <c r="Y302" i="2"/>
  <c r="Z275" i="2"/>
  <c r="V303" i="2"/>
  <c r="W391" i="2"/>
  <c r="O67" i="3" s="1"/>
  <c r="AB384" i="2"/>
  <c r="AA328" i="2"/>
  <c r="Y369" i="2"/>
  <c r="V449" i="2"/>
  <c r="AC465" i="2"/>
  <c r="Z451" i="2"/>
  <c r="T479" i="2"/>
  <c r="AD481" i="2"/>
  <c r="S415" i="2"/>
  <c r="T512" i="2"/>
  <c r="S527" i="2"/>
  <c r="AP188" i="2"/>
  <c r="AR188" i="2" s="1"/>
  <c r="AA534" i="2"/>
  <c r="X581" i="2"/>
  <c r="W566" i="2"/>
  <c r="AD520" i="2"/>
  <c r="W587" i="2"/>
  <c r="AG599" i="2"/>
  <c r="T478" i="2"/>
  <c r="Y558" i="2"/>
  <c r="S616" i="2"/>
  <c r="Y626" i="2"/>
  <c r="Y592" i="2"/>
  <c r="T606" i="2"/>
  <c r="Y642" i="2"/>
  <c r="X600" i="2"/>
  <c r="W637" i="2"/>
  <c r="V665" i="2"/>
  <c r="T657" i="2"/>
  <c r="Y576" i="2"/>
  <c r="Z664" i="2"/>
  <c r="W621" i="2"/>
  <c r="AE684" i="2"/>
  <c r="AF688" i="2"/>
  <c r="X654" i="2"/>
  <c r="Z596" i="2"/>
  <c r="S671" i="2"/>
  <c r="Y680" i="2"/>
  <c r="V696" i="2"/>
  <c r="AC725" i="2"/>
  <c r="AE697" i="2"/>
  <c r="AP124" i="2"/>
  <c r="V172" i="2"/>
  <c r="N307" i="3" s="1"/>
  <c r="X209" i="2"/>
  <c r="P32" i="3" s="1"/>
  <c r="AD249" i="2"/>
  <c r="AC203" i="2"/>
  <c r="Y283" i="2"/>
  <c r="T318" i="2"/>
  <c r="S259" i="2"/>
  <c r="K69" i="3" s="1"/>
  <c r="Y303" i="2"/>
  <c r="Y391" i="2"/>
  <c r="Q67" i="3" s="1"/>
  <c r="Y449" i="2"/>
  <c r="AE448" i="2"/>
  <c r="AF451" i="2"/>
  <c r="AE503" i="2"/>
  <c r="AE481" i="2"/>
  <c r="V415" i="2"/>
  <c r="AC512" i="2"/>
  <c r="T527" i="2"/>
  <c r="T522" i="2"/>
  <c r="AF581" i="2"/>
  <c r="AC524" i="2"/>
  <c r="W604" i="2"/>
  <c r="W539" i="2"/>
  <c r="AA587" i="2"/>
  <c r="AD616" i="2"/>
  <c r="Z626" i="2"/>
  <c r="AC559" i="2"/>
  <c r="Y634" i="2"/>
  <c r="AD606" i="2"/>
  <c r="AE630" i="2"/>
  <c r="Z642" i="2"/>
  <c r="X650" i="2"/>
  <c r="X657" i="2"/>
  <c r="S565" i="2"/>
  <c r="AD647" i="2"/>
  <c r="Z603" i="2"/>
  <c r="AB664" i="2"/>
  <c r="AF684" i="2"/>
  <c r="AB673" i="2"/>
  <c r="AD654" i="2"/>
  <c r="AB596" i="2"/>
  <c r="Z689" i="2"/>
  <c r="W671" i="2"/>
  <c r="V46" i="2"/>
  <c r="N37" i="3" s="1"/>
  <c r="Z46" i="2"/>
  <c r="R37" i="3" s="1"/>
  <c r="X8" i="2"/>
  <c r="P10" i="3" s="1"/>
  <c r="S18" i="2"/>
  <c r="K213" i="3" s="1"/>
  <c r="W701" i="12"/>
  <c r="V56" i="2"/>
  <c r="N185" i="3" s="1"/>
  <c r="W131" i="2"/>
  <c r="O160" i="3" s="1"/>
  <c r="AG151" i="2"/>
  <c r="AF151" i="2"/>
  <c r="AE151" i="2"/>
  <c r="Y151" i="2"/>
  <c r="V151" i="2"/>
  <c r="S151" i="2"/>
  <c r="T189" i="2"/>
  <c r="U189" i="2" s="1"/>
  <c r="AP137" i="2"/>
  <c r="AR137" i="2" s="1"/>
  <c r="X45" i="2"/>
  <c r="P235" i="3" s="1"/>
  <c r="AA45" i="2"/>
  <c r="S235" i="3" s="1"/>
  <c r="AE219" i="2"/>
  <c r="AD219" i="2"/>
  <c r="AC219" i="2"/>
  <c r="AB286" i="2"/>
  <c r="T296" i="3" s="1"/>
  <c r="AG286" i="2"/>
  <c r="Y296" i="3" s="1"/>
  <c r="AF286" i="2"/>
  <c r="X296" i="3" s="1"/>
  <c r="AE286" i="2"/>
  <c r="W296" i="3" s="1"/>
  <c r="AC286" i="2"/>
  <c r="U296" i="3" s="1"/>
  <c r="Z286" i="2"/>
  <c r="R296" i="3" s="1"/>
  <c r="W286" i="2"/>
  <c r="O296" i="3" s="1"/>
  <c r="V286" i="2"/>
  <c r="N296" i="3" s="1"/>
  <c r="T286" i="2"/>
  <c r="L296" i="3" s="1"/>
  <c r="AA315" i="2"/>
  <c r="S4" i="3" s="1"/>
  <c r="Z315" i="2"/>
  <c r="R4" i="3" s="1"/>
  <c r="Y315" i="2"/>
  <c r="Q4" i="3" s="1"/>
  <c r="AD3" i="2"/>
  <c r="V118" i="3" s="1"/>
  <c r="AG3" i="2"/>
  <c r="Y118" i="3" s="1"/>
  <c r="AF3" i="2"/>
  <c r="X118" i="3" s="1"/>
  <c r="Z3" i="2"/>
  <c r="R118" i="3" s="1"/>
  <c r="T9" i="2"/>
  <c r="L267" i="3" s="1"/>
  <c r="AF18" i="2"/>
  <c r="X213" i="3" s="1"/>
  <c r="W13" i="2"/>
  <c r="O333" i="3" s="1"/>
  <c r="Z30" i="2"/>
  <c r="R209" i="3" s="1"/>
  <c r="AF30" i="2"/>
  <c r="X209" i="3" s="1"/>
  <c r="W30" i="2"/>
  <c r="O209" i="3" s="1"/>
  <c r="V30" i="2"/>
  <c r="N209" i="3" s="1"/>
  <c r="Z37" i="2"/>
  <c r="R64" i="3" s="1"/>
  <c r="AD37" i="2"/>
  <c r="V64" i="3" s="1"/>
  <c r="AA37" i="2"/>
  <c r="S64" i="3" s="1"/>
  <c r="AA35" i="2"/>
  <c r="S321" i="3" s="1"/>
  <c r="X58" i="2"/>
  <c r="P60" i="3" s="1"/>
  <c r="AB85" i="2"/>
  <c r="T278" i="3" s="1"/>
  <c r="AG85" i="2"/>
  <c r="Y278" i="3" s="1"/>
  <c r="AF85" i="2"/>
  <c r="X278" i="3" s="1"/>
  <c r="X85" i="2"/>
  <c r="P278" i="3" s="1"/>
  <c r="W85" i="2"/>
  <c r="O278" i="3" s="1"/>
  <c r="V85" i="2"/>
  <c r="N278" i="3" s="1"/>
  <c r="Z136" i="2"/>
  <c r="R327" i="3" s="1"/>
  <c r="AG136" i="2"/>
  <c r="Y327" i="3" s="1"/>
  <c r="Y136" i="2"/>
  <c r="Q327" i="3" s="1"/>
  <c r="X136" i="2"/>
  <c r="P327" i="3" s="1"/>
  <c r="W136" i="2"/>
  <c r="O327" i="3" s="1"/>
  <c r="V136" i="2"/>
  <c r="N327" i="3" s="1"/>
  <c r="AG195" i="2"/>
  <c r="Y132" i="3" s="1"/>
  <c r="Z195" i="2"/>
  <c r="R132" i="3" s="1"/>
  <c r="AA546" i="2"/>
  <c r="AB546" i="2"/>
  <c r="Z546" i="2"/>
  <c r="AC36" i="2"/>
  <c r="U122" i="3" s="1"/>
  <c r="V36" i="2"/>
  <c r="N122" i="3" s="1"/>
  <c r="AG18" i="2"/>
  <c r="Y213" i="3" s="1"/>
  <c r="T36" i="2"/>
  <c r="L122" i="3" s="1"/>
  <c r="T45" i="2"/>
  <c r="L235" i="3" s="1"/>
  <c r="X77" i="2"/>
  <c r="P15" i="3" s="1"/>
  <c r="V88" i="2"/>
  <c r="N248" i="3" s="1"/>
  <c r="W123" i="2"/>
  <c r="AG123" i="2"/>
  <c r="W219" i="2"/>
  <c r="S286" i="2"/>
  <c r="K296" i="3" s="1"/>
  <c r="AF343" i="2"/>
  <c r="AG343" i="2"/>
  <c r="Y343" i="2"/>
  <c r="X343" i="2"/>
  <c r="W343" i="2"/>
  <c r="AG334" i="2"/>
  <c r="X334" i="2"/>
  <c r="X315" i="2"/>
  <c r="P4" i="3" s="1"/>
  <c r="AA121" i="2"/>
  <c r="S68" i="3" s="1"/>
  <c r="Z121" i="2"/>
  <c r="R68" i="3" s="1"/>
  <c r="AE7" i="2"/>
  <c r="W11" i="3" s="1"/>
  <c r="V3" i="2"/>
  <c r="N118" i="3" s="1"/>
  <c r="W36" i="2"/>
  <c r="O122" i="3" s="1"/>
  <c r="AA30" i="2"/>
  <c r="S209" i="3" s="1"/>
  <c r="S37" i="2"/>
  <c r="K64" i="3" s="1"/>
  <c r="Z45" i="2"/>
  <c r="R235" i="3" s="1"/>
  <c r="AF81" i="2"/>
  <c r="X265" i="3" s="1"/>
  <c r="AD81" i="2"/>
  <c r="V265" i="3" s="1"/>
  <c r="Y81" i="2"/>
  <c r="Q265" i="3" s="1"/>
  <c r="X81" i="2"/>
  <c r="P265" i="3" s="1"/>
  <c r="Y106" i="2"/>
  <c r="Q95" i="3" s="1"/>
  <c r="AG106" i="2"/>
  <c r="Y95" i="3" s="1"/>
  <c r="AE106" i="2"/>
  <c r="W95" i="3" s="1"/>
  <c r="AB74" i="2"/>
  <c r="T89" i="3" s="1"/>
  <c r="AE74" i="2"/>
  <c r="W89" i="3" s="1"/>
  <c r="V74" i="2"/>
  <c r="N89" i="3" s="1"/>
  <c r="AB219" i="2"/>
  <c r="AB263" i="2"/>
  <c r="T62" i="3" s="1"/>
  <c r="AA263" i="2"/>
  <c r="S62" i="3" s="1"/>
  <c r="Z263" i="2"/>
  <c r="R62" i="3" s="1"/>
  <c r="AR154" i="2"/>
  <c r="AG513" i="2"/>
  <c r="AA513" i="2"/>
  <c r="Z513" i="2"/>
  <c r="Y513" i="2"/>
  <c r="AD77" i="2"/>
  <c r="V15" i="3" s="1"/>
  <c r="AF77" i="2"/>
  <c r="X15" i="3" s="1"/>
  <c r="AB77" i="2"/>
  <c r="T15" i="3" s="1"/>
  <c r="W77" i="2"/>
  <c r="O15" i="3" s="1"/>
  <c r="V77" i="2"/>
  <c r="N15" i="3" s="1"/>
  <c r="S77" i="2"/>
  <c r="K15" i="3" s="1"/>
  <c r="AG88" i="2"/>
  <c r="Y248" i="3" s="1"/>
  <c r="W88" i="2"/>
  <c r="O248" i="3" s="1"/>
  <c r="AC88" i="2"/>
  <c r="U248" i="3" s="1"/>
  <c r="AE67" i="2"/>
  <c r="W94" i="3" s="1"/>
  <c r="Y67" i="2"/>
  <c r="Q94" i="3" s="1"/>
  <c r="X67" i="2"/>
  <c r="P94" i="3" s="1"/>
  <c r="AF9" i="2"/>
  <c r="X267" i="3" s="1"/>
  <c r="X9" i="2"/>
  <c r="P267" i="3" s="1"/>
  <c r="W9" i="2"/>
  <c r="O267" i="3" s="1"/>
  <c r="X36" i="2"/>
  <c r="P122" i="3" s="1"/>
  <c r="AG77" i="2"/>
  <c r="Y15" i="3" s="1"/>
  <c r="AB88" i="2"/>
  <c r="T248" i="3" s="1"/>
  <c r="AG129" i="2"/>
  <c r="Y17" i="3" s="1"/>
  <c r="AA129" i="2"/>
  <c r="S17" i="3" s="1"/>
  <c r="AF169" i="2"/>
  <c r="X269" i="3" s="1"/>
  <c r="AE169" i="2"/>
  <c r="W269" i="3" s="1"/>
  <c r="AD169" i="2"/>
  <c r="V269" i="3" s="1"/>
  <c r="AC169" i="2"/>
  <c r="U269" i="3" s="1"/>
  <c r="Y169" i="2"/>
  <c r="Q269" i="3" s="1"/>
  <c r="X169" i="2"/>
  <c r="P269" i="3" s="1"/>
  <c r="V169" i="2"/>
  <c r="N269" i="3" s="1"/>
  <c r="T169" i="2"/>
  <c r="L269" i="3" s="1"/>
  <c r="AB160" i="2"/>
  <c r="T277" i="3" s="1"/>
  <c r="AD160" i="2"/>
  <c r="V277" i="3" s="1"/>
  <c r="AA160" i="2"/>
  <c r="S277" i="3" s="1"/>
  <c r="Y160" i="2"/>
  <c r="Q277" i="3" s="1"/>
  <c r="V160" i="2"/>
  <c r="N277" i="3" s="1"/>
  <c r="AB307" i="2"/>
  <c r="AE307" i="2"/>
  <c r="AD307" i="2"/>
  <c r="AC307" i="2"/>
  <c r="Z307" i="2"/>
  <c r="Y307" i="2"/>
  <c r="W307" i="2"/>
  <c r="T307" i="2"/>
  <c r="AE257" i="2"/>
  <c r="Z4" i="2"/>
  <c r="R325" i="3" s="1"/>
  <c r="W3" i="2"/>
  <c r="O118" i="3" s="1"/>
  <c r="X3" i="2"/>
  <c r="P118" i="3" s="1"/>
  <c r="S24" i="2"/>
  <c r="K71" i="3" s="1"/>
  <c r="T24" i="2"/>
  <c r="L71" i="3" s="1"/>
  <c r="AE24" i="2"/>
  <c r="W71" i="3" s="1"/>
  <c r="AE33" i="2"/>
  <c r="W93" i="3" s="1"/>
  <c r="Y38" i="2"/>
  <c r="Q239" i="3" s="1"/>
  <c r="AF64" i="2"/>
  <c r="X181" i="3" s="1"/>
  <c r="Y64" i="2"/>
  <c r="Q181" i="3" s="1"/>
  <c r="V64" i="2"/>
  <c r="N181" i="3" s="1"/>
  <c r="V66" i="2"/>
  <c r="N297" i="3" s="1"/>
  <c r="S66" i="2"/>
  <c r="K297" i="3" s="1"/>
  <c r="T65" i="2"/>
  <c r="L218" i="3" s="1"/>
  <c r="Z65" i="2"/>
  <c r="R218" i="3" s="1"/>
  <c r="W108" i="2"/>
  <c r="O97" i="3" s="1"/>
  <c r="AA108" i="2"/>
  <c r="S97" i="3" s="1"/>
  <c r="Z108" i="2"/>
  <c r="R97" i="3" s="1"/>
  <c r="V81" i="2"/>
  <c r="N265" i="3" s="1"/>
  <c r="AF102" i="2"/>
  <c r="X159" i="3" s="1"/>
  <c r="AD102" i="2"/>
  <c r="V159" i="3" s="1"/>
  <c r="AC102" i="2"/>
  <c r="U159" i="3" s="1"/>
  <c r="AO132" i="2"/>
  <c r="N170" i="3" s="1"/>
  <c r="AF179" i="2"/>
  <c r="X162" i="3" s="1"/>
  <c r="AE179" i="2"/>
  <c r="W162" i="3" s="1"/>
  <c r="AD179" i="2"/>
  <c r="V162" i="3" s="1"/>
  <c r="Z179" i="2"/>
  <c r="R162" i="3" s="1"/>
  <c r="W179" i="2"/>
  <c r="O162" i="3" s="1"/>
  <c r="V179" i="2"/>
  <c r="N162" i="3" s="1"/>
  <c r="T179" i="2"/>
  <c r="L162" i="3" s="1"/>
  <c r="S179" i="2"/>
  <c r="K162" i="3" s="1"/>
  <c r="AG149" i="2"/>
  <c r="Y323" i="3" s="1"/>
  <c r="AB149" i="2"/>
  <c r="T323" i="3" s="1"/>
  <c r="Z149" i="2"/>
  <c r="R323" i="3" s="1"/>
  <c r="Y149" i="2"/>
  <c r="Q323" i="3" s="1"/>
  <c r="X141" i="2"/>
  <c r="P205" i="3" s="1"/>
  <c r="T141" i="2"/>
  <c r="L205" i="3" s="1"/>
  <c r="AP118" i="2"/>
  <c r="AR118" i="2" s="1"/>
  <c r="AM118" i="2"/>
  <c r="AB158" i="2"/>
  <c r="T322" i="3" s="1"/>
  <c r="AG158" i="2"/>
  <c r="Y322" i="3" s="1"/>
  <c r="AF158" i="2"/>
  <c r="X322" i="3" s="1"/>
  <c r="AD158" i="2"/>
  <c r="V322" i="3" s="1"/>
  <c r="Z158" i="2"/>
  <c r="R322" i="3" s="1"/>
  <c r="Y158" i="2"/>
  <c r="Q322" i="3" s="1"/>
  <c r="X158" i="2"/>
  <c r="P322" i="3" s="1"/>
  <c r="W158" i="2"/>
  <c r="O322" i="3" s="1"/>
  <c r="V158" i="2"/>
  <c r="N322" i="3" s="1"/>
  <c r="AD235" i="2"/>
  <c r="AB235" i="2"/>
  <c r="Z235" i="2"/>
  <c r="Y235" i="2"/>
  <c r="X235" i="2"/>
  <c r="AG455" i="2"/>
  <c r="AF455" i="2"/>
  <c r="T455" i="2"/>
  <c r="Y89" i="2"/>
  <c r="Q184" i="3" s="1"/>
  <c r="AA89" i="2"/>
  <c r="S184" i="3" s="1"/>
  <c r="AB84" i="2"/>
  <c r="T295" i="3" s="1"/>
  <c r="AA84" i="2"/>
  <c r="S295" i="3" s="1"/>
  <c r="Z84" i="2"/>
  <c r="R295" i="3" s="1"/>
  <c r="W84" i="2"/>
  <c r="O295" i="3" s="1"/>
  <c r="AC122" i="2"/>
  <c r="U242" i="3" s="1"/>
  <c r="X122" i="2"/>
  <c r="P242" i="3" s="1"/>
  <c r="AC17" i="2"/>
  <c r="U43" i="3" s="1"/>
  <c r="AA56" i="2"/>
  <c r="S185" i="3" s="1"/>
  <c r="AE56" i="2"/>
  <c r="W185" i="3" s="1"/>
  <c r="AC56" i="2"/>
  <c r="U185" i="3" s="1"/>
  <c r="Z56" i="2"/>
  <c r="R185" i="3" s="1"/>
  <c r="Y56" i="2"/>
  <c r="Q185" i="3" s="1"/>
  <c r="W56" i="2"/>
  <c r="O185" i="3" s="1"/>
  <c r="S56" i="2"/>
  <c r="K185" i="3" s="1"/>
  <c r="X43" i="2"/>
  <c r="P334" i="3" s="1"/>
  <c r="AA43" i="2"/>
  <c r="S334" i="3" s="1"/>
  <c r="S68" i="2"/>
  <c r="K45" i="3" s="1"/>
  <c r="Y94" i="2"/>
  <c r="Q99" i="3" s="1"/>
  <c r="Z94" i="2"/>
  <c r="R99" i="3" s="1"/>
  <c r="AG81" i="2"/>
  <c r="Y265" i="3" s="1"/>
  <c r="S122" i="2"/>
  <c r="K242" i="3" s="1"/>
  <c r="AG105" i="2"/>
  <c r="Y215" i="3" s="1"/>
  <c r="AC105" i="2"/>
  <c r="U215" i="3" s="1"/>
  <c r="AB105" i="2"/>
  <c r="T215" i="3" s="1"/>
  <c r="Z105" i="2"/>
  <c r="R215" i="3" s="1"/>
  <c r="S105" i="2"/>
  <c r="K215" i="3" s="1"/>
  <c r="Z129" i="2"/>
  <c r="R17" i="3" s="1"/>
  <c r="S141" i="2"/>
  <c r="K205" i="3" s="1"/>
  <c r="W138" i="2"/>
  <c r="O241" i="3" s="1"/>
  <c r="AE171" i="2"/>
  <c r="AG8" i="2"/>
  <c r="Y10" i="3" s="1"/>
  <c r="AE8" i="2"/>
  <c r="AD8" i="2"/>
  <c r="AB8" i="2"/>
  <c r="AG20" i="2"/>
  <c r="Y73" i="3" s="1"/>
  <c r="Y20" i="2"/>
  <c r="Q73" i="3" s="1"/>
  <c r="X20" i="2"/>
  <c r="P73" i="3" s="1"/>
  <c r="W20" i="2"/>
  <c r="O73" i="3" s="1"/>
  <c r="Z89" i="2"/>
  <c r="R184" i="3" s="1"/>
  <c r="AO82" i="2"/>
  <c r="N83" i="3" s="1"/>
  <c r="AP82" i="2"/>
  <c r="X84" i="2"/>
  <c r="P295" i="3" s="1"/>
  <c r="V140" i="2"/>
  <c r="N208" i="3" s="1"/>
  <c r="T140" i="2"/>
  <c r="L208" i="3" s="1"/>
  <c r="X174" i="2"/>
  <c r="AG174" i="2"/>
  <c r="AB174" i="2"/>
  <c r="AA174" i="2"/>
  <c r="AD171" i="2"/>
  <c r="AB171" i="2"/>
  <c r="Z171" i="2"/>
  <c r="Y171" i="2"/>
  <c r="X171" i="2"/>
  <c r="V206" i="2"/>
  <c r="AA363" i="2"/>
  <c r="AD363" i="2"/>
  <c r="AB363" i="2"/>
  <c r="X363" i="2"/>
  <c r="V363" i="2"/>
  <c r="T363" i="2"/>
  <c r="S363" i="2"/>
  <c r="Y487" i="2"/>
  <c r="AE487" i="2"/>
  <c r="AD487" i="2"/>
  <c r="AB487" i="2"/>
  <c r="X487" i="2"/>
  <c r="T487" i="2"/>
  <c r="V27" i="2"/>
  <c r="N101" i="3" s="1"/>
  <c r="AA27" i="2"/>
  <c r="S101" i="3" s="1"/>
  <c r="Y27" i="2"/>
  <c r="Q101" i="3" s="1"/>
  <c r="X27" i="2"/>
  <c r="P101" i="3" s="1"/>
  <c r="W27" i="2"/>
  <c r="O101" i="3" s="1"/>
  <c r="AE305" i="2"/>
  <c r="AG305" i="2"/>
  <c r="Z305" i="2"/>
  <c r="Y305" i="2"/>
  <c r="AK61" i="2"/>
  <c r="X146" i="2"/>
  <c r="P238" i="3" s="1"/>
  <c r="S128" i="2"/>
  <c r="K8" i="3" s="1"/>
  <c r="S127" i="2"/>
  <c r="T158" i="2"/>
  <c r="L322" i="3" s="1"/>
  <c r="AB130" i="2"/>
  <c r="W147" i="2"/>
  <c r="O177" i="3" s="1"/>
  <c r="AP112" i="2"/>
  <c r="Y186" i="2"/>
  <c r="Q186" i="3" s="1"/>
  <c r="X199" i="2"/>
  <c r="P268" i="3" s="1"/>
  <c r="AE195" i="2"/>
  <c r="W132" i="3" s="1"/>
  <c r="W237" i="2"/>
  <c r="Y209" i="2"/>
  <c r="Q32" i="3" s="1"/>
  <c r="AD271" i="2"/>
  <c r="Y201" i="2"/>
  <c r="AC225" i="2"/>
  <c r="AE230" i="2"/>
  <c r="W211" i="3" s="1"/>
  <c r="AE214" i="2"/>
  <c r="W336" i="3" s="1"/>
  <c r="S240" i="2"/>
  <c r="U240" i="2" s="1"/>
  <c r="AE260" i="2"/>
  <c r="AE268" i="2"/>
  <c r="Y227" i="2"/>
  <c r="T238" i="2"/>
  <c r="L237" i="3" s="1"/>
  <c r="AC212" i="2"/>
  <c r="AC282" i="2"/>
  <c r="AA250" i="2"/>
  <c r="AD244" i="2"/>
  <c r="V127" i="3" s="1"/>
  <c r="S283" i="2"/>
  <c r="AE300" i="2"/>
  <c r="X278" i="2"/>
  <c r="AE302" i="2"/>
  <c r="S318" i="2"/>
  <c r="Z303" i="2"/>
  <c r="W294" i="2"/>
  <c r="Y339" i="2"/>
  <c r="X149" i="2"/>
  <c r="P323" i="3" s="1"/>
  <c r="Z325" i="2"/>
  <c r="Y258" i="2"/>
  <c r="Y335" i="2"/>
  <c r="Y377" i="2"/>
  <c r="AD384" i="2"/>
  <c r="T452" i="2"/>
  <c r="U452" i="2" s="1"/>
  <c r="Y358" i="2"/>
  <c r="X329" i="2"/>
  <c r="T329" i="2"/>
  <c r="AA413" i="2"/>
  <c r="AG413" i="2"/>
  <c r="AF413" i="2"/>
  <c r="W388" i="2"/>
  <c r="AA578" i="2"/>
  <c r="AD578" i="2"/>
  <c r="AC578" i="2"/>
  <c r="AB578" i="2"/>
  <c r="Y578" i="2"/>
  <c r="X578" i="2"/>
  <c r="W578" i="2"/>
  <c r="V578" i="2"/>
  <c r="T578" i="2"/>
  <c r="S578" i="2"/>
  <c r="AC234" i="2"/>
  <c r="U328" i="3" s="1"/>
  <c r="AE323" i="2"/>
  <c r="Y421" i="2"/>
  <c r="AB421" i="2"/>
  <c r="X421" i="2"/>
  <c r="V421" i="2"/>
  <c r="AF472" i="2"/>
  <c r="Y472" i="2"/>
  <c r="V472" i="2"/>
  <c r="AO178" i="2"/>
  <c r="AN178" i="2"/>
  <c r="AK178" i="2"/>
  <c r="AE553" i="2"/>
  <c r="AC553" i="2"/>
  <c r="W553" i="2"/>
  <c r="V553" i="2"/>
  <c r="S553" i="2"/>
  <c r="Y571" i="2"/>
  <c r="AA571" i="2"/>
  <c r="Z571" i="2"/>
  <c r="AC16" i="2"/>
  <c r="U153" i="3" s="1"/>
  <c r="AD24" i="2"/>
  <c r="V71" i="3" s="1"/>
  <c r="AB36" i="2"/>
  <c r="T122" i="3" s="1"/>
  <c r="AB53" i="2"/>
  <c r="T329" i="3" s="1"/>
  <c r="AF68" i="2"/>
  <c r="X45" i="3" s="1"/>
  <c r="W57" i="2"/>
  <c r="O98" i="3" s="1"/>
  <c r="V75" i="2"/>
  <c r="N180" i="3" s="1"/>
  <c r="AK98" i="2"/>
  <c r="J200" i="3" s="1"/>
  <c r="V142" i="2"/>
  <c r="N182" i="3" s="1"/>
  <c r="AB146" i="2"/>
  <c r="T238" i="3" s="1"/>
  <c r="Y128" i="2"/>
  <c r="Q8" i="3" s="1"/>
  <c r="X127" i="2"/>
  <c r="X157" i="2"/>
  <c r="P270" i="3" s="1"/>
  <c r="AF186" i="2"/>
  <c r="X186" i="3" s="1"/>
  <c r="T199" i="2"/>
  <c r="L268" i="3" s="1"/>
  <c r="AA156" i="2"/>
  <c r="S306" i="3" s="1"/>
  <c r="Z184" i="2"/>
  <c r="R133" i="3" s="1"/>
  <c r="W172" i="2"/>
  <c r="O307" i="3" s="1"/>
  <c r="X125" i="2"/>
  <c r="P161" i="3" s="1"/>
  <c r="AE215" i="2"/>
  <c r="AB237" i="2"/>
  <c r="AF201" i="2"/>
  <c r="AN137" i="2"/>
  <c r="W240" i="2"/>
  <c r="AB238" i="2"/>
  <c r="T237" i="3" s="1"/>
  <c r="V282" i="2"/>
  <c r="AA283" i="2"/>
  <c r="W318" i="2"/>
  <c r="X257" i="2"/>
  <c r="AC294" i="2"/>
  <c r="AK154" i="2"/>
  <c r="AF224" i="2"/>
  <c r="AF258" i="2"/>
  <c r="V392" i="2"/>
  <c r="V287" i="2"/>
  <c r="AG377" i="2"/>
  <c r="AF358" i="2"/>
  <c r="AA329" i="2"/>
  <c r="AC420" i="2"/>
  <c r="AA420" i="2"/>
  <c r="W420" i="2"/>
  <c r="S406" i="2"/>
  <c r="T394" i="2"/>
  <c r="Z413" i="2"/>
  <c r="AF461" i="2"/>
  <c r="Z461" i="2"/>
  <c r="AE463" i="2"/>
  <c r="Z463" i="2"/>
  <c r="Y463" i="2"/>
  <c r="W463" i="2"/>
  <c r="AB511" i="2"/>
  <c r="AF511" i="2"/>
  <c r="AF578" i="2"/>
  <c r="E5" i="12"/>
  <c r="AD36" i="2"/>
  <c r="V122" i="3" s="1"/>
  <c r="AE59" i="2"/>
  <c r="W304" i="3" s="1"/>
  <c r="AF53" i="2"/>
  <c r="X329" i="3" s="1"/>
  <c r="AA57" i="2"/>
  <c r="S98" i="3" s="1"/>
  <c r="AC142" i="2"/>
  <c r="U182" i="3" s="1"/>
  <c r="AD146" i="2"/>
  <c r="V238" i="3" s="1"/>
  <c r="Z128" i="2"/>
  <c r="R8" i="3" s="1"/>
  <c r="Y127" i="2"/>
  <c r="AD147" i="2"/>
  <c r="V177" i="3" s="1"/>
  <c r="AG186" i="2"/>
  <c r="Y186" i="3" s="1"/>
  <c r="V199" i="2"/>
  <c r="N268" i="3" s="1"/>
  <c r="AA184" i="2"/>
  <c r="S133" i="3" s="1"/>
  <c r="X172" i="2"/>
  <c r="P307" i="3" s="1"/>
  <c r="AG201" i="2"/>
  <c r="AO137" i="2"/>
  <c r="AO126" i="2"/>
  <c r="N345" i="3" s="1"/>
  <c r="Z240" i="2"/>
  <c r="AD238" i="2"/>
  <c r="V237" i="3" s="1"/>
  <c r="W282" i="2"/>
  <c r="Y318" i="2"/>
  <c r="AB257" i="2"/>
  <c r="T297" i="2"/>
  <c r="AM154" i="2"/>
  <c r="V323" i="2"/>
  <c r="W392" i="2"/>
  <c r="AP152" i="2"/>
  <c r="AR152" i="2" s="1"/>
  <c r="AO152" i="2"/>
  <c r="AA432" i="2"/>
  <c r="T432" i="2"/>
  <c r="AF432" i="2"/>
  <c r="AB329" i="2"/>
  <c r="Y406" i="2"/>
  <c r="Z406" i="2"/>
  <c r="Z421" i="2"/>
  <c r="AB413" i="2"/>
  <c r="V412" i="2"/>
  <c r="Y412" i="2"/>
  <c r="S412" i="2"/>
  <c r="U412" i="2" s="1"/>
  <c r="AG386" i="2"/>
  <c r="AF386" i="2"/>
  <c r="Z386" i="2"/>
  <c r="X386" i="2"/>
  <c r="S386" i="2"/>
  <c r="Z410" i="2"/>
  <c r="AG578" i="2"/>
  <c r="AA554" i="2"/>
  <c r="AB554" i="2"/>
  <c r="Z554" i="2"/>
  <c r="AC564" i="2"/>
  <c r="S7" i="2"/>
  <c r="K11" i="3" s="1"/>
  <c r="V16" i="2"/>
  <c r="N153" i="3" s="1"/>
  <c r="S17" i="2"/>
  <c r="K43" i="3" s="1"/>
  <c r="AE36" i="2"/>
  <c r="W122" i="3" s="1"/>
  <c r="AG59" i="2"/>
  <c r="Y304" i="3" s="1"/>
  <c r="AA41" i="2"/>
  <c r="S247" i="3" s="1"/>
  <c r="AG53" i="2"/>
  <c r="Y329" i="3" s="1"/>
  <c r="X63" i="2"/>
  <c r="P214" i="3" s="1"/>
  <c r="AF146" i="2"/>
  <c r="X238" i="3" s="1"/>
  <c r="AA128" i="2"/>
  <c r="S8" i="3" s="1"/>
  <c r="Z127" i="2"/>
  <c r="X166" i="2"/>
  <c r="P124" i="3" s="1"/>
  <c r="W153" i="2"/>
  <c r="O301" i="3" s="1"/>
  <c r="X159" i="2"/>
  <c r="P298" i="3" s="1"/>
  <c r="AP101" i="2"/>
  <c r="AR101" i="2" s="1"/>
  <c r="AE147" i="2"/>
  <c r="W177" i="3" s="1"/>
  <c r="AK124" i="2"/>
  <c r="W199" i="2"/>
  <c r="O268" i="3" s="1"/>
  <c r="AB240" i="2"/>
  <c r="X282" i="2"/>
  <c r="AC202" i="2"/>
  <c r="AB318" i="2"/>
  <c r="S316" i="2"/>
  <c r="W297" i="2"/>
  <c r="AE294" i="2"/>
  <c r="AN154" i="2"/>
  <c r="W323" i="2"/>
  <c r="X392" i="2"/>
  <c r="X450" i="2"/>
  <c r="AN152" i="2"/>
  <c r="T420" i="2"/>
  <c r="AA486" i="2"/>
  <c r="Z486" i="2"/>
  <c r="AA422" i="2"/>
  <c r="S191" i="3" s="1"/>
  <c r="AF422" i="2"/>
  <c r="X191" i="3" s="1"/>
  <c r="Z422" i="2"/>
  <c r="R191" i="3" s="1"/>
  <c r="Y422" i="2"/>
  <c r="Q191" i="3" s="1"/>
  <c r="AA421" i="2"/>
  <c r="AD390" i="2"/>
  <c r="AB390" i="2"/>
  <c r="AA390" i="2"/>
  <c r="AA321" i="2"/>
  <c r="Y321" i="2"/>
  <c r="V321" i="2"/>
  <c r="X430" i="2"/>
  <c r="Y430" i="2"/>
  <c r="AA480" i="2"/>
  <c r="AG480" i="2"/>
  <c r="AF480" i="2"/>
  <c r="Y357" i="2"/>
  <c r="AG357" i="2"/>
  <c r="AA357" i="2"/>
  <c r="AA393" i="2"/>
  <c r="S324" i="3" s="1"/>
  <c r="AO183" i="2"/>
  <c r="AD519" i="2"/>
  <c r="AA519" i="2"/>
  <c r="AB562" i="2"/>
  <c r="Z562" i="2"/>
  <c r="AB128" i="2"/>
  <c r="T8" i="3" s="1"/>
  <c r="AD127" i="2"/>
  <c r="AC240" i="2"/>
  <c r="X297" i="2"/>
  <c r="AO154" i="2"/>
  <c r="AQ154" i="2" s="1"/>
  <c r="X323" i="2"/>
  <c r="AC408" i="2"/>
  <c r="AA408" i="2"/>
  <c r="Y408" i="2"/>
  <c r="AD383" i="2"/>
  <c r="AF383" i="2"/>
  <c r="AC383" i="2"/>
  <c r="AD490" i="2"/>
  <c r="Y490" i="2"/>
  <c r="X490" i="2"/>
  <c r="AE569" i="2"/>
  <c r="AD569" i="2"/>
  <c r="AC569" i="2"/>
  <c r="Y569" i="2"/>
  <c r="X569" i="2"/>
  <c r="V569" i="2"/>
  <c r="T569" i="2"/>
  <c r="S569" i="2"/>
  <c r="AO229" i="2"/>
  <c r="AN229" i="2"/>
  <c r="AM229" i="2"/>
  <c r="AK229" i="2"/>
  <c r="AC712" i="2"/>
  <c r="AB712" i="2"/>
  <c r="W34" i="2"/>
  <c r="O72" i="3" s="1"/>
  <c r="V93" i="2"/>
  <c r="N16" i="3" s="1"/>
  <c r="S146" i="2"/>
  <c r="K238" i="3" s="1"/>
  <c r="AF128" i="2"/>
  <c r="X8" i="3" s="1"/>
  <c r="AK92" i="2"/>
  <c r="J142" i="3" s="1"/>
  <c r="AE127" i="2"/>
  <c r="AE197" i="2"/>
  <c r="W156" i="3" s="1"/>
  <c r="AB199" i="2"/>
  <c r="T268" i="3" s="1"/>
  <c r="Y125" i="2"/>
  <c r="Q161" i="3" s="1"/>
  <c r="AF240" i="2"/>
  <c r="V272" i="2"/>
  <c r="AF282" i="2"/>
  <c r="V309" i="2"/>
  <c r="V203" i="2"/>
  <c r="W311" i="2"/>
  <c r="W198" i="2"/>
  <c r="AD318" i="2"/>
  <c r="AD297" i="2"/>
  <c r="Y323" i="2"/>
  <c r="AG392" i="2"/>
  <c r="W301" i="2"/>
  <c r="X391" i="2"/>
  <c r="P67" i="3" s="1"/>
  <c r="X287" i="2"/>
  <c r="X498" i="2"/>
  <c r="Y498" i="2"/>
  <c r="S349" i="2"/>
  <c r="AG349" i="2"/>
  <c r="V349" i="2"/>
  <c r="AA466" i="2"/>
  <c r="AD466" i="2"/>
  <c r="AC466" i="2"/>
  <c r="AB466" i="2"/>
  <c r="Z466" i="2"/>
  <c r="Y466" i="2"/>
  <c r="V466" i="2"/>
  <c r="AA401" i="2"/>
  <c r="AC401" i="2"/>
  <c r="AB401" i="2"/>
  <c r="Z401" i="2"/>
  <c r="Y401" i="2"/>
  <c r="S401" i="2"/>
  <c r="AE366" i="2"/>
  <c r="X480" i="2"/>
  <c r="Z357" i="2"/>
  <c r="AA496" i="2"/>
  <c r="AD496" i="2"/>
  <c r="AC496" i="2"/>
  <c r="AB496" i="2"/>
  <c r="Z496" i="2"/>
  <c r="AC537" i="2"/>
  <c r="W537" i="2"/>
  <c r="AA525" i="2"/>
  <c r="AG525" i="2"/>
  <c r="AF525" i="2"/>
  <c r="AD525" i="2"/>
  <c r="AB525" i="2"/>
  <c r="Y525" i="2"/>
  <c r="X525" i="2"/>
  <c r="W525" i="2"/>
  <c r="V525" i="2"/>
  <c r="S525" i="2"/>
  <c r="X562" i="2"/>
  <c r="AO262" i="2"/>
  <c r="AN262" i="2"/>
  <c r="AM262" i="2"/>
  <c r="AK262" i="2"/>
  <c r="AA714" i="2"/>
  <c r="AF714" i="2"/>
  <c r="AD714" i="2"/>
  <c r="Z714" i="2"/>
  <c r="X714" i="2"/>
  <c r="V714" i="2"/>
  <c r="AG128" i="2"/>
  <c r="Y8" i="3" s="1"/>
  <c r="AF127" i="2"/>
  <c r="V130" i="2"/>
  <c r="S186" i="2"/>
  <c r="K186" i="3" s="1"/>
  <c r="S209" i="2"/>
  <c r="K32" i="3" s="1"/>
  <c r="T271" i="2"/>
  <c r="AG240" i="2"/>
  <c r="T268" i="2"/>
  <c r="AA277" i="2"/>
  <c r="S220" i="3" s="1"/>
  <c r="S244" i="2"/>
  <c r="K127" i="3" s="1"/>
  <c r="Z202" i="2"/>
  <c r="T300" i="2"/>
  <c r="AE297" i="2"/>
  <c r="Z323" i="2"/>
  <c r="AD358" i="2"/>
  <c r="AE358" i="2"/>
  <c r="X358" i="2"/>
  <c r="W358" i="2"/>
  <c r="AD398" i="2"/>
  <c r="AG398" i="2"/>
  <c r="AE437" i="2"/>
  <c r="AA437" i="2"/>
  <c r="X437" i="2"/>
  <c r="AC531" i="2"/>
  <c r="X531" i="2"/>
  <c r="AF324" i="2"/>
  <c r="AE324" i="2"/>
  <c r="AB324" i="2"/>
  <c r="X324" i="2"/>
  <c r="V324" i="2"/>
  <c r="S324" i="2"/>
  <c r="AO248" i="2"/>
  <c r="AP248" i="2"/>
  <c r="X56" i="2"/>
  <c r="P185" i="3" s="1"/>
  <c r="AC94" i="2"/>
  <c r="U99" i="3" s="1"/>
  <c r="V84" i="2"/>
  <c r="N295" i="3" s="1"/>
  <c r="W130" i="2"/>
  <c r="V196" i="2"/>
  <c r="N7" i="3" s="1"/>
  <c r="T186" i="2"/>
  <c r="L186" i="3" s="1"/>
  <c r="AE199" i="2"/>
  <c r="W268" i="3" s="1"/>
  <c r="W184" i="2"/>
  <c r="O133" i="3" s="1"/>
  <c r="V209" i="2"/>
  <c r="N32" i="3" s="1"/>
  <c r="V271" i="2"/>
  <c r="W272" i="2"/>
  <c r="X268" i="2"/>
  <c r="T244" i="2"/>
  <c r="L127" i="3" s="1"/>
  <c r="V300" i="2"/>
  <c r="W302" i="2"/>
  <c r="AG318" i="2"/>
  <c r="AF297" i="2"/>
  <c r="W303" i="2"/>
  <c r="S294" i="2"/>
  <c r="W348" i="2"/>
  <c r="AF323" i="2"/>
  <c r="W325" i="2"/>
  <c r="AC327" i="2"/>
  <c r="T377" i="2"/>
  <c r="V369" i="2"/>
  <c r="AC452" i="2"/>
  <c r="AE452" i="2"/>
  <c r="AB452" i="2"/>
  <c r="V383" i="2"/>
  <c r="T349" i="2"/>
  <c r="AC482" i="2"/>
  <c r="V381" i="2"/>
  <c r="S466" i="2"/>
  <c r="AD448" i="2"/>
  <c r="AG385" i="2"/>
  <c r="Z385" i="2"/>
  <c r="Y385" i="2"/>
  <c r="AC280" i="2"/>
  <c r="AF552" i="2"/>
  <c r="Z552" i="2"/>
  <c r="X552" i="2"/>
  <c r="V552" i="2"/>
  <c r="AG646" i="2"/>
  <c r="AF646" i="2"/>
  <c r="AC646" i="2"/>
  <c r="W646" i="2"/>
  <c r="AC300" i="2"/>
  <c r="X303" i="2"/>
  <c r="T294" i="2"/>
  <c r="AG323" i="2"/>
  <c r="X325" i="2"/>
  <c r="W377" i="2"/>
  <c r="S358" i="2"/>
  <c r="W383" i="2"/>
  <c r="AD374" i="2"/>
  <c r="AB374" i="2"/>
  <c r="AA374" i="2"/>
  <c r="V398" i="2"/>
  <c r="V437" i="2"/>
  <c r="Y381" i="2"/>
  <c r="T466" i="2"/>
  <c r="U466" i="2" s="1"/>
  <c r="AG470" i="2"/>
  <c r="AP187" i="2"/>
  <c r="AR187" i="2" s="1"/>
  <c r="AO187" i="2"/>
  <c r="AN187" i="2"/>
  <c r="AA676" i="2"/>
  <c r="AC676" i="2"/>
  <c r="W676" i="2"/>
  <c r="S676" i="2"/>
  <c r="AE716" i="2"/>
  <c r="AG716" i="2"/>
  <c r="Y716" i="2"/>
  <c r="W716" i="2"/>
  <c r="Z674" i="2"/>
  <c r="AG674" i="2"/>
  <c r="AF674" i="2"/>
  <c r="AE674" i="2"/>
  <c r="Y674" i="2"/>
  <c r="X674" i="2"/>
  <c r="S674" i="2"/>
  <c r="AN205" i="2"/>
  <c r="AD559" i="2"/>
  <c r="AF623" i="2"/>
  <c r="T533" i="2"/>
  <c r="U533" i="2" s="1"/>
  <c r="Z634" i="2"/>
  <c r="S606" i="2"/>
  <c r="AC681" i="2"/>
  <c r="AB684" i="2"/>
  <c r="Y688" i="2"/>
  <c r="AE654" i="2"/>
  <c r="AD711" i="2"/>
  <c r="AG689" i="2"/>
  <c r="T723" i="2"/>
  <c r="AO242" i="2"/>
  <c r="T696" i="2"/>
  <c r="AP247" i="2"/>
  <c r="V715" i="2"/>
  <c r="AK312" i="2"/>
  <c r="X541" i="2"/>
  <c r="W479" i="2"/>
  <c r="W527" i="2"/>
  <c r="AE537" i="2"/>
  <c r="AB499" i="2"/>
  <c r="AB507" i="2"/>
  <c r="AD589" i="2"/>
  <c r="AE579" i="2"/>
  <c r="Z528" i="2"/>
  <c r="AC566" i="2"/>
  <c r="AA520" i="2"/>
  <c r="AD587" i="2"/>
  <c r="AD478" i="2"/>
  <c r="AP205" i="2"/>
  <c r="AF559" i="2"/>
  <c r="Y572" i="2"/>
  <c r="W533" i="2"/>
  <c r="X667" i="2"/>
  <c r="AG595" i="2"/>
  <c r="AB605" i="2"/>
  <c r="S564" i="2"/>
  <c r="Z606" i="2"/>
  <c r="AD650" i="2"/>
  <c r="AC632" i="2"/>
  <c r="AF664" i="2"/>
  <c r="V681" i="2"/>
  <c r="X686" i="2"/>
  <c r="AB723" i="2"/>
  <c r="AP242" i="2"/>
  <c r="AR242" i="2" s="1"/>
  <c r="AM245" i="2"/>
  <c r="AB696" i="2"/>
  <c r="S685" i="2"/>
  <c r="AN247" i="2"/>
  <c r="AD715" i="2"/>
  <c r="AG724" i="2"/>
  <c r="AE701" i="2"/>
  <c r="AO292" i="2"/>
  <c r="AM312" i="2"/>
  <c r="AB541" i="2"/>
  <c r="Y479" i="2"/>
  <c r="Y667" i="2"/>
  <c r="X564" i="2"/>
  <c r="AC606" i="2"/>
  <c r="Z681" i="2"/>
  <c r="Z631" i="2"/>
  <c r="S651" i="2"/>
  <c r="T635" i="2"/>
  <c r="W700" i="2"/>
  <c r="AD723" i="2"/>
  <c r="AD696" i="2"/>
  <c r="W685" i="2"/>
  <c r="AK233" i="2"/>
  <c r="Z725" i="2"/>
  <c r="AF715" i="2"/>
  <c r="Y727" i="2"/>
  <c r="AN292" i="2"/>
  <c r="AE369" i="2"/>
  <c r="AG446" i="2"/>
  <c r="AE449" i="2"/>
  <c r="X442" i="2"/>
  <c r="AD459" i="2"/>
  <c r="AC375" i="2"/>
  <c r="AD464" i="2"/>
  <c r="AC541" i="2"/>
  <c r="AB527" i="2"/>
  <c r="AD507" i="2"/>
  <c r="AD528" i="2"/>
  <c r="AF566" i="2"/>
  <c r="AG520" i="2"/>
  <c r="AG478" i="2"/>
  <c r="AC626" i="2"/>
  <c r="Y533" i="2"/>
  <c r="S664" i="2"/>
  <c r="AB681" i="2"/>
  <c r="AD649" i="2"/>
  <c r="AB631" i="2"/>
  <c r="Y651" i="2"/>
  <c r="AF639" i="2"/>
  <c r="Y635" i="2"/>
  <c r="V518" i="2"/>
  <c r="AO236" i="2"/>
  <c r="Z692" i="2"/>
  <c r="AM222" i="2"/>
  <c r="AF723" i="2"/>
  <c r="AF696" i="2"/>
  <c r="AC685" i="2"/>
  <c r="AM233" i="2"/>
  <c r="AB725" i="2"/>
  <c r="AP285" i="2"/>
  <c r="V701" i="2"/>
  <c r="AP273" i="2"/>
  <c r="AB727" i="2"/>
  <c r="T721" i="2"/>
  <c r="AP292" i="2"/>
  <c r="AR292" i="2" s="1"/>
  <c r="AE432" i="2"/>
  <c r="S457" i="2"/>
  <c r="X494" i="2"/>
  <c r="AE459" i="2"/>
  <c r="Z521" i="2"/>
  <c r="S439" i="2"/>
  <c r="AF503" i="2"/>
  <c r="AE541" i="2"/>
  <c r="AC527" i="2"/>
  <c r="T553" i="2"/>
  <c r="AC504" i="2"/>
  <c r="X537" i="2"/>
  <c r="W509" i="2"/>
  <c r="AE507" i="2"/>
  <c r="V579" i="2"/>
  <c r="AA592" i="2"/>
  <c r="S577" i="2"/>
  <c r="AC533" i="2"/>
  <c r="AB667" i="2"/>
  <c r="AE606" i="2"/>
  <c r="S640" i="2"/>
  <c r="Z565" i="2"/>
  <c r="X628" i="2"/>
  <c r="Z632" i="2"/>
  <c r="T664" i="2"/>
  <c r="AE681" i="2"/>
  <c r="AA635" i="2"/>
  <c r="W518" i="2"/>
  <c r="V703" i="2"/>
  <c r="AE685" i="2"/>
  <c r="AD725" i="2"/>
  <c r="Z701" i="2"/>
  <c r="AO264" i="2"/>
  <c r="V719" i="2"/>
  <c r="AK281" i="2"/>
  <c r="AC727" i="2"/>
  <c r="X721" i="2"/>
  <c r="W423" i="2"/>
  <c r="V457" i="2"/>
  <c r="Y494" i="2"/>
  <c r="AA521" i="2"/>
  <c r="V439" i="2"/>
  <c r="AG541" i="2"/>
  <c r="AC509" i="2"/>
  <c r="AG507" i="2"/>
  <c r="S591" i="2"/>
  <c r="X579" i="2"/>
  <c r="T577" i="2"/>
  <c r="S559" i="2"/>
  <c r="AD533" i="2"/>
  <c r="S530" i="2"/>
  <c r="AC667" i="2"/>
  <c r="AF606" i="2"/>
  <c r="T640" i="2"/>
  <c r="AB561" i="2"/>
  <c r="T630" i="2"/>
  <c r="Y655" i="2"/>
  <c r="V664" i="2"/>
  <c r="AF681" i="2"/>
  <c r="S684" i="2"/>
  <c r="AB635" i="2"/>
  <c r="Y518" i="2"/>
  <c r="AK236" i="2"/>
  <c r="AG685" i="2"/>
  <c r="AO233" i="2"/>
  <c r="AF725" i="2"/>
  <c r="X719" i="2"/>
  <c r="AG727" i="2"/>
  <c r="AF721" i="2"/>
  <c r="AE434" i="2"/>
  <c r="W457" i="2"/>
  <c r="AE443" i="2"/>
  <c r="X464" i="2"/>
  <c r="AB521" i="2"/>
  <c r="W439" i="2"/>
  <c r="AD509" i="2"/>
  <c r="V591" i="2"/>
  <c r="Y579" i="2"/>
  <c r="AC563" i="2"/>
  <c r="AD577" i="2"/>
  <c r="T559" i="2"/>
  <c r="AE533" i="2"/>
  <c r="T530" i="2"/>
  <c r="AD667" i="2"/>
  <c r="S612" i="2"/>
  <c r="V640" i="2"/>
  <c r="AE561" i="2"/>
  <c r="AA630" i="2"/>
  <c r="V643" i="2"/>
  <c r="AC666" i="2"/>
  <c r="AD632" i="2"/>
  <c r="S661" i="2"/>
  <c r="T647" i="2"/>
  <c r="W664" i="2"/>
  <c r="W711" i="2"/>
  <c r="W609" i="2"/>
  <c r="Z518" i="2"/>
  <c r="AA699" i="2"/>
  <c r="Y689" i="2"/>
  <c r="AB703" i="2"/>
  <c r="AG725" i="2"/>
  <c r="AE729" i="2"/>
  <c r="AP267" i="2"/>
  <c r="AM264" i="2"/>
  <c r="Z719" i="2"/>
  <c r="AP276" i="2"/>
  <c r="S449" i="2"/>
  <c r="Y371" i="2"/>
  <c r="X457" i="2"/>
  <c r="T465" i="2"/>
  <c r="AC491" i="2"/>
  <c r="AE517" i="2"/>
  <c r="X439" i="2"/>
  <c r="X543" i="2"/>
  <c r="AF509" i="2"/>
  <c r="S507" i="2"/>
  <c r="Z579" i="2"/>
  <c r="T536" i="2"/>
  <c r="AE626" i="2"/>
  <c r="V559" i="2"/>
  <c r="T623" i="2"/>
  <c r="AE594" i="2"/>
  <c r="V533" i="2"/>
  <c r="AG667" i="2"/>
  <c r="T612" i="2"/>
  <c r="V601" i="2"/>
  <c r="V634" i="2"/>
  <c r="W640" i="2"/>
  <c r="AD630" i="2"/>
  <c r="S650" i="2"/>
  <c r="X637" i="2"/>
  <c r="AF565" i="2"/>
  <c r="W643" i="2"/>
  <c r="AE632" i="2"/>
  <c r="V661" i="2"/>
  <c r="AB636" i="2"/>
  <c r="T603" i="2"/>
  <c r="X664" i="2"/>
  <c r="W684" i="2"/>
  <c r="AB518" i="2"/>
  <c r="AD703" i="2"/>
  <c r="AB687" i="2"/>
  <c r="AB708" i="2"/>
  <c r="V677" i="2"/>
  <c r="T658" i="2"/>
  <c r="AM267" i="2"/>
  <c r="AN264" i="2"/>
  <c r="AB719" i="2"/>
  <c r="AK276" i="2"/>
  <c r="AK338" i="2"/>
  <c r="AK164" i="2"/>
  <c r="J229" i="3" s="1"/>
  <c r="AD489" i="2"/>
  <c r="T434" i="2"/>
  <c r="T449" i="2"/>
  <c r="V330" i="2"/>
  <c r="Z290" i="2"/>
  <c r="Y457" i="2"/>
  <c r="Z428" i="2"/>
  <c r="AB443" i="2"/>
  <c r="S464" i="2"/>
  <c r="V480" i="2"/>
  <c r="Z439" i="2"/>
  <c r="W397" i="2"/>
  <c r="S568" i="2"/>
  <c r="W481" i="2"/>
  <c r="T507" i="2"/>
  <c r="AB579" i="2"/>
  <c r="S602" i="2"/>
  <c r="AC528" i="2"/>
  <c r="W586" i="2"/>
  <c r="S524" i="2"/>
  <c r="AC580" i="2"/>
  <c r="S625" i="2"/>
  <c r="S563" i="2"/>
  <c r="T425" i="2"/>
  <c r="AD640" i="2"/>
  <c r="AG565" i="2"/>
  <c r="AB666" i="2"/>
  <c r="AF632" i="2"/>
  <c r="Y664" i="2"/>
  <c r="X684" i="2"/>
  <c r="Z654" i="2"/>
  <c r="Y711" i="2"/>
  <c r="AG518" i="2"/>
  <c r="AB689" i="2"/>
  <c r="S678" i="2"/>
  <c r="S669" i="2"/>
  <c r="Z718" i="2"/>
  <c r="W729" i="2"/>
  <c r="X677" i="2"/>
  <c r="W705" i="2"/>
  <c r="T679" i="2"/>
  <c r="V658" i="2"/>
  <c r="AO267" i="2"/>
  <c r="AD719" i="2"/>
  <c r="AC697" i="2"/>
  <c r="AM276" i="2"/>
  <c r="T496" i="2"/>
  <c r="T568" i="2"/>
  <c r="S589" i="2"/>
  <c r="AD579" i="2"/>
  <c r="V602" i="2"/>
  <c r="AC539" i="2"/>
  <c r="AB625" i="2"/>
  <c r="T563" i="2"/>
  <c r="V674" i="2"/>
  <c r="Y684" i="2"/>
  <c r="AP229" i="2"/>
  <c r="AR229" i="2" s="1"/>
  <c r="Z711" i="2"/>
  <c r="AD689" i="2"/>
  <c r="AP262" i="2"/>
  <c r="V712" i="2"/>
  <c r="AO276" i="2"/>
  <c r="T714" i="2"/>
  <c r="AP320" i="2"/>
  <c r="F399" i="3"/>
  <c r="X21" i="2"/>
  <c r="P275" i="3" s="1"/>
  <c r="AA21" i="2"/>
  <c r="S275" i="3" s="1"/>
  <c r="Z21" i="2"/>
  <c r="R275" i="3" s="1"/>
  <c r="Y21" i="2"/>
  <c r="Q275" i="3" s="1"/>
  <c r="I6" i="3"/>
  <c r="AE9" i="2"/>
  <c r="W267" i="3" s="1"/>
  <c r="AD9" i="2"/>
  <c r="V267" i="3" s="1"/>
  <c r="Z9" i="2"/>
  <c r="AE5" i="2"/>
  <c r="W176" i="3" s="1"/>
  <c r="AA13" i="2"/>
  <c r="S333" i="3" s="1"/>
  <c r="AG13" i="2"/>
  <c r="Y333" i="3" s="1"/>
  <c r="S13" i="2"/>
  <c r="K333" i="3" s="1"/>
  <c r="AF13" i="2"/>
  <c r="X333" i="3" s="1"/>
  <c r="AB13" i="2"/>
  <c r="T333" i="3" s="1"/>
  <c r="Z13" i="2"/>
  <c r="R333" i="3" s="1"/>
  <c r="Y13" i="2"/>
  <c r="Q333" i="3" s="1"/>
  <c r="X13" i="2"/>
  <c r="P333" i="3" s="1"/>
  <c r="V9" i="2"/>
  <c r="N267" i="3" s="1"/>
  <c r="T13" i="2"/>
  <c r="L333" i="3" s="1"/>
  <c r="S38" i="2"/>
  <c r="K239" i="3" s="1"/>
  <c r="V80" i="2"/>
  <c r="N305" i="3" s="1"/>
  <c r="AA80" i="2"/>
  <c r="S305" i="3" s="1"/>
  <c r="Z80" i="2"/>
  <c r="R305" i="3" s="1"/>
  <c r="AB80" i="2"/>
  <c r="T305" i="3" s="1"/>
  <c r="Z23" i="2"/>
  <c r="R271" i="3" s="1"/>
  <c r="V23" i="2"/>
  <c r="N271" i="3" s="1"/>
  <c r="T23" i="2"/>
  <c r="L271" i="3" s="1"/>
  <c r="AG23" i="2"/>
  <c r="Y271" i="3" s="1"/>
  <c r="AF23" i="2"/>
  <c r="X271" i="3" s="1"/>
  <c r="AE23" i="2"/>
  <c r="W271" i="3" s="1"/>
  <c r="AD23" i="2"/>
  <c r="V271" i="3" s="1"/>
  <c r="AG28" i="2"/>
  <c r="Y293" i="3" s="1"/>
  <c r="AA28" i="2"/>
  <c r="S293" i="3" s="1"/>
  <c r="W33" i="2"/>
  <c r="O93" i="3" s="1"/>
  <c r="V33" i="2"/>
  <c r="N93" i="3" s="1"/>
  <c r="AG33" i="2"/>
  <c r="Y93" i="3" s="1"/>
  <c r="AA33" i="2"/>
  <c r="S93" i="3" s="1"/>
  <c r="AF33" i="2"/>
  <c r="X93" i="3" s="1"/>
  <c r="Z60" i="2"/>
  <c r="R155" i="3" s="1"/>
  <c r="AE60" i="2"/>
  <c r="W155" i="3" s="1"/>
  <c r="AD60" i="2"/>
  <c r="V155" i="3" s="1"/>
  <c r="W60" i="2"/>
  <c r="O155" i="3" s="1"/>
  <c r="V60" i="2"/>
  <c r="N155" i="3" s="1"/>
  <c r="T60" i="2"/>
  <c r="L155" i="3" s="1"/>
  <c r="S60" i="2"/>
  <c r="K155" i="3" s="1"/>
  <c r="AF60" i="2"/>
  <c r="X155" i="3" s="1"/>
  <c r="Y55" i="2"/>
  <c r="S55" i="2"/>
  <c r="AG55" i="2"/>
  <c r="AD55" i="2"/>
  <c r="AC55" i="2"/>
  <c r="AA55" i="2"/>
  <c r="S14" i="3" s="1"/>
  <c r="Z55" i="2"/>
  <c r="R14" i="3" s="1"/>
  <c r="X55" i="2"/>
  <c r="T55" i="2"/>
  <c r="AD42" i="2"/>
  <c r="V149" i="3" s="1"/>
  <c r="AA42" i="2"/>
  <c r="S149" i="3" s="1"/>
  <c r="AC42" i="2"/>
  <c r="U149" i="3" s="1"/>
  <c r="AB42" i="2"/>
  <c r="T149" i="3" s="1"/>
  <c r="Y9" i="2"/>
  <c r="Q267" i="3" s="1"/>
  <c r="T5" i="2"/>
  <c r="L176" i="3" s="1"/>
  <c r="AC13" i="2"/>
  <c r="U333" i="3" s="1"/>
  <c r="S23" i="2"/>
  <c r="K271" i="3" s="1"/>
  <c r="X22" i="2"/>
  <c r="P119" i="3" s="1"/>
  <c r="Z51" i="2"/>
  <c r="R36" i="3" s="1"/>
  <c r="AB51" i="2"/>
  <c r="T36" i="3" s="1"/>
  <c r="AA51" i="2"/>
  <c r="S36" i="3" s="1"/>
  <c r="V5" i="2"/>
  <c r="N176" i="3" s="1"/>
  <c r="AG424" i="2"/>
  <c r="S424" i="2"/>
  <c r="I14" i="3"/>
  <c r="AA6" i="2"/>
  <c r="S130" i="3" s="1"/>
  <c r="Z6" i="2"/>
  <c r="R130" i="3" s="1"/>
  <c r="AD15" i="2"/>
  <c r="V264" i="3" s="1"/>
  <c r="AG15" i="2"/>
  <c r="Y264" i="3" s="1"/>
  <c r="X15" i="2"/>
  <c r="P264" i="3" s="1"/>
  <c r="W15" i="2"/>
  <c r="O264" i="3" s="1"/>
  <c r="V15" i="2"/>
  <c r="N264" i="3" s="1"/>
  <c r="W23" i="2"/>
  <c r="O271" i="3" s="1"/>
  <c r="X32" i="2"/>
  <c r="P90" i="3" s="1"/>
  <c r="AA32" i="2"/>
  <c r="S90" i="3" s="1"/>
  <c r="Z32" i="2"/>
  <c r="R90" i="3" s="1"/>
  <c r="Y32" i="2"/>
  <c r="Q90" i="3" s="1"/>
  <c r="AE13" i="2"/>
  <c r="W333" i="3" s="1"/>
  <c r="AC22" i="2"/>
  <c r="U119" i="3" s="1"/>
  <c r="Y33" i="2"/>
  <c r="Q93" i="3" s="1"/>
  <c r="AA50" i="2"/>
  <c r="AB50" i="2"/>
  <c r="Z50" i="2"/>
  <c r="V50" i="2"/>
  <c r="T50" i="2"/>
  <c r="L6" i="3" s="1"/>
  <c r="AG50" i="2"/>
  <c r="S50" i="2"/>
  <c r="U50" i="2" s="1"/>
  <c r="AF50" i="2"/>
  <c r="AC50" i="2"/>
  <c r="AC60" i="2"/>
  <c r="U155" i="3" s="1"/>
  <c r="W55" i="2"/>
  <c r="AA90" i="2"/>
  <c r="S272" i="3" s="1"/>
  <c r="Y90" i="2"/>
  <c r="Q272" i="3" s="1"/>
  <c r="AG90" i="2"/>
  <c r="Y272" i="3" s="1"/>
  <c r="T90" i="2"/>
  <c r="L272" i="3" s="1"/>
  <c r="S90" i="2"/>
  <c r="K272" i="3" s="1"/>
  <c r="AE90" i="2"/>
  <c r="W272" i="3" s="1"/>
  <c r="AD90" i="2"/>
  <c r="V272" i="3" s="1"/>
  <c r="AC90" i="2"/>
  <c r="U272" i="3" s="1"/>
  <c r="Z90" i="2"/>
  <c r="R272" i="3" s="1"/>
  <c r="AB90" i="2"/>
  <c r="T272" i="3" s="1"/>
  <c r="V90" i="2"/>
  <c r="N272" i="3" s="1"/>
  <c r="W47" i="2"/>
  <c r="O188" i="3" s="1"/>
  <c r="X47" i="2"/>
  <c r="P188" i="3" s="1"/>
  <c r="V47" i="2"/>
  <c r="N188" i="3" s="1"/>
  <c r="AG47" i="2"/>
  <c r="Y188" i="3" s="1"/>
  <c r="AF47" i="2"/>
  <c r="X188" i="3" s="1"/>
  <c r="Y47" i="2"/>
  <c r="Q188" i="3" s="1"/>
  <c r="Y22" i="2"/>
  <c r="Q119" i="3" s="1"/>
  <c r="AG9" i="2"/>
  <c r="AB23" i="2"/>
  <c r="T271" i="3" s="1"/>
  <c r="AC23" i="2"/>
  <c r="U271" i="3" s="1"/>
  <c r="Z25" i="2"/>
  <c r="R44" i="3" s="1"/>
  <c r="AA25" i="2"/>
  <c r="S44" i="3" s="1"/>
  <c r="Z33" i="2"/>
  <c r="R93" i="3" s="1"/>
  <c r="AG60" i="2"/>
  <c r="Y155" i="3" s="1"/>
  <c r="AE55" i="2"/>
  <c r="Z148" i="2"/>
  <c r="R179" i="3" s="1"/>
  <c r="AA148" i="2"/>
  <c r="S179" i="3" s="1"/>
  <c r="AG148" i="2"/>
  <c r="Y179" i="3" s="1"/>
  <c r="AB148" i="2"/>
  <c r="T179" i="3" s="1"/>
  <c r="AE4" i="2"/>
  <c r="W325" i="3" s="1"/>
  <c r="W4" i="2"/>
  <c r="O325" i="3" s="1"/>
  <c r="I2" i="3"/>
  <c r="X2" i="2"/>
  <c r="P263" i="3" s="1"/>
  <c r="X5" i="2"/>
  <c r="P176" i="3" s="1"/>
  <c r="I10" i="3"/>
  <c r="AC8" i="2"/>
  <c r="W8" i="2"/>
  <c r="V8" i="2"/>
  <c r="T8" i="2"/>
  <c r="L10" i="3" s="1"/>
  <c r="AB18" i="2"/>
  <c r="T213" i="3" s="1"/>
  <c r="AE18" i="2"/>
  <c r="W213" i="3" s="1"/>
  <c r="AD18" i="2"/>
  <c r="V213" i="3" s="1"/>
  <c r="X18" i="2"/>
  <c r="P213" i="3" s="1"/>
  <c r="W18" i="2"/>
  <c r="O213" i="3" s="1"/>
  <c r="T18" i="2"/>
  <c r="V18" i="2"/>
  <c r="N213" i="3" s="1"/>
  <c r="AG40" i="2"/>
  <c r="Y39" i="3" s="1"/>
  <c r="AA40" i="2"/>
  <c r="S39" i="3" s="1"/>
  <c r="Z40" i="2"/>
  <c r="R39" i="3" s="1"/>
  <c r="Y40" i="2"/>
  <c r="Q39" i="3" s="1"/>
  <c r="W40" i="2"/>
  <c r="O39" i="3" s="1"/>
  <c r="W50" i="2"/>
  <c r="AF55" i="2"/>
  <c r="AB71" i="2"/>
  <c r="T3" i="3" s="1"/>
  <c r="T71" i="2"/>
  <c r="L3" i="3" s="1"/>
  <c r="AF71" i="2"/>
  <c r="X3" i="3" s="1"/>
  <c r="AE71" i="2"/>
  <c r="W3" i="3" s="1"/>
  <c r="AD71" i="2"/>
  <c r="V3" i="3" s="1"/>
  <c r="Z71" i="2"/>
  <c r="R3" i="3" s="1"/>
  <c r="Y71" i="2"/>
  <c r="Q3" i="3" s="1"/>
  <c r="W71" i="2"/>
  <c r="O3" i="3" s="1"/>
  <c r="S71" i="2"/>
  <c r="K3" i="3" s="1"/>
  <c r="V71" i="2"/>
  <c r="N3" i="3" s="1"/>
  <c r="AG71" i="2"/>
  <c r="Y3" i="3" s="1"/>
  <c r="W90" i="2"/>
  <c r="O272" i="3" s="1"/>
  <c r="Z47" i="2"/>
  <c r="R188" i="3" s="1"/>
  <c r="W5" i="2"/>
  <c r="O176" i="3" s="1"/>
  <c r="AE14" i="2"/>
  <c r="W326" i="3" s="1"/>
  <c r="AG14" i="2"/>
  <c r="Y326" i="3" s="1"/>
  <c r="Z14" i="2"/>
  <c r="R326" i="3" s="1"/>
  <c r="Y14" i="2"/>
  <c r="Q326" i="3" s="1"/>
  <c r="X14" i="2"/>
  <c r="P326" i="3" s="1"/>
  <c r="Y15" i="2"/>
  <c r="Q264" i="3" s="1"/>
  <c r="X4" i="2"/>
  <c r="P325" i="3" s="1"/>
  <c r="Z5" i="2"/>
  <c r="R176" i="3" s="1"/>
  <c r="Z15" i="2"/>
  <c r="R264" i="3" s="1"/>
  <c r="Y2" i="2"/>
  <c r="Q263" i="3" s="1"/>
  <c r="Y4" i="2"/>
  <c r="Q325" i="3" s="1"/>
  <c r="AC5" i="2"/>
  <c r="U176" i="3" s="1"/>
  <c r="S8" i="2"/>
  <c r="AF10" i="2"/>
  <c r="Y10" i="2"/>
  <c r="Q2" i="3" s="1"/>
  <c r="Z10" i="2"/>
  <c r="R2" i="3" s="1"/>
  <c r="W14" i="2"/>
  <c r="O326" i="3" s="1"/>
  <c r="AF15" i="2"/>
  <c r="X264" i="3" s="1"/>
  <c r="X50" i="2"/>
  <c r="P6" i="3" s="1"/>
  <c r="Y54" i="2"/>
  <c r="Q147" i="3" s="1"/>
  <c r="W54" i="2"/>
  <c r="O147" i="3" s="1"/>
  <c r="V54" i="2"/>
  <c r="N147" i="3" s="1"/>
  <c r="AG54" i="2"/>
  <c r="Y147" i="3" s="1"/>
  <c r="AF54" i="2"/>
  <c r="X147" i="3" s="1"/>
  <c r="X54" i="2"/>
  <c r="P147" i="3" s="1"/>
  <c r="X90" i="2"/>
  <c r="P272" i="3" s="1"/>
  <c r="AA47" i="2"/>
  <c r="S188" i="3" s="1"/>
  <c r="AE22" i="2"/>
  <c r="W119" i="3" s="1"/>
  <c r="AF22" i="2"/>
  <c r="X119" i="3" s="1"/>
  <c r="AD22" i="2"/>
  <c r="V119" i="3" s="1"/>
  <c r="W22" i="2"/>
  <c r="O119" i="3" s="1"/>
  <c r="V22" i="2"/>
  <c r="N119" i="3" s="1"/>
  <c r="S22" i="2"/>
  <c r="K119" i="3" s="1"/>
  <c r="T22" i="2"/>
  <c r="L119" i="3" s="1"/>
  <c r="W91" i="2"/>
  <c r="O41" i="3" s="1"/>
  <c r="Z91" i="2"/>
  <c r="R41" i="3" s="1"/>
  <c r="AB91" i="2"/>
  <c r="T41" i="3" s="1"/>
  <c r="AA91" i="2"/>
  <c r="S41" i="3" s="1"/>
  <c r="Y91" i="2"/>
  <c r="Q41" i="3" s="1"/>
  <c r="X91" i="2"/>
  <c r="P41" i="3" s="1"/>
  <c r="AF90" i="2"/>
  <c r="X272" i="3" s="1"/>
  <c r="T121" i="2"/>
  <c r="L68" i="3" s="1"/>
  <c r="S121" i="2"/>
  <c r="K68" i="3" s="1"/>
  <c r="AE121" i="2"/>
  <c r="W68" i="3" s="1"/>
  <c r="Y121" i="2"/>
  <c r="Q68" i="3" s="1"/>
  <c r="AD359" i="2"/>
  <c r="AF359" i="2"/>
  <c r="AE359" i="2"/>
  <c r="AC359" i="2"/>
  <c r="AB359" i="2"/>
  <c r="Y359" i="2"/>
  <c r="X359" i="2"/>
  <c r="W359" i="2"/>
  <c r="V359" i="2"/>
  <c r="S359" i="2"/>
  <c r="AG359" i="2"/>
  <c r="AB662" i="2"/>
  <c r="W662" i="2"/>
  <c r="AE662" i="2"/>
  <c r="AG662" i="2"/>
  <c r="AD662" i="2"/>
  <c r="Z662" i="2"/>
  <c r="Y662" i="2"/>
  <c r="AE38" i="2"/>
  <c r="W239" i="3" s="1"/>
  <c r="AG38" i="2"/>
  <c r="Y239" i="3" s="1"/>
  <c r="AF38" i="2"/>
  <c r="X239" i="3" s="1"/>
  <c r="X38" i="2"/>
  <c r="P239" i="3" s="1"/>
  <c r="W38" i="2"/>
  <c r="O239" i="3" s="1"/>
  <c r="V38" i="2"/>
  <c r="N239" i="3" s="1"/>
  <c r="T38" i="2"/>
  <c r="L239" i="3" s="1"/>
  <c r="AD50" i="2"/>
  <c r="AF72" i="2"/>
  <c r="X276" i="3" s="1"/>
  <c r="AG72" i="2"/>
  <c r="Y276" i="3" s="1"/>
  <c r="AA72" i="2"/>
  <c r="S276" i="3" s="1"/>
  <c r="Z72" i="2"/>
  <c r="R276" i="3" s="1"/>
  <c r="W72" i="2"/>
  <c r="O276" i="3" s="1"/>
  <c r="V72" i="2"/>
  <c r="N276" i="3" s="1"/>
  <c r="AA106" i="2"/>
  <c r="S95" i="3" s="1"/>
  <c r="X106" i="2"/>
  <c r="P95" i="3" s="1"/>
  <c r="AF106" i="2"/>
  <c r="X95" i="3" s="1"/>
  <c r="AC106" i="2"/>
  <c r="U95" i="3" s="1"/>
  <c r="AB106" i="2"/>
  <c r="T95" i="3" s="1"/>
  <c r="Z106" i="2"/>
  <c r="R95" i="3" s="1"/>
  <c r="W106" i="2"/>
  <c r="O95" i="3" s="1"/>
  <c r="V106" i="2"/>
  <c r="N95" i="3" s="1"/>
  <c r="T106" i="2"/>
  <c r="L95" i="3" s="1"/>
  <c r="S106" i="2"/>
  <c r="K95" i="3" s="1"/>
  <c r="AD106" i="2"/>
  <c r="V95" i="3" s="1"/>
  <c r="AB5" i="2"/>
  <c r="T176" i="3" s="1"/>
  <c r="Y5" i="2"/>
  <c r="Q176" i="3" s="1"/>
  <c r="S5" i="2"/>
  <c r="K176" i="3" s="1"/>
  <c r="AG5" i="2"/>
  <c r="Y176" i="3" s="1"/>
  <c r="AF5" i="2"/>
  <c r="X176" i="3" s="1"/>
  <c r="AG12" i="2"/>
  <c r="Y217" i="3" s="1"/>
  <c r="Z12" i="2"/>
  <c r="R217" i="3" s="1"/>
  <c r="Y12" i="2"/>
  <c r="Q217" i="3" s="1"/>
  <c r="AE50" i="2"/>
  <c r="T58" i="2"/>
  <c r="L60" i="3" s="1"/>
  <c r="S58" i="2"/>
  <c r="K60" i="3" s="1"/>
  <c r="AG58" i="2"/>
  <c r="Y60" i="3" s="1"/>
  <c r="AF58" i="2"/>
  <c r="X60" i="3" s="1"/>
  <c r="AD58" i="2"/>
  <c r="V60" i="3" s="1"/>
  <c r="AE58" i="2"/>
  <c r="W60" i="3" s="1"/>
  <c r="V58" i="2"/>
  <c r="N60" i="3" s="1"/>
  <c r="AG37" i="2"/>
  <c r="Y64" i="3" s="1"/>
  <c r="Y45" i="2"/>
  <c r="Q235" i="3" s="1"/>
  <c r="AD63" i="2"/>
  <c r="V214" i="3" s="1"/>
  <c r="Z43" i="2"/>
  <c r="R334" i="3" s="1"/>
  <c r="X71" i="2"/>
  <c r="P3" i="3" s="1"/>
  <c r="AE110" i="2"/>
  <c r="W157" i="3" s="1"/>
  <c r="W67" i="2"/>
  <c r="O94" i="3" s="1"/>
  <c r="AB142" i="2"/>
  <c r="T182" i="3" s="1"/>
  <c r="Z142" i="2"/>
  <c r="R182" i="3" s="1"/>
  <c r="T142" i="2"/>
  <c r="Y105" i="2"/>
  <c r="Q215" i="3" s="1"/>
  <c r="V78" i="2"/>
  <c r="N330" i="3" s="1"/>
  <c r="AD78" i="2"/>
  <c r="V330" i="3" s="1"/>
  <c r="Y129" i="2"/>
  <c r="Q17" i="3" s="1"/>
  <c r="AF115" i="2"/>
  <c r="X128" i="3" s="1"/>
  <c r="W115" i="2"/>
  <c r="O128" i="3" s="1"/>
  <c r="Y116" i="2"/>
  <c r="W116" i="2"/>
  <c r="AB102" i="2"/>
  <c r="T159" i="3" s="1"/>
  <c r="AE102" i="2"/>
  <c r="W159" i="3" s="1"/>
  <c r="X102" i="2"/>
  <c r="P159" i="3" s="1"/>
  <c r="W102" i="2"/>
  <c r="O159" i="3" s="1"/>
  <c r="AB139" i="2"/>
  <c r="T61" i="3" s="1"/>
  <c r="X139" i="2"/>
  <c r="P61" i="3" s="1"/>
  <c r="S140" i="2"/>
  <c r="K208" i="3" s="1"/>
  <c r="AF140" i="2"/>
  <c r="X208" i="3" s="1"/>
  <c r="AE140" i="2"/>
  <c r="W208" i="3" s="1"/>
  <c r="AA151" i="2"/>
  <c r="T151" i="2"/>
  <c r="AD151" i="2"/>
  <c r="AC151" i="2"/>
  <c r="AB151" i="2"/>
  <c r="Z151" i="2"/>
  <c r="AE362" i="2"/>
  <c r="AG362" i="2"/>
  <c r="AF362" i="2"/>
  <c r="Z362" i="2"/>
  <c r="Y362" i="2"/>
  <c r="X362" i="2"/>
  <c r="W362" i="2"/>
  <c r="V362" i="2"/>
  <c r="Z79" i="2"/>
  <c r="R126" i="3" s="1"/>
  <c r="AA79" i="2"/>
  <c r="S126" i="3" s="1"/>
  <c r="Y79" i="2"/>
  <c r="Q126" i="3" s="1"/>
  <c r="AB162" i="2"/>
  <c r="Z162" i="2"/>
  <c r="Y162" i="2"/>
  <c r="AG165" i="2"/>
  <c r="Y96" i="3" s="1"/>
  <c r="AF165" i="2"/>
  <c r="X96" i="3" s="1"/>
  <c r="Z165" i="2"/>
  <c r="R96" i="3" s="1"/>
  <c r="T37" i="2"/>
  <c r="L64" i="3" s="1"/>
  <c r="W39" i="2"/>
  <c r="O210" i="3" s="1"/>
  <c r="AD67" i="2"/>
  <c r="V94" i="3" s="1"/>
  <c r="AF129" i="2"/>
  <c r="X17" i="3" s="1"/>
  <c r="X120" i="2"/>
  <c r="P178" i="3" s="1"/>
  <c r="AB120" i="2"/>
  <c r="T178" i="3" s="1"/>
  <c r="AA120" i="2"/>
  <c r="S178" i="3" s="1"/>
  <c r="AD246" i="2"/>
  <c r="V74" i="3" s="1"/>
  <c r="AG246" i="2"/>
  <c r="Y74" i="3" s="1"/>
  <c r="AB246" i="2"/>
  <c r="T74" i="3" s="1"/>
  <c r="Z246" i="2"/>
  <c r="R74" i="3" s="1"/>
  <c r="Y246" i="2"/>
  <c r="Q74" i="3" s="1"/>
  <c r="AF337" i="2"/>
  <c r="W337" i="2"/>
  <c r="AG337" i="2"/>
  <c r="Y337" i="2"/>
  <c r="X337" i="2"/>
  <c r="AB45" i="2"/>
  <c r="T235" i="3" s="1"/>
  <c r="AB35" i="2"/>
  <c r="T321" i="3" s="1"/>
  <c r="X17" i="2"/>
  <c r="P43" i="3" s="1"/>
  <c r="Z20" i="2"/>
  <c r="R73" i="3" s="1"/>
  <c r="AF31" i="2"/>
  <c r="X236" i="3" s="1"/>
  <c r="Y36" i="2"/>
  <c r="Q122" i="3" s="1"/>
  <c r="AA34" i="2"/>
  <c r="S72" i="3" s="1"/>
  <c r="V37" i="2"/>
  <c r="N64" i="3" s="1"/>
  <c r="Y39" i="2"/>
  <c r="Q210" i="3" s="1"/>
  <c r="AG45" i="2"/>
  <c r="Y235" i="3" s="1"/>
  <c r="Y53" i="2"/>
  <c r="Q329" i="3" s="1"/>
  <c r="X66" i="2"/>
  <c r="P297" i="3" s="1"/>
  <c r="Y68" i="2"/>
  <c r="Q45" i="3" s="1"/>
  <c r="AF57" i="2"/>
  <c r="X98" i="3" s="1"/>
  <c r="X57" i="2"/>
  <c r="P98" i="3" s="1"/>
  <c r="W142" i="2"/>
  <c r="O182" i="3" s="1"/>
  <c r="AE105" i="2"/>
  <c r="W215" i="3" s="1"/>
  <c r="S79" i="2"/>
  <c r="K126" i="3" s="1"/>
  <c r="AA78" i="2"/>
  <c r="S330" i="3" s="1"/>
  <c r="Z115" i="2"/>
  <c r="R128" i="3" s="1"/>
  <c r="V123" i="2"/>
  <c r="Z116" i="2"/>
  <c r="V102" i="2"/>
  <c r="N159" i="3" s="1"/>
  <c r="AA139" i="2"/>
  <c r="S61" i="3" s="1"/>
  <c r="Y140" i="2"/>
  <c r="Q208" i="3" s="1"/>
  <c r="X162" i="2"/>
  <c r="AC155" i="2"/>
  <c r="S165" i="2"/>
  <c r="K96" i="3" s="1"/>
  <c r="W151" i="2"/>
  <c r="AD156" i="2"/>
  <c r="V306" i="3" s="1"/>
  <c r="AB156" i="2"/>
  <c r="T306" i="3" s="1"/>
  <c r="Y156" i="2"/>
  <c r="Q306" i="3" s="1"/>
  <c r="X156" i="2"/>
  <c r="P306" i="3" s="1"/>
  <c r="T156" i="2"/>
  <c r="L306" i="3" s="1"/>
  <c r="S156" i="2"/>
  <c r="K306" i="3" s="1"/>
  <c r="Y194" i="2"/>
  <c r="Q38" i="3" s="1"/>
  <c r="Z194" i="2"/>
  <c r="R38" i="3" s="1"/>
  <c r="T194" i="2"/>
  <c r="L38" i="3" s="1"/>
  <c r="AA172" i="2"/>
  <c r="S307" i="3" s="1"/>
  <c r="T172" i="2"/>
  <c r="L307" i="3" s="1"/>
  <c r="AG172" i="2"/>
  <c r="Y307" i="3" s="1"/>
  <c r="S172" i="2"/>
  <c r="K307" i="3" s="1"/>
  <c r="AF172" i="2"/>
  <c r="X307" i="3" s="1"/>
  <c r="AD172" i="2"/>
  <c r="V307" i="3" s="1"/>
  <c r="AC172" i="2"/>
  <c r="U307" i="3" s="1"/>
  <c r="AB172" i="2"/>
  <c r="T307" i="3" s="1"/>
  <c r="Z172" i="2"/>
  <c r="R307" i="3" s="1"/>
  <c r="AD191" i="2"/>
  <c r="AG191" i="2"/>
  <c r="AF191" i="2"/>
  <c r="AE191" i="2"/>
  <c r="AB191" i="2"/>
  <c r="Z191" i="2"/>
  <c r="Y191" i="2"/>
  <c r="X191" i="2"/>
  <c r="W191" i="2"/>
  <c r="V191" i="2"/>
  <c r="AB231" i="2"/>
  <c r="AF231" i="2"/>
  <c r="AE231" i="2"/>
  <c r="AD231" i="2"/>
  <c r="AC231" i="2"/>
  <c r="Z231" i="2"/>
  <c r="Y231" i="2"/>
  <c r="W231" i="2"/>
  <c r="V231" i="2"/>
  <c r="T231" i="2"/>
  <c r="S231" i="2"/>
  <c r="AB223" i="2"/>
  <c r="Y223" i="2"/>
  <c r="Y83" i="2"/>
  <c r="Q46" i="3" s="1"/>
  <c r="Z83" i="2"/>
  <c r="R46" i="3" s="1"/>
  <c r="T62" i="2"/>
  <c r="L219" i="3" s="1"/>
  <c r="Z62" i="2"/>
  <c r="R219" i="3" s="1"/>
  <c r="AB7" i="2"/>
  <c r="T11" i="3" s="1"/>
  <c r="AG16" i="2"/>
  <c r="Y153" i="3" s="1"/>
  <c r="AC7" i="2"/>
  <c r="U11" i="3" s="1"/>
  <c r="T16" i="2"/>
  <c r="L153" i="3" s="1"/>
  <c r="AA20" i="2"/>
  <c r="S73" i="3" s="1"/>
  <c r="AG31" i="2"/>
  <c r="Y236" i="3" s="1"/>
  <c r="AA29" i="2"/>
  <c r="S152" i="3" s="1"/>
  <c r="Z36" i="2"/>
  <c r="R122" i="3" s="1"/>
  <c r="AG34" i="2"/>
  <c r="Y72" i="3" s="1"/>
  <c r="AF59" i="2"/>
  <c r="X304" i="3" s="1"/>
  <c r="W37" i="2"/>
  <c r="O64" i="3" s="1"/>
  <c r="Z39" i="2"/>
  <c r="R210" i="3" s="1"/>
  <c r="X46" i="2"/>
  <c r="P37" i="3" s="1"/>
  <c r="AF56" i="2"/>
  <c r="X185" i="3" s="1"/>
  <c r="Y66" i="2"/>
  <c r="Q297" i="3" s="1"/>
  <c r="Z68" i="2"/>
  <c r="R45" i="3" s="1"/>
  <c r="AA83" i="2"/>
  <c r="S46" i="3" s="1"/>
  <c r="X62" i="2"/>
  <c r="P219" i="3" s="1"/>
  <c r="AC114" i="2"/>
  <c r="U35" i="3" s="1"/>
  <c r="Y44" i="2"/>
  <c r="Q292" i="3" s="1"/>
  <c r="X142" i="2"/>
  <c r="P182" i="3" s="1"/>
  <c r="AF105" i="2"/>
  <c r="X215" i="3" s="1"/>
  <c r="T79" i="2"/>
  <c r="L126" i="3" s="1"/>
  <c r="AA115" i="2"/>
  <c r="S128" i="3" s="1"/>
  <c r="X123" i="2"/>
  <c r="AA116" i="2"/>
  <c r="Y120" i="2"/>
  <c r="Q178" i="3" s="1"/>
  <c r="Y102" i="2"/>
  <c r="Q159" i="3" s="1"/>
  <c r="AD139" i="2"/>
  <c r="V61" i="3" s="1"/>
  <c r="Z140" i="2"/>
  <c r="R208" i="3" s="1"/>
  <c r="AA162" i="2"/>
  <c r="AD155" i="2"/>
  <c r="AA127" i="2"/>
  <c r="T127" i="2"/>
  <c r="AC127" i="2"/>
  <c r="AB127" i="2"/>
  <c r="V165" i="2"/>
  <c r="N96" i="3" s="1"/>
  <c r="X151" i="2"/>
  <c r="AB195" i="2"/>
  <c r="T132" i="3" s="1"/>
  <c r="AF195" i="2"/>
  <c r="X132" i="3" s="1"/>
  <c r="AD195" i="2"/>
  <c r="V132" i="3" s="1"/>
  <c r="AC195" i="2"/>
  <c r="U132" i="3" s="1"/>
  <c r="Y195" i="2"/>
  <c r="Q132" i="3" s="1"/>
  <c r="X195" i="2"/>
  <c r="P132" i="3" s="1"/>
  <c r="W195" i="2"/>
  <c r="O132" i="3" s="1"/>
  <c r="V195" i="2"/>
  <c r="N132" i="3" s="1"/>
  <c r="AA219" i="2"/>
  <c r="Z219" i="2"/>
  <c r="Y219" i="2"/>
  <c r="X219" i="2"/>
  <c r="V219" i="2"/>
  <c r="T219" i="2"/>
  <c r="AG219" i="2"/>
  <c r="S219" i="2"/>
  <c r="AF219" i="2"/>
  <c r="AA189" i="2"/>
  <c r="Z189" i="2"/>
  <c r="Y189" i="2"/>
  <c r="V189" i="2"/>
  <c r="AF246" i="2"/>
  <c r="X74" i="3" s="1"/>
  <c r="AD211" i="2"/>
  <c r="V207" i="3" s="1"/>
  <c r="AG211" i="2"/>
  <c r="Y207" i="3" s="1"/>
  <c r="AF211" i="2"/>
  <c r="X207" i="3" s="1"/>
  <c r="AE211" i="2"/>
  <c r="W207" i="3" s="1"/>
  <c r="AB211" i="2"/>
  <c r="T207" i="3" s="1"/>
  <c r="Z211" i="2"/>
  <c r="R207" i="3" s="1"/>
  <c r="Y211" i="2"/>
  <c r="Q207" i="3" s="1"/>
  <c r="X211" i="2"/>
  <c r="P207" i="3" s="1"/>
  <c r="W211" i="2"/>
  <c r="O207" i="3" s="1"/>
  <c r="X37" i="2"/>
  <c r="P64" i="3" s="1"/>
  <c r="AA39" i="2"/>
  <c r="S210" i="3" s="1"/>
  <c r="Y46" i="2"/>
  <c r="Q37" i="3" s="1"/>
  <c r="S45" i="2"/>
  <c r="K235" i="3" s="1"/>
  <c r="V63" i="2"/>
  <c r="N214" i="3" s="1"/>
  <c r="Y62" i="2"/>
  <c r="Q219" i="3" s="1"/>
  <c r="Z44" i="2"/>
  <c r="R292" i="3" s="1"/>
  <c r="Y142" i="2"/>
  <c r="Q182" i="3" s="1"/>
  <c r="V79" i="2"/>
  <c r="N126" i="3" s="1"/>
  <c r="AG115" i="2"/>
  <c r="Y128" i="3" s="1"/>
  <c r="AA123" i="2"/>
  <c r="AD116" i="2"/>
  <c r="Z120" i="2"/>
  <c r="R178" i="3" s="1"/>
  <c r="Z102" i="2"/>
  <c r="R159" i="3" s="1"/>
  <c r="AA169" i="2"/>
  <c r="S269" i="3" s="1"/>
  <c r="AG169" i="2"/>
  <c r="Y269" i="3" s="1"/>
  <c r="S169" i="2"/>
  <c r="K269" i="3" s="1"/>
  <c r="AB169" i="2"/>
  <c r="T269" i="3" s="1"/>
  <c r="Z169" i="2"/>
  <c r="R269" i="3" s="1"/>
  <c r="AD140" i="2"/>
  <c r="V208" i="3" s="1"/>
  <c r="AD162" i="2"/>
  <c r="W165" i="2"/>
  <c r="O96" i="3" s="1"/>
  <c r="AB239" i="2"/>
  <c r="AG239" i="2"/>
  <c r="AF239" i="2"/>
  <c r="AD239" i="2"/>
  <c r="Z239" i="2"/>
  <c r="AA304" i="2"/>
  <c r="S13" i="3" s="1"/>
  <c r="AD304" i="2"/>
  <c r="V13" i="3" s="1"/>
  <c r="AC304" i="2"/>
  <c r="U13" i="3" s="1"/>
  <c r="AB304" i="2"/>
  <c r="T13" i="3" s="1"/>
  <c r="Z304" i="2"/>
  <c r="R13" i="3" s="1"/>
  <c r="Y304" i="2"/>
  <c r="Q13" i="3" s="1"/>
  <c r="X304" i="2"/>
  <c r="P13" i="3" s="1"/>
  <c r="W304" i="2"/>
  <c r="O13" i="3" s="1"/>
  <c r="V304" i="2"/>
  <c r="N13" i="3" s="1"/>
  <c r="T304" i="2"/>
  <c r="L13" i="3" s="1"/>
  <c r="AG304" i="2"/>
  <c r="Y13" i="3" s="1"/>
  <c r="S304" i="2"/>
  <c r="K13" i="3" s="1"/>
  <c r="AD254" i="2"/>
  <c r="AC254" i="2"/>
  <c r="AB254" i="2"/>
  <c r="AA254" i="2"/>
  <c r="Z254" i="2"/>
  <c r="T254" i="2"/>
  <c r="S254" i="2"/>
  <c r="U254" i="2" s="1"/>
  <c r="AF331" i="2"/>
  <c r="AG331" i="2"/>
  <c r="Y331" i="2"/>
  <c r="X331" i="2"/>
  <c r="W331" i="2"/>
  <c r="AC319" i="2"/>
  <c r="U66" i="3" s="1"/>
  <c r="AG319" i="2"/>
  <c r="Y66" i="3" s="1"/>
  <c r="AF319" i="2"/>
  <c r="X66" i="3" s="1"/>
  <c r="AE319" i="2"/>
  <c r="W66" i="3" s="1"/>
  <c r="AD319" i="2"/>
  <c r="V66" i="3" s="1"/>
  <c r="X319" i="2"/>
  <c r="P66" i="3" s="1"/>
  <c r="W319" i="2"/>
  <c r="O66" i="3" s="1"/>
  <c r="V319" i="2"/>
  <c r="N66" i="3" s="1"/>
  <c r="T319" i="2"/>
  <c r="L66" i="3" s="1"/>
  <c r="AA213" i="2"/>
  <c r="AC213" i="2"/>
  <c r="AE213" i="2"/>
  <c r="AD213" i="2"/>
  <c r="AB213" i="2"/>
  <c r="Z213" i="2"/>
  <c r="Y213" i="2"/>
  <c r="X213" i="2"/>
  <c r="W213" i="2"/>
  <c r="V213" i="2"/>
  <c r="T213" i="2"/>
  <c r="S213" i="2"/>
  <c r="AG317" i="2"/>
  <c r="Y317" i="2"/>
  <c r="AB317" i="2"/>
  <c r="Z317" i="2"/>
  <c r="X317" i="2"/>
  <c r="AB284" i="2"/>
  <c r="AA284" i="2"/>
  <c r="U65" i="2"/>
  <c r="M218" i="3" s="1"/>
  <c r="AA62" i="2"/>
  <c r="S219" i="3" s="1"/>
  <c r="T47" i="2"/>
  <c r="L188" i="3" s="1"/>
  <c r="AC80" i="2"/>
  <c r="U305" i="3" s="1"/>
  <c r="AC74" i="2"/>
  <c r="U89" i="3" s="1"/>
  <c r="S74" i="2"/>
  <c r="K89" i="3" s="1"/>
  <c r="AA105" i="2"/>
  <c r="S215" i="3" s="1"/>
  <c r="AD105" i="2"/>
  <c r="V215" i="3" s="1"/>
  <c r="X105" i="2"/>
  <c r="P215" i="3" s="1"/>
  <c r="W105" i="2"/>
  <c r="O215" i="3" s="1"/>
  <c r="W79" i="2"/>
  <c r="O126" i="3" s="1"/>
  <c r="V129" i="2"/>
  <c r="N17" i="3" s="1"/>
  <c r="AE129" i="2"/>
  <c r="W17" i="3" s="1"/>
  <c r="AC129" i="2"/>
  <c r="U17" i="3" s="1"/>
  <c r="AF123" i="2"/>
  <c r="X165" i="2"/>
  <c r="P96" i="3" s="1"/>
  <c r="Z163" i="2"/>
  <c r="R70" i="3" s="1"/>
  <c r="AB163" i="2"/>
  <c r="T70" i="3" s="1"/>
  <c r="AA163" i="2"/>
  <c r="S70" i="3" s="1"/>
  <c r="AG200" i="2"/>
  <c r="Y65" i="3" s="1"/>
  <c r="AF200" i="2"/>
  <c r="X65" i="3" s="1"/>
  <c r="Z200" i="2"/>
  <c r="R65" i="3" s="1"/>
  <c r="Y200" i="2"/>
  <c r="Q65" i="3" s="1"/>
  <c r="Z253" i="2"/>
  <c r="AC253" i="2"/>
  <c r="AB253" i="2"/>
  <c r="AA253" i="2"/>
  <c r="AC255" i="2"/>
  <c r="AE255" i="2"/>
  <c r="AG255" i="2"/>
  <c r="AF255" i="2"/>
  <c r="AD255" i="2"/>
  <c r="X255" i="2"/>
  <c r="W255" i="2"/>
  <c r="V255" i="2"/>
  <c r="T255" i="2"/>
  <c r="Z220" i="2"/>
  <c r="AD220" i="2"/>
  <c r="AC220" i="2"/>
  <c r="AB220" i="2"/>
  <c r="AA220" i="2"/>
  <c r="AA113" i="2"/>
  <c r="S273" i="3" s="1"/>
  <c r="AB113" i="2"/>
  <c r="T273" i="3" s="1"/>
  <c r="V67" i="2"/>
  <c r="N94" i="3" s="1"/>
  <c r="AG67" i="2"/>
  <c r="Y94" i="3" s="1"/>
  <c r="AF67" i="2"/>
  <c r="X94" i="3" s="1"/>
  <c r="AD79" i="2"/>
  <c r="V126" i="3" s="1"/>
  <c r="W197" i="2"/>
  <c r="O156" i="3" s="1"/>
  <c r="Z197" i="2"/>
  <c r="R156" i="3" s="1"/>
  <c r="Y197" i="2"/>
  <c r="Q156" i="3" s="1"/>
  <c r="X197" i="2"/>
  <c r="P156" i="3" s="1"/>
  <c r="T197" i="2"/>
  <c r="L156" i="3" s="1"/>
  <c r="AB170" i="2"/>
  <c r="T150" i="3" s="1"/>
  <c r="AD170" i="2"/>
  <c r="V150" i="3" s="1"/>
  <c r="AA170" i="2"/>
  <c r="S150" i="3" s="1"/>
  <c r="Z170" i="2"/>
  <c r="R150" i="3" s="1"/>
  <c r="W170" i="2"/>
  <c r="O150" i="3" s="1"/>
  <c r="AG291" i="2"/>
  <c r="AB291" i="2"/>
  <c r="Z291" i="2"/>
  <c r="Y291" i="2"/>
  <c r="X16" i="2"/>
  <c r="P153" i="3" s="1"/>
  <c r="AG36" i="2"/>
  <c r="Y122" i="3" s="1"/>
  <c r="X30" i="2"/>
  <c r="P209" i="3" s="1"/>
  <c r="AE37" i="2"/>
  <c r="W64" i="3" s="1"/>
  <c r="Z64" i="2"/>
  <c r="R181" i="3" s="1"/>
  <c r="W45" i="2"/>
  <c r="O235" i="3" s="1"/>
  <c r="Y63" i="2"/>
  <c r="Q214" i="3" s="1"/>
  <c r="AE66" i="2"/>
  <c r="W297" i="3" s="1"/>
  <c r="AB108" i="2"/>
  <c r="T97" i="3" s="1"/>
  <c r="AC109" i="2"/>
  <c r="U123" i="3" s="1"/>
  <c r="AB81" i="2"/>
  <c r="T265" i="3" s="1"/>
  <c r="Z81" i="2"/>
  <c r="R265" i="3" s="1"/>
  <c r="Z77" i="2"/>
  <c r="R15" i="3" s="1"/>
  <c r="AC77" i="2"/>
  <c r="U15" i="3" s="1"/>
  <c r="T77" i="2"/>
  <c r="L15" i="3" s="1"/>
  <c r="W74" i="2"/>
  <c r="O89" i="3" s="1"/>
  <c r="AF142" i="2"/>
  <c r="X182" i="3" s="1"/>
  <c r="T105" i="2"/>
  <c r="L215" i="3" s="1"/>
  <c r="AE79" i="2"/>
  <c r="W126" i="3" s="1"/>
  <c r="X131" i="2"/>
  <c r="P160" i="3" s="1"/>
  <c r="V131" i="2"/>
  <c r="N160" i="3" s="1"/>
  <c r="W129" i="2"/>
  <c r="O17" i="3" s="1"/>
  <c r="AG102" i="2"/>
  <c r="Y159" i="3" s="1"/>
  <c r="W169" i="2"/>
  <c r="O269" i="3" s="1"/>
  <c r="AE172" i="2"/>
  <c r="W307" i="3" s="1"/>
  <c r="AD215" i="2"/>
  <c r="S220" i="2"/>
  <c r="AD314" i="2"/>
  <c r="Z314" i="2"/>
  <c r="Y16" i="2"/>
  <c r="Q153" i="3" s="1"/>
  <c r="Y30" i="2"/>
  <c r="Q209" i="3" s="1"/>
  <c r="AF37" i="2"/>
  <c r="X64" i="3" s="1"/>
  <c r="AA64" i="2"/>
  <c r="S181" i="3" s="1"/>
  <c r="Z63" i="2"/>
  <c r="R214" i="3" s="1"/>
  <c r="Y43" i="2"/>
  <c r="Q334" i="3" s="1"/>
  <c r="AC113" i="2"/>
  <c r="U273" i="3" s="1"/>
  <c r="X74" i="2"/>
  <c r="P89" i="3" s="1"/>
  <c r="T67" i="2"/>
  <c r="L94" i="3" s="1"/>
  <c r="AG142" i="2"/>
  <c r="Y182" i="3" s="1"/>
  <c r="V105" i="2"/>
  <c r="N215" i="3" s="1"/>
  <c r="AF79" i="2"/>
  <c r="X126" i="3" s="1"/>
  <c r="X129" i="2"/>
  <c r="P17" i="3" s="1"/>
  <c r="V115" i="2"/>
  <c r="N128" i="3" s="1"/>
  <c r="AC116" i="2"/>
  <c r="AA197" i="2"/>
  <c r="S156" i="3" s="1"/>
  <c r="V170" i="2"/>
  <c r="N150" i="3" s="1"/>
  <c r="AC288" i="2"/>
  <c r="U243" i="3" s="1"/>
  <c r="AC340" i="2"/>
  <c r="AG340" i="2"/>
  <c r="AF340" i="2"/>
  <c r="Z365" i="2"/>
  <c r="R190" i="3" s="1"/>
  <c r="Y365" i="2"/>
  <c r="Q190" i="3" s="1"/>
  <c r="X367" i="2"/>
  <c r="W367" i="2"/>
  <c r="AA367" i="2"/>
  <c r="AD310" i="2"/>
  <c r="AE288" i="2"/>
  <c r="W243" i="3" s="1"/>
  <c r="Y288" i="2"/>
  <c r="Q243" i="3" s="1"/>
  <c r="AC299" i="2"/>
  <c r="X299" i="2"/>
  <c r="W299" i="2"/>
  <c r="AA342" i="2"/>
  <c r="AF342" i="2"/>
  <c r="AE342" i="2"/>
  <c r="AB342" i="2"/>
  <c r="Z342" i="2"/>
  <c r="Y342" i="2"/>
  <c r="V342" i="2"/>
  <c r="T342" i="2"/>
  <c r="S342" i="2"/>
  <c r="AE130" i="2"/>
  <c r="AA196" i="2"/>
  <c r="S7" i="3" s="1"/>
  <c r="AB125" i="2"/>
  <c r="T161" i="3" s="1"/>
  <c r="AF171" i="2"/>
  <c r="AE237" i="2"/>
  <c r="AG272" i="2"/>
  <c r="AD227" i="2"/>
  <c r="AG309" i="2"/>
  <c r="Y228" i="2"/>
  <c r="AG203" i="2"/>
  <c r="Z185" i="2"/>
  <c r="R33" i="3" s="1"/>
  <c r="AE235" i="2"/>
  <c r="T234" i="2"/>
  <c r="L328" i="3" s="1"/>
  <c r="AE310" i="2"/>
  <c r="AA243" i="2"/>
  <c r="V202" i="2"/>
  <c r="X300" i="2"/>
  <c r="Y278" i="2"/>
  <c r="W175" i="2"/>
  <c r="AB302" i="2"/>
  <c r="S302" i="2"/>
  <c r="T340" i="2"/>
  <c r="X313" i="2"/>
  <c r="Y356" i="2"/>
  <c r="X356" i="2"/>
  <c r="W356" i="2"/>
  <c r="AA365" i="2"/>
  <c r="S190" i="3" s="1"/>
  <c r="Y367" i="2"/>
  <c r="AF130" i="2"/>
  <c r="AB196" i="2"/>
  <c r="T7" i="3" s="1"/>
  <c r="AC186" i="2"/>
  <c r="U186" i="3" s="1"/>
  <c r="AG199" i="2"/>
  <c r="Y268" i="3" s="1"/>
  <c r="AF184" i="2"/>
  <c r="X133" i="3" s="1"/>
  <c r="AG171" i="2"/>
  <c r="Z225" i="2"/>
  <c r="W261" i="2"/>
  <c r="S214" i="2"/>
  <c r="K336" i="3" s="1"/>
  <c r="X240" i="2"/>
  <c r="AE227" i="2"/>
  <c r="X306" i="2"/>
  <c r="P249" i="3" s="1"/>
  <c r="AB185" i="2"/>
  <c r="T33" i="3" s="1"/>
  <c r="AF235" i="2"/>
  <c r="V234" i="2"/>
  <c r="N328" i="3" s="1"/>
  <c r="S310" i="2"/>
  <c r="AF310" i="2"/>
  <c r="AB243" i="2"/>
  <c r="W202" i="2"/>
  <c r="AB300" i="2"/>
  <c r="Y300" i="2"/>
  <c r="Z278" i="2"/>
  <c r="X175" i="2"/>
  <c r="V288" i="2"/>
  <c r="N243" i="3" s="1"/>
  <c r="AD257" i="2"/>
  <c r="AF257" i="2"/>
  <c r="T299" i="2"/>
  <c r="AB360" i="2"/>
  <c r="V340" i="2"/>
  <c r="AB313" i="2"/>
  <c r="T313" i="2"/>
  <c r="Z313" i="2"/>
  <c r="Z367" i="2"/>
  <c r="AD342" i="2"/>
  <c r="S130" i="2"/>
  <c r="AG130" i="2"/>
  <c r="V192" i="2"/>
  <c r="N102" i="3" s="1"/>
  <c r="AD186" i="2"/>
  <c r="V186" i="3" s="1"/>
  <c r="AG184" i="2"/>
  <c r="Y133" i="3" s="1"/>
  <c r="AA225" i="2"/>
  <c r="Y269" i="2"/>
  <c r="X261" i="2"/>
  <c r="V230" i="2"/>
  <c r="N211" i="3" s="1"/>
  <c r="T214" i="2"/>
  <c r="L336" i="3" s="1"/>
  <c r="Y240" i="2"/>
  <c r="AF227" i="2"/>
  <c r="S238" i="2"/>
  <c r="K237" i="3" s="1"/>
  <c r="AE282" i="2"/>
  <c r="S309" i="2"/>
  <c r="Z277" i="2"/>
  <c r="R220" i="3" s="1"/>
  <c r="AB306" i="2"/>
  <c r="T249" i="3" s="1"/>
  <c r="AC185" i="2"/>
  <c r="U33" i="3" s="1"/>
  <c r="AG235" i="2"/>
  <c r="W234" i="2"/>
  <c r="O328" i="3" s="1"/>
  <c r="X307" i="2"/>
  <c r="AF307" i="2"/>
  <c r="T310" i="2"/>
  <c r="AG310" i="2"/>
  <c r="X202" i="2"/>
  <c r="AB278" i="2"/>
  <c r="Y175" i="2"/>
  <c r="W288" i="2"/>
  <c r="O243" i="3" s="1"/>
  <c r="T302" i="2"/>
  <c r="AC275" i="2"/>
  <c r="V299" i="2"/>
  <c r="W340" i="2"/>
  <c r="Z356" i="2"/>
  <c r="AC445" i="2"/>
  <c r="AA445" i="2"/>
  <c r="Z445" i="2"/>
  <c r="W445" i="2"/>
  <c r="T130" i="2"/>
  <c r="U130" i="2" s="1"/>
  <c r="AE186" i="2"/>
  <c r="W186" i="3" s="1"/>
  <c r="AB225" i="2"/>
  <c r="Z269" i="2"/>
  <c r="Y261" i="2"/>
  <c r="W230" i="2"/>
  <c r="O211" i="3" s="1"/>
  <c r="V214" i="2"/>
  <c r="N336" i="3" s="1"/>
  <c r="W289" i="2"/>
  <c r="X227" i="2"/>
  <c r="AG227" i="2"/>
  <c r="AD185" i="2"/>
  <c r="V33" i="3" s="1"/>
  <c r="X234" i="2"/>
  <c r="P328" i="3" s="1"/>
  <c r="AG307" i="2"/>
  <c r="Y202" i="2"/>
  <c r="S300" i="2"/>
  <c r="AG175" i="2"/>
  <c r="X288" i="2"/>
  <c r="P243" i="3" s="1"/>
  <c r="V302" i="2"/>
  <c r="V257" i="2"/>
  <c r="X387" i="2"/>
  <c r="AF353" i="2"/>
  <c r="Y353" i="2"/>
  <c r="AE275" i="2"/>
  <c r="W275" i="2"/>
  <c r="AD299" i="2"/>
  <c r="X340" i="2"/>
  <c r="S313" i="2"/>
  <c r="V326" i="2"/>
  <c r="T326" i="2"/>
  <c r="Z326" i="2"/>
  <c r="Y326" i="2"/>
  <c r="AE295" i="2"/>
  <c r="AE185" i="2"/>
  <c r="W33" i="3" s="1"/>
  <c r="AD234" i="2"/>
  <c r="V328" i="3" s="1"/>
  <c r="V310" i="2"/>
  <c r="Z288" i="2"/>
  <c r="R243" i="3" s="1"/>
  <c r="AG387" i="2"/>
  <c r="AB387" i="2"/>
  <c r="AE299" i="2"/>
  <c r="AG354" i="2"/>
  <c r="X354" i="2"/>
  <c r="W354" i="2"/>
  <c r="T354" i="2"/>
  <c r="S354" i="2"/>
  <c r="AA295" i="2"/>
  <c r="AG295" i="2"/>
  <c r="AF295" i="2"/>
  <c r="X295" i="2"/>
  <c r="W295" i="2"/>
  <c r="V295" i="2"/>
  <c r="AA431" i="2"/>
  <c r="AB431" i="2"/>
  <c r="Z431" i="2"/>
  <c r="Y431" i="2"/>
  <c r="V431" i="2"/>
  <c r="AA261" i="2"/>
  <c r="Y214" i="2"/>
  <c r="Q336" i="3" s="1"/>
  <c r="AF185" i="2"/>
  <c r="X33" i="3" s="1"/>
  <c r="AE234" i="2"/>
  <c r="W328" i="3" s="1"/>
  <c r="W310" i="2"/>
  <c r="AF202" i="2"/>
  <c r="AF288" i="2"/>
  <c r="X243" i="3" s="1"/>
  <c r="AF299" i="2"/>
  <c r="AE339" i="2"/>
  <c r="AF339" i="2"/>
  <c r="Z339" i="2"/>
  <c r="AE340" i="2"/>
  <c r="W313" i="2"/>
  <c r="AD350" i="2"/>
  <c r="AC350" i="2"/>
  <c r="S326" i="2"/>
  <c r="AA336" i="2"/>
  <c r="AA384" i="2"/>
  <c r="Z384" i="2"/>
  <c r="Y384" i="2"/>
  <c r="AG384" i="2"/>
  <c r="AF384" i="2"/>
  <c r="AD450" i="2"/>
  <c r="W450" i="2"/>
  <c r="V450" i="2"/>
  <c r="AF450" i="2"/>
  <c r="AE450" i="2"/>
  <c r="AC450" i="2"/>
  <c r="AB450" i="2"/>
  <c r="AB483" i="2"/>
  <c r="Z483" i="2"/>
  <c r="AG483" i="2"/>
  <c r="AF483" i="2"/>
  <c r="AE483" i="2"/>
  <c r="AD483" i="2"/>
  <c r="AD261" i="2"/>
  <c r="Z214" i="2"/>
  <c r="R336" i="3" s="1"/>
  <c r="AD240" i="2"/>
  <c r="AC289" i="2"/>
  <c r="AB206" i="2"/>
  <c r="AA260" i="2"/>
  <c r="Y249" i="2"/>
  <c r="S227" i="2"/>
  <c r="Z212" i="2"/>
  <c r="AB279" i="2"/>
  <c r="S185" i="2"/>
  <c r="K33" i="3" s="1"/>
  <c r="AG185" i="2"/>
  <c r="Y33" i="3" s="1"/>
  <c r="V235" i="2"/>
  <c r="AF234" i="2"/>
  <c r="X328" i="3" s="1"/>
  <c r="X310" i="2"/>
  <c r="AG202" i="2"/>
  <c r="W300" i="2"/>
  <c r="AG288" i="2"/>
  <c r="Y243" i="3" s="1"/>
  <c r="Z302" i="2"/>
  <c r="Y257" i="2"/>
  <c r="AC297" i="2"/>
  <c r="V297" i="2"/>
  <c r="Y387" i="2"/>
  <c r="X353" i="2"/>
  <c r="X275" i="2"/>
  <c r="AD303" i="2"/>
  <c r="AG303" i="2"/>
  <c r="AG299" i="2"/>
  <c r="Y313" i="2"/>
  <c r="AA258" i="2"/>
  <c r="W258" i="2"/>
  <c r="V258" i="2"/>
  <c r="AB258" i="2"/>
  <c r="Z258" i="2"/>
  <c r="W326" i="2"/>
  <c r="V334" i="2"/>
  <c r="AC334" i="2"/>
  <c r="AA334" i="2"/>
  <c r="Z334" i="2"/>
  <c r="Y334" i="2"/>
  <c r="Y354" i="2"/>
  <c r="Y295" i="2"/>
  <c r="AD431" i="2"/>
  <c r="AA438" i="2"/>
  <c r="Z438" i="2"/>
  <c r="T81" i="2"/>
  <c r="L265" i="3" s="1"/>
  <c r="AC78" i="2"/>
  <c r="U330" i="3" s="1"/>
  <c r="AC136" i="2"/>
  <c r="U327" i="3" s="1"/>
  <c r="Z159" i="2"/>
  <c r="R298" i="3" s="1"/>
  <c r="Y130" i="2"/>
  <c r="Z160" i="2"/>
  <c r="R277" i="3" s="1"/>
  <c r="AG177" i="2"/>
  <c r="Y91" i="3" s="1"/>
  <c r="V186" i="2"/>
  <c r="N186" i="3" s="1"/>
  <c r="W171" i="2"/>
  <c r="AC239" i="2"/>
  <c r="AD214" i="2"/>
  <c r="V336" i="3" s="1"/>
  <c r="AE240" i="2"/>
  <c r="AD289" i="2"/>
  <c r="AC206" i="2"/>
  <c r="AB260" i="2"/>
  <c r="Z249" i="2"/>
  <c r="T227" i="2"/>
  <c r="AA212" i="2"/>
  <c r="Z309" i="2"/>
  <c r="W203" i="2"/>
  <c r="X231" i="2"/>
  <c r="T185" i="2"/>
  <c r="L33" i="3" s="1"/>
  <c r="AF305" i="2"/>
  <c r="W235" i="2"/>
  <c r="AG234" i="2"/>
  <c r="Y328" i="3" s="1"/>
  <c r="V307" i="2"/>
  <c r="Y310" i="2"/>
  <c r="Y311" i="2"/>
  <c r="Z300" i="2"/>
  <c r="AC302" i="2"/>
  <c r="AA318" i="2"/>
  <c r="X318" i="2"/>
  <c r="AF318" i="2"/>
  <c r="Z257" i="2"/>
  <c r="Z387" i="2"/>
  <c r="AG353" i="2"/>
  <c r="Y275" i="2"/>
  <c r="V339" i="2"/>
  <c r="AD224" i="2"/>
  <c r="W224" i="2"/>
  <c r="V224" i="2"/>
  <c r="AB224" i="2"/>
  <c r="AC313" i="2"/>
  <c r="AA286" i="2"/>
  <c r="S296" i="3" s="1"/>
  <c r="Y286" i="2"/>
  <c r="Q296" i="3" s="1"/>
  <c r="X286" i="2"/>
  <c r="P296" i="3" s="1"/>
  <c r="AD286" i="2"/>
  <c r="V296" i="3" s="1"/>
  <c r="S350" i="2"/>
  <c r="X326" i="2"/>
  <c r="Z354" i="2"/>
  <c r="W384" i="2"/>
  <c r="Z295" i="2"/>
  <c r="S450" i="2"/>
  <c r="AF431" i="2"/>
  <c r="AD380" i="2"/>
  <c r="AC380" i="2"/>
  <c r="AD416" i="2"/>
  <c r="W416" i="2"/>
  <c r="AG416" i="2"/>
  <c r="AF416" i="2"/>
  <c r="AE416" i="2"/>
  <c r="AC416" i="2"/>
  <c r="AB416" i="2"/>
  <c r="Y416" i="2"/>
  <c r="X416" i="2"/>
  <c r="V416" i="2"/>
  <c r="S416" i="2"/>
  <c r="AC471" i="2"/>
  <c r="AE471" i="2"/>
  <c r="AA475" i="2"/>
  <c r="AE475" i="2"/>
  <c r="W475" i="2"/>
  <c r="AF475" i="2"/>
  <c r="AD475" i="2"/>
  <c r="AC475" i="2"/>
  <c r="AB475" i="2"/>
  <c r="X475" i="2"/>
  <c r="V475" i="2"/>
  <c r="T475" i="2"/>
  <c r="S475" i="2"/>
  <c r="AA502" i="2"/>
  <c r="T502" i="2"/>
  <c r="AD502" i="2"/>
  <c r="Z502" i="2"/>
  <c r="X502" i="2"/>
  <c r="AG502" i="2"/>
  <c r="AF502" i="2"/>
  <c r="AE502" i="2"/>
  <c r="AC502" i="2"/>
  <c r="AB502" i="2"/>
  <c r="Y502" i="2"/>
  <c r="W502" i="2"/>
  <c r="V502" i="2"/>
  <c r="S502" i="2"/>
  <c r="U502" i="2" s="1"/>
  <c r="AE363" i="2"/>
  <c r="AD329" i="2"/>
  <c r="AA498" i="2"/>
  <c r="W349" i="2"/>
  <c r="AC346" i="2"/>
  <c r="AB406" i="2"/>
  <c r="X398" i="2"/>
  <c r="AA430" i="2"/>
  <c r="AF489" i="2"/>
  <c r="T412" i="2"/>
  <c r="AB381" i="2"/>
  <c r="AG440" i="2"/>
  <c r="AC434" i="2"/>
  <c r="X388" i="2"/>
  <c r="AF372" i="2"/>
  <c r="Z472" i="2"/>
  <c r="Z476" i="2"/>
  <c r="AD476" i="2"/>
  <c r="AC476" i="2"/>
  <c r="T476" i="2"/>
  <c r="Z423" i="2"/>
  <c r="AB494" i="2"/>
  <c r="V471" i="2"/>
  <c r="AD366" i="2"/>
  <c r="AG467" i="2"/>
  <c r="AF467" i="2"/>
  <c r="AB467" i="2"/>
  <c r="AA467" i="2"/>
  <c r="Z467" i="2"/>
  <c r="Y467" i="2"/>
  <c r="AG475" i="2"/>
  <c r="AC339" i="2"/>
  <c r="AC363" i="2"/>
  <c r="AF363" i="2"/>
  <c r="AG432" i="2"/>
  <c r="AF329" i="2"/>
  <c r="AD498" i="2"/>
  <c r="AB486" i="2"/>
  <c r="Z349" i="2"/>
  <c r="AE346" i="2"/>
  <c r="AG406" i="2"/>
  <c r="Y398" i="2"/>
  <c r="AB430" i="2"/>
  <c r="AD413" i="2"/>
  <c r="AD381" i="2"/>
  <c r="AD434" i="2"/>
  <c r="AE404" i="2"/>
  <c r="Y388" i="2"/>
  <c r="AB472" i="2"/>
  <c r="AD423" i="2"/>
  <c r="AE494" i="2"/>
  <c r="AF471" i="2"/>
  <c r="AC495" i="2"/>
  <c r="AA495" i="2"/>
  <c r="AB495" i="2"/>
  <c r="S495" i="2"/>
  <c r="AG329" i="2"/>
  <c r="AA349" i="2"/>
  <c r="AB398" i="2"/>
  <c r="AC321" i="2"/>
  <c r="AE430" i="2"/>
  <c r="AD433" i="2"/>
  <c r="AC433" i="2"/>
  <c r="AA404" i="2"/>
  <c r="X404" i="2"/>
  <c r="W404" i="2"/>
  <c r="AB388" i="2"/>
  <c r="AF470" i="2"/>
  <c r="AC472" i="2"/>
  <c r="S476" i="2"/>
  <c r="AF423" i="2"/>
  <c r="AE385" i="2"/>
  <c r="AF490" i="2"/>
  <c r="Z490" i="2"/>
  <c r="AE386" i="2"/>
  <c r="Z531" i="2"/>
  <c r="AD531" i="2"/>
  <c r="AB531" i="2"/>
  <c r="T531" i="2"/>
  <c r="AE384" i="2"/>
  <c r="AE349" i="2"/>
  <c r="AC398" i="2"/>
  <c r="X419" i="2"/>
  <c r="AF388" i="2"/>
  <c r="AE371" i="2"/>
  <c r="AA371" i="2"/>
  <c r="AD472" i="2"/>
  <c r="AA386" i="2"/>
  <c r="AD386" i="2"/>
  <c r="AC386" i="2"/>
  <c r="Y386" i="2"/>
  <c r="W386" i="2"/>
  <c r="X463" i="2"/>
  <c r="T463" i="2"/>
  <c r="S463" i="2"/>
  <c r="AG463" i="2"/>
  <c r="AD463" i="2"/>
  <c r="AA456" i="2"/>
  <c r="Y456" i="2"/>
  <c r="W456" i="2"/>
  <c r="T456" i="2"/>
  <c r="S456" i="2"/>
  <c r="AF456" i="2"/>
  <c r="AA429" i="2"/>
  <c r="AD429" i="2"/>
  <c r="W429" i="2"/>
  <c r="AG429" i="2"/>
  <c r="AF429" i="2"/>
  <c r="AB429" i="2"/>
  <c r="Z429" i="2"/>
  <c r="Y429" i="2"/>
  <c r="X429" i="2"/>
  <c r="V429" i="2"/>
  <c r="AF349" i="2"/>
  <c r="AE398" i="2"/>
  <c r="T489" i="2"/>
  <c r="AA381" i="2"/>
  <c r="AG381" i="2"/>
  <c r="AF419" i="2"/>
  <c r="AD419" i="2"/>
  <c r="Z419" i="2"/>
  <c r="AB476" i="2"/>
  <c r="S531" i="2"/>
  <c r="AF232" i="2"/>
  <c r="AE232" i="2"/>
  <c r="AA232" i="2"/>
  <c r="Y232" i="2"/>
  <c r="S232" i="2"/>
  <c r="X468" i="2"/>
  <c r="Z468" i="2"/>
  <c r="Y468" i="2"/>
  <c r="T441" i="2"/>
  <c r="AD441" i="2"/>
  <c r="S441" i="2"/>
  <c r="AB489" i="2"/>
  <c r="Z489" i="2"/>
  <c r="AD372" i="2"/>
  <c r="AE372" i="2"/>
  <c r="AC372" i="2"/>
  <c r="X372" i="2"/>
  <c r="AA443" i="2"/>
  <c r="T443" i="2"/>
  <c r="S443" i="2"/>
  <c r="AF443" i="2"/>
  <c r="AD443" i="2"/>
  <c r="W517" i="2"/>
  <c r="X517" i="2"/>
  <c r="V517" i="2"/>
  <c r="T517" i="2"/>
  <c r="S517" i="2"/>
  <c r="AG517" i="2"/>
  <c r="V503" i="2"/>
  <c r="Z448" i="2"/>
  <c r="AB448" i="2"/>
  <c r="X448" i="2"/>
  <c r="AB417" i="2"/>
  <c r="AE417" i="2"/>
  <c r="AD417" i="2"/>
  <c r="AF347" i="2"/>
  <c r="AD347" i="2"/>
  <c r="AC351" i="2"/>
  <c r="V351" i="2"/>
  <c r="AD494" i="2"/>
  <c r="S494" i="2"/>
  <c r="AF494" i="2"/>
  <c r="AC494" i="2"/>
  <c r="AE395" i="2"/>
  <c r="AG395" i="2"/>
  <c r="V395" i="2"/>
  <c r="Z526" i="2"/>
  <c r="AF526" i="2"/>
  <c r="AE526" i="2"/>
  <c r="AD526" i="2"/>
  <c r="AC526" i="2"/>
  <c r="T526" i="2"/>
  <c r="AA503" i="2"/>
  <c r="AB503" i="2"/>
  <c r="Z503" i="2"/>
  <c r="Y503" i="2"/>
  <c r="X503" i="2"/>
  <c r="W503" i="2"/>
  <c r="T503" i="2"/>
  <c r="S503" i="2"/>
  <c r="AG503" i="2"/>
  <c r="AA376" i="2"/>
  <c r="AB376" i="2"/>
  <c r="AF376" i="2"/>
  <c r="AE376" i="2"/>
  <c r="AD376" i="2"/>
  <c r="AC376" i="2"/>
  <c r="Z376" i="2"/>
  <c r="V376" i="2"/>
  <c r="T376" i="2"/>
  <c r="S376" i="2"/>
  <c r="AC418" i="2"/>
  <c r="AD418" i="2"/>
  <c r="W418" i="2"/>
  <c r="T418" i="2"/>
  <c r="AG418" i="2"/>
  <c r="AF418" i="2"/>
  <c r="AE418" i="2"/>
  <c r="AB418" i="2"/>
  <c r="X418" i="2"/>
  <c r="V418" i="2"/>
  <c r="Z396" i="2"/>
  <c r="T498" i="2"/>
  <c r="V489" i="2"/>
  <c r="Z434" i="2"/>
  <c r="AB434" i="2"/>
  <c r="AB461" i="2"/>
  <c r="AA461" i="2"/>
  <c r="AE400" i="2"/>
  <c r="AA400" i="2"/>
  <c r="AD388" i="2"/>
  <c r="AE388" i="2"/>
  <c r="AC388" i="2"/>
  <c r="S372" i="2"/>
  <c r="AA472" i="2"/>
  <c r="S472" i="2"/>
  <c r="U472" i="2" s="1"/>
  <c r="AE472" i="2"/>
  <c r="AA423" i="2"/>
  <c r="AC423" i="2"/>
  <c r="AB423" i="2"/>
  <c r="X423" i="2"/>
  <c r="V443" i="2"/>
  <c r="AA550" i="2"/>
  <c r="AG550" i="2"/>
  <c r="AA517" i="2"/>
  <c r="AB516" i="2"/>
  <c r="AG516" i="2"/>
  <c r="AE516" i="2"/>
  <c r="AD516" i="2"/>
  <c r="AA516" i="2"/>
  <c r="W516" i="2"/>
  <c r="Z454" i="2"/>
  <c r="AB454" i="2"/>
  <c r="AA454" i="2"/>
  <c r="AA455" i="2"/>
  <c r="AE455" i="2"/>
  <c r="AD455" i="2"/>
  <c r="AC455" i="2"/>
  <c r="AB455" i="2"/>
  <c r="Y455" i="2"/>
  <c r="X455" i="2"/>
  <c r="W455" i="2"/>
  <c r="V455" i="2"/>
  <c r="AC325" i="2"/>
  <c r="AA392" i="2"/>
  <c r="AA301" i="2"/>
  <c r="AA377" i="2"/>
  <c r="Y363" i="2"/>
  <c r="W329" i="2"/>
  <c r="AB408" i="2"/>
  <c r="X420" i="2"/>
  <c r="AA396" i="2"/>
  <c r="W498" i="2"/>
  <c r="X346" i="2"/>
  <c r="Z321" i="2"/>
  <c r="AE407" i="2"/>
  <c r="W489" i="2"/>
  <c r="AA427" i="2"/>
  <c r="W381" i="2"/>
  <c r="X440" i="2"/>
  <c r="AB446" i="2"/>
  <c r="Z446" i="2"/>
  <c r="AC404" i="2"/>
  <c r="S448" i="2"/>
  <c r="V372" i="2"/>
  <c r="T417" i="2"/>
  <c r="T347" i="2"/>
  <c r="AE351" i="2"/>
  <c r="Y443" i="2"/>
  <c r="Z465" i="2"/>
  <c r="AD465" i="2"/>
  <c r="X465" i="2"/>
  <c r="S465" i="2"/>
  <c r="U465" i="2" s="1"/>
  <c r="AB386" i="2"/>
  <c r="V494" i="2"/>
  <c r="W366" i="2"/>
  <c r="AA463" i="2"/>
  <c r="W395" i="2"/>
  <c r="AG232" i="2"/>
  <c r="AD456" i="2"/>
  <c r="S526" i="2"/>
  <c r="AB517" i="2"/>
  <c r="AC503" i="2"/>
  <c r="AF294" i="2"/>
  <c r="AF325" i="2"/>
  <c r="AD392" i="2"/>
  <c r="Z363" i="2"/>
  <c r="X431" i="2"/>
  <c r="Z432" i="2"/>
  <c r="X342" i="2"/>
  <c r="Z420" i="2"/>
  <c r="AB396" i="2"/>
  <c r="AE383" i="2"/>
  <c r="X374" i="2"/>
  <c r="S398" i="2"/>
  <c r="AC489" i="2"/>
  <c r="AA412" i="2"/>
  <c r="AF412" i="2"/>
  <c r="X381" i="2"/>
  <c r="S434" i="2"/>
  <c r="V461" i="2"/>
  <c r="AD404" i="2"/>
  <c r="S388" i="2"/>
  <c r="T448" i="2"/>
  <c r="W372" i="2"/>
  <c r="Z417" i="2"/>
  <c r="T472" i="2"/>
  <c r="Y290" i="2"/>
  <c r="X347" i="2"/>
  <c r="S423" i="2"/>
  <c r="AF351" i="2"/>
  <c r="Z443" i="2"/>
  <c r="W494" i="2"/>
  <c r="AB366" i="2"/>
  <c r="AG366" i="2"/>
  <c r="AF366" i="2"/>
  <c r="Z366" i="2"/>
  <c r="Y540" i="2"/>
  <c r="AF540" i="2"/>
  <c r="AC463" i="2"/>
  <c r="W550" i="2"/>
  <c r="AE456" i="2"/>
  <c r="X526" i="2"/>
  <c r="AD517" i="2"/>
  <c r="S516" i="2"/>
  <c r="AD503" i="2"/>
  <c r="S455" i="2"/>
  <c r="AA508" i="2"/>
  <c r="V508" i="2"/>
  <c r="AE508" i="2"/>
  <c r="AG508" i="2"/>
  <c r="AF508" i="2"/>
  <c r="AD508" i="2"/>
  <c r="AB508" i="2"/>
  <c r="Z508" i="2"/>
  <c r="Y508" i="2"/>
  <c r="X508" i="2"/>
  <c r="W508" i="2"/>
  <c r="AA574" i="2"/>
  <c r="S574" i="2"/>
  <c r="U574" i="2" s="1"/>
  <c r="AC574" i="2"/>
  <c r="AF538" i="2"/>
  <c r="Z538" i="2"/>
  <c r="AE429" i="2"/>
  <c r="AA514" i="2"/>
  <c r="V514" i="2"/>
  <c r="AF514" i="2"/>
  <c r="AA535" i="2"/>
  <c r="AB535" i="2"/>
  <c r="W535" i="2"/>
  <c r="V539" i="2"/>
  <c r="S573" i="2"/>
  <c r="AG573" i="2"/>
  <c r="AF573" i="2"/>
  <c r="Z547" i="2"/>
  <c r="AD547" i="2"/>
  <c r="AB547" i="2"/>
  <c r="AE493" i="2"/>
  <c r="Z493" i="2"/>
  <c r="S493" i="2"/>
  <c r="AG493" i="2"/>
  <c r="AF493" i="2"/>
  <c r="Y493" i="2"/>
  <c r="X493" i="2"/>
  <c r="W493" i="2"/>
  <c r="Z582" i="2"/>
  <c r="AF582" i="2"/>
  <c r="AA582" i="2"/>
  <c r="V582" i="2"/>
  <c r="T582" i="2"/>
  <c r="AA523" i="2"/>
  <c r="W523" i="2"/>
  <c r="V523" i="2"/>
  <c r="Y523" i="2"/>
  <c r="T523" i="2"/>
  <c r="S523" i="2"/>
  <c r="AE523" i="2"/>
  <c r="AD523" i="2"/>
  <c r="AC523" i="2"/>
  <c r="Z682" i="2"/>
  <c r="AF682" i="2"/>
  <c r="AE682" i="2"/>
  <c r="T682" i="2"/>
  <c r="AD682" i="2"/>
  <c r="AA682" i="2"/>
  <c r="Y682" i="2"/>
  <c r="X682" i="2"/>
  <c r="W682" i="2"/>
  <c r="S682" i="2"/>
  <c r="AC722" i="2"/>
  <c r="AF722" i="2"/>
  <c r="AD722" i="2"/>
  <c r="Z722" i="2"/>
  <c r="AB722" i="2"/>
  <c r="X456" i="2"/>
  <c r="AD541" i="2"/>
  <c r="X479" i="2"/>
  <c r="Y552" i="2"/>
  <c r="AA569" i="2"/>
  <c r="AB569" i="2"/>
  <c r="AG569" i="2"/>
  <c r="Z415" i="2"/>
  <c r="X538" i="2"/>
  <c r="T514" i="2"/>
  <c r="AB522" i="2"/>
  <c r="T535" i="2"/>
  <c r="U535" i="2" s="1"/>
  <c r="AD602" i="2"/>
  <c r="Z403" i="2"/>
  <c r="X403" i="2"/>
  <c r="AD403" i="2"/>
  <c r="AA403" i="2"/>
  <c r="W403" i="2"/>
  <c r="AE573" i="2"/>
  <c r="AA556" i="2"/>
  <c r="Z556" i="2"/>
  <c r="AG556" i="2"/>
  <c r="V574" i="2"/>
  <c r="Y538" i="2"/>
  <c r="W514" i="2"/>
  <c r="S547" i="2"/>
  <c r="AB436" i="2"/>
  <c r="AF436" i="2"/>
  <c r="AD436" i="2"/>
  <c r="V535" i="2"/>
  <c r="AB588" i="2"/>
  <c r="T493" i="2"/>
  <c r="W582" i="2"/>
  <c r="AG624" i="2"/>
  <c r="AD624" i="2"/>
  <c r="Z624" i="2"/>
  <c r="Y624" i="2"/>
  <c r="T624" i="2"/>
  <c r="X617" i="2"/>
  <c r="Z617" i="2"/>
  <c r="AG682" i="2"/>
  <c r="T428" i="2"/>
  <c r="X443" i="2"/>
  <c r="S480" i="2"/>
  <c r="S487" i="2"/>
  <c r="W473" i="2"/>
  <c r="AB479" i="2"/>
  <c r="S410" i="2"/>
  <c r="AB552" i="2"/>
  <c r="X568" i="2"/>
  <c r="AD415" i="2"/>
  <c r="W574" i="2"/>
  <c r="AG538" i="2"/>
  <c r="AA537" i="2"/>
  <c r="AG537" i="2"/>
  <c r="S537" i="2"/>
  <c r="AB537" i="2"/>
  <c r="X514" i="2"/>
  <c r="AD522" i="2"/>
  <c r="T547" i="2"/>
  <c r="X535" i="2"/>
  <c r="V493" i="2"/>
  <c r="Y425" i="2"/>
  <c r="AE425" i="2"/>
  <c r="AD425" i="2"/>
  <c r="Z425" i="2"/>
  <c r="S425" i="2"/>
  <c r="AF425" i="2"/>
  <c r="T544" i="2"/>
  <c r="X582" i="2"/>
  <c r="X523" i="2"/>
  <c r="AB556" i="2"/>
  <c r="Z670" i="2"/>
  <c r="AG670" i="2"/>
  <c r="AB670" i="2"/>
  <c r="Y670" i="2"/>
  <c r="W670" i="2"/>
  <c r="S670" i="2"/>
  <c r="AA529" i="2"/>
  <c r="W529" i="2"/>
  <c r="AG529" i="2"/>
  <c r="AD479" i="2"/>
  <c r="AC410" i="2"/>
  <c r="AA410" i="2"/>
  <c r="AD552" i="2"/>
  <c r="AB568" i="2"/>
  <c r="AB481" i="2"/>
  <c r="S481" i="2"/>
  <c r="AF481" i="2"/>
  <c r="AE415" i="2"/>
  <c r="X574" i="2"/>
  <c r="AA545" i="2"/>
  <c r="AB514" i="2"/>
  <c r="AB509" i="2"/>
  <c r="AE509" i="2"/>
  <c r="T509" i="2"/>
  <c r="AC547" i="2"/>
  <c r="S436" i="2"/>
  <c r="Y535" i="2"/>
  <c r="Z515" i="2"/>
  <c r="T515" i="2"/>
  <c r="AC515" i="2"/>
  <c r="S515" i="2"/>
  <c r="AE485" i="2"/>
  <c r="AC485" i="2"/>
  <c r="AC493" i="2"/>
  <c r="Y544" i="2"/>
  <c r="X544" i="2"/>
  <c r="AD544" i="2"/>
  <c r="AB544" i="2"/>
  <c r="AG629" i="2"/>
  <c r="AF629" i="2"/>
  <c r="Z629" i="2"/>
  <c r="Y629" i="2"/>
  <c r="X629" i="2"/>
  <c r="AG582" i="2"/>
  <c r="Z523" i="2"/>
  <c r="AF624" i="2"/>
  <c r="AE560" i="2"/>
  <c r="AA560" i="2"/>
  <c r="Z560" i="2"/>
  <c r="AB560" i="2"/>
  <c r="V560" i="2"/>
  <c r="T560" i="2"/>
  <c r="X668" i="2"/>
  <c r="AA668" i="2"/>
  <c r="Z668" i="2"/>
  <c r="AE668" i="2"/>
  <c r="AD668" i="2"/>
  <c r="Y668" i="2"/>
  <c r="T668" i="2"/>
  <c r="S668" i="2"/>
  <c r="X683" i="2"/>
  <c r="V683" i="2"/>
  <c r="AE683" i="2"/>
  <c r="AC683" i="2"/>
  <c r="AA683" i="2"/>
  <c r="AA541" i="2"/>
  <c r="Y541" i="2"/>
  <c r="S541" i="2"/>
  <c r="Z397" i="2"/>
  <c r="AE397" i="2"/>
  <c r="AE479" i="2"/>
  <c r="AC460" i="2"/>
  <c r="Y460" i="2"/>
  <c r="AC568" i="2"/>
  <c r="AB574" i="2"/>
  <c r="S352" i="2"/>
  <c r="AB545" i="2"/>
  <c r="T537" i="2"/>
  <c r="AC514" i="2"/>
  <c r="T436" i="2"/>
  <c r="AC535" i="2"/>
  <c r="AC488" i="2"/>
  <c r="AG488" i="2"/>
  <c r="AE488" i="2"/>
  <c r="AB488" i="2"/>
  <c r="AA586" i="2"/>
  <c r="AE586" i="2"/>
  <c r="S586" i="2"/>
  <c r="Z520" i="2"/>
  <c r="W520" i="2"/>
  <c r="X520" i="2"/>
  <c r="AE520" i="2"/>
  <c r="AC520" i="2"/>
  <c r="AD493" i="2"/>
  <c r="AB523" i="2"/>
  <c r="X412" i="2"/>
  <c r="X449" i="2"/>
  <c r="AF449" i="2"/>
  <c r="Z442" i="2"/>
  <c r="W401" i="2"/>
  <c r="AE428" i="2"/>
  <c r="T459" i="2"/>
  <c r="T500" i="2"/>
  <c r="AF464" i="2"/>
  <c r="Z480" i="2"/>
  <c r="Z487" i="2"/>
  <c r="AC324" i="2"/>
  <c r="W324" i="2"/>
  <c r="AA473" i="2"/>
  <c r="Y543" i="2"/>
  <c r="V529" i="2"/>
  <c r="AF479" i="2"/>
  <c r="T410" i="2"/>
  <c r="W569" i="2"/>
  <c r="AD568" i="2"/>
  <c r="T481" i="2"/>
  <c r="AE512" i="2"/>
  <c r="AD574" i="2"/>
  <c r="AD514" i="2"/>
  <c r="S509" i="2"/>
  <c r="X575" i="2"/>
  <c r="X549" i="2"/>
  <c r="AE499" i="2"/>
  <c r="AD535" i="2"/>
  <c r="AB515" i="2"/>
  <c r="S485" i="2"/>
  <c r="AG403" i="2"/>
  <c r="AC548" i="2"/>
  <c r="V425" i="2"/>
  <c r="Z544" i="2"/>
  <c r="AA629" i="2"/>
  <c r="AF523" i="2"/>
  <c r="AD560" i="2"/>
  <c r="S683" i="2"/>
  <c r="AD442" i="2"/>
  <c r="X401" i="2"/>
  <c r="AF428" i="2"/>
  <c r="V459" i="2"/>
  <c r="Y451" i="2"/>
  <c r="Y506" i="2"/>
  <c r="Y500" i="2"/>
  <c r="AA487" i="2"/>
  <c r="AB473" i="2"/>
  <c r="Z543" i="2"/>
  <c r="T541" i="2"/>
  <c r="AA397" i="2"/>
  <c r="X529" i="2"/>
  <c r="Y519" i="2"/>
  <c r="X410" i="2"/>
  <c r="W460" i="2"/>
  <c r="AF568" i="2"/>
  <c r="V481" i="2"/>
  <c r="AE574" i="2"/>
  <c r="V537" i="2"/>
  <c r="AE514" i="2"/>
  <c r="V509" i="2"/>
  <c r="AF549" i="2"/>
  <c r="AG549" i="2"/>
  <c r="AA499" i="2"/>
  <c r="AF499" i="2"/>
  <c r="Z499" i="2"/>
  <c r="X499" i="2"/>
  <c r="V436" i="2"/>
  <c r="AA591" i="2"/>
  <c r="AB591" i="2"/>
  <c r="T591" i="2"/>
  <c r="AE535" i="2"/>
  <c r="T488" i="2"/>
  <c r="AD515" i="2"/>
  <c r="T485" i="2"/>
  <c r="V586" i="2"/>
  <c r="AA581" i="2"/>
  <c r="Y581" i="2"/>
  <c r="V581" i="2"/>
  <c r="AG581" i="2"/>
  <c r="AD581" i="2"/>
  <c r="AB566" i="2"/>
  <c r="AG566" i="2"/>
  <c r="AE566" i="2"/>
  <c r="X566" i="2"/>
  <c r="S566" i="2"/>
  <c r="U566" i="2" s="1"/>
  <c r="S520" i="2"/>
  <c r="AE604" i="2"/>
  <c r="AD604" i="2"/>
  <c r="V604" i="2"/>
  <c r="T604" i="2"/>
  <c r="S604" i="2"/>
  <c r="AD548" i="2"/>
  <c r="AA425" i="2"/>
  <c r="AA544" i="2"/>
  <c r="AB629" i="2"/>
  <c r="AG523" i="2"/>
  <c r="AC594" i="2"/>
  <c r="AE530" i="2"/>
  <c r="AF530" i="2"/>
  <c r="AD530" i="2"/>
  <c r="AG530" i="2"/>
  <c r="AC530" i="2"/>
  <c r="Y530" i="2"/>
  <c r="X530" i="2"/>
  <c r="W530" i="2"/>
  <c r="V530" i="2"/>
  <c r="Z638" i="2"/>
  <c r="AC638" i="2"/>
  <c r="AB638" i="2"/>
  <c r="AG638" i="2"/>
  <c r="AD638" i="2"/>
  <c r="W638" i="2"/>
  <c r="T638" i="2"/>
  <c r="S638" i="2"/>
  <c r="AG656" i="2"/>
  <c r="AF656" i="2"/>
  <c r="AD656" i="2"/>
  <c r="Y683" i="2"/>
  <c r="AA479" i="2"/>
  <c r="AC479" i="2"/>
  <c r="V479" i="2"/>
  <c r="AA415" i="2"/>
  <c r="AC415" i="2"/>
  <c r="T415" i="2"/>
  <c r="U415" i="2" s="1"/>
  <c r="AF574" i="2"/>
  <c r="AG514" i="2"/>
  <c r="AA522" i="2"/>
  <c r="S522" i="2"/>
  <c r="AE522" i="2"/>
  <c r="W436" i="2"/>
  <c r="AF535" i="2"/>
  <c r="AB602" i="2"/>
  <c r="AC602" i="2"/>
  <c r="T602" i="2"/>
  <c r="U602" i="2" s="1"/>
  <c r="AD485" i="2"/>
  <c r="AA539" i="2"/>
  <c r="X539" i="2"/>
  <c r="Z539" i="2"/>
  <c r="S539" i="2"/>
  <c r="AG539" i="2"/>
  <c r="AF539" i="2"/>
  <c r="AA594" i="2"/>
  <c r="AB594" i="2"/>
  <c r="Y594" i="2"/>
  <c r="T594" i="2"/>
  <c r="S594" i="2"/>
  <c r="AA655" i="2"/>
  <c r="AD655" i="2"/>
  <c r="AC655" i="2"/>
  <c r="AB655" i="2"/>
  <c r="Z655" i="2"/>
  <c r="AA691" i="2"/>
  <c r="V691" i="2"/>
  <c r="AF691" i="2"/>
  <c r="AD691" i="2"/>
  <c r="AB691" i="2"/>
  <c r="Z691" i="2"/>
  <c r="Y691" i="2"/>
  <c r="X691" i="2"/>
  <c r="T691" i="2"/>
  <c r="AA552" i="2"/>
  <c r="W552" i="2"/>
  <c r="AG552" i="2"/>
  <c r="AA568" i="2"/>
  <c r="AE568" i="2"/>
  <c r="W568" i="2"/>
  <c r="AG574" i="2"/>
  <c r="AC436" i="2"/>
  <c r="AG535" i="2"/>
  <c r="AF485" i="2"/>
  <c r="AA612" i="2"/>
  <c r="X612" i="2"/>
  <c r="W612" i="2"/>
  <c r="AF612" i="2"/>
  <c r="AE612" i="2"/>
  <c r="AC612" i="2"/>
  <c r="AB612" i="2"/>
  <c r="Z612" i="2"/>
  <c r="Y612" i="2"/>
  <c r="Y638" i="2"/>
  <c r="AB628" i="2"/>
  <c r="AG628" i="2"/>
  <c r="AF628" i="2"/>
  <c r="AD628" i="2"/>
  <c r="Z628" i="2"/>
  <c r="Y656" i="2"/>
  <c r="AF496" i="2"/>
  <c r="X527" i="2"/>
  <c r="AC525" i="2"/>
  <c r="AF507" i="2"/>
  <c r="AE578" i="2"/>
  <c r="AG579" i="2"/>
  <c r="X587" i="2"/>
  <c r="Z611" i="2"/>
  <c r="AE536" i="2"/>
  <c r="AA559" i="2"/>
  <c r="Y559" i="2"/>
  <c r="X559" i="2"/>
  <c r="Z623" i="2"/>
  <c r="AD627" i="2"/>
  <c r="AC627" i="2"/>
  <c r="AA533" i="2"/>
  <c r="AB533" i="2"/>
  <c r="Z533" i="2"/>
  <c r="AG533" i="2"/>
  <c r="AD613" i="2"/>
  <c r="S613" i="2"/>
  <c r="AF601" i="2"/>
  <c r="AG634" i="2"/>
  <c r="AF634" i="2"/>
  <c r="X640" i="2"/>
  <c r="AC561" i="2"/>
  <c r="V561" i="2"/>
  <c r="AF657" i="2"/>
  <c r="AF643" i="2"/>
  <c r="AE666" i="2"/>
  <c r="Z576" i="2"/>
  <c r="W632" i="2"/>
  <c r="T674" i="2"/>
  <c r="U674" i="2" s="1"/>
  <c r="Z621" i="2"/>
  <c r="V621" i="2"/>
  <c r="AG621" i="2"/>
  <c r="AA700" i="2"/>
  <c r="Y699" i="2"/>
  <c r="S699" i="2"/>
  <c r="AA703" i="2"/>
  <c r="X703" i="2"/>
  <c r="AD708" i="2"/>
  <c r="Y587" i="2"/>
  <c r="W562" i="2"/>
  <c r="AB611" i="2"/>
  <c r="AA623" i="2"/>
  <c r="AB606" i="2"/>
  <c r="Y606" i="2"/>
  <c r="X606" i="2"/>
  <c r="Y640" i="2"/>
  <c r="X632" i="2"/>
  <c r="AD646" i="2"/>
  <c r="V646" i="2"/>
  <c r="S646" i="2"/>
  <c r="AC700" i="2"/>
  <c r="AA693" i="2"/>
  <c r="AD693" i="2"/>
  <c r="Z693" i="2"/>
  <c r="AE690" i="2"/>
  <c r="Y690" i="2"/>
  <c r="AA686" i="2"/>
  <c r="AF686" i="2"/>
  <c r="AE525" i="2"/>
  <c r="Z587" i="2"/>
  <c r="AA599" i="2"/>
  <c r="AB599" i="2"/>
  <c r="Z478" i="2"/>
  <c r="S478" i="2"/>
  <c r="U478" i="2" s="1"/>
  <c r="AG564" i="2"/>
  <c r="AB564" i="2"/>
  <c r="AA564" i="2"/>
  <c r="Z640" i="2"/>
  <c r="Z650" i="2"/>
  <c r="AG650" i="2"/>
  <c r="Y632" i="2"/>
  <c r="W674" i="2"/>
  <c r="X631" i="2"/>
  <c r="Y673" i="2"/>
  <c r="AA673" i="2"/>
  <c r="Z673" i="2"/>
  <c r="S654" i="2"/>
  <c r="Y654" i="2"/>
  <c r="AE601" i="2"/>
  <c r="AB601" i="2"/>
  <c r="Y601" i="2"/>
  <c r="AA631" i="2"/>
  <c r="S631" i="2"/>
  <c r="Z645" i="2"/>
  <c r="AA645" i="2"/>
  <c r="AD663" i="2"/>
  <c r="V663" i="2"/>
  <c r="AA687" i="2"/>
  <c r="V687" i="2"/>
  <c r="T687" i="2"/>
  <c r="AD687" i="2"/>
  <c r="AA720" i="2"/>
  <c r="AD720" i="2"/>
  <c r="AB720" i="2"/>
  <c r="X720" i="2"/>
  <c r="AB649" i="2"/>
  <c r="T649" i="2"/>
  <c r="Y639" i="2"/>
  <c r="AA639" i="2"/>
  <c r="Z639" i="2"/>
  <c r="AC621" i="2"/>
  <c r="W688" i="2"/>
  <c r="AD688" i="2"/>
  <c r="AA688" i="2"/>
  <c r="T673" i="2"/>
  <c r="T654" i="2"/>
  <c r="AC709" i="2"/>
  <c r="V709" i="2"/>
  <c r="T709" i="2"/>
  <c r="AF709" i="2"/>
  <c r="AB709" i="2"/>
  <c r="AA710" i="2"/>
  <c r="AD710" i="2"/>
  <c r="Z710" i="2"/>
  <c r="AA660" i="2"/>
  <c r="AE660" i="2"/>
  <c r="W660" i="2"/>
  <c r="AC707" i="2"/>
  <c r="AG707" i="2"/>
  <c r="AF707" i="2"/>
  <c r="V707" i="2"/>
  <c r="AA728" i="2"/>
  <c r="Z728" i="2"/>
  <c r="X728" i="2"/>
  <c r="AD728" i="2"/>
  <c r="AE527" i="2"/>
  <c r="T525" i="2"/>
  <c r="Z567" i="2"/>
  <c r="W579" i="2"/>
  <c r="AA528" i="2"/>
  <c r="AE528" i="2"/>
  <c r="Y562" i="2"/>
  <c r="Y599" i="2"/>
  <c r="X592" i="2"/>
  <c r="AG551" i="2"/>
  <c r="S601" i="2"/>
  <c r="W564" i="2"/>
  <c r="T650" i="2"/>
  <c r="AE665" i="2"/>
  <c r="V657" i="2"/>
  <c r="AD643" i="2"/>
  <c r="S643" i="2"/>
  <c r="AD661" i="2"/>
  <c r="AF661" i="2"/>
  <c r="AC661" i="2"/>
  <c r="T631" i="2"/>
  <c r="AA652" i="2"/>
  <c r="AB652" i="2"/>
  <c r="X635" i="2"/>
  <c r="V635" i="2"/>
  <c r="AD635" i="2"/>
  <c r="W663" i="2"/>
  <c r="AF693" i="2"/>
  <c r="X687" i="2"/>
  <c r="AB686" i="2"/>
  <c r="V720" i="2"/>
  <c r="AA695" i="2"/>
  <c r="AG695" i="2"/>
  <c r="AE695" i="2"/>
  <c r="AC695" i="2"/>
  <c r="S695" i="2"/>
  <c r="T601" i="2"/>
  <c r="AA640" i="2"/>
  <c r="AC640" i="2"/>
  <c r="AB640" i="2"/>
  <c r="AG640" i="2"/>
  <c r="AG665" i="2"/>
  <c r="AF665" i="2"/>
  <c r="AB657" i="2"/>
  <c r="Z657" i="2"/>
  <c r="Y657" i="2"/>
  <c r="AC636" i="2"/>
  <c r="Z636" i="2"/>
  <c r="V636" i="2"/>
  <c r="Y631" i="2"/>
  <c r="Z651" i="2"/>
  <c r="AC651" i="2"/>
  <c r="AB651" i="2"/>
  <c r="AB620" i="2"/>
  <c r="W620" i="2"/>
  <c r="S620" i="2"/>
  <c r="AG663" i="2"/>
  <c r="S694" i="2"/>
  <c r="AC694" i="2"/>
  <c r="Z687" i="2"/>
  <c r="S660" i="2"/>
  <c r="T707" i="2"/>
  <c r="AC672" i="2"/>
  <c r="AA672" i="2"/>
  <c r="AD686" i="2"/>
  <c r="Z720" i="2"/>
  <c r="V728" i="2"/>
  <c r="AE713" i="2"/>
  <c r="AG713" i="2"/>
  <c r="Y713" i="2"/>
  <c r="X655" i="2"/>
  <c r="V628" i="2"/>
  <c r="AG596" i="2"/>
  <c r="AF596" i="2"/>
  <c r="AB728" i="2"/>
  <c r="AA611" i="2"/>
  <c r="AD611" i="2"/>
  <c r="AC618" i="2"/>
  <c r="AB618" i="2"/>
  <c r="X601" i="2"/>
  <c r="AA632" i="2"/>
  <c r="V632" i="2"/>
  <c r="T632" i="2"/>
  <c r="AG632" i="2"/>
  <c r="AE636" i="2"/>
  <c r="AB674" i="2"/>
  <c r="AD674" i="2"/>
  <c r="AC674" i="2"/>
  <c r="AC631" i="2"/>
  <c r="W651" i="2"/>
  <c r="AC668" i="2"/>
  <c r="Y596" i="2"/>
  <c r="S700" i="2"/>
  <c r="AC662" i="2"/>
  <c r="AC708" i="2"/>
  <c r="AG708" i="2"/>
  <c r="Z708" i="2"/>
  <c r="Y705" i="2"/>
  <c r="Y701" i="2"/>
  <c r="X708" i="2"/>
  <c r="T715" i="2"/>
  <c r="AE705" i="2"/>
  <c r="V679" i="2"/>
  <c r="Z712" i="2"/>
  <c r="AB701" i="2"/>
  <c r="V722" i="2"/>
  <c r="AE727" i="2"/>
  <c r="V721" i="2"/>
  <c r="X715" i="2"/>
  <c r="X724" i="2"/>
  <c r="T677" i="2"/>
  <c r="Z679" i="2"/>
  <c r="X658" i="2"/>
  <c r="AD712" i="2"/>
  <c r="AF701" i="2"/>
  <c r="AB721" i="2"/>
  <c r="T728" i="2"/>
  <c r="Z715" i="2"/>
  <c r="AB679" i="2"/>
  <c r="AF712" i="2"/>
  <c r="AG701" i="2"/>
  <c r="AD721" i="2"/>
  <c r="AE605" i="2"/>
  <c r="AD565" i="2"/>
  <c r="AE664" i="2"/>
  <c r="AD518" i="2"/>
  <c r="AC678" i="2"/>
  <c r="AC671" i="2"/>
  <c r="AG702" i="2"/>
  <c r="X723" i="2"/>
  <c r="AG680" i="2"/>
  <c r="X696" i="2"/>
  <c r="X725" i="2"/>
  <c r="AE676" i="2"/>
  <c r="AD724" i="2"/>
  <c r="AF718" i="2"/>
  <c r="AG729" i="2"/>
  <c r="Z677" i="2"/>
  <c r="Z658" i="2"/>
  <c r="AF719" i="2"/>
  <c r="Y697" i="2"/>
  <c r="AB714" i="2"/>
  <c r="S727" i="2"/>
  <c r="W629" i="2"/>
  <c r="X624" i="2"/>
  <c r="AE565" i="2"/>
  <c r="V656" i="2"/>
  <c r="V682" i="2"/>
  <c r="AE700" i="2"/>
  <c r="AE678" i="2"/>
  <c r="AE671" i="2"/>
  <c r="Z723" i="2"/>
  <c r="T720" i="2"/>
  <c r="Z696" i="2"/>
  <c r="AG676" i="2"/>
  <c r="AF724" i="2"/>
  <c r="AB677" i="2"/>
  <c r="S705" i="2"/>
  <c r="AB658" i="2"/>
  <c r="T701" i="2"/>
  <c r="W727" i="2"/>
  <c r="E318" i="3"/>
  <c r="T428" i="3"/>
  <c r="E57" i="3"/>
  <c r="E434" i="3"/>
  <c r="M376" i="3"/>
  <c r="F405" i="3"/>
  <c r="U402" i="3" s="1"/>
  <c r="E376" i="3"/>
  <c r="E115" i="3"/>
  <c r="N463" i="3"/>
  <c r="I57" i="3"/>
  <c r="L434" i="3"/>
  <c r="J434" i="3"/>
  <c r="E51" i="3"/>
  <c r="J225" i="3"/>
  <c r="I434" i="3"/>
  <c r="I173" i="3"/>
  <c r="I260" i="3"/>
  <c r="O376" i="3"/>
  <c r="I399" i="3"/>
  <c r="S399" i="3"/>
  <c r="I405" i="3"/>
  <c r="J399" i="3"/>
  <c r="T399" i="3"/>
  <c r="E399" i="3"/>
  <c r="P399" i="3"/>
  <c r="N434" i="3"/>
  <c r="I318" i="3"/>
  <c r="F376" i="3"/>
  <c r="O428" i="3"/>
  <c r="Y428" i="3"/>
  <c r="I231" i="3"/>
  <c r="I463" i="3"/>
  <c r="E86" i="3"/>
  <c r="N376" i="3"/>
  <c r="N405" i="3"/>
  <c r="G405" i="3"/>
  <c r="T457" i="3"/>
  <c r="J463" i="3"/>
  <c r="I289" i="3"/>
  <c r="E347" i="3"/>
  <c r="G428" i="3"/>
  <c r="R428" i="3"/>
  <c r="I202" i="3"/>
  <c r="S428" i="3"/>
  <c r="I457" i="3"/>
  <c r="S457" i="3"/>
  <c r="J312" i="3"/>
  <c r="G370" i="3"/>
  <c r="R370" i="3"/>
  <c r="I376" i="3"/>
  <c r="G376" i="3"/>
  <c r="X399" i="3"/>
  <c r="J405" i="3"/>
  <c r="J370" i="3"/>
  <c r="T370" i="3"/>
  <c r="E370" i="3"/>
  <c r="P370" i="3"/>
  <c r="J376" i="3"/>
  <c r="K399" i="3"/>
  <c r="U399" i="3"/>
  <c r="M399" i="3"/>
  <c r="W399" i="3"/>
  <c r="L428" i="3"/>
  <c r="V428" i="3"/>
  <c r="K434" i="3"/>
  <c r="J80" i="3"/>
  <c r="E80" i="3"/>
  <c r="E341" i="3"/>
  <c r="K370" i="3"/>
  <c r="U370" i="3"/>
  <c r="F370" i="3"/>
  <c r="Q370" i="3"/>
  <c r="M370" i="3"/>
  <c r="W370" i="3"/>
  <c r="O370" i="3"/>
  <c r="Y370" i="3"/>
  <c r="K376" i="3"/>
  <c r="L399" i="3"/>
  <c r="V399" i="3"/>
  <c r="G399" i="3"/>
  <c r="R399" i="3"/>
  <c r="N399" i="3"/>
  <c r="L405" i="3"/>
  <c r="K405" i="3"/>
  <c r="M428" i="3"/>
  <c r="W428" i="3"/>
  <c r="I428" i="3"/>
  <c r="L463" i="3"/>
  <c r="K463" i="3"/>
  <c r="I86" i="3"/>
  <c r="E196" i="3"/>
  <c r="J254" i="3"/>
  <c r="L370" i="3"/>
  <c r="V370" i="3"/>
  <c r="N370" i="3"/>
  <c r="X370" i="3"/>
  <c r="L376" i="3"/>
  <c r="M405" i="3"/>
  <c r="J428" i="3"/>
  <c r="F463" i="3"/>
  <c r="J109" i="3"/>
  <c r="E109" i="3"/>
  <c r="E144" i="3"/>
  <c r="J167" i="3"/>
  <c r="E173" i="3"/>
  <c r="E225" i="3"/>
  <c r="J283" i="3"/>
  <c r="J341" i="3"/>
  <c r="I370" i="3"/>
  <c r="S370" i="3"/>
  <c r="K428" i="3"/>
  <c r="U428" i="3"/>
  <c r="M463" i="3"/>
  <c r="J51" i="3"/>
  <c r="J138" i="3"/>
  <c r="J196" i="3"/>
  <c r="E202" i="3"/>
  <c r="E254" i="3"/>
  <c r="O405" i="3"/>
  <c r="O434" i="3"/>
  <c r="E457" i="3"/>
  <c r="P457" i="3"/>
  <c r="L457" i="3"/>
  <c r="V457" i="3"/>
  <c r="G457" i="3"/>
  <c r="R457" i="3"/>
  <c r="J457" i="3"/>
  <c r="O463" i="3"/>
  <c r="I144" i="3"/>
  <c r="E167" i="3"/>
  <c r="E231" i="3"/>
  <c r="E289" i="3"/>
  <c r="F457" i="3"/>
  <c r="Q457" i="3"/>
  <c r="K10" i="3"/>
  <c r="E53" i="12"/>
  <c r="X52" i="2"/>
  <c r="P234" i="3" s="1"/>
  <c r="AG52" i="2"/>
  <c r="Y234" i="3" s="1"/>
  <c r="W52" i="2"/>
  <c r="O234" i="3" s="1"/>
  <c r="B34" i="7"/>
  <c r="B40" i="6"/>
  <c r="B79" i="4"/>
  <c r="N6" i="3"/>
  <c r="AQ82" i="2"/>
  <c r="P83" i="3" s="1"/>
  <c r="D25" i="7"/>
  <c r="D33" i="5"/>
  <c r="D63" i="4"/>
  <c r="AD114" i="2"/>
  <c r="V35" i="3" s="1"/>
  <c r="B32" i="6"/>
  <c r="B59" i="4"/>
  <c r="B28" i="5"/>
  <c r="B52" i="4"/>
  <c r="O6" i="3"/>
  <c r="AC25" i="2"/>
  <c r="U44" i="3" s="1"/>
  <c r="S25" i="2"/>
  <c r="K44" i="3" s="1"/>
  <c r="E36" i="12"/>
  <c r="AC29" i="2"/>
  <c r="U152" i="3" s="1"/>
  <c r="S6" i="2"/>
  <c r="K130" i="3" s="1"/>
  <c r="AB21" i="2"/>
  <c r="T275" i="3" s="1"/>
  <c r="AM76" i="2"/>
  <c r="L199" i="3" s="1"/>
  <c r="E2" i="12"/>
  <c r="J2" i="3"/>
  <c r="AA4" i="2"/>
  <c r="S325" i="3" s="1"/>
  <c r="Q6" i="3"/>
  <c r="O10" i="3"/>
  <c r="E11" i="12"/>
  <c r="E50" i="12"/>
  <c r="AC2" i="2"/>
  <c r="U263" i="3" s="1"/>
  <c r="D5" i="5"/>
  <c r="D5" i="4"/>
  <c r="AA3" i="2"/>
  <c r="S118" i="3" s="1"/>
  <c r="U13" i="12"/>
  <c r="Z10" i="3"/>
  <c r="V11" i="2"/>
  <c r="N300" i="3" s="1"/>
  <c r="AE6" i="2"/>
  <c r="W130" i="3" s="1"/>
  <c r="W2" i="2"/>
  <c r="O263" i="3" s="1"/>
  <c r="AG2" i="2"/>
  <c r="Y263" i="3" s="1"/>
  <c r="V4" i="2"/>
  <c r="N325" i="3" s="1"/>
  <c r="AF4" i="2"/>
  <c r="X325" i="3" s="1"/>
  <c r="AE3" i="2"/>
  <c r="W118" i="3" s="1"/>
  <c r="V6" i="3"/>
  <c r="E13" i="12"/>
  <c r="J10" i="3"/>
  <c r="T10" i="3"/>
  <c r="D5" i="7"/>
  <c r="D9" i="4"/>
  <c r="AA7" i="2"/>
  <c r="S11" i="3" s="1"/>
  <c r="Z11" i="2"/>
  <c r="R300" i="3" s="1"/>
  <c r="B3" i="8"/>
  <c r="B14" i="3"/>
  <c r="Y6" i="2"/>
  <c r="Q130" i="3" s="1"/>
  <c r="X12" i="2"/>
  <c r="P217" i="3" s="1"/>
  <c r="U49" i="12"/>
  <c r="W10" i="2"/>
  <c r="AG10" i="2"/>
  <c r="V14" i="2"/>
  <c r="N326" i="3" s="1"/>
  <c r="AF14" i="2"/>
  <c r="X326" i="3" s="1"/>
  <c r="AE15" i="2"/>
  <c r="W264" i="3" s="1"/>
  <c r="E43" i="12"/>
  <c r="D9" i="7"/>
  <c r="D7" i="6"/>
  <c r="D16" i="4"/>
  <c r="AA23" i="2"/>
  <c r="S271" i="3" s="1"/>
  <c r="AA19" i="2"/>
  <c r="S246" i="3" s="1"/>
  <c r="AG17" i="2"/>
  <c r="Y43" i="3" s="1"/>
  <c r="W17" i="2"/>
  <c r="O43" i="3" s="1"/>
  <c r="AB17" i="2"/>
  <c r="T43" i="3" s="1"/>
  <c r="V20" i="2"/>
  <c r="N73" i="3" s="1"/>
  <c r="Y25" i="2"/>
  <c r="Q44" i="3" s="1"/>
  <c r="B8" i="6"/>
  <c r="B11" i="5"/>
  <c r="B18" i="4"/>
  <c r="Y26" i="2"/>
  <c r="Q31" i="3" s="1"/>
  <c r="B10" i="5"/>
  <c r="B17" i="4"/>
  <c r="Z29" i="2"/>
  <c r="R152" i="3" s="1"/>
  <c r="AB22" i="2"/>
  <c r="T119" i="3" s="1"/>
  <c r="S33" i="2"/>
  <c r="K93" i="3" s="1"/>
  <c r="AN61" i="2"/>
  <c r="S36" i="2"/>
  <c r="K122" i="3" s="1"/>
  <c r="T30" i="2"/>
  <c r="L209" i="3" s="1"/>
  <c r="AE30" i="2"/>
  <c r="W209" i="3" s="1"/>
  <c r="AF34" i="2"/>
  <c r="X72" i="3" s="1"/>
  <c r="V40" i="2"/>
  <c r="N39" i="3" s="1"/>
  <c r="Z28" i="2"/>
  <c r="R293" i="3" s="1"/>
  <c r="AB38" i="2"/>
  <c r="T239" i="3" s="1"/>
  <c r="E57" i="12"/>
  <c r="T54" i="2"/>
  <c r="L147" i="3" s="1"/>
  <c r="AE54" i="2"/>
  <c r="W147" i="3" s="1"/>
  <c r="U37" i="12"/>
  <c r="B7" i="9"/>
  <c r="Z41" i="2"/>
  <c r="R247" i="3" s="1"/>
  <c r="Z49" i="2"/>
  <c r="R151" i="3" s="1"/>
  <c r="D15" i="7"/>
  <c r="D40" i="4"/>
  <c r="AB60" i="2"/>
  <c r="T155" i="3" s="1"/>
  <c r="E118" i="12"/>
  <c r="T64" i="2"/>
  <c r="L181" i="3" s="1"/>
  <c r="D18" i="5"/>
  <c r="D30" i="4"/>
  <c r="D17" i="7"/>
  <c r="D25" i="6"/>
  <c r="D44" i="4"/>
  <c r="E60" i="12"/>
  <c r="U97" i="12"/>
  <c r="W63" i="2"/>
  <c r="O214" i="3" s="1"/>
  <c r="Z58" i="2"/>
  <c r="R60" i="3" s="1"/>
  <c r="Y58" i="2"/>
  <c r="Q60" i="3" s="1"/>
  <c r="AC58" i="2"/>
  <c r="U60" i="3" s="1"/>
  <c r="T72" i="2"/>
  <c r="L276" i="3" s="1"/>
  <c r="AG65" i="2"/>
  <c r="Y218" i="3" s="1"/>
  <c r="W65" i="2"/>
  <c r="O218" i="3" s="1"/>
  <c r="AF65" i="2"/>
  <c r="X218" i="3" s="1"/>
  <c r="V65" i="2"/>
  <c r="N218" i="3" s="1"/>
  <c r="AC65" i="2"/>
  <c r="U218" i="3" s="1"/>
  <c r="B20" i="8"/>
  <c r="AE68" i="2"/>
  <c r="W45" i="3" s="1"/>
  <c r="AD68" i="2"/>
  <c r="V45" i="3" s="1"/>
  <c r="T68" i="2"/>
  <c r="L45" i="3" s="1"/>
  <c r="AC68" i="2"/>
  <c r="U45" i="3" s="1"/>
  <c r="E51" i="12"/>
  <c r="T57" i="2"/>
  <c r="L98" i="3" s="1"/>
  <c r="B24" i="5"/>
  <c r="B43" i="4"/>
  <c r="AB52" i="2"/>
  <c r="T234" i="3" s="1"/>
  <c r="U130" i="12"/>
  <c r="B27" i="6"/>
  <c r="B49" i="4"/>
  <c r="AB75" i="2"/>
  <c r="T180" i="3" s="1"/>
  <c r="U164" i="12"/>
  <c r="B25" i="7"/>
  <c r="B33" i="5"/>
  <c r="B63" i="4"/>
  <c r="AG121" i="2"/>
  <c r="Y68" i="3" s="1"/>
  <c r="W121" i="2"/>
  <c r="O68" i="3" s="1"/>
  <c r="AF121" i="2"/>
  <c r="X68" i="3" s="1"/>
  <c r="V121" i="2"/>
  <c r="N68" i="3" s="1"/>
  <c r="X121" i="2"/>
  <c r="P68" i="3" s="1"/>
  <c r="AD121" i="2"/>
  <c r="V68" i="3" s="1"/>
  <c r="D27" i="7"/>
  <c r="D34" i="5"/>
  <c r="D66" i="4"/>
  <c r="U72" i="12"/>
  <c r="T88" i="2"/>
  <c r="L248" i="3" s="1"/>
  <c r="AB114" i="2"/>
  <c r="T35" i="3" s="1"/>
  <c r="B30" i="7"/>
  <c r="B69" i="4"/>
  <c r="E82" i="12"/>
  <c r="U82" i="12"/>
  <c r="AC103" i="2"/>
  <c r="U125" i="3" s="1"/>
  <c r="AO98" i="2"/>
  <c r="Z42" i="2"/>
  <c r="R149" i="3" s="1"/>
  <c r="D31" i="5"/>
  <c r="D56" i="4"/>
  <c r="U33" i="12"/>
  <c r="U111" i="12"/>
  <c r="E234" i="12"/>
  <c r="D46" i="6"/>
  <c r="D89" i="4"/>
  <c r="U123" i="12"/>
  <c r="AC215" i="2"/>
  <c r="S215" i="2"/>
  <c r="AB215" i="2"/>
  <c r="Z215" i="2"/>
  <c r="Y215" i="2"/>
  <c r="X215" i="2"/>
  <c r="W215" i="2"/>
  <c r="V215" i="2"/>
  <c r="AG215" i="2"/>
  <c r="T215" i="2"/>
  <c r="AF215" i="2"/>
  <c r="AA215" i="2"/>
  <c r="D51" i="5"/>
  <c r="D105" i="4"/>
  <c r="AC200" i="2"/>
  <c r="U65" i="3" s="1"/>
  <c r="S200" i="2"/>
  <c r="K65" i="3" s="1"/>
  <c r="X200" i="2"/>
  <c r="P65" i="3" s="1"/>
  <c r="W200" i="2"/>
  <c r="O65" i="3" s="1"/>
  <c r="V200" i="2"/>
  <c r="N65" i="3" s="1"/>
  <c r="D66" i="7"/>
  <c r="D141" i="4"/>
  <c r="AF252" i="2"/>
  <c r="V252" i="2"/>
  <c r="AE252" i="2"/>
  <c r="AD252" i="2"/>
  <c r="T252" i="2"/>
  <c r="AC252" i="2"/>
  <c r="S252" i="2"/>
  <c r="AB252" i="2"/>
  <c r="AG252" i="2"/>
  <c r="AA252" i="2"/>
  <c r="Z252" i="2"/>
  <c r="Y252" i="2"/>
  <c r="X252" i="2"/>
  <c r="W252" i="2"/>
  <c r="U300" i="2"/>
  <c r="U41" i="12"/>
  <c r="B44" i="6"/>
  <c r="B86" i="4"/>
  <c r="U74" i="12"/>
  <c r="U212" i="12"/>
  <c r="B16" i="9"/>
  <c r="B50" i="7"/>
  <c r="B107" i="4"/>
  <c r="E269" i="12"/>
  <c r="Z217" i="2"/>
  <c r="Y217" i="2"/>
  <c r="AG217" i="2"/>
  <c r="W217" i="2"/>
  <c r="AA217" i="2"/>
  <c r="X217" i="2"/>
  <c r="V217" i="2"/>
  <c r="T217" i="2"/>
  <c r="AF217" i="2"/>
  <c r="S217" i="2"/>
  <c r="AE217" i="2"/>
  <c r="AB217" i="2"/>
  <c r="AL137" i="2"/>
  <c r="B52" i="5"/>
  <c r="B109" i="4"/>
  <c r="U120" i="12"/>
  <c r="U156" i="12"/>
  <c r="X251" i="2"/>
  <c r="AG251" i="2"/>
  <c r="W251" i="2"/>
  <c r="AF251" i="2"/>
  <c r="V251" i="2"/>
  <c r="AE251" i="2"/>
  <c r="AD251" i="2"/>
  <c r="T251" i="2"/>
  <c r="AC251" i="2"/>
  <c r="S251" i="2"/>
  <c r="AB251" i="2"/>
  <c r="AA251" i="2"/>
  <c r="Z251" i="2"/>
  <c r="Y251" i="2"/>
  <c r="B86" i="8"/>
  <c r="U2" i="12"/>
  <c r="Z2" i="3"/>
  <c r="E165" i="12"/>
  <c r="Y100" i="2"/>
  <c r="Q103" i="3" s="1"/>
  <c r="X100" i="2"/>
  <c r="P103" i="3" s="1"/>
  <c r="Z100" i="2"/>
  <c r="R103" i="3" s="1"/>
  <c r="D39" i="7"/>
  <c r="D45" i="5"/>
  <c r="D45" i="6"/>
  <c r="D88" i="4"/>
  <c r="U374" i="12"/>
  <c r="B3" i="5"/>
  <c r="B2" i="3"/>
  <c r="B3" i="4"/>
  <c r="AC19" i="2"/>
  <c r="U246" i="3" s="1"/>
  <c r="AC49" i="2"/>
  <c r="U151" i="3" s="1"/>
  <c r="B8" i="9"/>
  <c r="E177" i="12"/>
  <c r="AC110" i="2"/>
  <c r="U157" i="3" s="1"/>
  <c r="S110" i="2"/>
  <c r="K157" i="3" s="1"/>
  <c r="AB110" i="2"/>
  <c r="T157" i="3" s="1"/>
  <c r="AD110" i="2"/>
  <c r="V157" i="3" s="1"/>
  <c r="T110" i="2"/>
  <c r="L157" i="3" s="1"/>
  <c r="E184" i="12"/>
  <c r="AC11" i="2"/>
  <c r="U300" i="3" s="1"/>
  <c r="B5" i="6"/>
  <c r="B12" i="4"/>
  <c r="D9" i="6"/>
  <c r="D21" i="4"/>
  <c r="U14" i="12"/>
  <c r="B10" i="7"/>
  <c r="B15" i="6"/>
  <c r="B28" i="4"/>
  <c r="B13" i="5"/>
  <c r="B20" i="4"/>
  <c r="D14" i="5"/>
  <c r="D22" i="4"/>
  <c r="E24" i="12"/>
  <c r="AC28" i="2"/>
  <c r="U293" i="3" s="1"/>
  <c r="U29" i="12"/>
  <c r="AF48" i="2"/>
  <c r="X148" i="3" s="1"/>
  <c r="V48" i="2"/>
  <c r="N148" i="3" s="1"/>
  <c r="AB48" i="2"/>
  <c r="T148" i="3" s="1"/>
  <c r="E127" i="12"/>
  <c r="AD41" i="2"/>
  <c r="V247" i="3" s="1"/>
  <c r="S49" i="2"/>
  <c r="K151" i="3" s="1"/>
  <c r="AD49" i="2"/>
  <c r="V151" i="3" s="1"/>
  <c r="B16" i="7"/>
  <c r="B24" i="6"/>
  <c r="B42" i="4"/>
  <c r="AG51" i="2"/>
  <c r="Y36" i="3" s="1"/>
  <c r="W51" i="2"/>
  <c r="O36" i="3" s="1"/>
  <c r="AF51" i="2"/>
  <c r="X36" i="3" s="1"/>
  <c r="V51" i="2"/>
  <c r="N36" i="3" s="1"/>
  <c r="AC51" i="2"/>
  <c r="U36" i="3" s="1"/>
  <c r="B20" i="5"/>
  <c r="B32" i="4"/>
  <c r="AE35" i="2"/>
  <c r="W321" i="3" s="1"/>
  <c r="AD35" i="2"/>
  <c r="V321" i="3" s="1"/>
  <c r="T35" i="2"/>
  <c r="L321" i="3" s="1"/>
  <c r="AC35" i="2"/>
  <c r="U321" i="3" s="1"/>
  <c r="E21" i="12"/>
  <c r="B20" i="7"/>
  <c r="B28" i="6"/>
  <c r="B51" i="4"/>
  <c r="U117" i="12"/>
  <c r="U165" i="12"/>
  <c r="AC83" i="2"/>
  <c r="U46" i="3" s="1"/>
  <c r="S83" i="2"/>
  <c r="K46" i="3" s="1"/>
  <c r="AB83" i="2"/>
  <c r="T46" i="3" s="1"/>
  <c r="AD83" i="2"/>
  <c r="V46" i="3" s="1"/>
  <c r="S52" i="2"/>
  <c r="K234" i="3" s="1"/>
  <c r="AE52" i="2"/>
  <c r="W234" i="3" s="1"/>
  <c r="AK87" i="2"/>
  <c r="J84" i="3" s="1"/>
  <c r="AG75" i="2"/>
  <c r="Y180" i="3" s="1"/>
  <c r="S100" i="2"/>
  <c r="K103" i="3" s="1"/>
  <c r="AF100" i="2"/>
  <c r="X103" i="3" s="1"/>
  <c r="AF109" i="2"/>
  <c r="X123" i="3" s="1"/>
  <c r="V109" i="2"/>
  <c r="N123" i="3" s="1"/>
  <c r="AE109" i="2"/>
  <c r="W123" i="3" s="1"/>
  <c r="AG109" i="2"/>
  <c r="Y123" i="3" s="1"/>
  <c r="W109" i="2"/>
  <c r="O123" i="3" s="1"/>
  <c r="AD109" i="2"/>
  <c r="V123" i="3" s="1"/>
  <c r="D28" i="7"/>
  <c r="D35" i="6"/>
  <c r="D67" i="4"/>
  <c r="AG110" i="2"/>
  <c r="Y157" i="3" s="1"/>
  <c r="B30" i="6"/>
  <c r="B57" i="4"/>
  <c r="E134" i="12"/>
  <c r="E42" i="12"/>
  <c r="AE114" i="2"/>
  <c r="W35" i="3" s="1"/>
  <c r="S103" i="2"/>
  <c r="K125" i="3" s="1"/>
  <c r="AG104" i="2"/>
  <c r="Y206" i="3" s="1"/>
  <c r="W104" i="2"/>
  <c r="O206" i="3" s="1"/>
  <c r="AD104" i="2"/>
  <c r="V206" i="3" s="1"/>
  <c r="S104" i="2"/>
  <c r="K206" i="3" s="1"/>
  <c r="AC104" i="2"/>
  <c r="U206" i="3" s="1"/>
  <c r="AE104" i="2"/>
  <c r="W206" i="3" s="1"/>
  <c r="T104" i="2"/>
  <c r="L206" i="3" s="1"/>
  <c r="U100" i="12"/>
  <c r="E59" i="12"/>
  <c r="B33" i="7"/>
  <c r="B78" i="4"/>
  <c r="S97" i="2"/>
  <c r="K131" i="3" s="1"/>
  <c r="E111" i="12"/>
  <c r="E112" i="12"/>
  <c r="U91" i="12"/>
  <c r="U179" i="2"/>
  <c r="M162" i="3" s="1"/>
  <c r="AC207" i="2"/>
  <c r="U104" i="3" s="1"/>
  <c r="X201" i="2"/>
  <c r="W201" i="2"/>
  <c r="V201" i="2"/>
  <c r="T201" i="2"/>
  <c r="S201" i="2"/>
  <c r="AE201" i="2"/>
  <c r="P2" i="3"/>
  <c r="W699" i="12"/>
  <c r="AN86" i="2"/>
  <c r="M344" i="3" s="1"/>
  <c r="E35" i="12"/>
  <c r="B19" i="7"/>
  <c r="B26" i="6"/>
  <c r="B48" i="4"/>
  <c r="AD100" i="2"/>
  <c r="V103" i="3" s="1"/>
  <c r="B70" i="7"/>
  <c r="B72" i="6"/>
  <c r="B148" i="4"/>
  <c r="U10" i="12"/>
  <c r="AB29" i="2"/>
  <c r="T152" i="3" s="1"/>
  <c r="U101" i="12"/>
  <c r="U37" i="2"/>
  <c r="M64" i="3" s="1"/>
  <c r="AK86" i="2"/>
  <c r="J344" i="3" s="1"/>
  <c r="U60" i="12"/>
  <c r="D27" i="6"/>
  <c r="D49" i="4"/>
  <c r="D30" i="7"/>
  <c r="D69" i="4"/>
  <c r="B3" i="6"/>
  <c r="B4" i="5"/>
  <c r="B4" i="4"/>
  <c r="AA12" i="2"/>
  <c r="S217" i="3" s="1"/>
  <c r="E23" i="12"/>
  <c r="E49" i="12"/>
  <c r="U23" i="2"/>
  <c r="M271" i="3" s="1"/>
  <c r="AE19" i="2"/>
  <c r="W246" i="3" s="1"/>
  <c r="AD21" i="2"/>
  <c r="V275" i="3" s="1"/>
  <c r="T21" i="2"/>
  <c r="L275" i="3" s="1"/>
  <c r="S29" i="2"/>
  <c r="K152" i="3" s="1"/>
  <c r="U27" i="12"/>
  <c r="AG32" i="2"/>
  <c r="Y90" i="3" s="1"/>
  <c r="W32" i="2"/>
  <c r="O90" i="3" s="1"/>
  <c r="AB32" i="2"/>
  <c r="T90" i="3" s="1"/>
  <c r="S28" i="2"/>
  <c r="K293" i="3" s="1"/>
  <c r="AD28" i="2"/>
  <c r="V293" i="3" s="1"/>
  <c r="AQ70" i="2"/>
  <c r="P112" i="3" s="1"/>
  <c r="U20" i="12"/>
  <c r="B16" i="6"/>
  <c r="B17" i="5"/>
  <c r="B29" i="4"/>
  <c r="B13" i="7"/>
  <c r="B22" i="6"/>
  <c r="B37" i="4"/>
  <c r="D19" i="5"/>
  <c r="D17" i="6"/>
  <c r="D31" i="4"/>
  <c r="E52" i="12"/>
  <c r="AC48" i="2"/>
  <c r="U148" i="3" s="1"/>
  <c r="AM86" i="2"/>
  <c r="L344" i="3" s="1"/>
  <c r="T41" i="2"/>
  <c r="L247" i="3" s="1"/>
  <c r="AE41" i="2"/>
  <c r="W247" i="3" s="1"/>
  <c r="T49" i="2"/>
  <c r="L151" i="3" s="1"/>
  <c r="AE49" i="2"/>
  <c r="W151" i="3" s="1"/>
  <c r="E48" i="12"/>
  <c r="AD51" i="2"/>
  <c r="V36" i="3" s="1"/>
  <c r="E54" i="12"/>
  <c r="AF35" i="2"/>
  <c r="X321" i="3" s="1"/>
  <c r="AC63" i="2"/>
  <c r="U214" i="3" s="1"/>
  <c r="X89" i="2"/>
  <c r="P184" i="3" s="1"/>
  <c r="AG89" i="2"/>
  <c r="Y184" i="3" s="1"/>
  <c r="W89" i="2"/>
  <c r="O184" i="3" s="1"/>
  <c r="AC89" i="2"/>
  <c r="U184" i="3" s="1"/>
  <c r="AE83" i="2"/>
  <c r="W46" i="3" s="1"/>
  <c r="Y108" i="2"/>
  <c r="Q97" i="3" s="1"/>
  <c r="X108" i="2"/>
  <c r="P97" i="3" s="1"/>
  <c r="AC108" i="2"/>
  <c r="U97" i="3" s="1"/>
  <c r="T52" i="2"/>
  <c r="L234" i="3" s="1"/>
  <c r="AF52" i="2"/>
  <c r="X234" i="3" s="1"/>
  <c r="U45" i="12"/>
  <c r="T100" i="2"/>
  <c r="L103" i="3" s="1"/>
  <c r="AG100" i="2"/>
  <c r="Y103" i="3" s="1"/>
  <c r="B29" i="6"/>
  <c r="B30" i="5"/>
  <c r="B54" i="4"/>
  <c r="E64" i="12"/>
  <c r="U64" i="12"/>
  <c r="U93" i="12"/>
  <c r="D29" i="7"/>
  <c r="D36" i="6"/>
  <c r="D68" i="4"/>
  <c r="S114" i="2"/>
  <c r="K35" i="3" s="1"/>
  <c r="AF114" i="2"/>
  <c r="X35" i="3" s="1"/>
  <c r="D32" i="6"/>
  <c r="D59" i="4"/>
  <c r="W103" i="2"/>
  <c r="O125" i="3" s="1"/>
  <c r="B27" i="5"/>
  <c r="B50" i="4"/>
  <c r="AB73" i="2"/>
  <c r="T294" i="3" s="1"/>
  <c r="AE73" i="2"/>
  <c r="W294" i="3" s="1"/>
  <c r="T73" i="2"/>
  <c r="L294" i="3" s="1"/>
  <c r="AD73" i="2"/>
  <c r="V294" i="3" s="1"/>
  <c r="S73" i="2"/>
  <c r="K294" i="3" s="1"/>
  <c r="AF73" i="2"/>
  <c r="X294" i="3" s="1"/>
  <c r="U55" i="12"/>
  <c r="AF113" i="2"/>
  <c r="X273" i="3" s="1"/>
  <c r="V113" i="2"/>
  <c r="N273" i="3" s="1"/>
  <c r="AG113" i="2"/>
  <c r="Y273" i="3" s="1"/>
  <c r="AE113" i="2"/>
  <c r="W273" i="3" s="1"/>
  <c r="T113" i="2"/>
  <c r="L273" i="3" s="1"/>
  <c r="W113" i="2"/>
  <c r="O273" i="3" s="1"/>
  <c r="U59" i="12"/>
  <c r="AF119" i="2"/>
  <c r="X120" i="3" s="1"/>
  <c r="V119" i="2"/>
  <c r="N120" i="3" s="1"/>
  <c r="X119" i="2"/>
  <c r="P120" i="3" s="1"/>
  <c r="W119" i="2"/>
  <c r="O120" i="3" s="1"/>
  <c r="AE119" i="2"/>
  <c r="W120" i="3" s="1"/>
  <c r="T119" i="2"/>
  <c r="L120" i="3" s="1"/>
  <c r="AD119" i="2"/>
  <c r="V120" i="3" s="1"/>
  <c r="S119" i="2"/>
  <c r="K120" i="3" s="1"/>
  <c r="Y119" i="2"/>
  <c r="Q120" i="3" s="1"/>
  <c r="T97" i="2"/>
  <c r="L131" i="3" s="1"/>
  <c r="U85" i="12"/>
  <c r="AC138" i="2"/>
  <c r="U241" i="3" s="1"/>
  <c r="S138" i="2"/>
  <c r="K241" i="3" s="1"/>
  <c r="AB138" i="2"/>
  <c r="T241" i="3" s="1"/>
  <c r="Y138" i="2"/>
  <c r="Q241" i="3" s="1"/>
  <c r="X138" i="2"/>
  <c r="P241" i="3" s="1"/>
  <c r="V138" i="2"/>
  <c r="N241" i="3" s="1"/>
  <c r="AG138" i="2"/>
  <c r="Y241" i="3" s="1"/>
  <c r="AF138" i="2"/>
  <c r="X241" i="3" s="1"/>
  <c r="T138" i="2"/>
  <c r="L241" i="3" s="1"/>
  <c r="AE138" i="2"/>
  <c r="W241" i="3" s="1"/>
  <c r="Z138" i="2"/>
  <c r="R241" i="3" s="1"/>
  <c r="U169" i="2"/>
  <c r="M269" i="3" s="1"/>
  <c r="E103" i="12"/>
  <c r="E116" i="12"/>
  <c r="AG167" i="2"/>
  <c r="Y240" i="3" s="1"/>
  <c r="W167" i="2"/>
  <c r="O240" i="3" s="1"/>
  <c r="AF167" i="2"/>
  <c r="X240" i="3" s="1"/>
  <c r="V167" i="2"/>
  <c r="N240" i="3" s="1"/>
  <c r="Z167" i="2"/>
  <c r="R240" i="3" s="1"/>
  <c r="Y167" i="2"/>
  <c r="Q240" i="3" s="1"/>
  <c r="X167" i="2"/>
  <c r="P240" i="3" s="1"/>
  <c r="T167" i="2"/>
  <c r="L240" i="3" s="1"/>
  <c r="AE167" i="2"/>
  <c r="W240" i="3" s="1"/>
  <c r="S167" i="2"/>
  <c r="K240" i="3" s="1"/>
  <c r="AD167" i="2"/>
  <c r="V240" i="3" s="1"/>
  <c r="AA167" i="2"/>
  <c r="S240" i="3" s="1"/>
  <c r="E239" i="12"/>
  <c r="U199" i="2"/>
  <c r="M268" i="3" s="1"/>
  <c r="B52" i="7"/>
  <c r="B110" i="4"/>
  <c r="AC217" i="2"/>
  <c r="U92" i="12"/>
  <c r="B68" i="7"/>
  <c r="B69" i="6"/>
  <c r="B145" i="4"/>
  <c r="U307" i="2"/>
  <c r="E15" i="12"/>
  <c r="U39" i="12"/>
  <c r="AD75" i="2"/>
  <c r="V180" i="3" s="1"/>
  <c r="T75" i="2"/>
  <c r="L180" i="3" s="1"/>
  <c r="AC75" i="2"/>
  <c r="U180" i="3" s="1"/>
  <c r="S75" i="2"/>
  <c r="K180" i="3" s="1"/>
  <c r="D3" i="8"/>
  <c r="D14" i="3"/>
  <c r="E84" i="12"/>
  <c r="W703" i="12"/>
  <c r="D24" i="5"/>
  <c r="D43" i="4"/>
  <c r="AD52" i="2"/>
  <c r="V234" i="3" s="1"/>
  <c r="U141" i="12"/>
  <c r="AC31" i="2"/>
  <c r="U236" i="3" s="1"/>
  <c r="AK69" i="2"/>
  <c r="J315" i="3" s="1"/>
  <c r="D3" i="5"/>
  <c r="D2" i="3"/>
  <c r="D3" i="4"/>
  <c r="B5" i="5"/>
  <c r="B5" i="4"/>
  <c r="D8" i="5"/>
  <c r="D11" i="4"/>
  <c r="B7" i="7"/>
  <c r="B9" i="5"/>
  <c r="B14" i="4"/>
  <c r="AB2" i="2"/>
  <c r="T263" i="3" s="1"/>
  <c r="D5" i="6"/>
  <c r="D12" i="4"/>
  <c r="T25" i="2"/>
  <c r="L44" i="3" s="1"/>
  <c r="T26" i="2"/>
  <c r="L31" i="3" s="1"/>
  <c r="T31" i="2"/>
  <c r="L236" i="3" s="1"/>
  <c r="AE31" i="2"/>
  <c r="W236" i="3" s="1"/>
  <c r="AN76" i="2"/>
  <c r="M199" i="3" s="1"/>
  <c r="M202" i="3" s="1"/>
  <c r="U15" i="12"/>
  <c r="D10" i="7"/>
  <c r="D15" i="6"/>
  <c r="D28" i="4"/>
  <c r="X40" i="2"/>
  <c r="P39" i="3" s="1"/>
  <c r="AB40" i="2"/>
  <c r="T39" i="3" s="1"/>
  <c r="D13" i="5"/>
  <c r="D20" i="4"/>
  <c r="E18" i="12"/>
  <c r="AC32" i="2"/>
  <c r="U90" i="3" s="1"/>
  <c r="T28" i="2"/>
  <c r="L293" i="3" s="1"/>
  <c r="AE28" i="2"/>
  <c r="W293" i="3" s="1"/>
  <c r="U53" i="12"/>
  <c r="U154" i="12"/>
  <c r="U57" i="12"/>
  <c r="AG46" i="2"/>
  <c r="Y37" i="3" s="1"/>
  <c r="W46" i="2"/>
  <c r="O37" i="3" s="1"/>
  <c r="AB46" i="2"/>
  <c r="T37" i="3" s="1"/>
  <c r="S48" i="2"/>
  <c r="K148" i="3" s="1"/>
  <c r="AD48" i="2"/>
  <c r="V148" i="3" s="1"/>
  <c r="AO86" i="2"/>
  <c r="N344" i="3" s="1"/>
  <c r="AF41" i="2"/>
  <c r="X247" i="3" s="1"/>
  <c r="AF49" i="2"/>
  <c r="X151" i="3" s="1"/>
  <c r="U56" i="2"/>
  <c r="M185" i="3" s="1"/>
  <c r="U118" i="12"/>
  <c r="D16" i="7"/>
  <c r="D24" i="6"/>
  <c r="D42" i="4"/>
  <c r="S51" i="2"/>
  <c r="K36" i="3" s="1"/>
  <c r="AE51" i="2"/>
  <c r="W36" i="3" s="1"/>
  <c r="D20" i="5"/>
  <c r="D32" i="4"/>
  <c r="S35" i="2"/>
  <c r="K321" i="3" s="1"/>
  <c r="AG35" i="2"/>
  <c r="Y321" i="3" s="1"/>
  <c r="U38" i="12"/>
  <c r="D28" i="6"/>
  <c r="D20" i="7"/>
  <c r="D51" i="4"/>
  <c r="E81" i="12"/>
  <c r="AD89" i="2"/>
  <c r="V184" i="3" s="1"/>
  <c r="B19" i="8"/>
  <c r="AF43" i="2"/>
  <c r="X334" i="3" s="1"/>
  <c r="V43" i="2"/>
  <c r="N334" i="3" s="1"/>
  <c r="AE43" i="2"/>
  <c r="W334" i="3" s="1"/>
  <c r="AC43" i="2"/>
  <c r="U334" i="3" s="1"/>
  <c r="B21" i="7"/>
  <c r="B55" i="4"/>
  <c r="T83" i="2"/>
  <c r="L46" i="3" s="1"/>
  <c r="AF83" i="2"/>
  <c r="X46" i="3" s="1"/>
  <c r="U51" i="12"/>
  <c r="D24" i="7"/>
  <c r="D61" i="4"/>
  <c r="E68" i="12"/>
  <c r="AD108" i="2"/>
  <c r="V97" i="3" s="1"/>
  <c r="AM87" i="2"/>
  <c r="W75" i="2"/>
  <c r="O180" i="3" s="1"/>
  <c r="Z93" i="2"/>
  <c r="R16" i="3" s="1"/>
  <c r="Y93" i="2"/>
  <c r="Q16" i="3" s="1"/>
  <c r="AC93" i="2"/>
  <c r="U16" i="3" s="1"/>
  <c r="S109" i="2"/>
  <c r="K123" i="3" s="1"/>
  <c r="AE94" i="2"/>
  <c r="W99" i="3" s="1"/>
  <c r="AD94" i="2"/>
  <c r="V99" i="3" s="1"/>
  <c r="T94" i="2"/>
  <c r="L99" i="3" s="1"/>
  <c r="AF94" i="2"/>
  <c r="X99" i="3" s="1"/>
  <c r="V94" i="2"/>
  <c r="N99" i="3" s="1"/>
  <c r="AG94" i="2"/>
  <c r="Y99" i="3" s="1"/>
  <c r="V110" i="2"/>
  <c r="N157" i="3" s="1"/>
  <c r="X103" i="2"/>
  <c r="P125" i="3" s="1"/>
  <c r="B31" i="7"/>
  <c r="B72" i="4"/>
  <c r="E66" i="12"/>
  <c r="AE42" i="2"/>
  <c r="W149" i="3" s="1"/>
  <c r="X42" i="2"/>
  <c r="P149" i="3" s="1"/>
  <c r="W42" i="2"/>
  <c r="O149" i="3" s="1"/>
  <c r="Y42" i="2"/>
  <c r="Q149" i="3" s="1"/>
  <c r="AF42" i="2"/>
  <c r="X149" i="3" s="1"/>
  <c r="B32" i="5"/>
  <c r="B62" i="4"/>
  <c r="E73" i="12"/>
  <c r="X97" i="2"/>
  <c r="P131" i="3" s="1"/>
  <c r="U155" i="12"/>
  <c r="W177" i="2"/>
  <c r="O91" i="3" s="1"/>
  <c r="V177" i="2"/>
  <c r="N91" i="3" s="1"/>
  <c r="T177" i="2"/>
  <c r="L91" i="3" s="1"/>
  <c r="AE177" i="2"/>
  <c r="W91" i="3" s="1"/>
  <c r="S177" i="2"/>
  <c r="K91" i="3" s="1"/>
  <c r="AC177" i="2"/>
  <c r="U91" i="3" s="1"/>
  <c r="X177" i="2"/>
  <c r="P91" i="3" s="1"/>
  <c r="B50" i="8"/>
  <c r="D52" i="7"/>
  <c r="D110" i="4"/>
  <c r="AD217" i="2"/>
  <c r="AP150" i="2"/>
  <c r="AO150" i="2"/>
  <c r="B2" i="5"/>
  <c r="B2" i="4"/>
  <c r="E99" i="12"/>
  <c r="U96" i="12"/>
  <c r="D11" i="7"/>
  <c r="D19" i="6"/>
  <c r="D34" i="4"/>
  <c r="AA49" i="2"/>
  <c r="S151" i="3" s="1"/>
  <c r="D22" i="5"/>
  <c r="D38" i="4"/>
  <c r="E79" i="12"/>
  <c r="U78" i="12"/>
  <c r="U122" i="2"/>
  <c r="M242" i="3" s="1"/>
  <c r="U259" i="12"/>
  <c r="U3" i="12"/>
  <c r="X6" i="3"/>
  <c r="V10" i="3"/>
  <c r="D8" i="6"/>
  <c r="D11" i="5"/>
  <c r="D18" i="4"/>
  <c r="AB28" i="2"/>
  <c r="T293" i="3" s="1"/>
  <c r="E26" i="12"/>
  <c r="AE100" i="2"/>
  <c r="W103" i="3" s="1"/>
  <c r="AF110" i="2"/>
  <c r="X157" i="3" s="1"/>
  <c r="X114" i="2"/>
  <c r="P35" i="3" s="1"/>
  <c r="AG114" i="2"/>
  <c r="Y35" i="3" s="1"/>
  <c r="W114" i="2"/>
  <c r="O35" i="3" s="1"/>
  <c r="Y114" i="2"/>
  <c r="Q35" i="3" s="1"/>
  <c r="E63" i="12"/>
  <c r="U4" i="12"/>
  <c r="AB6" i="2"/>
  <c r="T130" i="3" s="1"/>
  <c r="U16" i="12"/>
  <c r="S19" i="2"/>
  <c r="K246" i="3" s="1"/>
  <c r="AB25" i="2"/>
  <c r="T44" i="3" s="1"/>
  <c r="U6" i="12"/>
  <c r="Z6" i="3"/>
  <c r="AB12" i="2"/>
  <c r="T217" i="3" s="1"/>
  <c r="AC12" i="2"/>
  <c r="U217" i="3" s="1"/>
  <c r="AM69" i="2"/>
  <c r="L315" i="3" s="1"/>
  <c r="E3" i="12"/>
  <c r="AE20" i="2"/>
  <c r="W73" i="3" s="1"/>
  <c r="AO76" i="2"/>
  <c r="N199" i="3" s="1"/>
  <c r="B11" i="6"/>
  <c r="B15" i="5"/>
  <c r="B24" i="4"/>
  <c r="B12" i="6"/>
  <c r="B25" i="4"/>
  <c r="E67" i="12"/>
  <c r="AC40" i="2"/>
  <c r="U39" i="3" s="1"/>
  <c r="S32" i="2"/>
  <c r="K90" i="3" s="1"/>
  <c r="AD32" i="2"/>
  <c r="V90" i="3" s="1"/>
  <c r="D16" i="6"/>
  <c r="D17" i="5"/>
  <c r="D29" i="4"/>
  <c r="X39" i="2"/>
  <c r="P210" i="3" s="1"/>
  <c r="AB39" i="2"/>
  <c r="T210" i="3" s="1"/>
  <c r="D13" i="7"/>
  <c r="D22" i="6"/>
  <c r="D37" i="4"/>
  <c r="E37" i="12"/>
  <c r="AC46" i="2"/>
  <c r="U37" i="3" s="1"/>
  <c r="T48" i="2"/>
  <c r="L148" i="3" s="1"/>
  <c r="AE48" i="2"/>
  <c r="W148" i="3" s="1"/>
  <c r="AP86" i="2"/>
  <c r="O344" i="3" s="1"/>
  <c r="V41" i="2"/>
  <c r="N247" i="3" s="1"/>
  <c r="V49" i="2"/>
  <c r="N151" i="3" s="1"/>
  <c r="AG49" i="2"/>
  <c r="Y151" i="3" s="1"/>
  <c r="U35" i="12"/>
  <c r="B20" i="6"/>
  <c r="B35" i="4"/>
  <c r="T51" i="2"/>
  <c r="L36" i="3" s="1"/>
  <c r="U48" i="12"/>
  <c r="V35" i="2"/>
  <c r="N321" i="3" s="1"/>
  <c r="U54" i="12"/>
  <c r="AC27" i="2"/>
  <c r="U101" i="3" s="1"/>
  <c r="S27" i="2"/>
  <c r="K101" i="3" s="1"/>
  <c r="AB27" i="2"/>
  <c r="T101" i="3" s="1"/>
  <c r="AD27" i="2"/>
  <c r="V101" i="3" s="1"/>
  <c r="S63" i="2"/>
  <c r="K214" i="3" s="1"/>
  <c r="AE63" i="2"/>
  <c r="W214" i="3" s="1"/>
  <c r="S89" i="2"/>
  <c r="K184" i="3" s="1"/>
  <c r="AE89" i="2"/>
  <c r="W184" i="3" s="1"/>
  <c r="E107" i="12"/>
  <c r="AD43" i="2"/>
  <c r="V334" i="3" s="1"/>
  <c r="AD91" i="2"/>
  <c r="V41" i="3" s="1"/>
  <c r="T91" i="2"/>
  <c r="L41" i="3" s="1"/>
  <c r="AC91" i="2"/>
  <c r="U41" i="3" s="1"/>
  <c r="S91" i="2"/>
  <c r="K41" i="3" s="1"/>
  <c r="AE91" i="2"/>
  <c r="W41" i="3" s="1"/>
  <c r="AG83" i="2"/>
  <c r="Y46" i="3" s="1"/>
  <c r="U80" i="12"/>
  <c r="S108" i="2"/>
  <c r="K97" i="3" s="1"/>
  <c r="AE108" i="2"/>
  <c r="W97" i="3" s="1"/>
  <c r="V52" i="2"/>
  <c r="N234" i="3" s="1"/>
  <c r="AP87" i="2"/>
  <c r="O84" i="3" s="1"/>
  <c r="X75" i="2"/>
  <c r="P180" i="3" s="1"/>
  <c r="E164" i="12"/>
  <c r="AD93" i="2"/>
  <c r="V16" i="3" s="1"/>
  <c r="V100" i="2"/>
  <c r="N103" i="3" s="1"/>
  <c r="X80" i="2"/>
  <c r="P305" i="3" s="1"/>
  <c r="AG80" i="2"/>
  <c r="Y305" i="3" s="1"/>
  <c r="W80" i="2"/>
  <c r="O305" i="3" s="1"/>
  <c r="Y80" i="2"/>
  <c r="Q305" i="3" s="1"/>
  <c r="AD80" i="2"/>
  <c r="V305" i="3" s="1"/>
  <c r="D30" i="5"/>
  <c r="D29" i="6"/>
  <c r="D54" i="4"/>
  <c r="T109" i="2"/>
  <c r="L123" i="3" s="1"/>
  <c r="B26" i="7"/>
  <c r="B64" i="4"/>
  <c r="E47" i="12"/>
  <c r="U47" i="12"/>
  <c r="W110" i="2"/>
  <c r="O157" i="3" s="1"/>
  <c r="B25" i="5"/>
  <c r="B45" i="4"/>
  <c r="U77" i="2"/>
  <c r="M15" i="3" s="1"/>
  <c r="U134" i="12"/>
  <c r="B26" i="5"/>
  <c r="B47" i="4"/>
  <c r="AG44" i="2"/>
  <c r="Y292" i="3" s="1"/>
  <c r="W44" i="2"/>
  <c r="O292" i="3" s="1"/>
  <c r="AF44" i="2"/>
  <c r="X292" i="3" s="1"/>
  <c r="V44" i="2"/>
  <c r="N292" i="3" s="1"/>
  <c r="X44" i="2"/>
  <c r="P292" i="3" s="1"/>
  <c r="AD44" i="2"/>
  <c r="V292" i="3" s="1"/>
  <c r="D50" i="4"/>
  <c r="D27" i="5"/>
  <c r="V73" i="2"/>
  <c r="N294" i="3" s="1"/>
  <c r="B10" i="9"/>
  <c r="W710" i="12"/>
  <c r="AK96" i="2"/>
  <c r="J141" i="3" s="1"/>
  <c r="J144" i="3" s="1"/>
  <c r="N8" i="13" s="1"/>
  <c r="AM96" i="2"/>
  <c r="L141" i="3" s="1"/>
  <c r="V104" i="2"/>
  <c r="N206" i="3" s="1"/>
  <c r="S113" i="2"/>
  <c r="K273" i="3" s="1"/>
  <c r="B29" i="5"/>
  <c r="B53" i="4"/>
  <c r="E62" i="12"/>
  <c r="AG42" i="2"/>
  <c r="Y149" i="3" s="1"/>
  <c r="B32" i="7"/>
  <c r="B38" i="6"/>
  <c r="B76" i="4"/>
  <c r="U88" i="12"/>
  <c r="AB97" i="2"/>
  <c r="T131" i="3" s="1"/>
  <c r="AE115" i="2"/>
  <c r="W128" i="3" s="1"/>
  <c r="T115" i="2"/>
  <c r="L128" i="3" s="1"/>
  <c r="D39" i="5"/>
  <c r="D39" i="6"/>
  <c r="D77" i="4"/>
  <c r="E74" i="12"/>
  <c r="E113" i="12"/>
  <c r="W721" i="12"/>
  <c r="AP99" i="2"/>
  <c r="O54" i="3" s="1"/>
  <c r="AK99" i="2"/>
  <c r="AM99" i="2"/>
  <c r="L54" i="3" s="1"/>
  <c r="L57" i="3" s="1"/>
  <c r="Z117" i="2"/>
  <c r="R12" i="3" s="1"/>
  <c r="Y117" i="2"/>
  <c r="Q12" i="3" s="1"/>
  <c r="X117" i="2"/>
  <c r="P12" i="3" s="1"/>
  <c r="W117" i="2"/>
  <c r="O12" i="3" s="1"/>
  <c r="V117" i="2"/>
  <c r="N12" i="3" s="1"/>
  <c r="AG117" i="2"/>
  <c r="Y12" i="3" s="1"/>
  <c r="AF117" i="2"/>
  <c r="X12" i="3" s="1"/>
  <c r="T117" i="2"/>
  <c r="L12" i="3" s="1"/>
  <c r="AE117" i="2"/>
  <c r="W12" i="3" s="1"/>
  <c r="S117" i="2"/>
  <c r="K12" i="3" s="1"/>
  <c r="AD117" i="2"/>
  <c r="V12" i="3" s="1"/>
  <c r="AA117" i="2"/>
  <c r="S12" i="3" s="1"/>
  <c r="W687" i="12"/>
  <c r="AK95" i="2"/>
  <c r="J113" i="3" s="1"/>
  <c r="AP95" i="2"/>
  <c r="O113" i="3" s="1"/>
  <c r="AO95" i="2"/>
  <c r="N113" i="3" s="1"/>
  <c r="N115" i="3" s="1"/>
  <c r="Q7" i="13" s="1"/>
  <c r="AN95" i="2"/>
  <c r="M113" i="3" s="1"/>
  <c r="M115" i="3" s="1"/>
  <c r="AM95" i="2"/>
  <c r="L113" i="3" s="1"/>
  <c r="D56" i="5"/>
  <c r="D115" i="4"/>
  <c r="U340" i="12"/>
  <c r="E356" i="12"/>
  <c r="U200" i="12"/>
  <c r="AA11" i="2"/>
  <c r="S300" i="3" s="1"/>
  <c r="D18" i="6"/>
  <c r="D33" i="4"/>
  <c r="AC52" i="2"/>
  <c r="U234" i="3" s="1"/>
  <c r="B28" i="7"/>
  <c r="B35" i="6"/>
  <c r="B67" i="4"/>
  <c r="AE103" i="2"/>
  <c r="W125" i="3" s="1"/>
  <c r="AD103" i="2"/>
  <c r="V125" i="3" s="1"/>
  <c r="T103" i="2"/>
  <c r="L125" i="3" s="1"/>
  <c r="AF103" i="2"/>
  <c r="X125" i="3" s="1"/>
  <c r="V103" i="2"/>
  <c r="N125" i="3" s="1"/>
  <c r="AK76" i="2"/>
  <c r="AC41" i="2"/>
  <c r="U247" i="3" s="1"/>
  <c r="S41" i="2"/>
  <c r="K247" i="3" s="1"/>
  <c r="B18" i="7"/>
  <c r="B46" i="4"/>
  <c r="U63" i="12"/>
  <c r="U61" i="12"/>
  <c r="U25" i="12"/>
  <c r="T11" i="2"/>
  <c r="L300" i="3" s="1"/>
  <c r="AC6" i="2"/>
  <c r="U130" i="3" s="1"/>
  <c r="U12" i="12"/>
  <c r="AD25" i="2"/>
  <c r="V44" i="3" s="1"/>
  <c r="S26" i="2"/>
  <c r="K31" i="3" s="1"/>
  <c r="AE11" i="2"/>
  <c r="W300" i="3" s="1"/>
  <c r="AD6" i="2"/>
  <c r="V130" i="3" s="1"/>
  <c r="AB10" i="2"/>
  <c r="S2" i="2"/>
  <c r="K263" i="3" s="1"/>
  <c r="AB4" i="2"/>
  <c r="T325" i="3" s="1"/>
  <c r="B6" i="4"/>
  <c r="B6" i="5"/>
  <c r="S10" i="2"/>
  <c r="D7" i="7"/>
  <c r="D9" i="5"/>
  <c r="D14" i="4"/>
  <c r="AG29" i="2"/>
  <c r="Y152" i="3" s="1"/>
  <c r="AB34" i="2"/>
  <c r="T72" i="3" s="1"/>
  <c r="AD2" i="2"/>
  <c r="V263" i="3" s="1"/>
  <c r="E4" i="12"/>
  <c r="AB3" i="2"/>
  <c r="T118" i="3" s="1"/>
  <c r="U5" i="12"/>
  <c r="AG11" i="2"/>
  <c r="Y300" i="3" s="1"/>
  <c r="V6" i="2"/>
  <c r="N130" i="3" s="1"/>
  <c r="AE12" i="2"/>
  <c r="W217" i="3" s="1"/>
  <c r="T10" i="2"/>
  <c r="AD10" i="2"/>
  <c r="AC14" i="2"/>
  <c r="U326" i="3" s="1"/>
  <c r="D6" i="6"/>
  <c r="D13" i="4"/>
  <c r="AA16" i="2"/>
  <c r="S153" i="3" s="1"/>
  <c r="E96" i="12"/>
  <c r="AC20" i="2"/>
  <c r="U73" i="3" s="1"/>
  <c r="V26" i="2"/>
  <c r="N31" i="3" s="1"/>
  <c r="AG26" i="2"/>
  <c r="Y31" i="3" s="1"/>
  <c r="V31" i="2"/>
  <c r="N236" i="3" s="1"/>
  <c r="AO69" i="2"/>
  <c r="N315" i="3" s="1"/>
  <c r="D12" i="6"/>
  <c r="D25" i="4"/>
  <c r="E101" i="12"/>
  <c r="AC34" i="2"/>
  <c r="U72" i="3" s="1"/>
  <c r="S40" i="2"/>
  <c r="K39" i="3" s="1"/>
  <c r="AD40" i="2"/>
  <c r="V39" i="3" s="1"/>
  <c r="T32" i="2"/>
  <c r="L90" i="3" s="1"/>
  <c r="B14" i="6"/>
  <c r="B16" i="5"/>
  <c r="B27" i="4"/>
  <c r="AB54" i="2"/>
  <c r="T147" i="3" s="1"/>
  <c r="E30" i="12"/>
  <c r="AC39" i="2"/>
  <c r="U210" i="3" s="1"/>
  <c r="S46" i="2"/>
  <c r="K37" i="3" s="1"/>
  <c r="AD46" i="2"/>
  <c r="V37" i="3" s="1"/>
  <c r="AG48" i="2"/>
  <c r="Y148" i="3" s="1"/>
  <c r="W41" i="2"/>
  <c r="O247" i="3" s="1"/>
  <c r="U127" i="12"/>
  <c r="W49" i="2"/>
  <c r="O151" i="3" s="1"/>
  <c r="U34" i="12"/>
  <c r="U26" i="12"/>
  <c r="X64" i="2"/>
  <c r="P181" i="3" s="1"/>
  <c r="AG64" i="2"/>
  <c r="Y181" i="3" s="1"/>
  <c r="W64" i="2"/>
  <c r="O181" i="3" s="1"/>
  <c r="AC64" i="2"/>
  <c r="U181" i="3" s="1"/>
  <c r="W35" i="2"/>
  <c r="O321" i="3" s="1"/>
  <c r="AE27" i="2"/>
  <c r="W101" i="3" s="1"/>
  <c r="T63" i="2"/>
  <c r="L214" i="3" s="1"/>
  <c r="Y72" i="2"/>
  <c r="Q276" i="3" s="1"/>
  <c r="X72" i="2"/>
  <c r="P276" i="3" s="1"/>
  <c r="AC72" i="2"/>
  <c r="U276" i="3" s="1"/>
  <c r="T89" i="2"/>
  <c r="L184" i="3" s="1"/>
  <c r="AF89" i="2"/>
  <c r="X184" i="3" s="1"/>
  <c r="S43" i="2"/>
  <c r="K334" i="3" s="1"/>
  <c r="AG43" i="2"/>
  <c r="Y334" i="3" s="1"/>
  <c r="D21" i="7"/>
  <c r="D55" i="4"/>
  <c r="E56" i="12"/>
  <c r="AF91" i="2"/>
  <c r="X41" i="3" s="1"/>
  <c r="V83" i="2"/>
  <c r="N46" i="3" s="1"/>
  <c r="U194" i="12"/>
  <c r="Z57" i="2"/>
  <c r="R98" i="3" s="1"/>
  <c r="Y57" i="2"/>
  <c r="Q98" i="3" s="1"/>
  <c r="AC57" i="2"/>
  <c r="U98" i="3" s="1"/>
  <c r="T108" i="2"/>
  <c r="L97" i="3" s="1"/>
  <c r="AF108" i="2"/>
  <c r="X97" i="3" s="1"/>
  <c r="Y52" i="2"/>
  <c r="Q234" i="3" s="1"/>
  <c r="AG62" i="2"/>
  <c r="Y219" i="3" s="1"/>
  <c r="W62" i="2"/>
  <c r="O219" i="3" s="1"/>
  <c r="AF62" i="2"/>
  <c r="X219" i="3" s="1"/>
  <c r="V62" i="2"/>
  <c r="N219" i="3" s="1"/>
  <c r="AC62" i="2"/>
  <c r="U219" i="3" s="1"/>
  <c r="Y75" i="2"/>
  <c r="Q180" i="3" s="1"/>
  <c r="S93" i="2"/>
  <c r="K16" i="3" s="1"/>
  <c r="AE93" i="2"/>
  <c r="W16" i="3" s="1"/>
  <c r="W100" i="2"/>
  <c r="O103" i="3" s="1"/>
  <c r="E138" i="12"/>
  <c r="AE80" i="2"/>
  <c r="W305" i="3" s="1"/>
  <c r="X109" i="2"/>
  <c r="P123" i="3" s="1"/>
  <c r="S94" i="2"/>
  <c r="K99" i="3" s="1"/>
  <c r="X110" i="2"/>
  <c r="P157" i="3" s="1"/>
  <c r="AC81" i="2"/>
  <c r="U265" i="3" s="1"/>
  <c r="S81" i="2"/>
  <c r="K265" i="3" s="1"/>
  <c r="Y88" i="2"/>
  <c r="Q248" i="3" s="1"/>
  <c r="X88" i="2"/>
  <c r="P248" i="3" s="1"/>
  <c r="Z88" i="2"/>
  <c r="R248" i="3" s="1"/>
  <c r="AD88" i="2"/>
  <c r="V248" i="3" s="1"/>
  <c r="V114" i="2"/>
  <c r="N35" i="3" s="1"/>
  <c r="E46" i="12"/>
  <c r="AE44" i="2"/>
  <c r="W292" i="3" s="1"/>
  <c r="Z103" i="2"/>
  <c r="R125" i="3" s="1"/>
  <c r="W73" i="2"/>
  <c r="O294" i="3" s="1"/>
  <c r="AN96" i="2"/>
  <c r="M141" i="3" s="1"/>
  <c r="X104" i="2"/>
  <c r="P206" i="3" s="1"/>
  <c r="D31" i="7"/>
  <c r="D72" i="4"/>
  <c r="X113" i="2"/>
  <c r="P273" i="3" s="1"/>
  <c r="S42" i="2"/>
  <c r="K149" i="3" s="1"/>
  <c r="U146" i="12"/>
  <c r="B35" i="7"/>
  <c r="B41" i="6"/>
  <c r="B80" i="4"/>
  <c r="S78" i="2"/>
  <c r="K330" i="3" s="1"/>
  <c r="D62" i="4"/>
  <c r="D32" i="5"/>
  <c r="Z119" i="2"/>
  <c r="R120" i="3" s="1"/>
  <c r="AC97" i="2"/>
  <c r="U131" i="3" s="1"/>
  <c r="AA138" i="2"/>
  <c r="S241" i="3" s="1"/>
  <c r="U153" i="2"/>
  <c r="M301" i="3" s="1"/>
  <c r="AN99" i="2"/>
  <c r="M54" i="3" s="1"/>
  <c r="M57" i="3" s="1"/>
  <c r="D43" i="7"/>
  <c r="D52" i="6"/>
  <c r="D97" i="4"/>
  <c r="AC167" i="2"/>
  <c r="U240" i="3" s="1"/>
  <c r="U150" i="12"/>
  <c r="U185" i="12"/>
  <c r="U250" i="2"/>
  <c r="U174" i="12"/>
  <c r="U10" i="3"/>
  <c r="AB19" i="2"/>
  <c r="T246" i="3" s="1"/>
  <c r="B14" i="5"/>
  <c r="B22" i="4"/>
  <c r="E117" i="12"/>
  <c r="AG103" i="2"/>
  <c r="Y125" i="3" s="1"/>
  <c r="E143" i="12"/>
  <c r="AB11" i="2"/>
  <c r="T300" i="3" s="1"/>
  <c r="AA26" i="2"/>
  <c r="S31" i="3" s="1"/>
  <c r="AF29" i="2"/>
  <c r="X152" i="3" s="1"/>
  <c r="V29" i="2"/>
  <c r="N152" i="3" s="1"/>
  <c r="AF28" i="2"/>
  <c r="X293" i="3" s="1"/>
  <c r="V28" i="2"/>
  <c r="N293" i="3" s="1"/>
  <c r="AB41" i="2"/>
  <c r="T247" i="3" s="1"/>
  <c r="E32" i="12"/>
  <c r="E45" i="12"/>
  <c r="AF75" i="2"/>
  <c r="X180" i="3" s="1"/>
  <c r="S11" i="2"/>
  <c r="K300" i="3" s="1"/>
  <c r="AD19" i="2"/>
  <c r="V246" i="3" s="1"/>
  <c r="AA2" i="2"/>
  <c r="S263" i="3" s="1"/>
  <c r="X10" i="3"/>
  <c r="E142" i="12"/>
  <c r="B3" i="7"/>
  <c r="B4" i="6"/>
  <c r="B6" i="3"/>
  <c r="B7" i="4"/>
  <c r="U8" i="12"/>
  <c r="T6" i="2"/>
  <c r="L130" i="3" s="1"/>
  <c r="AA14" i="2"/>
  <c r="S326" i="3" s="1"/>
  <c r="B6" i="6"/>
  <c r="B13" i="4"/>
  <c r="U9" i="12"/>
  <c r="U99" i="12"/>
  <c r="B9" i="8"/>
  <c r="AC21" i="2"/>
  <c r="U275" i="3" s="1"/>
  <c r="AE25" i="2"/>
  <c r="W44" i="3" s="1"/>
  <c r="AE26" i="2"/>
  <c r="W31" i="3" s="1"/>
  <c r="AE29" i="2"/>
  <c r="W152" i="3" s="1"/>
  <c r="T12" i="2"/>
  <c r="L217" i="3" s="1"/>
  <c r="E10" i="12"/>
  <c r="AB14" i="2"/>
  <c r="T326" i="3" s="1"/>
  <c r="B8" i="7"/>
  <c r="B15" i="4"/>
  <c r="U43" i="12"/>
  <c r="AB20" i="2"/>
  <c r="T73" i="3" s="1"/>
  <c r="S21" i="2"/>
  <c r="K275" i="3" s="1"/>
  <c r="AE21" i="2"/>
  <c r="W275" i="3" s="1"/>
  <c r="AN69" i="2"/>
  <c r="M315" i="3" s="1"/>
  <c r="T2" i="2"/>
  <c r="L263" i="3" s="1"/>
  <c r="AA9" i="2"/>
  <c r="S267" i="3" s="1"/>
  <c r="Q10" i="3"/>
  <c r="X7" i="2"/>
  <c r="P11" i="3" s="1"/>
  <c r="S14" i="2"/>
  <c r="K326" i="3" s="1"/>
  <c r="U28" i="12"/>
  <c r="W19" i="2"/>
  <c r="O246" i="3" s="1"/>
  <c r="AF21" i="2"/>
  <c r="X275" i="3" s="1"/>
  <c r="V25" i="2"/>
  <c r="N44" i="3" s="1"/>
  <c r="AG25" i="2"/>
  <c r="Y44" i="3" s="1"/>
  <c r="AP76" i="2"/>
  <c r="O199" i="3" s="1"/>
  <c r="O202" i="3" s="1"/>
  <c r="AE32" i="2"/>
  <c r="W90" i="3" s="1"/>
  <c r="W28" i="2"/>
  <c r="O293" i="3" s="1"/>
  <c r="B13" i="6"/>
  <c r="B26" i="4"/>
  <c r="T4" i="2"/>
  <c r="L325" i="3" s="1"/>
  <c r="AD4" i="2"/>
  <c r="V325" i="3" s="1"/>
  <c r="S3" i="2"/>
  <c r="K118" i="3" s="1"/>
  <c r="AC3" i="2"/>
  <c r="U118" i="3" s="1"/>
  <c r="E6" i="12"/>
  <c r="J6" i="3"/>
  <c r="AB9" i="2"/>
  <c r="T267" i="3" s="1"/>
  <c r="AA5" i="2"/>
  <c r="S176" i="3" s="1"/>
  <c r="B5" i="7"/>
  <c r="B9" i="4"/>
  <c r="Y7" i="2"/>
  <c r="Q11" i="3" s="1"/>
  <c r="X11" i="2"/>
  <c r="P300" i="3" s="1"/>
  <c r="W6" i="2"/>
  <c r="O130" i="3" s="1"/>
  <c r="AG6" i="2"/>
  <c r="Y130" i="3" s="1"/>
  <c r="V12" i="2"/>
  <c r="N217" i="3" s="1"/>
  <c r="AE10" i="2"/>
  <c r="T14" i="2"/>
  <c r="L326" i="3" s="1"/>
  <c r="AD14" i="2"/>
  <c r="V326" i="3" s="1"/>
  <c r="AC15" i="2"/>
  <c r="U264" i="3" s="1"/>
  <c r="E12" i="12"/>
  <c r="AB16" i="2"/>
  <c r="T153" i="3" s="1"/>
  <c r="AA18" i="2"/>
  <c r="S213" i="3" s="1"/>
  <c r="B9" i="7"/>
  <c r="B7" i="6"/>
  <c r="B16" i="4"/>
  <c r="Y23" i="2"/>
  <c r="Q271" i="3" s="1"/>
  <c r="Y19" i="2"/>
  <c r="Q246" i="3" s="1"/>
  <c r="Z17" i="2"/>
  <c r="R43" i="3" s="1"/>
  <c r="AF24" i="2"/>
  <c r="X71" i="3" s="1"/>
  <c r="V24" i="2"/>
  <c r="N71" i="3" s="1"/>
  <c r="AB24" i="2"/>
  <c r="T71" i="3" s="1"/>
  <c r="S20" i="2"/>
  <c r="K73" i="3" s="1"/>
  <c r="AD20" i="2"/>
  <c r="V73" i="3" s="1"/>
  <c r="V21" i="2"/>
  <c r="N275" i="3" s="1"/>
  <c r="AG21" i="2"/>
  <c r="Y275" i="3" s="1"/>
  <c r="W25" i="2"/>
  <c r="O44" i="3" s="1"/>
  <c r="U142" i="12"/>
  <c r="W26" i="2"/>
  <c r="O31" i="3" s="1"/>
  <c r="U17" i="12"/>
  <c r="W31" i="2"/>
  <c r="O236" i="3" s="1"/>
  <c r="U23" i="12"/>
  <c r="AP69" i="2"/>
  <c r="O315" i="3" s="1"/>
  <c r="X29" i="2"/>
  <c r="P152" i="3" s="1"/>
  <c r="Z22" i="2"/>
  <c r="R119" i="3" s="1"/>
  <c r="AD33" i="2"/>
  <c r="V93" i="3" s="1"/>
  <c r="T33" i="2"/>
  <c r="L93" i="3" s="1"/>
  <c r="AB33" i="2"/>
  <c r="T93" i="3" s="1"/>
  <c r="E14" i="12"/>
  <c r="AC30" i="2"/>
  <c r="U209" i="3" s="1"/>
  <c r="S34" i="2"/>
  <c r="K72" i="3" s="1"/>
  <c r="AD34" i="2"/>
  <c r="V72" i="3" s="1"/>
  <c r="T40" i="2"/>
  <c r="L39" i="3" s="1"/>
  <c r="AE40" i="2"/>
  <c r="W39" i="3" s="1"/>
  <c r="AF32" i="2"/>
  <c r="X90" i="3" s="1"/>
  <c r="X28" i="2"/>
  <c r="P293" i="3" s="1"/>
  <c r="Z38" i="2"/>
  <c r="R239" i="3" s="1"/>
  <c r="W728" i="12"/>
  <c r="AM70" i="2"/>
  <c r="L112" i="3" s="1"/>
  <c r="D14" i="6"/>
  <c r="D16" i="5"/>
  <c r="D27" i="4"/>
  <c r="AB37" i="2"/>
  <c r="T64" i="3" s="1"/>
  <c r="D12" i="7"/>
  <c r="D21" i="6"/>
  <c r="D21" i="5"/>
  <c r="D36" i="4"/>
  <c r="E29" i="12"/>
  <c r="AC54" i="2"/>
  <c r="U147" i="3" s="1"/>
  <c r="S39" i="2"/>
  <c r="K210" i="3" s="1"/>
  <c r="AD39" i="2"/>
  <c r="V210" i="3" s="1"/>
  <c r="T46" i="2"/>
  <c r="L37" i="3" s="1"/>
  <c r="AE46" i="2"/>
  <c r="W37" i="3" s="1"/>
  <c r="W48" i="2"/>
  <c r="O148" i="3" s="1"/>
  <c r="U52" i="12"/>
  <c r="X41" i="2"/>
  <c r="P247" i="3" s="1"/>
  <c r="X49" i="2"/>
  <c r="P151" i="3" s="1"/>
  <c r="Y60" i="2"/>
  <c r="Q155" i="3" s="1"/>
  <c r="D20" i="6"/>
  <c r="D35" i="4"/>
  <c r="E19" i="12"/>
  <c r="AD64" i="2"/>
  <c r="V181" i="3" s="1"/>
  <c r="X51" i="2"/>
  <c r="P36" i="3" s="1"/>
  <c r="B18" i="5"/>
  <c r="B30" i="4"/>
  <c r="AF45" i="2"/>
  <c r="X235" i="3" s="1"/>
  <c r="V45" i="2"/>
  <c r="N235" i="3" s="1"/>
  <c r="AE45" i="2"/>
  <c r="W235" i="3" s="1"/>
  <c r="AC45" i="2"/>
  <c r="U235" i="3" s="1"/>
  <c r="X35" i="2"/>
  <c r="P321" i="3" s="1"/>
  <c r="B17" i="7"/>
  <c r="B25" i="6"/>
  <c r="B44" i="4"/>
  <c r="T27" i="2"/>
  <c r="L101" i="3" s="1"/>
  <c r="AF27" i="2"/>
  <c r="X101" i="3" s="1"/>
  <c r="U21" i="12"/>
  <c r="AA58" i="2"/>
  <c r="S60" i="3" s="1"/>
  <c r="E195" i="12"/>
  <c r="AD72" i="2"/>
  <c r="V276" i="3" s="1"/>
  <c r="AA65" i="2"/>
  <c r="S218" i="3" s="1"/>
  <c r="T43" i="2"/>
  <c r="L334" i="3" s="1"/>
  <c r="U107" i="12"/>
  <c r="AA68" i="2"/>
  <c r="S45" i="3" s="1"/>
  <c r="AG91" i="2"/>
  <c r="Y41" i="3" s="1"/>
  <c r="W83" i="2"/>
  <c r="O46" i="3" s="1"/>
  <c r="B22" i="7"/>
  <c r="B31" i="6"/>
  <c r="B58" i="4"/>
  <c r="D23" i="7"/>
  <c r="D33" i="6"/>
  <c r="D60" i="4"/>
  <c r="E41" i="12"/>
  <c r="AD57" i="2"/>
  <c r="V98" i="3" s="1"/>
  <c r="AG108" i="2"/>
  <c r="Y97" i="3" s="1"/>
  <c r="Z52" i="2"/>
  <c r="R234" i="3" s="1"/>
  <c r="E130" i="12"/>
  <c r="AD62" i="2"/>
  <c r="V219" i="3" s="1"/>
  <c r="Z75" i="2"/>
  <c r="R180" i="3" s="1"/>
  <c r="AC47" i="2"/>
  <c r="U188" i="3" s="1"/>
  <c r="S47" i="2"/>
  <c r="K188" i="3" s="1"/>
  <c r="AB47" i="2"/>
  <c r="T188" i="3" s="1"/>
  <c r="AD47" i="2"/>
  <c r="V188" i="3" s="1"/>
  <c r="T93" i="2"/>
  <c r="L16" i="3" s="1"/>
  <c r="AF93" i="2"/>
  <c r="X16" i="3" s="1"/>
  <c r="AA100" i="2"/>
  <c r="S103" i="3" s="1"/>
  <c r="S80" i="2"/>
  <c r="K305" i="3" s="1"/>
  <c r="AF80" i="2"/>
  <c r="X305" i="3" s="1"/>
  <c r="AB121" i="2"/>
  <c r="T68" i="3" s="1"/>
  <c r="Y109" i="2"/>
  <c r="Q123" i="3" s="1"/>
  <c r="D26" i="7"/>
  <c r="D64" i="4"/>
  <c r="W94" i="2"/>
  <c r="O99" i="3" s="1"/>
  <c r="B27" i="7"/>
  <c r="B34" i="5"/>
  <c r="B66" i="4"/>
  <c r="AD84" i="2"/>
  <c r="V295" i="3" s="1"/>
  <c r="T84" i="2"/>
  <c r="L295" i="3" s="1"/>
  <c r="AC84" i="2"/>
  <c r="U295" i="3" s="1"/>
  <c r="S84" i="2"/>
  <c r="K295" i="3" s="1"/>
  <c r="AE84" i="2"/>
  <c r="W295" i="3" s="1"/>
  <c r="AG84" i="2"/>
  <c r="Y295" i="3" s="1"/>
  <c r="Y110" i="2"/>
  <c r="Q157" i="3" s="1"/>
  <c r="AE81" i="2"/>
  <c r="W265" i="3" s="1"/>
  <c r="E157" i="12"/>
  <c r="AE88" i="2"/>
  <c r="W248" i="3" s="1"/>
  <c r="Z114" i="2"/>
  <c r="R35" i="3" s="1"/>
  <c r="D26" i="5"/>
  <c r="D47" i="4"/>
  <c r="S44" i="2"/>
  <c r="K292" i="3" s="1"/>
  <c r="AA103" i="2"/>
  <c r="S125" i="3" s="1"/>
  <c r="X73" i="2"/>
  <c r="P294" i="3" s="1"/>
  <c r="AO96" i="2"/>
  <c r="N141" i="3" s="1"/>
  <c r="Y104" i="2"/>
  <c r="Q206" i="3" s="1"/>
  <c r="Y113" i="2"/>
  <c r="Q273" i="3" s="1"/>
  <c r="D29" i="5"/>
  <c r="D53" i="4"/>
  <c r="T42" i="2"/>
  <c r="L149" i="3" s="1"/>
  <c r="AD74" i="2"/>
  <c r="V89" i="3" s="1"/>
  <c r="T74" i="2"/>
  <c r="L89" i="3" s="1"/>
  <c r="Z74" i="2"/>
  <c r="R89" i="3" s="1"/>
  <c r="Y74" i="2"/>
  <c r="Q89" i="3" s="1"/>
  <c r="AA74" i="2"/>
  <c r="S89" i="3" s="1"/>
  <c r="AF74" i="2"/>
  <c r="X89" i="3" s="1"/>
  <c r="Y85" i="2"/>
  <c r="Q278" i="3" s="1"/>
  <c r="AD85" i="2"/>
  <c r="V278" i="3" s="1"/>
  <c r="S85" i="2"/>
  <c r="K278" i="3" s="1"/>
  <c r="AC85" i="2"/>
  <c r="U278" i="3" s="1"/>
  <c r="AA85" i="2"/>
  <c r="S278" i="3" s="1"/>
  <c r="Z85" i="2"/>
  <c r="R278" i="3" s="1"/>
  <c r="AE85" i="2"/>
  <c r="W278" i="3" s="1"/>
  <c r="T85" i="2"/>
  <c r="L278" i="3" s="1"/>
  <c r="B30" i="8"/>
  <c r="E196" i="12"/>
  <c r="X78" i="2"/>
  <c r="P330" i="3" s="1"/>
  <c r="AA119" i="2"/>
  <c r="S120" i="3" s="1"/>
  <c r="U31" i="12"/>
  <c r="U186" i="12"/>
  <c r="X107" i="2"/>
  <c r="P335" i="3" s="1"/>
  <c r="AG107" i="2"/>
  <c r="Y335" i="3" s="1"/>
  <c r="W107" i="2"/>
  <c r="O335" i="3" s="1"/>
  <c r="Y107" i="2"/>
  <c r="Q335" i="3" s="1"/>
  <c r="V107" i="2"/>
  <c r="N335" i="3" s="1"/>
  <c r="AF107" i="2"/>
  <c r="X335" i="3" s="1"/>
  <c r="T107" i="2"/>
  <c r="L335" i="3" s="1"/>
  <c r="AE107" i="2"/>
  <c r="W335" i="3" s="1"/>
  <c r="S107" i="2"/>
  <c r="K335" i="3" s="1"/>
  <c r="AD107" i="2"/>
  <c r="V335" i="3" s="1"/>
  <c r="Z107" i="2"/>
  <c r="R335" i="3" s="1"/>
  <c r="D40" i="5"/>
  <c r="D42" i="6"/>
  <c r="D81" i="4"/>
  <c r="AD138" i="2"/>
  <c r="V241" i="3" s="1"/>
  <c r="D36" i="5"/>
  <c r="D73" i="4"/>
  <c r="D38" i="5"/>
  <c r="D75" i="4"/>
  <c r="AO99" i="2"/>
  <c r="N54" i="3" s="1"/>
  <c r="AB117" i="2"/>
  <c r="T12" i="3" s="1"/>
  <c r="B45" i="7"/>
  <c r="B53" i="6"/>
  <c r="B99" i="4"/>
  <c r="W726" i="12"/>
  <c r="AN111" i="2"/>
  <c r="M228" i="3" s="1"/>
  <c r="AM111" i="2"/>
  <c r="L228" i="3" s="1"/>
  <c r="AP111" i="2"/>
  <c r="O228" i="3" s="1"/>
  <c r="AO111" i="2"/>
  <c r="N228" i="3" s="1"/>
  <c r="AK111" i="2"/>
  <c r="J228" i="3" s="1"/>
  <c r="B48" i="5"/>
  <c r="B49" i="6"/>
  <c r="B94" i="4"/>
  <c r="U284" i="12"/>
  <c r="AC201" i="2"/>
  <c r="U206" i="12"/>
  <c r="W6" i="3"/>
  <c r="D6" i="7"/>
  <c r="D10" i="4"/>
  <c r="D7" i="5"/>
  <c r="U11" i="12"/>
  <c r="E28" i="12"/>
  <c r="B9" i="6"/>
  <c r="B21" i="4"/>
  <c r="D12" i="5"/>
  <c r="D19" i="4"/>
  <c r="E38" i="12"/>
  <c r="AE75" i="2"/>
  <c r="W180" i="3" s="1"/>
  <c r="AE97" i="2"/>
  <c r="W131" i="3" s="1"/>
  <c r="Z97" i="2"/>
  <c r="R131" i="3" s="1"/>
  <c r="Y97" i="2"/>
  <c r="Q131" i="3" s="1"/>
  <c r="W97" i="2"/>
  <c r="O131" i="3" s="1"/>
  <c r="AG97" i="2"/>
  <c r="Y131" i="3" s="1"/>
  <c r="V97" i="2"/>
  <c r="N131" i="3" s="1"/>
  <c r="AA97" i="2"/>
  <c r="S131" i="3" s="1"/>
  <c r="U95" i="12"/>
  <c r="B37" i="8"/>
  <c r="U266" i="12"/>
  <c r="AE207" i="2"/>
  <c r="W104" i="3" s="1"/>
  <c r="AD207" i="2"/>
  <c r="V104" i="3" s="1"/>
  <c r="T207" i="2"/>
  <c r="L104" i="3" s="1"/>
  <c r="AB207" i="2"/>
  <c r="T104" i="3" s="1"/>
  <c r="Z207" i="2"/>
  <c r="R104" i="3" s="1"/>
  <c r="Y207" i="2"/>
  <c r="Q104" i="3" s="1"/>
  <c r="X207" i="2"/>
  <c r="P104" i="3" s="1"/>
  <c r="W207" i="2"/>
  <c r="O104" i="3" s="1"/>
  <c r="V207" i="2"/>
  <c r="N104" i="3" s="1"/>
  <c r="S207" i="2"/>
  <c r="K104" i="3" s="1"/>
  <c r="AG207" i="2"/>
  <c r="Y104" i="3" s="1"/>
  <c r="AA207" i="2"/>
  <c r="S104" i="3" s="1"/>
  <c r="E263" i="12"/>
  <c r="E7" i="12"/>
  <c r="B8" i="5"/>
  <c r="B11" i="4"/>
  <c r="B17" i="6"/>
  <c r="B19" i="5"/>
  <c r="B31" i="4"/>
  <c r="U68" i="2"/>
  <c r="M45" i="3" s="1"/>
  <c r="W724" i="12"/>
  <c r="AO87" i="2"/>
  <c r="N84" i="3" s="1"/>
  <c r="AN87" i="2"/>
  <c r="M84" i="3" s="1"/>
  <c r="M86" i="3" s="1"/>
  <c r="W10" i="3"/>
  <c r="E22" i="12"/>
  <c r="J14" i="3"/>
  <c r="U13" i="2"/>
  <c r="M333" i="3" s="1"/>
  <c r="AC26" i="2"/>
  <c r="U31" i="3" s="1"/>
  <c r="N10" i="3"/>
  <c r="AD11" i="2"/>
  <c r="V300" i="3" s="1"/>
  <c r="AA10" i="2"/>
  <c r="T19" i="2"/>
  <c r="L246" i="3" s="1"/>
  <c r="AD26" i="2"/>
  <c r="V31" i="3" s="1"/>
  <c r="S31" i="2"/>
  <c r="K236" i="3" s="1"/>
  <c r="AD29" i="2"/>
  <c r="V152" i="3" s="1"/>
  <c r="D3" i="6"/>
  <c r="D4" i="5"/>
  <c r="D4" i="4"/>
  <c r="S12" i="2"/>
  <c r="K217" i="3" s="1"/>
  <c r="AF19" i="2"/>
  <c r="X246" i="3" s="1"/>
  <c r="T29" i="2"/>
  <c r="L152" i="3" s="1"/>
  <c r="AF11" i="2"/>
  <c r="X300" i="3" s="1"/>
  <c r="AD12" i="2"/>
  <c r="V217" i="3" s="1"/>
  <c r="AC10" i="2"/>
  <c r="AA15" i="2"/>
  <c r="S264" i="3" s="1"/>
  <c r="V19" i="2"/>
  <c r="N246" i="3" s="1"/>
  <c r="AG19" i="2"/>
  <c r="Y246" i="3" s="1"/>
  <c r="AF25" i="2"/>
  <c r="X44" i="3" s="1"/>
  <c r="AF26" i="2"/>
  <c r="X31" i="3" s="1"/>
  <c r="S4" i="2"/>
  <c r="K325" i="3" s="1"/>
  <c r="AC4" i="2"/>
  <c r="U325" i="3" s="1"/>
  <c r="D3" i="7"/>
  <c r="D4" i="6"/>
  <c r="D7" i="4"/>
  <c r="D6" i="3"/>
  <c r="B4" i="7"/>
  <c r="B8" i="4"/>
  <c r="B10" i="3"/>
  <c r="W11" i="2"/>
  <c r="O300" i="3" s="1"/>
  <c r="AF6" i="2"/>
  <c r="X130" i="3" s="1"/>
  <c r="E16" i="12"/>
  <c r="AB15" i="2"/>
  <c r="T264" i="3" s="1"/>
  <c r="X23" i="2"/>
  <c r="P271" i="3" s="1"/>
  <c r="U36" i="12"/>
  <c r="B10" i="6"/>
  <c r="B23" i="4"/>
  <c r="W680" i="12"/>
  <c r="AB30" i="2"/>
  <c r="T209" i="3" s="1"/>
  <c r="U24" i="12"/>
  <c r="AE2" i="2"/>
  <c r="W263" i="3" s="1"/>
  <c r="D6" i="5"/>
  <c r="D6" i="4"/>
  <c r="U7" i="12"/>
  <c r="AF12" i="2"/>
  <c r="X217" i="3" s="1"/>
  <c r="S15" i="2"/>
  <c r="K264" i="3" s="1"/>
  <c r="D8" i="7"/>
  <c r="D15" i="4"/>
  <c r="V2" i="2"/>
  <c r="N263" i="3" s="1"/>
  <c r="AF2" i="2"/>
  <c r="X263" i="3" s="1"/>
  <c r="T3" i="2"/>
  <c r="L118" i="3" s="1"/>
  <c r="S9" i="2"/>
  <c r="K267" i="3" s="1"/>
  <c r="AC9" i="2"/>
  <c r="U267" i="3" s="1"/>
  <c r="E8" i="12"/>
  <c r="D4" i="7"/>
  <c r="D8" i="4"/>
  <c r="D10" i="3"/>
  <c r="AA8" i="2"/>
  <c r="B6" i="7"/>
  <c r="B7" i="5"/>
  <c r="B10" i="4"/>
  <c r="X6" i="2"/>
  <c r="P130" i="3" s="1"/>
  <c r="U22" i="12"/>
  <c r="Z14" i="3"/>
  <c r="W12" i="2"/>
  <c r="O217" i="3" s="1"/>
  <c r="V10" i="2"/>
  <c r="T15" i="2"/>
  <c r="L264" i="3" s="1"/>
  <c r="S16" i="2"/>
  <c r="K153" i="3" s="1"/>
  <c r="E9" i="12"/>
  <c r="Z19" i="2"/>
  <c r="R246" i="3" s="1"/>
  <c r="AA17" i="2"/>
  <c r="S43" i="3" s="1"/>
  <c r="E61" i="12"/>
  <c r="AC24" i="2"/>
  <c r="U71" i="3" s="1"/>
  <c r="T20" i="2"/>
  <c r="L73" i="3" s="1"/>
  <c r="AF20" i="2"/>
  <c r="X73" i="3" s="1"/>
  <c r="W21" i="2"/>
  <c r="O275" i="3" s="1"/>
  <c r="U50" i="12"/>
  <c r="X25" i="2"/>
  <c r="P44" i="3" s="1"/>
  <c r="X26" i="2"/>
  <c r="P31" i="3" s="1"/>
  <c r="Y29" i="2"/>
  <c r="Q152" i="3" s="1"/>
  <c r="B12" i="5"/>
  <c r="B19" i="4"/>
  <c r="AA22" i="2"/>
  <c r="S119" i="3" s="1"/>
  <c r="D10" i="6"/>
  <c r="D23" i="4"/>
  <c r="E25" i="12"/>
  <c r="AC33" i="2"/>
  <c r="U93" i="3" s="1"/>
  <c r="AM61" i="2"/>
  <c r="E27" i="12"/>
  <c r="S30" i="2"/>
  <c r="K209" i="3" s="1"/>
  <c r="AD30" i="2"/>
  <c r="V209" i="3" s="1"/>
  <c r="T34" i="2"/>
  <c r="L72" i="3" s="1"/>
  <c r="AE34" i="2"/>
  <c r="W72" i="3" s="1"/>
  <c r="AF40" i="2"/>
  <c r="X39" i="3" s="1"/>
  <c r="V32" i="2"/>
  <c r="N90" i="3" s="1"/>
  <c r="U18" i="12"/>
  <c r="Y28" i="2"/>
  <c r="Q293" i="3" s="1"/>
  <c r="B11" i="7"/>
  <c r="B19" i="6"/>
  <c r="B34" i="4"/>
  <c r="AA38" i="2"/>
  <c r="S239" i="3" s="1"/>
  <c r="AK70" i="2"/>
  <c r="J112" i="3" s="1"/>
  <c r="AA59" i="2"/>
  <c r="S304" i="3" s="1"/>
  <c r="E20" i="12"/>
  <c r="AC37" i="2"/>
  <c r="U64" i="3" s="1"/>
  <c r="S54" i="2"/>
  <c r="K147" i="3" s="1"/>
  <c r="AD54" i="2"/>
  <c r="V147" i="3" s="1"/>
  <c r="T39" i="2"/>
  <c r="L210" i="3" s="1"/>
  <c r="AE39" i="2"/>
  <c r="W210" i="3" s="1"/>
  <c r="AF46" i="2"/>
  <c r="X37" i="3" s="1"/>
  <c r="X48" i="2"/>
  <c r="P148" i="3" s="1"/>
  <c r="Y41" i="2"/>
  <c r="Q247" i="3" s="1"/>
  <c r="B18" i="6"/>
  <c r="B33" i="4"/>
  <c r="Y49" i="2"/>
  <c r="Q151" i="3" s="1"/>
  <c r="B14" i="7"/>
  <c r="B23" i="6"/>
  <c r="B39" i="4"/>
  <c r="B15" i="7"/>
  <c r="B40" i="4"/>
  <c r="AA60" i="2"/>
  <c r="S155" i="3" s="1"/>
  <c r="AB55" i="2"/>
  <c r="S64" i="2"/>
  <c r="K181" i="3" s="1"/>
  <c r="AE64" i="2"/>
  <c r="W181" i="3" s="1"/>
  <c r="Y51" i="2"/>
  <c r="Q36" i="3" s="1"/>
  <c r="E39" i="12"/>
  <c r="AD45" i="2"/>
  <c r="V235" i="3" s="1"/>
  <c r="Y35" i="2"/>
  <c r="Q321" i="3" s="1"/>
  <c r="AD53" i="2"/>
  <c r="V329" i="3" s="1"/>
  <c r="T53" i="2"/>
  <c r="L329" i="3" s="1"/>
  <c r="AC53" i="2"/>
  <c r="U329" i="3" s="1"/>
  <c r="S53" i="2"/>
  <c r="K329" i="3" s="1"/>
  <c r="AE53" i="2"/>
  <c r="W329" i="3" s="1"/>
  <c r="AG27" i="2"/>
  <c r="Y101" i="3" s="1"/>
  <c r="U40" i="12"/>
  <c r="AB58" i="2"/>
  <c r="T60" i="3" s="1"/>
  <c r="S72" i="2"/>
  <c r="K276" i="3" s="1"/>
  <c r="AE72" i="2"/>
  <c r="W276" i="3" s="1"/>
  <c r="V89" i="2"/>
  <c r="N184" i="3" s="1"/>
  <c r="AB65" i="2"/>
  <c r="T218" i="3" s="1"/>
  <c r="W43" i="2"/>
  <c r="O334" i="3" s="1"/>
  <c r="AB68" i="2"/>
  <c r="T45" i="3" s="1"/>
  <c r="V91" i="2"/>
  <c r="N41" i="3" s="1"/>
  <c r="U56" i="12"/>
  <c r="X83" i="2"/>
  <c r="P46" i="3" s="1"/>
  <c r="B23" i="5"/>
  <c r="B41" i="4"/>
  <c r="S57" i="2"/>
  <c r="K98" i="3" s="1"/>
  <c r="AE57" i="2"/>
  <c r="W98" i="3" s="1"/>
  <c r="V108" i="2"/>
  <c r="N97" i="3" s="1"/>
  <c r="AA52" i="2"/>
  <c r="S234" i="3" s="1"/>
  <c r="S62" i="2"/>
  <c r="K219" i="3" s="1"/>
  <c r="AE62" i="2"/>
  <c r="W219" i="3" s="1"/>
  <c r="AA75" i="2"/>
  <c r="S180" i="3" s="1"/>
  <c r="AE47" i="2"/>
  <c r="W188" i="3" s="1"/>
  <c r="AG93" i="2"/>
  <c r="Y16" i="3" s="1"/>
  <c r="AB100" i="2"/>
  <c r="T103" i="3" s="1"/>
  <c r="T80" i="2"/>
  <c r="L305" i="3" s="1"/>
  <c r="AC121" i="2"/>
  <c r="U68" i="3" s="1"/>
  <c r="Z109" i="2"/>
  <c r="R123" i="3" s="1"/>
  <c r="X94" i="2"/>
  <c r="P99" i="3" s="1"/>
  <c r="E65" i="12"/>
  <c r="U65" i="12"/>
  <c r="Z110" i="2"/>
  <c r="R157" i="3" s="1"/>
  <c r="S88" i="2"/>
  <c r="K248" i="3" s="1"/>
  <c r="AF88" i="2"/>
  <c r="X248" i="3" s="1"/>
  <c r="AA114" i="2"/>
  <c r="S35" i="3" s="1"/>
  <c r="T44" i="2"/>
  <c r="L292" i="3" s="1"/>
  <c r="AF122" i="2"/>
  <c r="X242" i="3" s="1"/>
  <c r="V122" i="2"/>
  <c r="N242" i="3" s="1"/>
  <c r="AE122" i="2"/>
  <c r="W242" i="3" s="1"/>
  <c r="AG122" i="2"/>
  <c r="Y242" i="3" s="1"/>
  <c r="W122" i="2"/>
  <c r="O242" i="3" s="1"/>
  <c r="AD122" i="2"/>
  <c r="V242" i="3" s="1"/>
  <c r="AB103" i="2"/>
  <c r="T125" i="3" s="1"/>
  <c r="Y73" i="2"/>
  <c r="Q294" i="3" s="1"/>
  <c r="AP96" i="2"/>
  <c r="O141" i="3" s="1"/>
  <c r="Z104" i="2"/>
  <c r="R206" i="3" s="1"/>
  <c r="Z113" i="2"/>
  <c r="R273" i="3" s="1"/>
  <c r="V42" i="2"/>
  <c r="N149" i="3" s="1"/>
  <c r="E33" i="12"/>
  <c r="AG74" i="2"/>
  <c r="Y89" i="3" s="1"/>
  <c r="AB119" i="2"/>
  <c r="T120" i="3" s="1"/>
  <c r="AF97" i="2"/>
  <c r="X131" i="3" s="1"/>
  <c r="AB123" i="2"/>
  <c r="AD123" i="2"/>
  <c r="S123" i="2"/>
  <c r="AC123" i="2"/>
  <c r="Z123" i="2"/>
  <c r="Y123" i="2"/>
  <c r="AE123" i="2"/>
  <c r="T123" i="2"/>
  <c r="B35" i="8"/>
  <c r="U89" i="12"/>
  <c r="U44" i="12"/>
  <c r="AF155" i="2"/>
  <c r="V155" i="2"/>
  <c r="AE155" i="2"/>
  <c r="AA155" i="2"/>
  <c r="Z155" i="2"/>
  <c r="X155" i="2"/>
  <c r="W155" i="2"/>
  <c r="T155" i="2"/>
  <c r="AG155" i="2"/>
  <c r="S155" i="2"/>
  <c r="AB155" i="2"/>
  <c r="D42" i="7"/>
  <c r="D51" i="6"/>
  <c r="D96" i="4"/>
  <c r="AC117" i="2"/>
  <c r="U12" i="3" s="1"/>
  <c r="U147" i="2"/>
  <c r="M177" i="3" s="1"/>
  <c r="Z241" i="2"/>
  <c r="Y241" i="2"/>
  <c r="AG241" i="2"/>
  <c r="W241" i="2"/>
  <c r="AF241" i="2"/>
  <c r="V241" i="2"/>
  <c r="AB241" i="2"/>
  <c r="AA241" i="2"/>
  <c r="X241" i="2"/>
  <c r="T241" i="2"/>
  <c r="S241" i="2"/>
  <c r="AC241" i="2"/>
  <c r="E152" i="12"/>
  <c r="AC305" i="2"/>
  <c r="S305" i="2"/>
  <c r="X305" i="2"/>
  <c r="W305" i="2"/>
  <c r="V305" i="2"/>
  <c r="U79" i="12"/>
  <c r="E72" i="12"/>
  <c r="AA77" i="2"/>
  <c r="S15" i="3" s="1"/>
  <c r="B36" i="6"/>
  <c r="B29" i="7"/>
  <c r="B68" i="4"/>
  <c r="U46" i="12"/>
  <c r="U66" i="12"/>
  <c r="B56" i="4"/>
  <c r="B31" i="5"/>
  <c r="D34" i="6"/>
  <c r="D65" i="4"/>
  <c r="AC67" i="2"/>
  <c r="U94" i="3" s="1"/>
  <c r="S67" i="2"/>
  <c r="K94" i="3" s="1"/>
  <c r="AB67" i="2"/>
  <c r="T94" i="3" s="1"/>
  <c r="E71" i="12"/>
  <c r="AF131" i="2"/>
  <c r="X160" i="3" s="1"/>
  <c r="U69" i="12"/>
  <c r="B31" i="8"/>
  <c r="E155" i="12"/>
  <c r="T146" i="2"/>
  <c r="L238" i="3" s="1"/>
  <c r="AE146" i="2"/>
  <c r="W238" i="3" s="1"/>
  <c r="AF136" i="2"/>
  <c r="X327" i="3" s="1"/>
  <c r="V116" i="2"/>
  <c r="AG116" i="2"/>
  <c r="E85" i="12"/>
  <c r="E44" i="12"/>
  <c r="B40" i="5"/>
  <c r="B42" i="6"/>
  <c r="B81" i="4"/>
  <c r="AG139" i="2"/>
  <c r="Y61" i="3" s="1"/>
  <c r="X140" i="2"/>
  <c r="P208" i="3" s="1"/>
  <c r="AG140" i="2"/>
  <c r="Y208" i="3" s="1"/>
  <c r="W140" i="2"/>
  <c r="O208" i="3" s="1"/>
  <c r="AC140" i="2"/>
  <c r="U208" i="3" s="1"/>
  <c r="Y153" i="2"/>
  <c r="Q301" i="3" s="1"/>
  <c r="X153" i="2"/>
  <c r="P301" i="3" s="1"/>
  <c r="AC153" i="2"/>
  <c r="U301" i="3" s="1"/>
  <c r="B43" i="7"/>
  <c r="B52" i="6"/>
  <c r="B97" i="4"/>
  <c r="AE165" i="2"/>
  <c r="W96" i="3" s="1"/>
  <c r="AD165" i="2"/>
  <c r="V96" i="3" s="1"/>
  <c r="T165" i="2"/>
  <c r="AC165" i="2"/>
  <c r="U96" i="3" s="1"/>
  <c r="U230" i="12"/>
  <c r="D44" i="5"/>
  <c r="D85" i="4"/>
  <c r="E76" i="12"/>
  <c r="T157" i="2"/>
  <c r="L270" i="3" s="1"/>
  <c r="U98" i="12"/>
  <c r="S192" i="2"/>
  <c r="K102" i="3" s="1"/>
  <c r="AE192" i="2"/>
  <c r="W102" i="3" s="1"/>
  <c r="B48" i="7"/>
  <c r="B103" i="4"/>
  <c r="D49" i="7"/>
  <c r="D55" i="6"/>
  <c r="D104" i="4"/>
  <c r="E136" i="12"/>
  <c r="AG170" i="2"/>
  <c r="Y150" i="3" s="1"/>
  <c r="E266" i="12"/>
  <c r="T195" i="2"/>
  <c r="L132" i="3" s="1"/>
  <c r="Y179" i="2"/>
  <c r="Q162" i="3" s="1"/>
  <c r="X179" i="2"/>
  <c r="P162" i="3" s="1"/>
  <c r="AC179" i="2"/>
  <c r="U162" i="3" s="1"/>
  <c r="T208" i="2"/>
  <c r="L299" i="3" s="1"/>
  <c r="AF208" i="2"/>
  <c r="X299" i="3" s="1"/>
  <c r="S125" i="2"/>
  <c r="K161" i="3" s="1"/>
  <c r="U222" i="12"/>
  <c r="V171" i="2"/>
  <c r="S239" i="2"/>
  <c r="AE239" i="2"/>
  <c r="B54" i="8"/>
  <c r="X189" i="2"/>
  <c r="AG189" i="2"/>
  <c r="W189" i="2"/>
  <c r="AE189" i="2"/>
  <c r="AD189" i="2"/>
  <c r="B105" i="4"/>
  <c r="B51" i="5"/>
  <c r="AE209" i="2"/>
  <c r="W32" i="3" s="1"/>
  <c r="AD209" i="2"/>
  <c r="V32" i="3" s="1"/>
  <c r="T209" i="2"/>
  <c r="AB209" i="2"/>
  <c r="T32" i="3" s="1"/>
  <c r="AF209" i="2"/>
  <c r="X32" i="3" s="1"/>
  <c r="X246" i="2"/>
  <c r="P74" i="3" s="1"/>
  <c r="D55" i="7"/>
  <c r="D61" i="6"/>
  <c r="D121" i="4"/>
  <c r="Y225" i="2"/>
  <c r="D56" i="7"/>
  <c r="D123" i="4"/>
  <c r="X269" i="2"/>
  <c r="D57" i="7"/>
  <c r="D124" i="4"/>
  <c r="B23" i="9"/>
  <c r="AC214" i="2"/>
  <c r="U336" i="3" s="1"/>
  <c r="X249" i="2"/>
  <c r="S272" i="2"/>
  <c r="E125" i="12"/>
  <c r="Y212" i="2"/>
  <c r="U204" i="12"/>
  <c r="Z250" i="2"/>
  <c r="Y250" i="2"/>
  <c r="X250" i="2"/>
  <c r="AG250" i="2"/>
  <c r="W250" i="2"/>
  <c r="AF250" i="2"/>
  <c r="V250" i="2"/>
  <c r="E298" i="12"/>
  <c r="Y277" i="2"/>
  <c r="Q220" i="3" s="1"/>
  <c r="E148" i="12"/>
  <c r="S266" i="2"/>
  <c r="U319" i="12"/>
  <c r="X283" i="2"/>
  <c r="AG283" i="2"/>
  <c r="W283" i="2"/>
  <c r="AF283" i="2"/>
  <c r="V283" i="2"/>
  <c r="AE283" i="2"/>
  <c r="AD283" i="2"/>
  <c r="T283" i="2"/>
  <c r="AB283" i="2"/>
  <c r="U272" i="12"/>
  <c r="U183" i="12"/>
  <c r="B70" i="5"/>
  <c r="B142" i="4"/>
  <c r="AG284" i="2"/>
  <c r="W284" i="2"/>
  <c r="Y284" i="2"/>
  <c r="X284" i="2"/>
  <c r="V284" i="2"/>
  <c r="AF284" i="2"/>
  <c r="AE284" i="2"/>
  <c r="T284" i="2"/>
  <c r="AD284" i="2"/>
  <c r="S284" i="2"/>
  <c r="AC284" i="2"/>
  <c r="Z284" i="2"/>
  <c r="E193" i="12"/>
  <c r="B92" i="7"/>
  <c r="B94" i="6"/>
  <c r="B187" i="4"/>
  <c r="B30" i="9"/>
  <c r="Y380" i="2"/>
  <c r="AF380" i="2"/>
  <c r="V380" i="2"/>
  <c r="AE380" i="2"/>
  <c r="AA380" i="2"/>
  <c r="Z380" i="2"/>
  <c r="X380" i="2"/>
  <c r="W380" i="2"/>
  <c r="T380" i="2"/>
  <c r="S380" i="2"/>
  <c r="AG380" i="2"/>
  <c r="AB380" i="2"/>
  <c r="B107" i="6"/>
  <c r="B99" i="7"/>
  <c r="B100" i="5"/>
  <c r="B203" i="4"/>
  <c r="AC407" i="2"/>
  <c r="S407" i="2"/>
  <c r="AB407" i="2"/>
  <c r="Z407" i="2"/>
  <c r="Y407" i="2"/>
  <c r="AA407" i="2"/>
  <c r="X407" i="2"/>
  <c r="W407" i="2"/>
  <c r="V407" i="2"/>
  <c r="T407" i="2"/>
  <c r="AG407" i="2"/>
  <c r="AD407" i="2"/>
  <c r="U286" i="2"/>
  <c r="M296" i="3" s="1"/>
  <c r="E198" i="12"/>
  <c r="U441" i="12"/>
  <c r="AE413" i="2"/>
  <c r="T413" i="2"/>
  <c r="X413" i="2"/>
  <c r="W413" i="2"/>
  <c r="V413" i="2"/>
  <c r="S413" i="2"/>
  <c r="E524" i="12"/>
  <c r="X256" i="2"/>
  <c r="P189" i="3" s="1"/>
  <c r="AG256" i="2"/>
  <c r="Y189" i="3" s="1"/>
  <c r="W256" i="2"/>
  <c r="O189" i="3" s="1"/>
  <c r="AF256" i="2"/>
  <c r="X189" i="3" s="1"/>
  <c r="V256" i="2"/>
  <c r="N189" i="3" s="1"/>
  <c r="AE256" i="2"/>
  <c r="W189" i="3" s="1"/>
  <c r="AD256" i="2"/>
  <c r="V189" i="3" s="1"/>
  <c r="T256" i="2"/>
  <c r="L189" i="3" s="1"/>
  <c r="AC256" i="2"/>
  <c r="U189" i="3" s="1"/>
  <c r="S256" i="2"/>
  <c r="K189" i="3" s="1"/>
  <c r="AB256" i="2"/>
  <c r="T189" i="3" s="1"/>
  <c r="E468" i="12"/>
  <c r="E412" i="12"/>
  <c r="U277" i="12"/>
  <c r="Y148" i="2"/>
  <c r="Q179" i="3" s="1"/>
  <c r="X148" i="2"/>
  <c r="P179" i="3" s="1"/>
  <c r="AC148" i="2"/>
  <c r="U179" i="3" s="1"/>
  <c r="Z166" i="2"/>
  <c r="R124" i="3" s="1"/>
  <c r="Y166" i="2"/>
  <c r="Q124" i="3" s="1"/>
  <c r="AC166" i="2"/>
  <c r="U124" i="3" s="1"/>
  <c r="U112" i="12"/>
  <c r="D44" i="7"/>
  <c r="D98" i="4"/>
  <c r="E58" i="12"/>
  <c r="E126" i="12"/>
  <c r="Y157" i="2"/>
  <c r="Q270" i="3" s="1"/>
  <c r="B47" i="7"/>
  <c r="B102" i="4"/>
  <c r="X163" i="2"/>
  <c r="P70" i="3" s="1"/>
  <c r="AG163" i="2"/>
  <c r="Y70" i="3" s="1"/>
  <c r="W163" i="2"/>
  <c r="O70" i="3" s="1"/>
  <c r="AC163" i="2"/>
  <c r="U70" i="3" s="1"/>
  <c r="U256" i="12"/>
  <c r="Z174" i="2"/>
  <c r="Y174" i="2"/>
  <c r="AC174" i="2"/>
  <c r="Y208" i="2"/>
  <c r="Q299" i="3" s="1"/>
  <c r="B56" i="6"/>
  <c r="B106" i="4"/>
  <c r="AG173" i="2"/>
  <c r="W173" i="2"/>
  <c r="AF173" i="2"/>
  <c r="V173" i="2"/>
  <c r="AC173" i="2"/>
  <c r="V239" i="2"/>
  <c r="U122" i="12"/>
  <c r="E296" i="12"/>
  <c r="W719" i="12"/>
  <c r="I25" i="3"/>
  <c r="I28" i="3" s="1"/>
  <c r="AP144" i="2"/>
  <c r="O257" i="3" s="1"/>
  <c r="AO144" i="2"/>
  <c r="N257" i="3" s="1"/>
  <c r="AM144" i="2"/>
  <c r="L257" i="3" s="1"/>
  <c r="L260" i="3" s="1"/>
  <c r="AA269" i="2"/>
  <c r="X230" i="2"/>
  <c r="P211" i="3" s="1"/>
  <c r="E173" i="12"/>
  <c r="U173" i="12"/>
  <c r="Y289" i="2"/>
  <c r="X289" i="2"/>
  <c r="AF289" i="2"/>
  <c r="V289" i="2"/>
  <c r="AE289" i="2"/>
  <c r="AG289" i="2"/>
  <c r="X272" i="2"/>
  <c r="U152" i="12"/>
  <c r="D54" i="5"/>
  <c r="D113" i="4"/>
  <c r="AB212" i="2"/>
  <c r="AF293" i="2"/>
  <c r="V293" i="2"/>
  <c r="AE293" i="2"/>
  <c r="AD293" i="2"/>
  <c r="T293" i="2"/>
  <c r="AC293" i="2"/>
  <c r="S293" i="2"/>
  <c r="AB293" i="2"/>
  <c r="B25" i="9"/>
  <c r="AB277" i="2"/>
  <c r="T220" i="3" s="1"/>
  <c r="AF228" i="2"/>
  <c r="V228" i="2"/>
  <c r="AE228" i="2"/>
  <c r="AD228" i="2"/>
  <c r="T228" i="2"/>
  <c r="AC228" i="2"/>
  <c r="S228" i="2"/>
  <c r="AB228" i="2"/>
  <c r="B65" i="7"/>
  <c r="B68" i="6"/>
  <c r="B140" i="4"/>
  <c r="AE200" i="2"/>
  <c r="W65" i="3" s="1"/>
  <c r="B72" i="8"/>
  <c r="AC243" i="2"/>
  <c r="U359" i="12"/>
  <c r="E137" i="12"/>
  <c r="U171" i="12"/>
  <c r="E237" i="12"/>
  <c r="D64" i="5"/>
  <c r="D130" i="4"/>
  <c r="U209" i="12"/>
  <c r="Y360" i="2"/>
  <c r="X360" i="2"/>
  <c r="AG360" i="2"/>
  <c r="W360" i="2"/>
  <c r="AF360" i="2"/>
  <c r="V360" i="2"/>
  <c r="AE360" i="2"/>
  <c r="AD360" i="2"/>
  <c r="T360" i="2"/>
  <c r="AC360" i="2"/>
  <c r="S360" i="2"/>
  <c r="Z360" i="2"/>
  <c r="Y378" i="2"/>
  <c r="X378" i="2"/>
  <c r="AG378" i="2"/>
  <c r="W378" i="2"/>
  <c r="AF378" i="2"/>
  <c r="V378" i="2"/>
  <c r="AE378" i="2"/>
  <c r="AD378" i="2"/>
  <c r="T378" i="2"/>
  <c r="AC378" i="2"/>
  <c r="S378" i="2"/>
  <c r="Z378" i="2"/>
  <c r="B87" i="7"/>
  <c r="B177" i="4"/>
  <c r="E210" i="12"/>
  <c r="AF373" i="2"/>
  <c r="V373" i="2"/>
  <c r="AC373" i="2"/>
  <c r="S373" i="2"/>
  <c r="AB373" i="2"/>
  <c r="AA373" i="2"/>
  <c r="Z373" i="2"/>
  <c r="Y373" i="2"/>
  <c r="X373" i="2"/>
  <c r="W373" i="2"/>
  <c r="T373" i="2"/>
  <c r="AD373" i="2"/>
  <c r="E169" i="12"/>
  <c r="B38" i="7"/>
  <c r="B87" i="4"/>
  <c r="AF134" i="2"/>
  <c r="X40" i="3" s="1"/>
  <c r="V134" i="2"/>
  <c r="N40" i="3" s="1"/>
  <c r="AE134" i="2"/>
  <c r="W40" i="3" s="1"/>
  <c r="AC134" i="2"/>
  <c r="U40" i="3" s="1"/>
  <c r="B35" i="5"/>
  <c r="B70" i="4"/>
  <c r="U86" i="12"/>
  <c r="D37" i="5"/>
  <c r="D74" i="4"/>
  <c r="E77" i="12"/>
  <c r="AD148" i="2"/>
  <c r="V179" i="3" s="1"/>
  <c r="U234" i="12"/>
  <c r="D41" i="7"/>
  <c r="D50" i="6"/>
  <c r="D95" i="4"/>
  <c r="E70" i="12"/>
  <c r="AD166" i="2"/>
  <c r="V124" i="3" s="1"/>
  <c r="B41" i="5"/>
  <c r="B82" i="4"/>
  <c r="D45" i="7"/>
  <c r="D53" i="6"/>
  <c r="D99" i="4"/>
  <c r="Z157" i="2"/>
  <c r="R270" i="3" s="1"/>
  <c r="B46" i="7"/>
  <c r="B49" i="5"/>
  <c r="B100" i="4"/>
  <c r="AG210" i="2"/>
  <c r="W210" i="2"/>
  <c r="AF210" i="2"/>
  <c r="V210" i="2"/>
  <c r="AC210" i="2"/>
  <c r="U136" i="12"/>
  <c r="D50" i="7"/>
  <c r="D107" i="4"/>
  <c r="E110" i="12"/>
  <c r="AD163" i="2"/>
  <c r="V70" i="3" s="1"/>
  <c r="B51" i="7"/>
  <c r="B57" i="6"/>
  <c r="B108" i="4"/>
  <c r="AF194" i="2"/>
  <c r="X38" i="3" s="1"/>
  <c r="V194" i="2"/>
  <c r="N38" i="3" s="1"/>
  <c r="AE194" i="2"/>
  <c r="W38" i="3" s="1"/>
  <c r="AC194" i="2"/>
  <c r="U38" i="3" s="1"/>
  <c r="E240" i="12"/>
  <c r="AD174" i="2"/>
  <c r="Z208" i="2"/>
  <c r="R299" i="3" s="1"/>
  <c r="E90" i="12"/>
  <c r="AD173" i="2"/>
  <c r="U317" i="12"/>
  <c r="W239" i="2"/>
  <c r="B21" i="9"/>
  <c r="B25" i="3"/>
  <c r="AK144" i="2"/>
  <c r="J257" i="3" s="1"/>
  <c r="AE246" i="2"/>
  <c r="W74" i="3" s="1"/>
  <c r="AB269" i="2"/>
  <c r="AQ126" i="2"/>
  <c r="P345" i="3" s="1"/>
  <c r="AA230" i="2"/>
  <c r="S211" i="3" s="1"/>
  <c r="E162" i="12"/>
  <c r="X206" i="2"/>
  <c r="AG206" i="2"/>
  <c r="W206" i="2"/>
  <c r="AE206" i="2"/>
  <c r="AD206" i="2"/>
  <c r="T206" i="2"/>
  <c r="U160" i="12"/>
  <c r="B61" i="7"/>
  <c r="B65" i="6"/>
  <c r="B67" i="5"/>
  <c r="B134" i="4"/>
  <c r="B64" i="7"/>
  <c r="B139" i="4"/>
  <c r="B58" i="5"/>
  <c r="B118" i="4"/>
  <c r="AG223" i="2"/>
  <c r="W223" i="2"/>
  <c r="AF223" i="2"/>
  <c r="V223" i="2"/>
  <c r="AE223" i="2"/>
  <c r="AD223" i="2"/>
  <c r="T223" i="2"/>
  <c r="AC223" i="2"/>
  <c r="S223" i="2"/>
  <c r="E397" i="12"/>
  <c r="Y314" i="2"/>
  <c r="X314" i="2"/>
  <c r="AG314" i="2"/>
  <c r="W314" i="2"/>
  <c r="AF314" i="2"/>
  <c r="V314" i="2"/>
  <c r="AE314" i="2"/>
  <c r="AC314" i="2"/>
  <c r="S314" i="2"/>
  <c r="D70" i="7"/>
  <c r="D72" i="6"/>
  <c r="D148" i="4"/>
  <c r="U213" i="2"/>
  <c r="Z298" i="2"/>
  <c r="Y298" i="2"/>
  <c r="X298" i="2"/>
  <c r="AG298" i="2"/>
  <c r="W298" i="2"/>
  <c r="AF298" i="2"/>
  <c r="V298" i="2"/>
  <c r="AE298" i="2"/>
  <c r="AD298" i="2"/>
  <c r="T298" i="2"/>
  <c r="B82" i="8"/>
  <c r="U318" i="2"/>
  <c r="Z316" i="2"/>
  <c r="Y316" i="2"/>
  <c r="X316" i="2"/>
  <c r="AG316" i="2"/>
  <c r="W316" i="2"/>
  <c r="AF316" i="2"/>
  <c r="V316" i="2"/>
  <c r="AE316" i="2"/>
  <c r="AD316" i="2"/>
  <c r="T316" i="2"/>
  <c r="U316" i="2" s="1"/>
  <c r="Z259" i="2"/>
  <c r="R69" i="3" s="1"/>
  <c r="Y259" i="2"/>
  <c r="Q69" i="3" s="1"/>
  <c r="X259" i="2"/>
  <c r="P69" i="3" s="1"/>
  <c r="AG259" i="2"/>
  <c r="Y69" i="3" s="1"/>
  <c r="W259" i="2"/>
  <c r="O69" i="3" s="1"/>
  <c r="AF259" i="2"/>
  <c r="X69" i="3" s="1"/>
  <c r="V259" i="2"/>
  <c r="N69" i="3" s="1"/>
  <c r="AE259" i="2"/>
  <c r="W69" i="3" s="1"/>
  <c r="AD259" i="2"/>
  <c r="V69" i="3" s="1"/>
  <c r="T259" i="2"/>
  <c r="B87" i="8"/>
  <c r="Y256" i="2"/>
  <c r="Q189" i="3" s="1"/>
  <c r="E252" i="12"/>
  <c r="E214" i="12"/>
  <c r="U224" i="12"/>
  <c r="B88" i="7"/>
  <c r="B90" i="6"/>
  <c r="B180" i="4"/>
  <c r="D82" i="6"/>
  <c r="D167" i="4"/>
  <c r="AB361" i="2"/>
  <c r="X361" i="2"/>
  <c r="Z361" i="2"/>
  <c r="Y361" i="2"/>
  <c r="W361" i="2"/>
  <c r="V361" i="2"/>
  <c r="AG361" i="2"/>
  <c r="AF361" i="2"/>
  <c r="T361" i="2"/>
  <c r="AE361" i="2"/>
  <c r="S361" i="2"/>
  <c r="AA361" i="2"/>
  <c r="B111" i="8"/>
  <c r="E216" i="12"/>
  <c r="D100" i="7"/>
  <c r="D206" i="4"/>
  <c r="B121" i="8"/>
  <c r="U102" i="12"/>
  <c r="U71" i="12"/>
  <c r="AA131" i="2"/>
  <c r="S160" i="3" s="1"/>
  <c r="AG78" i="2"/>
  <c r="Y330" i="3" s="1"/>
  <c r="W78" i="2"/>
  <c r="O330" i="3" s="1"/>
  <c r="AB78" i="2"/>
  <c r="T330" i="3" s="1"/>
  <c r="B37" i="7"/>
  <c r="B43" i="6"/>
  <c r="B43" i="5"/>
  <c r="B84" i="4"/>
  <c r="B37" i="6"/>
  <c r="B71" i="4"/>
  <c r="AA136" i="2"/>
  <c r="S327" i="3" s="1"/>
  <c r="AB116" i="2"/>
  <c r="E89" i="12"/>
  <c r="AD134" i="2"/>
  <c r="V40" i="3" s="1"/>
  <c r="AD120" i="2"/>
  <c r="V178" i="3" s="1"/>
  <c r="T120" i="2"/>
  <c r="L178" i="3" s="1"/>
  <c r="AC120" i="2"/>
  <c r="U178" i="3" s="1"/>
  <c r="S120" i="2"/>
  <c r="K178" i="3" s="1"/>
  <c r="AE120" i="2"/>
  <c r="W178" i="3" s="1"/>
  <c r="U182" i="12"/>
  <c r="S148" i="2"/>
  <c r="K179" i="3" s="1"/>
  <c r="AE148" i="2"/>
  <c r="W179" i="3" s="1"/>
  <c r="S166" i="2"/>
  <c r="K124" i="3" s="1"/>
  <c r="AE166" i="2"/>
  <c r="W124" i="3" s="1"/>
  <c r="B46" i="6"/>
  <c r="B89" i="4"/>
  <c r="AF159" i="2"/>
  <c r="X298" i="3" s="1"/>
  <c r="V159" i="2"/>
  <c r="N298" i="3" s="1"/>
  <c r="AE159" i="2"/>
  <c r="W298" i="3" s="1"/>
  <c r="AC159" i="2"/>
  <c r="U298" i="3" s="1"/>
  <c r="E230" i="12"/>
  <c r="U126" i="12"/>
  <c r="AA157" i="2"/>
  <c r="S270" i="3" s="1"/>
  <c r="U151" i="2"/>
  <c r="E133" i="12"/>
  <c r="AD210" i="2"/>
  <c r="D47" i="7"/>
  <c r="D102" i="4"/>
  <c r="AC197" i="2"/>
  <c r="U156" i="3" s="1"/>
  <c r="S197" i="2"/>
  <c r="K156" i="3" s="1"/>
  <c r="AB197" i="2"/>
  <c r="T156" i="3" s="1"/>
  <c r="AD197" i="2"/>
  <c r="V156" i="3" s="1"/>
  <c r="U186" i="2"/>
  <c r="M186" i="3" s="1"/>
  <c r="S163" i="2"/>
  <c r="K70" i="3" s="1"/>
  <c r="AE163" i="2"/>
  <c r="W70" i="3" s="1"/>
  <c r="E140" i="12"/>
  <c r="AD194" i="2"/>
  <c r="V38" i="3" s="1"/>
  <c r="S174" i="2"/>
  <c r="AE174" i="2"/>
  <c r="AA208" i="2"/>
  <c r="S299" i="3" s="1"/>
  <c r="D56" i="6"/>
  <c r="D106" i="4"/>
  <c r="S173" i="2"/>
  <c r="AE173" i="2"/>
  <c r="U135" i="12"/>
  <c r="X239" i="2"/>
  <c r="U296" i="12"/>
  <c r="Y220" i="2"/>
  <c r="X220" i="2"/>
  <c r="AF220" i="2"/>
  <c r="V220" i="2"/>
  <c r="AE220" i="2"/>
  <c r="AG220" i="2"/>
  <c r="AD230" i="2"/>
  <c r="V211" i="3" s="1"/>
  <c r="U214" i="2"/>
  <c r="M336" i="3" s="1"/>
  <c r="D60" i="6"/>
  <c r="D120" i="4"/>
  <c r="S289" i="2"/>
  <c r="B60" i="8"/>
  <c r="E322" i="12"/>
  <c r="AG260" i="2"/>
  <c r="W260" i="2"/>
  <c r="AF260" i="2"/>
  <c r="V260" i="2"/>
  <c r="AD260" i="2"/>
  <c r="T260" i="2"/>
  <c r="AC260" i="2"/>
  <c r="S260" i="2"/>
  <c r="AC268" i="2"/>
  <c r="S268" i="2"/>
  <c r="AB268" i="2"/>
  <c r="Z268" i="2"/>
  <c r="Y268" i="2"/>
  <c r="AF268" i="2"/>
  <c r="AL133" i="2"/>
  <c r="K55" i="3" s="1"/>
  <c r="AG279" i="2"/>
  <c r="W279" i="2"/>
  <c r="AF279" i="2"/>
  <c r="V279" i="2"/>
  <c r="AE279" i="2"/>
  <c r="AD279" i="2"/>
  <c r="T279" i="2"/>
  <c r="AC279" i="2"/>
  <c r="S279" i="2"/>
  <c r="W293" i="2"/>
  <c r="U309" i="2"/>
  <c r="AG306" i="2"/>
  <c r="Y249" i="3" s="1"/>
  <c r="W306" i="2"/>
  <c r="O249" i="3" s="1"/>
  <c r="AF306" i="2"/>
  <c r="X249" i="3" s="1"/>
  <c r="V306" i="2"/>
  <c r="N249" i="3" s="1"/>
  <c r="AE306" i="2"/>
  <c r="W249" i="3" s="1"/>
  <c r="AD306" i="2"/>
  <c r="V249" i="3" s="1"/>
  <c r="T306" i="2"/>
  <c r="L249" i="3" s="1"/>
  <c r="AC306" i="2"/>
  <c r="U249" i="3" s="1"/>
  <c r="S306" i="2"/>
  <c r="K249" i="3" s="1"/>
  <c r="W228" i="2"/>
  <c r="E108" i="12"/>
  <c r="E156" i="12"/>
  <c r="U324" i="12"/>
  <c r="E181" i="12"/>
  <c r="B71" i="7"/>
  <c r="B73" i="6"/>
  <c r="B150" i="4"/>
  <c r="E153" i="12"/>
  <c r="B83" i="8"/>
  <c r="E394" i="12"/>
  <c r="U382" i="12"/>
  <c r="E151" i="12"/>
  <c r="Z256" i="2"/>
  <c r="R189" i="3" s="1"/>
  <c r="B88" i="8"/>
  <c r="W668" i="12"/>
  <c r="AP143" i="2"/>
  <c r="O316" i="3" s="1"/>
  <c r="AO143" i="2"/>
  <c r="N316" i="3" s="1"/>
  <c r="AN143" i="2"/>
  <c r="M316" i="3" s="1"/>
  <c r="AM143" i="2"/>
  <c r="L316" i="3" s="1"/>
  <c r="AK143" i="2"/>
  <c r="J316" i="3" s="1"/>
  <c r="X344" i="2"/>
  <c r="AG344" i="2"/>
  <c r="W344" i="2"/>
  <c r="AF344" i="2"/>
  <c r="V344" i="2"/>
  <c r="AE344" i="2"/>
  <c r="AD344" i="2"/>
  <c r="T344" i="2"/>
  <c r="AC344" i="2"/>
  <c r="S344" i="2"/>
  <c r="AB344" i="2"/>
  <c r="Y344" i="2"/>
  <c r="B71" i="5"/>
  <c r="B143" i="4"/>
  <c r="U413" i="12"/>
  <c r="D90" i="7"/>
  <c r="D184" i="4"/>
  <c r="U409" i="12"/>
  <c r="AE373" i="2"/>
  <c r="U488" i="12"/>
  <c r="AB131" i="2"/>
  <c r="T160" i="3" s="1"/>
  <c r="D35" i="7"/>
  <c r="D41" i="6"/>
  <c r="D80" i="4"/>
  <c r="E69" i="12"/>
  <c r="U184" i="12"/>
  <c r="B36" i="7"/>
  <c r="B42" i="5"/>
  <c r="B83" i="4"/>
  <c r="D37" i="6"/>
  <c r="D71" i="4"/>
  <c r="AB136" i="2"/>
  <c r="T327" i="3" s="1"/>
  <c r="E199" i="12"/>
  <c r="D38" i="7"/>
  <c r="D87" i="4"/>
  <c r="S134" i="2"/>
  <c r="K40" i="3" s="1"/>
  <c r="AG134" i="2"/>
  <c r="Y40" i="3" s="1"/>
  <c r="D35" i="5"/>
  <c r="D70" i="4"/>
  <c r="E75" i="12"/>
  <c r="AF120" i="2"/>
  <c r="X178" i="3" s="1"/>
  <c r="U83" i="12"/>
  <c r="Z139" i="2"/>
  <c r="R61" i="3" s="1"/>
  <c r="Y139" i="2"/>
  <c r="Q61" i="3" s="1"/>
  <c r="AC139" i="2"/>
  <c r="U61" i="3" s="1"/>
  <c r="T148" i="2"/>
  <c r="L179" i="3" s="1"/>
  <c r="AF148" i="2"/>
  <c r="X179" i="3" s="1"/>
  <c r="B40" i="7"/>
  <c r="B92" i="4"/>
  <c r="AG162" i="2"/>
  <c r="W162" i="2"/>
  <c r="AF162" i="2"/>
  <c r="V162" i="2"/>
  <c r="AC162" i="2"/>
  <c r="B12" i="9"/>
  <c r="W673" i="12"/>
  <c r="AN92" i="2"/>
  <c r="M142" i="3" s="1"/>
  <c r="AM92" i="2"/>
  <c r="L142" i="3" s="1"/>
  <c r="W659" i="12"/>
  <c r="AK118" i="2"/>
  <c r="AL118" i="2" s="1"/>
  <c r="E212" i="12"/>
  <c r="T166" i="2"/>
  <c r="L124" i="3" s="1"/>
  <c r="AF166" i="2"/>
  <c r="X124" i="3" s="1"/>
  <c r="E114" i="12"/>
  <c r="AD159" i="2"/>
  <c r="V298" i="3" s="1"/>
  <c r="W717" i="12"/>
  <c r="AM101" i="2"/>
  <c r="AC158" i="2"/>
  <c r="U322" i="3" s="1"/>
  <c r="X160" i="2"/>
  <c r="P277" i="3" s="1"/>
  <c r="AG160" i="2"/>
  <c r="Y277" i="3" s="1"/>
  <c r="W160" i="2"/>
  <c r="O277" i="3" s="1"/>
  <c r="AC160" i="2"/>
  <c r="U277" i="3" s="1"/>
  <c r="AQ124" i="2"/>
  <c r="P258" i="3" s="1"/>
  <c r="D46" i="7"/>
  <c r="D49" i="5"/>
  <c r="D100" i="4"/>
  <c r="S210" i="2"/>
  <c r="AE210" i="2"/>
  <c r="Y170" i="2"/>
  <c r="Q150" i="3" s="1"/>
  <c r="X170" i="2"/>
  <c r="P150" i="3" s="1"/>
  <c r="AC170" i="2"/>
  <c r="U150" i="3" s="1"/>
  <c r="T163" i="2"/>
  <c r="L70" i="3" s="1"/>
  <c r="AF163" i="2"/>
  <c r="X70" i="3" s="1"/>
  <c r="D51" i="7"/>
  <c r="D57" i="6"/>
  <c r="D108" i="4"/>
  <c r="S194" i="2"/>
  <c r="K38" i="3" s="1"/>
  <c r="AG194" i="2"/>
  <c r="Y38" i="3" s="1"/>
  <c r="E259" i="12"/>
  <c r="T174" i="2"/>
  <c r="AF174" i="2"/>
  <c r="B54" i="6"/>
  <c r="B50" i="5"/>
  <c r="B101" i="4"/>
  <c r="T173" i="2"/>
  <c r="U90" i="12"/>
  <c r="E318" i="12"/>
  <c r="Y237" i="2"/>
  <c r="X237" i="2"/>
  <c r="AF237" i="2"/>
  <c r="V237" i="2"/>
  <c r="AD237" i="2"/>
  <c r="D21" i="9"/>
  <c r="D25" i="3"/>
  <c r="AN144" i="2"/>
  <c r="M257" i="3" s="1"/>
  <c r="E357" i="12"/>
  <c r="E323" i="12"/>
  <c r="X225" i="2"/>
  <c r="AG225" i="2"/>
  <c r="W225" i="2"/>
  <c r="AE225" i="2"/>
  <c r="AD225" i="2"/>
  <c r="T225" i="2"/>
  <c r="U158" i="12"/>
  <c r="B58" i="7"/>
  <c r="B63" i="5"/>
  <c r="B128" i="4"/>
  <c r="D59" i="7"/>
  <c r="D129" i="4"/>
  <c r="T289" i="2"/>
  <c r="S206" i="2"/>
  <c r="B60" i="7"/>
  <c r="B65" i="5"/>
  <c r="B131" i="4"/>
  <c r="E160" i="12"/>
  <c r="B62" i="6"/>
  <c r="B60" i="5"/>
  <c r="B122" i="4"/>
  <c r="AF249" i="2"/>
  <c r="V249" i="2"/>
  <c r="AE249" i="2"/>
  <c r="AC249" i="2"/>
  <c r="S249" i="2"/>
  <c r="AB249" i="2"/>
  <c r="U131" i="12"/>
  <c r="AG268" i="2"/>
  <c r="E340" i="12"/>
  <c r="D61" i="7"/>
  <c r="D65" i="6"/>
  <c r="D67" i="5"/>
  <c r="D134" i="4"/>
  <c r="X293" i="2"/>
  <c r="E166" i="12"/>
  <c r="E374" i="12"/>
  <c r="D64" i="7"/>
  <c r="D139" i="4"/>
  <c r="X228" i="2"/>
  <c r="U106" i="12"/>
  <c r="X253" i="2"/>
  <c r="AG253" i="2"/>
  <c r="W253" i="2"/>
  <c r="AF253" i="2"/>
  <c r="V253" i="2"/>
  <c r="AE253" i="2"/>
  <c r="AD253" i="2"/>
  <c r="T253" i="2"/>
  <c r="B67" i="7"/>
  <c r="B72" i="5"/>
  <c r="B144" i="4"/>
  <c r="X223" i="2"/>
  <c r="T314" i="2"/>
  <c r="S298" i="2"/>
  <c r="AA256" i="2"/>
  <c r="S189" i="3" s="1"/>
  <c r="U215" i="12"/>
  <c r="U139" i="12"/>
  <c r="U167" i="12"/>
  <c r="W661" i="12"/>
  <c r="AM161" i="2"/>
  <c r="AP161" i="2"/>
  <c r="AO161" i="2"/>
  <c r="AN161" i="2"/>
  <c r="U210" i="12"/>
  <c r="AG373" i="2"/>
  <c r="AE486" i="2"/>
  <c r="X486" i="2"/>
  <c r="W486" i="2"/>
  <c r="V486" i="2"/>
  <c r="T486" i="2"/>
  <c r="S486" i="2"/>
  <c r="AC486" i="2"/>
  <c r="B128" i="8"/>
  <c r="U58" i="12"/>
  <c r="E233" i="12"/>
  <c r="B47" i="6"/>
  <c r="B91" i="4"/>
  <c r="AF157" i="2"/>
  <c r="X270" i="3" s="1"/>
  <c r="V157" i="2"/>
  <c r="N270" i="3" s="1"/>
  <c r="AE157" i="2"/>
  <c r="W270" i="3" s="1"/>
  <c r="AC157" i="2"/>
  <c r="U270" i="3" s="1"/>
  <c r="U239" i="12"/>
  <c r="U133" i="12"/>
  <c r="B48" i="6"/>
  <c r="B47" i="5"/>
  <c r="B93" i="4"/>
  <c r="U143" i="12"/>
  <c r="D46" i="5"/>
  <c r="D90" i="4"/>
  <c r="E115" i="12"/>
  <c r="U140" i="12"/>
  <c r="X208" i="2"/>
  <c r="P299" i="3" s="1"/>
  <c r="AG208" i="2"/>
  <c r="Y299" i="3" s="1"/>
  <c r="W208" i="2"/>
  <c r="O299" i="3" s="1"/>
  <c r="AC208" i="2"/>
  <c r="U299" i="3" s="1"/>
  <c r="E168" i="12"/>
  <c r="U357" i="12"/>
  <c r="B58" i="8"/>
  <c r="E294" i="12"/>
  <c r="AG269" i="2"/>
  <c r="W269" i="2"/>
  <c r="AF269" i="2"/>
  <c r="V269" i="2"/>
  <c r="AD269" i="2"/>
  <c r="T269" i="2"/>
  <c r="AC269" i="2"/>
  <c r="S269" i="2"/>
  <c r="AC230" i="2"/>
  <c r="U211" i="3" s="1"/>
  <c r="S230" i="2"/>
  <c r="K211" i="3" s="1"/>
  <c r="AB230" i="2"/>
  <c r="T211" i="3" s="1"/>
  <c r="Z230" i="2"/>
  <c r="R211" i="3" s="1"/>
  <c r="Y230" i="2"/>
  <c r="Q211" i="3" s="1"/>
  <c r="AF230" i="2"/>
  <c r="X211" i="3" s="1"/>
  <c r="E132" i="12"/>
  <c r="U344" i="12"/>
  <c r="X212" i="2"/>
  <c r="AG212" i="2"/>
  <c r="W212" i="2"/>
  <c r="AF212" i="2"/>
  <c r="V212" i="2"/>
  <c r="AE212" i="2"/>
  <c r="AD212" i="2"/>
  <c r="T212" i="2"/>
  <c r="B63" i="8"/>
  <c r="X277" i="2"/>
  <c r="P220" i="3" s="1"/>
  <c r="AG277" i="2"/>
  <c r="Y220" i="3" s="1"/>
  <c r="W277" i="2"/>
  <c r="O220" i="3" s="1"/>
  <c r="AF277" i="2"/>
  <c r="X220" i="3" s="1"/>
  <c r="V277" i="2"/>
  <c r="N220" i="3" s="1"/>
  <c r="AE277" i="2"/>
  <c r="W220" i="3" s="1"/>
  <c r="AD277" i="2"/>
  <c r="V220" i="3" s="1"/>
  <c r="T277" i="2"/>
  <c r="L220" i="3" s="1"/>
  <c r="B67" i="8"/>
  <c r="E297" i="12"/>
  <c r="Z243" i="2"/>
  <c r="Y243" i="2"/>
  <c r="X243" i="2"/>
  <c r="AG243" i="2"/>
  <c r="W243" i="2"/>
  <c r="AF243" i="2"/>
  <c r="V243" i="2"/>
  <c r="AD243" i="2"/>
  <c r="T243" i="2"/>
  <c r="AA298" i="2"/>
  <c r="AA316" i="2"/>
  <c r="B76" i="7"/>
  <c r="B79" i="6"/>
  <c r="B159" i="4"/>
  <c r="AA259" i="2"/>
  <c r="S69" i="3" s="1"/>
  <c r="B75" i="6"/>
  <c r="B75" i="5"/>
  <c r="B153" i="4"/>
  <c r="Z344" i="2"/>
  <c r="B89" i="7"/>
  <c r="B91" i="6"/>
  <c r="B181" i="4"/>
  <c r="U377" i="2"/>
  <c r="AG402" i="2"/>
  <c r="W402" i="2"/>
  <c r="AC402" i="2"/>
  <c r="S402" i="2"/>
  <c r="Z402" i="2"/>
  <c r="Y402" i="2"/>
  <c r="X402" i="2"/>
  <c r="V402" i="2"/>
  <c r="AF402" i="2"/>
  <c r="T402" i="2"/>
  <c r="AE402" i="2"/>
  <c r="AA402" i="2"/>
  <c r="AK161" i="2"/>
  <c r="AD361" i="2"/>
  <c r="U363" i="2"/>
  <c r="D87" i="6"/>
  <c r="D176" i="4"/>
  <c r="U418" i="12"/>
  <c r="U349" i="2"/>
  <c r="Y447" i="2"/>
  <c r="AF447" i="2"/>
  <c r="V447" i="2"/>
  <c r="AE447" i="2"/>
  <c r="AA447" i="2"/>
  <c r="Z447" i="2"/>
  <c r="X447" i="2"/>
  <c r="W447" i="2"/>
  <c r="T447" i="2"/>
  <c r="S447" i="2"/>
  <c r="AG447" i="2"/>
  <c r="AB447" i="2"/>
  <c r="AC413" i="2"/>
  <c r="E97" i="12"/>
  <c r="D18" i="7"/>
  <c r="D46" i="4"/>
  <c r="AA63" i="2"/>
  <c r="S214" i="3" s="1"/>
  <c r="B22" i="5"/>
  <c r="B38" i="4"/>
  <c r="U195" i="12"/>
  <c r="E194" i="12"/>
  <c r="D23" i="5"/>
  <c r="D41" i="4"/>
  <c r="AA71" i="2"/>
  <c r="S3" i="3" s="1"/>
  <c r="B23" i="7"/>
  <c r="B33" i="6"/>
  <c r="B60" i="4"/>
  <c r="U68" i="12"/>
  <c r="E141" i="12"/>
  <c r="W678" i="12"/>
  <c r="U177" i="12"/>
  <c r="E93" i="12"/>
  <c r="D25" i="5"/>
  <c r="D45" i="4"/>
  <c r="AA81" i="2"/>
  <c r="S265" i="3" s="1"/>
  <c r="Y77" i="2"/>
  <c r="Q15" i="3" s="1"/>
  <c r="U157" i="12"/>
  <c r="D28" i="5"/>
  <c r="D52" i="4"/>
  <c r="E100" i="12"/>
  <c r="U62" i="12"/>
  <c r="B34" i="6"/>
  <c r="B65" i="4"/>
  <c r="Z67" i="2"/>
  <c r="R94" i="3" s="1"/>
  <c r="D34" i="7"/>
  <c r="D40" i="6"/>
  <c r="D79" i="4"/>
  <c r="AB79" i="2"/>
  <c r="T126" i="3" s="1"/>
  <c r="E146" i="12"/>
  <c r="S131" i="2"/>
  <c r="K160" i="3" s="1"/>
  <c r="AD131" i="2"/>
  <c r="V160" i="3" s="1"/>
  <c r="T78" i="2"/>
  <c r="L330" i="3" s="1"/>
  <c r="AE78" i="2"/>
  <c r="W330" i="3" s="1"/>
  <c r="U73" i="12"/>
  <c r="D36" i="7"/>
  <c r="D83" i="4"/>
  <c r="D42" i="5"/>
  <c r="AC115" i="2"/>
  <c r="U128" i="3" s="1"/>
  <c r="S115" i="2"/>
  <c r="K128" i="3" s="1"/>
  <c r="AB115" i="2"/>
  <c r="T128" i="3" s="1"/>
  <c r="E95" i="12"/>
  <c r="AC146" i="2"/>
  <c r="U238" i="3" s="1"/>
  <c r="S136" i="2"/>
  <c r="K327" i="3" s="1"/>
  <c r="AD136" i="2"/>
  <c r="V327" i="3" s="1"/>
  <c r="T116" i="2"/>
  <c r="AE116" i="2"/>
  <c r="W134" i="2"/>
  <c r="O40" i="3" s="1"/>
  <c r="V120" i="2"/>
  <c r="N178" i="3" s="1"/>
  <c r="U75" i="12"/>
  <c r="S139" i="2"/>
  <c r="K61" i="3" s="1"/>
  <c r="AE139" i="2"/>
  <c r="W61" i="3" s="1"/>
  <c r="V148" i="2"/>
  <c r="N179" i="3" s="1"/>
  <c r="AA140" i="2"/>
  <c r="S208" i="3" s="1"/>
  <c r="D40" i="7"/>
  <c r="D92" i="4"/>
  <c r="S162" i="2"/>
  <c r="AE162" i="2"/>
  <c r="AN118" i="2"/>
  <c r="V166" i="2"/>
  <c r="N124" i="3" s="1"/>
  <c r="U70" i="12"/>
  <c r="AA153" i="2"/>
  <c r="S301" i="3" s="1"/>
  <c r="T159" i="2"/>
  <c r="L298" i="3" s="1"/>
  <c r="U114" i="12"/>
  <c r="AA165" i="2"/>
  <c r="S96" i="3" s="1"/>
  <c r="AN101" i="2"/>
  <c r="S158" i="2"/>
  <c r="K322" i="3" s="1"/>
  <c r="AE158" i="2"/>
  <c r="W322" i="3" s="1"/>
  <c r="S160" i="2"/>
  <c r="K277" i="3" s="1"/>
  <c r="AE160" i="2"/>
  <c r="W277" i="3" s="1"/>
  <c r="E98" i="12"/>
  <c r="AD157" i="2"/>
  <c r="V270" i="3" s="1"/>
  <c r="X192" i="2"/>
  <c r="P102" i="3" s="1"/>
  <c r="AG192" i="2"/>
  <c r="Y102" i="3" s="1"/>
  <c r="W192" i="2"/>
  <c r="O102" i="3" s="1"/>
  <c r="AC192" i="2"/>
  <c r="U102" i="3" s="1"/>
  <c r="AD196" i="2"/>
  <c r="V7" i="3" s="1"/>
  <c r="T196" i="2"/>
  <c r="L7" i="3" s="1"/>
  <c r="AC196" i="2"/>
  <c r="U7" i="3" s="1"/>
  <c r="S196" i="2"/>
  <c r="K7" i="3" s="1"/>
  <c r="AE196" i="2"/>
  <c r="W7" i="3" s="1"/>
  <c r="AG197" i="2"/>
  <c r="Y156" i="3" s="1"/>
  <c r="U87" i="12"/>
  <c r="S170" i="2"/>
  <c r="K150" i="3" s="1"/>
  <c r="AE170" i="2"/>
  <c r="W150" i="3" s="1"/>
  <c r="V163" i="2"/>
  <c r="N70" i="3" s="1"/>
  <c r="W194" i="2"/>
  <c r="O38" i="3" s="1"/>
  <c r="V174" i="2"/>
  <c r="U240" i="12"/>
  <c r="AA179" i="2"/>
  <c r="S162" i="3" s="1"/>
  <c r="D54" i="6"/>
  <c r="D50" i="5"/>
  <c r="D101" i="4"/>
  <c r="E129" i="12"/>
  <c r="AD208" i="2"/>
  <c r="V299" i="3" s="1"/>
  <c r="X173" i="2"/>
  <c r="B49" i="8"/>
  <c r="AF125" i="2"/>
  <c r="X161" i="3" s="1"/>
  <c r="V125" i="2"/>
  <c r="N161" i="3" s="1"/>
  <c r="AE125" i="2"/>
  <c r="W161" i="3" s="1"/>
  <c r="AC125" i="2"/>
  <c r="U161" i="3" s="1"/>
  <c r="AD125" i="2"/>
  <c r="V161" i="3" s="1"/>
  <c r="E657" i="12"/>
  <c r="D54" i="7"/>
  <c r="D117" i="4"/>
  <c r="S237" i="2"/>
  <c r="AG237" i="2"/>
  <c r="AB189" i="2"/>
  <c r="AA209" i="2"/>
  <c r="S32" i="3" s="1"/>
  <c r="V246" i="2"/>
  <c r="N74" i="3" s="1"/>
  <c r="T220" i="2"/>
  <c r="S225" i="2"/>
  <c r="B56" i="7"/>
  <c r="B123" i="4"/>
  <c r="E158" i="12"/>
  <c r="B57" i="7"/>
  <c r="B124" i="4"/>
  <c r="AF261" i="2"/>
  <c r="V261" i="2"/>
  <c r="AE261" i="2"/>
  <c r="AC261" i="2"/>
  <c r="S261" i="2"/>
  <c r="AB261" i="2"/>
  <c r="U176" i="12"/>
  <c r="D55" i="5"/>
  <c r="D59" i="6"/>
  <c r="D114" i="4"/>
  <c r="AG230" i="2"/>
  <c r="Y211" i="3" s="1"/>
  <c r="Z289" i="2"/>
  <c r="Y206" i="2"/>
  <c r="D60" i="7"/>
  <c r="D65" i="5"/>
  <c r="D131" i="4"/>
  <c r="X260" i="2"/>
  <c r="D62" i="6"/>
  <c r="D60" i="5"/>
  <c r="D122" i="4"/>
  <c r="T249" i="2"/>
  <c r="B61" i="8"/>
  <c r="AE272" i="2"/>
  <c r="AC227" i="2"/>
  <c r="E121" i="12"/>
  <c r="Y279" i="2"/>
  <c r="Z293" i="2"/>
  <c r="AD250" i="2"/>
  <c r="E310" i="12"/>
  <c r="Y306" i="2"/>
  <c r="Q249" i="3" s="1"/>
  <c r="Z228" i="2"/>
  <c r="Y266" i="2"/>
  <c r="X266" i="2"/>
  <c r="AG266" i="2"/>
  <c r="W266" i="2"/>
  <c r="AF266" i="2"/>
  <c r="V266" i="2"/>
  <c r="AE266" i="2"/>
  <c r="B71" i="8"/>
  <c r="S253" i="2"/>
  <c r="D67" i="7"/>
  <c r="D72" i="5"/>
  <c r="D144" i="4"/>
  <c r="Z223" i="2"/>
  <c r="U128" i="12"/>
  <c r="E301" i="12"/>
  <c r="D69" i="7"/>
  <c r="D71" i="6"/>
  <c r="D147" i="4"/>
  <c r="AA314" i="2"/>
  <c r="E359" i="12"/>
  <c r="U656" i="12"/>
  <c r="AB298" i="2"/>
  <c r="Y274" i="2"/>
  <c r="X274" i="2"/>
  <c r="AG274" i="2"/>
  <c r="W274" i="2"/>
  <c r="AF274" i="2"/>
  <c r="V274" i="2"/>
  <c r="AE274" i="2"/>
  <c r="AD274" i="2"/>
  <c r="T274" i="2"/>
  <c r="AC274" i="2"/>
  <c r="S274" i="2"/>
  <c r="U189" i="12"/>
  <c r="AB316" i="2"/>
  <c r="W712" i="12"/>
  <c r="AP135" i="2"/>
  <c r="O26" i="3" s="1"/>
  <c r="AO135" i="2"/>
  <c r="N26" i="3" s="1"/>
  <c r="AN135" i="2"/>
  <c r="M26" i="3" s="1"/>
  <c r="AM135" i="2"/>
  <c r="L26" i="3" s="1"/>
  <c r="AB259" i="2"/>
  <c r="T69" i="3" s="1"/>
  <c r="Y263" i="2"/>
  <c r="Q62" i="3" s="1"/>
  <c r="X263" i="2"/>
  <c r="P62" i="3" s="1"/>
  <c r="AG263" i="2"/>
  <c r="Y62" i="3" s="1"/>
  <c r="W263" i="2"/>
  <c r="O62" i="3" s="1"/>
  <c r="AF263" i="2"/>
  <c r="X62" i="3" s="1"/>
  <c r="V263" i="2"/>
  <c r="N62" i="3" s="1"/>
  <c r="AE263" i="2"/>
  <c r="W62" i="3" s="1"/>
  <c r="AD263" i="2"/>
  <c r="V62" i="3" s="1"/>
  <c r="T263" i="2"/>
  <c r="L62" i="3" s="1"/>
  <c r="AC263" i="2"/>
  <c r="U62" i="3" s="1"/>
  <c r="S263" i="2"/>
  <c r="K62" i="3" s="1"/>
  <c r="U188" i="12"/>
  <c r="D82" i="7"/>
  <c r="D83" i="6"/>
  <c r="D169" i="4"/>
  <c r="U383" i="12"/>
  <c r="D83" i="7"/>
  <c r="D85" i="5"/>
  <c r="D84" i="6"/>
  <c r="D170" i="4"/>
  <c r="AA344" i="2"/>
  <c r="U178" i="12"/>
  <c r="B101" i="8"/>
  <c r="Y336" i="2"/>
  <c r="X336" i="2"/>
  <c r="W336" i="2"/>
  <c r="AG336" i="2"/>
  <c r="V336" i="2"/>
  <c r="AF336" i="2"/>
  <c r="AE336" i="2"/>
  <c r="T336" i="2"/>
  <c r="AD336" i="2"/>
  <c r="S336" i="2"/>
  <c r="AC336" i="2"/>
  <c r="Z336" i="2"/>
  <c r="U531" i="12"/>
  <c r="E207" i="12"/>
  <c r="D90" i="5"/>
  <c r="D92" i="6"/>
  <c r="D182" i="4"/>
  <c r="B102" i="7"/>
  <c r="B209" i="4"/>
  <c r="AR168" i="2"/>
  <c r="U84" i="12"/>
  <c r="E17" i="12"/>
  <c r="D10" i="5"/>
  <c r="D17" i="4"/>
  <c r="D11" i="6"/>
  <c r="D15" i="5"/>
  <c r="D24" i="4"/>
  <c r="U67" i="12"/>
  <c r="E154" i="12"/>
  <c r="D13" i="6"/>
  <c r="D26" i="4"/>
  <c r="B12" i="7"/>
  <c r="B21" i="6"/>
  <c r="B21" i="5"/>
  <c r="B36" i="4"/>
  <c r="U30" i="12"/>
  <c r="E34" i="12"/>
  <c r="D14" i="7"/>
  <c r="D23" i="6"/>
  <c r="D39" i="4"/>
  <c r="U19" i="12"/>
  <c r="E40" i="12"/>
  <c r="D19" i="7"/>
  <c r="D26" i="6"/>
  <c r="D48" i="4"/>
  <c r="U81" i="12"/>
  <c r="E80" i="12"/>
  <c r="D22" i="7"/>
  <c r="D31" i="6"/>
  <c r="D58" i="4"/>
  <c r="B24" i="7"/>
  <c r="B61" i="4"/>
  <c r="U32" i="12"/>
  <c r="AK82" i="2"/>
  <c r="J83" i="3" s="1"/>
  <c r="U138" i="12"/>
  <c r="E78" i="12"/>
  <c r="D30" i="6"/>
  <c r="D57" i="4"/>
  <c r="U42" i="12"/>
  <c r="AA67" i="2"/>
  <c r="S94" i="3" s="1"/>
  <c r="D32" i="7"/>
  <c r="D38" i="6"/>
  <c r="D76" i="4"/>
  <c r="AA142" i="2"/>
  <c r="S182" i="3" s="1"/>
  <c r="E88" i="12"/>
  <c r="AC79" i="2"/>
  <c r="U126" i="3" s="1"/>
  <c r="T131" i="2"/>
  <c r="L160" i="3" s="1"/>
  <c r="AE131" i="2"/>
  <c r="W160" i="3" s="1"/>
  <c r="AF78" i="2"/>
  <c r="X330" i="3" s="1"/>
  <c r="AD129" i="2"/>
  <c r="V17" i="3" s="1"/>
  <c r="T129" i="2"/>
  <c r="L17" i="3" s="1"/>
  <c r="AB129" i="2"/>
  <c r="T17" i="3" s="1"/>
  <c r="E31" i="12"/>
  <c r="AD115" i="2"/>
  <c r="V128" i="3" s="1"/>
  <c r="T136" i="2"/>
  <c r="L327" i="3" s="1"/>
  <c r="AE136" i="2"/>
  <c r="W327" i="3" s="1"/>
  <c r="AF116" i="2"/>
  <c r="B39" i="5"/>
  <c r="B39" i="6"/>
  <c r="B77" i="4"/>
  <c r="AG141" i="2"/>
  <c r="Y205" i="3" s="1"/>
  <c r="W141" i="2"/>
  <c r="O205" i="3" s="1"/>
  <c r="AF141" i="2"/>
  <c r="X205" i="3" s="1"/>
  <c r="V141" i="2"/>
  <c r="N205" i="3" s="1"/>
  <c r="AC141" i="2"/>
  <c r="U205" i="3" s="1"/>
  <c r="X134" i="2"/>
  <c r="P40" i="3" s="1"/>
  <c r="B39" i="7"/>
  <c r="B45" i="6"/>
  <c r="B45" i="5"/>
  <c r="B88" i="4"/>
  <c r="AE128" i="2"/>
  <c r="W8" i="3" s="1"/>
  <c r="AD128" i="2"/>
  <c r="V8" i="3" s="1"/>
  <c r="T128" i="2"/>
  <c r="L8" i="3" s="1"/>
  <c r="AC128" i="2"/>
  <c r="U8" i="3" s="1"/>
  <c r="W120" i="2"/>
  <c r="O178" i="3" s="1"/>
  <c r="E86" i="12"/>
  <c r="T139" i="2"/>
  <c r="L61" i="3" s="1"/>
  <c r="AF139" i="2"/>
  <c r="X61" i="3" s="1"/>
  <c r="W148" i="2"/>
  <c r="O179" i="3" s="1"/>
  <c r="B38" i="5"/>
  <c r="B75" i="4"/>
  <c r="AB140" i="2"/>
  <c r="T208" i="3" s="1"/>
  <c r="T162" i="2"/>
  <c r="U116" i="12"/>
  <c r="AO92" i="2"/>
  <c r="N142" i="3" s="1"/>
  <c r="AO118" i="2"/>
  <c r="W166" i="2"/>
  <c r="O124" i="3" s="1"/>
  <c r="AB153" i="2"/>
  <c r="T301" i="3" s="1"/>
  <c r="W159" i="2"/>
  <c r="O298" i="3" s="1"/>
  <c r="AB165" i="2"/>
  <c r="T96" i="3" s="1"/>
  <c r="AO101" i="2"/>
  <c r="Y147" i="2"/>
  <c r="Q177" i="3" s="1"/>
  <c r="X147" i="2"/>
  <c r="P177" i="3" s="1"/>
  <c r="AC147" i="2"/>
  <c r="U177" i="3" s="1"/>
  <c r="T160" i="2"/>
  <c r="L277" i="3" s="1"/>
  <c r="AF160" i="2"/>
  <c r="X277" i="3" s="1"/>
  <c r="D47" i="6"/>
  <c r="D91" i="4"/>
  <c r="S157" i="2"/>
  <c r="K270" i="3" s="1"/>
  <c r="AG157" i="2"/>
  <c r="Y270" i="3" s="1"/>
  <c r="W730" i="12"/>
  <c r="E279" i="12"/>
  <c r="AD192" i="2"/>
  <c r="V102" i="3" s="1"/>
  <c r="X210" i="2"/>
  <c r="B19" i="9"/>
  <c r="W685" i="12"/>
  <c r="AO112" i="2"/>
  <c r="N171" i="3" s="1"/>
  <c r="N173" i="3" s="1"/>
  <c r="Q9" i="13" s="1"/>
  <c r="AN112" i="2"/>
  <c r="M171" i="3" s="1"/>
  <c r="D48" i="6"/>
  <c r="D47" i="5"/>
  <c r="D93" i="4"/>
  <c r="E123" i="12"/>
  <c r="AF196" i="2"/>
  <c r="X7" i="3" s="1"/>
  <c r="V197" i="2"/>
  <c r="N156" i="3" s="1"/>
  <c r="U124" i="12"/>
  <c r="Z199" i="2"/>
  <c r="R268" i="3" s="1"/>
  <c r="Y199" i="2"/>
  <c r="Q268" i="3" s="1"/>
  <c r="AC199" i="2"/>
  <c r="U268" i="3" s="1"/>
  <c r="T170" i="2"/>
  <c r="L150" i="3" s="1"/>
  <c r="AF170" i="2"/>
  <c r="X150" i="3" s="1"/>
  <c r="Y163" i="2"/>
  <c r="Q70" i="3" s="1"/>
  <c r="AG156" i="2"/>
  <c r="Y306" i="3" s="1"/>
  <c r="W156" i="2"/>
  <c r="O306" i="3" s="1"/>
  <c r="AF156" i="2"/>
  <c r="X306" i="3" s="1"/>
  <c r="V156" i="2"/>
  <c r="N306" i="3" s="1"/>
  <c r="AC156" i="2"/>
  <c r="U306" i="3" s="1"/>
  <c r="X194" i="2"/>
  <c r="P38" i="3" s="1"/>
  <c r="B20" i="9"/>
  <c r="W663" i="12"/>
  <c r="AN132" i="2"/>
  <c r="M170" i="3" s="1"/>
  <c r="AM132" i="2"/>
  <c r="L170" i="3" s="1"/>
  <c r="AC184" i="2"/>
  <c r="U133" i="3" s="1"/>
  <c r="S184" i="2"/>
  <c r="K133" i="3" s="1"/>
  <c r="AB184" i="2"/>
  <c r="T133" i="3" s="1"/>
  <c r="AD184" i="2"/>
  <c r="V133" i="3" s="1"/>
  <c r="S195" i="2"/>
  <c r="K132" i="3" s="1"/>
  <c r="U172" i="2"/>
  <c r="M307" i="3" s="1"/>
  <c r="W174" i="2"/>
  <c r="AB179" i="2"/>
  <c r="T162" i="3" s="1"/>
  <c r="S208" i="2"/>
  <c r="K299" i="3" s="1"/>
  <c r="AE208" i="2"/>
  <c r="W299" i="3" s="1"/>
  <c r="Y173" i="2"/>
  <c r="E222" i="12"/>
  <c r="AG125" i="2"/>
  <c r="Y161" i="3" s="1"/>
  <c r="U657" i="12"/>
  <c r="U219" i="2"/>
  <c r="T237" i="2"/>
  <c r="AC189" i="2"/>
  <c r="AC209" i="2"/>
  <c r="U32" i="3" s="1"/>
  <c r="AC271" i="2"/>
  <c r="S271" i="2"/>
  <c r="AB271" i="2"/>
  <c r="Z271" i="2"/>
  <c r="Y271" i="2"/>
  <c r="AF271" i="2"/>
  <c r="W220" i="2"/>
  <c r="V225" i="2"/>
  <c r="T230" i="2"/>
  <c r="L211" i="3" s="1"/>
  <c r="U104" i="12"/>
  <c r="AA289" i="2"/>
  <c r="Z206" i="2"/>
  <c r="Y260" i="2"/>
  <c r="W249" i="2"/>
  <c r="U328" i="12"/>
  <c r="V268" i="2"/>
  <c r="AQ133" i="2"/>
  <c r="P55" i="3" s="1"/>
  <c r="Y238" i="2"/>
  <c r="Q237" i="3" s="1"/>
  <c r="X238" i="2"/>
  <c r="P237" i="3" s="1"/>
  <c r="AG238" i="2"/>
  <c r="Y237" i="3" s="1"/>
  <c r="W238" i="2"/>
  <c r="O237" i="3" s="1"/>
  <c r="AF238" i="2"/>
  <c r="X237" i="3" s="1"/>
  <c r="V238" i="2"/>
  <c r="N237" i="3" s="1"/>
  <c r="AE238" i="2"/>
  <c r="W237" i="3" s="1"/>
  <c r="B115" i="4"/>
  <c r="B56" i="5"/>
  <c r="S212" i="2"/>
  <c r="Z279" i="2"/>
  <c r="AA293" i="2"/>
  <c r="AE250" i="2"/>
  <c r="Y254" i="2"/>
  <c r="X254" i="2"/>
  <c r="AG254" i="2"/>
  <c r="W254" i="2"/>
  <c r="AF254" i="2"/>
  <c r="V254" i="2"/>
  <c r="AE254" i="2"/>
  <c r="B66" i="8"/>
  <c r="S277" i="2"/>
  <c r="K220" i="3" s="1"/>
  <c r="Z306" i="2"/>
  <c r="R249" i="3" s="1"/>
  <c r="AA228" i="2"/>
  <c r="U274" i="12"/>
  <c r="Z244" i="2"/>
  <c r="R127" i="3" s="1"/>
  <c r="Y244" i="2"/>
  <c r="Q127" i="3" s="1"/>
  <c r="X244" i="2"/>
  <c r="P127" i="3" s="1"/>
  <c r="AG244" i="2"/>
  <c r="Y127" i="3" s="1"/>
  <c r="W244" i="2"/>
  <c r="O127" i="3" s="1"/>
  <c r="AF244" i="2"/>
  <c r="X127" i="3" s="1"/>
  <c r="V244" i="2"/>
  <c r="N127" i="3" s="1"/>
  <c r="E408" i="12"/>
  <c r="Y253" i="2"/>
  <c r="AA223" i="2"/>
  <c r="S243" i="2"/>
  <c r="AB314" i="2"/>
  <c r="B77" i="8"/>
  <c r="U221" i="12"/>
  <c r="D73" i="7"/>
  <c r="D152" i="4"/>
  <c r="AC298" i="2"/>
  <c r="E309" i="12"/>
  <c r="B68" i="5"/>
  <c r="B66" i="6"/>
  <c r="B135" i="4"/>
  <c r="U276" i="12"/>
  <c r="AC316" i="2"/>
  <c r="AK135" i="2"/>
  <c r="J26" i="3" s="1"/>
  <c r="D78" i="7"/>
  <c r="D81" i="5"/>
  <c r="D163" i="4"/>
  <c r="AC259" i="2"/>
  <c r="U69" i="3" s="1"/>
  <c r="E179" i="12"/>
  <c r="B79" i="7"/>
  <c r="B82" i="5"/>
  <c r="B164" i="4"/>
  <c r="U457" i="12"/>
  <c r="B97" i="8"/>
  <c r="X382" i="2"/>
  <c r="Z382" i="2"/>
  <c r="Y382" i="2"/>
  <c r="W382" i="2"/>
  <c r="AG382" i="2"/>
  <c r="V382" i="2"/>
  <c r="AF382" i="2"/>
  <c r="AE382" i="2"/>
  <c r="T382" i="2"/>
  <c r="AD382" i="2"/>
  <c r="S382" i="2"/>
  <c r="AA382" i="2"/>
  <c r="AB402" i="2"/>
  <c r="B94" i="7"/>
  <c r="B98" i="6"/>
  <c r="B192" i="4"/>
  <c r="U342" i="2"/>
  <c r="U203" i="12"/>
  <c r="AC447" i="2"/>
  <c r="E170" i="12"/>
  <c r="AA345" i="2"/>
  <c r="U94" i="12"/>
  <c r="U257" i="12"/>
  <c r="AF350" i="2"/>
  <c r="V350" i="2"/>
  <c r="AB350" i="2"/>
  <c r="U463" i="12"/>
  <c r="U231" i="12"/>
  <c r="U349" i="12"/>
  <c r="AG327" i="2"/>
  <c r="W327" i="2"/>
  <c r="AB327" i="2"/>
  <c r="E192" i="12"/>
  <c r="Y389" i="2"/>
  <c r="AF389" i="2"/>
  <c r="V389" i="2"/>
  <c r="AE389" i="2"/>
  <c r="AD389" i="2"/>
  <c r="U368" i="12"/>
  <c r="B87" i="6"/>
  <c r="B176" i="4"/>
  <c r="E277" i="12"/>
  <c r="U432" i="2"/>
  <c r="E418" i="12"/>
  <c r="D97" i="7"/>
  <c r="D105" i="6"/>
  <c r="D201" i="4"/>
  <c r="B90" i="5"/>
  <c r="B92" i="6"/>
  <c r="B182" i="4"/>
  <c r="X424" i="2"/>
  <c r="AE424" i="2"/>
  <c r="AD424" i="2"/>
  <c r="T424" i="2"/>
  <c r="AF424" i="2"/>
  <c r="U306" i="12"/>
  <c r="E488" i="12"/>
  <c r="D84" i="5"/>
  <c r="D168" i="4"/>
  <c r="B100" i="7"/>
  <c r="B206" i="4"/>
  <c r="E203" i="12"/>
  <c r="E510" i="12"/>
  <c r="U510" i="12"/>
  <c r="U484" i="12"/>
  <c r="E543" i="12"/>
  <c r="B127" i="8"/>
  <c r="AF394" i="2"/>
  <c r="V394" i="2"/>
  <c r="AE394" i="2"/>
  <c r="AC394" i="2"/>
  <c r="S394" i="2"/>
  <c r="AB394" i="2"/>
  <c r="U571" i="12"/>
  <c r="U486" i="12"/>
  <c r="U480" i="12"/>
  <c r="X330" i="2"/>
  <c r="AG330" i="2"/>
  <c r="W330" i="2"/>
  <c r="AE330" i="2"/>
  <c r="AD330" i="2"/>
  <c r="T330" i="2"/>
  <c r="AC330" i="2"/>
  <c r="S330" i="2"/>
  <c r="Y330" i="2"/>
  <c r="B147" i="8"/>
  <c r="U476" i="2"/>
  <c r="D110" i="7"/>
  <c r="D110" i="5"/>
  <c r="D228" i="4"/>
  <c r="B92" i="5"/>
  <c r="B186" i="4"/>
  <c r="U271" i="12"/>
  <c r="D97" i="5"/>
  <c r="D196" i="4"/>
  <c r="U463" i="2"/>
  <c r="U500" i="2"/>
  <c r="U290" i="12"/>
  <c r="B169" i="8"/>
  <c r="AC393" i="2"/>
  <c r="U324" i="3" s="1"/>
  <c r="S393" i="2"/>
  <c r="K324" i="3" s="1"/>
  <c r="Y393" i="2"/>
  <c r="Q324" i="3" s="1"/>
  <c r="X393" i="2"/>
  <c r="P324" i="3" s="1"/>
  <c r="W393" i="2"/>
  <c r="O324" i="3" s="1"/>
  <c r="AG393" i="2"/>
  <c r="Y324" i="3" s="1"/>
  <c r="V393" i="2"/>
  <c r="N324" i="3" s="1"/>
  <c r="AF393" i="2"/>
  <c r="X324" i="3" s="1"/>
  <c r="AE393" i="2"/>
  <c r="W324" i="3" s="1"/>
  <c r="T393" i="2"/>
  <c r="L324" i="3" s="1"/>
  <c r="AD393" i="2"/>
  <c r="V324" i="3" s="1"/>
  <c r="Z393" i="2"/>
  <c r="R324" i="3" s="1"/>
  <c r="B172" i="8"/>
  <c r="D133" i="6"/>
  <c r="D124" i="5"/>
  <c r="D254" i="4"/>
  <c r="Y444" i="2"/>
  <c r="X444" i="2"/>
  <c r="AF444" i="2"/>
  <c r="V444" i="2"/>
  <c r="AE444" i="2"/>
  <c r="AD444" i="2"/>
  <c r="T444" i="2"/>
  <c r="Z444" i="2"/>
  <c r="E109" i="12"/>
  <c r="E494" i="12"/>
  <c r="U232" i="12"/>
  <c r="AB462" i="2"/>
  <c r="Y462" i="2"/>
  <c r="X462" i="2"/>
  <c r="W462" i="2"/>
  <c r="AG462" i="2"/>
  <c r="V462" i="2"/>
  <c r="AF462" i="2"/>
  <c r="AE462" i="2"/>
  <c r="T462" i="2"/>
  <c r="AD462" i="2"/>
  <c r="S462" i="2"/>
  <c r="Z462" i="2"/>
  <c r="D105" i="5"/>
  <c r="D215" i="4"/>
  <c r="U289" i="12"/>
  <c r="B221" i="4"/>
  <c r="B106" i="5"/>
  <c r="U410" i="2"/>
  <c r="U348" i="12"/>
  <c r="U219" i="12"/>
  <c r="B100" i="6"/>
  <c r="B195" i="4"/>
  <c r="B96" i="5"/>
  <c r="E238" i="12"/>
  <c r="B139" i="8"/>
  <c r="U499" i="12"/>
  <c r="U283" i="12"/>
  <c r="B93" i="5"/>
  <c r="B188" i="4"/>
  <c r="B116" i="6"/>
  <c r="B220" i="4"/>
  <c r="E582" i="12"/>
  <c r="E550" i="12"/>
  <c r="E180" i="12"/>
  <c r="AA291" i="2"/>
  <c r="Z331" i="2"/>
  <c r="U375" i="12"/>
  <c r="E326" i="12"/>
  <c r="D66" i="6"/>
  <c r="D68" i="5"/>
  <c r="D135" i="4"/>
  <c r="AA278" i="2"/>
  <c r="Z175" i="2"/>
  <c r="B74" i="7"/>
  <c r="B154" i="4"/>
  <c r="B76" i="5"/>
  <c r="U241" i="12"/>
  <c r="AA317" i="2"/>
  <c r="Z337" i="2"/>
  <c r="B77" i="7"/>
  <c r="B80" i="6"/>
  <c r="B160" i="4"/>
  <c r="U147" i="12"/>
  <c r="E312" i="12"/>
  <c r="D79" i="7"/>
  <c r="D82" i="5"/>
  <c r="D164" i="4"/>
  <c r="AA387" i="2"/>
  <c r="Z353" i="2"/>
  <c r="B80" i="7"/>
  <c r="B83" i="5"/>
  <c r="B165" i="4"/>
  <c r="U149" i="12"/>
  <c r="Z348" i="2"/>
  <c r="U332" i="12"/>
  <c r="T345" i="2"/>
  <c r="U345" i="2" s="1"/>
  <c r="AD345" i="2"/>
  <c r="E405" i="12"/>
  <c r="D70" i="5"/>
  <c r="D142" i="4"/>
  <c r="AA149" i="2"/>
  <c r="S323" i="3" s="1"/>
  <c r="Z343" i="2"/>
  <c r="B84" i="7"/>
  <c r="B171" i="4"/>
  <c r="AA356" i="2"/>
  <c r="X365" i="2"/>
  <c r="P190" i="3" s="1"/>
  <c r="AB365" i="2"/>
  <c r="T190" i="3" s="1"/>
  <c r="D87" i="7"/>
  <c r="D177" i="4"/>
  <c r="E190" i="12"/>
  <c r="T350" i="2"/>
  <c r="U350" i="2" s="1"/>
  <c r="AE350" i="2"/>
  <c r="U403" i="12"/>
  <c r="Z391" i="2"/>
  <c r="R67" i="3" s="1"/>
  <c r="D89" i="7"/>
  <c r="D91" i="6"/>
  <c r="D181" i="4"/>
  <c r="AB335" i="2"/>
  <c r="E455" i="12"/>
  <c r="T327" i="2"/>
  <c r="AE327" i="2"/>
  <c r="U249" i="12"/>
  <c r="B77" i="5"/>
  <c r="B156" i="4"/>
  <c r="D92" i="7"/>
  <c r="D94" i="6"/>
  <c r="D187" i="4"/>
  <c r="E236" i="12"/>
  <c r="U192" i="12"/>
  <c r="D85" i="6"/>
  <c r="D173" i="4"/>
  <c r="T389" i="2"/>
  <c r="U389" i="2" s="1"/>
  <c r="B80" i="5"/>
  <c r="B162" i="4"/>
  <c r="X328" i="2"/>
  <c r="AE328" i="2"/>
  <c r="AD328" i="2"/>
  <c r="T328" i="2"/>
  <c r="AF328" i="2"/>
  <c r="U445" i="12"/>
  <c r="E268" i="12"/>
  <c r="E476" i="12"/>
  <c r="AF379" i="2"/>
  <c r="V379" i="2"/>
  <c r="AC379" i="2"/>
  <c r="S379" i="2"/>
  <c r="AB379" i="2"/>
  <c r="AE379" i="2"/>
  <c r="V424" i="2"/>
  <c r="E244" i="12"/>
  <c r="AF414" i="2"/>
  <c r="V414" i="2"/>
  <c r="AC414" i="2"/>
  <c r="S414" i="2"/>
  <c r="AB414" i="2"/>
  <c r="AE414" i="2"/>
  <c r="E250" i="12"/>
  <c r="W394" i="2"/>
  <c r="Z482" i="2"/>
  <c r="Y482" i="2"/>
  <c r="AG482" i="2"/>
  <c r="W482" i="2"/>
  <c r="AF482" i="2"/>
  <c r="V482" i="2"/>
  <c r="AE482" i="2"/>
  <c r="AC370" i="2"/>
  <c r="U205" i="12"/>
  <c r="S444" i="2"/>
  <c r="E478" i="12"/>
  <c r="W483" i="2"/>
  <c r="AC483" i="2"/>
  <c r="S483" i="2"/>
  <c r="Y497" i="2"/>
  <c r="X497" i="2"/>
  <c r="AF497" i="2"/>
  <c r="V497" i="2"/>
  <c r="AE497" i="2"/>
  <c r="AD497" i="2"/>
  <c r="T497" i="2"/>
  <c r="Z497" i="2"/>
  <c r="Z330" i="2"/>
  <c r="U570" i="12"/>
  <c r="E503" i="12"/>
  <c r="AC409" i="2"/>
  <c r="S409" i="2"/>
  <c r="AB409" i="2"/>
  <c r="Z409" i="2"/>
  <c r="Y409" i="2"/>
  <c r="X409" i="2"/>
  <c r="AG409" i="2"/>
  <c r="W409" i="2"/>
  <c r="AD409" i="2"/>
  <c r="T409" i="2"/>
  <c r="Y405" i="2"/>
  <c r="X405" i="2"/>
  <c r="AG405" i="2"/>
  <c r="W405" i="2"/>
  <c r="AF405" i="2"/>
  <c r="V405" i="2"/>
  <c r="AE405" i="2"/>
  <c r="AD405" i="2"/>
  <c r="T405" i="2"/>
  <c r="AC405" i="2"/>
  <c r="S405" i="2"/>
  <c r="Z405" i="2"/>
  <c r="U443" i="2"/>
  <c r="E295" i="12"/>
  <c r="AA462" i="2"/>
  <c r="E519" i="12"/>
  <c r="E246" i="12"/>
  <c r="AC555" i="2"/>
  <c r="S555" i="2"/>
  <c r="AB555" i="2"/>
  <c r="Y555" i="2"/>
  <c r="X555" i="2"/>
  <c r="W555" i="2"/>
  <c r="V555" i="2"/>
  <c r="AG555" i="2"/>
  <c r="AF555" i="2"/>
  <c r="T555" i="2"/>
  <c r="AE555" i="2"/>
  <c r="Z555" i="2"/>
  <c r="Z458" i="2"/>
  <c r="X458" i="2"/>
  <c r="AG458" i="2"/>
  <c r="W458" i="2"/>
  <c r="AF458" i="2"/>
  <c r="V458" i="2"/>
  <c r="AC458" i="2"/>
  <c r="AB458" i="2"/>
  <c r="AA458" i="2"/>
  <c r="Y458" i="2"/>
  <c r="T458" i="2"/>
  <c r="S458" i="2"/>
  <c r="AD458" i="2"/>
  <c r="Y492" i="2"/>
  <c r="AG492" i="2"/>
  <c r="W492" i="2"/>
  <c r="AF492" i="2"/>
  <c r="V492" i="2"/>
  <c r="AE492" i="2"/>
  <c r="AB492" i="2"/>
  <c r="AA492" i="2"/>
  <c r="Z492" i="2"/>
  <c r="X492" i="2"/>
  <c r="T492" i="2"/>
  <c r="S492" i="2"/>
  <c r="AC492" i="2"/>
  <c r="X355" i="2"/>
  <c r="AF355" i="2"/>
  <c r="V355" i="2"/>
  <c r="AE355" i="2"/>
  <c r="AD355" i="2"/>
  <c r="T355" i="2"/>
  <c r="AB355" i="2"/>
  <c r="AA355" i="2"/>
  <c r="Z355" i="2"/>
  <c r="Y355" i="2"/>
  <c r="W355" i="2"/>
  <c r="S355" i="2"/>
  <c r="AC355" i="2"/>
  <c r="AR180" i="2"/>
  <c r="Q287" i="3" s="1"/>
  <c r="U635" i="12"/>
  <c r="B131" i="7"/>
  <c r="B150" i="6"/>
  <c r="B284" i="4"/>
  <c r="E378" i="12"/>
  <c r="D71" i="7"/>
  <c r="D73" i="6"/>
  <c r="D150" i="4"/>
  <c r="AA331" i="2"/>
  <c r="U159" i="12"/>
  <c r="E171" i="12"/>
  <c r="AA175" i="2"/>
  <c r="U105" i="12"/>
  <c r="E382" i="12"/>
  <c r="D76" i="7"/>
  <c r="D79" i="6"/>
  <c r="D159" i="4"/>
  <c r="AA337" i="2"/>
  <c r="B62" i="5"/>
  <c r="B127" i="4"/>
  <c r="U144" i="12"/>
  <c r="E209" i="12"/>
  <c r="AA353" i="2"/>
  <c r="B81" i="7"/>
  <c r="B81" i="6"/>
  <c r="B166" i="4"/>
  <c r="U187" i="12"/>
  <c r="D75" i="6"/>
  <c r="D75" i="5"/>
  <c r="D153" i="4"/>
  <c r="AA348" i="2"/>
  <c r="U439" i="12"/>
  <c r="AE345" i="2"/>
  <c r="E94" i="12"/>
  <c r="D71" i="5"/>
  <c r="D143" i="4"/>
  <c r="AA343" i="2"/>
  <c r="B85" i="7"/>
  <c r="B172" i="4"/>
  <c r="B78" i="5"/>
  <c r="B78" i="6"/>
  <c r="B158" i="4"/>
  <c r="AB356" i="2"/>
  <c r="E511" i="12"/>
  <c r="AG350" i="2"/>
  <c r="D88" i="7"/>
  <c r="D90" i="6"/>
  <c r="D180" i="4"/>
  <c r="AA391" i="2"/>
  <c r="S67" i="3" s="1"/>
  <c r="E191" i="12"/>
  <c r="AF327" i="2"/>
  <c r="AD315" i="2"/>
  <c r="V4" i="3" s="1"/>
  <c r="T315" i="2"/>
  <c r="L4" i="3" s="1"/>
  <c r="AB315" i="2"/>
  <c r="T4" i="3" s="1"/>
  <c r="B105" i="8"/>
  <c r="W389" i="2"/>
  <c r="E213" i="12"/>
  <c r="B95" i="7"/>
  <c r="B193" i="4"/>
  <c r="AC431" i="2"/>
  <c r="U476" i="12"/>
  <c r="AB445" i="2"/>
  <c r="Y445" i="2"/>
  <c r="X445" i="2"/>
  <c r="AD445" i="2"/>
  <c r="Z408" i="2"/>
  <c r="AG408" i="2"/>
  <c r="W408" i="2"/>
  <c r="AF408" i="2"/>
  <c r="V408" i="2"/>
  <c r="AD408" i="2"/>
  <c r="W424" i="2"/>
  <c r="AG396" i="2"/>
  <c r="W396" i="2"/>
  <c r="AD396" i="2"/>
  <c r="T396" i="2"/>
  <c r="AC396" i="2"/>
  <c r="S396" i="2"/>
  <c r="AF396" i="2"/>
  <c r="AC374" i="2"/>
  <c r="S374" i="2"/>
  <c r="Z374" i="2"/>
  <c r="Y374" i="2"/>
  <c r="AE374" i="2"/>
  <c r="AC422" i="2"/>
  <c r="U191" i="3" s="1"/>
  <c r="U244" i="12"/>
  <c r="AC406" i="2"/>
  <c r="X394" i="2"/>
  <c r="U522" i="12"/>
  <c r="E217" i="12"/>
  <c r="U217" i="12"/>
  <c r="Y433" i="2"/>
  <c r="X433" i="2"/>
  <c r="AF433" i="2"/>
  <c r="V433" i="2"/>
  <c r="AE433" i="2"/>
  <c r="AG433" i="2"/>
  <c r="W444" i="2"/>
  <c r="B138" i="8"/>
  <c r="U478" i="12"/>
  <c r="AC470" i="2"/>
  <c r="S470" i="2"/>
  <c r="AB470" i="2"/>
  <c r="Z470" i="2"/>
  <c r="Y470" i="2"/>
  <c r="X470" i="2"/>
  <c r="AD470" i="2"/>
  <c r="T470" i="2"/>
  <c r="E267" i="12"/>
  <c r="D104" i="6"/>
  <c r="D200" i="4"/>
  <c r="AA330" i="2"/>
  <c r="E270" i="12"/>
  <c r="B148" i="8"/>
  <c r="U531" i="2"/>
  <c r="B112" i="7"/>
  <c r="B237" i="4"/>
  <c r="U501" i="12"/>
  <c r="B164" i="8"/>
  <c r="AC462" i="2"/>
  <c r="U526" i="2"/>
  <c r="E535" i="12"/>
  <c r="E639" i="12"/>
  <c r="D132" i="7"/>
  <c r="D151" i="6"/>
  <c r="D286" i="4"/>
  <c r="B55" i="7"/>
  <c r="B61" i="6"/>
  <c r="B121" i="4"/>
  <c r="U247" i="12"/>
  <c r="E176" i="12"/>
  <c r="W697" i="12"/>
  <c r="B55" i="5"/>
  <c r="B59" i="6"/>
  <c r="B114" i="4"/>
  <c r="U316" i="12"/>
  <c r="E131" i="12"/>
  <c r="AA272" i="2"/>
  <c r="U119" i="12"/>
  <c r="E185" i="12"/>
  <c r="W707" i="12"/>
  <c r="B57" i="5"/>
  <c r="B116" i="4"/>
  <c r="Y282" i="2"/>
  <c r="U202" i="12"/>
  <c r="E120" i="12"/>
  <c r="D65" i="7"/>
  <c r="D68" i="6"/>
  <c r="D140" i="4"/>
  <c r="AA200" i="2"/>
  <c r="S65" i="3" s="1"/>
  <c r="Y203" i="2"/>
  <c r="U315" i="12"/>
  <c r="E319" i="12"/>
  <c r="D68" i="7"/>
  <c r="D69" i="6"/>
  <c r="D145" i="4"/>
  <c r="AA305" i="2"/>
  <c r="B63" i="6"/>
  <c r="B126" i="4"/>
  <c r="Y234" i="2"/>
  <c r="Q328" i="3" s="1"/>
  <c r="U385" i="12"/>
  <c r="S291" i="2"/>
  <c r="AC291" i="2"/>
  <c r="E221" i="12"/>
  <c r="AB331" i="2"/>
  <c r="AA202" i="2"/>
  <c r="B72" i="7"/>
  <c r="B74" i="5"/>
  <c r="B74" i="6"/>
  <c r="B151" i="4"/>
  <c r="Y319" i="2"/>
  <c r="Q66" i="3" s="1"/>
  <c r="U415" i="12"/>
  <c r="S278" i="2"/>
  <c r="AC278" i="2"/>
  <c r="E276" i="12"/>
  <c r="AB175" i="2"/>
  <c r="D74" i="7"/>
  <c r="D76" i="5"/>
  <c r="D154" i="4"/>
  <c r="AA288" i="2"/>
  <c r="S243" i="3" s="1"/>
  <c r="B67" i="6"/>
  <c r="B138" i="4"/>
  <c r="Y255" i="2"/>
  <c r="U172" i="12"/>
  <c r="S317" i="2"/>
  <c r="AC317" i="2"/>
  <c r="E206" i="12"/>
  <c r="AB337" i="2"/>
  <c r="D77" i="7"/>
  <c r="D80" i="6"/>
  <c r="D160" i="4"/>
  <c r="AA362" i="2"/>
  <c r="B70" i="6"/>
  <c r="B146" i="4"/>
  <c r="Y297" i="2"/>
  <c r="AQ145" i="2"/>
  <c r="P286" i="3" s="1"/>
  <c r="S387" i="2"/>
  <c r="AC387" i="2"/>
  <c r="E457" i="12"/>
  <c r="AB353" i="2"/>
  <c r="D80" i="7"/>
  <c r="D83" i="5"/>
  <c r="D165" i="4"/>
  <c r="AA275" i="2"/>
  <c r="B66" i="5"/>
  <c r="B133" i="4"/>
  <c r="Y299" i="2"/>
  <c r="U458" i="12"/>
  <c r="E183" i="12"/>
  <c r="AB348" i="2"/>
  <c r="AA339" i="2"/>
  <c r="Y340" i="2"/>
  <c r="U402" i="12"/>
  <c r="V345" i="2"/>
  <c r="AF345" i="2"/>
  <c r="S149" i="2"/>
  <c r="K323" i="3" s="1"/>
  <c r="AC149" i="2"/>
  <c r="U323" i="3" s="1"/>
  <c r="E178" i="12"/>
  <c r="AB343" i="2"/>
  <c r="D84" i="7"/>
  <c r="D171" i="4"/>
  <c r="AA323" i="2"/>
  <c r="D78" i="6"/>
  <c r="D78" i="5"/>
  <c r="D158" i="4"/>
  <c r="AB392" i="2"/>
  <c r="D86" i="7"/>
  <c r="D86" i="5"/>
  <c r="D86" i="6"/>
  <c r="D174" i="4"/>
  <c r="E257" i="12"/>
  <c r="AC356" i="2"/>
  <c r="S365" i="2"/>
  <c r="K190" i="3" s="1"/>
  <c r="AD365" i="2"/>
  <c r="V190" i="3" s="1"/>
  <c r="W350" i="2"/>
  <c r="U412" i="12"/>
  <c r="B73" i="5"/>
  <c r="B149" i="4"/>
  <c r="AC367" i="2"/>
  <c r="S367" i="2"/>
  <c r="AB367" i="2"/>
  <c r="AC391" i="2"/>
  <c r="U67" i="3" s="1"/>
  <c r="E349" i="12"/>
  <c r="AC287" i="2"/>
  <c r="S335" i="2"/>
  <c r="AD335" i="2"/>
  <c r="V327" i="2"/>
  <c r="U198" i="12"/>
  <c r="B103" i="8"/>
  <c r="D156" i="4"/>
  <c r="D77" i="5"/>
  <c r="E197" i="12"/>
  <c r="AC315" i="2"/>
  <c r="U4" i="3" s="1"/>
  <c r="U236" i="12"/>
  <c r="AC384" i="2"/>
  <c r="B93" i="7"/>
  <c r="B97" i="6"/>
  <c r="B191" i="4"/>
  <c r="Z322" i="2"/>
  <c r="AF322" i="2"/>
  <c r="V322" i="2"/>
  <c r="AC322" i="2"/>
  <c r="X389" i="2"/>
  <c r="D80" i="5"/>
  <c r="D162" i="4"/>
  <c r="S328" i="2"/>
  <c r="AB369" i="2"/>
  <c r="B109" i="8"/>
  <c r="U268" i="12"/>
  <c r="B32" i="9"/>
  <c r="W664" i="12"/>
  <c r="AN164" i="2"/>
  <c r="M229" i="3" s="1"/>
  <c r="AM164" i="2"/>
  <c r="T379" i="2"/>
  <c r="U461" i="12"/>
  <c r="E389" i="12"/>
  <c r="D96" i="7"/>
  <c r="D103" i="6"/>
  <c r="D99" i="5"/>
  <c r="D199" i="4"/>
  <c r="AE445" i="2"/>
  <c r="B89" i="5"/>
  <c r="B89" i="6"/>
  <c r="B179" i="4"/>
  <c r="E201" i="12"/>
  <c r="AE408" i="2"/>
  <c r="AB420" i="2"/>
  <c r="Y424" i="2"/>
  <c r="E541" i="12"/>
  <c r="U541" i="12"/>
  <c r="E502" i="12"/>
  <c r="AF374" i="2"/>
  <c r="D101" i="7"/>
  <c r="D102" i="5"/>
  <c r="D207" i="4"/>
  <c r="B119" i="8"/>
  <c r="X406" i="2"/>
  <c r="AE406" i="2"/>
  <c r="AD406" i="2"/>
  <c r="T406" i="2"/>
  <c r="AF406" i="2"/>
  <c r="T414" i="2"/>
  <c r="U491" i="12"/>
  <c r="U250" i="12"/>
  <c r="AD437" i="2"/>
  <c r="AO168" i="2"/>
  <c r="AC390" i="2"/>
  <c r="Y394" i="2"/>
  <c r="U490" i="12"/>
  <c r="S482" i="2"/>
  <c r="E479" i="12"/>
  <c r="X370" i="2"/>
  <c r="AG370" i="2"/>
  <c r="W370" i="2"/>
  <c r="AE370" i="2"/>
  <c r="AD370" i="2"/>
  <c r="T370" i="2"/>
  <c r="U496" i="12"/>
  <c r="AD427" i="2"/>
  <c r="E530" i="12"/>
  <c r="E205" i="12"/>
  <c r="D105" i="7"/>
  <c r="D218" i="4"/>
  <c r="AA444" i="2"/>
  <c r="AG400" i="2"/>
  <c r="W400" i="2"/>
  <c r="AF400" i="2"/>
  <c r="V400" i="2"/>
  <c r="AD400" i="2"/>
  <c r="T400" i="2"/>
  <c r="AC400" i="2"/>
  <c r="S400" i="2"/>
  <c r="AB400" i="2"/>
  <c r="X400" i="2"/>
  <c r="T419" i="2"/>
  <c r="U211" i="12"/>
  <c r="S497" i="2"/>
  <c r="AB330" i="2"/>
  <c r="AA405" i="2"/>
  <c r="X505" i="2"/>
  <c r="AG505" i="2"/>
  <c r="W505" i="2"/>
  <c r="AF505" i="2"/>
  <c r="V505" i="2"/>
  <c r="AE505" i="2"/>
  <c r="AD505" i="2"/>
  <c r="T505" i="2"/>
  <c r="AC505" i="2"/>
  <c r="S505" i="2"/>
  <c r="AB505" i="2"/>
  <c r="Y505" i="2"/>
  <c r="Y426" i="2"/>
  <c r="X426" i="2"/>
  <c r="AG426" i="2"/>
  <c r="W426" i="2"/>
  <c r="AF426" i="2"/>
  <c r="V426" i="2"/>
  <c r="AE426" i="2"/>
  <c r="AD426" i="2"/>
  <c r="T426" i="2"/>
  <c r="AC426" i="2"/>
  <c r="S426" i="2"/>
  <c r="Z426" i="2"/>
  <c r="X477" i="2"/>
  <c r="Y477" i="2"/>
  <c r="W477" i="2"/>
  <c r="AG477" i="2"/>
  <c r="V477" i="2"/>
  <c r="AF477" i="2"/>
  <c r="AE477" i="2"/>
  <c r="T477" i="2"/>
  <c r="AD477" i="2"/>
  <c r="S477" i="2"/>
  <c r="AC477" i="2"/>
  <c r="Z477" i="2"/>
  <c r="Z453" i="2"/>
  <c r="X453" i="2"/>
  <c r="W453" i="2"/>
  <c r="AG453" i="2"/>
  <c r="V453" i="2"/>
  <c r="AF453" i="2"/>
  <c r="AE453" i="2"/>
  <c r="T453" i="2"/>
  <c r="AD453" i="2"/>
  <c r="S453" i="2"/>
  <c r="AC453" i="2"/>
  <c r="Y453" i="2"/>
  <c r="D101" i="5"/>
  <c r="D204" i="4"/>
  <c r="AA555" i="2"/>
  <c r="Z435" i="2"/>
  <c r="Y435" i="2"/>
  <c r="X435" i="2"/>
  <c r="AB435" i="2"/>
  <c r="AA435" i="2"/>
  <c r="W435" i="2"/>
  <c r="V435" i="2"/>
  <c r="AG435" i="2"/>
  <c r="T435" i="2"/>
  <c r="AF435" i="2"/>
  <c r="S435" i="2"/>
  <c r="AC435" i="2"/>
  <c r="AE458" i="2"/>
  <c r="AD492" i="2"/>
  <c r="AG355" i="2"/>
  <c r="AC584" i="2"/>
  <c r="W677" i="12"/>
  <c r="AP190" i="2"/>
  <c r="AO190" i="2"/>
  <c r="AN190" i="2"/>
  <c r="AM190" i="2"/>
  <c r="U522" i="2"/>
  <c r="B217" i="8"/>
  <c r="E317" i="12"/>
  <c r="AA171" i="2"/>
  <c r="B53" i="7"/>
  <c r="B58" i="6"/>
  <c r="B112" i="4"/>
  <c r="U318" i="12"/>
  <c r="E92" i="12"/>
  <c r="AA246" i="2"/>
  <c r="S74" i="3" s="1"/>
  <c r="AK126" i="2"/>
  <c r="J345" i="3" s="1"/>
  <c r="U132" i="12"/>
  <c r="E328" i="12"/>
  <c r="AB272" i="2"/>
  <c r="D52" i="5"/>
  <c r="D109" i="4"/>
  <c r="AA211" i="2"/>
  <c r="S207" i="3" s="1"/>
  <c r="B53" i="5"/>
  <c r="B111" i="4"/>
  <c r="AK150" i="2"/>
  <c r="Z282" i="2"/>
  <c r="B62" i="7"/>
  <c r="B136" i="4"/>
  <c r="U166" i="12"/>
  <c r="E174" i="12"/>
  <c r="AB200" i="2"/>
  <c r="T65" i="3" s="1"/>
  <c r="D58" i="5"/>
  <c r="D118" i="4"/>
  <c r="AA191" i="2"/>
  <c r="Z203" i="2"/>
  <c r="U108" i="12"/>
  <c r="E200" i="12"/>
  <c r="AB305" i="2"/>
  <c r="AA235" i="2"/>
  <c r="Z234" i="2"/>
  <c r="R328" i="3" s="1"/>
  <c r="U397" i="12"/>
  <c r="T291" i="2"/>
  <c r="AD291" i="2"/>
  <c r="S331" i="2"/>
  <c r="AC331" i="2"/>
  <c r="E656" i="12"/>
  <c r="AB202" i="2"/>
  <c r="AA311" i="2"/>
  <c r="Z319" i="2"/>
  <c r="R66" i="3" s="1"/>
  <c r="U137" i="12"/>
  <c r="T278" i="2"/>
  <c r="AD278" i="2"/>
  <c r="S175" i="2"/>
  <c r="AC175" i="2"/>
  <c r="E189" i="12"/>
  <c r="AB288" i="2"/>
  <c r="T243" i="3" s="1"/>
  <c r="AA198" i="2"/>
  <c r="Z255" i="2"/>
  <c r="B125" i="4"/>
  <c r="B61" i="5"/>
  <c r="U237" i="12"/>
  <c r="T317" i="2"/>
  <c r="AD317" i="2"/>
  <c r="S337" i="2"/>
  <c r="AC337" i="2"/>
  <c r="E272" i="12"/>
  <c r="AB362" i="2"/>
  <c r="D127" i="4"/>
  <c r="D62" i="5"/>
  <c r="AA257" i="2"/>
  <c r="Z297" i="2"/>
  <c r="T387" i="2"/>
  <c r="AD387" i="2"/>
  <c r="S353" i="2"/>
  <c r="AC353" i="2"/>
  <c r="E188" i="12"/>
  <c r="AB275" i="2"/>
  <c r="D81" i="7"/>
  <c r="D81" i="6"/>
  <c r="D166" i="4"/>
  <c r="AA303" i="2"/>
  <c r="Z299" i="2"/>
  <c r="S348" i="2"/>
  <c r="AC348" i="2"/>
  <c r="E383" i="12"/>
  <c r="AB339" i="2"/>
  <c r="AA224" i="2"/>
  <c r="Z340" i="2"/>
  <c r="U170" i="12"/>
  <c r="W345" i="2"/>
  <c r="AG345" i="2"/>
  <c r="T149" i="2"/>
  <c r="L323" i="3" s="1"/>
  <c r="AD149" i="2"/>
  <c r="V323" i="3" s="1"/>
  <c r="S343" i="2"/>
  <c r="AC343" i="2"/>
  <c r="E215" i="12"/>
  <c r="AB323" i="2"/>
  <c r="AA325" i="2"/>
  <c r="E224" i="12"/>
  <c r="AC392" i="2"/>
  <c r="S356" i="2"/>
  <c r="AD356" i="2"/>
  <c r="T365" i="2"/>
  <c r="L190" i="3" s="1"/>
  <c r="AE365" i="2"/>
  <c r="W190" i="3" s="1"/>
  <c r="X350" i="2"/>
  <c r="AD301" i="2"/>
  <c r="T301" i="2"/>
  <c r="AB301" i="2"/>
  <c r="E463" i="12"/>
  <c r="AD367" i="2"/>
  <c r="S391" i="2"/>
  <c r="K67" i="3" s="1"/>
  <c r="AD391" i="2"/>
  <c r="V67" i="3" s="1"/>
  <c r="S287" i="2"/>
  <c r="T335" i="2"/>
  <c r="AE335" i="2"/>
  <c r="X327" i="2"/>
  <c r="AE334" i="2"/>
  <c r="AB334" i="2"/>
  <c r="S315" i="2"/>
  <c r="K4" i="3" s="1"/>
  <c r="AE315" i="2"/>
  <c r="W4" i="3" s="1"/>
  <c r="E464" i="12"/>
  <c r="D93" i="7"/>
  <c r="D97" i="6"/>
  <c r="D191" i="4"/>
  <c r="E161" i="12"/>
  <c r="AD322" i="2"/>
  <c r="Z389" i="2"/>
  <c r="V328" i="2"/>
  <c r="AC295" i="2"/>
  <c r="E275" i="12"/>
  <c r="AE431" i="2"/>
  <c r="S445" i="2"/>
  <c r="AF445" i="2"/>
  <c r="D89" i="5"/>
  <c r="D89" i="6"/>
  <c r="D179" i="4"/>
  <c r="S408" i="2"/>
  <c r="U201" i="12"/>
  <c r="Z424" i="2"/>
  <c r="T374" i="2"/>
  <c r="AG374" i="2"/>
  <c r="E507" i="12"/>
  <c r="AE422" i="2"/>
  <c r="W191" i="3" s="1"/>
  <c r="E481" i="12"/>
  <c r="AE399" i="2"/>
  <c r="T399" i="2"/>
  <c r="AC399" i="2"/>
  <c r="Z364" i="2"/>
  <c r="Y364" i="2"/>
  <c r="AG364" i="2"/>
  <c r="W364" i="2"/>
  <c r="AF364" i="2"/>
  <c r="V364" i="2"/>
  <c r="AE364" i="2"/>
  <c r="Z394" i="2"/>
  <c r="D94" i="5"/>
  <c r="D95" i="6"/>
  <c r="D189" i="4"/>
  <c r="T482" i="2"/>
  <c r="S433" i="2"/>
  <c r="B133" i="8"/>
  <c r="E473" i="12"/>
  <c r="AG411" i="2"/>
  <c r="W411" i="2"/>
  <c r="AF411" i="2"/>
  <c r="V411" i="2"/>
  <c r="AD411" i="2"/>
  <c r="T411" i="2"/>
  <c r="AC411" i="2"/>
  <c r="S411" i="2"/>
  <c r="U434" i="2"/>
  <c r="AB444" i="2"/>
  <c r="B98" i="5"/>
  <c r="B102" i="6"/>
  <c r="B198" i="4"/>
  <c r="T483" i="2"/>
  <c r="W497" i="2"/>
  <c r="AF330" i="2"/>
  <c r="B108" i="7"/>
  <c r="B120" i="6"/>
  <c r="B225" i="4"/>
  <c r="V409" i="2"/>
  <c r="AB405" i="2"/>
  <c r="E513" i="12"/>
  <c r="B111" i="7"/>
  <c r="B229" i="4"/>
  <c r="U464" i="2"/>
  <c r="D114" i="7"/>
  <c r="D240" i="4"/>
  <c r="AD555" i="2"/>
  <c r="U503" i="2"/>
  <c r="E592" i="12"/>
  <c r="AD368" i="2"/>
  <c r="T368" i="2"/>
  <c r="AC368" i="2"/>
  <c r="S368" i="2"/>
  <c r="AB368" i="2"/>
  <c r="AA368" i="2"/>
  <c r="Z368" i="2"/>
  <c r="Y368" i="2"/>
  <c r="X368" i="2"/>
  <c r="W368" i="2"/>
  <c r="V368" i="2"/>
  <c r="AE368" i="2"/>
  <c r="AR183" i="2"/>
  <c r="AQ183" i="2"/>
  <c r="U338" i="12"/>
  <c r="D123" i="7"/>
  <c r="D135" i="6"/>
  <c r="D257" i="4"/>
  <c r="AK190" i="2"/>
  <c r="E387" i="12"/>
  <c r="X501" i="2"/>
  <c r="AG501" i="2"/>
  <c r="W501" i="2"/>
  <c r="AF501" i="2"/>
  <c r="V501" i="2"/>
  <c r="AE501" i="2"/>
  <c r="AD501" i="2"/>
  <c r="T501" i="2"/>
  <c r="AC501" i="2"/>
  <c r="S501" i="2"/>
  <c r="AB501" i="2"/>
  <c r="AA501" i="2"/>
  <c r="Z501" i="2"/>
  <c r="Y501" i="2"/>
  <c r="E395" i="12"/>
  <c r="D116" i="4"/>
  <c r="D57" i="5"/>
  <c r="AA282" i="2"/>
  <c r="B63" i="7"/>
  <c r="B69" i="5"/>
  <c r="B137" i="4"/>
  <c r="U356" i="12"/>
  <c r="E106" i="12"/>
  <c r="AA203" i="2"/>
  <c r="B59" i="5"/>
  <c r="B119" i="4"/>
  <c r="U148" i="12"/>
  <c r="E324" i="12"/>
  <c r="D63" i="6"/>
  <c r="D126" i="4"/>
  <c r="AA234" i="2"/>
  <c r="S328" i="3" s="1"/>
  <c r="U301" i="12"/>
  <c r="AE291" i="2"/>
  <c r="T331" i="2"/>
  <c r="AD331" i="2"/>
  <c r="S202" i="2"/>
  <c r="E375" i="12"/>
  <c r="D72" i="7"/>
  <c r="D74" i="5"/>
  <c r="D74" i="6"/>
  <c r="D151" i="4"/>
  <c r="AA319" i="2"/>
  <c r="S66" i="3" s="1"/>
  <c r="B64" i="6"/>
  <c r="B132" i="4"/>
  <c r="U153" i="12"/>
  <c r="AE278" i="2"/>
  <c r="T175" i="2"/>
  <c r="AD175" i="2"/>
  <c r="S288" i="2"/>
  <c r="K243" i="3" s="1"/>
  <c r="E241" i="12"/>
  <c r="D67" i="6"/>
  <c r="D138" i="4"/>
  <c r="AA255" i="2"/>
  <c r="B75" i="7"/>
  <c r="B77" i="6"/>
  <c r="B157" i="4"/>
  <c r="U394" i="12"/>
  <c r="AE317" i="2"/>
  <c r="T337" i="2"/>
  <c r="AD337" i="2"/>
  <c r="S362" i="2"/>
  <c r="E147" i="12"/>
  <c r="D70" i="6"/>
  <c r="D146" i="4"/>
  <c r="AA297" i="2"/>
  <c r="U151" i="12"/>
  <c r="AE387" i="2"/>
  <c r="T353" i="2"/>
  <c r="AD353" i="2"/>
  <c r="S275" i="2"/>
  <c r="E149" i="12"/>
  <c r="D66" i="5"/>
  <c r="D133" i="4"/>
  <c r="AA299" i="2"/>
  <c r="T348" i="2"/>
  <c r="AD348" i="2"/>
  <c r="S339" i="2"/>
  <c r="E332" i="12"/>
  <c r="AA340" i="2"/>
  <c r="B76" i="6"/>
  <c r="B155" i="4"/>
  <c r="X345" i="2"/>
  <c r="U468" i="12"/>
  <c r="AE149" i="2"/>
  <c r="W323" i="3" s="1"/>
  <c r="T343" i="2"/>
  <c r="AD343" i="2"/>
  <c r="S323" i="2"/>
  <c r="E139" i="12"/>
  <c r="T356" i="2"/>
  <c r="AE356" i="2"/>
  <c r="AF365" i="2"/>
  <c r="X190" i="3" s="1"/>
  <c r="U190" i="12"/>
  <c r="Y350" i="2"/>
  <c r="B99" i="8"/>
  <c r="D73" i="5"/>
  <c r="D149" i="4"/>
  <c r="E167" i="12"/>
  <c r="T367" i="2"/>
  <c r="T391" i="2"/>
  <c r="L67" i="3" s="1"/>
  <c r="AE391" i="2"/>
  <c r="W67" i="3" s="1"/>
  <c r="T287" i="2"/>
  <c r="AE287" i="2"/>
  <c r="AF335" i="2"/>
  <c r="Y327" i="2"/>
  <c r="B91" i="7"/>
  <c r="B93" i="6"/>
  <c r="B185" i="4"/>
  <c r="E409" i="12"/>
  <c r="AF315" i="2"/>
  <c r="X4" i="3" s="1"/>
  <c r="S384" i="2"/>
  <c r="AA389" i="2"/>
  <c r="W328" i="2"/>
  <c r="AG369" i="2"/>
  <c r="W369" i="2"/>
  <c r="AD369" i="2"/>
  <c r="T369" i="2"/>
  <c r="AC369" i="2"/>
  <c r="S369" i="2"/>
  <c r="AF369" i="2"/>
  <c r="W690" i="12"/>
  <c r="S431" i="2"/>
  <c r="W379" i="2"/>
  <c r="B112" i="8"/>
  <c r="U389" i="12"/>
  <c r="T445" i="2"/>
  <c r="AG445" i="2"/>
  <c r="T408" i="2"/>
  <c r="Y420" i="2"/>
  <c r="AF420" i="2"/>
  <c r="V420" i="2"/>
  <c r="AE420" i="2"/>
  <c r="AD420" i="2"/>
  <c r="AA424" i="2"/>
  <c r="V396" i="2"/>
  <c r="B98" i="7"/>
  <c r="B106" i="6"/>
  <c r="B202" i="4"/>
  <c r="U228" i="12"/>
  <c r="U502" i="12"/>
  <c r="S422" i="2"/>
  <c r="K191" i="3" s="1"/>
  <c r="W414" i="2"/>
  <c r="B122" i="8"/>
  <c r="AC437" i="2"/>
  <c r="S437" i="2"/>
  <c r="AB437" i="2"/>
  <c r="Z437" i="2"/>
  <c r="Y437" i="2"/>
  <c r="AF437" i="2"/>
  <c r="E440" i="12"/>
  <c r="U440" i="12"/>
  <c r="Y390" i="2"/>
  <c r="X390" i="2"/>
  <c r="AF390" i="2"/>
  <c r="V390" i="2"/>
  <c r="AE390" i="2"/>
  <c r="AG390" i="2"/>
  <c r="AA394" i="2"/>
  <c r="T433" i="2"/>
  <c r="E496" i="12"/>
  <c r="B96" i="6"/>
  <c r="B190" i="4"/>
  <c r="AF427" i="2"/>
  <c r="V427" i="2"/>
  <c r="AE427" i="2"/>
  <c r="AC427" i="2"/>
  <c r="S427" i="2"/>
  <c r="AB427" i="2"/>
  <c r="U308" i="12"/>
  <c r="U530" i="12"/>
  <c r="AC444" i="2"/>
  <c r="V470" i="2"/>
  <c r="E211" i="12"/>
  <c r="D107" i="7"/>
  <c r="D118" i="6"/>
  <c r="D223" i="4"/>
  <c r="AA497" i="2"/>
  <c r="AG371" i="2"/>
  <c r="W371" i="2"/>
  <c r="AF371" i="2"/>
  <c r="V371" i="2"/>
  <c r="AD371" i="2"/>
  <c r="T371" i="2"/>
  <c r="AC371" i="2"/>
  <c r="S371" i="2"/>
  <c r="AB371" i="2"/>
  <c r="X371" i="2"/>
  <c r="T442" i="2"/>
  <c r="AA409" i="2"/>
  <c r="X469" i="2"/>
  <c r="AG469" i="2"/>
  <c r="W469" i="2"/>
  <c r="AF469" i="2"/>
  <c r="V469" i="2"/>
  <c r="AE469" i="2"/>
  <c r="AD469" i="2"/>
  <c r="T469" i="2"/>
  <c r="AC469" i="2"/>
  <c r="S469" i="2"/>
  <c r="AB469" i="2"/>
  <c r="Y469" i="2"/>
  <c r="Y474" i="2"/>
  <c r="X474" i="2"/>
  <c r="AG474" i="2"/>
  <c r="W474" i="2"/>
  <c r="AF474" i="2"/>
  <c r="V474" i="2"/>
  <c r="AE474" i="2"/>
  <c r="AD474" i="2"/>
  <c r="T474" i="2"/>
  <c r="AC474" i="2"/>
  <c r="S474" i="2"/>
  <c r="Z474" i="2"/>
  <c r="AG375" i="2"/>
  <c r="W375" i="2"/>
  <c r="Z375" i="2"/>
  <c r="Y375" i="2"/>
  <c r="X375" i="2"/>
  <c r="V375" i="2"/>
  <c r="AF375" i="2"/>
  <c r="AE375" i="2"/>
  <c r="T375" i="2"/>
  <c r="AD375" i="2"/>
  <c r="S375" i="2"/>
  <c r="AA375" i="2"/>
  <c r="Y491" i="2"/>
  <c r="Z491" i="2"/>
  <c r="X491" i="2"/>
  <c r="W491" i="2"/>
  <c r="AG491" i="2"/>
  <c r="V491" i="2"/>
  <c r="AF491" i="2"/>
  <c r="AE491" i="2"/>
  <c r="T491" i="2"/>
  <c r="AD491" i="2"/>
  <c r="S491" i="2"/>
  <c r="AA491" i="2"/>
  <c r="B180" i="8"/>
  <c r="U255" i="12"/>
  <c r="D122" i="7"/>
  <c r="D134" i="6"/>
  <c r="D256" i="4"/>
  <c r="U509" i="2"/>
  <c r="U199" i="12"/>
  <c r="E83" i="12"/>
  <c r="AA102" i="2"/>
  <c r="S159" i="3" s="1"/>
  <c r="B36" i="5"/>
  <c r="B73" i="4"/>
  <c r="U77" i="12"/>
  <c r="B41" i="7"/>
  <c r="B50" i="6"/>
  <c r="B95" i="4"/>
  <c r="U113" i="12"/>
  <c r="D41" i="5"/>
  <c r="D82" i="4"/>
  <c r="AA158" i="2"/>
  <c r="S322" i="3" s="1"/>
  <c r="B44" i="7"/>
  <c r="B98" i="4"/>
  <c r="U76" i="12"/>
  <c r="E124" i="12"/>
  <c r="D49" i="6"/>
  <c r="D48" i="5"/>
  <c r="D94" i="4"/>
  <c r="AA177" i="2"/>
  <c r="S91" i="3" s="1"/>
  <c r="B49" i="7"/>
  <c r="B55" i="6"/>
  <c r="B104" i="4"/>
  <c r="U115" i="12"/>
  <c r="E256" i="12"/>
  <c r="AA195" i="2"/>
  <c r="S132" i="3" s="1"/>
  <c r="U269" i="12"/>
  <c r="S171" i="2"/>
  <c r="AC171" i="2"/>
  <c r="E135" i="12"/>
  <c r="D53" i="7"/>
  <c r="D58" i="6"/>
  <c r="D112" i="4"/>
  <c r="AA239" i="2"/>
  <c r="U168" i="12"/>
  <c r="S246" i="2"/>
  <c r="K74" i="3" s="1"/>
  <c r="AC246" i="2"/>
  <c r="U74" i="3" s="1"/>
  <c r="E150" i="12"/>
  <c r="AA201" i="2"/>
  <c r="U323" i="12"/>
  <c r="AM126" i="2"/>
  <c r="L345" i="3" s="1"/>
  <c r="E104" i="12"/>
  <c r="AA214" i="2"/>
  <c r="S336" i="3" s="1"/>
  <c r="B60" i="6"/>
  <c r="B120" i="4"/>
  <c r="U162" i="12"/>
  <c r="T272" i="2"/>
  <c r="AD272" i="2"/>
  <c r="S211" i="2"/>
  <c r="K207" i="3" s="1"/>
  <c r="AC211" i="2"/>
  <c r="U207" i="3" s="1"/>
  <c r="E344" i="12"/>
  <c r="D53" i="5"/>
  <c r="D111" i="4"/>
  <c r="AA227" i="2"/>
  <c r="U125" i="12"/>
  <c r="AM150" i="2"/>
  <c r="E204" i="12"/>
  <c r="AB282" i="2"/>
  <c r="D62" i="7"/>
  <c r="D136" i="4"/>
  <c r="AA309" i="2"/>
  <c r="U298" i="12"/>
  <c r="T200" i="2"/>
  <c r="L65" i="3" s="1"/>
  <c r="AD200" i="2"/>
  <c r="V65" i="3" s="1"/>
  <c r="S191" i="2"/>
  <c r="AC191" i="2"/>
  <c r="E274" i="12"/>
  <c r="AB203" i="2"/>
  <c r="AA231" i="2"/>
  <c r="B66" i="7"/>
  <c r="B141" i="4"/>
  <c r="U408" i="12"/>
  <c r="T305" i="2"/>
  <c r="AD305" i="2"/>
  <c r="S235" i="2"/>
  <c r="AC235" i="2"/>
  <c r="E128" i="12"/>
  <c r="AB234" i="2"/>
  <c r="T328" i="3" s="1"/>
  <c r="AA307" i="2"/>
  <c r="U181" i="12"/>
  <c r="V291" i="2"/>
  <c r="AF291" i="2"/>
  <c r="AE331" i="2"/>
  <c r="T202" i="2"/>
  <c r="AD202" i="2"/>
  <c r="S311" i="2"/>
  <c r="AC311" i="2"/>
  <c r="E159" i="12"/>
  <c r="AB319" i="2"/>
  <c r="T66" i="3" s="1"/>
  <c r="AA300" i="2"/>
  <c r="B73" i="7"/>
  <c r="B152" i="4"/>
  <c r="U309" i="12"/>
  <c r="V278" i="2"/>
  <c r="AF278" i="2"/>
  <c r="AE175" i="2"/>
  <c r="T288" i="2"/>
  <c r="L243" i="3" s="1"/>
  <c r="AD288" i="2"/>
  <c r="V243" i="3" s="1"/>
  <c r="S198" i="2"/>
  <c r="AC198" i="2"/>
  <c r="E105" i="12"/>
  <c r="AB255" i="2"/>
  <c r="D61" i="5"/>
  <c r="D125" i="4"/>
  <c r="AA302" i="2"/>
  <c r="V317" i="2"/>
  <c r="AF317" i="2"/>
  <c r="AE337" i="2"/>
  <c r="T362" i="2"/>
  <c r="AD362" i="2"/>
  <c r="S257" i="2"/>
  <c r="AC257" i="2"/>
  <c r="E144" i="12"/>
  <c r="AB297" i="2"/>
  <c r="W705" i="12"/>
  <c r="B78" i="7"/>
  <c r="B81" i="5"/>
  <c r="B163" i="4"/>
  <c r="U179" i="12"/>
  <c r="V387" i="2"/>
  <c r="AF387" i="2"/>
  <c r="AE353" i="2"/>
  <c r="T275" i="2"/>
  <c r="AD275" i="2"/>
  <c r="S303" i="2"/>
  <c r="AC303" i="2"/>
  <c r="E187" i="12"/>
  <c r="AB299" i="2"/>
  <c r="AA294" i="2"/>
  <c r="U252" i="12"/>
  <c r="AE348" i="2"/>
  <c r="T339" i="2"/>
  <c r="AD339" i="2"/>
  <c r="S224" i="2"/>
  <c r="AC224" i="2"/>
  <c r="E439" i="12"/>
  <c r="AB340" i="2"/>
  <c r="AA313" i="2"/>
  <c r="Y345" i="2"/>
  <c r="U214" i="12"/>
  <c r="V149" i="2"/>
  <c r="N323" i="3" s="1"/>
  <c r="AF149" i="2"/>
  <c r="X323" i="3" s="1"/>
  <c r="AE343" i="2"/>
  <c r="T323" i="2"/>
  <c r="AD323" i="2"/>
  <c r="S325" i="2"/>
  <c r="AD325" i="2"/>
  <c r="S258" i="2"/>
  <c r="T392" i="2"/>
  <c r="U392" i="2" s="1"/>
  <c r="AE392" i="2"/>
  <c r="AF356" i="2"/>
  <c r="V365" i="2"/>
  <c r="N190" i="3" s="1"/>
  <c r="AG365" i="2"/>
  <c r="Y190" i="3" s="1"/>
  <c r="Z350" i="2"/>
  <c r="AE326" i="2"/>
  <c r="AB326" i="2"/>
  <c r="S301" i="2"/>
  <c r="AE301" i="2"/>
  <c r="AF367" i="2"/>
  <c r="AF391" i="2"/>
  <c r="X67" i="3" s="1"/>
  <c r="V335" i="2"/>
  <c r="AG335" i="2"/>
  <c r="U455" i="12"/>
  <c r="Z327" i="2"/>
  <c r="AF377" i="2"/>
  <c r="V377" i="2"/>
  <c r="AB377" i="2"/>
  <c r="S334" i="2"/>
  <c r="AD334" i="2"/>
  <c r="V315" i="2"/>
  <c r="N4" i="3" s="1"/>
  <c r="AG315" i="2"/>
  <c r="Y4" i="3" s="1"/>
  <c r="AF354" i="2"/>
  <c r="V354" i="2"/>
  <c r="AB354" i="2"/>
  <c r="AC354" i="2"/>
  <c r="T384" i="2"/>
  <c r="B79" i="5"/>
  <c r="B161" i="4"/>
  <c r="T322" i="2"/>
  <c r="AG322" i="2"/>
  <c r="AB389" i="2"/>
  <c r="Y328" i="2"/>
  <c r="E460" i="12"/>
  <c r="U460" i="12"/>
  <c r="S295" i="2"/>
  <c r="AK152" i="2"/>
  <c r="T431" i="2"/>
  <c r="AO164" i="2"/>
  <c r="N229" i="3" s="1"/>
  <c r="N231" i="3" s="1"/>
  <c r="Q11" i="13" s="1"/>
  <c r="X379" i="2"/>
  <c r="AC432" i="2"/>
  <c r="E226" i="12"/>
  <c r="AG420" i="2"/>
  <c r="AB424" i="2"/>
  <c r="X396" i="2"/>
  <c r="AF498" i="2"/>
  <c r="V498" i="2"/>
  <c r="AC498" i="2"/>
  <c r="S498" i="2"/>
  <c r="AB498" i="2"/>
  <c r="AE498" i="2"/>
  <c r="V374" i="2"/>
  <c r="T422" i="2"/>
  <c r="L191" i="3" s="1"/>
  <c r="V406" i="2"/>
  <c r="X414" i="2"/>
  <c r="D103" i="7"/>
  <c r="D210" i="4"/>
  <c r="AG437" i="2"/>
  <c r="S364" i="2"/>
  <c r="E509" i="12"/>
  <c r="X321" i="2"/>
  <c r="AG321" i="2"/>
  <c r="W321" i="2"/>
  <c r="AE321" i="2"/>
  <c r="AD321" i="2"/>
  <c r="T321" i="2"/>
  <c r="U543" i="12"/>
  <c r="AD394" i="2"/>
  <c r="E486" i="12"/>
  <c r="S489" i="2"/>
  <c r="X482" i="2"/>
  <c r="W433" i="2"/>
  <c r="V370" i="2"/>
  <c r="AE381" i="2"/>
  <c r="T381" i="2"/>
  <c r="U381" i="2" s="1"/>
  <c r="AC381" i="2"/>
  <c r="AC440" i="2"/>
  <c r="S440" i="2"/>
  <c r="AB440" i="2"/>
  <c r="Z440" i="2"/>
  <c r="Y440" i="2"/>
  <c r="AD440" i="2"/>
  <c r="T440" i="2"/>
  <c r="U562" i="12"/>
  <c r="AG444" i="2"/>
  <c r="X461" i="2"/>
  <c r="AG461" i="2"/>
  <c r="W461" i="2"/>
  <c r="AE461" i="2"/>
  <c r="AD461" i="2"/>
  <c r="T461" i="2"/>
  <c r="AC461" i="2"/>
  <c r="S461" i="2"/>
  <c r="Y461" i="2"/>
  <c r="D102" i="6"/>
  <c r="D98" i="5"/>
  <c r="D198" i="4"/>
  <c r="Y400" i="2"/>
  <c r="W470" i="2"/>
  <c r="V483" i="2"/>
  <c r="U449" i="2"/>
  <c r="U448" i="2"/>
  <c r="AB497" i="2"/>
  <c r="AE409" i="2"/>
  <c r="D109" i="7"/>
  <c r="D109" i="5"/>
  <c r="D227" i="4"/>
  <c r="AA505" i="2"/>
  <c r="U428" i="12"/>
  <c r="AB426" i="2"/>
  <c r="E604" i="12"/>
  <c r="AB477" i="2"/>
  <c r="E505" i="12"/>
  <c r="B165" i="8"/>
  <c r="AB453" i="2"/>
  <c r="E586" i="12"/>
  <c r="U574" i="12"/>
  <c r="D116" i="7"/>
  <c r="D246" i="4"/>
  <c r="U455" i="2"/>
  <c r="AE435" i="2"/>
  <c r="AF368" i="2"/>
  <c r="AG583" i="2"/>
  <c r="W583" i="2"/>
  <c r="AF583" i="2"/>
  <c r="V583" i="2"/>
  <c r="AE583" i="2"/>
  <c r="AD583" i="2"/>
  <c r="T583" i="2"/>
  <c r="AC583" i="2"/>
  <c r="S583" i="2"/>
  <c r="AB583" i="2"/>
  <c r="AA583" i="2"/>
  <c r="Z583" i="2"/>
  <c r="Y583" i="2"/>
  <c r="X583" i="2"/>
  <c r="B137" i="7"/>
  <c r="B158" i="6"/>
  <c r="B142" i="5"/>
  <c r="B294" i="4"/>
  <c r="B148" i="6"/>
  <c r="B134" i="5"/>
  <c r="B275" i="4"/>
  <c r="E55" i="12"/>
  <c r="W692" i="12"/>
  <c r="E102" i="12"/>
  <c r="D33" i="7"/>
  <c r="D78" i="4"/>
  <c r="U196" i="12"/>
  <c r="E186" i="12"/>
  <c r="D37" i="7"/>
  <c r="D43" i="6"/>
  <c r="D43" i="5"/>
  <c r="D84" i="4"/>
  <c r="U169" i="12"/>
  <c r="E182" i="12"/>
  <c r="D44" i="6"/>
  <c r="D86" i="4"/>
  <c r="B37" i="5"/>
  <c r="B74" i="4"/>
  <c r="U103" i="12"/>
  <c r="B42" i="7"/>
  <c r="B51" i="6"/>
  <c r="B96" i="4"/>
  <c r="E91" i="12"/>
  <c r="B44" i="5"/>
  <c r="B85" i="4"/>
  <c r="U233" i="12"/>
  <c r="U279" i="12"/>
  <c r="E87" i="12"/>
  <c r="D48" i="7"/>
  <c r="D103" i="4"/>
  <c r="B90" i="4"/>
  <c r="B46" i="5"/>
  <c r="U110" i="12"/>
  <c r="E284" i="12"/>
  <c r="U129" i="12"/>
  <c r="T171" i="2"/>
  <c r="E122" i="12"/>
  <c r="B54" i="7"/>
  <c r="B117" i="4"/>
  <c r="U263" i="12"/>
  <c r="T246" i="2"/>
  <c r="L74" i="3" s="1"/>
  <c r="E247" i="12"/>
  <c r="W671" i="12"/>
  <c r="U294" i="12"/>
  <c r="AN126" i="2"/>
  <c r="M345" i="3" s="1"/>
  <c r="E316" i="12"/>
  <c r="D58" i="7"/>
  <c r="D63" i="5"/>
  <c r="D128" i="4"/>
  <c r="B59" i="7"/>
  <c r="B129" i="4"/>
  <c r="U322" i="12"/>
  <c r="T211" i="2"/>
  <c r="L207" i="3" s="1"/>
  <c r="E119" i="12"/>
  <c r="W665" i="12"/>
  <c r="B54" i="5"/>
  <c r="B113" i="4"/>
  <c r="U121" i="12"/>
  <c r="AN150" i="2"/>
  <c r="S282" i="2"/>
  <c r="E202" i="12"/>
  <c r="D63" i="7"/>
  <c r="D69" i="5"/>
  <c r="D137" i="4"/>
  <c r="U310" i="12"/>
  <c r="T191" i="2"/>
  <c r="S203" i="2"/>
  <c r="E315" i="12"/>
  <c r="D59" i="5"/>
  <c r="D119" i="4"/>
  <c r="U297" i="12"/>
  <c r="T235" i="2"/>
  <c r="S234" i="2"/>
  <c r="K328" i="3" s="1"/>
  <c r="E385" i="12"/>
  <c r="B69" i="7"/>
  <c r="B71" i="6"/>
  <c r="B147" i="4"/>
  <c r="U180" i="12"/>
  <c r="W291" i="2"/>
  <c r="V331" i="2"/>
  <c r="T311" i="2"/>
  <c r="S319" i="2"/>
  <c r="K66" i="3" s="1"/>
  <c r="E415" i="12"/>
  <c r="D64" i="6"/>
  <c r="D132" i="4"/>
  <c r="U326" i="12"/>
  <c r="W278" i="2"/>
  <c r="V175" i="2"/>
  <c r="T198" i="2"/>
  <c r="S255" i="2"/>
  <c r="E172" i="12"/>
  <c r="D75" i="7"/>
  <c r="D77" i="6"/>
  <c r="D157" i="4"/>
  <c r="W317" i="2"/>
  <c r="V337" i="2"/>
  <c r="T257" i="2"/>
  <c r="S297" i="2"/>
  <c r="AK145" i="2"/>
  <c r="J286" i="3" s="1"/>
  <c r="B64" i="5"/>
  <c r="B130" i="4"/>
  <c r="U312" i="12"/>
  <c r="W387" i="2"/>
  <c r="V353" i="2"/>
  <c r="T303" i="2"/>
  <c r="S299" i="2"/>
  <c r="E458" i="12"/>
  <c r="W682" i="12"/>
  <c r="B82" i="7"/>
  <c r="B83" i="6"/>
  <c r="B169" i="4"/>
  <c r="V348" i="2"/>
  <c r="T224" i="2"/>
  <c r="S340" i="2"/>
  <c r="E402" i="12"/>
  <c r="D76" i="6"/>
  <c r="D155" i="4"/>
  <c r="B83" i="7"/>
  <c r="B85" i="5"/>
  <c r="B84" i="6"/>
  <c r="B170" i="4"/>
  <c r="U405" i="12"/>
  <c r="W149" i="2"/>
  <c r="O323" i="3" s="1"/>
  <c r="V343" i="2"/>
  <c r="T325" i="2"/>
  <c r="AE325" i="2"/>
  <c r="T258" i="2"/>
  <c r="AF392" i="2"/>
  <c r="V356" i="2"/>
  <c r="AG356" i="2"/>
  <c r="W365" i="2"/>
  <c r="O190" i="3" s="1"/>
  <c r="AA350" i="2"/>
  <c r="E403" i="12"/>
  <c r="AC326" i="2"/>
  <c r="AF301" i="2"/>
  <c r="V367" i="2"/>
  <c r="AG367" i="2"/>
  <c r="V391" i="2"/>
  <c r="N67" i="3" s="1"/>
  <c r="AG391" i="2"/>
  <c r="Y67" i="3" s="1"/>
  <c r="W335" i="2"/>
  <c r="U191" i="12"/>
  <c r="B82" i="6"/>
  <c r="B167" i="4"/>
  <c r="B90" i="7"/>
  <c r="B184" i="4"/>
  <c r="AA327" i="2"/>
  <c r="D91" i="7"/>
  <c r="D93" i="6"/>
  <c r="D185" i="4"/>
  <c r="E249" i="12"/>
  <c r="AC377" i="2"/>
  <c r="T334" i="2"/>
  <c r="AF334" i="2"/>
  <c r="W315" i="2"/>
  <c r="O4" i="3" s="1"/>
  <c r="U197" i="12"/>
  <c r="AD354" i="2"/>
  <c r="V384" i="2"/>
  <c r="U464" i="12"/>
  <c r="U161" i="12"/>
  <c r="AC389" i="2"/>
  <c r="Z328" i="2"/>
  <c r="T295" i="2"/>
  <c r="AM152" i="2"/>
  <c r="Z452" i="2"/>
  <c r="AG452" i="2"/>
  <c r="W452" i="2"/>
  <c r="AF452" i="2"/>
  <c r="V452" i="2"/>
  <c r="AD452" i="2"/>
  <c r="AP164" i="2"/>
  <c r="O229" i="3" s="1"/>
  <c r="Y379" i="2"/>
  <c r="AC329" i="2"/>
  <c r="S329" i="2"/>
  <c r="Z329" i="2"/>
  <c r="Y329" i="2"/>
  <c r="AE329" i="2"/>
  <c r="V445" i="2"/>
  <c r="B88" i="5"/>
  <c r="B88" i="6"/>
  <c r="B178" i="4"/>
  <c r="AC342" i="2"/>
  <c r="X408" i="2"/>
  <c r="S420" i="2"/>
  <c r="U226" i="12"/>
  <c r="AC424" i="2"/>
  <c r="Y396" i="2"/>
  <c r="D98" i="7"/>
  <c r="D106" i="6"/>
  <c r="D202" i="4"/>
  <c r="AG498" i="2"/>
  <c r="W374" i="2"/>
  <c r="AB349" i="2"/>
  <c r="Y349" i="2"/>
  <c r="X349" i="2"/>
  <c r="AD349" i="2"/>
  <c r="Z346" i="2"/>
  <c r="AG346" i="2"/>
  <c r="W346" i="2"/>
  <c r="AF346" i="2"/>
  <c r="V346" i="2"/>
  <c r="AD346" i="2"/>
  <c r="W406" i="2"/>
  <c r="AG421" i="2"/>
  <c r="W421" i="2"/>
  <c r="AD421" i="2"/>
  <c r="T421" i="2"/>
  <c r="AC421" i="2"/>
  <c r="S421" i="2"/>
  <c r="AF421" i="2"/>
  <c r="Y414" i="2"/>
  <c r="S399" i="2"/>
  <c r="T437" i="2"/>
  <c r="U261" i="12"/>
  <c r="T364" i="2"/>
  <c r="S390" i="2"/>
  <c r="B125" i="8"/>
  <c r="E442" i="12"/>
  <c r="AG430" i="2"/>
  <c r="W430" i="2"/>
  <c r="AF430" i="2"/>
  <c r="V430" i="2"/>
  <c r="AD430" i="2"/>
  <c r="T430" i="2"/>
  <c r="AC430" i="2"/>
  <c r="S430" i="2"/>
  <c r="AG394" i="2"/>
  <c r="AA482" i="2"/>
  <c r="Z433" i="2"/>
  <c r="Y370" i="2"/>
  <c r="X411" i="2"/>
  <c r="D96" i="6"/>
  <c r="D190" i="4"/>
  <c r="T427" i="2"/>
  <c r="B87" i="5"/>
  <c r="B175" i="4"/>
  <c r="AC446" i="2"/>
  <c r="S446" i="2"/>
  <c r="E578" i="12"/>
  <c r="Z400" i="2"/>
  <c r="AA470" i="2"/>
  <c r="AC497" i="2"/>
  <c r="AF409" i="2"/>
  <c r="W417" i="2"/>
  <c r="V417" i="2"/>
  <c r="AC417" i="2"/>
  <c r="S417" i="2"/>
  <c r="E281" i="12"/>
  <c r="U515" i="12"/>
  <c r="Z469" i="2"/>
  <c r="AA474" i="2"/>
  <c r="X438" i="2"/>
  <c r="AG438" i="2"/>
  <c r="W438" i="2"/>
  <c r="AF438" i="2"/>
  <c r="V438" i="2"/>
  <c r="AE438" i="2"/>
  <c r="AD438" i="2"/>
  <c r="T438" i="2"/>
  <c r="AC438" i="2"/>
  <c r="S438" i="2"/>
  <c r="AB438" i="2"/>
  <c r="Y438" i="2"/>
  <c r="AB375" i="2"/>
  <c r="W506" i="2"/>
  <c r="V506" i="2"/>
  <c r="AE506" i="2"/>
  <c r="T506" i="2"/>
  <c r="S506" i="2"/>
  <c r="AC506" i="2"/>
  <c r="X506" i="2"/>
  <c r="B166" i="8"/>
  <c r="AB491" i="2"/>
  <c r="E248" i="12"/>
  <c r="U528" i="12"/>
  <c r="AG280" i="2"/>
  <c r="W280" i="2"/>
  <c r="AF280" i="2"/>
  <c r="V280" i="2"/>
  <c r="AE280" i="2"/>
  <c r="AA280" i="2"/>
  <c r="Z280" i="2"/>
  <c r="Y280" i="2"/>
  <c r="X280" i="2"/>
  <c r="T280" i="2"/>
  <c r="S280" i="2"/>
  <c r="AB280" i="2"/>
  <c r="AG368" i="2"/>
  <c r="U363" i="12"/>
  <c r="E321" i="12"/>
  <c r="D101" i="6"/>
  <c r="D197" i="4"/>
  <c r="AA434" i="2"/>
  <c r="U227" i="12"/>
  <c r="W419" i="2"/>
  <c r="AG419" i="2"/>
  <c r="V404" i="2"/>
  <c r="E504" i="12"/>
  <c r="D91" i="5"/>
  <c r="D183" i="4"/>
  <c r="AA448" i="2"/>
  <c r="B104" i="6"/>
  <c r="B200" i="4"/>
  <c r="U449" i="12"/>
  <c r="W442" i="2"/>
  <c r="AG442" i="2"/>
  <c r="V401" i="2"/>
  <c r="E590" i="12"/>
  <c r="D109" i="6"/>
  <c r="D208" i="4"/>
  <c r="AA476" i="2"/>
  <c r="B110" i="7"/>
  <c r="B110" i="5"/>
  <c r="B228" i="4"/>
  <c r="X290" i="2"/>
  <c r="U175" i="12"/>
  <c r="W347" i="2"/>
  <c r="AG347" i="2"/>
  <c r="V423" i="2"/>
  <c r="T351" i="2"/>
  <c r="AD351" i="2"/>
  <c r="S428" i="2"/>
  <c r="AC428" i="2"/>
  <c r="E579" i="12"/>
  <c r="AA465" i="2"/>
  <c r="X385" i="2"/>
  <c r="U220" i="12"/>
  <c r="W490" i="2"/>
  <c r="AG490" i="2"/>
  <c r="V386" i="2"/>
  <c r="T471" i="2"/>
  <c r="AD471" i="2"/>
  <c r="S366" i="2"/>
  <c r="AC366" i="2"/>
  <c r="E560" i="12"/>
  <c r="D112" i="6"/>
  <c r="D103" i="5"/>
  <c r="D213" i="4"/>
  <c r="AA531" i="2"/>
  <c r="X540" i="2"/>
  <c r="B97" i="5"/>
  <c r="B196" i="4"/>
  <c r="D113" i="6"/>
  <c r="D216" i="4"/>
  <c r="E314" i="12"/>
  <c r="T395" i="2"/>
  <c r="AF395" i="2"/>
  <c r="W232" i="2"/>
  <c r="U145" i="12"/>
  <c r="X451" i="2"/>
  <c r="D117" i="6"/>
  <c r="D222" i="4"/>
  <c r="AB500" i="2"/>
  <c r="D113" i="7"/>
  <c r="D239" i="4"/>
  <c r="E242" i="12"/>
  <c r="T550" i="2"/>
  <c r="AE550" i="2"/>
  <c r="W480" i="2"/>
  <c r="U619" i="12"/>
  <c r="B204" i="4"/>
  <c r="B101" i="5"/>
  <c r="D121" i="6"/>
  <c r="D108" i="5"/>
  <c r="D226" i="4"/>
  <c r="AB526" i="2"/>
  <c r="D131" i="6"/>
  <c r="D115" i="7"/>
  <c r="D244" i="4"/>
  <c r="E291" i="12"/>
  <c r="E574" i="12"/>
  <c r="E528" i="12"/>
  <c r="X467" i="2"/>
  <c r="B116" i="7"/>
  <c r="B246" i="4"/>
  <c r="E545" i="12"/>
  <c r="U396" i="12"/>
  <c r="W543" i="2"/>
  <c r="B105" i="5"/>
  <c r="B215" i="4"/>
  <c r="V496" i="2"/>
  <c r="T519" i="2"/>
  <c r="B123" i="7"/>
  <c r="B135" i="6"/>
  <c r="B257" i="4"/>
  <c r="U293" i="12"/>
  <c r="Y352" i="2"/>
  <c r="X352" i="2"/>
  <c r="AG352" i="2"/>
  <c r="W352" i="2"/>
  <c r="AF352" i="2"/>
  <c r="V352" i="2"/>
  <c r="AE352" i="2"/>
  <c r="AD352" i="2"/>
  <c r="T352" i="2"/>
  <c r="U352" i="2" s="1"/>
  <c r="D115" i="5"/>
  <c r="D235" i="4"/>
  <c r="B191" i="8"/>
  <c r="Z441" i="2"/>
  <c r="Y441" i="2"/>
  <c r="X441" i="2"/>
  <c r="AG441" i="2"/>
  <c r="W441" i="2"/>
  <c r="AF441" i="2"/>
  <c r="V441" i="2"/>
  <c r="AE441" i="2"/>
  <c r="B124" i="5"/>
  <c r="B133" i="6"/>
  <c r="B254" i="4"/>
  <c r="U336" i="12"/>
  <c r="E613" i="12"/>
  <c r="B214" i="8"/>
  <c r="U652" i="12"/>
  <c r="U618" i="12"/>
  <c r="E625" i="12"/>
  <c r="E641" i="12"/>
  <c r="E371" i="12"/>
  <c r="E392" i="12"/>
  <c r="B154" i="7"/>
  <c r="B323" i="4"/>
  <c r="E400" i="12"/>
  <c r="B136" i="6"/>
  <c r="B125" i="5"/>
  <c r="B258" i="4"/>
  <c r="U329" i="12"/>
  <c r="B207" i="8"/>
  <c r="U335" i="12"/>
  <c r="U515" i="2"/>
  <c r="AG585" i="2"/>
  <c r="W585" i="2"/>
  <c r="AF585" i="2"/>
  <c r="V585" i="2"/>
  <c r="AE585" i="2"/>
  <c r="AD585" i="2"/>
  <c r="T585" i="2"/>
  <c r="AC585" i="2"/>
  <c r="S585" i="2"/>
  <c r="AB585" i="2"/>
  <c r="X585" i="2"/>
  <c r="U350" i="12"/>
  <c r="U587" i="12"/>
  <c r="AG570" i="2"/>
  <c r="W570" i="2"/>
  <c r="Y570" i="2"/>
  <c r="X570" i="2"/>
  <c r="V570" i="2"/>
  <c r="AF570" i="2"/>
  <c r="AE570" i="2"/>
  <c r="T570" i="2"/>
  <c r="AD570" i="2"/>
  <c r="S570" i="2"/>
  <c r="Z570" i="2"/>
  <c r="D123" i="5"/>
  <c r="D252" i="4"/>
  <c r="Z622" i="2"/>
  <c r="W622" i="2"/>
  <c r="AG622" i="2"/>
  <c r="V622" i="2"/>
  <c r="AF622" i="2"/>
  <c r="AE622" i="2"/>
  <c r="T622" i="2"/>
  <c r="AD622" i="2"/>
  <c r="S622" i="2"/>
  <c r="AC622" i="2"/>
  <c r="X622" i="2"/>
  <c r="D143" i="7"/>
  <c r="D303" i="4"/>
  <c r="U536" i="2"/>
  <c r="B222" i="8"/>
  <c r="U577" i="2"/>
  <c r="AD593" i="2"/>
  <c r="T593" i="2"/>
  <c r="AC593" i="2"/>
  <c r="S593" i="2"/>
  <c r="AA593" i="2"/>
  <c r="Z593" i="2"/>
  <c r="Y593" i="2"/>
  <c r="X593" i="2"/>
  <c r="W593" i="2"/>
  <c r="V593" i="2"/>
  <c r="AB593" i="2"/>
  <c r="E423" i="12"/>
  <c r="V611" i="2"/>
  <c r="AE611" i="2"/>
  <c r="T611" i="2"/>
  <c r="S611" i="2"/>
  <c r="AC611" i="2"/>
  <c r="W611" i="2"/>
  <c r="AB542" i="2"/>
  <c r="X542" i="2"/>
  <c r="W542" i="2"/>
  <c r="AG542" i="2"/>
  <c r="V542" i="2"/>
  <c r="AF542" i="2"/>
  <c r="AE542" i="2"/>
  <c r="T542" i="2"/>
  <c r="AD542" i="2"/>
  <c r="S542" i="2"/>
  <c r="Y542" i="2"/>
  <c r="E372" i="12"/>
  <c r="D164" i="7"/>
  <c r="D181" i="6"/>
  <c r="D346" i="4"/>
  <c r="U503" i="12"/>
  <c r="E265" i="12"/>
  <c r="D186" i="4"/>
  <c r="D92" i="5"/>
  <c r="AA290" i="2"/>
  <c r="U561" i="12"/>
  <c r="W351" i="2"/>
  <c r="AG351" i="2"/>
  <c r="V428" i="2"/>
  <c r="E565" i="12"/>
  <c r="D93" i="5"/>
  <c r="D188" i="4"/>
  <c r="AA385" i="2"/>
  <c r="B110" i="6"/>
  <c r="B211" i="4"/>
  <c r="U264" i="12"/>
  <c r="W471" i="2"/>
  <c r="AG471" i="2"/>
  <c r="V366" i="2"/>
  <c r="E485" i="12"/>
  <c r="D112" i="7"/>
  <c r="D237" i="4"/>
  <c r="AB540" i="2"/>
  <c r="E260" i="12"/>
  <c r="X395" i="2"/>
  <c r="AA451" i="2"/>
  <c r="E580" i="12"/>
  <c r="X550" i="2"/>
  <c r="AD357" i="2"/>
  <c r="T357" i="2"/>
  <c r="AB357" i="2"/>
  <c r="E229" i="12"/>
  <c r="X454" i="2"/>
  <c r="AG454" i="2"/>
  <c r="W454" i="2"/>
  <c r="AC454" i="2"/>
  <c r="B124" i="6"/>
  <c r="B114" i="5"/>
  <c r="B233" i="4"/>
  <c r="E163" i="12"/>
  <c r="U163" i="12"/>
  <c r="AC473" i="2"/>
  <c r="U245" i="12"/>
  <c r="B126" i="6"/>
  <c r="B116" i="5"/>
  <c r="B236" i="4"/>
  <c r="E338" i="12"/>
  <c r="B181" i="8"/>
  <c r="E601" i="12"/>
  <c r="AG511" i="2"/>
  <c r="W511" i="2"/>
  <c r="AE511" i="2"/>
  <c r="AD511" i="2"/>
  <c r="T511" i="2"/>
  <c r="AC511" i="2"/>
  <c r="S511" i="2"/>
  <c r="Y584" i="2"/>
  <c r="X584" i="2"/>
  <c r="AG584" i="2"/>
  <c r="W584" i="2"/>
  <c r="AF584" i="2"/>
  <c r="V584" i="2"/>
  <c r="AE584" i="2"/>
  <c r="B37" i="9"/>
  <c r="E629" i="12"/>
  <c r="U597" i="12"/>
  <c r="D136" i="6"/>
  <c r="D125" i="5"/>
  <c r="D258" i="4"/>
  <c r="U528" i="2"/>
  <c r="Y590" i="2"/>
  <c r="X590" i="2"/>
  <c r="AG590" i="2"/>
  <c r="W590" i="2"/>
  <c r="AF590" i="2"/>
  <c r="V590" i="2"/>
  <c r="AE590" i="2"/>
  <c r="AD590" i="2"/>
  <c r="T590" i="2"/>
  <c r="Z590" i="2"/>
  <c r="B144" i="6"/>
  <c r="B130" i="5"/>
  <c r="B269" i="4"/>
  <c r="Y585" i="2"/>
  <c r="AA570" i="2"/>
  <c r="Z510" i="2"/>
  <c r="W510" i="2"/>
  <c r="AG510" i="2"/>
  <c r="V510" i="2"/>
  <c r="AF510" i="2"/>
  <c r="AE510" i="2"/>
  <c r="T510" i="2"/>
  <c r="AD510" i="2"/>
  <c r="S510" i="2"/>
  <c r="AC510" i="2"/>
  <c r="X510" i="2"/>
  <c r="D139" i="7"/>
  <c r="D143" i="5"/>
  <c r="D296" i="4"/>
  <c r="U563" i="2"/>
  <c r="W691" i="12"/>
  <c r="AP182" i="2"/>
  <c r="AO182" i="2"/>
  <c r="AN182" i="2"/>
  <c r="AM182" i="2"/>
  <c r="AK182" i="2"/>
  <c r="Y622" i="2"/>
  <c r="U599" i="12"/>
  <c r="B157" i="6"/>
  <c r="B292" i="4"/>
  <c r="U392" i="12"/>
  <c r="E487" i="12"/>
  <c r="E227" i="12"/>
  <c r="AA419" i="2"/>
  <c r="U556" i="12"/>
  <c r="E449" i="12"/>
  <c r="D108" i="7"/>
  <c r="D120" i="6"/>
  <c r="D225" i="4"/>
  <c r="AA442" i="2"/>
  <c r="U514" i="12"/>
  <c r="AE476" i="2"/>
  <c r="E175" i="12"/>
  <c r="AB290" i="2"/>
  <c r="AA347" i="2"/>
  <c r="X351" i="2"/>
  <c r="U533" i="12"/>
  <c r="AE465" i="2"/>
  <c r="E220" i="12"/>
  <c r="AB385" i="2"/>
  <c r="D111" i="7"/>
  <c r="D229" i="4"/>
  <c r="AA490" i="2"/>
  <c r="B111" i="6"/>
  <c r="B212" i="4"/>
  <c r="X471" i="2"/>
  <c r="U537" i="12"/>
  <c r="AE531" i="2"/>
  <c r="E327" i="12"/>
  <c r="AC540" i="2"/>
  <c r="U314" i="12"/>
  <c r="Y395" i="2"/>
  <c r="B114" i="6"/>
  <c r="B217" i="4"/>
  <c r="AC468" i="2"/>
  <c r="S468" i="2"/>
  <c r="AB468" i="2"/>
  <c r="AC451" i="2"/>
  <c r="E278" i="12"/>
  <c r="U242" i="12"/>
  <c r="Y550" i="2"/>
  <c r="B168" i="8"/>
  <c r="E420" i="12"/>
  <c r="AC357" i="2"/>
  <c r="U291" i="12"/>
  <c r="E567" i="12"/>
  <c r="AD454" i="2"/>
  <c r="B122" i="6"/>
  <c r="B230" i="4"/>
  <c r="B111" i="5"/>
  <c r="AF521" i="2"/>
  <c r="V521" i="2"/>
  <c r="AE521" i="2"/>
  <c r="AC521" i="2"/>
  <c r="B123" i="6"/>
  <c r="B112" i="5"/>
  <c r="B231" i="4"/>
  <c r="U545" i="12"/>
  <c r="AF473" i="2"/>
  <c r="V473" i="2"/>
  <c r="AE473" i="2"/>
  <c r="AD473" i="2"/>
  <c r="T473" i="2"/>
  <c r="AG473" i="2"/>
  <c r="AA543" i="2"/>
  <c r="B127" i="6"/>
  <c r="B238" i="4"/>
  <c r="E255" i="12"/>
  <c r="AF397" i="2"/>
  <c r="V397" i="2"/>
  <c r="AD397" i="2"/>
  <c r="T397" i="2"/>
  <c r="AC397" i="2"/>
  <c r="S397" i="2"/>
  <c r="AB397" i="2"/>
  <c r="U577" i="12"/>
  <c r="AQ187" i="2"/>
  <c r="AB519" i="2"/>
  <c r="U591" i="12"/>
  <c r="U380" i="12"/>
  <c r="E520" i="12"/>
  <c r="Z512" i="2"/>
  <c r="Y512" i="2"/>
  <c r="X512" i="2"/>
  <c r="AG512" i="2"/>
  <c r="W512" i="2"/>
  <c r="AF512" i="2"/>
  <c r="V512" i="2"/>
  <c r="E313" i="12"/>
  <c r="Z504" i="2"/>
  <c r="Y504" i="2"/>
  <c r="X504" i="2"/>
  <c r="AG504" i="2"/>
  <c r="W504" i="2"/>
  <c r="AF504" i="2"/>
  <c r="V504" i="2"/>
  <c r="AE504" i="2"/>
  <c r="AA352" i="2"/>
  <c r="B127" i="7"/>
  <c r="B145" i="6"/>
  <c r="B271" i="4"/>
  <c r="U614" i="12"/>
  <c r="AA441" i="2"/>
  <c r="B199" i="8"/>
  <c r="U285" i="12"/>
  <c r="B201" i="8"/>
  <c r="E365" i="12"/>
  <c r="Z585" i="2"/>
  <c r="AF532" i="2"/>
  <c r="V532" i="2"/>
  <c r="Y532" i="2"/>
  <c r="X532" i="2"/>
  <c r="W532" i="2"/>
  <c r="AG532" i="2"/>
  <c r="AE532" i="2"/>
  <c r="T532" i="2"/>
  <c r="AD532" i="2"/>
  <c r="S532" i="2"/>
  <c r="Z532" i="2"/>
  <c r="B122" i="5"/>
  <c r="B250" i="4"/>
  <c r="AB570" i="2"/>
  <c r="E643" i="12"/>
  <c r="V599" i="2"/>
  <c r="AE599" i="2"/>
  <c r="T599" i="2"/>
  <c r="S599" i="2"/>
  <c r="AC599" i="2"/>
  <c r="W599" i="2"/>
  <c r="B141" i="7"/>
  <c r="B299" i="4"/>
  <c r="AA622" i="2"/>
  <c r="Y607" i="2"/>
  <c r="X607" i="2"/>
  <c r="W607" i="2"/>
  <c r="AG607" i="2"/>
  <c r="V607" i="2"/>
  <c r="AF607" i="2"/>
  <c r="AE607" i="2"/>
  <c r="T607" i="2"/>
  <c r="AD607" i="2"/>
  <c r="S607" i="2"/>
  <c r="Z607" i="2"/>
  <c r="Z542" i="2"/>
  <c r="D129" i="5"/>
  <c r="D268" i="4"/>
  <c r="AE593" i="2"/>
  <c r="E653" i="12"/>
  <c r="AD598" i="2"/>
  <c r="T598" i="2"/>
  <c r="Z598" i="2"/>
  <c r="Y598" i="2"/>
  <c r="X598" i="2"/>
  <c r="AA598" i="2"/>
  <c r="W598" i="2"/>
  <c r="V598" i="2"/>
  <c r="S598" i="2"/>
  <c r="AG598" i="2"/>
  <c r="AE598" i="2"/>
  <c r="AB598" i="2"/>
  <c r="Z610" i="2"/>
  <c r="AF610" i="2"/>
  <c r="V610" i="2"/>
  <c r="AE610" i="2"/>
  <c r="AD610" i="2"/>
  <c r="T610" i="2"/>
  <c r="AC610" i="2"/>
  <c r="AB610" i="2"/>
  <c r="AA610" i="2"/>
  <c r="Y610" i="2"/>
  <c r="X610" i="2"/>
  <c r="W610" i="2"/>
  <c r="AG610" i="2"/>
  <c r="Y648" i="2"/>
  <c r="X648" i="2"/>
  <c r="AG648" i="2"/>
  <c r="W648" i="2"/>
  <c r="AF648" i="2"/>
  <c r="V648" i="2"/>
  <c r="AE648" i="2"/>
  <c r="AD648" i="2"/>
  <c r="T648" i="2"/>
  <c r="AC648" i="2"/>
  <c r="S648" i="2"/>
  <c r="AB648" i="2"/>
  <c r="Z648" i="2"/>
  <c r="AA648" i="2"/>
  <c r="E413" i="12"/>
  <c r="D85" i="7"/>
  <c r="D172" i="4"/>
  <c r="B86" i="7"/>
  <c r="B86" i="6"/>
  <c r="B174" i="4"/>
  <c r="B86" i="5"/>
  <c r="U511" i="12"/>
  <c r="E231" i="12"/>
  <c r="U193" i="12"/>
  <c r="E441" i="12"/>
  <c r="U493" i="12"/>
  <c r="W363" i="2"/>
  <c r="AG363" i="2"/>
  <c r="E445" i="12"/>
  <c r="Z450" i="2"/>
  <c r="W431" i="2"/>
  <c r="AG431" i="2"/>
  <c r="E461" i="12"/>
  <c r="Z358" i="2"/>
  <c r="U235" i="12"/>
  <c r="W342" i="2"/>
  <c r="AG342" i="2"/>
  <c r="E306" i="12"/>
  <c r="D99" i="7"/>
  <c r="D107" i="6"/>
  <c r="D100" i="5"/>
  <c r="D203" i="4"/>
  <c r="Z383" i="2"/>
  <c r="U208" i="12"/>
  <c r="W422" i="2"/>
  <c r="O191" i="3" s="1"/>
  <c r="AG422" i="2"/>
  <c r="Y191" i="3" s="1"/>
  <c r="E491" i="12"/>
  <c r="Z398" i="2"/>
  <c r="B103" i="7"/>
  <c r="B210" i="4"/>
  <c r="E571" i="12"/>
  <c r="Z359" i="2"/>
  <c r="X489" i="2"/>
  <c r="U262" i="12"/>
  <c r="W412" i="2"/>
  <c r="AG412" i="2"/>
  <c r="E308" i="12"/>
  <c r="D175" i="4"/>
  <c r="D87" i="5"/>
  <c r="Z416" i="2"/>
  <c r="X446" i="2"/>
  <c r="U243" i="12"/>
  <c r="W466" i="2"/>
  <c r="AG466" i="2"/>
  <c r="V434" i="2"/>
  <c r="AF434" i="2"/>
  <c r="E480" i="12"/>
  <c r="AB419" i="2"/>
  <c r="Z388" i="2"/>
  <c r="X483" i="2"/>
  <c r="U273" i="12"/>
  <c r="W449" i="2"/>
  <c r="AG449" i="2"/>
  <c r="V448" i="2"/>
  <c r="AF448" i="2"/>
  <c r="E283" i="12"/>
  <c r="AB442" i="2"/>
  <c r="Z372" i="2"/>
  <c r="X417" i="2"/>
  <c r="U251" i="12"/>
  <c r="W472" i="2"/>
  <c r="AG472" i="2"/>
  <c r="V476" i="2"/>
  <c r="AF476" i="2"/>
  <c r="S290" i="2"/>
  <c r="AC290" i="2"/>
  <c r="E428" i="12"/>
  <c r="AB347" i="2"/>
  <c r="Z457" i="2"/>
  <c r="Y351" i="2"/>
  <c r="X428" i="2"/>
  <c r="U575" i="12"/>
  <c r="W443" i="2"/>
  <c r="AG443" i="2"/>
  <c r="V465" i="2"/>
  <c r="AF465" i="2"/>
  <c r="S385" i="2"/>
  <c r="AC385" i="2"/>
  <c r="E271" i="12"/>
  <c r="AB490" i="2"/>
  <c r="D110" i="6"/>
  <c r="D211" i="4"/>
  <c r="Z494" i="2"/>
  <c r="Y471" i="2"/>
  <c r="X366" i="2"/>
  <c r="U436" i="12"/>
  <c r="W459" i="2"/>
  <c r="AG459" i="2"/>
  <c r="V531" i="2"/>
  <c r="AF531" i="2"/>
  <c r="S540" i="2"/>
  <c r="AD540" i="2"/>
  <c r="Z395" i="2"/>
  <c r="AD232" i="2"/>
  <c r="T232" i="2"/>
  <c r="AB232" i="2"/>
  <c r="E529" i="12"/>
  <c r="AD468" i="2"/>
  <c r="S451" i="2"/>
  <c r="AD451" i="2"/>
  <c r="V500" i="2"/>
  <c r="AG500" i="2"/>
  <c r="Z550" i="2"/>
  <c r="AE480" i="2"/>
  <c r="AB480" i="2"/>
  <c r="S357" i="2"/>
  <c r="AE357" i="2"/>
  <c r="U456" i="2"/>
  <c r="V526" i="2"/>
  <c r="AG526" i="2"/>
  <c r="S454" i="2"/>
  <c r="AE454" i="2"/>
  <c r="E292" i="12"/>
  <c r="AD521" i="2"/>
  <c r="AD467" i="2"/>
  <c r="T467" i="2"/>
  <c r="AC467" i="2"/>
  <c r="S467" i="2"/>
  <c r="AE467" i="2"/>
  <c r="D114" i="5"/>
  <c r="D124" i="6"/>
  <c r="D233" i="4"/>
  <c r="B125" i="6"/>
  <c r="B234" i="4"/>
  <c r="E223" i="12"/>
  <c r="U223" i="12"/>
  <c r="AB543" i="2"/>
  <c r="B118" i="7"/>
  <c r="B249" i="4"/>
  <c r="U475" i="2"/>
  <c r="U582" i="12"/>
  <c r="V511" i="2"/>
  <c r="U479" i="2"/>
  <c r="AE496" i="2"/>
  <c r="AC519" i="2"/>
  <c r="AB410" i="2"/>
  <c r="AB460" i="2"/>
  <c r="U330" i="12"/>
  <c r="AE552" i="2"/>
  <c r="T552" i="2"/>
  <c r="AC552" i="2"/>
  <c r="S552" i="2"/>
  <c r="U481" i="2"/>
  <c r="E304" i="12"/>
  <c r="S584" i="2"/>
  <c r="W698" i="12"/>
  <c r="AO180" i="2"/>
  <c r="N287" i="3" s="1"/>
  <c r="N289" i="3" s="1"/>
  <c r="Q13" i="13" s="1"/>
  <c r="AN180" i="2"/>
  <c r="M287" i="3" s="1"/>
  <c r="M289" i="3" s="1"/>
  <c r="AM180" i="2"/>
  <c r="L287" i="3" s="1"/>
  <c r="L289" i="3" s="1"/>
  <c r="AK180" i="2"/>
  <c r="U620" i="12"/>
  <c r="E655" i="12"/>
  <c r="E616" i="12"/>
  <c r="AB352" i="2"/>
  <c r="AB441" i="2"/>
  <c r="E650" i="12"/>
  <c r="E453" i="12"/>
  <c r="S590" i="2"/>
  <c r="D130" i="5"/>
  <c r="D144" i="6"/>
  <c r="D269" i="4"/>
  <c r="AA585" i="2"/>
  <c r="E282" i="12"/>
  <c r="U358" i="12"/>
  <c r="U608" i="12"/>
  <c r="AC570" i="2"/>
  <c r="U524" i="2"/>
  <c r="Y510" i="2"/>
  <c r="B43" i="9"/>
  <c r="B140" i="7"/>
  <c r="B160" i="6"/>
  <c r="B298" i="4"/>
  <c r="X611" i="2"/>
  <c r="D141" i="7"/>
  <c r="D299" i="4"/>
  <c r="AB622" i="2"/>
  <c r="E401" i="12"/>
  <c r="AA542" i="2"/>
  <c r="U371" i="12"/>
  <c r="AF593" i="2"/>
  <c r="U573" i="2"/>
  <c r="E302" i="12"/>
  <c r="E339" i="12"/>
  <c r="E368" i="12"/>
  <c r="D94" i="7"/>
  <c r="D98" i="6"/>
  <c r="D192" i="4"/>
  <c r="AA450" i="2"/>
  <c r="U275" i="12"/>
  <c r="E531" i="12"/>
  <c r="AA358" i="2"/>
  <c r="B96" i="7"/>
  <c r="B99" i="5"/>
  <c r="B103" i="6"/>
  <c r="B199" i="4"/>
  <c r="U207" i="12"/>
  <c r="E228" i="12"/>
  <c r="AA383" i="2"/>
  <c r="B84" i="5"/>
  <c r="B168" i="4"/>
  <c r="U507" i="12"/>
  <c r="E484" i="12"/>
  <c r="D102" i="7"/>
  <c r="D209" i="4"/>
  <c r="AA398" i="2"/>
  <c r="E490" i="12"/>
  <c r="AA359" i="2"/>
  <c r="B104" i="7"/>
  <c r="B104" i="5"/>
  <c r="B214" i="4"/>
  <c r="Y489" i="2"/>
  <c r="U524" i="12"/>
  <c r="E219" i="12"/>
  <c r="AA416" i="2"/>
  <c r="B95" i="5"/>
  <c r="B99" i="6"/>
  <c r="B194" i="4"/>
  <c r="Y446" i="2"/>
  <c r="U321" i="12"/>
  <c r="W434" i="2"/>
  <c r="AG434" i="2"/>
  <c r="S419" i="2"/>
  <c r="AC419" i="2"/>
  <c r="E499" i="12"/>
  <c r="AA388" i="2"/>
  <c r="B106" i="7"/>
  <c r="B115" i="6"/>
  <c r="B219" i="4"/>
  <c r="Y483" i="2"/>
  <c r="U504" i="12"/>
  <c r="W448" i="2"/>
  <c r="AG448" i="2"/>
  <c r="S442" i="2"/>
  <c r="AC442" i="2"/>
  <c r="E570" i="12"/>
  <c r="AA372" i="2"/>
  <c r="B108" i="6"/>
  <c r="B205" i="4"/>
  <c r="Y417" i="2"/>
  <c r="U590" i="12"/>
  <c r="W476" i="2"/>
  <c r="AG476" i="2"/>
  <c r="T290" i="2"/>
  <c r="AD290" i="2"/>
  <c r="S347" i="2"/>
  <c r="AC347" i="2"/>
  <c r="E515" i="12"/>
  <c r="AA457" i="2"/>
  <c r="Z351" i="2"/>
  <c r="Y428" i="2"/>
  <c r="U579" i="12"/>
  <c r="W465" i="2"/>
  <c r="AG465" i="2"/>
  <c r="T385" i="2"/>
  <c r="AD385" i="2"/>
  <c r="S490" i="2"/>
  <c r="AC490" i="2"/>
  <c r="E232" i="12"/>
  <c r="D111" i="6"/>
  <c r="D212" i="4"/>
  <c r="AA494" i="2"/>
  <c r="Z471" i="2"/>
  <c r="Y366" i="2"/>
  <c r="U560" i="12"/>
  <c r="W531" i="2"/>
  <c r="AG531" i="2"/>
  <c r="T540" i="2"/>
  <c r="AE540" i="2"/>
  <c r="U505" i="12"/>
  <c r="B163" i="8"/>
  <c r="AA395" i="2"/>
  <c r="D114" i="6"/>
  <c r="D217" i="4"/>
  <c r="E145" i="12"/>
  <c r="AC232" i="2"/>
  <c r="T468" i="2"/>
  <c r="AE468" i="2"/>
  <c r="T451" i="2"/>
  <c r="AE451" i="2"/>
  <c r="W500" i="2"/>
  <c r="B119" i="6"/>
  <c r="B107" i="5"/>
  <c r="B224" i="4"/>
  <c r="E619" i="12"/>
  <c r="AC480" i="2"/>
  <c r="AF357" i="2"/>
  <c r="V456" i="2"/>
  <c r="W526" i="2"/>
  <c r="U246" i="12"/>
  <c r="Y516" i="2"/>
  <c r="X516" i="2"/>
  <c r="AC516" i="2"/>
  <c r="T454" i="2"/>
  <c r="AF454" i="2"/>
  <c r="D122" i="6"/>
  <c r="D111" i="5"/>
  <c r="D230" i="4"/>
  <c r="S521" i="2"/>
  <c r="AG521" i="2"/>
  <c r="D123" i="6"/>
  <c r="D231" i="4"/>
  <c r="D112" i="5"/>
  <c r="E218" i="12"/>
  <c r="U341" i="12"/>
  <c r="U589" i="12"/>
  <c r="AA324" i="2"/>
  <c r="Z324" i="2"/>
  <c r="Y324" i="2"/>
  <c r="AD324" i="2"/>
  <c r="W706" i="12"/>
  <c r="AP178" i="2"/>
  <c r="S473" i="2"/>
  <c r="AC508" i="2"/>
  <c r="S508" i="2"/>
  <c r="W727" i="12"/>
  <c r="AK183" i="2"/>
  <c r="D119" i="7"/>
  <c r="D251" i="4"/>
  <c r="D127" i="6"/>
  <c r="D238" i="4"/>
  <c r="X511" i="2"/>
  <c r="B120" i="7"/>
  <c r="B253" i="4"/>
  <c r="AE529" i="2"/>
  <c r="AC529" i="2"/>
  <c r="S529" i="2"/>
  <c r="U254" i="12"/>
  <c r="E621" i="12"/>
  <c r="AF513" i="2"/>
  <c r="V513" i="2"/>
  <c r="AE513" i="2"/>
  <c r="AD513" i="2"/>
  <c r="T513" i="2"/>
  <c r="AC513" i="2"/>
  <c r="S513" i="2"/>
  <c r="AB513" i="2"/>
  <c r="B128" i="6"/>
  <c r="B117" i="5"/>
  <c r="B241" i="4"/>
  <c r="S512" i="2"/>
  <c r="T584" i="2"/>
  <c r="B38" i="9"/>
  <c r="U553" i="2"/>
  <c r="S504" i="2"/>
  <c r="AC352" i="2"/>
  <c r="X545" i="2"/>
  <c r="AG545" i="2"/>
  <c r="W545" i="2"/>
  <c r="AF545" i="2"/>
  <c r="V545" i="2"/>
  <c r="AE545" i="2"/>
  <c r="AD545" i="2"/>
  <c r="T545" i="2"/>
  <c r="AC545" i="2"/>
  <c r="S545" i="2"/>
  <c r="D127" i="7"/>
  <c r="D145" i="6"/>
  <c r="D271" i="4"/>
  <c r="U609" i="12"/>
  <c r="AC441" i="2"/>
  <c r="Y495" i="2"/>
  <c r="X495" i="2"/>
  <c r="AG495" i="2"/>
  <c r="W495" i="2"/>
  <c r="AF495" i="2"/>
  <c r="V495" i="2"/>
  <c r="AE495" i="2"/>
  <c r="AD495" i="2"/>
  <c r="T495" i="2"/>
  <c r="U495" i="2" s="1"/>
  <c r="B200" i="8"/>
  <c r="U547" i="2"/>
  <c r="B41" i="9"/>
  <c r="U589" i="2"/>
  <c r="B138" i="6"/>
  <c r="B260" i="4"/>
  <c r="X567" i="2"/>
  <c r="U287" i="12"/>
  <c r="AA590" i="2"/>
  <c r="AA532" i="2"/>
  <c r="X571" i="2"/>
  <c r="D250" i="4"/>
  <c r="D122" i="5"/>
  <c r="B218" i="8"/>
  <c r="AA510" i="2"/>
  <c r="Y580" i="2"/>
  <c r="X580" i="2"/>
  <c r="W580" i="2"/>
  <c r="AG580" i="2"/>
  <c r="V580" i="2"/>
  <c r="AF580" i="2"/>
  <c r="AE580" i="2"/>
  <c r="T580" i="2"/>
  <c r="AD580" i="2"/>
  <c r="S580" i="2"/>
  <c r="Z580" i="2"/>
  <c r="D147" i="6"/>
  <c r="D132" i="5"/>
  <c r="D273" i="4"/>
  <c r="AA607" i="2"/>
  <c r="X616" i="2"/>
  <c r="Z616" i="2"/>
  <c r="Y616" i="2"/>
  <c r="W616" i="2"/>
  <c r="AG616" i="2"/>
  <c r="V616" i="2"/>
  <c r="AF616" i="2"/>
  <c r="AE616" i="2"/>
  <c r="T616" i="2"/>
  <c r="U616" i="2" s="1"/>
  <c r="AA616" i="2"/>
  <c r="U225" i="12"/>
  <c r="U377" i="12"/>
  <c r="AC542" i="2"/>
  <c r="AL205" i="2"/>
  <c r="U425" i="2"/>
  <c r="D148" i="7"/>
  <c r="D149" i="5"/>
  <c r="D164" i="6"/>
  <c r="D311" i="4"/>
  <c r="AG593" i="2"/>
  <c r="AC598" i="2"/>
  <c r="U613" i="2"/>
  <c r="S610" i="2"/>
  <c r="U281" i="12"/>
  <c r="E561" i="12"/>
  <c r="AA351" i="2"/>
  <c r="U494" i="12"/>
  <c r="E264" i="12"/>
  <c r="AA471" i="2"/>
  <c r="U295" i="12"/>
  <c r="AB395" i="2"/>
  <c r="U586" i="12"/>
  <c r="AF550" i="2"/>
  <c r="V550" i="2"/>
  <c r="AB550" i="2"/>
  <c r="U229" i="12"/>
  <c r="U366" i="12"/>
  <c r="U519" i="12"/>
  <c r="E631" i="12"/>
  <c r="U292" i="12"/>
  <c r="E396" i="12"/>
  <c r="D125" i="6"/>
  <c r="D234" i="4"/>
  <c r="B117" i="7"/>
  <c r="B121" i="5"/>
  <c r="B248" i="4"/>
  <c r="AE543" i="2"/>
  <c r="AD543" i="2"/>
  <c r="T543" i="2"/>
  <c r="AC543" i="2"/>
  <c r="S543" i="2"/>
  <c r="AG543" i="2"/>
  <c r="Y511" i="2"/>
  <c r="Z519" i="2"/>
  <c r="X519" i="2"/>
  <c r="AG519" i="2"/>
  <c r="W519" i="2"/>
  <c r="AF519" i="2"/>
  <c r="V519" i="2"/>
  <c r="AE519" i="2"/>
  <c r="B185" i="8"/>
  <c r="U311" i="12"/>
  <c r="D124" i="7"/>
  <c r="D137" i="6"/>
  <c r="D259" i="4"/>
  <c r="D132" i="6"/>
  <c r="D119" i="5"/>
  <c r="D245" i="4"/>
  <c r="Z584" i="2"/>
  <c r="E286" i="12"/>
  <c r="E627" i="12"/>
  <c r="AB590" i="2"/>
  <c r="X588" i="2"/>
  <c r="AG588" i="2"/>
  <c r="W588" i="2"/>
  <c r="AF588" i="2"/>
  <c r="V588" i="2"/>
  <c r="AE588" i="2"/>
  <c r="AD588" i="2"/>
  <c r="T588" i="2"/>
  <c r="AC588" i="2"/>
  <c r="S588" i="2"/>
  <c r="Y588" i="2"/>
  <c r="B120" i="5"/>
  <c r="B247" i="4"/>
  <c r="E573" i="12"/>
  <c r="B138" i="7"/>
  <c r="B295" i="4"/>
  <c r="AB510" i="2"/>
  <c r="E370" i="12"/>
  <c r="E390" i="12"/>
  <c r="D149" i="6"/>
  <c r="D140" i="5"/>
  <c r="D283" i="4"/>
  <c r="U352" i="12"/>
  <c r="U302" i="12"/>
  <c r="E492" i="12"/>
  <c r="U492" i="12"/>
  <c r="U361" i="12"/>
  <c r="T644" i="2"/>
  <c r="AC644" i="2"/>
  <c r="E261" i="12"/>
  <c r="W715" i="12"/>
  <c r="U509" i="12"/>
  <c r="E522" i="12"/>
  <c r="D104" i="7"/>
  <c r="D104" i="5"/>
  <c r="D214" i="4"/>
  <c r="AA489" i="2"/>
  <c r="B94" i="5"/>
  <c r="B95" i="6"/>
  <c r="B189" i="4"/>
  <c r="U479" i="12"/>
  <c r="E562" i="12"/>
  <c r="D95" i="5"/>
  <c r="D99" i="6"/>
  <c r="D194" i="4"/>
  <c r="AA446" i="2"/>
  <c r="B101" i="6"/>
  <c r="B197" i="4"/>
  <c r="Y434" i="2"/>
  <c r="U238" i="12"/>
  <c r="AE419" i="2"/>
  <c r="T404" i="2"/>
  <c r="E556" i="12"/>
  <c r="D106" i="7"/>
  <c r="D115" i="6"/>
  <c r="D219" i="4"/>
  <c r="AA483" i="2"/>
  <c r="B91" i="5"/>
  <c r="B183" i="4"/>
  <c r="Y448" i="2"/>
  <c r="U267" i="12"/>
  <c r="AE442" i="2"/>
  <c r="T401" i="2"/>
  <c r="E514" i="12"/>
  <c r="D108" i="6"/>
  <c r="D205" i="4"/>
  <c r="AA417" i="2"/>
  <c r="B109" i="6"/>
  <c r="B208" i="4"/>
  <c r="Y476" i="2"/>
  <c r="U270" i="12"/>
  <c r="V290" i="2"/>
  <c r="AF290" i="2"/>
  <c r="AE347" i="2"/>
  <c r="T423" i="2"/>
  <c r="U423" i="2" s="1"/>
  <c r="E533" i="12"/>
  <c r="AB351" i="2"/>
  <c r="AA428" i="2"/>
  <c r="Y465" i="2"/>
  <c r="U513" i="12"/>
  <c r="V385" i="2"/>
  <c r="AF385" i="2"/>
  <c r="AE490" i="2"/>
  <c r="T386" i="2"/>
  <c r="U386" i="2" s="1"/>
  <c r="E537" i="12"/>
  <c r="AB471" i="2"/>
  <c r="AA366" i="2"/>
  <c r="B112" i="6"/>
  <c r="B103" i="5"/>
  <c r="B213" i="4"/>
  <c r="Y531" i="2"/>
  <c r="U604" i="12"/>
  <c r="V540" i="2"/>
  <c r="AG540" i="2"/>
  <c r="B113" i="6"/>
  <c r="B216" i="4"/>
  <c r="E501" i="12"/>
  <c r="AC395" i="2"/>
  <c r="V468" i="2"/>
  <c r="AG468" i="2"/>
  <c r="V451" i="2"/>
  <c r="AG451" i="2"/>
  <c r="U580" i="12"/>
  <c r="B117" i="6"/>
  <c r="B222" i="4"/>
  <c r="Z500" i="2"/>
  <c r="B113" i="7"/>
  <c r="B239" i="4"/>
  <c r="D119" i="6"/>
  <c r="D107" i="5"/>
  <c r="D224" i="4"/>
  <c r="E290" i="12"/>
  <c r="AC550" i="2"/>
  <c r="T480" i="2"/>
  <c r="U480" i="2" s="1"/>
  <c r="W357" i="2"/>
  <c r="U420" i="12"/>
  <c r="Y526" i="2"/>
  <c r="V454" i="2"/>
  <c r="W521" i="2"/>
  <c r="V467" i="2"/>
  <c r="U218" i="12"/>
  <c r="X473" i="2"/>
  <c r="E305" i="12"/>
  <c r="U305" i="12"/>
  <c r="U541" i="2"/>
  <c r="Z511" i="2"/>
  <c r="X397" i="2"/>
  <c r="B121" i="7"/>
  <c r="B255" i="4"/>
  <c r="E337" i="12"/>
  <c r="Y410" i="2"/>
  <c r="AG410" i="2"/>
  <c r="W410" i="2"/>
  <c r="AF410" i="2"/>
  <c r="V410" i="2"/>
  <c r="AE410" i="2"/>
  <c r="U253" i="12"/>
  <c r="X460" i="2"/>
  <c r="AF460" i="2"/>
  <c r="V460" i="2"/>
  <c r="AE460" i="2"/>
  <c r="AD460" i="2"/>
  <c r="T460" i="2"/>
  <c r="AG484" i="2"/>
  <c r="W484" i="2"/>
  <c r="AF484" i="2"/>
  <c r="V484" i="2"/>
  <c r="AE484" i="2"/>
  <c r="AD484" i="2"/>
  <c r="T484" i="2"/>
  <c r="AC484" i="2"/>
  <c r="S484" i="2"/>
  <c r="AA584" i="2"/>
  <c r="U376" i="2"/>
  <c r="AA504" i="2"/>
  <c r="B115" i="5"/>
  <c r="B235" i="4"/>
  <c r="U404" i="12"/>
  <c r="B192" i="8"/>
  <c r="U527" i="12"/>
  <c r="AG575" i="2"/>
  <c r="W575" i="2"/>
  <c r="AF575" i="2"/>
  <c r="V575" i="2"/>
  <c r="AE575" i="2"/>
  <c r="AD575" i="2"/>
  <c r="T575" i="2"/>
  <c r="AC575" i="2"/>
  <c r="S575" i="2"/>
  <c r="AB575" i="2"/>
  <c r="U626" i="12"/>
  <c r="W686" i="12"/>
  <c r="AP181" i="2"/>
  <c r="AO181" i="2"/>
  <c r="AN181" i="2"/>
  <c r="AM181" i="2"/>
  <c r="U591" i="2"/>
  <c r="W720" i="12"/>
  <c r="AP176" i="2"/>
  <c r="AO176" i="2"/>
  <c r="AN176" i="2"/>
  <c r="AM176" i="2"/>
  <c r="D143" i="6"/>
  <c r="D267" i="4"/>
  <c r="AC590" i="2"/>
  <c r="E342" i="12"/>
  <c r="AC532" i="2"/>
  <c r="U485" i="2"/>
  <c r="X546" i="2"/>
  <c r="W546" i="2"/>
  <c r="AG546" i="2"/>
  <c r="V546" i="2"/>
  <c r="AF546" i="2"/>
  <c r="AE546" i="2"/>
  <c r="T546" i="2"/>
  <c r="AD546" i="2"/>
  <c r="S546" i="2"/>
  <c r="AC546" i="2"/>
  <c r="Y546" i="2"/>
  <c r="X625" i="2"/>
  <c r="Z625" i="2"/>
  <c r="Y625" i="2"/>
  <c r="W625" i="2"/>
  <c r="AG625" i="2"/>
  <c r="V625" i="2"/>
  <c r="AF625" i="2"/>
  <c r="AE625" i="2"/>
  <c r="T625" i="2"/>
  <c r="AA625" i="2"/>
  <c r="U563" i="12"/>
  <c r="AC607" i="2"/>
  <c r="B146" i="7"/>
  <c r="B306" i="4"/>
  <c r="D156" i="6"/>
  <c r="D291" i="4"/>
  <c r="B155" i="7"/>
  <c r="B169" i="6"/>
  <c r="B325" i="4"/>
  <c r="B45" i="9"/>
  <c r="E493" i="12"/>
  <c r="D79" i="5"/>
  <c r="D161" i="4"/>
  <c r="B85" i="6"/>
  <c r="B173" i="4"/>
  <c r="U213" i="12"/>
  <c r="T450" i="2"/>
  <c r="D95" i="7"/>
  <c r="D193" i="4"/>
  <c r="T358" i="2"/>
  <c r="E235" i="12"/>
  <c r="D88" i="6"/>
  <c r="D88" i="5"/>
  <c r="D178" i="4"/>
  <c r="B97" i="7"/>
  <c r="B105" i="6"/>
  <c r="B201" i="4"/>
  <c r="U216" i="12"/>
  <c r="T383" i="2"/>
  <c r="E208" i="12"/>
  <c r="B101" i="7"/>
  <c r="B102" i="5"/>
  <c r="B207" i="4"/>
  <c r="U481" i="12"/>
  <c r="T398" i="2"/>
  <c r="AK168" i="2"/>
  <c r="U442" i="12"/>
  <c r="T359" i="2"/>
  <c r="E262" i="12"/>
  <c r="U473" i="12"/>
  <c r="T416" i="2"/>
  <c r="E243" i="12"/>
  <c r="D100" i="6"/>
  <c r="D96" i="5"/>
  <c r="D195" i="4"/>
  <c r="B105" i="7"/>
  <c r="B218" i="4"/>
  <c r="U578" i="12"/>
  <c r="V419" i="2"/>
  <c r="T388" i="2"/>
  <c r="E273" i="12"/>
  <c r="B107" i="7"/>
  <c r="B118" i="6"/>
  <c r="B223" i="4"/>
  <c r="U109" i="12"/>
  <c r="V442" i="2"/>
  <c r="T372" i="2"/>
  <c r="E251" i="12"/>
  <c r="B109" i="7"/>
  <c r="B109" i="5"/>
  <c r="B227" i="4"/>
  <c r="U265" i="12"/>
  <c r="W290" i="2"/>
  <c r="V347" i="2"/>
  <c r="T457" i="2"/>
  <c r="S351" i="2"/>
  <c r="E575" i="12"/>
  <c r="U565" i="12"/>
  <c r="W385" i="2"/>
  <c r="V490" i="2"/>
  <c r="T494" i="2"/>
  <c r="S471" i="2"/>
  <c r="E436" i="12"/>
  <c r="U485" i="12"/>
  <c r="W540" i="2"/>
  <c r="U327" i="12"/>
  <c r="AF463" i="2"/>
  <c r="V463" i="2"/>
  <c r="AB463" i="2"/>
  <c r="S395" i="2"/>
  <c r="AD395" i="2"/>
  <c r="W468" i="2"/>
  <c r="U529" i="12"/>
  <c r="W451" i="2"/>
  <c r="U559" i="12"/>
  <c r="U278" i="12"/>
  <c r="AA500" i="2"/>
  <c r="AG464" i="2"/>
  <c r="W464" i="2"/>
  <c r="AB464" i="2"/>
  <c r="S550" i="2"/>
  <c r="AD550" i="2"/>
  <c r="X357" i="2"/>
  <c r="B114" i="7"/>
  <c r="B240" i="4"/>
  <c r="B121" i="6"/>
  <c r="B108" i="5"/>
  <c r="B226" i="4"/>
  <c r="AA526" i="2"/>
  <c r="Z517" i="2"/>
  <c r="Y517" i="2"/>
  <c r="AC517" i="2"/>
  <c r="T516" i="2"/>
  <c r="AF516" i="2"/>
  <c r="Y454" i="2"/>
  <c r="AG487" i="2"/>
  <c r="W487" i="2"/>
  <c r="AF487" i="2"/>
  <c r="V487" i="2"/>
  <c r="AC487" i="2"/>
  <c r="X521" i="2"/>
  <c r="B174" i="8"/>
  <c r="AE439" i="2"/>
  <c r="AD439" i="2"/>
  <c r="T439" i="2"/>
  <c r="AC439" i="2"/>
  <c r="T324" i="2"/>
  <c r="AG324" i="2"/>
  <c r="AM178" i="2"/>
  <c r="Y473" i="2"/>
  <c r="D117" i="7"/>
  <c r="D121" i="5"/>
  <c r="D248" i="4"/>
  <c r="V543" i="2"/>
  <c r="T508" i="2"/>
  <c r="U300" i="12"/>
  <c r="AN183" i="2"/>
  <c r="AA511" i="2"/>
  <c r="Y397" i="2"/>
  <c r="T529" i="2"/>
  <c r="U299" i="12"/>
  <c r="AL187" i="2"/>
  <c r="U496" i="2"/>
  <c r="D121" i="7"/>
  <c r="D255" i="4"/>
  <c r="S519" i="2"/>
  <c r="E253" i="12"/>
  <c r="B184" i="8"/>
  <c r="E568" i="12"/>
  <c r="E330" i="12"/>
  <c r="X513" i="2"/>
  <c r="B129" i="6"/>
  <c r="B242" i="4"/>
  <c r="AA512" i="2"/>
  <c r="AB584" i="2"/>
  <c r="AB504" i="2"/>
  <c r="Z545" i="2"/>
  <c r="U514" i="2"/>
  <c r="Z495" i="2"/>
  <c r="AK181" i="2"/>
  <c r="AG557" i="2"/>
  <c r="W557" i="2"/>
  <c r="AF557" i="2"/>
  <c r="V557" i="2"/>
  <c r="AE557" i="2"/>
  <c r="AD557" i="2"/>
  <c r="T557" i="2"/>
  <c r="AC557" i="2"/>
  <c r="S557" i="2"/>
  <c r="AB557" i="2"/>
  <c r="X557" i="2"/>
  <c r="AK176" i="2"/>
  <c r="AG534" i="2"/>
  <c r="W534" i="2"/>
  <c r="AF534" i="2"/>
  <c r="V534" i="2"/>
  <c r="AE534" i="2"/>
  <c r="AD534" i="2"/>
  <c r="T534" i="2"/>
  <c r="AC534" i="2"/>
  <c r="S534" i="2"/>
  <c r="AB534" i="2"/>
  <c r="X534" i="2"/>
  <c r="Z588" i="2"/>
  <c r="D120" i="5"/>
  <c r="D247" i="4"/>
  <c r="U456" i="12"/>
  <c r="AB580" i="2"/>
  <c r="E393" i="12"/>
  <c r="D142" i="7"/>
  <c r="D144" i="5"/>
  <c r="D300" i="4"/>
  <c r="AB616" i="2"/>
  <c r="U403" i="2"/>
  <c r="AC554" i="2"/>
  <c r="S554" i="2"/>
  <c r="X554" i="2"/>
  <c r="W554" i="2"/>
  <c r="AG554" i="2"/>
  <c r="V554" i="2"/>
  <c r="AF554" i="2"/>
  <c r="AE554" i="2"/>
  <c r="T554" i="2"/>
  <c r="AD554" i="2"/>
  <c r="Y554" i="2"/>
  <c r="Y548" i="2"/>
  <c r="X548" i="2"/>
  <c r="Z548" i="2"/>
  <c r="W548" i="2"/>
  <c r="V548" i="2"/>
  <c r="AG548" i="2"/>
  <c r="AF548" i="2"/>
  <c r="T548" i="2"/>
  <c r="AE548" i="2"/>
  <c r="S548" i="2"/>
  <c r="AA548" i="2"/>
  <c r="AG627" i="2"/>
  <c r="W627" i="2"/>
  <c r="AF627" i="2"/>
  <c r="V627" i="2"/>
  <c r="AE627" i="2"/>
  <c r="AA627" i="2"/>
  <c r="Z627" i="2"/>
  <c r="Y627" i="2"/>
  <c r="X627" i="2"/>
  <c r="T627" i="2"/>
  <c r="S627" i="2"/>
  <c r="AB627" i="2"/>
  <c r="AA547" i="2"/>
  <c r="U343" i="12"/>
  <c r="E422" i="12"/>
  <c r="D130" i="7"/>
  <c r="D282" i="4"/>
  <c r="AA589" i="2"/>
  <c r="U647" i="12"/>
  <c r="E651" i="12"/>
  <c r="AA515" i="2"/>
  <c r="B132" i="7"/>
  <c r="B151" i="6"/>
  <c r="B286" i="4"/>
  <c r="AB485" i="2"/>
  <c r="U362" i="12"/>
  <c r="AF524" i="2"/>
  <c r="V524" i="2"/>
  <c r="AB524" i="2"/>
  <c r="U604" i="2"/>
  <c r="U433" i="12"/>
  <c r="U654" i="12"/>
  <c r="U435" i="12"/>
  <c r="AG563" i="2"/>
  <c r="W563" i="2"/>
  <c r="AB563" i="2"/>
  <c r="U384" i="12"/>
  <c r="AG536" i="2"/>
  <c r="W536" i="2"/>
  <c r="AB536" i="2"/>
  <c r="B140" i="5"/>
  <c r="B149" i="6"/>
  <c r="B283" i="4"/>
  <c r="D127" i="5"/>
  <c r="D264" i="4"/>
  <c r="E258" i="12"/>
  <c r="B129" i="5"/>
  <c r="B268" i="4"/>
  <c r="AF577" i="2"/>
  <c r="V577" i="2"/>
  <c r="AE577" i="2"/>
  <c r="AC577" i="2"/>
  <c r="B148" i="7"/>
  <c r="B164" i="6"/>
  <c r="B311" i="4"/>
  <c r="B149" i="5"/>
  <c r="Z573" i="2"/>
  <c r="Y573" i="2"/>
  <c r="X573" i="2"/>
  <c r="AD573" i="2"/>
  <c r="E331" i="12"/>
  <c r="B152" i="7"/>
  <c r="B167" i="6"/>
  <c r="B318" i="4"/>
  <c r="AE624" i="2"/>
  <c r="D297" i="4"/>
  <c r="D159" i="6"/>
  <c r="B136" i="5"/>
  <c r="B277" i="4"/>
  <c r="E333" i="12"/>
  <c r="E448" i="12"/>
  <c r="U668" i="2"/>
  <c r="B196" i="6"/>
  <c r="B369" i="4"/>
  <c r="D137" i="5"/>
  <c r="D279" i="4"/>
  <c r="AD614" i="2"/>
  <c r="T614" i="2"/>
  <c r="U614" i="2" s="1"/>
  <c r="AB614" i="2"/>
  <c r="Z614" i="2"/>
  <c r="Y614" i="2"/>
  <c r="X614" i="2"/>
  <c r="AE614" i="2"/>
  <c r="E649" i="12"/>
  <c r="X642" i="2"/>
  <c r="AE642" i="2"/>
  <c r="U650" i="2"/>
  <c r="U431" i="12"/>
  <c r="U421" i="12"/>
  <c r="U688" i="2"/>
  <c r="U443" i="12"/>
  <c r="U530" i="2"/>
  <c r="U667" i="2"/>
  <c r="E361" i="12"/>
  <c r="Y551" i="2"/>
  <c r="AE551" i="2"/>
  <c r="AD551" i="2"/>
  <c r="T551" i="2"/>
  <c r="AC551" i="2"/>
  <c r="S551" i="2"/>
  <c r="U339" i="12"/>
  <c r="AC597" i="2"/>
  <c r="S597" i="2"/>
  <c r="Y597" i="2"/>
  <c r="X597" i="2"/>
  <c r="AG597" i="2"/>
  <c r="W597" i="2"/>
  <c r="AF597" i="2"/>
  <c r="B160" i="7"/>
  <c r="B174" i="6"/>
  <c r="B336" i="4"/>
  <c r="U466" i="12"/>
  <c r="B148" i="5"/>
  <c r="B163" i="6"/>
  <c r="B310" i="4"/>
  <c r="U416" i="12"/>
  <c r="E459" i="12"/>
  <c r="D312" i="4"/>
  <c r="D150" i="5"/>
  <c r="B183" i="6"/>
  <c r="B349" i="4"/>
  <c r="E404" i="12"/>
  <c r="AA538" i="2"/>
  <c r="U585" i="12"/>
  <c r="E285" i="12"/>
  <c r="AA549" i="2"/>
  <c r="U615" i="12"/>
  <c r="AE547" i="2"/>
  <c r="E343" i="12"/>
  <c r="W694" i="12"/>
  <c r="B128" i="7"/>
  <c r="B278" i="4"/>
  <c r="U517" i="12"/>
  <c r="AE589" i="2"/>
  <c r="E647" i="12"/>
  <c r="D138" i="6"/>
  <c r="D260" i="4"/>
  <c r="AA567" i="2"/>
  <c r="B139" i="6"/>
  <c r="B261" i="4"/>
  <c r="U600" i="12"/>
  <c r="AE515" i="2"/>
  <c r="E354" i="12"/>
  <c r="V485" i="2"/>
  <c r="AG485" i="2"/>
  <c r="B135" i="7"/>
  <c r="B155" i="6"/>
  <c r="B290" i="4"/>
  <c r="AB571" i="2"/>
  <c r="E645" i="12"/>
  <c r="AG524" i="2"/>
  <c r="AA562" i="2"/>
  <c r="E610" i="12"/>
  <c r="AF563" i="2"/>
  <c r="AD558" i="2"/>
  <c r="T558" i="2"/>
  <c r="AB558" i="2"/>
  <c r="E419" i="12"/>
  <c r="AF536" i="2"/>
  <c r="AD592" i="2"/>
  <c r="T592" i="2"/>
  <c r="AB592" i="2"/>
  <c r="E637" i="12"/>
  <c r="W577" i="2"/>
  <c r="U372" i="12"/>
  <c r="AC623" i="2"/>
  <c r="Z618" i="2"/>
  <c r="AF618" i="2"/>
  <c r="V618" i="2"/>
  <c r="AE618" i="2"/>
  <c r="AD618" i="2"/>
  <c r="T618" i="2"/>
  <c r="U376" i="12"/>
  <c r="E411" i="12"/>
  <c r="D155" i="7"/>
  <c r="D169" i="6"/>
  <c r="D325" i="4"/>
  <c r="V551" i="2"/>
  <c r="W693" i="12"/>
  <c r="AM204" i="2"/>
  <c r="AK204" i="2"/>
  <c r="U612" i="2"/>
  <c r="D138" i="5"/>
  <c r="D280" i="4"/>
  <c r="T597" i="2"/>
  <c r="B157" i="7"/>
  <c r="B172" i="6"/>
  <c r="B161" i="5"/>
  <c r="B332" i="4"/>
  <c r="AB644" i="2"/>
  <c r="X644" i="2"/>
  <c r="AG644" i="2"/>
  <c r="W644" i="2"/>
  <c r="AF644" i="2"/>
  <c r="V644" i="2"/>
  <c r="AE644" i="2"/>
  <c r="D141" i="5"/>
  <c r="D285" i="4"/>
  <c r="V614" i="2"/>
  <c r="S642" i="2"/>
  <c r="AB641" i="2"/>
  <c r="Z641" i="2"/>
  <c r="Y641" i="2"/>
  <c r="X641" i="2"/>
  <c r="AG641" i="2"/>
  <c r="W641" i="2"/>
  <c r="AF641" i="2"/>
  <c r="V641" i="2"/>
  <c r="AE641" i="2"/>
  <c r="AC641" i="2"/>
  <c r="S641" i="2"/>
  <c r="D170" i="7"/>
  <c r="D189" i="6"/>
  <c r="D361" i="4"/>
  <c r="B171" i="6"/>
  <c r="B330" i="4"/>
  <c r="U631" i="2"/>
  <c r="U260" i="12"/>
  <c r="E559" i="12"/>
  <c r="D116" i="6"/>
  <c r="D220" i="4"/>
  <c r="U248" i="12"/>
  <c r="E366" i="12"/>
  <c r="B115" i="7"/>
  <c r="B131" i="6"/>
  <c r="B244" i="4"/>
  <c r="U631" i="12"/>
  <c r="E341" i="12"/>
  <c r="Z455" i="2"/>
  <c r="U592" i="12"/>
  <c r="E245" i="12"/>
  <c r="D118" i="7"/>
  <c r="D249" i="4"/>
  <c r="Z541" i="2"/>
  <c r="Y475" i="2"/>
  <c r="E577" i="12"/>
  <c r="D120" i="7"/>
  <c r="D253" i="4"/>
  <c r="Z479" i="2"/>
  <c r="W496" i="2"/>
  <c r="AG496" i="2"/>
  <c r="E591" i="12"/>
  <c r="D128" i="6"/>
  <c r="D241" i="4"/>
  <c r="D117" i="5"/>
  <c r="Z569" i="2"/>
  <c r="B130" i="6"/>
  <c r="B118" i="5"/>
  <c r="B243" i="4"/>
  <c r="Y568" i="2"/>
  <c r="X481" i="2"/>
  <c r="U576" i="12"/>
  <c r="W415" i="2"/>
  <c r="AG415" i="2"/>
  <c r="Z527" i="2"/>
  <c r="B125" i="7"/>
  <c r="B141" i="6"/>
  <c r="B263" i="4"/>
  <c r="Y574" i="2"/>
  <c r="X553" i="2"/>
  <c r="U353" i="12"/>
  <c r="W376" i="2"/>
  <c r="AG376" i="2"/>
  <c r="E609" i="12"/>
  <c r="AB538" i="2"/>
  <c r="Z537" i="2"/>
  <c r="Y514" i="2"/>
  <c r="X509" i="2"/>
  <c r="U622" i="12"/>
  <c r="W522" i="2"/>
  <c r="AG522" i="2"/>
  <c r="E635" i="12"/>
  <c r="AB549" i="2"/>
  <c r="Z525" i="2"/>
  <c r="Y507" i="2"/>
  <c r="AQ188" i="2"/>
  <c r="V547" i="2"/>
  <c r="AF547" i="2"/>
  <c r="AK193" i="2"/>
  <c r="Z578" i="2"/>
  <c r="Y418" i="2"/>
  <c r="X436" i="2"/>
  <c r="U525" i="12"/>
  <c r="W591" i="2"/>
  <c r="AG591" i="2"/>
  <c r="V589" i="2"/>
  <c r="AF589" i="2"/>
  <c r="E336" i="12"/>
  <c r="AB567" i="2"/>
  <c r="D131" i="7"/>
  <c r="D150" i="6"/>
  <c r="D284" i="4"/>
  <c r="Z535" i="2"/>
  <c r="Y488" i="2"/>
  <c r="X602" i="2"/>
  <c r="U364" i="12"/>
  <c r="W528" i="2"/>
  <c r="AG528" i="2"/>
  <c r="V515" i="2"/>
  <c r="AF515" i="2"/>
  <c r="W485" i="2"/>
  <c r="U573" i="12"/>
  <c r="Y586" i="2"/>
  <c r="B134" i="7"/>
  <c r="B153" i="6"/>
  <c r="B288" i="4"/>
  <c r="Z581" i="2"/>
  <c r="Z566" i="2"/>
  <c r="AB520" i="2"/>
  <c r="D146" i="6"/>
  <c r="D272" i="4"/>
  <c r="E362" i="12"/>
  <c r="AC571" i="2"/>
  <c r="W524" i="2"/>
  <c r="U643" i="12"/>
  <c r="Y604" i="2"/>
  <c r="D137" i="7"/>
  <c r="D158" i="6"/>
  <c r="D142" i="5"/>
  <c r="D294" i="4"/>
  <c r="AC587" i="2"/>
  <c r="S587" i="2"/>
  <c r="AB587" i="2"/>
  <c r="AC562" i="2"/>
  <c r="E435" i="12"/>
  <c r="V563" i="2"/>
  <c r="U378" i="12"/>
  <c r="Y478" i="2"/>
  <c r="B220" i="8"/>
  <c r="AA493" i="2"/>
  <c r="D148" i="6"/>
  <c r="D134" i="5"/>
  <c r="D275" i="4"/>
  <c r="E280" i="12"/>
  <c r="AC558" i="2"/>
  <c r="E384" i="12"/>
  <c r="V536" i="2"/>
  <c r="U625" i="12"/>
  <c r="Y403" i="2"/>
  <c r="B145" i="7"/>
  <c r="B305" i="4"/>
  <c r="AA626" i="2"/>
  <c r="D146" i="7"/>
  <c r="D306" i="4"/>
  <c r="E407" i="12"/>
  <c r="AC592" i="2"/>
  <c r="B128" i="5"/>
  <c r="B266" i="4"/>
  <c r="AG544" i="2"/>
  <c r="W544" i="2"/>
  <c r="AF544" i="2"/>
  <c r="V544" i="2"/>
  <c r="AC544" i="2"/>
  <c r="X577" i="2"/>
  <c r="B147" i="7"/>
  <c r="B147" i="5"/>
  <c r="B309" i="4"/>
  <c r="AE629" i="2"/>
  <c r="AD629" i="2"/>
  <c r="T629" i="2"/>
  <c r="AC629" i="2"/>
  <c r="Y582" i="2"/>
  <c r="E334" i="12"/>
  <c r="V573" i="2"/>
  <c r="Y623" i="2"/>
  <c r="X623" i="2"/>
  <c r="AG623" i="2"/>
  <c r="W623" i="2"/>
  <c r="AD623" i="2"/>
  <c r="Z594" i="2"/>
  <c r="D157" i="6"/>
  <c r="D292" i="4"/>
  <c r="B150" i="7"/>
  <c r="B316" i="4"/>
  <c r="B153" i="5"/>
  <c r="E376" i="12"/>
  <c r="Y556" i="2"/>
  <c r="AE556" i="2"/>
  <c r="AD556" i="2"/>
  <c r="T556" i="2"/>
  <c r="AC556" i="2"/>
  <c r="S556" i="2"/>
  <c r="U351" i="12"/>
  <c r="AE572" i="2"/>
  <c r="V624" i="2"/>
  <c r="D153" i="7"/>
  <c r="D319" i="4"/>
  <c r="AA613" i="2"/>
  <c r="D161" i="6"/>
  <c r="D301" i="4"/>
  <c r="W551" i="2"/>
  <c r="AN204" i="2"/>
  <c r="U398" i="12"/>
  <c r="AA595" i="2"/>
  <c r="T634" i="2"/>
  <c r="B162" i="6"/>
  <c r="B308" i="4"/>
  <c r="W614" i="2"/>
  <c r="T642" i="2"/>
  <c r="W596" i="2"/>
  <c r="V596" i="2"/>
  <c r="T596" i="2"/>
  <c r="U567" i="12"/>
  <c r="E589" i="12"/>
  <c r="E289" i="12"/>
  <c r="D126" i="6"/>
  <c r="D116" i="5"/>
  <c r="D236" i="4"/>
  <c r="Z475" i="2"/>
  <c r="E299" i="12"/>
  <c r="D106" i="5"/>
  <c r="D221" i="4"/>
  <c r="X496" i="2"/>
  <c r="U621" i="12"/>
  <c r="E311" i="12"/>
  <c r="D129" i="6"/>
  <c r="D242" i="4"/>
  <c r="Z568" i="2"/>
  <c r="Y481" i="2"/>
  <c r="X415" i="2"/>
  <c r="U520" i="12"/>
  <c r="Z574" i="2"/>
  <c r="B126" i="7"/>
  <c r="B142" i="6"/>
  <c r="B265" i="4"/>
  <c r="Y553" i="2"/>
  <c r="X376" i="2"/>
  <c r="U655" i="12"/>
  <c r="S538" i="2"/>
  <c r="AC538" i="2"/>
  <c r="E527" i="12"/>
  <c r="Z514" i="2"/>
  <c r="Y509" i="2"/>
  <c r="X522" i="2"/>
  <c r="U639" i="12"/>
  <c r="S549" i="2"/>
  <c r="AC549" i="2"/>
  <c r="E597" i="12"/>
  <c r="Z507" i="2"/>
  <c r="W547" i="2"/>
  <c r="AG547" i="2"/>
  <c r="D128" i="7"/>
  <c r="D278" i="4"/>
  <c r="Z418" i="2"/>
  <c r="Y436" i="2"/>
  <c r="X591" i="2"/>
  <c r="U422" i="12"/>
  <c r="W589" i="2"/>
  <c r="AG589" i="2"/>
  <c r="S567" i="2"/>
  <c r="AC567" i="2"/>
  <c r="E335" i="12"/>
  <c r="D139" i="6"/>
  <c r="D261" i="4"/>
  <c r="Z488" i="2"/>
  <c r="B140" i="6"/>
  <c r="B126" i="5"/>
  <c r="B262" i="4"/>
  <c r="Y602" i="2"/>
  <c r="X528" i="2"/>
  <c r="U651" i="12"/>
  <c r="W515" i="2"/>
  <c r="AG515" i="2"/>
  <c r="X485" i="2"/>
  <c r="Z586" i="2"/>
  <c r="D135" i="7"/>
  <c r="D155" i="6"/>
  <c r="D290" i="4"/>
  <c r="AA566" i="2"/>
  <c r="E608" i="12"/>
  <c r="S571" i="2"/>
  <c r="AD571" i="2"/>
  <c r="X524" i="2"/>
  <c r="Z604" i="2"/>
  <c r="AD539" i="2"/>
  <c r="T539" i="2"/>
  <c r="AB539" i="2"/>
  <c r="E433" i="12"/>
  <c r="S562" i="2"/>
  <c r="AD562" i="2"/>
  <c r="X563" i="2"/>
  <c r="AB493" i="2"/>
  <c r="S558" i="2"/>
  <c r="AE558" i="2"/>
  <c r="X536" i="2"/>
  <c r="AB626" i="2"/>
  <c r="S592" i="2"/>
  <c r="AE592" i="2"/>
  <c r="E320" i="12"/>
  <c r="Y577" i="2"/>
  <c r="E429" i="12"/>
  <c r="B270" i="4"/>
  <c r="B131" i="5"/>
  <c r="W573" i="2"/>
  <c r="E474" i="12"/>
  <c r="AE623" i="2"/>
  <c r="S618" i="2"/>
  <c r="E351" i="12"/>
  <c r="B133" i="5"/>
  <c r="B274" i="4"/>
  <c r="AC560" i="2"/>
  <c r="S560" i="2"/>
  <c r="Y560" i="2"/>
  <c r="X560" i="2"/>
  <c r="AG560" i="2"/>
  <c r="W560" i="2"/>
  <c r="AF560" i="2"/>
  <c r="AC613" i="2"/>
  <c r="X551" i="2"/>
  <c r="AO204" i="2"/>
  <c r="V597" i="2"/>
  <c r="D157" i="7"/>
  <c r="D161" i="5"/>
  <c r="D172" i="6"/>
  <c r="D332" i="4"/>
  <c r="S644" i="2"/>
  <c r="U414" i="12"/>
  <c r="Z564" i="2"/>
  <c r="AF564" i="2"/>
  <c r="V564" i="2"/>
  <c r="AE564" i="2"/>
  <c r="AD564" i="2"/>
  <c r="T564" i="2"/>
  <c r="U564" i="2" s="1"/>
  <c r="U346" i="12"/>
  <c r="AA614" i="2"/>
  <c r="AB630" i="2"/>
  <c r="Z630" i="2"/>
  <c r="Y630" i="2"/>
  <c r="X630" i="2"/>
  <c r="AG630" i="2"/>
  <c r="W630" i="2"/>
  <c r="AF630" i="2"/>
  <c r="V630" i="2"/>
  <c r="AC630" i="2"/>
  <c r="S630" i="2"/>
  <c r="B175" i="7"/>
  <c r="B185" i="5"/>
  <c r="B207" i="6"/>
  <c r="B385" i="4"/>
  <c r="E300" i="12"/>
  <c r="U535" i="12"/>
  <c r="E254" i="12"/>
  <c r="W662" i="12"/>
  <c r="Y496" i="2"/>
  <c r="U337" i="12"/>
  <c r="E380" i="12"/>
  <c r="D130" i="6"/>
  <c r="D118" i="5"/>
  <c r="D243" i="4"/>
  <c r="Z481" i="2"/>
  <c r="Y415" i="2"/>
  <c r="U304" i="12"/>
  <c r="E620" i="12"/>
  <c r="D141" i="6"/>
  <c r="D125" i="7"/>
  <c r="D263" i="4"/>
  <c r="Z553" i="2"/>
  <c r="B113" i="5"/>
  <c r="B232" i="4"/>
  <c r="Y376" i="2"/>
  <c r="U616" i="12"/>
  <c r="T538" i="2"/>
  <c r="AD538" i="2"/>
  <c r="S429" i="2"/>
  <c r="AC429" i="2"/>
  <c r="E614" i="12"/>
  <c r="Z509" i="2"/>
  <c r="Y522" i="2"/>
  <c r="U550" i="12"/>
  <c r="T549" i="2"/>
  <c r="AD549" i="2"/>
  <c r="S499" i="2"/>
  <c r="AC499" i="2"/>
  <c r="E626" i="12"/>
  <c r="X547" i="2"/>
  <c r="U650" i="12"/>
  <c r="AM193" i="2"/>
  <c r="E329" i="12"/>
  <c r="AA418" i="2"/>
  <c r="Z436" i="2"/>
  <c r="B129" i="7"/>
  <c r="B281" i="4"/>
  <c r="B139" i="5"/>
  <c r="Y591" i="2"/>
  <c r="X589" i="2"/>
  <c r="U453" i="12"/>
  <c r="T567" i="2"/>
  <c r="AD567" i="2"/>
  <c r="S579" i="2"/>
  <c r="AC579" i="2"/>
  <c r="E287" i="12"/>
  <c r="AA488" i="2"/>
  <c r="Z602" i="2"/>
  <c r="Y528" i="2"/>
  <c r="X515" i="2"/>
  <c r="U613" i="12"/>
  <c r="U282" i="12"/>
  <c r="Y485" i="2"/>
  <c r="B133" i="7"/>
  <c r="B152" i="6"/>
  <c r="B287" i="4"/>
  <c r="D134" i="7"/>
  <c r="D153" i="6"/>
  <c r="D288" i="4"/>
  <c r="AC581" i="2"/>
  <c r="S581" i="2"/>
  <c r="AB581" i="2"/>
  <c r="E587" i="12"/>
  <c r="T571" i="2"/>
  <c r="AE571" i="2"/>
  <c r="U395" i="12"/>
  <c r="Y524" i="2"/>
  <c r="B136" i="7"/>
  <c r="B293" i="4"/>
  <c r="AA604" i="2"/>
  <c r="E652" i="12"/>
  <c r="T587" i="2"/>
  <c r="AE587" i="2"/>
  <c r="T562" i="2"/>
  <c r="AE562" i="2"/>
  <c r="Y563" i="2"/>
  <c r="E618" i="12"/>
  <c r="AF558" i="2"/>
  <c r="Y536" i="2"/>
  <c r="B144" i="7"/>
  <c r="B304" i="4"/>
  <c r="D145" i="7"/>
  <c r="D305" i="4"/>
  <c r="E377" i="12"/>
  <c r="AF592" i="2"/>
  <c r="D128" i="5"/>
  <c r="D266" i="4"/>
  <c r="S544" i="2"/>
  <c r="AE544" i="2"/>
  <c r="Z577" i="2"/>
  <c r="D147" i="7"/>
  <c r="D309" i="4"/>
  <c r="D147" i="5"/>
  <c r="S629" i="2"/>
  <c r="AA573" i="2"/>
  <c r="D149" i="7"/>
  <c r="D313" i="4"/>
  <c r="S623" i="2"/>
  <c r="D150" i="7"/>
  <c r="D153" i="5"/>
  <c r="D316" i="4"/>
  <c r="W618" i="2"/>
  <c r="V556" i="2"/>
  <c r="X572" i="2"/>
  <c r="AD572" i="2"/>
  <c r="T572" i="2"/>
  <c r="AC572" i="2"/>
  <c r="S572" i="2"/>
  <c r="AB572" i="2"/>
  <c r="AG572" i="2"/>
  <c r="E644" i="12"/>
  <c r="Z551" i="2"/>
  <c r="AP204" i="2"/>
  <c r="E379" i="12"/>
  <c r="Z597" i="2"/>
  <c r="B158" i="7"/>
  <c r="B162" i="5"/>
  <c r="B333" i="4"/>
  <c r="E414" i="12"/>
  <c r="E346" i="12"/>
  <c r="W716" i="12"/>
  <c r="AN216" i="2"/>
  <c r="AM216" i="2"/>
  <c r="U345" i="12"/>
  <c r="AC614" i="2"/>
  <c r="B166" i="7"/>
  <c r="B182" i="6"/>
  <c r="B348" i="4"/>
  <c r="Y633" i="2"/>
  <c r="X633" i="2"/>
  <c r="AG633" i="2"/>
  <c r="W633" i="2"/>
  <c r="AF633" i="2"/>
  <c r="V633" i="2"/>
  <c r="AE633" i="2"/>
  <c r="AD633" i="2"/>
  <c r="T633" i="2"/>
  <c r="AC633" i="2"/>
  <c r="S633" i="2"/>
  <c r="AB633" i="2"/>
  <c r="Z633" i="2"/>
  <c r="U523" i="12"/>
  <c r="E293" i="12"/>
  <c r="AA481" i="2"/>
  <c r="B137" i="6"/>
  <c r="B124" i="7"/>
  <c r="B259" i="4"/>
  <c r="U313" i="12"/>
  <c r="E363" i="12"/>
  <c r="D126" i="7"/>
  <c r="D142" i="6"/>
  <c r="D265" i="4"/>
  <c r="AA553" i="2"/>
  <c r="U387" i="12"/>
  <c r="AE538" i="2"/>
  <c r="T429" i="2"/>
  <c r="E585" i="12"/>
  <c r="AA509" i="2"/>
  <c r="U627" i="12"/>
  <c r="AE549" i="2"/>
  <c r="T499" i="2"/>
  <c r="E615" i="12"/>
  <c r="W676" i="12"/>
  <c r="Y547" i="2"/>
  <c r="AN193" i="2"/>
  <c r="E517" i="12"/>
  <c r="AA436" i="2"/>
  <c r="B130" i="7"/>
  <c r="B282" i="4"/>
  <c r="Y589" i="2"/>
  <c r="AE567" i="2"/>
  <c r="T579" i="2"/>
  <c r="E600" i="12"/>
  <c r="D140" i="6"/>
  <c r="D126" i="5"/>
  <c r="D262" i="4"/>
  <c r="AA602" i="2"/>
  <c r="Y515" i="2"/>
  <c r="U365" i="12"/>
  <c r="Z485" i="2"/>
  <c r="AD586" i="2"/>
  <c r="T586" i="2"/>
  <c r="AB586" i="2"/>
  <c r="E350" i="12"/>
  <c r="AF571" i="2"/>
  <c r="Z524" i="2"/>
  <c r="AB604" i="2"/>
  <c r="AF562" i="2"/>
  <c r="U370" i="12"/>
  <c r="Z563" i="2"/>
  <c r="AF478" i="2"/>
  <c r="V478" i="2"/>
  <c r="AB478" i="2"/>
  <c r="U493" i="2"/>
  <c r="V558" i="2"/>
  <c r="AG558" i="2"/>
  <c r="U401" i="12"/>
  <c r="Z536" i="2"/>
  <c r="AF403" i="2"/>
  <c r="V403" i="2"/>
  <c r="AB403" i="2"/>
  <c r="V592" i="2"/>
  <c r="AG592" i="2"/>
  <c r="U637" i="12"/>
  <c r="U303" i="12"/>
  <c r="B127" i="5"/>
  <c r="B264" i="4"/>
  <c r="U320" i="12"/>
  <c r="AA577" i="2"/>
  <c r="V629" i="2"/>
  <c r="U429" i="12"/>
  <c r="D131" i="5"/>
  <c r="D270" i="4"/>
  <c r="AC582" i="2"/>
  <c r="S582" i="2"/>
  <c r="AB582" i="2"/>
  <c r="AD582" i="2"/>
  <c r="U559" i="2"/>
  <c r="AB573" i="2"/>
  <c r="X618" i="2"/>
  <c r="D151" i="7"/>
  <c r="D317" i="4"/>
  <c r="W556" i="2"/>
  <c r="D133" i="5"/>
  <c r="D274" i="4"/>
  <c r="B159" i="6"/>
  <c r="B297" i="4"/>
  <c r="AB613" i="2"/>
  <c r="X613" i="2"/>
  <c r="AG613" i="2"/>
  <c r="W613" i="2"/>
  <c r="AF613" i="2"/>
  <c r="V613" i="2"/>
  <c r="AE613" i="2"/>
  <c r="AA551" i="2"/>
  <c r="U601" i="2"/>
  <c r="AA597" i="2"/>
  <c r="U605" i="2"/>
  <c r="B159" i="7"/>
  <c r="B335" i="4"/>
  <c r="AK216" i="2"/>
  <c r="U606" i="2"/>
  <c r="E466" i="12"/>
  <c r="AF614" i="2"/>
  <c r="Y600" i="2"/>
  <c r="AG600" i="2"/>
  <c r="W600" i="2"/>
  <c r="AF600" i="2"/>
  <c r="V600" i="2"/>
  <c r="AE600" i="2"/>
  <c r="AD600" i="2"/>
  <c r="T600" i="2"/>
  <c r="AC600" i="2"/>
  <c r="S600" i="2"/>
  <c r="AB600" i="2"/>
  <c r="Z600" i="2"/>
  <c r="D169" i="7"/>
  <c r="D358" i="4"/>
  <c r="U603" i="2"/>
  <c r="X619" i="2"/>
  <c r="D156" i="5"/>
  <c r="D324" i="4"/>
  <c r="AG659" i="2"/>
  <c r="W659" i="2"/>
  <c r="Z659" i="2"/>
  <c r="Y659" i="2"/>
  <c r="X659" i="2"/>
  <c r="V659" i="2"/>
  <c r="AF659" i="2"/>
  <c r="AE659" i="2"/>
  <c r="T659" i="2"/>
  <c r="AD659" i="2"/>
  <c r="S659" i="2"/>
  <c r="AC659" i="2"/>
  <c r="AA659" i="2"/>
  <c r="B119" i="7"/>
  <c r="B251" i="4"/>
  <c r="U601" i="12"/>
  <c r="B122" i="7"/>
  <c r="B134" i="6"/>
  <c r="B256" i="4"/>
  <c r="U568" i="12"/>
  <c r="E576" i="12"/>
  <c r="B132" i="6"/>
  <c r="B119" i="5"/>
  <c r="B245" i="4"/>
  <c r="E353" i="12"/>
  <c r="D113" i="5"/>
  <c r="D232" i="4"/>
  <c r="U286" i="12"/>
  <c r="V538" i="2"/>
  <c r="E622" i="12"/>
  <c r="U629" i="12"/>
  <c r="V549" i="2"/>
  <c r="AK188" i="2"/>
  <c r="AO193" i="2"/>
  <c r="S418" i="2"/>
  <c r="E525" i="12"/>
  <c r="D129" i="7"/>
  <c r="D139" i="5"/>
  <c r="D281" i="4"/>
  <c r="V567" i="2"/>
  <c r="S488" i="2"/>
  <c r="E364" i="12"/>
  <c r="B143" i="6"/>
  <c r="B267" i="4"/>
  <c r="U342" i="12"/>
  <c r="U354" i="12"/>
  <c r="B211" i="8"/>
  <c r="AA485" i="2"/>
  <c r="D133" i="7"/>
  <c r="D152" i="6"/>
  <c r="D287" i="4"/>
  <c r="E348" i="12"/>
  <c r="AC586" i="2"/>
  <c r="T581" i="2"/>
  <c r="AE581" i="2"/>
  <c r="U520" i="2"/>
  <c r="V571" i="2"/>
  <c r="AG571" i="2"/>
  <c r="AA524" i="2"/>
  <c r="D136" i="7"/>
  <c r="D293" i="4"/>
  <c r="E456" i="12"/>
  <c r="AC604" i="2"/>
  <c r="V562" i="2"/>
  <c r="AG562" i="2"/>
  <c r="U610" i="12"/>
  <c r="B139" i="7"/>
  <c r="B296" i="4"/>
  <c r="B143" i="5"/>
  <c r="B147" i="6"/>
  <c r="B132" i="5"/>
  <c r="B273" i="4"/>
  <c r="AA563" i="2"/>
  <c r="E563" i="12"/>
  <c r="AC478" i="2"/>
  <c r="W558" i="2"/>
  <c r="U280" i="12"/>
  <c r="U419" i="12"/>
  <c r="B143" i="7"/>
  <c r="B303" i="4"/>
  <c r="AA536" i="2"/>
  <c r="D144" i="7"/>
  <c r="D304" i="4"/>
  <c r="E225" i="12"/>
  <c r="AC403" i="2"/>
  <c r="T626" i="2"/>
  <c r="U626" i="2" s="1"/>
  <c r="AF626" i="2"/>
  <c r="W592" i="2"/>
  <c r="U407" i="12"/>
  <c r="X425" i="2"/>
  <c r="AG425" i="2"/>
  <c r="W425" i="2"/>
  <c r="AC425" i="2"/>
  <c r="AB577" i="2"/>
  <c r="AE582" i="2"/>
  <c r="U334" i="12"/>
  <c r="AC573" i="2"/>
  <c r="B156" i="6"/>
  <c r="B291" i="4"/>
  <c r="X594" i="2"/>
  <c r="AG594" i="2"/>
  <c r="W594" i="2"/>
  <c r="AF594" i="2"/>
  <c r="V594" i="2"/>
  <c r="AD594" i="2"/>
  <c r="Y618" i="2"/>
  <c r="U603" i="12"/>
  <c r="W667" i="2"/>
  <c r="AE667" i="2"/>
  <c r="AB551" i="2"/>
  <c r="U379" i="12"/>
  <c r="AD595" i="2"/>
  <c r="T595" i="2"/>
  <c r="Z595" i="2"/>
  <c r="Y595" i="2"/>
  <c r="X595" i="2"/>
  <c r="AF595" i="2"/>
  <c r="AB597" i="2"/>
  <c r="Y644" i="2"/>
  <c r="D159" i="7"/>
  <c r="D335" i="4"/>
  <c r="AO216" i="2"/>
  <c r="AG614" i="2"/>
  <c r="D162" i="7"/>
  <c r="D179" i="6"/>
  <c r="D343" i="4"/>
  <c r="AC642" i="2"/>
  <c r="E416" i="12"/>
  <c r="Y608" i="2"/>
  <c r="X608" i="2"/>
  <c r="AG608" i="2"/>
  <c r="W608" i="2"/>
  <c r="AF608" i="2"/>
  <c r="V608" i="2"/>
  <c r="AE608" i="2"/>
  <c r="AD608" i="2"/>
  <c r="T608" i="2"/>
  <c r="AC608" i="2"/>
  <c r="S608" i="2"/>
  <c r="AB608" i="2"/>
  <c r="Z608" i="2"/>
  <c r="AA633" i="2"/>
  <c r="E483" i="12"/>
  <c r="X634" i="2"/>
  <c r="U482" i="12"/>
  <c r="W606" i="2"/>
  <c r="T561" i="2"/>
  <c r="AD561" i="2"/>
  <c r="E454" i="12"/>
  <c r="D163" i="6"/>
  <c r="D148" i="5"/>
  <c r="D310" i="4"/>
  <c r="AA650" i="2"/>
  <c r="B165" i="7"/>
  <c r="B347" i="4"/>
  <c r="Y637" i="2"/>
  <c r="X665" i="2"/>
  <c r="U542" i="12"/>
  <c r="W657" i="2"/>
  <c r="AE643" i="2"/>
  <c r="T666" i="2"/>
  <c r="AD666" i="2"/>
  <c r="E452" i="12"/>
  <c r="D302" i="4"/>
  <c r="D145" i="5"/>
  <c r="AA638" i="2"/>
  <c r="B170" i="6"/>
  <c r="B159" i="5"/>
  <c r="B328" i="4"/>
  <c r="Y617" i="2"/>
  <c r="X576" i="2"/>
  <c r="U347" i="12"/>
  <c r="W628" i="2"/>
  <c r="AE661" i="2"/>
  <c r="T636" i="2"/>
  <c r="AD636" i="2"/>
  <c r="S647" i="2"/>
  <c r="AC647" i="2"/>
  <c r="E360" i="12"/>
  <c r="D178" i="6"/>
  <c r="D341" i="4"/>
  <c r="AA670" i="2"/>
  <c r="B180" i="6"/>
  <c r="B167" i="5"/>
  <c r="B345" i="4"/>
  <c r="Y619" i="2"/>
  <c r="X656" i="2"/>
  <c r="U498" i="12"/>
  <c r="AE646" i="2"/>
  <c r="T681" i="2"/>
  <c r="AD681" i="2"/>
  <c r="S649" i="2"/>
  <c r="AC649" i="2"/>
  <c r="E451" i="12"/>
  <c r="D155" i="5"/>
  <c r="D322" i="4"/>
  <c r="AA651" i="2"/>
  <c r="U495" i="12"/>
  <c r="X639" i="2"/>
  <c r="B158" i="5"/>
  <c r="B327" i="4"/>
  <c r="B160" i="5"/>
  <c r="B329" i="4"/>
  <c r="D173" i="7"/>
  <c r="D181" i="5"/>
  <c r="D380" i="4"/>
  <c r="E472" i="12"/>
  <c r="T621" i="2"/>
  <c r="AF621" i="2"/>
  <c r="V620" i="2"/>
  <c r="U424" i="12"/>
  <c r="D166" i="5"/>
  <c r="D342" i="4"/>
  <c r="E547" i="12"/>
  <c r="AE673" i="2"/>
  <c r="U596" i="12"/>
  <c r="AG699" i="2"/>
  <c r="W699" i="2"/>
  <c r="AD699" i="2"/>
  <c r="T699" i="2"/>
  <c r="U699" i="2" s="1"/>
  <c r="AB699" i="2"/>
  <c r="Z699" i="2"/>
  <c r="AF699" i="2"/>
  <c r="T663" i="2"/>
  <c r="AP236" i="2"/>
  <c r="X692" i="2"/>
  <c r="X710" i="2"/>
  <c r="W710" i="2"/>
  <c r="V710" i="2"/>
  <c r="AE710" i="2"/>
  <c r="T710" i="2"/>
  <c r="AC710" i="2"/>
  <c r="S710" i="2"/>
  <c r="D176" i="5"/>
  <c r="D367" i="4"/>
  <c r="AR262" i="2"/>
  <c r="AQ262" i="2"/>
  <c r="AR341" i="2"/>
  <c r="B49" i="9"/>
  <c r="W711" i="12"/>
  <c r="AN226" i="2"/>
  <c r="AK226" i="2"/>
  <c r="B178" i="7"/>
  <c r="B392" i="4"/>
  <c r="U583" i="12"/>
  <c r="E548" i="12"/>
  <c r="Y706" i="2"/>
  <c r="X706" i="2"/>
  <c r="AG706" i="2"/>
  <c r="W706" i="2"/>
  <c r="AF706" i="2"/>
  <c r="V706" i="2"/>
  <c r="AE706" i="2"/>
  <c r="AD706" i="2"/>
  <c r="T706" i="2"/>
  <c r="AB706" i="2"/>
  <c r="Z706" i="2"/>
  <c r="D165" i="7"/>
  <c r="D347" i="4"/>
  <c r="AA637" i="2"/>
  <c r="B165" i="6"/>
  <c r="B151" i="5"/>
  <c r="B314" i="4"/>
  <c r="U307" i="12"/>
  <c r="V666" i="2"/>
  <c r="AF666" i="2"/>
  <c r="T655" i="2"/>
  <c r="E355" i="12"/>
  <c r="D170" i="6"/>
  <c r="D159" i="5"/>
  <c r="D328" i="4"/>
  <c r="AA617" i="2"/>
  <c r="B173" i="6"/>
  <c r="B163" i="5"/>
  <c r="B334" i="4"/>
  <c r="U469" i="12"/>
  <c r="E399" i="12"/>
  <c r="D180" i="6"/>
  <c r="D167" i="5"/>
  <c r="D345" i="4"/>
  <c r="AA619" i="2"/>
  <c r="B184" i="6"/>
  <c r="B350" i="4"/>
  <c r="U549" i="12"/>
  <c r="E437" i="12"/>
  <c r="W722" i="12"/>
  <c r="B188" i="6"/>
  <c r="B360" i="4"/>
  <c r="D327" i="4"/>
  <c r="D158" i="5"/>
  <c r="X645" i="2"/>
  <c r="AB645" i="2"/>
  <c r="D160" i="5"/>
  <c r="D329" i="4"/>
  <c r="E438" i="12"/>
  <c r="U417" i="12"/>
  <c r="AC615" i="2"/>
  <c r="S615" i="2"/>
  <c r="Y615" i="2"/>
  <c r="AD615" i="2"/>
  <c r="X652" i="2"/>
  <c r="AD652" i="2"/>
  <c r="T652" i="2"/>
  <c r="AC652" i="2"/>
  <c r="U547" i="12"/>
  <c r="X596" i="2"/>
  <c r="D178" i="7"/>
  <c r="D392" i="4"/>
  <c r="V689" i="2"/>
  <c r="AC689" i="2"/>
  <c r="S689" i="2"/>
  <c r="E594" i="12"/>
  <c r="D215" i="6"/>
  <c r="D397" i="4"/>
  <c r="AR247" i="2"/>
  <c r="AQ247" i="2"/>
  <c r="B154" i="6"/>
  <c r="B289" i="4"/>
  <c r="U653" i="12"/>
  <c r="E325" i="12"/>
  <c r="D152" i="7"/>
  <c r="D167" i="6"/>
  <c r="D318" i="4"/>
  <c r="AA624" i="2"/>
  <c r="B135" i="5"/>
  <c r="B276" i="4"/>
  <c r="U411" i="12"/>
  <c r="B156" i="7"/>
  <c r="B331" i="4"/>
  <c r="U333" i="12"/>
  <c r="D160" i="7"/>
  <c r="D174" i="6"/>
  <c r="D336" i="4"/>
  <c r="AA634" i="2"/>
  <c r="B161" i="7"/>
  <c r="B339" i="4"/>
  <c r="U386" i="12"/>
  <c r="W561" i="2"/>
  <c r="AG561" i="2"/>
  <c r="E489" i="12"/>
  <c r="AB637" i="2"/>
  <c r="D166" i="7"/>
  <c r="D182" i="6"/>
  <c r="D348" i="4"/>
  <c r="AA665" i="2"/>
  <c r="B166" i="6"/>
  <c r="B152" i="5"/>
  <c r="B315" i="4"/>
  <c r="U425" i="12"/>
  <c r="W666" i="2"/>
  <c r="AG666" i="2"/>
  <c r="AE655" i="2"/>
  <c r="E367" i="12"/>
  <c r="AB617" i="2"/>
  <c r="D171" i="6"/>
  <c r="D330" i="4"/>
  <c r="AA576" i="2"/>
  <c r="B146" i="5"/>
  <c r="B307" i="4"/>
  <c r="X661" i="2"/>
  <c r="U497" i="12"/>
  <c r="W636" i="2"/>
  <c r="AG636" i="2"/>
  <c r="V647" i="2"/>
  <c r="AF647" i="2"/>
  <c r="AE603" i="2"/>
  <c r="T670" i="2"/>
  <c r="U670" i="2" s="1"/>
  <c r="AD670" i="2"/>
  <c r="E391" i="12"/>
  <c r="AB619" i="2"/>
  <c r="D183" i="6"/>
  <c r="D349" i="4"/>
  <c r="AA656" i="2"/>
  <c r="B172" i="7"/>
  <c r="B201" i="6"/>
  <c r="B375" i="4"/>
  <c r="X646" i="2"/>
  <c r="U446" i="12"/>
  <c r="W681" i="2"/>
  <c r="AG681" i="2"/>
  <c r="V649" i="2"/>
  <c r="AF649" i="2"/>
  <c r="AE631" i="2"/>
  <c r="T651" i="2"/>
  <c r="AD651" i="2"/>
  <c r="AK218" i="2"/>
  <c r="AB639" i="2"/>
  <c r="E406" i="12"/>
  <c r="AC645" i="2"/>
  <c r="AG668" i="2"/>
  <c r="X621" i="2"/>
  <c r="D192" i="6"/>
  <c r="D174" i="5"/>
  <c r="D364" i="4"/>
  <c r="E369" i="12"/>
  <c r="AE615" i="2"/>
  <c r="AG688" i="2"/>
  <c r="AQ229" i="2"/>
  <c r="Z620" i="2"/>
  <c r="D175" i="7"/>
  <c r="D207" i="6"/>
  <c r="D185" i="5"/>
  <c r="D385" i="4"/>
  <c r="E516" i="12"/>
  <c r="AE652" i="2"/>
  <c r="V673" i="2"/>
  <c r="E373" i="12"/>
  <c r="AM226" i="2"/>
  <c r="AA609" i="2"/>
  <c r="AE689" i="2"/>
  <c r="Y663" i="2"/>
  <c r="AD692" i="2"/>
  <c r="D179" i="7"/>
  <c r="D401" i="4"/>
  <c r="S706" i="2"/>
  <c r="AL312" i="2"/>
  <c r="AR320" i="2"/>
  <c r="AQ320" i="2"/>
  <c r="U641" i="12"/>
  <c r="E352" i="12"/>
  <c r="Z559" i="2"/>
  <c r="U474" i="12"/>
  <c r="E443" i="12"/>
  <c r="AB624" i="2"/>
  <c r="Z530" i="2"/>
  <c r="B153" i="7"/>
  <c r="B319" i="4"/>
  <c r="U644" i="12"/>
  <c r="V667" i="2"/>
  <c r="AF667" i="2"/>
  <c r="D136" i="5"/>
  <c r="D277" i="4"/>
  <c r="Z601" i="2"/>
  <c r="B137" i="5"/>
  <c r="B279" i="4"/>
  <c r="U400" i="12"/>
  <c r="V605" i="2"/>
  <c r="AF605" i="2"/>
  <c r="E482" i="12"/>
  <c r="AB634" i="2"/>
  <c r="D162" i="6"/>
  <c r="D308" i="4"/>
  <c r="AA606" i="2"/>
  <c r="B141" i="5"/>
  <c r="B285" i="4"/>
  <c r="X561" i="2"/>
  <c r="U649" i="12"/>
  <c r="V642" i="2"/>
  <c r="AF642" i="2"/>
  <c r="AE650" i="2"/>
  <c r="S637" i="2"/>
  <c r="AC637" i="2"/>
  <c r="E542" i="12"/>
  <c r="AB665" i="2"/>
  <c r="D151" i="5"/>
  <c r="D165" i="6"/>
  <c r="D314" i="4"/>
  <c r="AA657" i="2"/>
  <c r="B167" i="7"/>
  <c r="B170" i="5"/>
  <c r="B353" i="4"/>
  <c r="Y643" i="2"/>
  <c r="X666" i="2"/>
  <c r="U459" i="12"/>
  <c r="V655" i="2"/>
  <c r="AF655" i="2"/>
  <c r="U638" i="2"/>
  <c r="AE638" i="2"/>
  <c r="S617" i="2"/>
  <c r="AC617" i="2"/>
  <c r="E347" i="12"/>
  <c r="AB576" i="2"/>
  <c r="D173" i="6"/>
  <c r="D163" i="5"/>
  <c r="D334" i="4"/>
  <c r="AA628" i="2"/>
  <c r="B171" i="7"/>
  <c r="B194" i="6"/>
  <c r="B366" i="4"/>
  <c r="Y661" i="2"/>
  <c r="X636" i="2"/>
  <c r="U432" i="12"/>
  <c r="W647" i="2"/>
  <c r="AG647" i="2"/>
  <c r="V603" i="2"/>
  <c r="AF603" i="2"/>
  <c r="AE670" i="2"/>
  <c r="S619" i="2"/>
  <c r="AC619" i="2"/>
  <c r="E498" i="12"/>
  <c r="AB656" i="2"/>
  <c r="D184" i="6"/>
  <c r="D350" i="4"/>
  <c r="AA674" i="2"/>
  <c r="B154" i="5"/>
  <c r="B320" i="4"/>
  <c r="Y646" i="2"/>
  <c r="X681" i="2"/>
  <c r="U506" i="12"/>
  <c r="W649" i="2"/>
  <c r="AG649" i="2"/>
  <c r="V631" i="2"/>
  <c r="AF631" i="2"/>
  <c r="AE651" i="2"/>
  <c r="D188" i="6"/>
  <c r="D360" i="4"/>
  <c r="AB682" i="2"/>
  <c r="D157" i="5"/>
  <c r="D326" i="4"/>
  <c r="E410" i="12"/>
  <c r="AC639" i="2"/>
  <c r="S645" i="2"/>
  <c r="AD645" i="2"/>
  <c r="W668" i="2"/>
  <c r="U472" i="12"/>
  <c r="Y621" i="2"/>
  <c r="B191" i="6"/>
  <c r="B173" i="5"/>
  <c r="B363" i="4"/>
  <c r="T615" i="2"/>
  <c r="AF615" i="2"/>
  <c r="V688" i="2"/>
  <c r="AA620" i="2"/>
  <c r="S652" i="2"/>
  <c r="AF652" i="2"/>
  <c r="X673" i="2"/>
  <c r="B195" i="6"/>
  <c r="B368" i="4"/>
  <c r="AG683" i="2"/>
  <c r="W683" i="2"/>
  <c r="AD683" i="2"/>
  <c r="T683" i="2"/>
  <c r="U683" i="2" s="1"/>
  <c r="AB683" i="2"/>
  <c r="Z683" i="2"/>
  <c r="AF683" i="2"/>
  <c r="AO226" i="2"/>
  <c r="AB609" i="2"/>
  <c r="Z635" i="2"/>
  <c r="AG635" i="2"/>
  <c r="W635" i="2"/>
  <c r="AE635" i="2"/>
  <c r="AC635" i="2"/>
  <c r="S635" i="2"/>
  <c r="U430" i="12"/>
  <c r="V699" i="2"/>
  <c r="E551" i="12"/>
  <c r="AA663" i="2"/>
  <c r="Y672" i="2"/>
  <c r="X672" i="2"/>
  <c r="AG672" i="2"/>
  <c r="W672" i="2"/>
  <c r="AF672" i="2"/>
  <c r="V672" i="2"/>
  <c r="AE672" i="2"/>
  <c r="AD672" i="2"/>
  <c r="T672" i="2"/>
  <c r="U672" i="2" s="1"/>
  <c r="AB672" i="2"/>
  <c r="Z672" i="2"/>
  <c r="AA706" i="2"/>
  <c r="E552" i="12"/>
  <c r="E358" i="12"/>
  <c r="B146" i="6"/>
  <c r="B272" i="4"/>
  <c r="U645" i="12"/>
  <c r="E654" i="12"/>
  <c r="D138" i="7"/>
  <c r="D295" i="4"/>
  <c r="B123" i="5"/>
  <c r="B252" i="4"/>
  <c r="U393" i="12"/>
  <c r="D140" i="7"/>
  <c r="D160" i="6"/>
  <c r="D298" i="4"/>
  <c r="B142" i="7"/>
  <c r="B144" i="5"/>
  <c r="B300" i="4"/>
  <c r="U390" i="12"/>
  <c r="E303" i="12"/>
  <c r="W695" i="12"/>
  <c r="U258" i="12"/>
  <c r="E599" i="12"/>
  <c r="D154" i="6"/>
  <c r="D289" i="4"/>
  <c r="B149" i="7"/>
  <c r="B313" i="4"/>
  <c r="U331" i="12"/>
  <c r="S624" i="2"/>
  <c r="AC624" i="2"/>
  <c r="E603" i="12"/>
  <c r="D135" i="5"/>
  <c r="D276" i="4"/>
  <c r="AA530" i="2"/>
  <c r="U426" i="12"/>
  <c r="E398" i="12"/>
  <c r="D156" i="7"/>
  <c r="D331" i="4"/>
  <c r="AA601" i="2"/>
  <c r="B138" i="5"/>
  <c r="B280" i="4"/>
  <c r="U467" i="12"/>
  <c r="W605" i="2"/>
  <c r="AG605" i="2"/>
  <c r="S634" i="2"/>
  <c r="AC634" i="2"/>
  <c r="E345" i="12"/>
  <c r="D161" i="7"/>
  <c r="D339" i="4"/>
  <c r="Y561" i="2"/>
  <c r="U462" i="12"/>
  <c r="W642" i="2"/>
  <c r="AG642" i="2"/>
  <c r="V650" i="2"/>
  <c r="AF650" i="2"/>
  <c r="T637" i="2"/>
  <c r="AD637" i="2"/>
  <c r="S665" i="2"/>
  <c r="AC665" i="2"/>
  <c r="E431" i="12"/>
  <c r="D166" i="6"/>
  <c r="D152" i="5"/>
  <c r="D315" i="4"/>
  <c r="Z643" i="2"/>
  <c r="B168" i="7"/>
  <c r="B355" i="4"/>
  <c r="Y666" i="2"/>
  <c r="U470" i="12"/>
  <c r="W655" i="2"/>
  <c r="AG655" i="2"/>
  <c r="V638" i="2"/>
  <c r="AF638" i="2"/>
  <c r="T617" i="2"/>
  <c r="AD617" i="2"/>
  <c r="S576" i="2"/>
  <c r="AC576" i="2"/>
  <c r="E421" i="12"/>
  <c r="D146" i="5"/>
  <c r="D307" i="4"/>
  <c r="Z661" i="2"/>
  <c r="B175" i="6"/>
  <c r="B337" i="4"/>
  <c r="Y636" i="2"/>
  <c r="X647" i="2"/>
  <c r="U388" i="12"/>
  <c r="W603" i="2"/>
  <c r="AG603" i="2"/>
  <c r="V670" i="2"/>
  <c r="AF670" i="2"/>
  <c r="T619" i="2"/>
  <c r="AD619" i="2"/>
  <c r="S656" i="2"/>
  <c r="AC656" i="2"/>
  <c r="E523" i="12"/>
  <c r="D172" i="7"/>
  <c r="D201" i="6"/>
  <c r="D375" i="4"/>
  <c r="Z646" i="2"/>
  <c r="B185" i="6"/>
  <c r="B354" i="4"/>
  <c r="Y681" i="2"/>
  <c r="X649" i="2"/>
  <c r="U434" i="12"/>
  <c r="W631" i="2"/>
  <c r="AG631" i="2"/>
  <c r="V651" i="2"/>
  <c r="AF651" i="2"/>
  <c r="AM218" i="2"/>
  <c r="E495" i="12"/>
  <c r="AC682" i="2"/>
  <c r="S639" i="2"/>
  <c r="AD639" i="2"/>
  <c r="T645" i="2"/>
  <c r="AE645" i="2"/>
  <c r="AD684" i="2"/>
  <c r="T684" i="2"/>
  <c r="Z684" i="2"/>
  <c r="AC684" i="2"/>
  <c r="AG615" i="2"/>
  <c r="AG652" i="2"/>
  <c r="AF654" i="2"/>
  <c r="V654" i="2"/>
  <c r="AB654" i="2"/>
  <c r="AC654" i="2"/>
  <c r="B197" i="6"/>
  <c r="B370" i="4"/>
  <c r="U500" i="12"/>
  <c r="AP226" i="2"/>
  <c r="AD609" i="2"/>
  <c r="B176" i="7"/>
  <c r="B211" i="6"/>
  <c r="B390" i="4"/>
  <c r="E430" i="12"/>
  <c r="Y700" i="2"/>
  <c r="AF700" i="2"/>
  <c r="V700" i="2"/>
  <c r="AD700" i="2"/>
  <c r="T700" i="2"/>
  <c r="AB700" i="2"/>
  <c r="AG700" i="2"/>
  <c r="X699" i="2"/>
  <c r="T689" i="2"/>
  <c r="AC663" i="2"/>
  <c r="U539" i="12"/>
  <c r="AC706" i="2"/>
  <c r="AL267" i="2"/>
  <c r="AR285" i="2"/>
  <c r="AQ285" i="2"/>
  <c r="Z561" i="2"/>
  <c r="B162" i="7"/>
  <c r="B179" i="6"/>
  <c r="B343" i="4"/>
  <c r="U454" i="12"/>
  <c r="AE637" i="2"/>
  <c r="T665" i="2"/>
  <c r="AD665" i="2"/>
  <c r="S657" i="2"/>
  <c r="AC657" i="2"/>
  <c r="E307" i="12"/>
  <c r="D167" i="7"/>
  <c r="D170" i="5"/>
  <c r="D353" i="4"/>
  <c r="AA643" i="2"/>
  <c r="Z666" i="2"/>
  <c r="B169" i="7"/>
  <c r="B358" i="4"/>
  <c r="U452" i="12"/>
  <c r="AE617" i="2"/>
  <c r="T576" i="2"/>
  <c r="AD576" i="2"/>
  <c r="S628" i="2"/>
  <c r="AC628" i="2"/>
  <c r="E469" i="12"/>
  <c r="D171" i="7"/>
  <c r="D194" i="6"/>
  <c r="D366" i="4"/>
  <c r="AA661" i="2"/>
  <c r="B176" i="6"/>
  <c r="B338" i="4"/>
  <c r="B164" i="5"/>
  <c r="Y647" i="2"/>
  <c r="U360" i="12"/>
  <c r="AE619" i="2"/>
  <c r="T656" i="2"/>
  <c r="E549" i="12"/>
  <c r="D320" i="4"/>
  <c r="D154" i="5"/>
  <c r="AA646" i="2"/>
  <c r="B186" i="6"/>
  <c r="B356" i="4"/>
  <c r="B171" i="5"/>
  <c r="Y649" i="2"/>
  <c r="U451" i="12"/>
  <c r="AN218" i="2"/>
  <c r="T639" i="2"/>
  <c r="AE639" i="2"/>
  <c r="AF645" i="2"/>
  <c r="U438" i="12"/>
  <c r="B190" i="6"/>
  <c r="B362" i="4"/>
  <c r="D191" i="6"/>
  <c r="D173" i="5"/>
  <c r="D363" i="4"/>
  <c r="E564" i="12"/>
  <c r="V615" i="2"/>
  <c r="U369" i="12"/>
  <c r="Y620" i="2"/>
  <c r="AE620" i="2"/>
  <c r="AC620" i="2"/>
  <c r="V652" i="2"/>
  <c r="D195" i="6"/>
  <c r="D368" i="4"/>
  <c r="D197" i="6"/>
  <c r="D370" i="4"/>
  <c r="V711" i="2"/>
  <c r="AC711" i="2"/>
  <c r="S711" i="2"/>
  <c r="D176" i="7"/>
  <c r="D211" i="6"/>
  <c r="D390" i="4"/>
  <c r="U623" i="12"/>
  <c r="U551" i="12"/>
  <c r="AC692" i="2"/>
  <c r="S692" i="2"/>
  <c r="AB692" i="2"/>
  <c r="Y692" i="2"/>
  <c r="AG692" i="2"/>
  <c r="W692" i="2"/>
  <c r="AE692" i="2"/>
  <c r="B172" i="5"/>
  <c r="B359" i="4"/>
  <c r="AG675" i="2"/>
  <c r="W675" i="2"/>
  <c r="AF675" i="2"/>
  <c r="V675" i="2"/>
  <c r="AE675" i="2"/>
  <c r="AD675" i="2"/>
  <c r="T675" i="2"/>
  <c r="AC675" i="2"/>
  <c r="S675" i="2"/>
  <c r="AB675" i="2"/>
  <c r="Z675" i="2"/>
  <c r="X675" i="2"/>
  <c r="U595" i="12"/>
  <c r="AP222" i="2"/>
  <c r="AO222" i="2"/>
  <c r="U518" i="12"/>
  <c r="D185" i="7"/>
  <c r="D415" i="4"/>
  <c r="AR267" i="2"/>
  <c r="AQ267" i="2"/>
  <c r="AR273" i="2"/>
  <c r="AQ273" i="2"/>
  <c r="U373" i="3"/>
  <c r="E386" i="12"/>
  <c r="AA561" i="2"/>
  <c r="B163" i="7"/>
  <c r="B344" i="4"/>
  <c r="U448" i="12"/>
  <c r="V637" i="2"/>
  <c r="AF637" i="2"/>
  <c r="E425" i="12"/>
  <c r="D168" i="7"/>
  <c r="D355" i="4"/>
  <c r="AA666" i="2"/>
  <c r="B321" i="4"/>
  <c r="B168" i="6"/>
  <c r="X638" i="2"/>
  <c r="U423" i="12"/>
  <c r="V617" i="2"/>
  <c r="AF617" i="2"/>
  <c r="AE576" i="2"/>
  <c r="T628" i="2"/>
  <c r="E497" i="12"/>
  <c r="AB661" i="2"/>
  <c r="D175" i="6"/>
  <c r="D337" i="4"/>
  <c r="AA636" i="2"/>
  <c r="Z647" i="2"/>
  <c r="B165" i="5"/>
  <c r="B177" i="6"/>
  <c r="B340" i="4"/>
  <c r="X670" i="2"/>
  <c r="U487" i="12"/>
  <c r="V619" i="2"/>
  <c r="AF619" i="2"/>
  <c r="AE656" i="2"/>
  <c r="E446" i="12"/>
  <c r="AB646" i="2"/>
  <c r="D185" i="6"/>
  <c r="D354" i="4"/>
  <c r="AA681" i="2"/>
  <c r="Z649" i="2"/>
  <c r="B187" i="6"/>
  <c r="B357" i="4"/>
  <c r="X651" i="2"/>
  <c r="U483" i="12"/>
  <c r="AO218" i="2"/>
  <c r="V645" i="2"/>
  <c r="AG645" i="2"/>
  <c r="AE621" i="2"/>
  <c r="AB621" i="2"/>
  <c r="W615" i="2"/>
  <c r="B175" i="5"/>
  <c r="B193" i="6"/>
  <c r="B365" i="4"/>
  <c r="E424" i="12"/>
  <c r="AD620" i="2"/>
  <c r="W652" i="2"/>
  <c r="AE711" i="2"/>
  <c r="B199" i="6"/>
  <c r="B373" i="4"/>
  <c r="AC609" i="2"/>
  <c r="S609" i="2"/>
  <c r="Z609" i="2"/>
  <c r="X609" i="2"/>
  <c r="AF609" i="2"/>
  <c r="V609" i="2"/>
  <c r="AG609" i="2"/>
  <c r="B200" i="6"/>
  <c r="B178" i="5"/>
  <c r="B374" i="4"/>
  <c r="W689" i="2"/>
  <c r="B169" i="5"/>
  <c r="B352" i="4"/>
  <c r="AE663" i="2"/>
  <c r="AB663" i="2"/>
  <c r="Z663" i="2"/>
  <c r="X663" i="2"/>
  <c r="AF663" i="2"/>
  <c r="B181" i="7"/>
  <c r="B408" i="4"/>
  <c r="U532" i="12"/>
  <c r="B53" i="9"/>
  <c r="AG717" i="2"/>
  <c r="W717" i="2"/>
  <c r="AF717" i="2"/>
  <c r="V717" i="2"/>
  <c r="AE717" i="2"/>
  <c r="AD717" i="2"/>
  <c r="T717" i="2"/>
  <c r="AC717" i="2"/>
  <c r="S717" i="2"/>
  <c r="AB717" i="2"/>
  <c r="Z717" i="2"/>
  <c r="Y717" i="2"/>
  <c r="X717" i="2"/>
  <c r="AO245" i="2"/>
  <c r="AK245" i="2"/>
  <c r="AR233" i="2"/>
  <c r="AQ233" i="2"/>
  <c r="AR276" i="2"/>
  <c r="AQ276" i="2"/>
  <c r="AR281" i="2"/>
  <c r="B145" i="5"/>
  <c r="B302" i="4"/>
  <c r="U355" i="12"/>
  <c r="W617" i="2"/>
  <c r="AG617" i="2"/>
  <c r="V576" i="2"/>
  <c r="AF576" i="2"/>
  <c r="AE628" i="2"/>
  <c r="E432" i="12"/>
  <c r="D176" i="6"/>
  <c r="D164" i="5"/>
  <c r="D338" i="4"/>
  <c r="AA647" i="2"/>
  <c r="B341" i="4"/>
  <c r="B178" i="6"/>
  <c r="U399" i="12"/>
  <c r="W619" i="2"/>
  <c r="AG619" i="2"/>
  <c r="E506" i="12"/>
  <c r="D171" i="5"/>
  <c r="D186" i="6"/>
  <c r="D356" i="4"/>
  <c r="AA649" i="2"/>
  <c r="B155" i="5"/>
  <c r="B322" i="4"/>
  <c r="U437" i="12"/>
  <c r="AP218" i="2"/>
  <c r="V639" i="2"/>
  <c r="W645" i="2"/>
  <c r="B173" i="7"/>
  <c r="B181" i="5"/>
  <c r="B380" i="4"/>
  <c r="D190" i="6"/>
  <c r="D362" i="4"/>
  <c r="E417" i="12"/>
  <c r="X615" i="2"/>
  <c r="D174" i="7"/>
  <c r="D184" i="5"/>
  <c r="D384" i="4"/>
  <c r="Y652" i="2"/>
  <c r="B166" i="5"/>
  <c r="B342" i="4"/>
  <c r="E596" i="12"/>
  <c r="D373" i="4"/>
  <c r="D199" i="6"/>
  <c r="E381" i="12"/>
  <c r="D177" i="7"/>
  <c r="D391" i="4"/>
  <c r="X518" i="2"/>
  <c r="X689" i="2"/>
  <c r="D352" i="4"/>
  <c r="D169" i="5"/>
  <c r="T692" i="2"/>
  <c r="Y694" i="2"/>
  <c r="X694" i="2"/>
  <c r="AG694" i="2"/>
  <c r="W694" i="2"/>
  <c r="AF694" i="2"/>
  <c r="V694" i="2"/>
  <c r="AE694" i="2"/>
  <c r="AD694" i="2"/>
  <c r="T694" i="2"/>
  <c r="AB694" i="2"/>
  <c r="Z694" i="2"/>
  <c r="Y675" i="2"/>
  <c r="V693" i="2"/>
  <c r="AE693" i="2"/>
  <c r="T693" i="2"/>
  <c r="AC693" i="2"/>
  <c r="S693" i="2"/>
  <c r="E611" i="12"/>
  <c r="AK222" i="2"/>
  <c r="V686" i="2"/>
  <c r="AE686" i="2"/>
  <c r="T686" i="2"/>
  <c r="AC686" i="2"/>
  <c r="S686" i="2"/>
  <c r="AP245" i="2"/>
  <c r="AR264" i="2"/>
  <c r="AQ264" i="2"/>
  <c r="B151" i="7"/>
  <c r="B317" i="4"/>
  <c r="U325" i="12"/>
  <c r="W624" i="2"/>
  <c r="E426" i="12"/>
  <c r="D154" i="7"/>
  <c r="D323" i="4"/>
  <c r="B161" i="6"/>
  <c r="B301" i="4"/>
  <c r="E467" i="12"/>
  <c r="D158" i="7"/>
  <c r="D162" i="5"/>
  <c r="D333" i="4"/>
  <c r="W634" i="2"/>
  <c r="U640" i="2"/>
  <c r="S561" i="2"/>
  <c r="E462" i="12"/>
  <c r="D163" i="7"/>
  <c r="D344" i="4"/>
  <c r="B164" i="7"/>
  <c r="B181" i="6"/>
  <c r="B346" i="4"/>
  <c r="U489" i="12"/>
  <c r="W665" i="2"/>
  <c r="U565" i="2"/>
  <c r="T643" i="2"/>
  <c r="U643" i="2" s="1"/>
  <c r="S666" i="2"/>
  <c r="E470" i="12"/>
  <c r="D168" i="6"/>
  <c r="D321" i="4"/>
  <c r="B170" i="7"/>
  <c r="B189" i="6"/>
  <c r="B361" i="4"/>
  <c r="U367" i="12"/>
  <c r="W576" i="2"/>
  <c r="U632" i="2"/>
  <c r="T661" i="2"/>
  <c r="S636" i="2"/>
  <c r="E388" i="12"/>
  <c r="D177" i="6"/>
  <c r="D340" i="4"/>
  <c r="D165" i="5"/>
  <c r="B150" i="5"/>
  <c r="B312" i="4"/>
  <c r="U391" i="12"/>
  <c r="W656" i="2"/>
  <c r="U664" i="2"/>
  <c r="T646" i="2"/>
  <c r="S681" i="2"/>
  <c r="E434" i="12"/>
  <c r="D187" i="6"/>
  <c r="D357" i="4"/>
  <c r="B156" i="5"/>
  <c r="B324" i="4"/>
  <c r="U410" i="12"/>
  <c r="Y645" i="2"/>
  <c r="AF668" i="2"/>
  <c r="V668" i="2"/>
  <c r="AB668" i="2"/>
  <c r="S621" i="2"/>
  <c r="AD621" i="2"/>
  <c r="U564" i="12"/>
  <c r="Z615" i="2"/>
  <c r="D193" i="6"/>
  <c r="D175" i="5"/>
  <c r="D365" i="4"/>
  <c r="AB688" i="2"/>
  <c r="X688" i="2"/>
  <c r="AC688" i="2"/>
  <c r="AL229" i="2"/>
  <c r="T620" i="2"/>
  <c r="AG620" i="2"/>
  <c r="Z652" i="2"/>
  <c r="AG673" i="2"/>
  <c r="W673" i="2"/>
  <c r="AC673" i="2"/>
  <c r="S673" i="2"/>
  <c r="AD673" i="2"/>
  <c r="U654" i="2"/>
  <c r="U471" i="12"/>
  <c r="T711" i="2"/>
  <c r="T609" i="2"/>
  <c r="W679" i="12"/>
  <c r="AK221" i="2"/>
  <c r="AL221" i="2" s="1"/>
  <c r="AP221" i="2"/>
  <c r="AN221" i="2"/>
  <c r="E288" i="12"/>
  <c r="S663" i="2"/>
  <c r="D202" i="6"/>
  <c r="D179" i="5"/>
  <c r="D376" i="4"/>
  <c r="V692" i="2"/>
  <c r="B176" i="5"/>
  <c r="B367" i="4"/>
  <c r="AA675" i="2"/>
  <c r="D183" i="7"/>
  <c r="D412" i="4"/>
  <c r="AA717" i="2"/>
  <c r="P405" i="3"/>
  <c r="Q405" i="3"/>
  <c r="B192" i="6"/>
  <c r="B174" i="5"/>
  <c r="B364" i="4"/>
  <c r="U546" i="12"/>
  <c r="E471" i="12"/>
  <c r="D196" i="6"/>
  <c r="D369" i="4"/>
  <c r="AA596" i="2"/>
  <c r="B198" i="6"/>
  <c r="B371" i="4"/>
  <c r="E623" i="12"/>
  <c r="D200" i="6"/>
  <c r="D178" i="5"/>
  <c r="D374" i="4"/>
  <c r="AA518" i="2"/>
  <c r="B351" i="4"/>
  <c r="B168" i="5"/>
  <c r="U477" i="12"/>
  <c r="T662" i="2"/>
  <c r="S691" i="2"/>
  <c r="AC691" i="2"/>
  <c r="E540" i="12"/>
  <c r="AB678" i="2"/>
  <c r="D205" i="6"/>
  <c r="D379" i="4"/>
  <c r="AA709" i="2"/>
  <c r="B206" i="6"/>
  <c r="B382" i="4"/>
  <c r="Y710" i="2"/>
  <c r="U558" i="12"/>
  <c r="W693" i="2"/>
  <c r="AG693" i="2"/>
  <c r="V690" i="2"/>
  <c r="AF690" i="2"/>
  <c r="AE703" i="2"/>
  <c r="T671" i="2"/>
  <c r="AD671" i="2"/>
  <c r="S687" i="2"/>
  <c r="AC687" i="2"/>
  <c r="E512" i="12"/>
  <c r="AB660" i="2"/>
  <c r="D182" i="7"/>
  <c r="D411" i="4"/>
  <c r="AA707" i="2"/>
  <c r="W686" i="2"/>
  <c r="AG686" i="2"/>
  <c r="T702" i="2"/>
  <c r="AD702" i="2"/>
  <c r="S723" i="2"/>
  <c r="AC723" i="2"/>
  <c r="AK242" i="2"/>
  <c r="B214" i="6"/>
  <c r="B396" i="4"/>
  <c r="Y708" i="2"/>
  <c r="U605" i="12"/>
  <c r="AE720" i="2"/>
  <c r="T680" i="2"/>
  <c r="AD680" i="2"/>
  <c r="S696" i="2"/>
  <c r="AC696" i="2"/>
  <c r="E553" i="12"/>
  <c r="AB685" i="2"/>
  <c r="W669" i="12"/>
  <c r="B187" i="7"/>
  <c r="B420" i="4"/>
  <c r="Y725" i="2"/>
  <c r="X653" i="2"/>
  <c r="U427" i="12"/>
  <c r="AE728" i="2"/>
  <c r="T669" i="2"/>
  <c r="AD669" i="2"/>
  <c r="S715" i="2"/>
  <c r="AC715" i="2"/>
  <c r="E465" i="12"/>
  <c r="AB676" i="2"/>
  <c r="W702" i="12"/>
  <c r="B188" i="7"/>
  <c r="B226" i="6"/>
  <c r="B429" i="4"/>
  <c r="Y724" i="2"/>
  <c r="X704" i="2"/>
  <c r="U557" i="12"/>
  <c r="W718" i="2"/>
  <c r="AG718" i="2"/>
  <c r="V729" i="2"/>
  <c r="AF729" i="2"/>
  <c r="AE677" i="2"/>
  <c r="T705" i="2"/>
  <c r="AD705" i="2"/>
  <c r="S679" i="2"/>
  <c r="AC679" i="2"/>
  <c r="E584" i="12"/>
  <c r="AB695" i="2"/>
  <c r="D195" i="5"/>
  <c r="D406" i="4"/>
  <c r="AA658" i="2"/>
  <c r="X698" i="2"/>
  <c r="U588" i="12"/>
  <c r="W712" i="2"/>
  <c r="AG712" i="2"/>
  <c r="V713" i="2"/>
  <c r="AF713" i="2"/>
  <c r="AN267" i="2"/>
  <c r="AL285" i="2"/>
  <c r="D224" i="8"/>
  <c r="D224" i="6"/>
  <c r="AA701" i="2"/>
  <c r="X726" i="2"/>
  <c r="U648" i="12"/>
  <c r="AE719" i="2"/>
  <c r="T697" i="2"/>
  <c r="AD697" i="2"/>
  <c r="AL276" i="2"/>
  <c r="W674" i="12"/>
  <c r="W722" i="2"/>
  <c r="AG722" i="2"/>
  <c r="V716" i="2"/>
  <c r="AF716" i="2"/>
  <c r="AE714" i="2"/>
  <c r="T727" i="2"/>
  <c r="AD727" i="2"/>
  <c r="S721" i="2"/>
  <c r="AC721" i="2"/>
  <c r="AK292" i="2"/>
  <c r="Z730" i="2"/>
  <c r="AP308" i="2"/>
  <c r="W709" i="12"/>
  <c r="AP333" i="2"/>
  <c r="B215" i="6"/>
  <c r="B397" i="4"/>
  <c r="B217" i="6"/>
  <c r="B402" i="4"/>
  <c r="Y653" i="2"/>
  <c r="B191" i="5"/>
  <c r="B398" i="4"/>
  <c r="Y704" i="2"/>
  <c r="X718" i="2"/>
  <c r="U617" i="12"/>
  <c r="E475" i="12"/>
  <c r="W718" i="12"/>
  <c r="B407" i="4"/>
  <c r="B196" i="5"/>
  <c r="Y698" i="2"/>
  <c r="X712" i="2"/>
  <c r="U598" i="12"/>
  <c r="E526" i="12"/>
  <c r="W683" i="12"/>
  <c r="B413" i="4"/>
  <c r="B197" i="5"/>
  <c r="Y726" i="2"/>
  <c r="X722" i="2"/>
  <c r="U638" i="12"/>
  <c r="D227" i="6"/>
  <c r="D431" i="4"/>
  <c r="AA730" i="2"/>
  <c r="AO312" i="2"/>
  <c r="AO341" i="2"/>
  <c r="S596" i="2"/>
  <c r="AC596" i="2"/>
  <c r="E500" i="12"/>
  <c r="D198" i="6"/>
  <c r="D371" i="4"/>
  <c r="U381" i="12"/>
  <c r="S518" i="2"/>
  <c r="AC518" i="2"/>
  <c r="E583" i="12"/>
  <c r="D168" i="5"/>
  <c r="D351" i="4"/>
  <c r="V662" i="2"/>
  <c r="AF662" i="2"/>
  <c r="AE691" i="2"/>
  <c r="T678" i="2"/>
  <c r="AD678" i="2"/>
  <c r="S709" i="2"/>
  <c r="E632" i="12"/>
  <c r="D206" i="6"/>
  <c r="D382" i="4"/>
  <c r="B180" i="7"/>
  <c r="B404" i="4"/>
  <c r="Y693" i="2"/>
  <c r="X690" i="2"/>
  <c r="U569" i="12"/>
  <c r="W703" i="2"/>
  <c r="AG703" i="2"/>
  <c r="V671" i="2"/>
  <c r="AF671" i="2"/>
  <c r="AE687" i="2"/>
  <c r="T660" i="2"/>
  <c r="AD660" i="2"/>
  <c r="S707" i="2"/>
  <c r="E450" i="12"/>
  <c r="W704" i="12"/>
  <c r="B212" i="6"/>
  <c r="B393" i="4"/>
  <c r="B189" i="5"/>
  <c r="Y686" i="2"/>
  <c r="V702" i="2"/>
  <c r="AF702" i="2"/>
  <c r="AE723" i="2"/>
  <c r="AM242" i="2"/>
  <c r="E593" i="12"/>
  <c r="D214" i="6"/>
  <c r="D396" i="4"/>
  <c r="AA708" i="2"/>
  <c r="W720" i="2"/>
  <c r="AG720" i="2"/>
  <c r="V680" i="2"/>
  <c r="AF680" i="2"/>
  <c r="AE696" i="2"/>
  <c r="T685" i="2"/>
  <c r="AD685" i="2"/>
  <c r="AL233" i="2"/>
  <c r="D187" i="7"/>
  <c r="D420" i="4"/>
  <c r="AA725" i="2"/>
  <c r="Z653" i="2"/>
  <c r="W728" i="2"/>
  <c r="AG728" i="2"/>
  <c r="V669" i="2"/>
  <c r="AF669" i="2"/>
  <c r="AE715" i="2"/>
  <c r="T676" i="2"/>
  <c r="AD676" i="2"/>
  <c r="AL262" i="2"/>
  <c r="D188" i="7"/>
  <c r="D226" i="6"/>
  <c r="D429" i="4"/>
  <c r="AA724" i="2"/>
  <c r="Z704" i="2"/>
  <c r="B189" i="7"/>
  <c r="B208" i="5"/>
  <c r="B430" i="4"/>
  <c r="Y718" i="2"/>
  <c r="X729" i="2"/>
  <c r="U634" i="12"/>
  <c r="W677" i="2"/>
  <c r="AG677" i="2"/>
  <c r="V705" i="2"/>
  <c r="AF705" i="2"/>
  <c r="AE679" i="2"/>
  <c r="T695" i="2"/>
  <c r="AD695" i="2"/>
  <c r="S658" i="2"/>
  <c r="AC658" i="2"/>
  <c r="AK270" i="2"/>
  <c r="Z698" i="2"/>
  <c r="B222" i="6"/>
  <c r="B421" i="4"/>
  <c r="Y712" i="2"/>
  <c r="X713" i="2"/>
  <c r="U554" i="12"/>
  <c r="AN285" i="2"/>
  <c r="S701" i="2"/>
  <c r="AC701" i="2"/>
  <c r="AK265" i="2"/>
  <c r="Z726" i="2"/>
  <c r="W719" i="2"/>
  <c r="AG719" i="2"/>
  <c r="V697" i="2"/>
  <c r="AF697" i="2"/>
  <c r="AN276" i="2"/>
  <c r="AL273" i="2"/>
  <c r="W684" i="12"/>
  <c r="B422" i="4"/>
  <c r="B203" i="5"/>
  <c r="Y722" i="2"/>
  <c r="X716" i="2"/>
  <c r="U612" i="12"/>
  <c r="W714" i="2"/>
  <c r="AG714" i="2"/>
  <c r="V727" i="2"/>
  <c r="AF727" i="2"/>
  <c r="AE721" i="2"/>
  <c r="AM292" i="2"/>
  <c r="E636" i="12"/>
  <c r="AB730" i="2"/>
  <c r="W714" i="12"/>
  <c r="AP312" i="2"/>
  <c r="AL332" i="2"/>
  <c r="W675" i="12"/>
  <c r="P376" i="3"/>
  <c r="N428" i="3"/>
  <c r="X428" i="3"/>
  <c r="Z428" i="3" s="1"/>
  <c r="U606" i="12"/>
  <c r="E630" i="12"/>
  <c r="D217" i="6"/>
  <c r="D402" i="4"/>
  <c r="AA653" i="2"/>
  <c r="U642" i="12"/>
  <c r="E640" i="12"/>
  <c r="D191" i="5"/>
  <c r="D398" i="4"/>
  <c r="AA704" i="2"/>
  <c r="B200" i="5"/>
  <c r="B220" i="6"/>
  <c r="B417" i="4"/>
  <c r="U536" i="12"/>
  <c r="D196" i="5"/>
  <c r="D407" i="4"/>
  <c r="AA698" i="2"/>
  <c r="B223" i="6"/>
  <c r="B423" i="4"/>
  <c r="D413" i="4"/>
  <c r="D197" i="5"/>
  <c r="AA726" i="2"/>
  <c r="U624" i="12"/>
  <c r="B424" i="4"/>
  <c r="B204" i="5"/>
  <c r="U607" i="12"/>
  <c r="S730" i="2"/>
  <c r="AC730" i="2"/>
  <c r="AK296" i="2"/>
  <c r="AL296" i="2" s="1"/>
  <c r="M434" i="3"/>
  <c r="B326" i="4"/>
  <c r="B157" i="5"/>
  <c r="U406" i="12"/>
  <c r="E546" i="12"/>
  <c r="W672" i="12"/>
  <c r="B174" i="7"/>
  <c r="B184" i="5"/>
  <c r="B384" i="4"/>
  <c r="U516" i="12"/>
  <c r="AE596" i="2"/>
  <c r="AE518" i="2"/>
  <c r="E477" i="12"/>
  <c r="W731" i="12"/>
  <c r="B202" i="6"/>
  <c r="B376" i="4"/>
  <c r="B179" i="5"/>
  <c r="X662" i="2"/>
  <c r="U447" i="12"/>
  <c r="W691" i="2"/>
  <c r="AG691" i="2"/>
  <c r="V678" i="2"/>
  <c r="AF678" i="2"/>
  <c r="AE709" i="2"/>
  <c r="E558" i="12"/>
  <c r="D180" i="7"/>
  <c r="D404" i="4"/>
  <c r="Z690" i="2"/>
  <c r="B386" i="4"/>
  <c r="B208" i="6"/>
  <c r="Y703" i="2"/>
  <c r="X671" i="2"/>
  <c r="U444" i="12"/>
  <c r="W687" i="2"/>
  <c r="AG687" i="2"/>
  <c r="V660" i="2"/>
  <c r="AF660" i="2"/>
  <c r="AE707" i="2"/>
  <c r="D212" i="6"/>
  <c r="D393" i="4"/>
  <c r="D189" i="5"/>
  <c r="X702" i="2"/>
  <c r="U581" i="12"/>
  <c r="W723" i="2"/>
  <c r="AG723" i="2"/>
  <c r="S708" i="2"/>
  <c r="E605" i="12"/>
  <c r="W666" i="12"/>
  <c r="B216" i="6"/>
  <c r="B399" i="4"/>
  <c r="Y720" i="2"/>
  <c r="X680" i="2"/>
  <c r="U538" i="12"/>
  <c r="W696" i="2"/>
  <c r="AG696" i="2"/>
  <c r="V685" i="2"/>
  <c r="AF685" i="2"/>
  <c r="S725" i="2"/>
  <c r="E427" i="12"/>
  <c r="AB653" i="2"/>
  <c r="W688" i="12"/>
  <c r="B409" i="4"/>
  <c r="B218" i="6"/>
  <c r="Y728" i="2"/>
  <c r="X669" i="2"/>
  <c r="U544" i="12"/>
  <c r="W715" i="2"/>
  <c r="AG715" i="2"/>
  <c r="V676" i="2"/>
  <c r="AF676" i="2"/>
  <c r="S724" i="2"/>
  <c r="AC724" i="2"/>
  <c r="E557" i="12"/>
  <c r="AB704" i="2"/>
  <c r="D189" i="7"/>
  <c r="D430" i="4"/>
  <c r="D208" i="5"/>
  <c r="Z729" i="2"/>
  <c r="B192" i="5"/>
  <c r="B400" i="4"/>
  <c r="Y677" i="2"/>
  <c r="X705" i="2"/>
  <c r="U572" i="12"/>
  <c r="W679" i="2"/>
  <c r="AG679" i="2"/>
  <c r="V695" i="2"/>
  <c r="AF695" i="2"/>
  <c r="AE658" i="2"/>
  <c r="AM270" i="2"/>
  <c r="E588" i="12"/>
  <c r="AB698" i="2"/>
  <c r="D222" i="6"/>
  <c r="D421" i="4"/>
  <c r="AA712" i="2"/>
  <c r="Z713" i="2"/>
  <c r="AM265" i="2"/>
  <c r="E648" i="12"/>
  <c r="AB726" i="2"/>
  <c r="W713" i="12"/>
  <c r="B225" i="6"/>
  <c r="B428" i="4"/>
  <c r="Y719" i="2"/>
  <c r="X697" i="2"/>
  <c r="U534" i="12"/>
  <c r="AL281" i="2"/>
  <c r="D422" i="4"/>
  <c r="D203" i="5"/>
  <c r="AA722" i="2"/>
  <c r="Z716" i="2"/>
  <c r="B205" i="5"/>
  <c r="B425" i="4"/>
  <c r="Y714" i="2"/>
  <c r="X727" i="2"/>
  <c r="U646" i="12"/>
  <c r="W721" i="2"/>
  <c r="AG721" i="2"/>
  <c r="T730" i="2"/>
  <c r="AD730" i="2"/>
  <c r="W696" i="12"/>
  <c r="AN332" i="2"/>
  <c r="AL338" i="2"/>
  <c r="W723" i="12"/>
  <c r="E428" i="3"/>
  <c r="P428" i="3"/>
  <c r="U521" i="12"/>
  <c r="E595" i="12"/>
  <c r="D181" i="7"/>
  <c r="D408" i="4"/>
  <c r="AA690" i="2"/>
  <c r="B209" i="6"/>
  <c r="B387" i="4"/>
  <c r="B186" i="5"/>
  <c r="U555" i="12"/>
  <c r="E518" i="12"/>
  <c r="W708" i="12"/>
  <c r="B184" i="7"/>
  <c r="B198" i="5"/>
  <c r="B414" i="4"/>
  <c r="U633" i="12"/>
  <c r="T708" i="2"/>
  <c r="B381" i="4"/>
  <c r="B182" i="5"/>
  <c r="U602" i="12"/>
  <c r="T725" i="2"/>
  <c r="S653" i="2"/>
  <c r="AC653" i="2"/>
  <c r="AK247" i="2"/>
  <c r="B188" i="5"/>
  <c r="B389" i="4"/>
  <c r="U566" i="12"/>
  <c r="T724" i="2"/>
  <c r="S704" i="2"/>
  <c r="AC704" i="2"/>
  <c r="E617" i="12"/>
  <c r="D220" i="6"/>
  <c r="D417" i="4"/>
  <c r="D200" i="5"/>
  <c r="AA729" i="2"/>
  <c r="B221" i="6"/>
  <c r="B202" i="5"/>
  <c r="B419" i="4"/>
  <c r="U508" i="12"/>
  <c r="AN270" i="2"/>
  <c r="S698" i="2"/>
  <c r="AC698" i="2"/>
  <c r="E598" i="12"/>
  <c r="D223" i="6"/>
  <c r="D423" i="4"/>
  <c r="AA713" i="2"/>
  <c r="AN265" i="2"/>
  <c r="S726" i="2"/>
  <c r="AC726" i="2"/>
  <c r="AK264" i="2"/>
  <c r="B416" i="4"/>
  <c r="B199" i="5"/>
  <c r="E638" i="12"/>
  <c r="D424" i="4"/>
  <c r="D204" i="5"/>
  <c r="AA716" i="2"/>
  <c r="B426" i="4"/>
  <c r="B206" i="5"/>
  <c r="U628" i="12"/>
  <c r="AE730" i="2"/>
  <c r="AK308" i="2"/>
  <c r="AL308" i="2" s="1"/>
  <c r="F428" i="3"/>
  <c r="Q428" i="3"/>
  <c r="Q434" i="3"/>
  <c r="G434" i="3"/>
  <c r="X431" i="3" s="1"/>
  <c r="K457" i="3"/>
  <c r="U457" i="3"/>
  <c r="B180" i="5"/>
  <c r="B203" i="6"/>
  <c r="B377" i="4"/>
  <c r="U540" i="12"/>
  <c r="E569" i="12"/>
  <c r="AB690" i="2"/>
  <c r="D208" i="6"/>
  <c r="D386" i="4"/>
  <c r="Z671" i="2"/>
  <c r="B372" i="4"/>
  <c r="B177" i="5"/>
  <c r="Y687" i="2"/>
  <c r="X660" i="2"/>
  <c r="U512" i="12"/>
  <c r="W707" i="2"/>
  <c r="AK248" i="2"/>
  <c r="Z702" i="2"/>
  <c r="B213" i="6"/>
  <c r="B395" i="4"/>
  <c r="Y723" i="2"/>
  <c r="AQ242" i="2"/>
  <c r="AE708" i="2"/>
  <c r="D216" i="6"/>
  <c r="D399" i="4"/>
  <c r="Z680" i="2"/>
  <c r="B186" i="7"/>
  <c r="B201" i="5"/>
  <c r="B418" i="4"/>
  <c r="Y696" i="2"/>
  <c r="X685" i="2"/>
  <c r="U553" i="12"/>
  <c r="AE725" i="2"/>
  <c r="T653" i="2"/>
  <c r="AD653" i="2"/>
  <c r="D218" i="6"/>
  <c r="D409" i="4"/>
  <c r="Z669" i="2"/>
  <c r="B219" i="6"/>
  <c r="B410" i="4"/>
  <c r="Y715" i="2"/>
  <c r="X676" i="2"/>
  <c r="U465" i="12"/>
  <c r="T704" i="2"/>
  <c r="AD704" i="2"/>
  <c r="S718" i="2"/>
  <c r="AC718" i="2"/>
  <c r="E634" i="12"/>
  <c r="AB729" i="2"/>
  <c r="D192" i="5"/>
  <c r="D400" i="4"/>
  <c r="Z705" i="2"/>
  <c r="B403" i="4"/>
  <c r="B193" i="5"/>
  <c r="Y679" i="2"/>
  <c r="X695" i="2"/>
  <c r="U584" i="12"/>
  <c r="W658" i="2"/>
  <c r="AG658" i="2"/>
  <c r="AO270" i="2"/>
  <c r="T698" i="2"/>
  <c r="AD698" i="2"/>
  <c r="S712" i="2"/>
  <c r="E554" i="12"/>
  <c r="AB713" i="2"/>
  <c r="W681" i="12"/>
  <c r="W701" i="2"/>
  <c r="AO265" i="2"/>
  <c r="T726" i="2"/>
  <c r="AD726" i="2"/>
  <c r="D225" i="6"/>
  <c r="D428" i="4"/>
  <c r="Z697" i="2"/>
  <c r="S722" i="2"/>
  <c r="E612" i="12"/>
  <c r="AB716" i="2"/>
  <c r="D205" i="5"/>
  <c r="D425" i="4"/>
  <c r="Z727" i="2"/>
  <c r="B427" i="4"/>
  <c r="B207" i="5"/>
  <c r="Y721" i="2"/>
  <c r="AQ292" i="2"/>
  <c r="V730" i="2"/>
  <c r="AF730" i="2"/>
  <c r="AN296" i="2"/>
  <c r="W667" i="12"/>
  <c r="AP332" i="2"/>
  <c r="AN338" i="2"/>
  <c r="W725" i="12"/>
  <c r="O399" i="3"/>
  <c r="Y399" i="3"/>
  <c r="Z399" i="3" s="1"/>
  <c r="E405" i="3"/>
  <c r="P434" i="3"/>
  <c r="E463" i="3"/>
  <c r="U373" i="12"/>
  <c r="B177" i="7"/>
  <c r="B391" i="4"/>
  <c r="U288" i="12"/>
  <c r="AM236" i="2"/>
  <c r="E539" i="12"/>
  <c r="D359" i="4"/>
  <c r="D172" i="5"/>
  <c r="AA662" i="2"/>
  <c r="B204" i="6"/>
  <c r="B378" i="4"/>
  <c r="Y678" i="2"/>
  <c r="U548" i="12"/>
  <c r="S690" i="2"/>
  <c r="AC690" i="2"/>
  <c r="E532" i="12"/>
  <c r="D186" i="5"/>
  <c r="D387" i="4"/>
  <c r="D209" i="6"/>
  <c r="AA671" i="2"/>
  <c r="B210" i="6"/>
  <c r="B187" i="5"/>
  <c r="B388" i="4"/>
  <c r="Y660" i="2"/>
  <c r="U611" i="12"/>
  <c r="D184" i="7"/>
  <c r="D198" i="5"/>
  <c r="D414" i="4"/>
  <c r="AA702" i="2"/>
  <c r="V708" i="2"/>
  <c r="E606" i="12"/>
  <c r="D182" i="5"/>
  <c r="D381" i="4"/>
  <c r="AA680" i="2"/>
  <c r="B183" i="5"/>
  <c r="B383" i="4"/>
  <c r="Y685" i="2"/>
  <c r="V725" i="2"/>
  <c r="AE653" i="2"/>
  <c r="E642" i="12"/>
  <c r="D188" i="5"/>
  <c r="D389" i="4"/>
  <c r="AA669" i="2"/>
  <c r="B190" i="5"/>
  <c r="B394" i="4"/>
  <c r="Y676" i="2"/>
  <c r="V724" i="2"/>
  <c r="AE704" i="2"/>
  <c r="T718" i="2"/>
  <c r="S729" i="2"/>
  <c r="AC729" i="2"/>
  <c r="E536" i="12"/>
  <c r="D221" i="6"/>
  <c r="D202" i="5"/>
  <c r="D419" i="4"/>
  <c r="AA705" i="2"/>
  <c r="B194" i="5"/>
  <c r="B405" i="4"/>
  <c r="Y695" i="2"/>
  <c r="U475" i="12"/>
  <c r="AP270" i="2"/>
  <c r="AE698" i="2"/>
  <c r="T712" i="2"/>
  <c r="S713" i="2"/>
  <c r="AC713" i="2"/>
  <c r="U526" i="12"/>
  <c r="AP265" i="2"/>
  <c r="AE726" i="2"/>
  <c r="E624" i="12"/>
  <c r="D199" i="5"/>
  <c r="D416" i="4"/>
  <c r="AA697" i="2"/>
  <c r="AO281" i="2"/>
  <c r="AQ281" i="2" s="1"/>
  <c r="T722" i="2"/>
  <c r="S716" i="2"/>
  <c r="AC716" i="2"/>
  <c r="E607" i="12"/>
  <c r="D206" i="5"/>
  <c r="D426" i="4"/>
  <c r="Z721" i="2"/>
  <c r="W730" i="2"/>
  <c r="AG730" i="2"/>
  <c r="AO338" i="2"/>
  <c r="AM333" i="2"/>
  <c r="AK341" i="2"/>
  <c r="F434" i="3"/>
  <c r="M457" i="3"/>
  <c r="W457" i="3"/>
  <c r="E447" i="12"/>
  <c r="D203" i="6"/>
  <c r="D180" i="5"/>
  <c r="D377" i="4"/>
  <c r="Z678" i="2"/>
  <c r="B205" i="6"/>
  <c r="B379" i="4"/>
  <c r="U632" i="12"/>
  <c r="T690" i="2"/>
  <c r="AD690" i="2"/>
  <c r="S703" i="2"/>
  <c r="AC703" i="2"/>
  <c r="E444" i="12"/>
  <c r="D372" i="4"/>
  <c r="D177" i="5"/>
  <c r="Z660" i="2"/>
  <c r="B182" i="7"/>
  <c r="B411" i="4"/>
  <c r="U450" i="12"/>
  <c r="AM248" i="2"/>
  <c r="E581" i="12"/>
  <c r="D213" i="6"/>
  <c r="D395" i="4"/>
  <c r="U593" i="12"/>
  <c r="W708" i="2"/>
  <c r="S720" i="2"/>
  <c r="AC720" i="2"/>
  <c r="E538" i="12"/>
  <c r="D186" i="7"/>
  <c r="D201" i="5"/>
  <c r="D418" i="4"/>
  <c r="Z685" i="2"/>
  <c r="W725" i="2"/>
  <c r="V653" i="2"/>
  <c r="AF653" i="2"/>
  <c r="S728" i="2"/>
  <c r="AC728" i="2"/>
  <c r="E544" i="12"/>
  <c r="D219" i="6"/>
  <c r="D410" i="4"/>
  <c r="Z676" i="2"/>
  <c r="W724" i="2"/>
  <c r="V704" i="2"/>
  <c r="AF704" i="2"/>
  <c r="AE718" i="2"/>
  <c r="T729" i="2"/>
  <c r="AD729" i="2"/>
  <c r="S677" i="2"/>
  <c r="AC677" i="2"/>
  <c r="E572" i="12"/>
  <c r="D403" i="4"/>
  <c r="D193" i="5"/>
  <c r="Z695" i="2"/>
  <c r="B195" i="5"/>
  <c r="B406" i="4"/>
  <c r="V698" i="2"/>
  <c r="AF698" i="2"/>
  <c r="AE712" i="2"/>
  <c r="T713" i="2"/>
  <c r="AD713" i="2"/>
  <c r="W660" i="12"/>
  <c r="B224" i="8"/>
  <c r="B224" i="6"/>
  <c r="V726" i="2"/>
  <c r="AF726" i="2"/>
  <c r="S719" i="2"/>
  <c r="AC719" i="2"/>
  <c r="E534" i="12"/>
  <c r="W729" i="12"/>
  <c r="AE722" i="2"/>
  <c r="T716" i="2"/>
  <c r="AD716" i="2"/>
  <c r="S714" i="2"/>
  <c r="AC714" i="2"/>
  <c r="E646" i="12"/>
  <c r="D427" i="4"/>
  <c r="D207" i="5"/>
  <c r="X730" i="2"/>
  <c r="U636" i="12"/>
  <c r="AP296" i="2"/>
  <c r="W689" i="12"/>
  <c r="AP338" i="2"/>
  <c r="N457" i="3"/>
  <c r="X457" i="3"/>
  <c r="G463" i="3"/>
  <c r="X460" i="3" s="1"/>
  <c r="S662" i="2"/>
  <c r="E521" i="12"/>
  <c r="D204" i="6"/>
  <c r="D378" i="4"/>
  <c r="B179" i="7"/>
  <c r="B401" i="4"/>
  <c r="U594" i="12"/>
  <c r="E555" i="12"/>
  <c r="D210" i="6"/>
  <c r="D388" i="4"/>
  <c r="D187" i="5"/>
  <c r="B183" i="7"/>
  <c r="B412" i="4"/>
  <c r="AN248" i="2"/>
  <c r="E633" i="12"/>
  <c r="W670" i="12"/>
  <c r="B185" i="7"/>
  <c r="B415" i="4"/>
  <c r="U552" i="12"/>
  <c r="E602" i="12"/>
  <c r="D383" i="4"/>
  <c r="D183" i="5"/>
  <c r="U630" i="12"/>
  <c r="W653" i="2"/>
  <c r="E566" i="12"/>
  <c r="D394" i="4"/>
  <c r="D190" i="5"/>
  <c r="U640" i="12"/>
  <c r="W704" i="2"/>
  <c r="E508" i="12"/>
  <c r="D405" i="4"/>
  <c r="D194" i="5"/>
  <c r="W698" i="2"/>
  <c r="W726" i="2"/>
  <c r="E628" i="12"/>
  <c r="W700" i="12"/>
  <c r="B227" i="6"/>
  <c r="B431" i="4"/>
  <c r="AO333" i="2"/>
  <c r="AM341" i="2"/>
  <c r="O457" i="3"/>
  <c r="Y457" i="3"/>
  <c r="U185" i="2" l="1"/>
  <c r="M33" i="3" s="1"/>
  <c r="U7" i="2"/>
  <c r="M11" i="3" s="1"/>
  <c r="AL98" i="2"/>
  <c r="K200" i="3" s="1"/>
  <c r="U105" i="2"/>
  <c r="M215" i="3" s="1"/>
  <c r="U24" i="2"/>
  <c r="M71" i="3" s="1"/>
  <c r="U244" i="2"/>
  <c r="M127" i="3" s="1"/>
  <c r="U487" i="2"/>
  <c r="U326" i="2"/>
  <c r="AQ152" i="2"/>
  <c r="U79" i="2"/>
  <c r="M126" i="3" s="1"/>
  <c r="U156" i="2"/>
  <c r="M306" i="3" s="1"/>
  <c r="U238" i="2"/>
  <c r="M237" i="3" s="1"/>
  <c r="U66" i="2"/>
  <c r="M297" i="3" s="1"/>
  <c r="M144" i="3"/>
  <c r="N57" i="3"/>
  <c r="Q5" i="13" s="1"/>
  <c r="L173" i="3"/>
  <c r="L202" i="3"/>
  <c r="U354" i="2"/>
  <c r="I196" i="3"/>
  <c r="E283" i="3"/>
  <c r="M260" i="3"/>
  <c r="U441" i="2"/>
  <c r="AQ61" i="2"/>
  <c r="O112" i="3"/>
  <c r="O115" i="3" s="1"/>
  <c r="U106" i="2"/>
  <c r="M95" i="3" s="1"/>
  <c r="I80" i="3"/>
  <c r="I167" i="3"/>
  <c r="J115" i="3"/>
  <c r="N7" i="13" s="1"/>
  <c r="I254" i="3"/>
  <c r="L318" i="3"/>
  <c r="N260" i="3"/>
  <c r="Q12" i="13" s="1"/>
  <c r="N347" i="3"/>
  <c r="Q15" i="13" s="1"/>
  <c r="U525" i="2"/>
  <c r="AR98" i="2"/>
  <c r="Q200" i="3" s="1"/>
  <c r="U5" i="2"/>
  <c r="M176" i="3" s="1"/>
  <c r="U102" i="2"/>
  <c r="M159" i="3" s="1"/>
  <c r="U38" i="2"/>
  <c r="M239" i="3" s="1"/>
  <c r="U17" i="2"/>
  <c r="M43" i="3" s="1"/>
  <c r="U71" i="2"/>
  <c r="M3" i="3" s="1"/>
  <c r="AR61" i="2"/>
  <c r="I341" i="3"/>
  <c r="U225" i="3"/>
  <c r="AL92" i="2"/>
  <c r="K142" i="3" s="1"/>
  <c r="J231" i="3"/>
  <c r="N11" i="13" s="1"/>
  <c r="U59" i="2"/>
  <c r="M304" i="3" s="1"/>
  <c r="U22" i="2"/>
  <c r="M119" i="3" s="1"/>
  <c r="U141" i="2"/>
  <c r="M205" i="3" s="1"/>
  <c r="U45" i="2"/>
  <c r="M235" i="3" s="1"/>
  <c r="E22" i="3"/>
  <c r="I283" i="3"/>
  <c r="N225" i="3"/>
  <c r="G11" i="13" s="1"/>
  <c r="S254" i="3"/>
  <c r="K12" i="13" s="1"/>
  <c r="Y312" i="3"/>
  <c r="O167" i="3"/>
  <c r="I312" i="3"/>
  <c r="M173" i="3"/>
  <c r="Y254" i="3"/>
  <c r="N341" i="3"/>
  <c r="G15" i="13" s="1"/>
  <c r="O80" i="3"/>
  <c r="P341" i="3"/>
  <c r="H15" i="13" s="1"/>
  <c r="N86" i="3"/>
  <c r="Q6" i="13" s="1"/>
  <c r="V312" i="3"/>
  <c r="I14" i="13" s="1"/>
  <c r="T51" i="3"/>
  <c r="J5" i="13" s="1"/>
  <c r="O225" i="3"/>
  <c r="P463" i="3"/>
  <c r="I51" i="3"/>
  <c r="I225" i="3"/>
  <c r="I138" i="3"/>
  <c r="U517" i="2"/>
  <c r="U302" i="2"/>
  <c r="I109" i="3"/>
  <c r="L347" i="3"/>
  <c r="Q109" i="3"/>
  <c r="X138" i="3"/>
  <c r="L8" i="13" s="1"/>
  <c r="Q312" i="3"/>
  <c r="R341" i="3"/>
  <c r="X225" i="3"/>
  <c r="L11" i="13" s="1"/>
  <c r="S341" i="3"/>
  <c r="K15" i="13" s="1"/>
  <c r="P254" i="3"/>
  <c r="H12" i="13" s="1"/>
  <c r="L283" i="3"/>
  <c r="E13" i="13" s="1"/>
  <c r="L115" i="3"/>
  <c r="T225" i="3"/>
  <c r="J11" i="13" s="1"/>
  <c r="J86" i="3"/>
  <c r="N6" i="13" s="1"/>
  <c r="Q283" i="3"/>
  <c r="P196" i="3"/>
  <c r="H10" i="13" s="1"/>
  <c r="Q341" i="3"/>
  <c r="X51" i="3"/>
  <c r="S80" i="3"/>
  <c r="K6" i="13" s="1"/>
  <c r="N51" i="3"/>
  <c r="G5" i="13" s="1"/>
  <c r="T312" i="3"/>
  <c r="J14" i="13" s="1"/>
  <c r="K341" i="3"/>
  <c r="D15" i="13" s="1"/>
  <c r="K225" i="3"/>
  <c r="D11" i="13" s="1"/>
  <c r="T254" i="3"/>
  <c r="J12" i="13" s="1"/>
  <c r="W167" i="3"/>
  <c r="AL248" i="2"/>
  <c r="V196" i="3"/>
  <c r="I10" i="13" s="1"/>
  <c r="P51" i="3"/>
  <c r="H5" i="13" s="1"/>
  <c r="M231" i="3"/>
  <c r="T138" i="3"/>
  <c r="J8" i="13" s="1"/>
  <c r="K283" i="3"/>
  <c r="D13" i="13" s="1"/>
  <c r="V167" i="3"/>
  <c r="I9" i="13" s="1"/>
  <c r="V138" i="3"/>
  <c r="I8" i="13" s="1"/>
  <c r="J347" i="3"/>
  <c r="N15" i="13" s="1"/>
  <c r="V225" i="3"/>
  <c r="I11" i="13" s="1"/>
  <c r="W254" i="3"/>
  <c r="U341" i="3"/>
  <c r="U312" i="3"/>
  <c r="L167" i="3"/>
  <c r="E9" i="13" s="1"/>
  <c r="W138" i="3"/>
  <c r="U283" i="3"/>
  <c r="U196" i="3"/>
  <c r="Q80" i="3"/>
  <c r="S312" i="3"/>
  <c r="K14" i="13" s="1"/>
  <c r="W51" i="3"/>
  <c r="P312" i="3"/>
  <c r="H14" i="13" s="1"/>
  <c r="S167" i="3"/>
  <c r="K9" i="13" s="1"/>
  <c r="M347" i="3"/>
  <c r="K254" i="3"/>
  <c r="D12" i="13" s="1"/>
  <c r="L341" i="3"/>
  <c r="E15" i="13" s="1"/>
  <c r="W80" i="3"/>
  <c r="W283" i="3"/>
  <c r="Q225" i="3"/>
  <c r="V109" i="3"/>
  <c r="I7" i="13" s="1"/>
  <c r="M318" i="3"/>
  <c r="P283" i="3"/>
  <c r="H13" i="13" s="1"/>
  <c r="V283" i="3"/>
  <c r="I13" i="13" s="1"/>
  <c r="U254" i="3"/>
  <c r="N312" i="3"/>
  <c r="G14" i="13" s="1"/>
  <c r="J318" i="3"/>
  <c r="N14" i="13" s="1"/>
  <c r="V341" i="3"/>
  <c r="I15" i="13" s="1"/>
  <c r="U537" i="2"/>
  <c r="Q196" i="3"/>
  <c r="K80" i="3"/>
  <c r="D6" i="13" s="1"/>
  <c r="T80" i="3"/>
  <c r="J6" i="13" s="1"/>
  <c r="V51" i="3"/>
  <c r="I5" i="13" s="1"/>
  <c r="N144" i="3"/>
  <c r="Q8" i="13" s="1"/>
  <c r="U167" i="3"/>
  <c r="R138" i="3"/>
  <c r="X312" i="3"/>
  <c r="L14" i="13" s="1"/>
  <c r="P109" i="3"/>
  <c r="H7" i="13" s="1"/>
  <c r="T283" i="3"/>
  <c r="J13" i="13" s="1"/>
  <c r="O138" i="3"/>
  <c r="X341" i="3"/>
  <c r="T109" i="3"/>
  <c r="J7" i="13" s="1"/>
  <c r="W341" i="3"/>
  <c r="U80" i="3"/>
  <c r="R312" i="3"/>
  <c r="Q51" i="3"/>
  <c r="U682" i="2"/>
  <c r="P80" i="3"/>
  <c r="H6" i="13" s="1"/>
  <c r="N80" i="3"/>
  <c r="G6" i="13" s="1"/>
  <c r="Y196" i="3"/>
  <c r="N138" i="3"/>
  <c r="G8" i="13" s="1"/>
  <c r="Q167" i="3"/>
  <c r="R196" i="3"/>
  <c r="O283" i="3"/>
  <c r="X196" i="3"/>
  <c r="L10" i="13" s="1"/>
  <c r="P167" i="3"/>
  <c r="H9" i="13" s="1"/>
  <c r="L138" i="3"/>
  <c r="E8" i="13" s="1"/>
  <c r="Y167" i="3"/>
  <c r="K51" i="3"/>
  <c r="D5" i="13" s="1"/>
  <c r="O312" i="3"/>
  <c r="K109" i="3"/>
  <c r="D7" i="13" s="1"/>
  <c r="P138" i="3"/>
  <c r="H8" i="13" s="1"/>
  <c r="X254" i="3"/>
  <c r="L12" i="13" s="1"/>
  <c r="O109" i="3"/>
  <c r="Y138" i="3"/>
  <c r="Y109" i="3"/>
  <c r="X283" i="3"/>
  <c r="L13" i="13" s="1"/>
  <c r="S109" i="3"/>
  <c r="K7" i="13" s="1"/>
  <c r="R254" i="3"/>
  <c r="X109" i="3"/>
  <c r="L7" i="13" s="1"/>
  <c r="O318" i="3"/>
  <c r="Q318" i="3" s="1"/>
  <c r="O14" i="13" s="1"/>
  <c r="W109" i="3"/>
  <c r="L144" i="3"/>
  <c r="L254" i="3"/>
  <c r="E12" i="13" s="1"/>
  <c r="R80" i="3"/>
  <c r="O254" i="3"/>
  <c r="N283" i="3"/>
  <c r="G13" i="13" s="1"/>
  <c r="K312" i="3"/>
  <c r="D14" i="13" s="1"/>
  <c r="S51" i="3"/>
  <c r="K5" i="13" s="1"/>
  <c r="P225" i="3"/>
  <c r="H11" i="13" s="1"/>
  <c r="O341" i="3"/>
  <c r="V254" i="3"/>
  <c r="I12" i="13" s="1"/>
  <c r="Y51" i="3"/>
  <c r="R167" i="3"/>
  <c r="T341" i="3"/>
  <c r="J15" i="13" s="1"/>
  <c r="S196" i="3"/>
  <c r="K10" i="13" s="1"/>
  <c r="X80" i="3"/>
  <c r="L6" i="13" s="1"/>
  <c r="T196" i="3"/>
  <c r="J10" i="13" s="1"/>
  <c r="U127" i="2"/>
  <c r="S225" i="3"/>
  <c r="K11" i="13" s="1"/>
  <c r="N196" i="3"/>
  <c r="G10" i="13" s="1"/>
  <c r="L312" i="3"/>
  <c r="E14" i="13" s="1"/>
  <c r="R109" i="3"/>
  <c r="U138" i="3"/>
  <c r="S283" i="3"/>
  <c r="K13" i="13" s="1"/>
  <c r="N254" i="3"/>
  <c r="G12" i="13" s="1"/>
  <c r="N167" i="3"/>
  <c r="G9" i="13" s="1"/>
  <c r="O196" i="3"/>
  <c r="W196" i="3"/>
  <c r="N109" i="3"/>
  <c r="G7" i="13" s="1"/>
  <c r="AL111" i="2"/>
  <c r="K228" i="3" s="1"/>
  <c r="K138" i="3"/>
  <c r="D8" i="13" s="1"/>
  <c r="N318" i="3"/>
  <c r="Q14" i="13" s="1"/>
  <c r="X167" i="3"/>
  <c r="L9" i="13" s="1"/>
  <c r="K196" i="3"/>
  <c r="D10" i="13" s="1"/>
  <c r="R225" i="3"/>
  <c r="K167" i="3"/>
  <c r="D9" i="13" s="1"/>
  <c r="R51" i="3"/>
  <c r="O51" i="3"/>
  <c r="Q254" i="3"/>
  <c r="T167" i="3"/>
  <c r="J9" i="13" s="1"/>
  <c r="W225" i="3"/>
  <c r="S138" i="3"/>
  <c r="K8" i="13" s="1"/>
  <c r="Y225" i="3"/>
  <c r="V80" i="3"/>
  <c r="I6" i="13" s="1"/>
  <c r="Y80" i="3"/>
  <c r="U51" i="3"/>
  <c r="O231" i="3"/>
  <c r="P231" i="3" s="1"/>
  <c r="P11" i="13" s="1"/>
  <c r="W312" i="3"/>
  <c r="Y341" i="3"/>
  <c r="U109" i="3"/>
  <c r="Q138" i="3"/>
  <c r="U304" i="2"/>
  <c r="M13" i="3" s="1"/>
  <c r="AQ137" i="2"/>
  <c r="U165" i="2"/>
  <c r="M96" i="3" s="1"/>
  <c r="L96" i="3"/>
  <c r="L109" i="3" s="1"/>
  <c r="E7" i="13" s="1"/>
  <c r="AL99" i="2"/>
  <c r="K54" i="3" s="1"/>
  <c r="K57" i="3" s="1"/>
  <c r="J54" i="3"/>
  <c r="J57" i="3" s="1"/>
  <c r="N5" i="13" s="1"/>
  <c r="U8" i="2"/>
  <c r="AR132" i="2"/>
  <c r="Q170" i="3" s="1"/>
  <c r="O170" i="3"/>
  <c r="AR92" i="2"/>
  <c r="Q142" i="3" s="1"/>
  <c r="O142" i="3"/>
  <c r="O144" i="3" s="1"/>
  <c r="AR126" i="2"/>
  <c r="Q345" i="3" s="1"/>
  <c r="O345" i="3"/>
  <c r="O347" i="3" s="1"/>
  <c r="AL96" i="2"/>
  <c r="K141" i="3" s="1"/>
  <c r="U18" i="2"/>
  <c r="M213" i="3" s="1"/>
  <c r="L213" i="3"/>
  <c r="L225" i="3" s="1"/>
  <c r="E11" i="13" s="1"/>
  <c r="AR82" i="2"/>
  <c r="Q83" i="3" s="1"/>
  <c r="O83" i="3"/>
  <c r="O86" i="3" s="1"/>
  <c r="AL154" i="2"/>
  <c r="AL112" i="2"/>
  <c r="K171" i="3" s="1"/>
  <c r="J171" i="3"/>
  <c r="J173" i="3" s="1"/>
  <c r="N9" i="13" s="1"/>
  <c r="AR145" i="2"/>
  <c r="Q286" i="3" s="1"/>
  <c r="O286" i="3"/>
  <c r="O289" i="3" s="1"/>
  <c r="P289" i="3" s="1"/>
  <c r="P13" i="13" s="1"/>
  <c r="AL218" i="2"/>
  <c r="U140" i="2"/>
  <c r="M208" i="3" s="1"/>
  <c r="Y6" i="3"/>
  <c r="Y267" i="3"/>
  <c r="Y283" i="3" s="1"/>
  <c r="R6" i="3"/>
  <c r="R22" i="3" s="1"/>
  <c r="R267" i="3"/>
  <c r="R283" i="3" s="1"/>
  <c r="AR133" i="2"/>
  <c r="Q55" i="3" s="1"/>
  <c r="O55" i="3"/>
  <c r="O57" i="3" s="1"/>
  <c r="AR112" i="2"/>
  <c r="Q171" i="3" s="1"/>
  <c r="O171" i="3"/>
  <c r="AL87" i="2"/>
  <c r="K84" i="3" s="1"/>
  <c r="L84" i="3"/>
  <c r="L86" i="3" s="1"/>
  <c r="AQ98" i="2"/>
  <c r="P200" i="3" s="1"/>
  <c r="N200" i="3"/>
  <c r="N202" i="3" s="1"/>
  <c r="AL124" i="2"/>
  <c r="K258" i="3" s="1"/>
  <c r="J258" i="3"/>
  <c r="J260" i="3" s="1"/>
  <c r="N12" i="13" s="1"/>
  <c r="AR124" i="2"/>
  <c r="Q258" i="3" s="1"/>
  <c r="O258" i="3"/>
  <c r="O260" i="3" s="1"/>
  <c r="AL180" i="2"/>
  <c r="K287" i="3" s="1"/>
  <c r="J287" i="3"/>
  <c r="J289" i="3" s="1"/>
  <c r="N13" i="13" s="1"/>
  <c r="AL164" i="2"/>
  <c r="K229" i="3" s="1"/>
  <c r="L229" i="3"/>
  <c r="L231" i="3" s="1"/>
  <c r="U209" i="2"/>
  <c r="M32" i="3" s="1"/>
  <c r="L32" i="3"/>
  <c r="L51" i="3" s="1"/>
  <c r="E5" i="13" s="1"/>
  <c r="U259" i="2"/>
  <c r="M69" i="3" s="1"/>
  <c r="L69" i="3"/>
  <c r="L80" i="3" s="1"/>
  <c r="E6" i="13" s="1"/>
  <c r="U142" i="2"/>
  <c r="M182" i="3" s="1"/>
  <c r="L182" i="3"/>
  <c r="L196" i="3" s="1"/>
  <c r="E10" i="13" s="1"/>
  <c r="AL76" i="2"/>
  <c r="K199" i="3" s="1"/>
  <c r="K202" i="3" s="1"/>
  <c r="J199" i="3"/>
  <c r="J202" i="3" s="1"/>
  <c r="N10" i="13" s="1"/>
  <c r="Q86" i="3"/>
  <c r="O6" i="13" s="1"/>
  <c r="Z675" i="12"/>
  <c r="U523" i="2"/>
  <c r="X709" i="12"/>
  <c r="AA674" i="12"/>
  <c r="Z696" i="12"/>
  <c r="U527" i="2"/>
  <c r="AL320" i="2"/>
  <c r="AB702" i="12"/>
  <c r="AL182" i="2"/>
  <c r="U231" i="2"/>
  <c r="U60" i="2"/>
  <c r="M155" i="3" s="1"/>
  <c r="U568" i="2"/>
  <c r="U507" i="2"/>
  <c r="U569" i="2"/>
  <c r="U578" i="2"/>
  <c r="U294" i="2"/>
  <c r="X373" i="3"/>
  <c r="AL86" i="2"/>
  <c r="K344" i="3" s="1"/>
  <c r="AA704" i="12"/>
  <c r="U90" i="2"/>
  <c r="M272" i="3" s="1"/>
  <c r="M551" i="12"/>
  <c r="AA713" i="12"/>
  <c r="AA708" i="12"/>
  <c r="AB674" i="12"/>
  <c r="AQ205" i="2"/>
  <c r="AR205" i="2"/>
  <c r="AA731" i="12"/>
  <c r="X672" i="12"/>
  <c r="AB688" i="12"/>
  <c r="Z718" i="12"/>
  <c r="AA667" i="12"/>
  <c r="O595" i="12"/>
  <c r="AB725" i="12"/>
  <c r="Q638" i="12"/>
  <c r="X711" i="12"/>
  <c r="AA666" i="12"/>
  <c r="AA702" i="12"/>
  <c r="F534" i="12"/>
  <c r="Z679" i="12"/>
  <c r="L538" i="12"/>
  <c r="X731" i="12"/>
  <c r="AL69" i="2"/>
  <c r="K315" i="3" s="1"/>
  <c r="U313" i="2"/>
  <c r="AQ248" i="2"/>
  <c r="AR248" i="2"/>
  <c r="AA723" i="12"/>
  <c r="U227" i="2"/>
  <c r="I22" i="3"/>
  <c r="Z370" i="3"/>
  <c r="Q202" i="3"/>
  <c r="O10" i="13" s="1"/>
  <c r="Q463" i="3"/>
  <c r="G557" i="12"/>
  <c r="O642" i="12"/>
  <c r="L414" i="12"/>
  <c r="K379" i="12"/>
  <c r="M273" i="12"/>
  <c r="U58" i="2"/>
  <c r="M60" i="3" s="1"/>
  <c r="U55" i="2"/>
  <c r="G615" i="12"/>
  <c r="S427" i="12"/>
  <c r="T334" i="12"/>
  <c r="N581" i="12"/>
  <c r="S506" i="12"/>
  <c r="I498" i="12"/>
  <c r="M598" i="12"/>
  <c r="K246" i="12"/>
  <c r="O594" i="12"/>
  <c r="J302" i="12"/>
  <c r="M377" i="12"/>
  <c r="R651" i="12"/>
  <c r="O600" i="12"/>
  <c r="F613" i="12"/>
  <c r="R220" i="12"/>
  <c r="N291" i="12"/>
  <c r="Q569" i="12"/>
  <c r="L534" i="12"/>
  <c r="O648" i="12"/>
  <c r="I624" i="12"/>
  <c r="Q433" i="12"/>
  <c r="S379" i="12"/>
  <c r="N363" i="12"/>
  <c r="O292" i="12"/>
  <c r="P446" i="12"/>
  <c r="P451" i="12"/>
  <c r="R544" i="12"/>
  <c r="P584" i="12"/>
  <c r="I639" i="12"/>
  <c r="S254" i="12"/>
  <c r="J618" i="12"/>
  <c r="T584" i="12"/>
  <c r="L557" i="12"/>
  <c r="R472" i="12"/>
  <c r="N564" i="12"/>
  <c r="P497" i="12"/>
  <c r="T646" i="12"/>
  <c r="G600" i="12"/>
  <c r="K566" i="12"/>
  <c r="P364" i="12"/>
  <c r="T611" i="12"/>
  <c r="I475" i="12"/>
  <c r="K599" i="12"/>
  <c r="I626" i="12"/>
  <c r="I557" i="12"/>
  <c r="O640" i="12"/>
  <c r="T554" i="12"/>
  <c r="R381" i="12"/>
  <c r="T351" i="12"/>
  <c r="I614" i="12"/>
  <c r="U594" i="2"/>
  <c r="U436" i="2"/>
  <c r="J602" i="12"/>
  <c r="R434" i="12"/>
  <c r="F584" i="12"/>
  <c r="Q608" i="12"/>
  <c r="J572" i="12"/>
  <c r="L561" i="12"/>
  <c r="G371" i="12"/>
  <c r="U121" i="2"/>
  <c r="M68" i="3" s="1"/>
  <c r="L487" i="12"/>
  <c r="O331" i="12"/>
  <c r="Q287" i="12"/>
  <c r="N407" i="12"/>
  <c r="M508" i="12"/>
  <c r="M454" i="12"/>
  <c r="S628" i="12"/>
  <c r="M538" i="12"/>
  <c r="T628" i="12"/>
  <c r="P636" i="12"/>
  <c r="N538" i="12"/>
  <c r="K554" i="12"/>
  <c r="J381" i="12"/>
  <c r="F500" i="12"/>
  <c r="I549" i="12"/>
  <c r="R293" i="12"/>
  <c r="L482" i="12"/>
  <c r="I379" i="12"/>
  <c r="J335" i="12"/>
  <c r="M391" i="12"/>
  <c r="Q650" i="12"/>
  <c r="U310" i="2"/>
  <c r="K555" i="12"/>
  <c r="R648" i="12"/>
  <c r="P427" i="12"/>
  <c r="F360" i="12"/>
  <c r="I477" i="12"/>
  <c r="P287" i="12"/>
  <c r="M608" i="12"/>
  <c r="Q467" i="12"/>
  <c r="O597" i="12"/>
  <c r="T251" i="12"/>
  <c r="X402" i="3"/>
  <c r="U460" i="3"/>
  <c r="Q376" i="3"/>
  <c r="K427" i="12"/>
  <c r="G381" i="12"/>
  <c r="P605" i="12"/>
  <c r="L583" i="12"/>
  <c r="Q381" i="12"/>
  <c r="K424" i="12"/>
  <c r="G477" i="12"/>
  <c r="Q254" i="12"/>
  <c r="R333" i="12"/>
  <c r="P626" i="12"/>
  <c r="Q624" i="12"/>
  <c r="T640" i="12"/>
  <c r="O536" i="12"/>
  <c r="M607" i="12"/>
  <c r="F427" i="12"/>
  <c r="U653" i="2"/>
  <c r="J628" i="12"/>
  <c r="J555" i="12"/>
  <c r="G444" i="12"/>
  <c r="U671" i="2"/>
  <c r="F477" i="12"/>
  <c r="U663" i="2"/>
  <c r="K430" i="12"/>
  <c r="R347" i="12"/>
  <c r="Q495" i="12"/>
  <c r="S432" i="12"/>
  <c r="Q555" i="12"/>
  <c r="N430" i="12"/>
  <c r="Q477" i="12"/>
  <c r="U655" i="2"/>
  <c r="P624" i="12"/>
  <c r="T552" i="12"/>
  <c r="L465" i="12"/>
  <c r="J611" i="12"/>
  <c r="Q630" i="12"/>
  <c r="O566" i="12"/>
  <c r="P572" i="12"/>
  <c r="M553" i="12"/>
  <c r="F572" i="12"/>
  <c r="O521" i="12"/>
  <c r="F607" i="12"/>
  <c r="U714" i="2"/>
  <c r="L548" i="12"/>
  <c r="Z666" i="12"/>
  <c r="S636" i="12"/>
  <c r="J588" i="12"/>
  <c r="J427" i="12"/>
  <c r="S595" i="12"/>
  <c r="P532" i="12"/>
  <c r="P534" i="12"/>
  <c r="M475" i="12"/>
  <c r="J557" i="12"/>
  <c r="M611" i="12"/>
  <c r="Z457" i="3"/>
  <c r="K636" i="12"/>
  <c r="R638" i="12"/>
  <c r="M584" i="12"/>
  <c r="S557" i="12"/>
  <c r="AA688" i="12"/>
  <c r="P606" i="12"/>
  <c r="F532" i="12"/>
  <c r="U703" i="2"/>
  <c r="AB675" i="12"/>
  <c r="F612" i="12"/>
  <c r="U716" i="2"/>
  <c r="Z713" i="12"/>
  <c r="R588" i="12"/>
  <c r="M602" i="12"/>
  <c r="M633" i="12"/>
  <c r="P569" i="12"/>
  <c r="N447" i="12"/>
  <c r="S596" i="12"/>
  <c r="L508" i="12"/>
  <c r="Q557" i="12"/>
  <c r="X708" i="12"/>
  <c r="U431" i="3"/>
  <c r="I526" i="12"/>
  <c r="N634" i="12"/>
  <c r="X688" i="12"/>
  <c r="AL247" i="2"/>
  <c r="K602" i="12"/>
  <c r="J512" i="12"/>
  <c r="L536" i="12"/>
  <c r="F640" i="12"/>
  <c r="U724" i="2"/>
  <c r="T602" i="12"/>
  <c r="I512" i="12"/>
  <c r="X714" i="12"/>
  <c r="L612" i="12"/>
  <c r="K624" i="12"/>
  <c r="K642" i="12"/>
  <c r="T538" i="12"/>
  <c r="AR312" i="2"/>
  <c r="AQ312" i="2"/>
  <c r="J607" i="12"/>
  <c r="S534" i="12"/>
  <c r="G584" i="12"/>
  <c r="U695" i="2"/>
  <c r="G465" i="12"/>
  <c r="U676" i="2"/>
  <c r="N552" i="12"/>
  <c r="S444" i="12"/>
  <c r="F373" i="12"/>
  <c r="U596" i="2"/>
  <c r="R646" i="12"/>
  <c r="S624" i="12"/>
  <c r="K617" i="12"/>
  <c r="Q602" i="12"/>
  <c r="S612" i="12"/>
  <c r="K648" i="12"/>
  <c r="G572" i="12"/>
  <c r="U705" i="2"/>
  <c r="Q538" i="12"/>
  <c r="Q581" i="12"/>
  <c r="F555" i="12"/>
  <c r="U687" i="2"/>
  <c r="G447" i="12"/>
  <c r="L596" i="12"/>
  <c r="N558" i="12"/>
  <c r="F547" i="12"/>
  <c r="U673" i="2"/>
  <c r="O546" i="12"/>
  <c r="I472" i="12"/>
  <c r="F506" i="12"/>
  <c r="U681" i="2"/>
  <c r="S421" i="12"/>
  <c r="G425" i="12"/>
  <c r="J482" i="12"/>
  <c r="P518" i="12"/>
  <c r="P595" i="12"/>
  <c r="R632" i="12"/>
  <c r="G539" i="12"/>
  <c r="G471" i="12"/>
  <c r="J391" i="12"/>
  <c r="O432" i="12"/>
  <c r="T367" i="12"/>
  <c r="F605" i="12"/>
  <c r="U717" i="2"/>
  <c r="I633" i="12"/>
  <c r="G521" i="12"/>
  <c r="R596" i="12"/>
  <c r="M546" i="12"/>
  <c r="T406" i="12"/>
  <c r="Q523" i="12"/>
  <c r="Q421" i="12"/>
  <c r="N459" i="12"/>
  <c r="I489" i="12"/>
  <c r="N584" i="12"/>
  <c r="K611" i="12"/>
  <c r="F558" i="12"/>
  <c r="U675" i="2"/>
  <c r="O447" i="12"/>
  <c r="P596" i="12"/>
  <c r="P424" i="12"/>
  <c r="R410" i="12"/>
  <c r="Q498" i="12"/>
  <c r="M432" i="12"/>
  <c r="G347" i="12"/>
  <c r="R489" i="12"/>
  <c r="X681" i="12"/>
  <c r="N521" i="12"/>
  <c r="O623" i="12"/>
  <c r="O471" i="12"/>
  <c r="R406" i="12"/>
  <c r="I483" i="12"/>
  <c r="T360" i="12"/>
  <c r="F542" i="12"/>
  <c r="U665" i="2"/>
  <c r="N628" i="12"/>
  <c r="N593" i="12"/>
  <c r="I450" i="12"/>
  <c r="P430" i="12"/>
  <c r="O500" i="12"/>
  <c r="S516" i="12"/>
  <c r="O495" i="12"/>
  <c r="T434" i="12"/>
  <c r="T388" i="12"/>
  <c r="S452" i="12"/>
  <c r="I454" i="12"/>
  <c r="I492" i="12"/>
  <c r="R444" i="12"/>
  <c r="Z711" i="12"/>
  <c r="X722" i="12"/>
  <c r="L549" i="12"/>
  <c r="Q487" i="12"/>
  <c r="R452" i="12"/>
  <c r="N542" i="12"/>
  <c r="L379" i="12"/>
  <c r="M595" i="12"/>
  <c r="P551" i="12"/>
  <c r="AL226" i="2"/>
  <c r="K516" i="12"/>
  <c r="G451" i="12"/>
  <c r="G360" i="12"/>
  <c r="Q452" i="12"/>
  <c r="Q593" i="12"/>
  <c r="K518" i="12"/>
  <c r="P594" i="12"/>
  <c r="AR236" i="2"/>
  <c r="AQ236" i="2"/>
  <c r="T583" i="12"/>
  <c r="J495" i="12"/>
  <c r="R446" i="12"/>
  <c r="R497" i="12"/>
  <c r="I307" i="12"/>
  <c r="F355" i="12"/>
  <c r="U608" i="2"/>
  <c r="L355" i="12"/>
  <c r="G333" i="12"/>
  <c r="K331" i="12"/>
  <c r="O371" i="12"/>
  <c r="S618" i="12"/>
  <c r="F600" i="12"/>
  <c r="U488" i="2"/>
  <c r="Q329" i="12"/>
  <c r="I635" i="12"/>
  <c r="P438" i="12"/>
  <c r="J438" i="12"/>
  <c r="S416" i="12"/>
  <c r="N400" i="12"/>
  <c r="J426" i="12"/>
  <c r="T407" i="12"/>
  <c r="S384" i="12"/>
  <c r="G348" i="12"/>
  <c r="U586" i="2"/>
  <c r="M422" i="12"/>
  <c r="M520" i="12"/>
  <c r="I417" i="12"/>
  <c r="Q399" i="12"/>
  <c r="O325" i="12"/>
  <c r="N352" i="12"/>
  <c r="R433" i="12"/>
  <c r="P350" i="12"/>
  <c r="K613" i="12"/>
  <c r="G635" i="12"/>
  <c r="G609" i="12"/>
  <c r="O620" i="12"/>
  <c r="O448" i="12"/>
  <c r="O462" i="12"/>
  <c r="S346" i="12"/>
  <c r="Q379" i="12"/>
  <c r="K644" i="12"/>
  <c r="F280" i="12"/>
  <c r="U558" i="2"/>
  <c r="O652" i="12"/>
  <c r="O587" i="12"/>
  <c r="K422" i="12"/>
  <c r="M363" i="12"/>
  <c r="K621" i="12"/>
  <c r="M417" i="12"/>
  <c r="R459" i="12"/>
  <c r="J398" i="12"/>
  <c r="L351" i="12"/>
  <c r="Q474" i="12"/>
  <c r="P429" i="12"/>
  <c r="I320" i="12"/>
  <c r="L563" i="12"/>
  <c r="O608" i="12"/>
  <c r="J573" i="12"/>
  <c r="K525" i="12"/>
  <c r="O635" i="12"/>
  <c r="M620" i="12"/>
  <c r="L582" i="12"/>
  <c r="S470" i="12"/>
  <c r="R542" i="12"/>
  <c r="P346" i="12"/>
  <c r="P474" i="12"/>
  <c r="O280" i="12"/>
  <c r="O654" i="12"/>
  <c r="L358" i="12"/>
  <c r="I651" i="12"/>
  <c r="S639" i="12"/>
  <c r="N451" i="12"/>
  <c r="I421" i="12"/>
  <c r="N346" i="12"/>
  <c r="R386" i="12"/>
  <c r="P649" i="12"/>
  <c r="Q302" i="12"/>
  <c r="Q258" i="12"/>
  <c r="Q225" i="12"/>
  <c r="J378" i="12"/>
  <c r="F456" i="12"/>
  <c r="S350" i="12"/>
  <c r="O422" i="12"/>
  <c r="F392" i="12"/>
  <c r="U627" i="2"/>
  <c r="T392" i="12"/>
  <c r="J641" i="12"/>
  <c r="T637" i="12"/>
  <c r="M342" i="12"/>
  <c r="J574" i="12"/>
  <c r="N320" i="12"/>
  <c r="S393" i="12"/>
  <c r="T285" i="12"/>
  <c r="J358" i="12"/>
  <c r="S585" i="12"/>
  <c r="N501" i="12"/>
  <c r="J494" i="12"/>
  <c r="P283" i="12"/>
  <c r="O368" i="12"/>
  <c r="S519" i="12"/>
  <c r="L533" i="12"/>
  <c r="S223" i="12"/>
  <c r="AB691" i="12"/>
  <c r="I365" i="12"/>
  <c r="G281" i="12"/>
  <c r="O246" i="12"/>
  <c r="I251" i="12"/>
  <c r="I277" i="12"/>
  <c r="P128" i="12"/>
  <c r="L212" i="12"/>
  <c r="S642" i="12"/>
  <c r="I632" i="12"/>
  <c r="P512" i="12"/>
  <c r="O599" i="12"/>
  <c r="R593" i="12"/>
  <c r="S435" i="12"/>
  <c r="P614" i="12"/>
  <c r="R399" i="12"/>
  <c r="P386" i="12"/>
  <c r="F325" i="12"/>
  <c r="U572" i="2"/>
  <c r="T429" i="12"/>
  <c r="N258" i="12"/>
  <c r="L625" i="12"/>
  <c r="G433" i="12"/>
  <c r="R362" i="12"/>
  <c r="L651" i="12"/>
  <c r="Z694" i="12"/>
  <c r="L621" i="12"/>
  <c r="F462" i="12"/>
  <c r="U630" i="2"/>
  <c r="S649" i="12"/>
  <c r="M346" i="12"/>
  <c r="R379" i="12"/>
  <c r="L644" i="12"/>
  <c r="S429" i="12"/>
  <c r="O618" i="12"/>
  <c r="G652" i="12"/>
  <c r="N587" i="12"/>
  <c r="T613" i="12"/>
  <c r="L525" i="12"/>
  <c r="P609" i="12"/>
  <c r="O589" i="12"/>
  <c r="Q472" i="12"/>
  <c r="Q603" i="12"/>
  <c r="J474" i="12"/>
  <c r="G429" i="12"/>
  <c r="S320" i="12"/>
  <c r="P280" i="12"/>
  <c r="S613" i="12"/>
  <c r="L517" i="12"/>
  <c r="T520" i="12"/>
  <c r="M300" i="12"/>
  <c r="J470" i="12"/>
  <c r="M489" i="12"/>
  <c r="P414" i="12"/>
  <c r="K492" i="12"/>
  <c r="P334" i="12"/>
  <c r="O407" i="12"/>
  <c r="G280" i="12"/>
  <c r="N433" i="12"/>
  <c r="T364" i="12"/>
  <c r="G288" i="12"/>
  <c r="G434" i="12"/>
  <c r="M367" i="12"/>
  <c r="N454" i="12"/>
  <c r="M414" i="12"/>
  <c r="R398" i="12"/>
  <c r="L498" i="12"/>
  <c r="K489" i="12"/>
  <c r="K386" i="12"/>
  <c r="N467" i="12"/>
  <c r="G466" i="12"/>
  <c r="P398" i="12"/>
  <c r="R302" i="12"/>
  <c r="Q653" i="12"/>
  <c r="O625" i="12"/>
  <c r="T378" i="12"/>
  <c r="O643" i="12"/>
  <c r="R348" i="12"/>
  <c r="R626" i="12"/>
  <c r="G392" i="12"/>
  <c r="T653" i="12"/>
  <c r="R647" i="12"/>
  <c r="O343" i="12"/>
  <c r="X686" i="12"/>
  <c r="AL181" i="2"/>
  <c r="G528" i="12"/>
  <c r="U439" i="2"/>
  <c r="I271" i="12"/>
  <c r="P282" i="12"/>
  <c r="L620" i="12"/>
  <c r="T529" i="12"/>
  <c r="S175" i="12"/>
  <c r="T527" i="12"/>
  <c r="R145" i="12"/>
  <c r="M370" i="12"/>
  <c r="L370" i="12"/>
  <c r="P299" i="12"/>
  <c r="X727" i="12"/>
  <c r="AL183" i="2"/>
  <c r="M396" i="12"/>
  <c r="J248" i="12"/>
  <c r="F313" i="12"/>
  <c r="U584" i="2"/>
  <c r="P218" i="12"/>
  <c r="T560" i="12"/>
  <c r="P220" i="12"/>
  <c r="K251" i="12"/>
  <c r="M478" i="12"/>
  <c r="T361" i="12"/>
  <c r="I361" i="12"/>
  <c r="K411" i="12"/>
  <c r="G435" i="12"/>
  <c r="K616" i="12"/>
  <c r="M232" i="12"/>
  <c r="I436" i="12"/>
  <c r="S251" i="12"/>
  <c r="P452" i="12"/>
  <c r="J419" i="12"/>
  <c r="N494" i="12"/>
  <c r="N370" i="12"/>
  <c r="N314" i="12"/>
  <c r="N615" i="12"/>
  <c r="N380" i="12"/>
  <c r="N429" i="12"/>
  <c r="N362" i="12"/>
  <c r="N462" i="12"/>
  <c r="R163" i="12"/>
  <c r="N219" i="12"/>
  <c r="P524" i="12"/>
  <c r="I235" i="12"/>
  <c r="I221" i="12"/>
  <c r="I585" i="12"/>
  <c r="I352" i="12"/>
  <c r="I482" i="12"/>
  <c r="I590" i="12"/>
  <c r="I345" i="12"/>
  <c r="I525" i="12"/>
  <c r="I599" i="12"/>
  <c r="I364" i="12"/>
  <c r="I579" i="12"/>
  <c r="I622" i="12"/>
  <c r="I353" i="12"/>
  <c r="I293" i="12"/>
  <c r="I587" i="12"/>
  <c r="I456" i="12"/>
  <c r="I254" i="12"/>
  <c r="I474" i="12"/>
  <c r="I603" i="12"/>
  <c r="I242" i="12"/>
  <c r="I311" i="12"/>
  <c r="I300" i="12"/>
  <c r="I517" i="12"/>
  <c r="I530" i="12"/>
  <c r="I299" i="12"/>
  <c r="I291" i="12"/>
  <c r="I545" i="12"/>
  <c r="I380" i="12"/>
  <c r="I350" i="12"/>
  <c r="I527" i="12"/>
  <c r="I600" i="12"/>
  <c r="I329" i="12"/>
  <c r="I560" i="12"/>
  <c r="I576" i="12"/>
  <c r="I106" i="12"/>
  <c r="I389" i="12"/>
  <c r="I649" i="12"/>
  <c r="I504" i="12"/>
  <c r="I385" i="12"/>
  <c r="F576" i="12"/>
  <c r="T578" i="12"/>
  <c r="S287" i="12"/>
  <c r="O284" i="12"/>
  <c r="G344" i="12"/>
  <c r="M179" i="12"/>
  <c r="F598" i="12"/>
  <c r="U712" i="2"/>
  <c r="O498" i="12"/>
  <c r="R595" i="12"/>
  <c r="J450" i="12"/>
  <c r="G254" i="12"/>
  <c r="M406" i="12"/>
  <c r="AB695" i="12"/>
  <c r="G362" i="12"/>
  <c r="N360" i="12"/>
  <c r="P462" i="12"/>
  <c r="N386" i="12"/>
  <c r="K398" i="12"/>
  <c r="F644" i="12"/>
  <c r="U560" i="2"/>
  <c r="F376" i="12"/>
  <c r="U618" i="2"/>
  <c r="R407" i="12"/>
  <c r="R618" i="12"/>
  <c r="Q652" i="12"/>
  <c r="N358" i="12"/>
  <c r="J613" i="12"/>
  <c r="O335" i="12"/>
  <c r="M517" i="12"/>
  <c r="P635" i="12"/>
  <c r="F609" i="12"/>
  <c r="U538" i="2"/>
  <c r="K520" i="12"/>
  <c r="M410" i="12"/>
  <c r="F425" i="12"/>
  <c r="AA693" i="12"/>
  <c r="I443" i="12"/>
  <c r="T474" i="12"/>
  <c r="Q429" i="12"/>
  <c r="J320" i="12"/>
  <c r="N377" i="12"/>
  <c r="I378" i="12"/>
  <c r="L456" i="12"/>
  <c r="M587" i="12"/>
  <c r="I613" i="12"/>
  <c r="O336" i="12"/>
  <c r="M329" i="12"/>
  <c r="T655" i="12"/>
  <c r="J520" i="12"/>
  <c r="F451" i="12"/>
  <c r="T470" i="12"/>
  <c r="F454" i="12"/>
  <c r="U642" i="2"/>
  <c r="R467" i="12"/>
  <c r="X693" i="12"/>
  <c r="M426" i="12"/>
  <c r="G376" i="12"/>
  <c r="N334" i="12"/>
  <c r="G407" i="12"/>
  <c r="Q280" i="12"/>
  <c r="M652" i="12"/>
  <c r="J364" i="12"/>
  <c r="R453" i="12"/>
  <c r="J622" i="12"/>
  <c r="M423" i="12"/>
  <c r="R462" i="12"/>
  <c r="S400" i="12"/>
  <c r="F398" i="12"/>
  <c r="N416" i="12"/>
  <c r="L386" i="12"/>
  <c r="AA672" i="12"/>
  <c r="K367" i="12"/>
  <c r="L345" i="12"/>
  <c r="N398" i="12"/>
  <c r="R443" i="12"/>
  <c r="K653" i="12"/>
  <c r="J625" i="12"/>
  <c r="I643" i="12"/>
  <c r="R287" i="12"/>
  <c r="P525" i="12"/>
  <c r="S597" i="12"/>
  <c r="K392" i="12"/>
  <c r="N651" i="12"/>
  <c r="I647" i="12"/>
  <c r="F343" i="12"/>
  <c r="U557" i="2"/>
  <c r="P650" i="12"/>
  <c r="I655" i="12"/>
  <c r="G478" i="12"/>
  <c r="U388" i="2"/>
  <c r="G389" i="12"/>
  <c r="U358" i="2"/>
  <c r="F285" i="12"/>
  <c r="U575" i="2"/>
  <c r="F627" i="12"/>
  <c r="R289" i="12"/>
  <c r="F631" i="12"/>
  <c r="N242" i="12"/>
  <c r="L407" i="12"/>
  <c r="L255" i="12"/>
  <c r="O501" i="12"/>
  <c r="I333" i="12"/>
  <c r="K627" i="12"/>
  <c r="T519" i="12"/>
  <c r="R559" i="12"/>
  <c r="L575" i="12"/>
  <c r="O428" i="12"/>
  <c r="G582" i="12"/>
  <c r="J365" i="12"/>
  <c r="I615" i="12"/>
  <c r="Q255" i="12"/>
  <c r="T635" i="12"/>
  <c r="J225" i="12"/>
  <c r="K626" i="12"/>
  <c r="S387" i="12"/>
  <c r="K218" i="12"/>
  <c r="P436" i="12"/>
  <c r="I499" i="12"/>
  <c r="G510" i="12"/>
  <c r="M203" i="12"/>
  <c r="L541" i="12"/>
  <c r="L242" i="12"/>
  <c r="L579" i="12"/>
  <c r="L560" i="12"/>
  <c r="L377" i="12"/>
  <c r="L264" i="12"/>
  <c r="L336" i="12"/>
  <c r="L647" i="12"/>
  <c r="L429" i="12"/>
  <c r="L608" i="12"/>
  <c r="L635" i="12"/>
  <c r="L591" i="12"/>
  <c r="L258" i="12"/>
  <c r="L570" i="12"/>
  <c r="L232" i="12"/>
  <c r="L299" i="12"/>
  <c r="L652" i="12"/>
  <c r="L618" i="12"/>
  <c r="L314" i="12"/>
  <c r="L320" i="12"/>
  <c r="L248" i="12"/>
  <c r="L254" i="12"/>
  <c r="L343" i="12"/>
  <c r="L280" i="12"/>
  <c r="L654" i="12"/>
  <c r="L478" i="12"/>
  <c r="L433" i="12"/>
  <c r="L384" i="12"/>
  <c r="L426" i="12"/>
  <c r="L519" i="12"/>
  <c r="L515" i="12"/>
  <c r="L609" i="12"/>
  <c r="L289" i="12"/>
  <c r="L335" i="12"/>
  <c r="L380" i="12"/>
  <c r="L597" i="12"/>
  <c r="L510" i="12"/>
  <c r="L271" i="12"/>
  <c r="L545" i="12"/>
  <c r="L286" i="12"/>
  <c r="L108" i="12"/>
  <c r="L420" i="12"/>
  <c r="K314" i="12"/>
  <c r="G442" i="12"/>
  <c r="U321" i="2"/>
  <c r="X690" i="12"/>
  <c r="AL152" i="2"/>
  <c r="X695" i="12"/>
  <c r="X706" i="12"/>
  <c r="X662" i="12"/>
  <c r="P208" i="12"/>
  <c r="K377" i="12"/>
  <c r="R106" i="12"/>
  <c r="F170" i="12"/>
  <c r="AR332" i="2"/>
  <c r="AQ332" i="2"/>
  <c r="N648" i="12"/>
  <c r="R536" i="12"/>
  <c r="T381" i="12"/>
  <c r="P558" i="12"/>
  <c r="T448" i="12"/>
  <c r="J360" i="12"/>
  <c r="S450" i="12"/>
  <c r="J388" i="12"/>
  <c r="Q483" i="12"/>
  <c r="K596" i="12"/>
  <c r="P598" i="12"/>
  <c r="S549" i="12"/>
  <c r="T426" i="12"/>
  <c r="N525" i="12"/>
  <c r="L611" i="12"/>
  <c r="AR270" i="2"/>
  <c r="AQ270" i="2"/>
  <c r="Q648" i="12"/>
  <c r="T465" i="12"/>
  <c r="K612" i="12"/>
  <c r="P288" i="12"/>
  <c r="T638" i="12"/>
  <c r="T518" i="12"/>
  <c r="T596" i="12"/>
  <c r="S632" i="12"/>
  <c r="M434" i="12"/>
  <c r="I414" i="12"/>
  <c r="K552" i="12"/>
  <c r="O454" i="12"/>
  <c r="J258" i="12"/>
  <c r="G358" i="12"/>
  <c r="M416" i="12"/>
  <c r="T379" i="12"/>
  <c r="Q377" i="12"/>
  <c r="M573" i="12"/>
  <c r="F614" i="12"/>
  <c r="I399" i="12"/>
  <c r="L398" i="12"/>
  <c r="P652" i="12"/>
  <c r="T630" i="12"/>
  <c r="AB709" i="12"/>
  <c r="Z683" i="12"/>
  <c r="R475" i="12"/>
  <c r="M634" i="12"/>
  <c r="S465" i="12"/>
  <c r="O427" i="12"/>
  <c r="K538" i="12"/>
  <c r="S540" i="12"/>
  <c r="AA700" i="12"/>
  <c r="M638" i="12"/>
  <c r="L634" i="12"/>
  <c r="Z702" i="12"/>
  <c r="K606" i="12"/>
  <c r="L638" i="12"/>
  <c r="J624" i="12"/>
  <c r="S572" i="12"/>
  <c r="M557" i="12"/>
  <c r="S544" i="12"/>
  <c r="G553" i="12"/>
  <c r="U685" i="2"/>
  <c r="J532" i="12"/>
  <c r="Q540" i="12"/>
  <c r="F288" i="12"/>
  <c r="U518" i="2"/>
  <c r="Z689" i="12"/>
  <c r="T612" i="12"/>
  <c r="K598" i="12"/>
  <c r="G508" i="12"/>
  <c r="L427" i="12"/>
  <c r="S606" i="12"/>
  <c r="M636" i="12"/>
  <c r="J638" i="12"/>
  <c r="I634" i="12"/>
  <c r="O465" i="12"/>
  <c r="J518" i="12"/>
  <c r="R532" i="12"/>
  <c r="N373" i="12"/>
  <c r="T648" i="12"/>
  <c r="N518" i="12"/>
  <c r="R583" i="12"/>
  <c r="G596" i="12"/>
  <c r="T547" i="12"/>
  <c r="R549" i="12"/>
  <c r="S603" i="12"/>
  <c r="I518" i="12"/>
  <c r="I595" i="12"/>
  <c r="J632" i="12"/>
  <c r="K369" i="12"/>
  <c r="J406" i="12"/>
  <c r="Q549" i="12"/>
  <c r="F497" i="12"/>
  <c r="L423" i="12"/>
  <c r="G606" i="12"/>
  <c r="G605" i="12"/>
  <c r="J569" i="12"/>
  <c r="S477" i="12"/>
  <c r="S288" i="12"/>
  <c r="S381" i="12"/>
  <c r="L373" i="12"/>
  <c r="R495" i="12"/>
  <c r="N506" i="12"/>
  <c r="R498" i="12"/>
  <c r="N432" i="12"/>
  <c r="S367" i="12"/>
  <c r="O425" i="12"/>
  <c r="L454" i="12"/>
  <c r="O544" i="12"/>
  <c r="O581" i="12"/>
  <c r="G558" i="12"/>
  <c r="R539" i="12"/>
  <c r="L546" i="12"/>
  <c r="N417" i="12"/>
  <c r="F495" i="12"/>
  <c r="N446" i="12"/>
  <c r="T487" i="12"/>
  <c r="T423" i="12"/>
  <c r="O307" i="12"/>
  <c r="P477" i="12"/>
  <c r="I623" i="12"/>
  <c r="T516" i="12"/>
  <c r="Q410" i="12"/>
  <c r="P498" i="12"/>
  <c r="K388" i="12"/>
  <c r="Q367" i="12"/>
  <c r="P482" i="12"/>
  <c r="P443" i="12"/>
  <c r="R554" i="12"/>
  <c r="T581" i="12"/>
  <c r="T450" i="12"/>
  <c r="T430" i="12"/>
  <c r="Q500" i="12"/>
  <c r="J472" i="12"/>
  <c r="K506" i="12"/>
  <c r="P391" i="12"/>
  <c r="K432" i="12"/>
  <c r="O347" i="12"/>
  <c r="K459" i="12"/>
  <c r="O542" i="12"/>
  <c r="O538" i="12"/>
  <c r="N551" i="12"/>
  <c r="M471" i="12"/>
  <c r="M424" i="12"/>
  <c r="T472" i="12"/>
  <c r="R451" i="12"/>
  <c r="S388" i="12"/>
  <c r="N347" i="12"/>
  <c r="M398" i="12"/>
  <c r="O534" i="12"/>
  <c r="S633" i="12"/>
  <c r="P632" i="12"/>
  <c r="T373" i="12"/>
  <c r="S546" i="12"/>
  <c r="G472" i="12"/>
  <c r="I506" i="12"/>
  <c r="I432" i="12"/>
  <c r="N367" i="12"/>
  <c r="I459" i="12"/>
  <c r="N489" i="12"/>
  <c r="N566" i="12"/>
  <c r="S593" i="12"/>
  <c r="I532" i="12"/>
  <c r="AA711" i="12"/>
  <c r="AQ341" i="2"/>
  <c r="I594" i="12"/>
  <c r="S583" i="12"/>
  <c r="I424" i="12"/>
  <c r="T523" i="12"/>
  <c r="T421" i="12"/>
  <c r="K523" i="12"/>
  <c r="Q355" i="12"/>
  <c r="F452" i="12"/>
  <c r="L467" i="12"/>
  <c r="G379" i="12"/>
  <c r="Q443" i="12"/>
  <c r="P653" i="12"/>
  <c r="T258" i="12"/>
  <c r="N625" i="12"/>
  <c r="T654" i="12"/>
  <c r="T362" i="12"/>
  <c r="AB694" i="12"/>
  <c r="AQ193" i="2"/>
  <c r="P585" i="12"/>
  <c r="P363" i="12"/>
  <c r="F293" i="12"/>
  <c r="G438" i="12"/>
  <c r="S497" i="12"/>
  <c r="O416" i="12"/>
  <c r="L416" i="12"/>
  <c r="O426" i="12"/>
  <c r="Q599" i="12"/>
  <c r="N371" i="12"/>
  <c r="Q618" i="12"/>
  <c r="S433" i="12"/>
  <c r="Q587" i="12"/>
  <c r="F287" i="12"/>
  <c r="Q597" i="12"/>
  <c r="Q527" i="12"/>
  <c r="S399" i="12"/>
  <c r="N470" i="12"/>
  <c r="AQ204" i="2"/>
  <c r="AR204" i="2"/>
  <c r="G325" i="12"/>
  <c r="F474" i="12"/>
  <c r="U623" i="2"/>
  <c r="S407" i="12"/>
  <c r="P618" i="12"/>
  <c r="N600" i="12"/>
  <c r="L422" i="12"/>
  <c r="L639" i="12"/>
  <c r="L655" i="12"/>
  <c r="L520" i="12"/>
  <c r="O254" i="12"/>
  <c r="G388" i="12"/>
  <c r="I462" i="12"/>
  <c r="O466" i="12"/>
  <c r="N414" i="12"/>
  <c r="AB693" i="12"/>
  <c r="P644" i="12"/>
  <c r="R474" i="12"/>
  <c r="F407" i="12"/>
  <c r="U592" i="2"/>
  <c r="K378" i="12"/>
  <c r="M456" i="12"/>
  <c r="O358" i="12"/>
  <c r="F635" i="12"/>
  <c r="U549" i="2"/>
  <c r="L576" i="12"/>
  <c r="O299" i="12"/>
  <c r="J307" i="12"/>
  <c r="G482" i="12"/>
  <c r="J339" i="12"/>
  <c r="R325" i="12"/>
  <c r="K474" i="12"/>
  <c r="R429" i="12"/>
  <c r="T320" i="12"/>
  <c r="M358" i="12"/>
  <c r="T651" i="12"/>
  <c r="X694" i="12"/>
  <c r="T639" i="12"/>
  <c r="J655" i="12"/>
  <c r="P506" i="12"/>
  <c r="K470" i="12"/>
  <c r="I467" i="12"/>
  <c r="G400" i="12"/>
  <c r="AL204" i="2"/>
  <c r="Q644" i="12"/>
  <c r="Q376" i="12"/>
  <c r="L599" i="12"/>
  <c r="Q407" i="12"/>
  <c r="M618" i="12"/>
  <c r="K456" i="12"/>
  <c r="I422" i="12"/>
  <c r="R650" i="12"/>
  <c r="S373" i="12"/>
  <c r="I523" i="12"/>
  <c r="J400" i="12"/>
  <c r="F492" i="12"/>
  <c r="F546" i="12"/>
  <c r="M386" i="12"/>
  <c r="P425" i="12"/>
  <c r="Q482" i="12"/>
  <c r="L653" i="12"/>
  <c r="P371" i="12"/>
  <c r="T625" i="12"/>
  <c r="R573" i="12"/>
  <c r="Q517" i="12"/>
  <c r="I597" i="12"/>
  <c r="N641" i="12"/>
  <c r="L641" i="12"/>
  <c r="F637" i="12"/>
  <c r="U554" i="2"/>
  <c r="O370" i="12"/>
  <c r="L577" i="12"/>
  <c r="S314" i="12"/>
  <c r="I520" i="12"/>
  <c r="L246" i="12"/>
  <c r="Q499" i="12"/>
  <c r="S300" i="12"/>
  <c r="Q370" i="12"/>
  <c r="I287" i="12"/>
  <c r="K597" i="12"/>
  <c r="G313" i="12"/>
  <c r="I582" i="12"/>
  <c r="T205" i="12"/>
  <c r="T287" i="12"/>
  <c r="K361" i="12"/>
  <c r="M361" i="12"/>
  <c r="M411" i="12"/>
  <c r="M401" i="12"/>
  <c r="L401" i="12"/>
  <c r="I435" i="12"/>
  <c r="K335" i="12"/>
  <c r="N300" i="12"/>
  <c r="S504" i="12"/>
  <c r="J567" i="12"/>
  <c r="N278" i="12"/>
  <c r="J537" i="12"/>
  <c r="J533" i="12"/>
  <c r="G625" i="12"/>
  <c r="G364" i="12"/>
  <c r="J283" i="12"/>
  <c r="T245" i="12"/>
  <c r="S163" i="12"/>
  <c r="P485" i="12"/>
  <c r="L285" i="12"/>
  <c r="I276" i="12"/>
  <c r="R592" i="12"/>
  <c r="N590" i="12"/>
  <c r="Q215" i="12"/>
  <c r="Q576" i="12"/>
  <c r="N554" i="12"/>
  <c r="T555" i="12"/>
  <c r="J538" i="12"/>
  <c r="I612" i="12"/>
  <c r="G581" i="12"/>
  <c r="U702" i="2"/>
  <c r="AB700" i="12"/>
  <c r="G518" i="12"/>
  <c r="G410" i="12"/>
  <c r="G406" i="12"/>
  <c r="O603" i="12"/>
  <c r="J434" i="12"/>
  <c r="M594" i="12"/>
  <c r="J417" i="12"/>
  <c r="N487" i="12"/>
  <c r="J416" i="12"/>
  <c r="Q348" i="12"/>
  <c r="O633" i="12"/>
  <c r="Z688" i="12"/>
  <c r="G427" i="12"/>
  <c r="R508" i="12"/>
  <c r="I607" i="12"/>
  <c r="R606" i="12"/>
  <c r="L406" i="12"/>
  <c r="T477" i="12"/>
  <c r="I381" i="12"/>
  <c r="T447" i="12"/>
  <c r="N424" i="12"/>
  <c r="R551" i="12"/>
  <c r="M421" i="12"/>
  <c r="K640" i="12"/>
  <c r="G355" i="12"/>
  <c r="K495" i="12"/>
  <c r="X716" i="12"/>
  <c r="I280" i="12"/>
  <c r="S280" i="12"/>
  <c r="M548" i="12"/>
  <c r="J640" i="12"/>
  <c r="R427" i="12"/>
  <c r="G648" i="12"/>
  <c r="Z725" i="12"/>
  <c r="O555" i="12"/>
  <c r="P536" i="12"/>
  <c r="M465" i="12"/>
  <c r="J630" i="12"/>
  <c r="J552" i="12"/>
  <c r="T594" i="12"/>
  <c r="M628" i="12"/>
  <c r="AB684" i="12"/>
  <c r="L584" i="12"/>
  <c r="P634" i="12"/>
  <c r="O606" i="12"/>
  <c r="N444" i="12"/>
  <c r="S594" i="12"/>
  <c r="Z731" i="12"/>
  <c r="AA714" i="12"/>
  <c r="K465" i="12"/>
  <c r="R630" i="12"/>
  <c r="R552" i="12"/>
  <c r="T548" i="12"/>
  <c r="X696" i="12"/>
  <c r="M624" i="12"/>
  <c r="O598" i="12"/>
  <c r="K508" i="12"/>
  <c r="O617" i="12"/>
  <c r="G630" i="12"/>
  <c r="M606" i="12"/>
  <c r="O518" i="12"/>
  <c r="S548" i="12"/>
  <c r="AA709" i="12"/>
  <c r="K646" i="12"/>
  <c r="S584" i="12"/>
  <c r="I465" i="12"/>
  <c r="L606" i="12"/>
  <c r="K581" i="12"/>
  <c r="K444" i="12"/>
  <c r="I540" i="12"/>
  <c r="R288" i="12"/>
  <c r="X684" i="12"/>
  <c r="Q526" i="12"/>
  <c r="Q475" i="12"/>
  <c r="R465" i="12"/>
  <c r="O630" i="12"/>
  <c r="Z700" i="12"/>
  <c r="M648" i="12"/>
  <c r="I572" i="12"/>
  <c r="N640" i="12"/>
  <c r="I544" i="12"/>
  <c r="Z670" i="12"/>
  <c r="G540" i="12"/>
  <c r="U678" i="2"/>
  <c r="AB667" i="12"/>
  <c r="J612" i="12"/>
  <c r="L588" i="12"/>
  <c r="R572" i="12"/>
  <c r="M640" i="12"/>
  <c r="I606" i="12"/>
  <c r="X700" i="12"/>
  <c r="AL292" i="2"/>
  <c r="T617" i="12"/>
  <c r="L552" i="12"/>
  <c r="N611" i="12"/>
  <c r="S569" i="12"/>
  <c r="K500" i="12"/>
  <c r="M516" i="12"/>
  <c r="M369" i="12"/>
  <c r="T495" i="12"/>
  <c r="F432" i="12"/>
  <c r="U636" i="2"/>
  <c r="F649" i="12"/>
  <c r="U561" i="2"/>
  <c r="J443" i="12"/>
  <c r="R634" i="12"/>
  <c r="X704" i="12"/>
  <c r="AL222" i="2"/>
  <c r="L558" i="12"/>
  <c r="T632" i="12"/>
  <c r="L516" i="12"/>
  <c r="T564" i="12"/>
  <c r="T410" i="12"/>
  <c r="M451" i="12"/>
  <c r="G549" i="12"/>
  <c r="Q469" i="12"/>
  <c r="X666" i="12"/>
  <c r="AL245" i="2"/>
  <c r="Q605" i="12"/>
  <c r="K477" i="12"/>
  <c r="K381" i="12"/>
  <c r="R471" i="12"/>
  <c r="J369" i="12"/>
  <c r="G495" i="12"/>
  <c r="S391" i="12"/>
  <c r="I367" i="12"/>
  <c r="O444" i="12"/>
  <c r="Q558" i="12"/>
  <c r="J539" i="12"/>
  <c r="G430" i="12"/>
  <c r="AA722" i="12"/>
  <c r="J487" i="12"/>
  <c r="J423" i="12"/>
  <c r="P593" i="12"/>
  <c r="T551" i="12"/>
  <c r="S623" i="12"/>
  <c r="O596" i="12"/>
  <c r="T369" i="12"/>
  <c r="F410" i="12"/>
  <c r="U639" i="2"/>
  <c r="K434" i="12"/>
  <c r="F498" i="12"/>
  <c r="U656" i="2"/>
  <c r="L432" i="12"/>
  <c r="G367" i="12"/>
  <c r="M425" i="12"/>
  <c r="S448" i="12"/>
  <c r="F482" i="12"/>
  <c r="U634" i="2"/>
  <c r="O398" i="12"/>
  <c r="F443" i="12"/>
  <c r="U624" i="2"/>
  <c r="M450" i="12"/>
  <c r="K450" i="12"/>
  <c r="N477" i="12"/>
  <c r="M430" i="12"/>
  <c r="J500" i="12"/>
  <c r="I546" i="12"/>
  <c r="Q406" i="12"/>
  <c r="L446" i="12"/>
  <c r="F391" i="12"/>
  <c r="U619" i="2"/>
  <c r="L497" i="12"/>
  <c r="L425" i="12"/>
  <c r="M302" i="12"/>
  <c r="P552" i="12"/>
  <c r="I547" i="12"/>
  <c r="S434" i="12"/>
  <c r="M523" i="12"/>
  <c r="I388" i="12"/>
  <c r="K425" i="12"/>
  <c r="O489" i="12"/>
  <c r="M345" i="12"/>
  <c r="T588" i="12"/>
  <c r="G548" i="12"/>
  <c r="K373" i="12"/>
  <c r="G546" i="12"/>
  <c r="T446" i="12"/>
  <c r="T497" i="12"/>
  <c r="T425" i="12"/>
  <c r="N642" i="12"/>
  <c r="J593" i="12"/>
  <c r="K595" i="12"/>
  <c r="J581" i="12"/>
  <c r="J594" i="12"/>
  <c r="M583" i="12"/>
  <c r="Z672" i="12"/>
  <c r="O451" i="12"/>
  <c r="J523" i="12"/>
  <c r="O360" i="12"/>
  <c r="J421" i="12"/>
  <c r="O452" i="12"/>
  <c r="K542" i="12"/>
  <c r="Q649" i="12"/>
  <c r="T498" i="12"/>
  <c r="R355" i="12"/>
  <c r="F466" i="12"/>
  <c r="I398" i="12"/>
  <c r="L376" i="12"/>
  <c r="K258" i="12"/>
  <c r="N378" i="12"/>
  <c r="I654" i="12"/>
  <c r="I362" i="12"/>
  <c r="R350" i="12"/>
  <c r="I336" i="12"/>
  <c r="X676" i="12"/>
  <c r="AL188" i="2"/>
  <c r="F585" i="12"/>
  <c r="F363" i="12"/>
  <c r="Q380" i="12"/>
  <c r="R438" i="12"/>
  <c r="O423" i="12"/>
  <c r="F416" i="12"/>
  <c r="U600" i="2"/>
  <c r="G462" i="12"/>
  <c r="F346" i="12"/>
  <c r="F379" i="12"/>
  <c r="J351" i="12"/>
  <c r="F599" i="12"/>
  <c r="F377" i="12"/>
  <c r="R652" i="12"/>
  <c r="F587" i="12"/>
  <c r="L613" i="12"/>
  <c r="Q335" i="12"/>
  <c r="P329" i="12"/>
  <c r="G597" i="12"/>
  <c r="G527" i="12"/>
  <c r="P620" i="12"/>
  <c r="P380" i="12"/>
  <c r="J399" i="12"/>
  <c r="I542" i="12"/>
  <c r="G345" i="12"/>
  <c r="M339" i="12"/>
  <c r="Q325" i="12"/>
  <c r="P377" i="12"/>
  <c r="F608" i="12"/>
  <c r="O287" i="12"/>
  <c r="K650" i="12"/>
  <c r="M622" i="12"/>
  <c r="M576" i="12"/>
  <c r="S462" i="12"/>
  <c r="F345" i="12"/>
  <c r="F467" i="12"/>
  <c r="U644" i="2"/>
  <c r="K339" i="12"/>
  <c r="K302" i="12"/>
  <c r="L371" i="12"/>
  <c r="O377" i="12"/>
  <c r="K643" i="12"/>
  <c r="K651" i="12"/>
  <c r="P336" i="12"/>
  <c r="M293" i="12"/>
  <c r="G373" i="12"/>
  <c r="N549" i="12"/>
  <c r="T542" i="12"/>
  <c r="L474" i="12"/>
  <c r="P654" i="12"/>
  <c r="J643" i="12"/>
  <c r="M350" i="12"/>
  <c r="J651" i="12"/>
  <c r="J639" i="12"/>
  <c r="K576" i="12"/>
  <c r="T621" i="12"/>
  <c r="S446" i="12"/>
  <c r="L470" i="12"/>
  <c r="O649" i="12"/>
  <c r="S467" i="12"/>
  <c r="R376" i="12"/>
  <c r="K352" i="12"/>
  <c r="K563" i="12"/>
  <c r="T643" i="12"/>
  <c r="L350" i="12"/>
  <c r="L287" i="12"/>
  <c r="T525" i="12"/>
  <c r="K585" i="12"/>
  <c r="K471" i="12"/>
  <c r="J466" i="12"/>
  <c r="T400" i="12"/>
  <c r="F339" i="12"/>
  <c r="U551" i="2"/>
  <c r="N644" i="12"/>
  <c r="O369" i="12"/>
  <c r="F448" i="12"/>
  <c r="O386" i="12"/>
  <c r="J379" i="12"/>
  <c r="O438" i="12"/>
  <c r="N307" i="12"/>
  <c r="R371" i="12"/>
  <c r="I335" i="12"/>
  <c r="G517" i="12"/>
  <c r="O523" i="12"/>
  <c r="F641" i="12"/>
  <c r="U548" i="2"/>
  <c r="L637" i="12"/>
  <c r="P637" i="12"/>
  <c r="J654" i="12"/>
  <c r="R335" i="12"/>
  <c r="Q639" i="12"/>
  <c r="P353" i="12"/>
  <c r="Z662" i="12"/>
  <c r="Z686" i="12"/>
  <c r="M579" i="12"/>
  <c r="R378" i="12"/>
  <c r="L342" i="12"/>
  <c r="K342" i="12"/>
  <c r="M313" i="12"/>
  <c r="N537" i="12"/>
  <c r="P303" i="12"/>
  <c r="L390" i="12"/>
  <c r="P550" i="12"/>
  <c r="G327" i="12"/>
  <c r="I620" i="12"/>
  <c r="I255" i="12"/>
  <c r="G145" i="12"/>
  <c r="U232" i="2"/>
  <c r="T282" i="12"/>
  <c r="J615" i="12"/>
  <c r="Q567" i="12"/>
  <c r="T273" i="12"/>
  <c r="S258" i="12"/>
  <c r="J255" i="12"/>
  <c r="O372" i="12"/>
  <c r="Q372" i="12"/>
  <c r="G354" i="12"/>
  <c r="J527" i="12"/>
  <c r="T387" i="12"/>
  <c r="I621" i="12"/>
  <c r="Q537" i="12"/>
  <c r="F278" i="12"/>
  <c r="U506" i="2"/>
  <c r="G440" i="12"/>
  <c r="J510" i="12"/>
  <c r="K208" i="12"/>
  <c r="K574" i="12"/>
  <c r="K287" i="12"/>
  <c r="K363" i="12"/>
  <c r="K494" i="12"/>
  <c r="K582" i="12"/>
  <c r="K407" i="12"/>
  <c r="K291" i="12"/>
  <c r="K295" i="12"/>
  <c r="K358" i="12"/>
  <c r="K280" i="12"/>
  <c r="K603" i="12"/>
  <c r="K346" i="12"/>
  <c r="K416" i="12"/>
  <c r="K329" i="12"/>
  <c r="K652" i="12"/>
  <c r="K351" i="12"/>
  <c r="K380" i="12"/>
  <c r="K334" i="12"/>
  <c r="K433" i="12"/>
  <c r="K618" i="12"/>
  <c r="K614" i="12"/>
  <c r="K443" i="12"/>
  <c r="K503" i="12"/>
  <c r="K264" i="12"/>
  <c r="K396" i="12"/>
  <c r="K289" i="12"/>
  <c r="K466" i="12"/>
  <c r="K545" i="12"/>
  <c r="K435" i="12"/>
  <c r="K254" i="12"/>
  <c r="K350" i="12"/>
  <c r="K620" i="12"/>
  <c r="K608" i="12"/>
  <c r="K429" i="12"/>
  <c r="K600" i="12"/>
  <c r="K348" i="12"/>
  <c r="K403" i="12"/>
  <c r="K192" i="12"/>
  <c r="K478" i="12"/>
  <c r="K590" i="12"/>
  <c r="J197" i="12"/>
  <c r="J293" i="12"/>
  <c r="J352" i="12"/>
  <c r="J528" i="12"/>
  <c r="J362" i="12"/>
  <c r="J597" i="12"/>
  <c r="J608" i="12"/>
  <c r="J300" i="12"/>
  <c r="J429" i="12"/>
  <c r="J314" i="12"/>
  <c r="J545" i="12"/>
  <c r="J353" i="12"/>
  <c r="J363" i="12"/>
  <c r="J599" i="12"/>
  <c r="J620" i="12"/>
  <c r="J254" i="12"/>
  <c r="J591" i="12"/>
  <c r="J456" i="12"/>
  <c r="J380" i="12"/>
  <c r="J589" i="12"/>
  <c r="J287" i="12"/>
  <c r="J325" i="12"/>
  <c r="J626" i="12"/>
  <c r="J489" i="12"/>
  <c r="J614" i="12"/>
  <c r="J519" i="12"/>
  <c r="J635" i="12"/>
  <c r="J600" i="12"/>
  <c r="J348" i="12"/>
  <c r="J415" i="12"/>
  <c r="J336" i="12"/>
  <c r="J350" i="12"/>
  <c r="J582" i="12"/>
  <c r="J576" i="12"/>
  <c r="J377" i="12"/>
  <c r="J224" i="12"/>
  <c r="AB665" i="12"/>
  <c r="K183" i="12"/>
  <c r="I534" i="12"/>
  <c r="K588" i="12"/>
  <c r="G538" i="12"/>
  <c r="U680" i="2"/>
  <c r="P630" i="12"/>
  <c r="G446" i="12"/>
  <c r="U646" i="2"/>
  <c r="L483" i="12"/>
  <c r="J551" i="12"/>
  <c r="G633" i="12"/>
  <c r="G498" i="12"/>
  <c r="T451" i="12"/>
  <c r="L466" i="12"/>
  <c r="R388" i="12"/>
  <c r="N423" i="12"/>
  <c r="Q333" i="12"/>
  <c r="R358" i="12"/>
  <c r="L542" i="12"/>
  <c r="R608" i="12"/>
  <c r="I640" i="12"/>
  <c r="M447" i="12"/>
  <c r="K536" i="12"/>
  <c r="T624" i="12"/>
  <c r="L648" i="12"/>
  <c r="S634" i="12"/>
  <c r="N605" i="12"/>
  <c r="R307" i="12"/>
  <c r="M388" i="12"/>
  <c r="L424" i="12"/>
  <c r="J448" i="12"/>
  <c r="AQ226" i="2"/>
  <c r="AR226" i="2"/>
  <c r="J451" i="12"/>
  <c r="T427" i="12"/>
  <c r="R360" i="12"/>
  <c r="L495" i="12"/>
  <c r="M542" i="12"/>
  <c r="R594" i="12"/>
  <c r="T549" i="12"/>
  <c r="P563" i="12"/>
  <c r="N573" i="12"/>
  <c r="Q438" i="12"/>
  <c r="K426" i="12"/>
  <c r="S654" i="12"/>
  <c r="O517" i="12"/>
  <c r="O363" i="12"/>
  <c r="N452" i="12"/>
  <c r="P325" i="12"/>
  <c r="S474" i="12"/>
  <c r="F429" i="12"/>
  <c r="U629" i="2"/>
  <c r="O602" i="12"/>
  <c r="G554" i="12"/>
  <c r="J636" i="12"/>
  <c r="M555" i="12"/>
  <c r="M572" i="12"/>
  <c r="N534" i="12"/>
  <c r="P554" i="12"/>
  <c r="F634" i="12"/>
  <c r="U729" i="2"/>
  <c r="S630" i="12"/>
  <c r="O612" i="12"/>
  <c r="AB683" i="12"/>
  <c r="AB718" i="12"/>
  <c r="L566" i="12"/>
  <c r="K512" i="12"/>
  <c r="J548" i="12"/>
  <c r="Z714" i="12"/>
  <c r="X713" i="12"/>
  <c r="AL264" i="2"/>
  <c r="L572" i="12"/>
  <c r="Q552" i="12"/>
  <c r="I548" i="12"/>
  <c r="L607" i="12"/>
  <c r="M554" i="12"/>
  <c r="I584" i="12"/>
  <c r="T566" i="12"/>
  <c r="F630" i="12"/>
  <c r="U725" i="2"/>
  <c r="L532" i="12"/>
  <c r="T521" i="12"/>
  <c r="R373" i="12"/>
  <c r="I628" i="12"/>
  <c r="Z674" i="12"/>
  <c r="G526" i="12"/>
  <c r="G475" i="12"/>
  <c r="S566" i="12"/>
  <c r="X683" i="12"/>
  <c r="AL265" i="2"/>
  <c r="M588" i="12"/>
  <c r="T536" i="12"/>
  <c r="T642" i="12"/>
  <c r="R602" i="12"/>
  <c r="F611" i="12"/>
  <c r="U707" i="2"/>
  <c r="K569" i="12"/>
  <c r="N636" i="12"/>
  <c r="S536" i="12"/>
  <c r="X702" i="12"/>
  <c r="P628" i="12"/>
  <c r="AA681" i="12"/>
  <c r="O584" i="12"/>
  <c r="J617" i="12"/>
  <c r="P566" i="12"/>
  <c r="I569" i="12"/>
  <c r="O540" i="12"/>
  <c r="N288" i="12"/>
  <c r="K548" i="12"/>
  <c r="J623" i="12"/>
  <c r="O373" i="12"/>
  <c r="T424" i="12"/>
  <c r="S523" i="12"/>
  <c r="G497" i="12"/>
  <c r="S431" i="12"/>
  <c r="K630" i="12"/>
  <c r="P450" i="12"/>
  <c r="M632" i="12"/>
  <c r="K632" i="12"/>
  <c r="K551" i="12"/>
  <c r="S424" i="12"/>
  <c r="P417" i="12"/>
  <c r="I410" i="12"/>
  <c r="N434" i="12"/>
  <c r="R523" i="12"/>
  <c r="M360" i="12"/>
  <c r="G469" i="12"/>
  <c r="AB666" i="12"/>
  <c r="R605" i="12"/>
  <c r="M477" i="12"/>
  <c r="M381" i="12"/>
  <c r="F471" i="12"/>
  <c r="S564" i="12"/>
  <c r="I391" i="12"/>
  <c r="P307" i="12"/>
  <c r="S532" i="12"/>
  <c r="R558" i="12"/>
  <c r="T539" i="12"/>
  <c r="Q471" i="12"/>
  <c r="I369" i="12"/>
  <c r="T483" i="12"/>
  <c r="O469" i="12"/>
  <c r="P431" i="12"/>
  <c r="R526" i="12"/>
  <c r="AB708" i="12"/>
  <c r="G551" i="12"/>
  <c r="L623" i="12"/>
  <c r="P564" i="12"/>
  <c r="P495" i="12"/>
  <c r="L506" i="12"/>
  <c r="Q391" i="12"/>
  <c r="I448" i="12"/>
  <c r="I617" i="12"/>
  <c r="O450" i="12"/>
  <c r="L450" i="12"/>
  <c r="O381" i="12"/>
  <c r="T500" i="12"/>
  <c r="S369" i="12"/>
  <c r="F406" i="12"/>
  <c r="U645" i="2"/>
  <c r="P367" i="12"/>
  <c r="P489" i="12"/>
  <c r="M466" i="12"/>
  <c r="O443" i="12"/>
  <c r="X667" i="12"/>
  <c r="F593" i="12"/>
  <c r="U706" i="2"/>
  <c r="N540" i="12"/>
  <c r="L288" i="12"/>
  <c r="T546" i="12"/>
  <c r="P406" i="12"/>
  <c r="I434" i="12"/>
  <c r="N498" i="12"/>
  <c r="T432" i="12"/>
  <c r="L307" i="12"/>
  <c r="N482" i="12"/>
  <c r="L302" i="12"/>
  <c r="L334" i="12"/>
  <c r="R640" i="12"/>
  <c r="M518" i="12"/>
  <c r="N539" i="12"/>
  <c r="J288" i="12"/>
  <c r="L471" i="12"/>
  <c r="Q369" i="12"/>
  <c r="J446" i="12"/>
  <c r="J497" i="12"/>
  <c r="J425" i="12"/>
  <c r="T593" i="12"/>
  <c r="N594" i="12"/>
  <c r="I598" i="12"/>
  <c r="K594" i="12"/>
  <c r="O583" i="12"/>
  <c r="L500" i="12"/>
  <c r="Q546" i="12"/>
  <c r="L489" i="12"/>
  <c r="G649" i="12"/>
  <c r="O424" i="12"/>
  <c r="N399" i="12"/>
  <c r="I355" i="12"/>
  <c r="I431" i="12"/>
  <c r="K345" i="12"/>
  <c r="O400" i="12"/>
  <c r="O339" i="12"/>
  <c r="Q331" i="12"/>
  <c r="I334" i="12"/>
  <c r="T433" i="12"/>
  <c r="S608" i="12"/>
  <c r="G350" i="12"/>
  <c r="P615" i="12"/>
  <c r="Q614" i="12"/>
  <c r="Q620" i="12"/>
  <c r="G380" i="12"/>
  <c r="S438" i="12"/>
  <c r="M483" i="12"/>
  <c r="Q470" i="12"/>
  <c r="P416" i="12"/>
  <c r="N339" i="12"/>
  <c r="Q352" i="12"/>
  <c r="O258" i="12"/>
  <c r="O225" i="12"/>
  <c r="F618" i="12"/>
  <c r="F652" i="12"/>
  <c r="Q358" i="12"/>
  <c r="M651" i="12"/>
  <c r="G335" i="12"/>
  <c r="F329" i="12"/>
  <c r="R635" i="12"/>
  <c r="R609" i="12"/>
  <c r="F620" i="12"/>
  <c r="F380" i="12"/>
  <c r="M399" i="12"/>
  <c r="T399" i="12"/>
  <c r="AL216" i="2"/>
  <c r="O492" i="12"/>
  <c r="K325" i="12"/>
  <c r="N563" i="12"/>
  <c r="N456" i="12"/>
  <c r="P587" i="12"/>
  <c r="O626" i="12"/>
  <c r="O614" i="12"/>
  <c r="J462" i="12"/>
  <c r="M492" i="12"/>
  <c r="R603" i="12"/>
  <c r="J653" i="12"/>
  <c r="Q320" i="12"/>
  <c r="R377" i="12"/>
  <c r="Q435" i="12"/>
  <c r="L364" i="12"/>
  <c r="F336" i="12"/>
  <c r="U567" i="2"/>
  <c r="AL193" i="2"/>
  <c r="K655" i="12"/>
  <c r="M582" i="12"/>
  <c r="I373" i="12"/>
  <c r="T489" i="12"/>
  <c r="Q414" i="12"/>
  <c r="F351" i="12"/>
  <c r="U556" i="2"/>
  <c r="I653" i="12"/>
  <c r="O433" i="12"/>
  <c r="S453" i="12"/>
  <c r="S650" i="12"/>
  <c r="K353" i="12"/>
  <c r="L293" i="12"/>
  <c r="J621" i="12"/>
  <c r="M470" i="12"/>
  <c r="I386" i="12"/>
  <c r="J467" i="12"/>
  <c r="Z693" i="12"/>
  <c r="I376" i="12"/>
  <c r="K225" i="12"/>
  <c r="T573" i="12"/>
  <c r="J525" i="12"/>
  <c r="K615" i="12"/>
  <c r="L614" i="12"/>
  <c r="L547" i="12"/>
  <c r="P345" i="12"/>
  <c r="K400" i="12"/>
  <c r="P339" i="12"/>
  <c r="T302" i="12"/>
  <c r="T417" i="12"/>
  <c r="T347" i="12"/>
  <c r="R454" i="12"/>
  <c r="G386" i="12"/>
  <c r="T339" i="12"/>
  <c r="O431" i="12"/>
  <c r="K414" i="12"/>
  <c r="J334" i="12"/>
  <c r="I371" i="12"/>
  <c r="T608" i="12"/>
  <c r="T336" i="12"/>
  <c r="R329" i="12"/>
  <c r="L347" i="12"/>
  <c r="N392" i="12"/>
  <c r="R641" i="12"/>
  <c r="Q637" i="12"/>
  <c r="I433" i="12"/>
  <c r="S622" i="12"/>
  <c r="O313" i="12"/>
  <c r="N255" i="12"/>
  <c r="T619" i="12"/>
  <c r="J559" i="12"/>
  <c r="J327" i="12"/>
  <c r="F533" i="12"/>
  <c r="U351" i="2"/>
  <c r="S645" i="12"/>
  <c r="O537" i="12"/>
  <c r="R480" i="12"/>
  <c r="G520" i="12"/>
  <c r="I591" i="12"/>
  <c r="S567" i="12"/>
  <c r="Q401" i="12"/>
  <c r="O637" i="12"/>
  <c r="I610" i="12"/>
  <c r="N520" i="12"/>
  <c r="K561" i="12"/>
  <c r="P384" i="12"/>
  <c r="F393" i="12"/>
  <c r="Q485" i="12"/>
  <c r="R413" i="12"/>
  <c r="R396" i="12"/>
  <c r="R631" i="12"/>
  <c r="R363" i="12"/>
  <c r="R644" i="12"/>
  <c r="R400" i="12"/>
  <c r="R585" i="12"/>
  <c r="R364" i="12"/>
  <c r="R622" i="12"/>
  <c r="R615" i="12"/>
  <c r="R653" i="12"/>
  <c r="R531" i="12"/>
  <c r="I206" i="12"/>
  <c r="G132" i="12"/>
  <c r="T511" i="12"/>
  <c r="T289" i="12"/>
  <c r="T329" i="12"/>
  <c r="T615" i="12"/>
  <c r="T575" i="12"/>
  <c r="T582" i="12"/>
  <c r="T620" i="12"/>
  <c r="T589" i="12"/>
  <c r="T352" i="12"/>
  <c r="T443" i="12"/>
  <c r="T278" i="12"/>
  <c r="T300" i="12"/>
  <c r="T350" i="12"/>
  <c r="T314" i="12"/>
  <c r="T254" i="12"/>
  <c r="T563" i="12"/>
  <c r="T599" i="12"/>
  <c r="T311" i="12"/>
  <c r="T420" i="12"/>
  <c r="T568" i="12"/>
  <c r="T618" i="12"/>
  <c r="T631" i="12"/>
  <c r="T363" i="12"/>
  <c r="T587" i="12"/>
  <c r="T291" i="12"/>
  <c r="T577" i="12"/>
  <c r="T353" i="12"/>
  <c r="T225" i="12"/>
  <c r="T376" i="12"/>
  <c r="T346" i="12"/>
  <c r="T545" i="12"/>
  <c r="T591" i="12"/>
  <c r="T482" i="12"/>
  <c r="T609" i="12"/>
  <c r="T600" i="12"/>
  <c r="T469" i="12"/>
  <c r="T585" i="12"/>
  <c r="T293" i="12"/>
  <c r="T484" i="12"/>
  <c r="T486" i="12"/>
  <c r="T335" i="12"/>
  <c r="T348" i="12"/>
  <c r="T436" i="12"/>
  <c r="T299" i="12"/>
  <c r="T380" i="12"/>
  <c r="T358" i="12"/>
  <c r="T218" i="12"/>
  <c r="T262" i="12"/>
  <c r="T333" i="12"/>
  <c r="T622" i="12"/>
  <c r="R175" i="12"/>
  <c r="I230" i="12"/>
  <c r="F606" i="12"/>
  <c r="U720" i="2"/>
  <c r="S640" i="12"/>
  <c r="F569" i="12"/>
  <c r="U690" i="2"/>
  <c r="J554" i="12"/>
  <c r="S472" i="12"/>
  <c r="G595" i="12"/>
  <c r="J367" i="12"/>
  <c r="G421" i="12"/>
  <c r="N497" i="12"/>
  <c r="I471" i="12"/>
  <c r="N379" i="12"/>
  <c r="F516" i="12"/>
  <c r="U652" i="2"/>
  <c r="S414" i="12"/>
  <c r="T459" i="12"/>
  <c r="N410" i="12"/>
  <c r="G594" i="12"/>
  <c r="S469" i="12"/>
  <c r="P258" i="12"/>
  <c r="N576" i="12"/>
  <c r="G569" i="12"/>
  <c r="Q595" i="12"/>
  <c r="O569" i="12"/>
  <c r="Q553" i="12"/>
  <c r="F548" i="12"/>
  <c r="U709" i="2"/>
  <c r="R538" i="12"/>
  <c r="L630" i="12"/>
  <c r="J547" i="12"/>
  <c r="S410" i="12"/>
  <c r="Q288" i="12"/>
  <c r="Q623" i="12"/>
  <c r="J459" i="12"/>
  <c r="AB672" i="12"/>
  <c r="I593" i="12"/>
  <c r="N643" i="12"/>
  <c r="P293" i="12"/>
  <c r="T416" i="12"/>
  <c r="I429" i="12"/>
  <c r="G608" i="12"/>
  <c r="F626" i="12"/>
  <c r="O293" i="12"/>
  <c r="N466" i="12"/>
  <c r="O646" i="12"/>
  <c r="G588" i="12"/>
  <c r="J465" i="12"/>
  <c r="F646" i="12"/>
  <c r="P544" i="12"/>
  <c r="AA696" i="12"/>
  <c r="F554" i="12"/>
  <c r="U713" i="2"/>
  <c r="O634" i="12"/>
  <c r="L633" i="12"/>
  <c r="R636" i="12"/>
  <c r="P588" i="12"/>
  <c r="G552" i="12"/>
  <c r="K534" i="12"/>
  <c r="T508" i="12"/>
  <c r="J566" i="12"/>
  <c r="AA669" i="12"/>
  <c r="J521" i="12"/>
  <c r="AB729" i="12"/>
  <c r="AB660" i="12"/>
  <c r="R584" i="12"/>
  <c r="I566" i="12"/>
  <c r="Z669" i="12"/>
  <c r="R628" i="12"/>
  <c r="P526" i="12"/>
  <c r="X718" i="12"/>
  <c r="AL270" i="2"/>
  <c r="J536" i="12"/>
  <c r="J642" i="12"/>
  <c r="S538" i="12"/>
  <c r="R633" i="12"/>
  <c r="Q512" i="12"/>
  <c r="L595" i="12"/>
  <c r="R521" i="12"/>
  <c r="K638" i="12"/>
  <c r="O526" i="12"/>
  <c r="I536" i="12"/>
  <c r="P465" i="12"/>
  <c r="M630" i="12"/>
  <c r="F628" i="12"/>
  <c r="U721" i="2"/>
  <c r="Q534" i="12"/>
  <c r="S554" i="12"/>
  <c r="F566" i="12"/>
  <c r="U715" i="2"/>
  <c r="O553" i="12"/>
  <c r="T595" i="12"/>
  <c r="K475" i="12"/>
  <c r="G611" i="12"/>
  <c r="P540" i="12"/>
  <c r="L430" i="12"/>
  <c r="G424" i="12"/>
  <c r="I564" i="12"/>
  <c r="J498" i="12"/>
  <c r="J542" i="12"/>
  <c r="R466" i="12"/>
  <c r="S398" i="12"/>
  <c r="L636" i="12"/>
  <c r="N602" i="12"/>
  <c r="O632" i="12"/>
  <c r="L632" i="12"/>
  <c r="P583" i="12"/>
  <c r="U620" i="2"/>
  <c r="S495" i="12"/>
  <c r="N388" i="12"/>
  <c r="R421" i="12"/>
  <c r="M452" i="12"/>
  <c r="N624" i="12"/>
  <c r="K605" i="12"/>
  <c r="I605" i="12"/>
  <c r="N450" i="12"/>
  <c r="O477" i="12"/>
  <c r="F381" i="12"/>
  <c r="U609" i="2"/>
  <c r="N547" i="12"/>
  <c r="F564" i="12"/>
  <c r="AB722" i="12"/>
  <c r="O446" i="12"/>
  <c r="O497" i="12"/>
  <c r="K423" i="12"/>
  <c r="F307" i="12"/>
  <c r="N649" i="12"/>
  <c r="G624" i="12"/>
  <c r="AB704" i="12"/>
  <c r="I558" i="12"/>
  <c r="L539" i="12"/>
  <c r="J483" i="12"/>
  <c r="O549" i="12"/>
  <c r="L388" i="12"/>
  <c r="F431" i="12"/>
  <c r="U657" i="2"/>
  <c r="K583" i="12"/>
  <c r="M564" i="12"/>
  <c r="G391" i="12"/>
  <c r="S423" i="12"/>
  <c r="T454" i="12"/>
  <c r="T414" i="12"/>
  <c r="T492" i="12"/>
  <c r="N553" i="12"/>
  <c r="Q611" i="12"/>
  <c r="I583" i="12"/>
  <c r="AB711" i="12"/>
  <c r="N471" i="12"/>
  <c r="G369" i="12"/>
  <c r="P410" i="12"/>
  <c r="R483" i="12"/>
  <c r="R487" i="12"/>
  <c r="F367" i="12"/>
  <c r="U617" i="2"/>
  <c r="F489" i="12"/>
  <c r="U637" i="2"/>
  <c r="N345" i="12"/>
  <c r="M379" i="12"/>
  <c r="AA670" i="12"/>
  <c r="Q521" i="12"/>
  <c r="P623" i="12"/>
  <c r="R516" i="12"/>
  <c r="R369" i="12"/>
  <c r="T506" i="12"/>
  <c r="J432" i="12"/>
  <c r="O367" i="12"/>
  <c r="Q448" i="12"/>
  <c r="S555" i="12"/>
  <c r="AL236" i="2"/>
  <c r="N623" i="12"/>
  <c r="L369" i="12"/>
  <c r="K593" i="12"/>
  <c r="N632" i="12"/>
  <c r="L475" i="12"/>
  <c r="J444" i="12"/>
  <c r="P548" i="12"/>
  <c r="Q373" i="12"/>
  <c r="P434" i="12"/>
  <c r="K498" i="12"/>
  <c r="P388" i="12"/>
  <c r="K347" i="12"/>
  <c r="Q459" i="12"/>
  <c r="S466" i="12"/>
  <c r="J546" i="12"/>
  <c r="S355" i="12"/>
  <c r="S333" i="12"/>
  <c r="Q492" i="12"/>
  <c r="I331" i="12"/>
  <c r="R599" i="12"/>
  <c r="J407" i="12"/>
  <c r="S652" i="12"/>
  <c r="P348" i="12"/>
  <c r="F615" i="12"/>
  <c r="G614" i="12"/>
  <c r="G620" i="12"/>
  <c r="S547" i="12"/>
  <c r="I438" i="12"/>
  <c r="Q446" i="12"/>
  <c r="G416" i="12"/>
  <c r="S386" i="12"/>
  <c r="P492" i="12"/>
  <c r="G644" i="12"/>
  <c r="O352" i="12"/>
  <c r="I225" i="12"/>
  <c r="O563" i="12"/>
  <c r="O456" i="12"/>
  <c r="F358" i="12"/>
  <c r="N364" i="12"/>
  <c r="R336" i="12"/>
  <c r="AA694" i="12"/>
  <c r="Q311" i="12"/>
  <c r="O399" i="12"/>
  <c r="K399" i="12"/>
  <c r="I351" i="12"/>
  <c r="N653" i="12"/>
  <c r="M371" i="12"/>
  <c r="L378" i="12"/>
  <c r="P335" i="12"/>
  <c r="M353" i="12"/>
  <c r="O300" i="12"/>
  <c r="K452" i="12"/>
  <c r="T462" i="12"/>
  <c r="G346" i="12"/>
  <c r="P426" i="12"/>
  <c r="F603" i="12"/>
  <c r="R334" i="12"/>
  <c r="K625" i="12"/>
  <c r="Q654" i="12"/>
  <c r="Q362" i="12"/>
  <c r="K639" i="12"/>
  <c r="L353" i="12"/>
  <c r="J373" i="12"/>
  <c r="K360" i="12"/>
  <c r="L448" i="12"/>
  <c r="R414" i="12"/>
  <c r="L492" i="12"/>
  <c r="P351" i="12"/>
  <c r="Q334" i="12"/>
  <c r="Z695" i="12"/>
  <c r="L225" i="12"/>
  <c r="F433" i="12"/>
  <c r="U587" i="2"/>
  <c r="P362" i="12"/>
  <c r="K364" i="12"/>
  <c r="I453" i="12"/>
  <c r="I650" i="12"/>
  <c r="K622" i="12"/>
  <c r="L363" i="12"/>
  <c r="M254" i="12"/>
  <c r="M545" i="12"/>
  <c r="O388" i="12"/>
  <c r="F470" i="12"/>
  <c r="U641" i="2"/>
  <c r="O470" i="12"/>
  <c r="T467" i="12"/>
  <c r="J333" i="12"/>
  <c r="I302" i="12"/>
  <c r="S376" i="12"/>
  <c r="O429" i="12"/>
  <c r="S625" i="12"/>
  <c r="O362" i="12"/>
  <c r="I573" i="12"/>
  <c r="L626" i="12"/>
  <c r="M527" i="12"/>
  <c r="N516" i="12"/>
  <c r="S482" i="12"/>
  <c r="L400" i="12"/>
  <c r="G339" i="12"/>
  <c r="N355" i="12"/>
  <c r="S539" i="12"/>
  <c r="S542" i="12"/>
  <c r="M467" i="12"/>
  <c r="N492" i="12"/>
  <c r="I325" i="12"/>
  <c r="S599" i="12"/>
  <c r="S371" i="12"/>
  <c r="I618" i="12"/>
  <c r="J433" i="12"/>
  <c r="I608" i="12"/>
  <c r="G492" i="12"/>
  <c r="R392" i="12"/>
  <c r="O622" i="12"/>
  <c r="N304" i="12"/>
  <c r="F337" i="12"/>
  <c r="U519" i="2"/>
  <c r="AA727" i="12"/>
  <c r="AA676" i="12"/>
  <c r="AA706" i="12"/>
  <c r="L291" i="12"/>
  <c r="M336" i="12"/>
  <c r="G330" i="12"/>
  <c r="I568" i="12"/>
  <c r="F396" i="12"/>
  <c r="M325" i="12"/>
  <c r="P342" i="12"/>
  <c r="I337" i="12"/>
  <c r="F619" i="12"/>
  <c r="T372" i="12"/>
  <c r="K390" i="12"/>
  <c r="F653" i="12"/>
  <c r="S635" i="12"/>
  <c r="G311" i="12"/>
  <c r="M290" i="12"/>
  <c r="M501" i="12"/>
  <c r="K282" i="12"/>
  <c r="I304" i="12"/>
  <c r="Q577" i="12"/>
  <c r="K528" i="12"/>
  <c r="N631" i="12"/>
  <c r="O529" i="12"/>
  <c r="S560" i="12"/>
  <c r="K293" i="12"/>
  <c r="F519" i="12"/>
  <c r="R303" i="12"/>
  <c r="J372" i="12"/>
  <c r="F371" i="12"/>
  <c r="F395" i="12"/>
  <c r="U570" i="2"/>
  <c r="N645" i="12"/>
  <c r="R354" i="12"/>
  <c r="S517" i="12"/>
  <c r="K559" i="12"/>
  <c r="R278" i="12"/>
  <c r="O478" i="12"/>
  <c r="Q543" i="12"/>
  <c r="G261" i="12"/>
  <c r="G368" i="12"/>
  <c r="L511" i="12"/>
  <c r="Q357" i="12"/>
  <c r="Z682" i="12"/>
  <c r="R132" i="12"/>
  <c r="O230" i="12"/>
  <c r="S607" i="12"/>
  <c r="N526" i="12"/>
  <c r="P547" i="12"/>
  <c r="N596" i="12"/>
  <c r="AB714" i="12"/>
  <c r="O572" i="12"/>
  <c r="P347" i="12"/>
  <c r="K526" i="12"/>
  <c r="L417" i="12"/>
  <c r="R500" i="12"/>
  <c r="G452" i="12"/>
  <c r="K623" i="12"/>
  <c r="K482" i="12"/>
  <c r="J603" i="12"/>
  <c r="G329" i="12"/>
  <c r="F438" i="12"/>
  <c r="U659" i="2"/>
  <c r="M443" i="12"/>
  <c r="T280" i="12"/>
  <c r="Q554" i="12"/>
  <c r="T636" i="12"/>
  <c r="Q588" i="12"/>
  <c r="J633" i="12"/>
  <c r="F636" i="12"/>
  <c r="U730" i="2"/>
  <c r="R566" i="12"/>
  <c r="I642" i="12"/>
  <c r="N546" i="12"/>
  <c r="N583" i="12"/>
  <c r="T557" i="12"/>
  <c r="R367" i="12"/>
  <c r="S471" i="12"/>
  <c r="G489" i="12"/>
  <c r="G500" i="12"/>
  <c r="K649" i="12"/>
  <c r="G483" i="12"/>
  <c r="P500" i="12"/>
  <c r="M347" i="12"/>
  <c r="O551" i="12"/>
  <c r="T386" i="12"/>
  <c r="G287" i="12"/>
  <c r="P432" i="12"/>
  <c r="J648" i="12"/>
  <c r="X660" i="12"/>
  <c r="F581" i="12"/>
  <c r="F536" i="12"/>
  <c r="U677" i="2"/>
  <c r="Q607" i="12"/>
  <c r="F538" i="12"/>
  <c r="S648" i="12"/>
  <c r="M566" i="12"/>
  <c r="Q518" i="12"/>
  <c r="T526" i="12"/>
  <c r="P648" i="12"/>
  <c r="L544" i="12"/>
  <c r="Z704" i="12"/>
  <c r="N598" i="12"/>
  <c r="X689" i="12"/>
  <c r="Q536" i="12"/>
  <c r="F544" i="12"/>
  <c r="Q606" i="12"/>
  <c r="S518" i="12"/>
  <c r="F444" i="12"/>
  <c r="Q612" i="12"/>
  <c r="I648" i="12"/>
  <c r="I588" i="12"/>
  <c r="G634" i="12"/>
  <c r="X725" i="12"/>
  <c r="AL341" i="2"/>
  <c r="O607" i="12"/>
  <c r="Q598" i="12"/>
  <c r="G617" i="12"/>
  <c r="N544" i="12"/>
  <c r="L553" i="12"/>
  <c r="I636" i="12"/>
  <c r="F638" i="12"/>
  <c r="U722" i="2"/>
  <c r="J526" i="12"/>
  <c r="J475" i="12"/>
  <c r="L602" i="12"/>
  <c r="K540" i="12"/>
  <c r="F648" i="12"/>
  <c r="U726" i="2"/>
  <c r="F588" i="12"/>
  <c r="U698" i="2"/>
  <c r="F557" i="12"/>
  <c r="U704" i="2"/>
  <c r="T553" i="12"/>
  <c r="S611" i="12"/>
  <c r="M532" i="12"/>
  <c r="J540" i="12"/>
  <c r="L624" i="12"/>
  <c r="J508" i="12"/>
  <c r="O557" i="12"/>
  <c r="X675" i="12"/>
  <c r="J646" i="12"/>
  <c r="T534" i="12"/>
  <c r="L554" i="12"/>
  <c r="S508" i="12"/>
  <c r="M617" i="12"/>
  <c r="T544" i="12"/>
  <c r="R553" i="12"/>
  <c r="S646" i="12"/>
  <c r="F526" i="12"/>
  <c r="U701" i="2"/>
  <c r="P475" i="12"/>
  <c r="M427" i="12"/>
  <c r="I538" i="12"/>
  <c r="S581" i="12"/>
  <c r="G512" i="12"/>
  <c r="S447" i="12"/>
  <c r="X674" i="12"/>
  <c r="T634" i="12"/>
  <c r="F465" i="12"/>
  <c r="X669" i="12"/>
  <c r="M552" i="12"/>
  <c r="Q646" i="12"/>
  <c r="G534" i="12"/>
  <c r="U697" i="2"/>
  <c r="I554" i="12"/>
  <c r="P508" i="12"/>
  <c r="K557" i="12"/>
  <c r="Q544" i="12"/>
  <c r="X670" i="12"/>
  <c r="AL242" i="2"/>
  <c r="O512" i="12"/>
  <c r="J595" i="12"/>
  <c r="P521" i="12"/>
  <c r="G536" i="12"/>
  <c r="N532" i="12"/>
  <c r="J447" i="12"/>
  <c r="AA679" i="12"/>
  <c r="Q417" i="12"/>
  <c r="R469" i="12"/>
  <c r="N646" i="12"/>
  <c r="N606" i="12"/>
  <c r="G532" i="12"/>
  <c r="Q548" i="12"/>
  <c r="T288" i="12"/>
  <c r="I500" i="12"/>
  <c r="F424" i="12"/>
  <c r="AB713" i="12"/>
  <c r="L605" i="12"/>
  <c r="S605" i="12"/>
  <c r="P611" i="12"/>
  <c r="R477" i="12"/>
  <c r="P381" i="12"/>
  <c r="J516" i="12"/>
  <c r="O417" i="12"/>
  <c r="K487" i="12"/>
  <c r="L452" i="12"/>
  <c r="Q431" i="12"/>
  <c r="AQ222" i="2"/>
  <c r="AR222" i="2"/>
  <c r="K558" i="12"/>
  <c r="S558" i="12"/>
  <c r="O539" i="12"/>
  <c r="R564" i="12"/>
  <c r="L472" i="12"/>
  <c r="P421" i="12"/>
  <c r="Q542" i="12"/>
  <c r="M649" i="12"/>
  <c r="G564" i="12"/>
  <c r="U684" i="2"/>
  <c r="Z722" i="12"/>
  <c r="M497" i="12"/>
  <c r="I423" i="12"/>
  <c r="J454" i="12"/>
  <c r="J414" i="12"/>
  <c r="G450" i="12"/>
  <c r="U660" i="2"/>
  <c r="M288" i="12"/>
  <c r="M596" i="12"/>
  <c r="O564" i="12"/>
  <c r="U651" i="2"/>
  <c r="M549" i="12"/>
  <c r="N607" i="12"/>
  <c r="R581" i="12"/>
  <c r="O410" i="12"/>
  <c r="J506" i="12"/>
  <c r="G448" i="12"/>
  <c r="J477" i="12"/>
  <c r="Q430" i="12"/>
  <c r="P516" i="12"/>
  <c r="F369" i="12"/>
  <c r="U615" i="2"/>
  <c r="O406" i="12"/>
  <c r="P483" i="12"/>
  <c r="K549" i="12"/>
  <c r="P487" i="12"/>
  <c r="K469" i="12"/>
  <c r="K307" i="12"/>
  <c r="M593" i="12"/>
  <c r="L593" i="12"/>
  <c r="I288" i="12"/>
  <c r="J596" i="12"/>
  <c r="N508" i="12"/>
  <c r="R540" i="12"/>
  <c r="G583" i="12"/>
  <c r="J471" i="12"/>
  <c r="J564" i="12"/>
  <c r="F434" i="12"/>
  <c r="U649" i="2"/>
  <c r="L391" i="12"/>
  <c r="F388" i="12"/>
  <c r="U647" i="2"/>
  <c r="L367" i="12"/>
  <c r="G459" i="12"/>
  <c r="I466" i="12"/>
  <c r="N369" i="12"/>
  <c r="N469" i="12"/>
  <c r="J355" i="12"/>
  <c r="M448" i="12"/>
  <c r="M482" i="12"/>
  <c r="K333" i="12"/>
  <c r="R492" i="12"/>
  <c r="S331" i="12"/>
  <c r="G599" i="12"/>
  <c r="S377" i="12"/>
  <c r="T384" i="12"/>
  <c r="U539" i="2"/>
  <c r="Q626" i="12"/>
  <c r="K438" i="12"/>
  <c r="Q416" i="12"/>
  <c r="Q466" i="12"/>
  <c r="R426" i="12"/>
  <c r="O302" i="12"/>
  <c r="K376" i="12"/>
  <c r="F352" i="12"/>
  <c r="U582" i="2"/>
  <c r="S225" i="12"/>
  <c r="I563" i="12"/>
  <c r="R456" i="12"/>
  <c r="Q350" i="12"/>
  <c r="L453" i="12"/>
  <c r="L650" i="12"/>
  <c r="M639" i="12"/>
  <c r="M655" i="12"/>
  <c r="F399" i="12"/>
  <c r="U633" i="2"/>
  <c r="L399" i="12"/>
  <c r="Z716" i="12"/>
  <c r="M400" i="12"/>
  <c r="G603" i="12"/>
  <c r="J376" i="12"/>
  <c r="S334" i="12"/>
  <c r="R320" i="12"/>
  <c r="R654" i="12"/>
  <c r="P358" i="12"/>
  <c r="L573" i="12"/>
  <c r="F335" i="12"/>
  <c r="U579" i="2"/>
  <c r="M525" i="12"/>
  <c r="P597" i="12"/>
  <c r="P527" i="12"/>
  <c r="G470" i="12"/>
  <c r="K462" i="12"/>
  <c r="Q346" i="12"/>
  <c r="S644" i="12"/>
  <c r="F334" i="12"/>
  <c r="M258" i="12"/>
  <c r="F654" i="12"/>
  <c r="U562" i="2"/>
  <c r="F362" i="12"/>
  <c r="U571" i="2"/>
  <c r="M348" i="12"/>
  <c r="T453" i="12"/>
  <c r="T650" i="12"/>
  <c r="L622" i="12"/>
  <c r="O311" i="12"/>
  <c r="I497" i="12"/>
  <c r="G454" i="12"/>
  <c r="N333" i="12"/>
  <c r="N426" i="12"/>
  <c r="G351" i="12"/>
  <c r="P407" i="12"/>
  <c r="N618" i="12"/>
  <c r="P433" i="12"/>
  <c r="L600" i="12"/>
  <c r="T422" i="12"/>
  <c r="L585" i="12"/>
  <c r="R432" i="12"/>
  <c r="P470" i="12"/>
  <c r="O459" i="12"/>
  <c r="K467" i="12"/>
  <c r="O379" i="12"/>
  <c r="I339" i="12"/>
  <c r="P603" i="12"/>
  <c r="M376" i="12"/>
  <c r="J371" i="12"/>
  <c r="O435" i="12"/>
  <c r="L362" i="12"/>
  <c r="M335" i="12"/>
  <c r="K517" i="12"/>
  <c r="M597" i="12"/>
  <c r="N609" i="12"/>
  <c r="J424" i="12"/>
  <c r="F400" i="12"/>
  <c r="U597" i="2"/>
  <c r="Q339" i="12"/>
  <c r="F302" i="12"/>
  <c r="I495" i="12"/>
  <c r="S425" i="12"/>
  <c r="Q462" i="12"/>
  <c r="T466" i="12"/>
  <c r="AB731" i="12"/>
  <c r="O434" i="12"/>
  <c r="M351" i="12"/>
  <c r="Q563" i="12"/>
  <c r="T652" i="12"/>
  <c r="S587" i="12"/>
  <c r="N613" i="12"/>
  <c r="N453" i="12"/>
  <c r="L603" i="12"/>
  <c r="I392" i="12"/>
  <c r="S641" i="12"/>
  <c r="R637" i="12"/>
  <c r="O390" i="12"/>
  <c r="R643" i="12"/>
  <c r="F647" i="12"/>
  <c r="U534" i="2"/>
  <c r="P453" i="12"/>
  <c r="I343" i="12"/>
  <c r="N545" i="12"/>
  <c r="P574" i="12"/>
  <c r="M291" i="12"/>
  <c r="Q290" i="12"/>
  <c r="L435" i="12"/>
  <c r="T645" i="12"/>
  <c r="Z720" i="12"/>
  <c r="L589" i="12"/>
  <c r="P264" i="12"/>
  <c r="M504" i="12"/>
  <c r="K589" i="12"/>
  <c r="M575" i="12"/>
  <c r="T286" i="12"/>
  <c r="S372" i="12"/>
  <c r="N437" i="12"/>
  <c r="J437" i="12"/>
  <c r="L503" i="12"/>
  <c r="J610" i="12"/>
  <c r="P621" i="12"/>
  <c r="O327" i="12"/>
  <c r="I550" i="12"/>
  <c r="O520" i="12"/>
  <c r="J305" i="12"/>
  <c r="R561" i="12"/>
  <c r="O519" i="12"/>
  <c r="L490" i="12"/>
  <c r="I457" i="12"/>
  <c r="P627" i="12"/>
  <c r="I191" i="12"/>
  <c r="I486" i="12"/>
  <c r="N368" i="12"/>
  <c r="AA692" i="12"/>
  <c r="J226" i="12"/>
  <c r="T633" i="12"/>
  <c r="N427" i="12"/>
  <c r="I444" i="12"/>
  <c r="J347" i="12"/>
  <c r="O547" i="12"/>
  <c r="I638" i="12"/>
  <c r="G523" i="12"/>
  <c r="I596" i="12"/>
  <c r="G623" i="12"/>
  <c r="Q489" i="12"/>
  <c r="S521" i="12"/>
  <c r="I452" i="12"/>
  <c r="I551" i="12"/>
  <c r="N483" i="12"/>
  <c r="P355" i="12"/>
  <c r="G618" i="12"/>
  <c r="T438" i="12"/>
  <c r="I407" i="12"/>
  <c r="P472" i="12"/>
  <c r="I427" i="12"/>
  <c r="J584" i="12"/>
  <c r="R548" i="12"/>
  <c r="L598" i="12"/>
  <c r="N475" i="12"/>
  <c r="N548" i="12"/>
  <c r="R518" i="12"/>
  <c r="F446" i="12"/>
  <c r="K448" i="12"/>
  <c r="R391" i="12"/>
  <c r="F347" i="12"/>
  <c r="U576" i="2"/>
  <c r="N633" i="12"/>
  <c r="K417" i="12"/>
  <c r="F583" i="12"/>
  <c r="S459" i="12"/>
  <c r="G642" i="12"/>
  <c r="J431" i="12"/>
  <c r="G414" i="12"/>
  <c r="T435" i="12"/>
  <c r="K453" i="12"/>
  <c r="N612" i="12"/>
  <c r="L444" i="12"/>
  <c r="P646" i="12"/>
  <c r="R598" i="12"/>
  <c r="AB723" i="12"/>
  <c r="Z681" i="12"/>
  <c r="P444" i="12"/>
  <c r="Q634" i="12"/>
  <c r="Q617" i="12"/>
  <c r="L540" i="12"/>
  <c r="T475" i="12"/>
  <c r="K553" i="12"/>
  <c r="L555" i="12"/>
  <c r="O638" i="12"/>
  <c r="P557" i="12"/>
  <c r="AB669" i="12"/>
  <c r="T540" i="12"/>
  <c r="Z667" i="12"/>
  <c r="S638" i="12"/>
  <c r="S598" i="12"/>
  <c r="Q642" i="12"/>
  <c r="Q532" i="12"/>
  <c r="F447" i="12"/>
  <c r="U662" i="2"/>
  <c r="AQ296" i="2"/>
  <c r="AR296" i="2"/>
  <c r="G612" i="12"/>
  <c r="L526" i="12"/>
  <c r="P642" i="12"/>
  <c r="Z723" i="12"/>
  <c r="O624" i="12"/>
  <c r="G598" i="12"/>
  <c r="N572" i="12"/>
  <c r="S552" i="12"/>
  <c r="O532" i="12"/>
  <c r="AL333" i="2"/>
  <c r="AA684" i="12"/>
  <c r="P617" i="12"/>
  <c r="M544" i="12"/>
  <c r="L521" i="12"/>
  <c r="K628" i="12"/>
  <c r="Z684" i="12"/>
  <c r="AA683" i="12"/>
  <c r="AA718" i="12"/>
  <c r="Q640" i="12"/>
  <c r="J553" i="12"/>
  <c r="K633" i="12"/>
  <c r="I611" i="12"/>
  <c r="N569" i="12"/>
  <c r="Q636" i="12"/>
  <c r="M612" i="12"/>
  <c r="K544" i="12"/>
  <c r="S553" i="12"/>
  <c r="R611" i="12"/>
  <c r="M569" i="12"/>
  <c r="K447" i="12"/>
  <c r="Z709" i="12"/>
  <c r="J534" i="12"/>
  <c r="I508" i="12"/>
  <c r="N557" i="12"/>
  <c r="J544" i="12"/>
  <c r="S602" i="12"/>
  <c r="I646" i="12"/>
  <c r="AA729" i="12"/>
  <c r="AA660" i="12"/>
  <c r="F475" i="12"/>
  <c r="U658" i="2"/>
  <c r="K634" i="12"/>
  <c r="N630" i="12"/>
  <c r="T606" i="12"/>
  <c r="I581" i="12"/>
  <c r="I447" i="12"/>
  <c r="Q628" i="12"/>
  <c r="Z729" i="12"/>
  <c r="Z660" i="12"/>
  <c r="O475" i="12"/>
  <c r="J634" i="12"/>
  <c r="Q566" i="12"/>
  <c r="P553" i="12"/>
  <c r="AA725" i="12"/>
  <c r="G646" i="12"/>
  <c r="U727" i="2"/>
  <c r="R624" i="12"/>
  <c r="T598" i="12"/>
  <c r="F508" i="12"/>
  <c r="U679" i="2"/>
  <c r="L640" i="12"/>
  <c r="G544" i="12"/>
  <c r="U669" i="2"/>
  <c r="P602" i="12"/>
  <c r="P633" i="12"/>
  <c r="F521" i="12"/>
  <c r="U691" i="2"/>
  <c r="T569" i="12"/>
  <c r="I539" i="12"/>
  <c r="AR221" i="2"/>
  <c r="AQ221" i="2"/>
  <c r="P546" i="12"/>
  <c r="F417" i="12"/>
  <c r="U621" i="2"/>
  <c r="P638" i="12"/>
  <c r="AR245" i="2"/>
  <c r="AQ245" i="2"/>
  <c r="L569" i="12"/>
  <c r="G632" i="12"/>
  <c r="K288" i="12"/>
  <c r="M373" i="12"/>
  <c r="S498" i="12"/>
  <c r="S347" i="12"/>
  <c r="N465" i="12"/>
  <c r="M605" i="12"/>
  <c r="J605" i="12"/>
  <c r="R512" i="12"/>
  <c r="O548" i="12"/>
  <c r="F623" i="12"/>
  <c r="Q424" i="12"/>
  <c r="R417" i="12"/>
  <c r="K483" i="12"/>
  <c r="P549" i="12"/>
  <c r="L360" i="12"/>
  <c r="P469" i="12"/>
  <c r="G431" i="12"/>
  <c r="P466" i="12"/>
  <c r="O552" i="12"/>
  <c r="M558" i="12"/>
  <c r="J558" i="12"/>
  <c r="F539" i="12"/>
  <c r="U692" i="2"/>
  <c r="Q596" i="12"/>
  <c r="M547" i="12"/>
  <c r="L434" i="12"/>
  <c r="P523" i="12"/>
  <c r="F421" i="12"/>
  <c r="U628" i="2"/>
  <c r="M459" i="12"/>
  <c r="G542" i="12"/>
  <c r="R569" i="12"/>
  <c r="O288" i="12"/>
  <c r="Q564" i="12"/>
  <c r="M446" i="12"/>
  <c r="S487" i="12"/>
  <c r="T452" i="12"/>
  <c r="N302" i="12"/>
  <c r="Q450" i="12"/>
  <c r="N555" i="12"/>
  <c r="S500" i="12"/>
  <c r="S451" i="12"/>
  <c r="N523" i="12"/>
  <c r="S360" i="12"/>
  <c r="M469" i="12"/>
  <c r="R423" i="12"/>
  <c r="M307" i="12"/>
  <c r="R448" i="12"/>
  <c r="M334" i="12"/>
  <c r="O611" i="12"/>
  <c r="R447" i="12"/>
  <c r="S430" i="12"/>
  <c r="L410" i="12"/>
  <c r="O391" i="12"/>
  <c r="K497" i="12"/>
  <c r="Q423" i="12"/>
  <c r="T649" i="12"/>
  <c r="M603" i="12"/>
  <c r="M599" i="12"/>
  <c r="K532" i="12"/>
  <c r="Q551" i="12"/>
  <c r="AB679" i="12"/>
  <c r="G516" i="12"/>
  <c r="P369" i="12"/>
  <c r="K406" i="12"/>
  <c r="F483" i="12"/>
  <c r="L523" i="12"/>
  <c r="F487" i="12"/>
  <c r="L421" i="12"/>
  <c r="P423" i="12"/>
  <c r="L431" i="12"/>
  <c r="O593" i="12"/>
  <c r="AB670" i="12"/>
  <c r="M623" i="12"/>
  <c r="N500" i="12"/>
  <c r="N536" i="12"/>
  <c r="L447" i="12"/>
  <c r="Q583" i="12"/>
  <c r="R547" i="12"/>
  <c r="S417" i="12"/>
  <c r="K410" i="12"/>
  <c r="Q506" i="12"/>
  <c r="Q432" i="12"/>
  <c r="R425" i="12"/>
  <c r="N448" i="12"/>
  <c r="T345" i="12"/>
  <c r="N406" i="12"/>
  <c r="M355" i="12"/>
  <c r="T355" i="12"/>
  <c r="P454" i="12"/>
  <c r="AB716" i="12"/>
  <c r="AQ216" i="2"/>
  <c r="L333" i="12"/>
  <c r="J492" i="12"/>
  <c r="J331" i="12"/>
  <c r="G377" i="12"/>
  <c r="P456" i="12"/>
  <c r="R587" i="12"/>
  <c r="G626" i="12"/>
  <c r="I609" i="12"/>
  <c r="K472" i="12"/>
  <c r="L438" i="12"/>
  <c r="K391" i="12"/>
  <c r="R416" i="12"/>
  <c r="I426" i="12"/>
  <c r="O653" i="12"/>
  <c r="P352" i="12"/>
  <c r="M625" i="12"/>
  <c r="S563" i="12"/>
  <c r="M643" i="12"/>
  <c r="N622" i="12"/>
  <c r="N353" i="12"/>
  <c r="R623" i="12"/>
  <c r="P399" i="12"/>
  <c r="O487" i="12"/>
  <c r="AA716" i="12"/>
  <c r="P333" i="12"/>
  <c r="L443" i="12"/>
  <c r="G334" i="12"/>
  <c r="F320" i="12"/>
  <c r="U544" i="2"/>
  <c r="N225" i="12"/>
  <c r="G654" i="12"/>
  <c r="O350" i="12"/>
  <c r="Q336" i="12"/>
  <c r="N517" i="12"/>
  <c r="F597" i="12"/>
  <c r="U499" i="2"/>
  <c r="F527" i="12"/>
  <c r="U429" i="2"/>
  <c r="O380" i="12"/>
  <c r="U694" i="2"/>
  <c r="I425" i="12"/>
  <c r="L462" i="12"/>
  <c r="R346" i="12"/>
  <c r="J644" i="12"/>
  <c r="N599" i="12"/>
  <c r="AA695" i="12"/>
  <c r="Q384" i="12"/>
  <c r="P608" i="12"/>
  <c r="K573" i="12"/>
  <c r="J453" i="12"/>
  <c r="J650" i="12"/>
  <c r="M585" i="12"/>
  <c r="K421" i="12"/>
  <c r="R649" i="12"/>
  <c r="P379" i="12"/>
  <c r="Q351" i="12"/>
  <c r="L352" i="12"/>
  <c r="K371" i="12"/>
  <c r="I625" i="12"/>
  <c r="L348" i="12"/>
  <c r="M287" i="12"/>
  <c r="J422" i="12"/>
  <c r="L615" i="12"/>
  <c r="M614" i="12"/>
  <c r="G547" i="12"/>
  <c r="U661" i="2"/>
  <c r="R470" i="12"/>
  <c r="T307" i="12"/>
  <c r="R345" i="12"/>
  <c r="O467" i="12"/>
  <c r="N603" i="12"/>
  <c r="L331" i="12"/>
  <c r="O320" i="12"/>
  <c r="O384" i="12"/>
  <c r="N435" i="12"/>
  <c r="N608" i="12"/>
  <c r="R613" i="12"/>
  <c r="N336" i="12"/>
  <c r="L329" i="12"/>
  <c r="N635" i="12"/>
  <c r="K451" i="12"/>
  <c r="R482" i="12"/>
  <c r="R506" i="12"/>
  <c r="N376" i="12"/>
  <c r="S352" i="12"/>
  <c r="T377" i="12"/>
  <c r="F563" i="12"/>
  <c r="I652" i="12"/>
  <c r="S358" i="12"/>
  <c r="O651" i="12"/>
  <c r="G443" i="12"/>
  <c r="T641" i="12"/>
  <c r="S637" i="12"/>
  <c r="P647" i="12"/>
  <c r="S343" i="12"/>
  <c r="G289" i="12"/>
  <c r="M589" i="12"/>
  <c r="I574" i="12"/>
  <c r="N246" i="12"/>
  <c r="T145" i="12"/>
  <c r="G393" i="12"/>
  <c r="U625" i="2"/>
  <c r="T456" i="12"/>
  <c r="R330" i="12"/>
  <c r="K568" i="12"/>
  <c r="I327" i="12"/>
  <c r="P250" i="12"/>
  <c r="T626" i="12"/>
  <c r="J337" i="12"/>
  <c r="Q305" i="12"/>
  <c r="I290" i="12"/>
  <c r="I358" i="12"/>
  <c r="O570" i="12"/>
  <c r="Q585" i="12"/>
  <c r="T246" i="12"/>
  <c r="I248" i="12"/>
  <c r="M486" i="12"/>
  <c r="M488" i="12"/>
  <c r="M436" i="12"/>
  <c r="M563" i="12"/>
  <c r="M407" i="12"/>
  <c r="M320" i="12"/>
  <c r="M590" i="12"/>
  <c r="M560" i="12"/>
  <c r="M384" i="12"/>
  <c r="M321" i="12"/>
  <c r="M429" i="12"/>
  <c r="M352" i="12"/>
  <c r="M314" i="12"/>
  <c r="M242" i="12"/>
  <c r="M613" i="12"/>
  <c r="M435" i="12"/>
  <c r="M487" i="12"/>
  <c r="M86" i="12"/>
  <c r="Q621" i="12"/>
  <c r="S577" i="12"/>
  <c r="R292" i="12"/>
  <c r="P529" i="12"/>
  <c r="I321" i="12"/>
  <c r="N647" i="12"/>
  <c r="R254" i="12"/>
  <c r="O420" i="12"/>
  <c r="G395" i="12"/>
  <c r="J587" i="12"/>
  <c r="S348" i="12"/>
  <c r="R290" i="12"/>
  <c r="S515" i="12"/>
  <c r="M420" i="12"/>
  <c r="F251" i="12"/>
  <c r="U417" i="2"/>
  <c r="S543" i="12"/>
  <c r="S218" i="12"/>
  <c r="S626" i="12"/>
  <c r="S529" i="12"/>
  <c r="S396" i="12"/>
  <c r="S559" i="12"/>
  <c r="S299" i="12"/>
  <c r="S456" i="12"/>
  <c r="S364" i="12"/>
  <c r="S289" i="12"/>
  <c r="S411" i="12"/>
  <c r="S327" i="12"/>
  <c r="S619" i="12"/>
  <c r="S293" i="12"/>
  <c r="S653" i="12"/>
  <c r="S609" i="12"/>
  <c r="S145" i="12"/>
  <c r="S368" i="12"/>
  <c r="S561" i="12"/>
  <c r="S363" i="12"/>
  <c r="S335" i="12"/>
  <c r="S422" i="12"/>
  <c r="AQ164" i="2"/>
  <c r="P229" i="3" s="1"/>
  <c r="AR164" i="2"/>
  <c r="Q229" i="3" s="1"/>
  <c r="P210" i="12"/>
  <c r="S291" i="12"/>
  <c r="O306" i="12"/>
  <c r="O321" i="12"/>
  <c r="O205" i="12"/>
  <c r="O560" i="12"/>
  <c r="O644" i="12"/>
  <c r="O219" i="12"/>
  <c r="O639" i="12"/>
  <c r="O364" i="12"/>
  <c r="O504" i="12"/>
  <c r="O342" i="12"/>
  <c r="O474" i="12"/>
  <c r="O346" i="12"/>
  <c r="O228" i="12"/>
  <c r="O414" i="12"/>
  <c r="O574" i="12"/>
  <c r="O650" i="12"/>
  <c r="O453" i="12"/>
  <c r="O393" i="12"/>
  <c r="O613" i="12"/>
  <c r="O333" i="12"/>
  <c r="O218" i="12"/>
  <c r="O330" i="12"/>
  <c r="O376" i="12"/>
  <c r="O490" i="12"/>
  <c r="O282" i="12"/>
  <c r="O401" i="12"/>
  <c r="O525" i="12"/>
  <c r="O531" i="12"/>
  <c r="O515" i="12"/>
  <c r="O528" i="12"/>
  <c r="O590" i="12"/>
  <c r="O334" i="12"/>
  <c r="O559" i="12"/>
  <c r="O483" i="12"/>
  <c r="O499" i="12"/>
  <c r="O579" i="12"/>
  <c r="O641" i="12"/>
  <c r="O421" i="12"/>
  <c r="O582" i="12"/>
  <c r="O488" i="12"/>
  <c r="O278" i="12"/>
  <c r="O396" i="12"/>
  <c r="O484" i="12"/>
  <c r="O232" i="12"/>
  <c r="O264" i="12"/>
  <c r="O291" i="12"/>
  <c r="O545" i="12"/>
  <c r="O213" i="12"/>
  <c r="O286" i="12"/>
  <c r="O578" i="12"/>
  <c r="I197" i="12"/>
  <c r="M211" i="12"/>
  <c r="J484" i="12"/>
  <c r="Q427" i="12"/>
  <c r="N588" i="12"/>
  <c r="G602" i="12"/>
  <c r="Q444" i="12"/>
  <c r="I406" i="12"/>
  <c r="R424" i="12"/>
  <c r="P447" i="12"/>
  <c r="L459" i="12"/>
  <c r="R430" i="12"/>
  <c r="M495" i="12"/>
  <c r="L477" i="12"/>
  <c r="G487" i="12"/>
  <c r="M498" i="12"/>
  <c r="N512" i="12"/>
  <c r="T431" i="12"/>
  <c r="O628" i="12"/>
  <c r="G638" i="12"/>
  <c r="M646" i="12"/>
  <c r="O636" i="12"/>
  <c r="T532" i="12"/>
  <c r="Q508" i="12"/>
  <c r="AR308" i="2"/>
  <c r="AQ308" i="2"/>
  <c r="L551" i="12"/>
  <c r="G555" i="12"/>
  <c r="M506" i="12"/>
  <c r="N617" i="12"/>
  <c r="J430" i="12"/>
  <c r="G607" i="12"/>
  <c r="N391" i="12"/>
  <c r="I469" i="12"/>
  <c r="M364" i="12"/>
  <c r="O508" i="12"/>
  <c r="AR265" i="2"/>
  <c r="AQ265" i="2"/>
  <c r="Q594" i="12"/>
  <c r="M526" i="12"/>
  <c r="P581" i="12"/>
  <c r="AQ338" i="2"/>
  <c r="AR338" i="2"/>
  <c r="F624" i="12"/>
  <c r="U719" i="2"/>
  <c r="P538" i="12"/>
  <c r="P607" i="12"/>
  <c r="M512" i="12"/>
  <c r="S588" i="12"/>
  <c r="I630" i="12"/>
  <c r="S551" i="12"/>
  <c r="X729" i="12"/>
  <c r="S617" i="12"/>
  <c r="R617" i="12"/>
  <c r="F642" i="12"/>
  <c r="U728" i="2"/>
  <c r="Z708" i="12"/>
  <c r="M540" i="12"/>
  <c r="P612" i="12"/>
  <c r="R557" i="12"/>
  <c r="I552" i="12"/>
  <c r="L512" i="12"/>
  <c r="M521" i="12"/>
  <c r="AA675" i="12"/>
  <c r="L628" i="12"/>
  <c r="M534" i="12"/>
  <c r="O554" i="12"/>
  <c r="K584" i="12"/>
  <c r="F617" i="12"/>
  <c r="U718" i="2"/>
  <c r="M581" i="12"/>
  <c r="M444" i="12"/>
  <c r="L646" i="12"/>
  <c r="S526" i="12"/>
  <c r="S475" i="12"/>
  <c r="M536" i="12"/>
  <c r="G640" i="12"/>
  <c r="M642" i="12"/>
  <c r="L581" i="12"/>
  <c r="T512" i="12"/>
  <c r="K521" i="12"/>
  <c r="G636" i="12"/>
  <c r="N638" i="12"/>
  <c r="O588" i="12"/>
  <c r="K572" i="12"/>
  <c r="P640" i="12"/>
  <c r="L642" i="12"/>
  <c r="I553" i="12"/>
  <c r="F552" i="12"/>
  <c r="U708" i="2"/>
  <c r="S512" i="12"/>
  <c r="AB689" i="12"/>
  <c r="K607" i="12"/>
  <c r="T572" i="12"/>
  <c r="I602" i="12"/>
  <c r="AA689" i="12"/>
  <c r="T607" i="12"/>
  <c r="Q584" i="12"/>
  <c r="L617" i="12"/>
  <c r="Q465" i="12"/>
  <c r="J606" i="12"/>
  <c r="L518" i="12"/>
  <c r="R555" i="12"/>
  <c r="P373" i="12"/>
  <c r="G628" i="12"/>
  <c r="R534" i="12"/>
  <c r="AB681" i="12"/>
  <c r="G566" i="12"/>
  <c r="F553" i="12"/>
  <c r="AR333" i="2"/>
  <c r="AQ333" i="2"/>
  <c r="R607" i="12"/>
  <c r="J598" i="12"/>
  <c r="Q572" i="12"/>
  <c r="R642" i="12"/>
  <c r="F602" i="12"/>
  <c r="U696" i="2"/>
  <c r="F633" i="12"/>
  <c r="U723" i="2"/>
  <c r="P555" i="12"/>
  <c r="L594" i="12"/>
  <c r="Q447" i="12"/>
  <c r="N595" i="12"/>
  <c r="X679" i="12"/>
  <c r="Q547" i="12"/>
  <c r="K546" i="12"/>
  <c r="O472" i="12"/>
  <c r="F459" i="12"/>
  <c r="U666" i="2"/>
  <c r="S345" i="12"/>
  <c r="F518" i="12"/>
  <c r="U686" i="2"/>
  <c r="F595" i="12"/>
  <c r="U693" i="2"/>
  <c r="Q632" i="12"/>
  <c r="I521" i="12"/>
  <c r="U700" i="2"/>
  <c r="T471" i="12"/>
  <c r="N472" i="12"/>
  <c r="AQ218" i="2"/>
  <c r="AR218" i="2"/>
  <c r="O506" i="12"/>
  <c r="T391" i="12"/>
  <c r="I347" i="12"/>
  <c r="O605" i="12"/>
  <c r="T605" i="12"/>
  <c r="I555" i="12"/>
  <c r="I430" i="12"/>
  <c r="M472" i="12"/>
  <c r="L451" i="12"/>
  <c r="F549" i="12"/>
  <c r="F469" i="12"/>
  <c r="S489" i="12"/>
  <c r="F450" i="12"/>
  <c r="O558" i="12"/>
  <c r="T558" i="12"/>
  <c r="P539" i="12"/>
  <c r="F596" i="12"/>
  <c r="U711" i="2"/>
  <c r="I516" i="12"/>
  <c r="S406" i="12"/>
  <c r="F523" i="12"/>
  <c r="Q347" i="12"/>
  <c r="N425" i="12"/>
  <c r="F540" i="12"/>
  <c r="T623" i="12"/>
  <c r="P471" i="12"/>
  <c r="S483" i="12"/>
  <c r="I487" i="12"/>
  <c r="J452" i="12"/>
  <c r="P542" i="12"/>
  <c r="L649" i="12"/>
  <c r="AB696" i="12"/>
  <c r="R450" i="12"/>
  <c r="T444" i="12"/>
  <c r="F430" i="12"/>
  <c r="U635" i="2"/>
  <c r="M500" i="12"/>
  <c r="K547" i="12"/>
  <c r="I451" i="12"/>
  <c r="I360" i="12"/>
  <c r="N421" i="12"/>
  <c r="N431" i="12"/>
  <c r="S454" i="12"/>
  <c r="O482" i="12"/>
  <c r="S492" i="12"/>
  <c r="F512" i="12"/>
  <c r="Q539" i="12"/>
  <c r="N381" i="12"/>
  <c r="N495" i="12"/>
  <c r="K446" i="12"/>
  <c r="L469" i="12"/>
  <c r="G423" i="12"/>
  <c r="M431" i="12"/>
  <c r="J649" i="12"/>
  <c r="N443" i="12"/>
  <c r="X723" i="12"/>
  <c r="F551" i="12"/>
  <c r="U689" i="2"/>
  <c r="L381" i="12"/>
  <c r="Q516" i="12"/>
  <c r="L564" i="12"/>
  <c r="Q451" i="12"/>
  <c r="Q360" i="12"/>
  <c r="F423" i="12"/>
  <c r="R612" i="12"/>
  <c r="G593" i="12"/>
  <c r="Q633" i="12"/>
  <c r="M539" i="12"/>
  <c r="O430" i="12"/>
  <c r="F594" i="12"/>
  <c r="U710" i="2"/>
  <c r="K539" i="12"/>
  <c r="J583" i="12"/>
  <c r="G417" i="12"/>
  <c r="G506" i="12"/>
  <c r="G432" i="12"/>
  <c r="S307" i="12"/>
  <c r="J345" i="12"/>
  <c r="O355" i="12"/>
  <c r="K355" i="12"/>
  <c r="J346" i="12"/>
  <c r="M333" i="12"/>
  <c r="P302" i="12"/>
  <c r="T331" i="12"/>
  <c r="R352" i="12"/>
  <c r="P225" i="12"/>
  <c r="J280" i="12"/>
  <c r="G587" i="12"/>
  <c r="F517" i="12"/>
  <c r="U418" i="2"/>
  <c r="N438" i="12"/>
  <c r="M438" i="12"/>
  <c r="R431" i="12"/>
  <c r="I416" i="12"/>
  <c r="F414" i="12"/>
  <c r="S426" i="12"/>
  <c r="T603" i="12"/>
  <c r="M378" i="12"/>
  <c r="S362" i="12"/>
  <c r="O348" i="12"/>
  <c r="O615" i="12"/>
  <c r="O585" i="12"/>
  <c r="R546" i="12"/>
  <c r="G399" i="12"/>
  <c r="Q388" i="12"/>
  <c r="P448" i="12"/>
  <c r="T325" i="12"/>
  <c r="P599" i="12"/>
  <c r="L643" i="12"/>
  <c r="F350" i="12"/>
  <c r="U581" i="2"/>
  <c r="G336" i="12"/>
  <c r="O329" i="12"/>
  <c r="Q635" i="12"/>
  <c r="Q609" i="12"/>
  <c r="F632" i="12"/>
  <c r="M462" i="12"/>
  <c r="I346" i="12"/>
  <c r="I400" i="12"/>
  <c r="T644" i="12"/>
  <c r="R280" i="12"/>
  <c r="M600" i="12"/>
  <c r="M615" i="12"/>
  <c r="O527" i="12"/>
  <c r="O289" i="12"/>
  <c r="K564" i="12"/>
  <c r="J386" i="12"/>
  <c r="R351" i="12"/>
  <c r="M331" i="12"/>
  <c r="P320" i="12"/>
  <c r="M626" i="12"/>
  <c r="O609" i="12"/>
  <c r="M380" i="12"/>
  <c r="O516" i="12"/>
  <c r="J469" i="12"/>
  <c r="I470" i="12"/>
  <c r="K431" i="12"/>
  <c r="O345" i="12"/>
  <c r="T398" i="12"/>
  <c r="N325" i="12"/>
  <c r="I258" i="12"/>
  <c r="N384" i="12"/>
  <c r="N654" i="12"/>
  <c r="L587" i="12"/>
  <c r="S651" i="12"/>
  <c r="S655" i="12"/>
  <c r="J410" i="12"/>
  <c r="Q497" i="12"/>
  <c r="U595" i="2"/>
  <c r="L339" i="12"/>
  <c r="L325" i="12"/>
  <c r="I446" i="12"/>
  <c r="Q307" i="12"/>
  <c r="L346" i="12"/>
  <c r="J549" i="12"/>
  <c r="Q454" i="12"/>
  <c r="I644" i="12"/>
  <c r="R331" i="12"/>
  <c r="K320" i="12"/>
  <c r="I377" i="12"/>
  <c r="Q615" i="12"/>
  <c r="O392" i="12"/>
  <c r="J392" i="12"/>
  <c r="I641" i="12"/>
  <c r="I637" i="12"/>
  <c r="G647" i="12"/>
  <c r="S329" i="12"/>
  <c r="J343" i="12"/>
  <c r="N614" i="12"/>
  <c r="J311" i="12"/>
  <c r="I305" i="12"/>
  <c r="O242" i="12"/>
  <c r="J175" i="12"/>
  <c r="T559" i="12"/>
  <c r="M524" i="12"/>
  <c r="M362" i="12"/>
  <c r="O561" i="12"/>
  <c r="I348" i="12"/>
  <c r="J517" i="12"/>
  <c r="F286" i="12"/>
  <c r="U545" i="2"/>
  <c r="P387" i="12"/>
  <c r="Q396" i="12"/>
  <c r="G175" i="12"/>
  <c r="P378" i="12"/>
  <c r="AB727" i="12"/>
  <c r="R218" i="12"/>
  <c r="J590" i="12"/>
  <c r="K243" i="12"/>
  <c r="T275" i="12"/>
  <c r="O437" i="12"/>
  <c r="K437" i="12"/>
  <c r="T371" i="12"/>
  <c r="J616" i="12"/>
  <c r="I313" i="12"/>
  <c r="F582" i="12"/>
  <c r="Q390" i="12"/>
  <c r="I419" i="12"/>
  <c r="J550" i="12"/>
  <c r="F243" i="12"/>
  <c r="U446" i="2"/>
  <c r="F573" i="12"/>
  <c r="F333" i="12"/>
  <c r="F364" i="12"/>
  <c r="F348" i="12"/>
  <c r="I183" i="12"/>
  <c r="G161" i="12"/>
  <c r="U322" i="2"/>
  <c r="G248" i="12"/>
  <c r="G639" i="12"/>
  <c r="G353" i="12"/>
  <c r="G525" i="12"/>
  <c r="G422" i="12"/>
  <c r="G211" i="12"/>
  <c r="G563" i="12"/>
  <c r="G246" i="12"/>
  <c r="G550" i="12"/>
  <c r="G398" i="12"/>
  <c r="G653" i="12"/>
  <c r="G453" i="12"/>
  <c r="G302" i="12"/>
  <c r="G363" i="12"/>
  <c r="G589" i="12"/>
  <c r="G519" i="12"/>
  <c r="G331" i="12"/>
  <c r="G428" i="12"/>
  <c r="G655" i="12"/>
  <c r="G573" i="12"/>
  <c r="G545" i="12"/>
  <c r="G295" i="12"/>
  <c r="G378" i="12"/>
  <c r="G271" i="12"/>
  <c r="G304" i="12"/>
  <c r="G616" i="12"/>
  <c r="G585" i="12"/>
  <c r="G293" i="12"/>
  <c r="G352" i="12"/>
  <c r="G613" i="12"/>
  <c r="G307" i="12"/>
  <c r="G643" i="12"/>
  <c r="G494" i="12"/>
  <c r="G258" i="12"/>
  <c r="G474" i="12"/>
  <c r="G320" i="12"/>
  <c r="G426" i="12"/>
  <c r="G300" i="12"/>
  <c r="G225" i="12"/>
  <c r="G205" i="12"/>
  <c r="G242" i="12"/>
  <c r="G576" i="12"/>
  <c r="G650" i="12"/>
  <c r="P241" i="12"/>
  <c r="Q174" i="12"/>
  <c r="N87" i="12"/>
  <c r="T586" i="12"/>
  <c r="R505" i="12"/>
  <c r="F604" i="12"/>
  <c r="U474" i="2"/>
  <c r="L604" i="12"/>
  <c r="I565" i="12"/>
  <c r="S449" i="12"/>
  <c r="I308" i="12"/>
  <c r="T509" i="12"/>
  <c r="M261" i="12"/>
  <c r="F507" i="12"/>
  <c r="U422" i="2"/>
  <c r="M191" i="3" s="1"/>
  <c r="P460" i="12"/>
  <c r="R94" i="12"/>
  <c r="M144" i="12"/>
  <c r="Z677" i="12"/>
  <c r="Q580" i="12"/>
  <c r="M260" i="12"/>
  <c r="L260" i="12"/>
  <c r="O109" i="12"/>
  <c r="Q262" i="12"/>
  <c r="N507" i="12"/>
  <c r="M543" i="12"/>
  <c r="G341" i="12"/>
  <c r="M464" i="12"/>
  <c r="R198" i="12"/>
  <c r="N519" i="12"/>
  <c r="N449" i="12"/>
  <c r="F531" i="12"/>
  <c r="N235" i="12"/>
  <c r="S266" i="12"/>
  <c r="T85" i="12"/>
  <c r="T250" i="12"/>
  <c r="T105" i="12"/>
  <c r="T137" i="12"/>
  <c r="T530" i="12"/>
  <c r="T175" i="12"/>
  <c r="T501" i="12"/>
  <c r="T389" i="12"/>
  <c r="T464" i="12"/>
  <c r="T515" i="12"/>
  <c r="T503" i="12"/>
  <c r="T402" i="12"/>
  <c r="T213" i="12"/>
  <c r="T576" i="12"/>
  <c r="T14" i="12"/>
  <c r="T439" i="12"/>
  <c r="T172" i="12"/>
  <c r="T490" i="12"/>
  <c r="J140" i="12"/>
  <c r="F74" i="12"/>
  <c r="U139" i="2"/>
  <c r="M61" i="3" s="1"/>
  <c r="T188" i="12"/>
  <c r="J121" i="12"/>
  <c r="O104" i="12"/>
  <c r="T158" i="12"/>
  <c r="Z661" i="12"/>
  <c r="F108" i="12"/>
  <c r="AA730" i="12"/>
  <c r="M44" i="12"/>
  <c r="Q491" i="12"/>
  <c r="T323" i="12"/>
  <c r="L284" i="12"/>
  <c r="K112" i="12"/>
  <c r="S493" i="12"/>
  <c r="L312" i="12"/>
  <c r="K151" i="12"/>
  <c r="T156" i="12"/>
  <c r="L222" i="12"/>
  <c r="L123" i="12"/>
  <c r="K328" i="12"/>
  <c r="O133" i="12"/>
  <c r="M70" i="12"/>
  <c r="L389" i="12"/>
  <c r="F490" i="12"/>
  <c r="U413" i="2"/>
  <c r="M228" i="12"/>
  <c r="R190" i="12"/>
  <c r="I318" i="12"/>
  <c r="L269" i="12"/>
  <c r="O51" i="12"/>
  <c r="Q172" i="12"/>
  <c r="K164" i="12"/>
  <c r="M28" i="12"/>
  <c r="S378" i="12"/>
  <c r="P400" i="12"/>
  <c r="R339" i="12"/>
  <c r="P459" i="12"/>
  <c r="K454" i="12"/>
  <c r="Q386" i="12"/>
  <c r="Q398" i="12"/>
  <c r="F472" i="12"/>
  <c r="F426" i="12"/>
  <c r="M653" i="12"/>
  <c r="F225" i="12"/>
  <c r="O378" i="12"/>
  <c r="Q456" i="12"/>
  <c r="F525" i="12"/>
  <c r="N351" i="12"/>
  <c r="S392" i="12"/>
  <c r="G641" i="12"/>
  <c r="G637" i="12"/>
  <c r="Q647" i="12"/>
  <c r="K343" i="12"/>
  <c r="T343" i="12"/>
  <c r="K591" i="12"/>
  <c r="P528" i="12"/>
  <c r="S574" i="12"/>
  <c r="F290" i="12"/>
  <c r="U550" i="2"/>
  <c r="J529" i="12"/>
  <c r="G530" i="12"/>
  <c r="U416" i="2"/>
  <c r="R393" i="12"/>
  <c r="N652" i="12"/>
  <c r="I645" i="12"/>
  <c r="O285" i="12"/>
  <c r="N313" i="12"/>
  <c r="Q330" i="12"/>
  <c r="S568" i="12"/>
  <c r="I559" i="12"/>
  <c r="T327" i="12"/>
  <c r="L494" i="12"/>
  <c r="R428" i="12"/>
  <c r="G499" i="12"/>
  <c r="N262" i="12"/>
  <c r="F342" i="12"/>
  <c r="U588" i="2"/>
  <c r="O365" i="12"/>
  <c r="S337" i="12"/>
  <c r="R305" i="12"/>
  <c r="O290" i="12"/>
  <c r="F145" i="12"/>
  <c r="N533" i="12"/>
  <c r="F361" i="12"/>
  <c r="U610" i="2"/>
  <c r="M390" i="12"/>
  <c r="F370" i="12"/>
  <c r="U580" i="2"/>
  <c r="N610" i="12"/>
  <c r="K336" i="12"/>
  <c r="N329" i="12"/>
  <c r="L627" i="12"/>
  <c r="K286" i="12"/>
  <c r="F304" i="12"/>
  <c r="U512" i="2"/>
  <c r="S591" i="12"/>
  <c r="R299" i="12"/>
  <c r="L396" i="12"/>
  <c r="M574" i="12"/>
  <c r="I519" i="12"/>
  <c r="J205" i="12"/>
  <c r="L262" i="12"/>
  <c r="S302" i="12"/>
  <c r="O419" i="12"/>
  <c r="R600" i="12"/>
  <c r="O550" i="12"/>
  <c r="R311" i="12"/>
  <c r="F218" i="12"/>
  <c r="U467" i="2"/>
  <c r="I246" i="12"/>
  <c r="T248" i="12"/>
  <c r="Q145" i="12"/>
  <c r="J560" i="12"/>
  <c r="F220" i="12"/>
  <c r="U385" i="2"/>
  <c r="M561" i="12"/>
  <c r="K273" i="12"/>
  <c r="M530" i="12"/>
  <c r="M437" i="12"/>
  <c r="T437" i="12"/>
  <c r="J361" i="12"/>
  <c r="S361" i="12"/>
  <c r="L411" i="12"/>
  <c r="R372" i="12"/>
  <c r="F401" i="12"/>
  <c r="U607" i="2"/>
  <c r="N419" i="12"/>
  <c r="R435" i="12"/>
  <c r="J282" i="12"/>
  <c r="M609" i="12"/>
  <c r="T616" i="12"/>
  <c r="I577" i="12"/>
  <c r="P300" i="12"/>
  <c r="P292" i="12"/>
  <c r="N619" i="12"/>
  <c r="F529" i="12"/>
  <c r="U468" i="2"/>
  <c r="R295" i="12"/>
  <c r="N271" i="12"/>
  <c r="K533" i="12"/>
  <c r="Q641" i="12"/>
  <c r="AQ182" i="2"/>
  <c r="AR182" i="2"/>
  <c r="T610" i="12"/>
  <c r="L354" i="12"/>
  <c r="S365" i="12"/>
  <c r="Z676" i="12"/>
  <c r="T614" i="12"/>
  <c r="R313" i="12"/>
  <c r="R255" i="12"/>
  <c r="P567" i="12"/>
  <c r="L327" i="12"/>
  <c r="T537" i="12"/>
  <c r="R590" i="12"/>
  <c r="G303" i="12"/>
  <c r="J384" i="12"/>
  <c r="I372" i="12"/>
  <c r="T419" i="12"/>
  <c r="Q395" i="12"/>
  <c r="Q354" i="12"/>
  <c r="F651" i="12"/>
  <c r="P517" i="12"/>
  <c r="R597" i="12"/>
  <c r="O351" i="12"/>
  <c r="P370" i="12"/>
  <c r="P573" i="12"/>
  <c r="S615" i="12"/>
  <c r="S550" i="12"/>
  <c r="J387" i="12"/>
  <c r="R576" i="12"/>
  <c r="G337" i="12"/>
  <c r="S528" i="12"/>
  <c r="J619" i="12"/>
  <c r="F436" i="12"/>
  <c r="U366" i="2"/>
  <c r="K220" i="12"/>
  <c r="N281" i="12"/>
  <c r="S499" i="12"/>
  <c r="R530" i="12"/>
  <c r="L568" i="12"/>
  <c r="G278" i="12"/>
  <c r="G485" i="12"/>
  <c r="N232" i="12"/>
  <c r="P251" i="12"/>
  <c r="N556" i="12"/>
  <c r="P243" i="12"/>
  <c r="N217" i="12"/>
  <c r="Q208" i="12"/>
  <c r="Q277" i="12"/>
  <c r="M213" i="12"/>
  <c r="S409" i="12"/>
  <c r="S167" i="12"/>
  <c r="G139" i="12"/>
  <c r="L527" i="12"/>
  <c r="R404" i="12"/>
  <c r="S545" i="12"/>
  <c r="J291" i="12"/>
  <c r="R514" i="12"/>
  <c r="O562" i="12"/>
  <c r="K217" i="12"/>
  <c r="S484" i="12"/>
  <c r="F306" i="12"/>
  <c r="U498" i="2"/>
  <c r="Q418" i="12"/>
  <c r="K268" i="12"/>
  <c r="O192" i="12"/>
  <c r="S349" i="12"/>
  <c r="I511" i="12"/>
  <c r="G215" i="12"/>
  <c r="N415" i="12"/>
  <c r="I359" i="12"/>
  <c r="N119" i="12"/>
  <c r="N182" i="12"/>
  <c r="F622" i="12"/>
  <c r="N577" i="12"/>
  <c r="I619" i="12"/>
  <c r="J586" i="12"/>
  <c r="S505" i="12"/>
  <c r="P604" i="12"/>
  <c r="O295" i="12"/>
  <c r="R509" i="12"/>
  <c r="O261" i="12"/>
  <c r="I226" i="12"/>
  <c r="G460" i="12"/>
  <c r="O167" i="12"/>
  <c r="L402" i="12"/>
  <c r="O174" i="12"/>
  <c r="G580" i="12"/>
  <c r="G473" i="12"/>
  <c r="P464" i="12"/>
  <c r="P94" i="12"/>
  <c r="T397" i="12"/>
  <c r="P616" i="12"/>
  <c r="T491" i="12"/>
  <c r="T412" i="12"/>
  <c r="M272" i="12"/>
  <c r="T415" i="12"/>
  <c r="L590" i="12"/>
  <c r="F514" i="12"/>
  <c r="U409" i="2"/>
  <c r="F238" i="12"/>
  <c r="U444" i="2"/>
  <c r="J571" i="12"/>
  <c r="J441" i="12"/>
  <c r="N94" i="12"/>
  <c r="K149" i="12"/>
  <c r="I109" i="12"/>
  <c r="O473" i="12"/>
  <c r="I363" i="12"/>
  <c r="J161" i="12"/>
  <c r="J463" i="12"/>
  <c r="K224" i="12"/>
  <c r="P256" i="12"/>
  <c r="P226" i="12"/>
  <c r="J413" i="12"/>
  <c r="O394" i="12"/>
  <c r="S108" i="12"/>
  <c r="O266" i="12"/>
  <c r="AA659" i="12"/>
  <c r="AA705" i="12"/>
  <c r="AA665" i="12"/>
  <c r="AA715" i="12"/>
  <c r="AA682" i="12"/>
  <c r="AA662" i="12"/>
  <c r="AA678" i="12"/>
  <c r="AA690" i="12"/>
  <c r="O86" i="12"/>
  <c r="I413" i="12"/>
  <c r="S274" i="12"/>
  <c r="F104" i="12"/>
  <c r="U230" i="2"/>
  <c r="M211" i="3" s="1"/>
  <c r="J315" i="12"/>
  <c r="P131" i="12"/>
  <c r="M263" i="12"/>
  <c r="T89" i="12"/>
  <c r="R323" i="12"/>
  <c r="M222" i="12"/>
  <c r="P114" i="12"/>
  <c r="N111" i="12"/>
  <c r="N403" i="12"/>
  <c r="N292" i="12"/>
  <c r="T493" i="12"/>
  <c r="L151" i="12"/>
  <c r="P181" i="12"/>
  <c r="Q128" i="12"/>
  <c r="G322" i="12"/>
  <c r="Q90" i="12"/>
  <c r="G571" i="12"/>
  <c r="F445" i="12"/>
  <c r="U373" i="2"/>
  <c r="I252" i="12"/>
  <c r="N131" i="12"/>
  <c r="L240" i="12"/>
  <c r="O193" i="12"/>
  <c r="J522" i="12"/>
  <c r="S190" i="12"/>
  <c r="S356" i="12"/>
  <c r="R279" i="12"/>
  <c r="K50" i="12"/>
  <c r="R187" i="12"/>
  <c r="T24" i="12"/>
  <c r="P64" i="12"/>
  <c r="F204" i="12"/>
  <c r="U282" i="2"/>
  <c r="K404" i="12"/>
  <c r="I404" i="12"/>
  <c r="Q246" i="12"/>
  <c r="T238" i="12"/>
  <c r="R442" i="12"/>
  <c r="K491" i="12"/>
  <c r="P306" i="12"/>
  <c r="Q409" i="12"/>
  <c r="S231" i="12"/>
  <c r="S257" i="12"/>
  <c r="R178" i="12"/>
  <c r="F332" i="12"/>
  <c r="U224" i="2"/>
  <c r="F149" i="12"/>
  <c r="U303" i="2"/>
  <c r="S382" i="12"/>
  <c r="Q189" i="12"/>
  <c r="M132" i="12"/>
  <c r="K586" i="12"/>
  <c r="J565" i="12"/>
  <c r="J461" i="12"/>
  <c r="N249" i="12"/>
  <c r="R257" i="12"/>
  <c r="Q304" i="12"/>
  <c r="F504" i="12"/>
  <c r="G217" i="12"/>
  <c r="S235" i="12"/>
  <c r="K198" i="12"/>
  <c r="M439" i="12"/>
  <c r="M128" i="12"/>
  <c r="R265" i="12"/>
  <c r="Q481" i="12"/>
  <c r="R235" i="12"/>
  <c r="F94" i="12"/>
  <c r="U149" i="2"/>
  <c r="M323" i="3" s="1"/>
  <c r="R353" i="12"/>
  <c r="S479" i="12"/>
  <c r="N206" i="12"/>
  <c r="G270" i="12"/>
  <c r="P514" i="12"/>
  <c r="L543" i="12"/>
  <c r="K213" i="12"/>
  <c r="P479" i="12"/>
  <c r="F528" i="12"/>
  <c r="S219" i="12"/>
  <c r="Q192" i="12"/>
  <c r="S383" i="12"/>
  <c r="Q144" i="12"/>
  <c r="AB659" i="12"/>
  <c r="AQ118" i="2"/>
  <c r="G74" i="12"/>
  <c r="R318" i="12"/>
  <c r="R215" i="12"/>
  <c r="S301" i="12"/>
  <c r="R204" i="12"/>
  <c r="M256" i="12"/>
  <c r="F394" i="12"/>
  <c r="R131" i="12"/>
  <c r="G277" i="12"/>
  <c r="J405" i="12"/>
  <c r="J221" i="12"/>
  <c r="R90" i="12"/>
  <c r="R181" i="12"/>
  <c r="P268" i="12"/>
  <c r="P445" i="12"/>
  <c r="S252" i="12"/>
  <c r="Q137" i="12"/>
  <c r="AB671" i="12"/>
  <c r="M240" i="12"/>
  <c r="K522" i="12"/>
  <c r="J356" i="12"/>
  <c r="F279" i="12"/>
  <c r="U192" i="2"/>
  <c r="M102" i="3" s="1"/>
  <c r="T103" i="12"/>
  <c r="L69" i="12"/>
  <c r="K232" i="12"/>
  <c r="J10" i="12"/>
  <c r="L223" i="12"/>
  <c r="Q528" i="12"/>
  <c r="T574" i="12"/>
  <c r="J242" i="12"/>
  <c r="F537" i="12"/>
  <c r="U471" i="2"/>
  <c r="G561" i="12"/>
  <c r="U457" i="2"/>
  <c r="I480" i="12"/>
  <c r="G488" i="12"/>
  <c r="U383" i="2"/>
  <c r="I393" i="12"/>
  <c r="Q643" i="12"/>
  <c r="J645" i="12"/>
  <c r="P365" i="12"/>
  <c r="AA720" i="12"/>
  <c r="AA686" i="12"/>
  <c r="P285" i="12"/>
  <c r="P639" i="12"/>
  <c r="I330" i="12"/>
  <c r="I529" i="12"/>
  <c r="F264" i="12"/>
  <c r="N575" i="12"/>
  <c r="I175" i="12"/>
  <c r="P503" i="12"/>
  <c r="N273" i="12"/>
  <c r="P530" i="12"/>
  <c r="F250" i="12"/>
  <c r="O610" i="12"/>
  <c r="G342" i="12"/>
  <c r="P651" i="12"/>
  <c r="N527" i="12"/>
  <c r="T337" i="12"/>
  <c r="S290" i="12"/>
  <c r="R501" i="12"/>
  <c r="P232" i="12"/>
  <c r="N390" i="12"/>
  <c r="N401" i="12"/>
  <c r="G370" i="12"/>
  <c r="N282" i="12"/>
  <c r="G627" i="12"/>
  <c r="P622" i="12"/>
  <c r="P286" i="12"/>
  <c r="F616" i="12"/>
  <c r="U504" i="2"/>
  <c r="O591" i="12"/>
  <c r="S621" i="12"/>
  <c r="R300" i="12"/>
  <c r="N396" i="12"/>
  <c r="G567" i="12"/>
  <c r="S420" i="12"/>
  <c r="G559" i="12"/>
  <c r="T295" i="12"/>
  <c r="P271" i="12"/>
  <c r="M533" i="12"/>
  <c r="T281" i="12"/>
  <c r="F283" i="12"/>
  <c r="U442" i="2"/>
  <c r="N478" i="12"/>
  <c r="L243" i="12"/>
  <c r="N585" i="12"/>
  <c r="X698" i="12"/>
  <c r="F520" i="12"/>
  <c r="O568" i="12"/>
  <c r="Q300" i="12"/>
  <c r="G218" i="12"/>
  <c r="K436" i="12"/>
  <c r="M503" i="12"/>
  <c r="O480" i="12"/>
  <c r="J275" i="12"/>
  <c r="F437" i="12"/>
  <c r="U648" i="2"/>
  <c r="L437" i="12"/>
  <c r="L361" i="12"/>
  <c r="O411" i="12"/>
  <c r="G411" i="12"/>
  <c r="G401" i="12"/>
  <c r="M654" i="12"/>
  <c r="L282" i="12"/>
  <c r="S336" i="12"/>
  <c r="L616" i="12"/>
  <c r="S304" i="12"/>
  <c r="M299" i="12"/>
  <c r="I292" i="12"/>
  <c r="N145" i="12"/>
  <c r="M515" i="12"/>
  <c r="M570" i="12"/>
  <c r="P360" i="12"/>
  <c r="K610" i="12"/>
  <c r="M610" i="12"/>
  <c r="T365" i="12"/>
  <c r="Q422" i="12"/>
  <c r="N626" i="12"/>
  <c r="S313" i="12"/>
  <c r="T255" i="12"/>
  <c r="T567" i="12"/>
  <c r="G420" i="12"/>
  <c r="N559" i="12"/>
  <c r="Q494" i="12"/>
  <c r="S325" i="12"/>
  <c r="S303" i="12"/>
  <c r="F384" i="12"/>
  <c r="U611" i="2"/>
  <c r="F386" i="12"/>
  <c r="K372" i="12"/>
  <c r="K419" i="12"/>
  <c r="M419" i="12"/>
  <c r="R395" i="12"/>
  <c r="I354" i="12"/>
  <c r="M645" i="12"/>
  <c r="M635" i="12"/>
  <c r="T550" i="12"/>
  <c r="N286" i="12"/>
  <c r="K387" i="12"/>
  <c r="M246" i="12"/>
  <c r="G290" i="12"/>
  <c r="K327" i="12"/>
  <c r="G537" i="12"/>
  <c r="I515" i="12"/>
  <c r="J652" i="12"/>
  <c r="O163" i="12"/>
  <c r="J163" i="12"/>
  <c r="T290" i="12"/>
  <c r="I278" i="12"/>
  <c r="R485" i="12"/>
  <c r="M565" i="12"/>
  <c r="J251" i="12"/>
  <c r="Q480" i="12"/>
  <c r="K524" i="12"/>
  <c r="J543" i="12"/>
  <c r="L250" i="12"/>
  <c r="T510" i="12"/>
  <c r="L208" i="12"/>
  <c r="R418" i="12"/>
  <c r="S277" i="12"/>
  <c r="P249" i="12"/>
  <c r="L404" i="12"/>
  <c r="S404" i="12"/>
  <c r="F545" i="12"/>
  <c r="J290" i="12"/>
  <c r="O260" i="12"/>
  <c r="Q561" i="12"/>
  <c r="L321" i="12"/>
  <c r="P562" i="12"/>
  <c r="F262" i="12"/>
  <c r="U489" i="2"/>
  <c r="J442" i="12"/>
  <c r="I481" i="12"/>
  <c r="I306" i="12"/>
  <c r="F368" i="12"/>
  <c r="U295" i="2"/>
  <c r="R224" i="12"/>
  <c r="M397" i="12"/>
  <c r="N316" i="12"/>
  <c r="M318" i="12"/>
  <c r="M259" i="12"/>
  <c r="F387" i="12"/>
  <c r="N586" i="12"/>
  <c r="M586" i="12"/>
  <c r="K505" i="12"/>
  <c r="Q604" i="12"/>
  <c r="K449" i="12"/>
  <c r="N267" i="12"/>
  <c r="T562" i="12"/>
  <c r="S509" i="12"/>
  <c r="P261" i="12"/>
  <c r="G257" i="12"/>
  <c r="O149" i="12"/>
  <c r="O147" i="12"/>
  <c r="R359" i="12"/>
  <c r="R629" i="12"/>
  <c r="F235" i="12"/>
  <c r="U445" i="2"/>
  <c r="N324" i="12"/>
  <c r="S592" i="12"/>
  <c r="N341" i="12"/>
  <c r="I265" i="12"/>
  <c r="R481" i="12"/>
  <c r="P556" i="12"/>
  <c r="K479" i="12"/>
  <c r="T201" i="12"/>
  <c r="Q242" i="12"/>
  <c r="Q270" i="12"/>
  <c r="O507" i="12"/>
  <c r="M295" i="12"/>
  <c r="U404" i="2"/>
  <c r="M223" i="12"/>
  <c r="F248" i="12"/>
  <c r="G109" i="12"/>
  <c r="J308" i="12"/>
  <c r="I383" i="12"/>
  <c r="R147" i="12"/>
  <c r="N156" i="12"/>
  <c r="I108" i="12"/>
  <c r="F129" i="12"/>
  <c r="U208" i="2"/>
  <c r="M299" i="3" s="1"/>
  <c r="P86" i="12"/>
  <c r="F309" i="12"/>
  <c r="U274" i="2"/>
  <c r="L309" i="12"/>
  <c r="F294" i="12"/>
  <c r="U225" i="2"/>
  <c r="G318" i="12"/>
  <c r="AA717" i="12"/>
  <c r="J301" i="12"/>
  <c r="G133" i="12"/>
  <c r="S189" i="12"/>
  <c r="L74" i="12"/>
  <c r="Q268" i="12"/>
  <c r="L405" i="12"/>
  <c r="T405" i="12"/>
  <c r="J457" i="12"/>
  <c r="Q274" i="12"/>
  <c r="J374" i="12"/>
  <c r="Q445" i="12"/>
  <c r="P214" i="12"/>
  <c r="R185" i="12"/>
  <c r="Q247" i="12"/>
  <c r="I90" i="12"/>
  <c r="K316" i="12"/>
  <c r="T115" i="12"/>
  <c r="K103" i="12"/>
  <c r="L87" i="12"/>
  <c r="M408" i="12"/>
  <c r="O77" i="12"/>
  <c r="S647" i="12"/>
  <c r="P343" i="12"/>
  <c r="Z706" i="12"/>
  <c r="R528" i="12"/>
  <c r="L567" i="12"/>
  <c r="T242" i="12"/>
  <c r="Q501" i="12"/>
  <c r="G264" i="12"/>
  <c r="U494" i="2"/>
  <c r="G503" i="12"/>
  <c r="U372" i="2"/>
  <c r="G486" i="12"/>
  <c r="U359" i="2"/>
  <c r="T393" i="12"/>
  <c r="L645" i="12"/>
  <c r="K645" i="12"/>
  <c r="AB720" i="12"/>
  <c r="AB686" i="12"/>
  <c r="G285" i="12"/>
  <c r="P576" i="12"/>
  <c r="S330" i="12"/>
  <c r="R253" i="12"/>
  <c r="I218" i="12"/>
  <c r="J420" i="12"/>
  <c r="L295" i="12"/>
  <c r="Q232" i="12"/>
  <c r="O533" i="12"/>
  <c r="F503" i="12"/>
  <c r="L205" i="12"/>
  <c r="F530" i="12"/>
  <c r="Q484" i="12"/>
  <c r="Q342" i="12"/>
  <c r="K337" i="12"/>
  <c r="Q289" i="12"/>
  <c r="N528" i="12"/>
  <c r="F232" i="12"/>
  <c r="P515" i="12"/>
  <c r="P411" i="12"/>
  <c r="G390" i="12"/>
  <c r="R370" i="12"/>
  <c r="N365" i="12"/>
  <c r="Q627" i="12"/>
  <c r="G286" i="12"/>
  <c r="F655" i="12"/>
  <c r="Q293" i="12"/>
  <c r="F591" i="12"/>
  <c r="U513" i="2"/>
  <c r="F300" i="12"/>
  <c r="P631" i="12"/>
  <c r="P619" i="12"/>
  <c r="J295" i="12"/>
  <c r="F271" i="12"/>
  <c r="U490" i="2"/>
  <c r="N561" i="12"/>
  <c r="J281" i="12"/>
  <c r="N389" i="12"/>
  <c r="K384" i="12"/>
  <c r="L610" i="12"/>
  <c r="N354" i="12"/>
  <c r="O253" i="12"/>
  <c r="M289" i="12"/>
  <c r="Q218" i="12"/>
  <c r="Q278" i="12"/>
  <c r="Q327" i="12"/>
  <c r="L537" i="12"/>
  <c r="S494" i="12"/>
  <c r="P175" i="12"/>
  <c r="O283" i="12"/>
  <c r="M268" i="12"/>
  <c r="P437" i="12"/>
  <c r="N361" i="12"/>
  <c r="R411" i="12"/>
  <c r="Q411" i="12"/>
  <c r="R401" i="12"/>
  <c r="I282" i="12"/>
  <c r="M453" i="12"/>
  <c r="M616" i="12"/>
  <c r="J304" i="12"/>
  <c r="N305" i="12"/>
  <c r="S292" i="12"/>
  <c r="L290" i="12"/>
  <c r="O220" i="12"/>
  <c r="N428" i="12"/>
  <c r="N283" i="12"/>
  <c r="N331" i="12"/>
  <c r="P625" i="12"/>
  <c r="N280" i="12"/>
  <c r="P610" i="12"/>
  <c r="K365" i="12"/>
  <c r="S525" i="12"/>
  <c r="M387" i="12"/>
  <c r="J313" i="12"/>
  <c r="F254" i="12"/>
  <c r="K567" i="12"/>
  <c r="Q420" i="12"/>
  <c r="M428" i="12"/>
  <c r="Q392" i="12"/>
  <c r="R258" i="12"/>
  <c r="I303" i="12"/>
  <c r="G384" i="12"/>
  <c r="M644" i="12"/>
  <c r="L372" i="12"/>
  <c r="M637" i="12"/>
  <c r="P419" i="12"/>
  <c r="S395" i="12"/>
  <c r="S354" i="12"/>
  <c r="N287" i="12"/>
  <c r="K550" i="12"/>
  <c r="L387" i="12"/>
  <c r="K311" i="12"/>
  <c r="Q574" i="12"/>
  <c r="P242" i="12"/>
  <c r="J145" i="12"/>
  <c r="N295" i="12"/>
  <c r="T428" i="12"/>
  <c r="N211" i="12"/>
  <c r="J480" i="12"/>
  <c r="N342" i="12"/>
  <c r="F163" i="12"/>
  <c r="U280" i="2"/>
  <c r="T163" i="12"/>
  <c r="J278" i="12"/>
  <c r="I485" i="12"/>
  <c r="P579" i="12"/>
  <c r="S514" i="12"/>
  <c r="T543" i="12"/>
  <c r="J481" i="12"/>
  <c r="O208" i="12"/>
  <c r="P216" i="12"/>
  <c r="L418" i="12"/>
  <c r="J277" i="12"/>
  <c r="F274" i="12"/>
  <c r="U203" i="2"/>
  <c r="M404" i="12"/>
  <c r="J404" i="12"/>
  <c r="F578" i="12"/>
  <c r="U461" i="2"/>
  <c r="R243" i="12"/>
  <c r="S486" i="12"/>
  <c r="T442" i="12"/>
  <c r="S306" i="12"/>
  <c r="P531" i="12"/>
  <c r="G464" i="12"/>
  <c r="O249" i="12"/>
  <c r="I94" i="12"/>
  <c r="G383" i="12"/>
  <c r="G188" i="12"/>
  <c r="O144" i="12"/>
  <c r="M237" i="12"/>
  <c r="P375" i="12"/>
  <c r="N385" i="12"/>
  <c r="N202" i="12"/>
  <c r="N122" i="12"/>
  <c r="N284" i="12"/>
  <c r="M280" i="12"/>
  <c r="Q313" i="12"/>
  <c r="G201" i="12"/>
  <c r="O277" i="12"/>
  <c r="Q224" i="12"/>
  <c r="K635" i="12"/>
  <c r="I629" i="12"/>
  <c r="R251" i="12"/>
  <c r="Q496" i="12"/>
  <c r="L488" i="12"/>
  <c r="P178" i="12"/>
  <c r="N375" i="12"/>
  <c r="G592" i="12"/>
  <c r="F513" i="12"/>
  <c r="U426" i="2"/>
  <c r="L513" i="12"/>
  <c r="Q275" i="12"/>
  <c r="Q511" i="12"/>
  <c r="J264" i="12"/>
  <c r="N504" i="12"/>
  <c r="G541" i="12"/>
  <c r="M201" i="12"/>
  <c r="M368" i="12"/>
  <c r="S170" i="12"/>
  <c r="N601" i="12"/>
  <c r="G338" i="12"/>
  <c r="L338" i="12"/>
  <c r="J535" i="12"/>
  <c r="P248" i="12"/>
  <c r="P504" i="12"/>
  <c r="L484" i="12"/>
  <c r="S268" i="12"/>
  <c r="Q560" i="12"/>
  <c r="F499" i="12"/>
  <c r="G651" i="12"/>
  <c r="P163" i="12"/>
  <c r="N570" i="12"/>
  <c r="T229" i="12"/>
  <c r="Q109" i="12"/>
  <c r="K502" i="12"/>
  <c r="O268" i="12"/>
  <c r="F249" i="12"/>
  <c r="S188" i="12"/>
  <c r="P153" i="12"/>
  <c r="L297" i="12"/>
  <c r="O119" i="12"/>
  <c r="O269" i="12"/>
  <c r="F179" i="12"/>
  <c r="U263" i="2"/>
  <c r="M62" i="3" s="1"/>
  <c r="L179" i="12"/>
  <c r="P309" i="12"/>
  <c r="O153" i="12"/>
  <c r="P385" i="12"/>
  <c r="G323" i="12"/>
  <c r="U220" i="2"/>
  <c r="N112" i="12"/>
  <c r="F244" i="12"/>
  <c r="U447" i="2"/>
  <c r="L507" i="12"/>
  <c r="M92" i="12"/>
  <c r="K321" i="12"/>
  <c r="T445" i="12"/>
  <c r="R297" i="12"/>
  <c r="G110" i="12"/>
  <c r="I116" i="12"/>
  <c r="M74" i="12"/>
  <c r="T106" i="12"/>
  <c r="T374" i="12"/>
  <c r="F160" i="12"/>
  <c r="U260" i="2"/>
  <c r="M279" i="12"/>
  <c r="F75" i="12"/>
  <c r="U120" i="2"/>
  <c r="M178" i="3" s="1"/>
  <c r="F242" i="12"/>
  <c r="F589" i="12"/>
  <c r="F161" i="12"/>
  <c r="P586" i="12"/>
  <c r="F277" i="12"/>
  <c r="L153" i="12"/>
  <c r="J92" i="12"/>
  <c r="I76" i="12"/>
  <c r="R89" i="12"/>
  <c r="R503" i="12"/>
  <c r="R543" i="12"/>
  <c r="G214" i="12"/>
  <c r="F468" i="12"/>
  <c r="I185" i="12"/>
  <c r="S90" i="12"/>
  <c r="O172" i="12"/>
  <c r="Q136" i="12"/>
  <c r="O156" i="12"/>
  <c r="L186" i="12"/>
  <c r="L122" i="12"/>
  <c r="L305" i="12"/>
  <c r="L172" i="12"/>
  <c r="L524" i="12"/>
  <c r="L170" i="12"/>
  <c r="L528" i="12"/>
  <c r="L247" i="12"/>
  <c r="L311" i="12"/>
  <c r="L397" i="12"/>
  <c r="L101" i="12"/>
  <c r="L385" i="12"/>
  <c r="L207" i="12"/>
  <c r="L237" i="12"/>
  <c r="P71" i="12"/>
  <c r="L25" i="12"/>
  <c r="G6" i="12"/>
  <c r="T141" i="12"/>
  <c r="F44" i="12"/>
  <c r="J647" i="12"/>
  <c r="G343" i="12"/>
  <c r="T396" i="12"/>
  <c r="S631" i="12"/>
  <c r="N248" i="12"/>
  <c r="F501" i="12"/>
  <c r="U395" i="2"/>
  <c r="G268" i="12"/>
  <c r="U450" i="2"/>
  <c r="F390" i="12"/>
  <c r="J393" i="12"/>
  <c r="P645" i="12"/>
  <c r="AR176" i="2"/>
  <c r="AQ176" i="2"/>
  <c r="AR181" i="2"/>
  <c r="AQ181" i="2"/>
  <c r="Q285" i="12"/>
  <c r="J330" i="12"/>
  <c r="I253" i="12"/>
  <c r="K577" i="12"/>
  <c r="M248" i="12"/>
  <c r="G232" i="12"/>
  <c r="L281" i="12"/>
  <c r="Q570" i="12"/>
  <c r="Q219" i="12"/>
  <c r="R342" i="12"/>
  <c r="M337" i="12"/>
  <c r="N289" i="12"/>
  <c r="Q271" i="12"/>
  <c r="F515" i="12"/>
  <c r="R390" i="12"/>
  <c r="R563" i="12"/>
  <c r="S370" i="12"/>
  <c r="R627" i="12"/>
  <c r="Q286" i="12"/>
  <c r="N293" i="12"/>
  <c r="P591" i="12"/>
  <c r="K255" i="12"/>
  <c r="F289" i="12"/>
  <c r="U508" i="2"/>
  <c r="M528" i="12"/>
  <c r="K631" i="12"/>
  <c r="R529" i="12"/>
  <c r="Q220" i="12"/>
  <c r="N486" i="12"/>
  <c r="N303" i="12"/>
  <c r="M433" i="12"/>
  <c r="P337" i="12"/>
  <c r="Q292" i="12"/>
  <c r="Q559" i="12"/>
  <c r="F327" i="12"/>
  <c r="U540" i="2"/>
  <c r="M264" i="12"/>
  <c r="I494" i="12"/>
  <c r="F175" i="12"/>
  <c r="U290" i="2"/>
  <c r="S205" i="12"/>
  <c r="M250" i="12"/>
  <c r="G437" i="12"/>
  <c r="Q434" i="12"/>
  <c r="O361" i="12"/>
  <c r="T411" i="12"/>
  <c r="F258" i="12"/>
  <c r="S401" i="12"/>
  <c r="M282" i="12"/>
  <c r="S282" i="12"/>
  <c r="R422" i="12"/>
  <c r="R655" i="12"/>
  <c r="T304" i="12"/>
  <c r="O577" i="12"/>
  <c r="T223" i="12"/>
  <c r="S589" i="12"/>
  <c r="S246" i="12"/>
  <c r="O175" i="12"/>
  <c r="M499" i="12"/>
  <c r="N474" i="12"/>
  <c r="L419" i="12"/>
  <c r="F610" i="12"/>
  <c r="U510" i="2"/>
  <c r="L365" i="12"/>
  <c r="N285" i="12"/>
  <c r="Q655" i="12"/>
  <c r="T313" i="12"/>
  <c r="M631" i="12"/>
  <c r="M619" i="12"/>
  <c r="N529" i="12"/>
  <c r="Q295" i="12"/>
  <c r="R579" i="12"/>
  <c r="N175" i="12"/>
  <c r="P331" i="12"/>
  <c r="T303" i="12"/>
  <c r="R384" i="12"/>
  <c r="M372" i="12"/>
  <c r="F419" i="12"/>
  <c r="U622" i="2"/>
  <c r="I395" i="12"/>
  <c r="Q573" i="12"/>
  <c r="J354" i="12"/>
  <c r="P390" i="12"/>
  <c r="N335" i="12"/>
  <c r="L550" i="12"/>
  <c r="Q353" i="12"/>
  <c r="Q545" i="12"/>
  <c r="S501" i="12"/>
  <c r="R264" i="12"/>
  <c r="P575" i="12"/>
  <c r="J428" i="12"/>
  <c r="G163" i="12"/>
  <c r="P396" i="12"/>
  <c r="M559" i="12"/>
  <c r="S485" i="12"/>
  <c r="Q575" i="12"/>
  <c r="P570" i="12"/>
  <c r="G308" i="12"/>
  <c r="M490" i="12"/>
  <c r="F484" i="12"/>
  <c r="U399" i="2"/>
  <c r="Q203" i="12"/>
  <c r="J502" i="12"/>
  <c r="M418" i="12"/>
  <c r="T349" i="12"/>
  <c r="J511" i="12"/>
  <c r="X705" i="12"/>
  <c r="AL145" i="2"/>
  <c r="K286" i="3" s="1"/>
  <c r="K289" i="3" s="1"/>
  <c r="G106" i="12"/>
  <c r="N404" i="12"/>
  <c r="T404" i="12"/>
  <c r="N265" i="12"/>
  <c r="I273" i="12"/>
  <c r="P578" i="12"/>
  <c r="K442" i="12"/>
  <c r="P203" i="12"/>
  <c r="K541" i="12"/>
  <c r="N531" i="12"/>
  <c r="N172" i="12"/>
  <c r="R276" i="12"/>
  <c r="N315" i="12"/>
  <c r="P152" i="12"/>
  <c r="Z697" i="12"/>
  <c r="M239" i="12"/>
  <c r="M311" i="12"/>
  <c r="L300" i="12"/>
  <c r="Q586" i="12"/>
  <c r="N580" i="12"/>
  <c r="F565" i="12"/>
  <c r="U469" i="2"/>
  <c r="N513" i="12"/>
  <c r="M207" i="12"/>
  <c r="F188" i="12"/>
  <c r="U275" i="2"/>
  <c r="N245" i="12"/>
  <c r="I514" i="12"/>
  <c r="I496" i="12"/>
  <c r="T228" i="12"/>
  <c r="L192" i="12"/>
  <c r="F178" i="12"/>
  <c r="U343" i="2"/>
  <c r="O656" i="12"/>
  <c r="N657" i="12"/>
  <c r="P513" i="12"/>
  <c r="O494" i="12"/>
  <c r="AB715" i="12"/>
  <c r="AQ168" i="2"/>
  <c r="L216" i="12"/>
  <c r="N275" i="12"/>
  <c r="F511" i="12"/>
  <c r="U365" i="2"/>
  <c r="M190" i="3" s="1"/>
  <c r="T237" i="12"/>
  <c r="O276" i="12"/>
  <c r="O223" i="12"/>
  <c r="G579" i="12"/>
  <c r="O273" i="12"/>
  <c r="Q541" i="12"/>
  <c r="N460" i="12"/>
  <c r="O349" i="12"/>
  <c r="I170" i="12"/>
  <c r="M188" i="12"/>
  <c r="O601" i="12"/>
  <c r="K338" i="12"/>
  <c r="Q535" i="12"/>
  <c r="T535" i="12"/>
  <c r="M109" i="12"/>
  <c r="K504" i="12"/>
  <c r="I217" i="12"/>
  <c r="R491" i="12"/>
  <c r="P389" i="12"/>
  <c r="O511" i="12"/>
  <c r="M206" i="12"/>
  <c r="P422" i="12"/>
  <c r="L238" i="12"/>
  <c r="J229" i="12"/>
  <c r="O198" i="12"/>
  <c r="T193" i="12"/>
  <c r="I344" i="12"/>
  <c r="L239" i="12"/>
  <c r="T230" i="12"/>
  <c r="J409" i="12"/>
  <c r="T455" i="12"/>
  <c r="P179" i="12"/>
  <c r="O151" i="12"/>
  <c r="K385" i="12"/>
  <c r="Q132" i="12"/>
  <c r="R176" i="12"/>
  <c r="G244" i="12"/>
  <c r="L152" i="12"/>
  <c r="I562" i="12"/>
  <c r="P215" i="12"/>
  <c r="I297" i="12"/>
  <c r="K294" i="12"/>
  <c r="P115" i="12"/>
  <c r="S116" i="12"/>
  <c r="P160" i="12"/>
  <c r="P75" i="12"/>
  <c r="P246" i="12"/>
  <c r="P139" i="12"/>
  <c r="P533" i="12"/>
  <c r="P102" i="12"/>
  <c r="P167" i="12"/>
  <c r="U370" i="2"/>
  <c r="R268" i="12"/>
  <c r="R463" i="12"/>
  <c r="M153" i="12"/>
  <c r="X719" i="12"/>
  <c r="J25" i="3"/>
  <c r="J28" i="3" s="1"/>
  <c r="N4" i="13" s="1"/>
  <c r="AL144" i="2"/>
  <c r="K257" i="3" s="1"/>
  <c r="I89" i="12"/>
  <c r="I250" i="12"/>
  <c r="I196" i="12"/>
  <c r="I656" i="12"/>
  <c r="I13" i="12"/>
  <c r="I268" i="12"/>
  <c r="F202" i="12"/>
  <c r="I86" i="12"/>
  <c r="T147" i="12"/>
  <c r="P105" i="12"/>
  <c r="R148" i="12"/>
  <c r="Q95" i="12"/>
  <c r="F590" i="12"/>
  <c r="T185" i="12"/>
  <c r="X680" i="12"/>
  <c r="S643" i="12"/>
  <c r="Q400" i="12"/>
  <c r="L392" i="12"/>
  <c r="M641" i="12"/>
  <c r="J637" i="12"/>
  <c r="K647" i="12"/>
  <c r="T647" i="12"/>
  <c r="Q343" i="12"/>
  <c r="M286" i="12"/>
  <c r="G396" i="12"/>
  <c r="U324" i="2"/>
  <c r="G631" i="12"/>
  <c r="U516" i="2"/>
  <c r="O314" i="12"/>
  <c r="I283" i="12"/>
  <c r="X715" i="12"/>
  <c r="AL168" i="2"/>
  <c r="P401" i="12"/>
  <c r="L393" i="12"/>
  <c r="F645" i="12"/>
  <c r="U546" i="2"/>
  <c r="Q651" i="12"/>
  <c r="R285" i="12"/>
  <c r="N616" i="12"/>
  <c r="T330" i="12"/>
  <c r="S253" i="12"/>
  <c r="M255" i="12"/>
  <c r="K223" i="12"/>
  <c r="J292" i="12"/>
  <c r="G619" i="12"/>
  <c r="P501" i="12"/>
  <c r="P561" i="12"/>
  <c r="G570" i="12"/>
  <c r="U401" i="2"/>
  <c r="P486" i="12"/>
  <c r="I342" i="12"/>
  <c r="F621" i="12"/>
  <c r="T305" i="12"/>
  <c r="N574" i="12"/>
  <c r="Q428" i="12"/>
  <c r="S390" i="12"/>
  <c r="Q378" i="12"/>
  <c r="I370" i="12"/>
  <c r="Q364" i="12"/>
  <c r="F650" i="12"/>
  <c r="I627" i="12"/>
  <c r="S527" i="12"/>
  <c r="R286" i="12"/>
  <c r="P289" i="12"/>
  <c r="T292" i="12"/>
  <c r="L631" i="12"/>
  <c r="G529" i="12"/>
  <c r="L436" i="12"/>
  <c r="G220" i="12"/>
  <c r="L251" i="12"/>
  <c r="T211" i="12"/>
  <c r="P480" i="12"/>
  <c r="N488" i="12"/>
  <c r="Q345" i="12"/>
  <c r="O387" i="12"/>
  <c r="Z698" i="12"/>
  <c r="R621" i="12"/>
  <c r="R420" i="12"/>
  <c r="F559" i="12"/>
  <c r="U451" i="2"/>
  <c r="T579" i="12"/>
  <c r="S211" i="12"/>
  <c r="I205" i="12"/>
  <c r="T524" i="12"/>
  <c r="T207" i="12"/>
  <c r="T192" i="12"/>
  <c r="Q437" i="12"/>
  <c r="Q425" i="12"/>
  <c r="P361" i="12"/>
  <c r="F411" i="12"/>
  <c r="U598" i="2"/>
  <c r="M303" i="12"/>
  <c r="I401" i="12"/>
  <c r="F282" i="12"/>
  <c r="U532" i="2"/>
  <c r="M354" i="12"/>
  <c r="N422" i="12"/>
  <c r="N387" i="12"/>
  <c r="N655" i="12"/>
  <c r="K304" i="12"/>
  <c r="F577" i="12"/>
  <c r="U397" i="2"/>
  <c r="G223" i="12"/>
  <c r="R519" i="12"/>
  <c r="L501" i="12"/>
  <c r="K537" i="12"/>
  <c r="R494" i="12"/>
  <c r="N480" i="12"/>
  <c r="X691" i="12"/>
  <c r="Q610" i="12"/>
  <c r="M365" i="12"/>
  <c r="K313" i="12"/>
  <c r="N330" i="12"/>
  <c r="M305" i="12"/>
  <c r="R589" i="12"/>
  <c r="K290" i="12"/>
  <c r="M145" i="12"/>
  <c r="M474" i="12"/>
  <c r="P641" i="12"/>
  <c r="J303" i="12"/>
  <c r="I384" i="12"/>
  <c r="N372" i="12"/>
  <c r="Q419" i="12"/>
  <c r="K395" i="12"/>
  <c r="K354" i="12"/>
  <c r="T354" i="12"/>
  <c r="M550" i="12"/>
  <c r="G387" i="12"/>
  <c r="G501" i="12"/>
  <c r="S232" i="12"/>
  <c r="F575" i="12"/>
  <c r="U428" i="2"/>
  <c r="N205" i="12"/>
  <c r="K163" i="12"/>
  <c r="O586" i="12"/>
  <c r="T561" i="12"/>
  <c r="L283" i="12"/>
  <c r="T571" i="12"/>
  <c r="L491" i="12"/>
  <c r="I203" i="12"/>
  <c r="R488" i="12"/>
  <c r="F226" i="12"/>
  <c r="U420" i="2"/>
  <c r="M277" i="12"/>
  <c r="I464" i="12"/>
  <c r="T231" i="12"/>
  <c r="T257" i="12"/>
  <c r="I178" i="12"/>
  <c r="F439" i="12"/>
  <c r="U340" i="2"/>
  <c r="F187" i="12"/>
  <c r="U299" i="2"/>
  <c r="F144" i="12"/>
  <c r="U297" i="2"/>
  <c r="F105" i="12"/>
  <c r="U255" i="2"/>
  <c r="F159" i="12"/>
  <c r="U319" i="2"/>
  <c r="M66" i="3" s="1"/>
  <c r="G657" i="12"/>
  <c r="O404" i="12"/>
  <c r="T528" i="12"/>
  <c r="P295" i="12"/>
  <c r="J556" i="12"/>
  <c r="G578" i="12"/>
  <c r="P219" i="12"/>
  <c r="G507" i="12"/>
  <c r="O216" i="12"/>
  <c r="O441" i="12"/>
  <c r="S249" i="12"/>
  <c r="F167" i="12"/>
  <c r="U301" i="2"/>
  <c r="Q139" i="12"/>
  <c r="Q656" i="12"/>
  <c r="O274" i="12"/>
  <c r="F152" i="12"/>
  <c r="U211" i="2"/>
  <c r="M207" i="3" s="1"/>
  <c r="M212" i="12"/>
  <c r="M647" i="12"/>
  <c r="N505" i="12"/>
  <c r="J505" i="12"/>
  <c r="S604" i="12"/>
  <c r="N515" i="12"/>
  <c r="P449" i="12"/>
  <c r="G479" i="12"/>
  <c r="T235" i="12"/>
  <c r="N210" i="12"/>
  <c r="L198" i="12"/>
  <c r="O245" i="12"/>
  <c r="P368" i="12"/>
  <c r="Q464" i="12"/>
  <c r="K253" i="12"/>
  <c r="F227" i="12"/>
  <c r="U400" i="2"/>
  <c r="P231" i="12"/>
  <c r="M147" i="12"/>
  <c r="J237" i="12"/>
  <c r="S271" i="12"/>
  <c r="M267" i="12"/>
  <c r="S217" i="12"/>
  <c r="J531" i="12"/>
  <c r="K511" i="12"/>
  <c r="L337" i="12"/>
  <c r="T499" i="12"/>
  <c r="Q205" i="12"/>
  <c r="F291" i="12"/>
  <c r="O571" i="12"/>
  <c r="K161" i="12"/>
  <c r="J193" i="12"/>
  <c r="R125" i="12"/>
  <c r="S318" i="12"/>
  <c r="T98" i="12"/>
  <c r="J455" i="12"/>
  <c r="F132" i="12"/>
  <c r="I176" i="12"/>
  <c r="Q98" i="12"/>
  <c r="G199" i="12"/>
  <c r="U116" i="2"/>
  <c r="G236" i="12"/>
  <c r="L197" i="12"/>
  <c r="O222" i="12"/>
  <c r="G397" i="12"/>
  <c r="T233" i="12"/>
  <c r="X659" i="12"/>
  <c r="X671" i="12"/>
  <c r="X682" i="12"/>
  <c r="Q124" i="12"/>
  <c r="P412" i="12"/>
  <c r="I394" i="12"/>
  <c r="N397" i="12"/>
  <c r="I204" i="12"/>
  <c r="T110" i="12"/>
  <c r="S182" i="12"/>
  <c r="J312" i="12"/>
  <c r="F408" i="12"/>
  <c r="U266" i="2"/>
  <c r="P155" i="12"/>
  <c r="K134" i="12"/>
  <c r="F43" i="12"/>
  <c r="T92" i="12"/>
  <c r="O39" i="12"/>
  <c r="O573" i="12"/>
  <c r="Q600" i="12"/>
  <c r="N650" i="12"/>
  <c r="M392" i="12"/>
  <c r="K641" i="12"/>
  <c r="K637" i="12"/>
  <c r="O647" i="12"/>
  <c r="X720" i="12"/>
  <c r="AL176" i="2"/>
  <c r="R343" i="12"/>
  <c r="M627" i="12"/>
  <c r="O616" i="12"/>
  <c r="G299" i="12"/>
  <c r="P545" i="12"/>
  <c r="K292" i="12"/>
  <c r="P291" i="12"/>
  <c r="K420" i="12"/>
  <c r="I314" i="12"/>
  <c r="I428" i="12"/>
  <c r="G250" i="12"/>
  <c r="U398" i="2"/>
  <c r="M393" i="12"/>
  <c r="Q645" i="12"/>
  <c r="I285" i="12"/>
  <c r="G568" i="12"/>
  <c r="U460" i="2"/>
  <c r="J253" i="12"/>
  <c r="Z727" i="12"/>
  <c r="P290" i="12"/>
  <c r="R271" i="12"/>
  <c r="F561" i="12"/>
  <c r="R283" i="12"/>
  <c r="F486" i="12"/>
  <c r="S342" i="12"/>
  <c r="Q550" i="12"/>
  <c r="F305" i="12"/>
  <c r="U543" i="2"/>
  <c r="S278" i="12"/>
  <c r="I390" i="12"/>
  <c r="T370" i="12"/>
  <c r="S600" i="12"/>
  <c r="F453" i="12"/>
  <c r="S627" i="12"/>
  <c r="R527" i="12"/>
  <c r="I286" i="12"/>
  <c r="G591" i="12"/>
  <c r="F223" i="12"/>
  <c r="U473" i="2"/>
  <c r="F292" i="12"/>
  <c r="U521" i="2"/>
  <c r="P145" i="12"/>
  <c r="M537" i="12"/>
  <c r="P428" i="12"/>
  <c r="J211" i="12"/>
  <c r="F480" i="12"/>
  <c r="U419" i="2"/>
  <c r="N530" i="12"/>
  <c r="P376" i="12"/>
  <c r="M225" i="12"/>
  <c r="F643" i="12"/>
  <c r="AA698" i="12"/>
  <c r="S311" i="12"/>
  <c r="N621" i="12"/>
  <c r="F420" i="12"/>
  <c r="U357" i="2"/>
  <c r="Q529" i="12"/>
  <c r="J579" i="12"/>
  <c r="S281" i="12"/>
  <c r="I211" i="12"/>
  <c r="T321" i="12"/>
  <c r="J524" i="12"/>
  <c r="T507" i="12"/>
  <c r="J207" i="12"/>
  <c r="J192" i="12"/>
  <c r="R437" i="12"/>
  <c r="G361" i="12"/>
  <c r="I411" i="12"/>
  <c r="T401" i="12"/>
  <c r="J435" i="12"/>
  <c r="Q282" i="12"/>
  <c r="N550" i="12"/>
  <c r="R616" i="12"/>
  <c r="F353" i="12"/>
  <c r="L304" i="12"/>
  <c r="N568" i="12"/>
  <c r="P577" i="12"/>
  <c r="Q223" i="12"/>
  <c r="S248" i="12"/>
  <c r="S579" i="12"/>
  <c r="R281" i="12"/>
  <c r="Q426" i="12"/>
  <c r="Z691" i="12"/>
  <c r="G610" i="12"/>
  <c r="G365" i="12"/>
  <c r="N343" i="12"/>
  <c r="L313" i="12"/>
  <c r="M568" i="12"/>
  <c r="F255" i="12"/>
  <c r="U511" i="2"/>
  <c r="P223" i="12"/>
  <c r="R246" i="12"/>
  <c r="S242" i="12"/>
  <c r="K501" i="12"/>
  <c r="R560" i="12"/>
  <c r="S575" i="12"/>
  <c r="L303" i="12"/>
  <c r="K303" i="12"/>
  <c r="S351" i="12"/>
  <c r="F372" i="12"/>
  <c r="U593" i="2"/>
  <c r="G419" i="12"/>
  <c r="L395" i="12"/>
  <c r="O354" i="12"/>
  <c r="Q453" i="12"/>
  <c r="R639" i="12"/>
  <c r="Q387" i="12"/>
  <c r="P582" i="12"/>
  <c r="N589" i="12"/>
  <c r="Q291" i="12"/>
  <c r="M519" i="12"/>
  <c r="P314" i="12"/>
  <c r="I232" i="12"/>
  <c r="Q533" i="12"/>
  <c r="K175" i="12"/>
  <c r="S570" i="12"/>
  <c r="L163" i="12"/>
  <c r="L218" i="12"/>
  <c r="L485" i="12"/>
  <c r="T485" i="12"/>
  <c r="P267" i="12"/>
  <c r="F543" i="12"/>
  <c r="U430" i="2"/>
  <c r="S510" i="12"/>
  <c r="S203" i="12"/>
  <c r="Q488" i="12"/>
  <c r="K201" i="12"/>
  <c r="P418" i="12"/>
  <c r="Z690" i="12"/>
  <c r="I231" i="12"/>
  <c r="I257" i="12"/>
  <c r="J94" i="12"/>
  <c r="G332" i="12"/>
  <c r="G149" i="12"/>
  <c r="G147" i="12"/>
  <c r="G241" i="12"/>
  <c r="G375" i="12"/>
  <c r="F128" i="12"/>
  <c r="U234" i="2"/>
  <c r="M328" i="3" s="1"/>
  <c r="AA697" i="12"/>
  <c r="F404" i="12"/>
  <c r="U583" i="2"/>
  <c r="M292" i="12"/>
  <c r="L559" i="12"/>
  <c r="P499" i="12"/>
  <c r="Q578" i="12"/>
  <c r="G562" i="12"/>
  <c r="G219" i="12"/>
  <c r="F440" i="12"/>
  <c r="U364" i="2"/>
  <c r="I502" i="12"/>
  <c r="AB664" i="12"/>
  <c r="O210" i="12"/>
  <c r="I441" i="12"/>
  <c r="M198" i="12"/>
  <c r="O403" i="12"/>
  <c r="M170" i="12"/>
  <c r="S209" i="12"/>
  <c r="F147" i="12"/>
  <c r="U257" i="2"/>
  <c r="I171" i="12"/>
  <c r="G656" i="12"/>
  <c r="P324" i="12"/>
  <c r="O204" i="12"/>
  <c r="T517" i="12"/>
  <c r="R545" i="12"/>
  <c r="G565" i="12"/>
  <c r="G449" i="12"/>
  <c r="F308" i="12"/>
  <c r="U427" i="2"/>
  <c r="Q486" i="12"/>
  <c r="J268" i="12"/>
  <c r="M192" i="12"/>
  <c r="S191" i="12"/>
  <c r="F383" i="12"/>
  <c r="U339" i="2"/>
  <c r="N510" i="12"/>
  <c r="Q257" i="12"/>
  <c r="L316" i="12"/>
  <c r="P227" i="12"/>
  <c r="N409" i="12"/>
  <c r="O463" i="12"/>
  <c r="N383" i="12"/>
  <c r="I243" i="12"/>
  <c r="L502" i="12"/>
  <c r="J172" i="12"/>
  <c r="M220" i="12"/>
  <c r="M231" i="12"/>
  <c r="J439" i="12"/>
  <c r="G621" i="12"/>
  <c r="R227" i="12"/>
  <c r="Q264" i="12"/>
  <c r="O236" i="12"/>
  <c r="K172" i="12"/>
  <c r="AA685" i="12"/>
  <c r="Q31" i="12"/>
  <c r="Q368" i="12"/>
  <c r="Q616" i="12"/>
  <c r="Q251" i="12"/>
  <c r="Q314" i="12"/>
  <c r="Q337" i="12"/>
  <c r="Q116" i="12"/>
  <c r="Q306" i="12"/>
  <c r="Q243" i="12"/>
  <c r="O71" i="12"/>
  <c r="N269" i="12"/>
  <c r="R123" i="12"/>
  <c r="Q111" i="12"/>
  <c r="N155" i="12"/>
  <c r="S236" i="12"/>
  <c r="Q159" i="12"/>
  <c r="P129" i="12"/>
  <c r="S187" i="12"/>
  <c r="S128" i="12"/>
  <c r="P298" i="12"/>
  <c r="M284" i="12"/>
  <c r="K233" i="12"/>
  <c r="Z668" i="12"/>
  <c r="AL143" i="2"/>
  <c r="K316" i="3" s="1"/>
  <c r="F340" i="12"/>
  <c r="U279" i="2"/>
  <c r="J119" i="12"/>
  <c r="K92" i="12"/>
  <c r="S394" i="12"/>
  <c r="P140" i="12"/>
  <c r="K128" i="12"/>
  <c r="K110" i="12"/>
  <c r="P217" i="12"/>
  <c r="J188" i="12"/>
  <c r="T312" i="12"/>
  <c r="F476" i="12"/>
  <c r="U380" i="2"/>
  <c r="L275" i="12"/>
  <c r="O234" i="12"/>
  <c r="S234" i="12"/>
  <c r="M100" i="12"/>
  <c r="M415" i="12"/>
  <c r="M230" i="12"/>
  <c r="M143" i="12"/>
  <c r="M166" i="12"/>
  <c r="M108" i="12"/>
  <c r="M383" i="12"/>
  <c r="M357" i="12"/>
  <c r="M106" i="12"/>
  <c r="M324" i="12"/>
  <c r="M149" i="12"/>
  <c r="M306" i="12"/>
  <c r="M510" i="12"/>
  <c r="M208" i="12"/>
  <c r="M621" i="12"/>
  <c r="M402" i="12"/>
  <c r="M409" i="12"/>
  <c r="M241" i="12"/>
  <c r="M219" i="12"/>
  <c r="M458" i="12"/>
  <c r="M189" i="12"/>
  <c r="M330" i="12"/>
  <c r="M375" i="12"/>
  <c r="M413" i="12"/>
  <c r="M403" i="12"/>
  <c r="M441" i="12"/>
  <c r="M315" i="12"/>
  <c r="M385" i="12"/>
  <c r="M172" i="12"/>
  <c r="M137" i="12"/>
  <c r="M285" i="12"/>
  <c r="M591" i="12"/>
  <c r="M152" i="12"/>
  <c r="M243" i="12"/>
  <c r="M202" i="12"/>
  <c r="M52" i="12"/>
  <c r="M133" i="12"/>
  <c r="M167" i="12"/>
  <c r="M484" i="12"/>
  <c r="M529" i="12"/>
  <c r="M332" i="12"/>
  <c r="M224" i="12"/>
  <c r="M249" i="12"/>
  <c r="G46" i="12"/>
  <c r="G436" i="12"/>
  <c r="G622" i="12"/>
  <c r="G575" i="12"/>
  <c r="G560" i="12"/>
  <c r="G321" i="12"/>
  <c r="G292" i="12"/>
  <c r="P408" i="12"/>
  <c r="O56" i="12"/>
  <c r="K393" i="12"/>
  <c r="G645" i="12"/>
  <c r="S285" i="12"/>
  <c r="F330" i="12"/>
  <c r="U484" i="2"/>
  <c r="Q568" i="12"/>
  <c r="T253" i="12"/>
  <c r="AL178" i="2"/>
  <c r="I567" i="12"/>
  <c r="S220" i="12"/>
  <c r="Q515" i="12"/>
  <c r="P478" i="12"/>
  <c r="N243" i="12"/>
  <c r="Q490" i="12"/>
  <c r="P467" i="12"/>
  <c r="J342" i="12"/>
  <c r="Q253" i="12"/>
  <c r="P305" i="12"/>
  <c r="Q631" i="12"/>
  <c r="Q619" i="12"/>
  <c r="T390" i="12"/>
  <c r="J370" i="12"/>
  <c r="K362" i="12"/>
  <c r="P600" i="12"/>
  <c r="F422" i="12"/>
  <c r="J627" i="12"/>
  <c r="S286" i="12"/>
  <c r="N311" i="12"/>
  <c r="Q591" i="12"/>
  <c r="Q299" i="12"/>
  <c r="AR178" i="2"/>
  <c r="AQ178" i="2"/>
  <c r="N264" i="12"/>
  <c r="F428" i="12"/>
  <c r="U347" i="2"/>
  <c r="N250" i="12"/>
  <c r="N268" i="12"/>
  <c r="F331" i="12"/>
  <c r="R625" i="12"/>
  <c r="P395" i="12"/>
  <c r="F365" i="12"/>
  <c r="U590" i="2"/>
  <c r="AB676" i="12"/>
  <c r="AB698" i="12"/>
  <c r="AQ180" i="2"/>
  <c r="P287" i="3" s="1"/>
  <c r="F311" i="12"/>
  <c r="U552" i="2"/>
  <c r="O305" i="12"/>
  <c r="R567" i="12"/>
  <c r="O619" i="12"/>
  <c r="S295" i="12"/>
  <c r="O271" i="12"/>
  <c r="I281" i="12"/>
  <c r="T504" i="12"/>
  <c r="J321" i="12"/>
  <c r="J507" i="12"/>
  <c r="I437" i="12"/>
  <c r="Q361" i="12"/>
  <c r="J411" i="12"/>
  <c r="R225" i="12"/>
  <c r="J401" i="12"/>
  <c r="P435" i="12"/>
  <c r="G282" i="12"/>
  <c r="M650" i="12"/>
  <c r="I616" i="12"/>
  <c r="M304" i="12"/>
  <c r="N253" i="12"/>
  <c r="R223" i="12"/>
  <c r="P420" i="12"/>
  <c r="S590" i="12"/>
  <c r="R205" i="12"/>
  <c r="F378" i="12"/>
  <c r="R610" i="12"/>
  <c r="N395" i="12"/>
  <c r="Q365" i="12"/>
  <c r="S620" i="12"/>
  <c r="R304" i="12"/>
  <c r="M253" i="12"/>
  <c r="P255" i="12"/>
  <c r="N218" i="12"/>
  <c r="R248" i="12"/>
  <c r="M271" i="12"/>
  <c r="I575" i="12"/>
  <c r="F303" i="12"/>
  <c r="U542" i="2"/>
  <c r="O303" i="12"/>
  <c r="P392" i="12"/>
  <c r="P372" i="12"/>
  <c r="R419" i="12"/>
  <c r="J395" i="12"/>
  <c r="F354" i="12"/>
  <c r="U585" i="2"/>
  <c r="R517" i="12"/>
  <c r="N627" i="12"/>
  <c r="N639" i="12"/>
  <c r="R387" i="12"/>
  <c r="N620" i="12"/>
  <c r="O248" i="12"/>
  <c r="T271" i="12"/>
  <c r="G533" i="12"/>
  <c r="I570" i="12"/>
  <c r="M163" i="12"/>
  <c r="K496" i="12"/>
  <c r="P543" i="12"/>
  <c r="F510" i="12"/>
  <c r="U421" i="2"/>
  <c r="J203" i="12"/>
  <c r="P207" i="12"/>
  <c r="Q531" i="12"/>
  <c r="L268" i="12"/>
  <c r="Q441" i="12"/>
  <c r="N198" i="12"/>
  <c r="T463" i="12"/>
  <c r="S224" i="12"/>
  <c r="G324" i="12"/>
  <c r="R577" i="12"/>
  <c r="R232" i="12"/>
  <c r="M480" i="12"/>
  <c r="R578" i="12"/>
  <c r="Q562" i="12"/>
  <c r="R219" i="12"/>
  <c r="Q571" i="12"/>
  <c r="T261" i="12"/>
  <c r="P488" i="12"/>
  <c r="P277" i="12"/>
  <c r="S441" i="12"/>
  <c r="Q413" i="12"/>
  <c r="N402" i="12"/>
  <c r="N458" i="12"/>
  <c r="I209" i="12"/>
  <c r="Q272" i="12"/>
  <c r="O105" i="12"/>
  <c r="F324" i="12"/>
  <c r="U235" i="2"/>
  <c r="P106" i="12"/>
  <c r="G328" i="12"/>
  <c r="M343" i="12"/>
  <c r="M567" i="12"/>
  <c r="S586" i="12"/>
  <c r="Q505" i="12"/>
  <c r="N260" i="12"/>
  <c r="T604" i="12"/>
  <c r="Q565" i="12"/>
  <c r="M265" i="12"/>
  <c r="Q449" i="12"/>
  <c r="G504" i="12"/>
  <c r="O510" i="12"/>
  <c r="N216" i="12"/>
  <c r="O418" i="12"/>
  <c r="S464" i="12"/>
  <c r="Q183" i="12"/>
  <c r="Q276" i="12"/>
  <c r="I440" i="12"/>
  <c r="T481" i="12"/>
  <c r="F257" i="12"/>
  <c r="U356" i="2"/>
  <c r="P276" i="12"/>
  <c r="L119" i="12"/>
  <c r="X697" i="12"/>
  <c r="AL126" i="2"/>
  <c r="K345" i="3" s="1"/>
  <c r="O183" i="12"/>
  <c r="N562" i="12"/>
  <c r="M502" i="12"/>
  <c r="O359" i="12"/>
  <c r="L330" i="12"/>
  <c r="F341" i="12"/>
  <c r="U555" i="2"/>
  <c r="M463" i="12"/>
  <c r="L189" i="12"/>
  <c r="R137" i="12"/>
  <c r="F494" i="12"/>
  <c r="K619" i="12"/>
  <c r="T232" i="12"/>
  <c r="L481" i="12"/>
  <c r="G216" i="12"/>
  <c r="U424" i="2"/>
  <c r="J178" i="12"/>
  <c r="S105" i="12"/>
  <c r="L150" i="12"/>
  <c r="AB685" i="12"/>
  <c r="AQ112" i="2"/>
  <c r="P171" i="3" s="1"/>
  <c r="X665" i="12"/>
  <c r="I222" i="12"/>
  <c r="F123" i="12"/>
  <c r="U196" i="2"/>
  <c r="M7" i="3" s="1"/>
  <c r="R375" i="12"/>
  <c r="S310" i="12"/>
  <c r="F228" i="12"/>
  <c r="U486" i="2"/>
  <c r="S149" i="12"/>
  <c r="O356" i="12"/>
  <c r="N222" i="12"/>
  <c r="L231" i="12"/>
  <c r="J385" i="12"/>
  <c r="P340" i="12"/>
  <c r="F70" i="12"/>
  <c r="U166" i="2"/>
  <c r="M124" i="3" s="1"/>
  <c r="O69" i="12"/>
  <c r="R249" i="12"/>
  <c r="G316" i="12"/>
  <c r="R140" i="12"/>
  <c r="N74" i="12"/>
  <c r="F524" i="12"/>
  <c r="G476" i="12"/>
  <c r="K368" i="12"/>
  <c r="Q180" i="12"/>
  <c r="L121" i="12"/>
  <c r="S44" i="12"/>
  <c r="I189" i="12"/>
  <c r="G173" i="12"/>
  <c r="O275" i="12"/>
  <c r="M56" i="12"/>
  <c r="S30" i="12"/>
  <c r="R93" i="12"/>
  <c r="K12" i="12"/>
  <c r="Q102" i="12"/>
  <c r="Q184" i="12"/>
  <c r="F61" i="12"/>
  <c r="O110" i="12"/>
  <c r="J220" i="12"/>
  <c r="N393" i="12"/>
  <c r="R645" i="12"/>
  <c r="J285" i="12"/>
  <c r="P330" i="12"/>
  <c r="R568" i="12"/>
  <c r="L253" i="12"/>
  <c r="N436" i="12"/>
  <c r="I220" i="12"/>
  <c r="G515" i="12"/>
  <c r="N251" i="12"/>
  <c r="L211" i="12"/>
  <c r="F478" i="12"/>
  <c r="G467" i="12"/>
  <c r="P643" i="12"/>
  <c r="T342" i="12"/>
  <c r="Q622" i="12"/>
  <c r="Q363" i="12"/>
  <c r="R337" i="12"/>
  <c r="N299" i="12"/>
  <c r="G305" i="12"/>
  <c r="J390" i="12"/>
  <c r="K370" i="12"/>
  <c r="T627" i="12"/>
  <c r="J286" i="12"/>
  <c r="R591" i="12"/>
  <c r="F299" i="12"/>
  <c r="U529" i="2"/>
  <c r="J246" i="12"/>
  <c r="R327" i="12"/>
  <c r="T494" i="12"/>
  <c r="Q175" i="12"/>
  <c r="N503" i="12"/>
  <c r="L273" i="12"/>
  <c r="Q613" i="12"/>
  <c r="P311" i="12"/>
  <c r="F567" i="12"/>
  <c r="U454" i="2"/>
  <c r="R619" i="12"/>
  <c r="O145" i="12"/>
  <c r="I295" i="12"/>
  <c r="K575" i="12"/>
  <c r="T590" i="12"/>
  <c r="J504" i="12"/>
  <c r="K262" i="12"/>
  <c r="M389" i="12"/>
  <c r="S437" i="12"/>
  <c r="S339" i="12"/>
  <c r="R361" i="12"/>
  <c r="N411" i="12"/>
  <c r="Q625" i="12"/>
  <c r="K401" i="12"/>
  <c r="F435" i="12"/>
  <c r="U599" i="2"/>
  <c r="O395" i="12"/>
  <c r="R282" i="12"/>
  <c r="P613" i="12"/>
  <c r="S616" i="12"/>
  <c r="S520" i="12"/>
  <c r="O337" i="12"/>
  <c r="G577" i="12"/>
  <c r="I223" i="12"/>
  <c r="P559" i="12"/>
  <c r="P327" i="12"/>
  <c r="R211" i="12"/>
  <c r="S321" i="12"/>
  <c r="S443" i="12"/>
  <c r="Q371" i="12"/>
  <c r="AA691" i="12"/>
  <c r="Q393" i="12"/>
  <c r="S610" i="12"/>
  <c r="R365" i="12"/>
  <c r="R520" i="12"/>
  <c r="N337" i="12"/>
  <c r="G255" i="12"/>
  <c r="S582" i="12"/>
  <c r="Q519" i="12"/>
  <c r="S436" i="12"/>
  <c r="N220" i="12"/>
  <c r="T533" i="12"/>
  <c r="Q281" i="12"/>
  <c r="Q303" i="12"/>
  <c r="N637" i="12"/>
  <c r="G372" i="12"/>
  <c r="F625" i="12"/>
  <c r="S419" i="12"/>
  <c r="M395" i="12"/>
  <c r="T395" i="12"/>
  <c r="P354" i="12"/>
  <c r="Q525" i="12"/>
  <c r="R550" i="12"/>
  <c r="I387" i="12"/>
  <c r="K248" i="12"/>
  <c r="J271" i="12"/>
  <c r="T283" i="12"/>
  <c r="R478" i="12"/>
  <c r="N567" i="12"/>
  <c r="P278" i="12"/>
  <c r="F485" i="12"/>
  <c r="U438" i="2"/>
  <c r="N604" i="12"/>
  <c r="S243" i="12"/>
  <c r="L473" i="12"/>
  <c r="L461" i="12"/>
  <c r="T368" i="12"/>
  <c r="I463" i="12"/>
  <c r="G152" i="12"/>
  <c r="N350" i="12"/>
  <c r="G404" i="12"/>
  <c r="L574" i="12"/>
  <c r="R314" i="12"/>
  <c r="O513" i="12"/>
  <c r="M281" i="12"/>
  <c r="L227" i="12"/>
  <c r="J578" i="12"/>
  <c r="L562" i="12"/>
  <c r="I473" i="12"/>
  <c r="O207" i="12"/>
  <c r="G275" i="12"/>
  <c r="T161" i="12"/>
  <c r="T197" i="12"/>
  <c r="T191" i="12"/>
  <c r="M412" i="12"/>
  <c r="F413" i="12"/>
  <c r="U325" i="2"/>
  <c r="O439" i="12"/>
  <c r="O187" i="12"/>
  <c r="G272" i="12"/>
  <c r="R221" i="12"/>
  <c r="Q200" i="12"/>
  <c r="Z707" i="12"/>
  <c r="P357" i="12"/>
  <c r="P657" i="12"/>
  <c r="N91" i="12"/>
  <c r="O627" i="12"/>
  <c r="O621" i="12"/>
  <c r="R291" i="12"/>
  <c r="G505" i="12"/>
  <c r="M604" i="12"/>
  <c r="K604" i="12"/>
  <c r="R565" i="12"/>
  <c r="S442" i="12"/>
  <c r="L261" i="12"/>
  <c r="O203" i="12"/>
  <c r="F460" i="12"/>
  <c r="U369" i="2"/>
  <c r="F464" i="12"/>
  <c r="U384" i="2"/>
  <c r="L412" i="12"/>
  <c r="G276" i="12"/>
  <c r="S440" i="12"/>
  <c r="N149" i="12"/>
  <c r="G382" i="12"/>
  <c r="J260" i="12"/>
  <c r="S283" i="12"/>
  <c r="Q507" i="12"/>
  <c r="G461" i="12"/>
  <c r="M251" i="12"/>
  <c r="K571" i="12"/>
  <c r="T461" i="12"/>
  <c r="R341" i="12"/>
  <c r="P341" i="12"/>
  <c r="J249" i="12"/>
  <c r="S415" i="12"/>
  <c r="I631" i="12"/>
  <c r="G366" i="12"/>
  <c r="K529" i="12"/>
  <c r="R556" i="12"/>
  <c r="Q216" i="12"/>
  <c r="F207" i="12"/>
  <c r="S166" i="12"/>
  <c r="M150" i="12"/>
  <c r="I266" i="12"/>
  <c r="L143" i="12"/>
  <c r="J85" i="12"/>
  <c r="P383" i="12"/>
  <c r="S222" i="12"/>
  <c r="Q149" i="12"/>
  <c r="J324" i="12"/>
  <c r="J310" i="12"/>
  <c r="S121" i="12"/>
  <c r="J158" i="12"/>
  <c r="G228" i="12"/>
  <c r="F133" i="12"/>
  <c r="U210" i="2"/>
  <c r="Z717" i="12"/>
  <c r="AL101" i="2"/>
  <c r="Z715" i="12"/>
  <c r="Z665" i="12"/>
  <c r="Z692" i="12"/>
  <c r="M95" i="12"/>
  <c r="R261" i="12"/>
  <c r="S403" i="12"/>
  <c r="R128" i="12"/>
  <c r="N259" i="12"/>
  <c r="O212" i="12"/>
  <c r="J69" i="12"/>
  <c r="J530" i="12"/>
  <c r="J503" i="12"/>
  <c r="S208" i="12"/>
  <c r="Q198" i="12"/>
  <c r="J156" i="12"/>
  <c r="N104" i="12"/>
  <c r="N124" i="12"/>
  <c r="L279" i="12"/>
  <c r="J274" i="12"/>
  <c r="G120" i="12"/>
  <c r="K226" i="12"/>
  <c r="Q244" i="12"/>
  <c r="R180" i="12"/>
  <c r="T318" i="12"/>
  <c r="K269" i="12"/>
  <c r="J230" i="12"/>
  <c r="J124" i="12"/>
  <c r="I207" i="12"/>
  <c r="I132" i="12"/>
  <c r="J61" i="12"/>
  <c r="Q85" i="12"/>
  <c r="K111" i="12"/>
  <c r="L52" i="12"/>
  <c r="AB728" i="12"/>
  <c r="F449" i="12"/>
  <c r="U371" i="2"/>
  <c r="S261" i="12"/>
  <c r="J491" i="12"/>
  <c r="L226" i="12"/>
  <c r="S460" i="12"/>
  <c r="S511" i="12"/>
  <c r="G178" i="12"/>
  <c r="O332" i="12"/>
  <c r="F189" i="12"/>
  <c r="U288" i="2"/>
  <c r="M243" i="3" s="1"/>
  <c r="N159" i="12"/>
  <c r="Q629" i="12"/>
  <c r="X677" i="12"/>
  <c r="S255" i="12"/>
  <c r="M245" i="12"/>
  <c r="P590" i="12"/>
  <c r="F205" i="12"/>
  <c r="G496" i="12"/>
  <c r="F479" i="12"/>
  <c r="U433" i="2"/>
  <c r="R440" i="12"/>
  <c r="R484" i="12"/>
  <c r="G502" i="12"/>
  <c r="Q463" i="12"/>
  <c r="K170" i="12"/>
  <c r="M187" i="12"/>
  <c r="G209" i="12"/>
  <c r="Q382" i="12"/>
  <c r="O189" i="12"/>
  <c r="M159" i="12"/>
  <c r="X707" i="12"/>
  <c r="AL150" i="2"/>
  <c r="K132" i="12"/>
  <c r="AL190" i="2"/>
  <c r="F568" i="12"/>
  <c r="F592" i="12"/>
  <c r="U435" i="2"/>
  <c r="M592" i="12"/>
  <c r="F580" i="12"/>
  <c r="U453" i="2"/>
  <c r="K145" i="12"/>
  <c r="T260" i="12"/>
  <c r="M513" i="12"/>
  <c r="K513" i="12"/>
  <c r="Q265" i="12"/>
  <c r="K570" i="12"/>
  <c r="O227" i="12"/>
  <c r="Q308" i="12"/>
  <c r="I524" i="12"/>
  <c r="P509" i="12"/>
  <c r="G481" i="12"/>
  <c r="L531" i="12"/>
  <c r="F213" i="12"/>
  <c r="U328" i="2"/>
  <c r="J412" i="12"/>
  <c r="F382" i="12"/>
  <c r="U317" i="2"/>
  <c r="L159" i="12"/>
  <c r="F359" i="12"/>
  <c r="U291" i="2"/>
  <c r="S573" i="12"/>
  <c r="S614" i="12"/>
  <c r="I537" i="12"/>
  <c r="P281" i="12"/>
  <c r="Q504" i="12"/>
  <c r="F556" i="12"/>
  <c r="U470" i="2"/>
  <c r="F321" i="12"/>
  <c r="I479" i="12"/>
  <c r="R502" i="12"/>
  <c r="P541" i="12"/>
  <c r="J201" i="12"/>
  <c r="K531" i="12"/>
  <c r="F268" i="12"/>
  <c r="R464" i="12"/>
  <c r="P191" i="12"/>
  <c r="L139" i="12"/>
  <c r="R468" i="12"/>
  <c r="I137" i="12"/>
  <c r="S576" i="12"/>
  <c r="M601" i="12"/>
  <c r="F338" i="12"/>
  <c r="U492" i="2"/>
  <c r="T338" i="12"/>
  <c r="S535" i="12"/>
  <c r="M341" i="12"/>
  <c r="O341" i="12"/>
  <c r="P270" i="12"/>
  <c r="O281" i="12"/>
  <c r="O514" i="12"/>
  <c r="R449" i="12"/>
  <c r="Q211" i="12"/>
  <c r="S480" i="12"/>
  <c r="R217" i="12"/>
  <c r="S490" i="12"/>
  <c r="R213" i="12"/>
  <c r="M349" i="12"/>
  <c r="M178" i="12"/>
  <c r="J187" i="12"/>
  <c r="K241" i="12"/>
  <c r="N359" i="12"/>
  <c r="P253" i="12"/>
  <c r="N485" i="12"/>
  <c r="N321" i="12"/>
  <c r="N496" i="12"/>
  <c r="F253" i="12"/>
  <c r="Q366" i="12"/>
  <c r="O366" i="12"/>
  <c r="T264" i="12"/>
  <c r="G590" i="12"/>
  <c r="S556" i="12"/>
  <c r="K238" i="12"/>
  <c r="J609" i="12"/>
  <c r="I229" i="12"/>
  <c r="S264" i="12"/>
  <c r="L175" i="12"/>
  <c r="P109" i="12"/>
  <c r="Q273" i="12"/>
  <c r="K530" i="12"/>
  <c r="S216" i="12"/>
  <c r="S531" i="12"/>
  <c r="L210" i="12"/>
  <c r="Q249" i="12"/>
  <c r="J231" i="12"/>
  <c r="S412" i="12"/>
  <c r="T178" i="12"/>
  <c r="R332" i="12"/>
  <c r="R149" i="12"/>
  <c r="J368" i="12"/>
  <c r="I193" i="12"/>
  <c r="P172" i="12"/>
  <c r="R656" i="12"/>
  <c r="S200" i="12"/>
  <c r="M148" i="12"/>
  <c r="F310" i="12"/>
  <c r="U277" i="2"/>
  <c r="M220" i="3" s="1"/>
  <c r="R356" i="12"/>
  <c r="Q119" i="12"/>
  <c r="S150" i="12"/>
  <c r="G168" i="12"/>
  <c r="R129" i="12"/>
  <c r="F256" i="12"/>
  <c r="U184" i="2"/>
  <c r="M133" i="3" s="1"/>
  <c r="P266" i="12"/>
  <c r="M136" i="12"/>
  <c r="L76" i="12"/>
  <c r="S74" i="12"/>
  <c r="R44" i="12"/>
  <c r="S85" i="12"/>
  <c r="P88" i="12"/>
  <c r="M197" i="12"/>
  <c r="I455" i="12"/>
  <c r="I403" i="12"/>
  <c r="R402" i="12"/>
  <c r="T457" i="12"/>
  <c r="K179" i="12"/>
  <c r="AR135" i="2"/>
  <c r="Q26" i="3" s="1"/>
  <c r="AQ135" i="2"/>
  <c r="P26" i="3" s="1"/>
  <c r="T276" i="12"/>
  <c r="K309" i="12"/>
  <c r="T221" i="12"/>
  <c r="F297" i="12"/>
  <c r="U253" i="2"/>
  <c r="L374" i="12"/>
  <c r="G131" i="12"/>
  <c r="P176" i="12"/>
  <c r="R222" i="12"/>
  <c r="N256" i="12"/>
  <c r="K239" i="12"/>
  <c r="F91" i="12"/>
  <c r="U158" i="2"/>
  <c r="M322" i="3" s="1"/>
  <c r="G212" i="12"/>
  <c r="R74" i="12"/>
  <c r="R199" i="12"/>
  <c r="M88" i="12"/>
  <c r="P505" i="12"/>
  <c r="T244" i="12"/>
  <c r="L244" i="12"/>
  <c r="R236" i="12"/>
  <c r="T236" i="12"/>
  <c r="J139" i="12"/>
  <c r="T383" i="12"/>
  <c r="T149" i="12"/>
  <c r="N153" i="12"/>
  <c r="I301" i="12"/>
  <c r="T128" i="12"/>
  <c r="G108" i="12"/>
  <c r="I310" i="12"/>
  <c r="J202" i="12"/>
  <c r="I121" i="12"/>
  <c r="M104" i="12"/>
  <c r="S158" i="12"/>
  <c r="Q657" i="12"/>
  <c r="P284" i="12"/>
  <c r="N136" i="12"/>
  <c r="S98" i="12"/>
  <c r="K480" i="12"/>
  <c r="P228" i="12"/>
  <c r="T418" i="12"/>
  <c r="I139" i="12"/>
  <c r="K458" i="12"/>
  <c r="R397" i="12"/>
  <c r="Q297" i="12"/>
  <c r="Q108" i="12"/>
  <c r="F131" i="12"/>
  <c r="U249" i="2"/>
  <c r="T294" i="12"/>
  <c r="P259" i="12"/>
  <c r="S110" i="12"/>
  <c r="R133" i="12"/>
  <c r="J233" i="12"/>
  <c r="P116" i="12"/>
  <c r="P74" i="12"/>
  <c r="I262" i="12"/>
  <c r="Q461" i="12"/>
  <c r="S405" i="12"/>
  <c r="S206" i="12"/>
  <c r="G137" i="12"/>
  <c r="F397" i="12"/>
  <c r="I315" i="12"/>
  <c r="S374" i="12"/>
  <c r="J185" i="12"/>
  <c r="O125" i="12"/>
  <c r="M328" i="12"/>
  <c r="N176" i="12"/>
  <c r="S357" i="12"/>
  <c r="O657" i="12"/>
  <c r="O259" i="12"/>
  <c r="S143" i="12"/>
  <c r="M91" i="12"/>
  <c r="R70" i="12"/>
  <c r="R75" i="12"/>
  <c r="L199" i="12"/>
  <c r="K155" i="12"/>
  <c r="J102" i="12"/>
  <c r="G493" i="12"/>
  <c r="N197" i="12"/>
  <c r="T151" i="12"/>
  <c r="R394" i="12"/>
  <c r="I105" i="12"/>
  <c r="K153" i="12"/>
  <c r="F181" i="12"/>
  <c r="U314" i="2"/>
  <c r="S156" i="12"/>
  <c r="Q131" i="12"/>
  <c r="T316" i="12"/>
  <c r="R357" i="12"/>
  <c r="Q110" i="12"/>
  <c r="Q87" i="12"/>
  <c r="N233" i="12"/>
  <c r="Q70" i="12"/>
  <c r="P89" i="12"/>
  <c r="S522" i="12"/>
  <c r="Q476" i="12"/>
  <c r="O445" i="12"/>
  <c r="P198" i="12"/>
  <c r="F214" i="12"/>
  <c r="U378" i="2"/>
  <c r="L214" i="12"/>
  <c r="R252" i="12"/>
  <c r="S276" i="12"/>
  <c r="O397" i="12"/>
  <c r="G315" i="12"/>
  <c r="P120" i="12"/>
  <c r="S202" i="12"/>
  <c r="Q185" i="12"/>
  <c r="L162" i="12"/>
  <c r="O25" i="3"/>
  <c r="O28" i="3" s="1"/>
  <c r="AR144" i="2"/>
  <c r="Q257" i="3" s="1"/>
  <c r="AQ144" i="2"/>
  <c r="P257" i="3" s="1"/>
  <c r="P90" i="12"/>
  <c r="P240" i="12"/>
  <c r="J110" i="12"/>
  <c r="L70" i="12"/>
  <c r="T86" i="12"/>
  <c r="Q479" i="12"/>
  <c r="J306" i="12"/>
  <c r="P193" i="12"/>
  <c r="J383" i="12"/>
  <c r="S312" i="12"/>
  <c r="F203" i="12"/>
  <c r="S144" i="12"/>
  <c r="I522" i="12"/>
  <c r="Q440" i="12"/>
  <c r="T476" i="12"/>
  <c r="L476" i="12"/>
  <c r="G190" i="12"/>
  <c r="L94" i="12"/>
  <c r="L209" i="12"/>
  <c r="G180" i="12"/>
  <c r="I356" i="12"/>
  <c r="P316" i="12"/>
  <c r="T150" i="12"/>
  <c r="P269" i="12"/>
  <c r="X685" i="12"/>
  <c r="J103" i="12"/>
  <c r="G95" i="12"/>
  <c r="U146" i="2"/>
  <c r="M238" i="3" s="1"/>
  <c r="P200" i="12"/>
  <c r="F173" i="12"/>
  <c r="U241" i="2"/>
  <c r="M173" i="12"/>
  <c r="M87" i="12"/>
  <c r="K230" i="12"/>
  <c r="F212" i="12"/>
  <c r="I234" i="12"/>
  <c r="R186" i="12"/>
  <c r="O73" i="12"/>
  <c r="M66" i="12"/>
  <c r="S82" i="12"/>
  <c r="T164" i="12"/>
  <c r="F41" i="12"/>
  <c r="U57" i="2"/>
  <c r="M98" i="3" s="1"/>
  <c r="J107" i="12"/>
  <c r="G30" i="12"/>
  <c r="X728" i="12"/>
  <c r="AL70" i="2"/>
  <c r="K112" i="3" s="1"/>
  <c r="S67" i="12"/>
  <c r="G16" i="12"/>
  <c r="M13" i="12"/>
  <c r="S22" i="12"/>
  <c r="X14" i="3"/>
  <c r="F3" i="12"/>
  <c r="U4" i="2"/>
  <c r="M325" i="3" s="1"/>
  <c r="N16" i="12"/>
  <c r="Q36" i="12"/>
  <c r="AB724" i="12"/>
  <c r="I29" i="12"/>
  <c r="G317" i="12"/>
  <c r="J184" i="12"/>
  <c r="N54" i="12"/>
  <c r="G61" i="12"/>
  <c r="I128" i="12"/>
  <c r="N160" i="12"/>
  <c r="T44" i="12"/>
  <c r="T169" i="12"/>
  <c r="Q146" i="12"/>
  <c r="N33" i="12"/>
  <c r="J134" i="12"/>
  <c r="P65" i="12"/>
  <c r="L64" i="12"/>
  <c r="F141" i="12"/>
  <c r="U47" i="2"/>
  <c r="M188" i="3" s="1"/>
  <c r="G107" i="12"/>
  <c r="I39" i="12"/>
  <c r="F30" i="12"/>
  <c r="U39" i="2"/>
  <c r="M210" i="3" s="1"/>
  <c r="O25" i="12"/>
  <c r="M99" i="12"/>
  <c r="Q10" i="12"/>
  <c r="I142" i="12"/>
  <c r="N6" i="12"/>
  <c r="S6" i="3"/>
  <c r="N2" i="12"/>
  <c r="S2" i="3"/>
  <c r="I24" i="12"/>
  <c r="T63" i="12"/>
  <c r="F148" i="12"/>
  <c r="Q182" i="12"/>
  <c r="T31" i="12"/>
  <c r="I42" i="12"/>
  <c r="Q78" i="12"/>
  <c r="J177" i="12"/>
  <c r="L32" i="12"/>
  <c r="S81" i="12"/>
  <c r="R97" i="12"/>
  <c r="K35" i="12"/>
  <c r="F37" i="12"/>
  <c r="U46" i="2"/>
  <c r="M37" i="3" s="1"/>
  <c r="G18" i="12"/>
  <c r="T17" i="12"/>
  <c r="Q11" i="12"/>
  <c r="O11" i="12"/>
  <c r="P22" i="12"/>
  <c r="U14" i="3"/>
  <c r="M134" i="12"/>
  <c r="R63" i="12"/>
  <c r="M158" i="12"/>
  <c r="F58" i="12"/>
  <c r="U117" i="2"/>
  <c r="M12" i="3" s="1"/>
  <c r="G230" i="12"/>
  <c r="T70" i="12"/>
  <c r="N199" i="12"/>
  <c r="I46" i="12"/>
  <c r="Q72" i="12"/>
  <c r="J138" i="12"/>
  <c r="I32" i="12"/>
  <c r="F56" i="12"/>
  <c r="U91" i="2"/>
  <c r="M41" i="3" s="1"/>
  <c r="O195" i="12"/>
  <c r="P97" i="12"/>
  <c r="K118" i="12"/>
  <c r="G52" i="12"/>
  <c r="M12" i="12"/>
  <c r="S43" i="12"/>
  <c r="Q5" i="12"/>
  <c r="R177" i="12"/>
  <c r="S6" i="12"/>
  <c r="F82" i="12"/>
  <c r="F57" i="12"/>
  <c r="G385" i="12"/>
  <c r="O316" i="12"/>
  <c r="R284" i="12"/>
  <c r="I87" i="12"/>
  <c r="F103" i="12"/>
  <c r="N186" i="12"/>
  <c r="S146" i="12"/>
  <c r="R62" i="12"/>
  <c r="T134" i="12"/>
  <c r="Q47" i="12"/>
  <c r="Z724" i="12"/>
  <c r="T80" i="12"/>
  <c r="I107" i="12"/>
  <c r="N195" i="12"/>
  <c r="T54" i="12"/>
  <c r="N19" i="12"/>
  <c r="AB699" i="12"/>
  <c r="K20" i="12"/>
  <c r="K27" i="12"/>
  <c r="K9" i="12"/>
  <c r="G5" i="12"/>
  <c r="N142" i="12"/>
  <c r="Q173" i="12"/>
  <c r="P45" i="12"/>
  <c r="N126" i="12"/>
  <c r="S126" i="12"/>
  <c r="I83" i="12"/>
  <c r="K199" i="12"/>
  <c r="G73" i="12"/>
  <c r="L102" i="12"/>
  <c r="I51" i="12"/>
  <c r="T81" i="12"/>
  <c r="S54" i="12"/>
  <c r="T53" i="12"/>
  <c r="G50" i="12"/>
  <c r="J12" i="12"/>
  <c r="N47" i="12"/>
  <c r="Q53" i="12"/>
  <c r="J96" i="12"/>
  <c r="S385" i="12"/>
  <c r="AB697" i="12"/>
  <c r="K247" i="12"/>
  <c r="S136" i="12"/>
  <c r="T114" i="12"/>
  <c r="R85" i="12"/>
  <c r="F184" i="12"/>
  <c r="U97" i="2"/>
  <c r="M131" i="3" s="1"/>
  <c r="P62" i="12"/>
  <c r="J64" i="12"/>
  <c r="R80" i="12"/>
  <c r="L19" i="12"/>
  <c r="S57" i="12"/>
  <c r="N18" i="12"/>
  <c r="T27" i="12"/>
  <c r="I8" i="12"/>
  <c r="F93" i="12"/>
  <c r="U110" i="2"/>
  <c r="M157" i="3" s="1"/>
  <c r="T29" i="12"/>
  <c r="M47" i="12"/>
  <c r="N127" i="12"/>
  <c r="Q326" i="12"/>
  <c r="L131" i="12"/>
  <c r="O296" i="12"/>
  <c r="T296" i="12"/>
  <c r="O239" i="12"/>
  <c r="P234" i="12"/>
  <c r="J319" i="12"/>
  <c r="G319" i="12"/>
  <c r="F174" i="12"/>
  <c r="U200" i="2"/>
  <c r="M65" i="3" s="1"/>
  <c r="L135" i="12"/>
  <c r="N133" i="12"/>
  <c r="J196" i="12"/>
  <c r="G157" i="12"/>
  <c r="K79" i="12"/>
  <c r="S141" i="12"/>
  <c r="S117" i="12"/>
  <c r="G19" i="12"/>
  <c r="O53" i="12"/>
  <c r="AA680" i="12"/>
  <c r="N28" i="12"/>
  <c r="S10" i="12"/>
  <c r="N5" i="12"/>
  <c r="Q6" i="12"/>
  <c r="K61" i="12"/>
  <c r="L56" i="12"/>
  <c r="I6" i="12"/>
  <c r="J65" i="12"/>
  <c r="R61" i="12"/>
  <c r="J83" i="12"/>
  <c r="N93" i="12"/>
  <c r="M5" i="12"/>
  <c r="Q62" i="12"/>
  <c r="T127" i="12"/>
  <c r="O117" i="12"/>
  <c r="R60" i="12"/>
  <c r="R19" i="12"/>
  <c r="N53" i="12"/>
  <c r="J50" i="12"/>
  <c r="N13" i="12"/>
  <c r="S10" i="3"/>
  <c r="S2" i="12"/>
  <c r="X2" i="3"/>
  <c r="J7" i="12"/>
  <c r="P11" i="12"/>
  <c r="S84" i="12"/>
  <c r="F23" i="12"/>
  <c r="U31" i="2"/>
  <c r="M236" i="3" s="1"/>
  <c r="N317" i="12"/>
  <c r="Q317" i="12"/>
  <c r="L184" i="12"/>
  <c r="N26" i="12"/>
  <c r="N297" i="12"/>
  <c r="AB726" i="12"/>
  <c r="M169" i="12"/>
  <c r="K169" i="12"/>
  <c r="L146" i="12"/>
  <c r="L33" i="12"/>
  <c r="AB710" i="12"/>
  <c r="S72" i="12"/>
  <c r="G65" i="12"/>
  <c r="O79" i="12"/>
  <c r="P141" i="12"/>
  <c r="N117" i="12"/>
  <c r="S97" i="12"/>
  <c r="S39" i="12"/>
  <c r="N118" i="12"/>
  <c r="P29" i="12"/>
  <c r="R67" i="12"/>
  <c r="G25" i="12"/>
  <c r="J142" i="12"/>
  <c r="L84" i="12"/>
  <c r="G10" i="12"/>
  <c r="N8" i="12"/>
  <c r="S50" i="12"/>
  <c r="G2" i="12"/>
  <c r="L2" i="3"/>
  <c r="O10" i="12"/>
  <c r="I27" i="12"/>
  <c r="S24" i="12"/>
  <c r="J4" i="12"/>
  <c r="P134" i="12"/>
  <c r="K176" i="12"/>
  <c r="T284" i="12"/>
  <c r="N83" i="12"/>
  <c r="P184" i="12"/>
  <c r="I88" i="12"/>
  <c r="F78" i="12"/>
  <c r="U81" i="2"/>
  <c r="M265" i="3" s="1"/>
  <c r="R164" i="12"/>
  <c r="S68" i="12"/>
  <c r="S56" i="12"/>
  <c r="G81" i="12"/>
  <c r="N60" i="12"/>
  <c r="P30" i="12"/>
  <c r="Q67" i="12"/>
  <c r="I17" i="12"/>
  <c r="G11" i="12"/>
  <c r="O101" i="12"/>
  <c r="F11" i="12"/>
  <c r="U10" i="2"/>
  <c r="Q22" i="12"/>
  <c r="V14" i="3"/>
  <c r="G7" i="12"/>
  <c r="M138" i="12"/>
  <c r="F53" i="12"/>
  <c r="J357" i="12"/>
  <c r="T30" i="12"/>
  <c r="J657" i="12"/>
  <c r="AB687" i="12"/>
  <c r="R58" i="12"/>
  <c r="J91" i="12"/>
  <c r="L116" i="12"/>
  <c r="T62" i="12"/>
  <c r="S46" i="12"/>
  <c r="F72" i="12"/>
  <c r="T138" i="12"/>
  <c r="R68" i="12"/>
  <c r="P56" i="12"/>
  <c r="J38" i="12"/>
  <c r="M60" i="12"/>
  <c r="P37" i="12"/>
  <c r="N29" i="12"/>
  <c r="O49" i="12"/>
  <c r="T3" i="12"/>
  <c r="I104" i="12"/>
  <c r="S256" i="12"/>
  <c r="J87" i="12"/>
  <c r="T77" i="12"/>
  <c r="N31" i="12"/>
  <c r="T88" i="12"/>
  <c r="G134" i="12"/>
  <c r="R47" i="12"/>
  <c r="N130" i="12"/>
  <c r="S107" i="12"/>
  <c r="F54" i="12"/>
  <c r="U35" i="2"/>
  <c r="M321" i="3" s="1"/>
  <c r="G51" i="12"/>
  <c r="N240" i="12"/>
  <c r="G45" i="12"/>
  <c r="P99" i="12"/>
  <c r="F385" i="12"/>
  <c r="P296" i="12"/>
  <c r="Q126" i="12"/>
  <c r="J126" i="12"/>
  <c r="K83" i="12"/>
  <c r="I111" i="12"/>
  <c r="R73" i="12"/>
  <c r="S80" i="12"/>
  <c r="K81" i="12"/>
  <c r="R26" i="12"/>
  <c r="I53" i="12"/>
  <c r="K14" i="12"/>
  <c r="Q50" i="12"/>
  <c r="N49" i="12"/>
  <c r="O28" i="12"/>
  <c r="R324" i="12"/>
  <c r="G176" i="12"/>
  <c r="L124" i="12"/>
  <c r="R113" i="12"/>
  <c r="P169" i="12"/>
  <c r="P196" i="12"/>
  <c r="Q66" i="12"/>
  <c r="T55" i="12"/>
  <c r="T64" i="12"/>
  <c r="J141" i="12"/>
  <c r="F80" i="12"/>
  <c r="G117" i="12"/>
  <c r="M40" i="12"/>
  <c r="K39" i="12"/>
  <c r="S118" i="12"/>
  <c r="O52" i="12"/>
  <c r="J25" i="12"/>
  <c r="L3" i="12"/>
  <c r="P93" i="12"/>
  <c r="Q15" i="12"/>
  <c r="M177" i="12"/>
  <c r="G20" i="12"/>
  <c r="R326" i="12"/>
  <c r="N322" i="12"/>
  <c r="R296" i="12"/>
  <c r="L296" i="12"/>
  <c r="I19" i="12"/>
  <c r="F172" i="12"/>
  <c r="K319" i="12"/>
  <c r="Q319" i="12"/>
  <c r="P174" i="12"/>
  <c r="T122" i="12"/>
  <c r="M135" i="12"/>
  <c r="K71" i="12"/>
  <c r="M62" i="12"/>
  <c r="O134" i="12"/>
  <c r="I79" i="12"/>
  <c r="O45" i="12"/>
  <c r="M80" i="12"/>
  <c r="J117" i="12"/>
  <c r="S60" i="12"/>
  <c r="P118" i="12"/>
  <c r="R53" i="12"/>
  <c r="I10" i="12"/>
  <c r="R4" i="12"/>
  <c r="M6" i="12"/>
  <c r="T9" i="12"/>
  <c r="R43" i="12"/>
  <c r="Q42" i="12"/>
  <c r="R38" i="12"/>
  <c r="J32" i="12"/>
  <c r="X692" i="12"/>
  <c r="L63" i="12"/>
  <c r="Q4" i="12"/>
  <c r="R25" i="12"/>
  <c r="O8" i="12"/>
  <c r="O9" i="12"/>
  <c r="M55" i="12"/>
  <c r="O297" i="12"/>
  <c r="K173" i="12"/>
  <c r="O323" i="12"/>
  <c r="F234" i="12"/>
  <c r="U155" i="2"/>
  <c r="M186" i="12"/>
  <c r="AR96" i="2"/>
  <c r="Q141" i="3" s="1"/>
  <c r="AQ96" i="2"/>
  <c r="P141" i="3" s="1"/>
  <c r="N42" i="12"/>
  <c r="N51" i="12"/>
  <c r="I81" i="12"/>
  <c r="F60" i="12"/>
  <c r="U53" i="2"/>
  <c r="M329" i="3" s="1"/>
  <c r="F19" i="12"/>
  <c r="U64" i="2"/>
  <c r="M181" i="3" s="1"/>
  <c r="L34" i="12"/>
  <c r="Q29" i="12"/>
  <c r="R101" i="12"/>
  <c r="S96" i="12"/>
  <c r="I2" i="12"/>
  <c r="N2" i="3"/>
  <c r="K15" i="12"/>
  <c r="Q49" i="12"/>
  <c r="I28" i="12"/>
  <c r="Q17" i="12"/>
  <c r="T317" i="12"/>
  <c r="R317" i="12"/>
  <c r="M184" i="12"/>
  <c r="G9" i="12"/>
  <c r="P237" i="12"/>
  <c r="G148" i="12"/>
  <c r="N323" i="12"/>
  <c r="AR111" i="2"/>
  <c r="Q228" i="3" s="1"/>
  <c r="AQ111" i="2"/>
  <c r="P228" i="3" s="1"/>
  <c r="S76" i="12"/>
  <c r="J74" i="12"/>
  <c r="Q169" i="12"/>
  <c r="J88" i="12"/>
  <c r="M33" i="12"/>
  <c r="K55" i="12"/>
  <c r="Q65" i="12"/>
  <c r="S138" i="12"/>
  <c r="M45" i="12"/>
  <c r="G97" i="12"/>
  <c r="L35" i="12"/>
  <c r="M57" i="12"/>
  <c r="G67" i="12"/>
  <c r="Q25" i="12"/>
  <c r="T50" i="12"/>
  <c r="L28" i="12"/>
  <c r="O6" i="12"/>
  <c r="T6" i="3"/>
  <c r="J84" i="12"/>
  <c r="N14" i="12"/>
  <c r="L96" i="12"/>
  <c r="L67" i="12"/>
  <c r="R79" i="12"/>
  <c r="J67" i="12"/>
  <c r="N374" i="12"/>
  <c r="M247" i="12"/>
  <c r="J115" i="12"/>
  <c r="K75" i="12"/>
  <c r="M73" i="12"/>
  <c r="S71" i="12"/>
  <c r="K100" i="12"/>
  <c r="Q157" i="12"/>
  <c r="P78" i="12"/>
  <c r="F164" i="12"/>
  <c r="U93" i="2"/>
  <c r="M16" i="3" s="1"/>
  <c r="G68" i="12"/>
  <c r="P195" i="12"/>
  <c r="J54" i="12"/>
  <c r="J26" i="12"/>
  <c r="F67" i="12"/>
  <c r="U40" i="2"/>
  <c r="M39" i="3" s="1"/>
  <c r="L27" i="12"/>
  <c r="T5" i="12"/>
  <c r="R7" i="12"/>
  <c r="J8" i="12"/>
  <c r="N68" i="12"/>
  <c r="J101" i="12"/>
  <c r="J259" i="12"/>
  <c r="F154" i="12"/>
  <c r="N90" i="12"/>
  <c r="AR95" i="2"/>
  <c r="Q113" i="3" s="1"/>
  <c r="AQ95" i="2"/>
  <c r="P113" i="3" s="1"/>
  <c r="G58" i="12"/>
  <c r="K114" i="12"/>
  <c r="S186" i="12"/>
  <c r="R71" i="12"/>
  <c r="J46" i="12"/>
  <c r="M78" i="12"/>
  <c r="K138" i="12"/>
  <c r="F68" i="12"/>
  <c r="U108" i="2"/>
  <c r="M97" i="3" s="1"/>
  <c r="G56" i="12"/>
  <c r="S21" i="12"/>
  <c r="J35" i="12"/>
  <c r="L20" i="12"/>
  <c r="Z703" i="12"/>
  <c r="R155" i="12"/>
  <c r="K130" i="12"/>
  <c r="R202" i="12"/>
  <c r="L158" i="12"/>
  <c r="AB663" i="12"/>
  <c r="R230" i="12"/>
  <c r="O74" i="12"/>
  <c r="G88" i="12"/>
  <c r="P72" i="12"/>
  <c r="F64" i="12"/>
  <c r="U109" i="2"/>
  <c r="M123" i="3" s="1"/>
  <c r="Q68" i="12"/>
  <c r="S194" i="12"/>
  <c r="J118" i="12"/>
  <c r="Q52" i="12"/>
  <c r="J57" i="12"/>
  <c r="M2" i="12"/>
  <c r="R117" i="12"/>
  <c r="T16" i="12"/>
  <c r="Q45" i="12"/>
  <c r="N121" i="12"/>
  <c r="J318" i="12"/>
  <c r="O115" i="12"/>
  <c r="F126" i="12"/>
  <c r="U167" i="2"/>
  <c r="M240" i="3" s="1"/>
  <c r="T126" i="12"/>
  <c r="S86" i="12"/>
  <c r="L83" i="12"/>
  <c r="K95" i="12"/>
  <c r="J73" i="12"/>
  <c r="G59" i="12"/>
  <c r="S55" i="12"/>
  <c r="J63" i="12"/>
  <c r="N157" i="12"/>
  <c r="M130" i="12"/>
  <c r="G80" i="12"/>
  <c r="M195" i="12"/>
  <c r="G26" i="12"/>
  <c r="K29" i="12"/>
  <c r="R84" i="12"/>
  <c r="O36" i="12"/>
  <c r="G39" i="12"/>
  <c r="Q9" i="12"/>
  <c r="S315" i="12"/>
  <c r="R158" i="12"/>
  <c r="I123" i="12"/>
  <c r="K212" i="12"/>
  <c r="J199" i="12"/>
  <c r="K146" i="12"/>
  <c r="F63" i="12"/>
  <c r="U103" i="2"/>
  <c r="M125" i="3" s="1"/>
  <c r="J78" i="12"/>
  <c r="R64" i="12"/>
  <c r="T45" i="12"/>
  <c r="Q194" i="12"/>
  <c r="O81" i="12"/>
  <c r="L97" i="12"/>
  <c r="P48" i="12"/>
  <c r="I52" i="12"/>
  <c r="S154" i="12"/>
  <c r="O23" i="12"/>
  <c r="P121" i="12"/>
  <c r="K177" i="12"/>
  <c r="P53" i="12"/>
  <c r="I326" i="12"/>
  <c r="F298" i="12"/>
  <c r="P162" i="12"/>
  <c r="F296" i="12"/>
  <c r="U217" i="2"/>
  <c r="M296" i="12"/>
  <c r="F266" i="12"/>
  <c r="J189" i="12"/>
  <c r="L319" i="12"/>
  <c r="R319" i="12"/>
  <c r="O374" i="12"/>
  <c r="N135" i="12"/>
  <c r="O135" i="12"/>
  <c r="G76" i="12"/>
  <c r="Q103" i="12"/>
  <c r="T102" i="12"/>
  <c r="AB692" i="12"/>
  <c r="S79" i="12"/>
  <c r="P165" i="12"/>
  <c r="T117" i="12"/>
  <c r="M24" i="12"/>
  <c r="F25" i="12"/>
  <c r="U33" i="2"/>
  <c r="M93" i="3" s="1"/>
  <c r="T11" i="12"/>
  <c r="S3" i="12"/>
  <c r="N4" i="12"/>
  <c r="J13" i="12"/>
  <c r="L16" i="12"/>
  <c r="M11" i="12"/>
  <c r="L72" i="12"/>
  <c r="O54" i="12"/>
  <c r="O129" i="12"/>
  <c r="T32" i="12"/>
  <c r="T49" i="12"/>
  <c r="P46" i="12"/>
  <c r="I31" i="12"/>
  <c r="P42" i="12"/>
  <c r="N100" i="12"/>
  <c r="L629" i="12"/>
  <c r="S629" i="12"/>
  <c r="F245" i="12"/>
  <c r="U368" i="2"/>
  <c r="G273" i="12"/>
  <c r="S496" i="12"/>
  <c r="J440" i="12"/>
  <c r="N306" i="12"/>
  <c r="N418" i="12"/>
  <c r="R191" i="12"/>
  <c r="G167" i="12"/>
  <c r="P224" i="12"/>
  <c r="Q94" i="12"/>
  <c r="N332" i="12"/>
  <c r="N147" i="12"/>
  <c r="F276" i="12"/>
  <c r="U175" i="2"/>
  <c r="O200" i="12"/>
  <c r="AA677" i="12"/>
  <c r="T592" i="12"/>
  <c r="R580" i="12"/>
  <c r="P260" i="12"/>
  <c r="K260" i="12"/>
  <c r="G513" i="12"/>
  <c r="S265" i="12"/>
  <c r="F267" i="12"/>
  <c r="U497" i="2"/>
  <c r="G227" i="12"/>
  <c r="Q473" i="12"/>
  <c r="O486" i="12"/>
  <c r="Q261" i="12"/>
  <c r="K481" i="12"/>
  <c r="J208" i="12"/>
  <c r="O226" i="12"/>
  <c r="K210" i="12"/>
  <c r="N464" i="12"/>
  <c r="F463" i="12"/>
  <c r="U367" i="2"/>
  <c r="P257" i="12"/>
  <c r="O457" i="12"/>
  <c r="N272" i="12"/>
  <c r="J397" i="12"/>
  <c r="Q589" i="12"/>
  <c r="O575" i="12"/>
  <c r="J570" i="12"/>
  <c r="K499" i="12"/>
  <c r="Q530" i="12"/>
  <c r="L479" i="12"/>
  <c r="N442" i="12"/>
  <c r="P481" i="12"/>
  <c r="F502" i="12"/>
  <c r="U374" i="2"/>
  <c r="J541" i="12"/>
  <c r="Q235" i="12"/>
  <c r="K277" i="12"/>
  <c r="K441" i="12"/>
  <c r="N349" i="12"/>
  <c r="L413" i="12"/>
  <c r="AB682" i="12"/>
  <c r="N457" i="12"/>
  <c r="K105" i="12"/>
  <c r="G601" i="12"/>
  <c r="M338" i="12"/>
  <c r="F535" i="12"/>
  <c r="U458" i="2"/>
  <c r="K535" i="12"/>
  <c r="S341" i="12"/>
  <c r="J631" i="12"/>
  <c r="M278" i="12"/>
  <c r="R270" i="12"/>
  <c r="G514" i="12"/>
  <c r="G267" i="12"/>
  <c r="F273" i="12"/>
  <c r="U483" i="2"/>
  <c r="J217" i="12"/>
  <c r="M442" i="12"/>
  <c r="O491" i="12"/>
  <c r="I488" i="12"/>
  <c r="R461" i="12"/>
  <c r="G198" i="12"/>
  <c r="L167" i="12"/>
  <c r="N257" i="12"/>
  <c r="K332" i="12"/>
  <c r="L188" i="12"/>
  <c r="AB705" i="12"/>
  <c r="N382" i="12"/>
  <c r="I415" i="12"/>
  <c r="N348" i="12"/>
  <c r="N229" i="12"/>
  <c r="K560" i="12"/>
  <c r="I533" i="12"/>
  <c r="P211" i="12"/>
  <c r="J329" i="12"/>
  <c r="AB706" i="12"/>
  <c r="R366" i="12"/>
  <c r="I145" i="12"/>
  <c r="Q283" i="12"/>
  <c r="M578" i="12"/>
  <c r="P520" i="12"/>
  <c r="P519" i="12"/>
  <c r="K229" i="12"/>
  <c r="O251" i="12"/>
  <c r="R109" i="12"/>
  <c r="N499" i="12"/>
  <c r="L496" i="12"/>
  <c r="F571" i="12"/>
  <c r="U394" i="2"/>
  <c r="F442" i="12"/>
  <c r="S488" i="12"/>
  <c r="R216" i="12"/>
  <c r="L201" i="12"/>
  <c r="M461" i="12"/>
  <c r="I368" i="12"/>
  <c r="J198" i="12"/>
  <c r="T167" i="12"/>
  <c r="J257" i="12"/>
  <c r="N468" i="12"/>
  <c r="T183" i="12"/>
  <c r="I531" i="12"/>
  <c r="K409" i="12"/>
  <c r="L193" i="12"/>
  <c r="T272" i="12"/>
  <c r="T241" i="12"/>
  <c r="P315" i="12"/>
  <c r="R298" i="12"/>
  <c r="I125" i="12"/>
  <c r="M316" i="12"/>
  <c r="O150" i="12"/>
  <c r="J240" i="12"/>
  <c r="Z663" i="12"/>
  <c r="AL132" i="2"/>
  <c r="K170" i="3" s="1"/>
  <c r="K173" i="3" s="1"/>
  <c r="J266" i="12"/>
  <c r="I124" i="12"/>
  <c r="F98" i="12"/>
  <c r="U157" i="2"/>
  <c r="M270" i="3" s="1"/>
  <c r="S91" i="12"/>
  <c r="AB673" i="12"/>
  <c r="AQ92" i="2"/>
  <c r="P142" i="3" s="1"/>
  <c r="O155" i="12"/>
  <c r="N71" i="12"/>
  <c r="F219" i="12"/>
  <c r="U406" i="2"/>
  <c r="M455" i="12"/>
  <c r="K455" i="12"/>
  <c r="L183" i="12"/>
  <c r="G179" i="12"/>
  <c r="S272" i="12"/>
  <c r="G309" i="12"/>
  <c r="N181" i="12"/>
  <c r="R408" i="12"/>
  <c r="Q356" i="12"/>
  <c r="T104" i="12"/>
  <c r="S176" i="12"/>
  <c r="R150" i="12"/>
  <c r="I110" i="12"/>
  <c r="P123" i="12"/>
  <c r="R233" i="12"/>
  <c r="N86" i="12"/>
  <c r="F111" i="12"/>
  <c r="U136" i="2"/>
  <c r="M327" i="3" s="1"/>
  <c r="T219" i="12"/>
  <c r="J244" i="12"/>
  <c r="I236" i="12"/>
  <c r="L191" i="12"/>
  <c r="K94" i="12"/>
  <c r="N394" i="12"/>
  <c r="T656" i="12"/>
  <c r="T301" i="12"/>
  <c r="L200" i="12"/>
  <c r="L120" i="12"/>
  <c r="T310" i="12"/>
  <c r="L185" i="12"/>
  <c r="T121" i="12"/>
  <c r="S328" i="12"/>
  <c r="P104" i="12"/>
  <c r="N263" i="12"/>
  <c r="J129" i="12"/>
  <c r="J143" i="12"/>
  <c r="O279" i="12"/>
  <c r="J262" i="12"/>
  <c r="I228" i="12"/>
  <c r="L178" i="12"/>
  <c r="K457" i="12"/>
  <c r="K276" i="12"/>
  <c r="I324" i="12"/>
  <c r="S297" i="12"/>
  <c r="R274" i="12"/>
  <c r="P166" i="12"/>
  <c r="I131" i="12"/>
  <c r="I316" i="12"/>
  <c r="T247" i="12"/>
  <c r="Q168" i="12"/>
  <c r="G90" i="12"/>
  <c r="L256" i="12"/>
  <c r="K115" i="12"/>
  <c r="M76" i="12"/>
  <c r="L112" i="12"/>
  <c r="J116" i="12"/>
  <c r="L86" i="12"/>
  <c r="F89" i="12"/>
  <c r="U134" i="2"/>
  <c r="M40" i="3" s="1"/>
  <c r="M31" i="12"/>
  <c r="O196" i="12"/>
  <c r="T208" i="12"/>
  <c r="R445" i="12"/>
  <c r="Q412" i="12"/>
  <c r="O405" i="12"/>
  <c r="K405" i="12"/>
  <c r="AA668" i="12"/>
  <c r="J120" i="12"/>
  <c r="O298" i="12"/>
  <c r="G340" i="12"/>
  <c r="S344" i="12"/>
  <c r="G160" i="12"/>
  <c r="F162" i="12"/>
  <c r="U289" i="2"/>
  <c r="I323" i="12"/>
  <c r="F90" i="12"/>
  <c r="U173" i="2"/>
  <c r="K256" i="12"/>
  <c r="O124" i="12"/>
  <c r="S239" i="12"/>
  <c r="R114" i="12"/>
  <c r="N212" i="12"/>
  <c r="G75" i="12"/>
  <c r="T69" i="12"/>
  <c r="F473" i="12"/>
  <c r="T488" i="12"/>
  <c r="I493" i="12"/>
  <c r="M151" i="12"/>
  <c r="J394" i="12"/>
  <c r="G153" i="12"/>
  <c r="I181" i="12"/>
  <c r="T324" i="12"/>
  <c r="O408" i="12"/>
  <c r="Q322" i="12"/>
  <c r="I140" i="12"/>
  <c r="AB730" i="12"/>
  <c r="N230" i="12"/>
  <c r="S89" i="12"/>
  <c r="Q509" i="12"/>
  <c r="G445" i="12"/>
  <c r="I445" i="12"/>
  <c r="F412" i="12"/>
  <c r="Q214" i="12"/>
  <c r="J252" i="12"/>
  <c r="I147" i="12"/>
  <c r="S324" i="12"/>
  <c r="R174" i="12"/>
  <c r="Q120" i="12"/>
  <c r="S185" i="12"/>
  <c r="R160" i="12"/>
  <c r="S316" i="12"/>
  <c r="O247" i="12"/>
  <c r="G263" i="12"/>
  <c r="J90" i="12"/>
  <c r="L259" i="12"/>
  <c r="M115" i="12"/>
  <c r="K91" i="12"/>
  <c r="M116" i="12"/>
  <c r="G182" i="12"/>
  <c r="G262" i="12"/>
  <c r="P476" i="12"/>
  <c r="O312" i="12"/>
  <c r="K312" i="12"/>
  <c r="I490" i="12"/>
  <c r="O455" i="12"/>
  <c r="I439" i="12"/>
  <c r="K283" i="12"/>
  <c r="N522" i="12"/>
  <c r="J476" i="12"/>
  <c r="L161" i="12"/>
  <c r="I190" i="12"/>
  <c r="R144" i="12"/>
  <c r="L171" i="12"/>
  <c r="I180" i="12"/>
  <c r="Q315" i="12"/>
  <c r="T356" i="12"/>
  <c r="R119" i="12"/>
  <c r="Q263" i="12"/>
  <c r="R122" i="12"/>
  <c r="T259" i="12"/>
  <c r="X730" i="12"/>
  <c r="T91" i="12"/>
  <c r="P113" i="12"/>
  <c r="T74" i="12"/>
  <c r="O59" i="12"/>
  <c r="U283" i="2"/>
  <c r="T120" i="12"/>
  <c r="N173" i="12"/>
  <c r="S122" i="12"/>
  <c r="M112" i="12"/>
  <c r="T234" i="12"/>
  <c r="P186" i="12"/>
  <c r="S102" i="12"/>
  <c r="L55" i="12"/>
  <c r="S157" i="12"/>
  <c r="K47" i="12"/>
  <c r="R141" i="12"/>
  <c r="L80" i="12"/>
  <c r="P60" i="12"/>
  <c r="O118" i="12"/>
  <c r="F29" i="12"/>
  <c r="U54" i="2"/>
  <c r="M147" i="3" s="1"/>
  <c r="G101" i="12"/>
  <c r="N15" i="12"/>
  <c r="G96" i="12"/>
  <c r="I11" i="12"/>
  <c r="M43" i="12"/>
  <c r="R2" i="12"/>
  <c r="W2" i="3"/>
  <c r="T23" i="12"/>
  <c r="S17" i="12"/>
  <c r="L12" i="12"/>
  <c r="M96" i="12"/>
  <c r="K6" i="12"/>
  <c r="R13" i="12"/>
  <c r="F15" i="12"/>
  <c r="F317" i="12"/>
  <c r="U207" i="2"/>
  <c r="M104" i="3" s="1"/>
  <c r="R184" i="12"/>
  <c r="N237" i="12"/>
  <c r="I274" i="12"/>
  <c r="P247" i="12"/>
  <c r="O58" i="12"/>
  <c r="F169" i="12"/>
  <c r="U107" i="2"/>
  <c r="M335" i="3" s="1"/>
  <c r="P111" i="12"/>
  <c r="T71" i="12"/>
  <c r="G33" i="12"/>
  <c r="U74" i="2"/>
  <c r="M89" i="3" s="1"/>
  <c r="N63" i="12"/>
  <c r="F138" i="12"/>
  <c r="U80" i="2"/>
  <c r="M305" i="3" s="1"/>
  <c r="Q130" i="12"/>
  <c r="Q195" i="12"/>
  <c r="O60" i="12"/>
  <c r="K34" i="12"/>
  <c r="M154" i="12"/>
  <c r="M15" i="12"/>
  <c r="I50" i="12"/>
  <c r="R11" i="12"/>
  <c r="L154" i="12"/>
  <c r="AA703" i="12"/>
  <c r="G49" i="12"/>
  <c r="Q84" i="12"/>
  <c r="N194" i="12"/>
  <c r="I36" i="12"/>
  <c r="P122" i="12"/>
  <c r="O80" i="12"/>
  <c r="S25" i="12"/>
  <c r="K209" i="12"/>
  <c r="AA721" i="12"/>
  <c r="N89" i="12"/>
  <c r="M157" i="12"/>
  <c r="K93" i="12"/>
  <c r="N141" i="12"/>
  <c r="P41" i="12"/>
  <c r="K195" i="12"/>
  <c r="O29" i="12"/>
  <c r="P101" i="12"/>
  <c r="P96" i="12"/>
  <c r="R49" i="12"/>
  <c r="T36" i="12"/>
  <c r="S5" i="12"/>
  <c r="T165" i="12"/>
  <c r="T25" i="12"/>
  <c r="L18" i="12"/>
  <c r="J241" i="12"/>
  <c r="T256" i="12"/>
  <c r="X687" i="12"/>
  <c r="S58" i="12"/>
  <c r="Z721" i="12"/>
  <c r="S31" i="12"/>
  <c r="G71" i="12"/>
  <c r="T46" i="12"/>
  <c r="G64" i="12"/>
  <c r="I177" i="12"/>
  <c r="O41" i="12"/>
  <c r="Q56" i="12"/>
  <c r="I54" i="12"/>
  <c r="T26" i="12"/>
  <c r="K57" i="12"/>
  <c r="N96" i="12"/>
  <c r="F117" i="12"/>
  <c r="K96" i="12"/>
  <c r="K344" i="12"/>
  <c r="F51" i="12"/>
  <c r="G204" i="12"/>
  <c r="M323" i="12"/>
  <c r="I91" i="12"/>
  <c r="I155" i="12"/>
  <c r="Q71" i="12"/>
  <c r="L78" i="12"/>
  <c r="L79" i="12"/>
  <c r="G194" i="12"/>
  <c r="I38" i="12"/>
  <c r="T35" i="12"/>
  <c r="F52" i="12"/>
  <c r="U48" i="2"/>
  <c r="M148" i="3" s="1"/>
  <c r="O67" i="12"/>
  <c r="K8" i="12"/>
  <c r="M196" i="12"/>
  <c r="K97" i="12"/>
  <c r="K70" i="12"/>
  <c r="T41" i="12"/>
  <c r="K11" i="12"/>
  <c r="G122" i="12"/>
  <c r="R126" i="12"/>
  <c r="O83" i="12"/>
  <c r="K186" i="12"/>
  <c r="K73" i="12"/>
  <c r="K33" i="12"/>
  <c r="F55" i="12"/>
  <c r="U73" i="2"/>
  <c r="M294" i="3" s="1"/>
  <c r="S134" i="12"/>
  <c r="S32" i="12"/>
  <c r="T38" i="12"/>
  <c r="L39" i="12"/>
  <c r="R34" i="12"/>
  <c r="Q24" i="12"/>
  <c r="J27" i="12"/>
  <c r="T6" i="12"/>
  <c r="Q80" i="12"/>
  <c r="N23" i="12"/>
  <c r="G279" i="12"/>
  <c r="I16" i="12"/>
  <c r="G298" i="12"/>
  <c r="N294" i="12"/>
  <c r="R135" i="12"/>
  <c r="Q234" i="12"/>
  <c r="R88" i="12"/>
  <c r="G100" i="12"/>
  <c r="K82" i="12"/>
  <c r="T93" i="12"/>
  <c r="I64" i="12"/>
  <c r="X724" i="12"/>
  <c r="O194" i="12"/>
  <c r="J60" i="12"/>
  <c r="I48" i="12"/>
  <c r="R35" i="12"/>
  <c r="S52" i="12"/>
  <c r="M67" i="12"/>
  <c r="P84" i="12"/>
  <c r="N110" i="12"/>
  <c r="L177" i="12"/>
  <c r="I101" i="12"/>
  <c r="L326" i="12"/>
  <c r="S326" i="12"/>
  <c r="N340" i="12"/>
  <c r="R173" i="12"/>
  <c r="S296" i="12"/>
  <c r="Q135" i="12"/>
  <c r="L233" i="12"/>
  <c r="N22" i="12"/>
  <c r="K171" i="12"/>
  <c r="M319" i="12"/>
  <c r="I319" i="12"/>
  <c r="Q202" i="12"/>
  <c r="S135" i="12"/>
  <c r="F135" i="12"/>
  <c r="U215" i="2"/>
  <c r="L230" i="12"/>
  <c r="M77" i="12"/>
  <c r="P63" i="12"/>
  <c r="J79" i="12"/>
  <c r="G165" i="12"/>
  <c r="G195" i="12"/>
  <c r="O35" i="12"/>
  <c r="R29" i="12"/>
  <c r="I67" i="12"/>
  <c r="O15" i="12"/>
  <c r="L142" i="12"/>
  <c r="J11" i="12"/>
  <c r="I3" i="12"/>
  <c r="F22" i="12"/>
  <c r="K14" i="3"/>
  <c r="U6" i="2"/>
  <c r="M130" i="3" s="1"/>
  <c r="F35" i="12"/>
  <c r="T112" i="12"/>
  <c r="K32" i="12"/>
  <c r="T96" i="12"/>
  <c r="G141" i="12"/>
  <c r="R3" i="12"/>
  <c r="K18" i="12"/>
  <c r="N43" i="12"/>
  <c r="P47" i="12"/>
  <c r="T480" i="12"/>
  <c r="N163" i="12"/>
  <c r="O505" i="12"/>
  <c r="J485" i="12"/>
  <c r="O503" i="12"/>
  <c r="R499" i="12"/>
  <c r="M479" i="12"/>
  <c r="G543" i="12"/>
  <c r="F509" i="12"/>
  <c r="U390" i="2"/>
  <c r="P510" i="12"/>
  <c r="T203" i="12"/>
  <c r="T306" i="12"/>
  <c r="F418" i="12"/>
  <c r="U329" i="2"/>
  <c r="T277" i="12"/>
  <c r="G409" i="12"/>
  <c r="P403" i="12"/>
  <c r="J209" i="12"/>
  <c r="J382" i="12"/>
  <c r="J171" i="12"/>
  <c r="J359" i="12"/>
  <c r="G357" i="12"/>
  <c r="P404" i="12"/>
  <c r="J568" i="12"/>
  <c r="O580" i="12"/>
  <c r="O267" i="12"/>
  <c r="K578" i="12"/>
  <c r="M562" i="12"/>
  <c r="J479" i="12"/>
  <c r="T226" i="12"/>
  <c r="K461" i="12"/>
  <c r="F409" i="12"/>
  <c r="U334" i="2"/>
  <c r="S463" i="12"/>
  <c r="P332" i="12"/>
  <c r="P149" i="12"/>
  <c r="R206" i="12"/>
  <c r="F241" i="12"/>
  <c r="U198" i="2"/>
  <c r="S359" i="12"/>
  <c r="G200" i="12"/>
  <c r="F106" i="12"/>
  <c r="U191" i="2"/>
  <c r="Q328" i="12"/>
  <c r="Q592" i="12"/>
  <c r="F586" i="12"/>
  <c r="U491" i="2"/>
  <c r="L586" i="12"/>
  <c r="I505" i="12"/>
  <c r="G604" i="12"/>
  <c r="S565" i="12"/>
  <c r="Q590" i="12"/>
  <c r="I449" i="12"/>
  <c r="I556" i="12"/>
  <c r="O308" i="12"/>
  <c r="I509" i="12"/>
  <c r="F261" i="12"/>
  <c r="U437" i="2"/>
  <c r="S507" i="12"/>
  <c r="I541" i="12"/>
  <c r="G235" i="12"/>
  <c r="S275" i="12"/>
  <c r="Q460" i="12"/>
  <c r="N441" i="12"/>
  <c r="R349" i="12"/>
  <c r="F224" i="12"/>
  <c r="K468" i="12"/>
  <c r="G183" i="12"/>
  <c r="Q457" i="12"/>
  <c r="F272" i="12"/>
  <c r="U362" i="2"/>
  <c r="R171" i="12"/>
  <c r="N204" i="12"/>
  <c r="M629" i="12"/>
  <c r="J629" i="12"/>
  <c r="K300" i="12"/>
  <c r="P245" i="12"/>
  <c r="Q341" i="12"/>
  <c r="L145" i="12"/>
  <c r="P494" i="12"/>
  <c r="J478" i="12"/>
  <c r="S562" i="12"/>
  <c r="J496" i="12"/>
  <c r="T440" i="12"/>
  <c r="M216" i="12"/>
  <c r="I213" i="12"/>
  <c r="G191" i="12"/>
  <c r="Q167" i="12"/>
  <c r="G94" i="12"/>
  <c r="O383" i="12"/>
  <c r="K237" i="12"/>
  <c r="Q171" i="12"/>
  <c r="P221" i="12"/>
  <c r="N152" i="12"/>
  <c r="N357" i="12"/>
  <c r="AB677" i="12"/>
  <c r="M577" i="12"/>
  <c r="I592" i="12"/>
  <c r="S580" i="12"/>
  <c r="F260" i="12"/>
  <c r="U477" i="2"/>
  <c r="N327" i="12"/>
  <c r="Q513" i="12"/>
  <c r="L428" i="12"/>
  <c r="J265" i="12"/>
  <c r="Q227" i="12"/>
  <c r="J243" i="12"/>
  <c r="R473" i="12"/>
  <c r="S502" i="12"/>
  <c r="Z664" i="12"/>
  <c r="P161" i="12"/>
  <c r="L441" i="12"/>
  <c r="L249" i="12"/>
  <c r="P463" i="12"/>
  <c r="M139" i="12"/>
  <c r="S468" i="12"/>
  <c r="L105" i="12"/>
  <c r="P171" i="12"/>
  <c r="T108" i="12"/>
  <c r="T166" i="12"/>
  <c r="N328" i="12"/>
  <c r="R525" i="12"/>
  <c r="O576" i="12"/>
  <c r="M327" i="12"/>
  <c r="S533" i="12"/>
  <c r="N109" i="12"/>
  <c r="G556" i="12"/>
  <c r="K219" i="12"/>
  <c r="O509" i="12"/>
  <c r="P502" i="12"/>
  <c r="T541" i="12"/>
  <c r="K235" i="12"/>
  <c r="O197" i="12"/>
  <c r="N231" i="12"/>
  <c r="O257" i="12"/>
  <c r="M215" i="12"/>
  <c r="J402" i="12"/>
  <c r="T458" i="12"/>
  <c r="O209" i="12"/>
  <c r="L241" i="12"/>
  <c r="K159" i="12"/>
  <c r="P393" i="12"/>
  <c r="F550" i="12"/>
  <c r="AB662" i="12"/>
  <c r="Q601" i="12"/>
  <c r="N338" i="12"/>
  <c r="G535" i="12"/>
  <c r="M535" i="12"/>
  <c r="L529" i="12"/>
  <c r="I270" i="12"/>
  <c r="Q514" i="12"/>
  <c r="Q267" i="12"/>
  <c r="P273" i="12"/>
  <c r="R321" i="12"/>
  <c r="T217" i="12"/>
  <c r="N509" i="12"/>
  <c r="F491" i="12"/>
  <c r="U414" i="2"/>
  <c r="N228" i="12"/>
  <c r="O461" i="12"/>
  <c r="L368" i="12"/>
  <c r="L224" i="12"/>
  <c r="L383" i="12"/>
  <c r="T144" i="12"/>
  <c r="R237" i="12"/>
  <c r="T159" i="12"/>
  <c r="J299" i="12"/>
  <c r="L619" i="12"/>
  <c r="R436" i="12"/>
  <c r="J561" i="12"/>
  <c r="S273" i="12"/>
  <c r="G243" i="12"/>
  <c r="Q217" i="12"/>
  <c r="R582" i="12"/>
  <c r="I528" i="12"/>
  <c r="S366" i="12"/>
  <c r="I501" i="12"/>
  <c r="N579" i="12"/>
  <c r="M449" i="12"/>
  <c r="M238" i="12"/>
  <c r="T597" i="12"/>
  <c r="N591" i="12"/>
  <c r="F574" i="12"/>
  <c r="L229" i="12"/>
  <c r="T220" i="12"/>
  <c r="J109" i="12"/>
  <c r="M473" i="12"/>
  <c r="P571" i="12"/>
  <c r="G509" i="12"/>
  <c r="R203" i="12"/>
  <c r="K216" i="12"/>
  <c r="Q207" i="12"/>
  <c r="I460" i="12"/>
  <c r="J464" i="12"/>
  <c r="T198" i="12"/>
  <c r="I167" i="12"/>
  <c r="T224" i="12"/>
  <c r="O170" i="12"/>
  <c r="J183" i="12"/>
  <c r="N193" i="12"/>
  <c r="M193" i="12"/>
  <c r="P170" i="12"/>
  <c r="R189" i="12"/>
  <c r="O181" i="12"/>
  <c r="I148" i="12"/>
  <c r="K315" i="12"/>
  <c r="I298" i="12"/>
  <c r="T204" i="12"/>
  <c r="S125" i="12"/>
  <c r="O152" i="12"/>
  <c r="F150" i="12"/>
  <c r="U271" i="2"/>
  <c r="Q122" i="12"/>
  <c r="S259" i="12"/>
  <c r="AA663" i="12"/>
  <c r="T266" i="12"/>
  <c r="AB717" i="12"/>
  <c r="M182" i="12"/>
  <c r="G155" i="12"/>
  <c r="N102" i="12"/>
  <c r="N473" i="12"/>
  <c r="F481" i="12"/>
  <c r="M235" i="12"/>
  <c r="P455" i="12"/>
  <c r="L455" i="12"/>
  <c r="T94" i="12"/>
  <c r="Q179" i="12"/>
  <c r="K206" i="12"/>
  <c r="R105" i="12"/>
  <c r="Q309" i="12"/>
  <c r="R159" i="12"/>
  <c r="K324" i="12"/>
  <c r="I408" i="12"/>
  <c r="T274" i="12"/>
  <c r="P119" i="12"/>
  <c r="K160" i="12"/>
  <c r="I357" i="12"/>
  <c r="O122" i="12"/>
  <c r="R115" i="12"/>
  <c r="G123" i="12"/>
  <c r="F233" i="12"/>
  <c r="U160" i="2"/>
  <c r="M277" i="3" s="1"/>
  <c r="G114" i="12"/>
  <c r="R116" i="12"/>
  <c r="L182" i="12"/>
  <c r="P95" i="12"/>
  <c r="R69" i="12"/>
  <c r="M71" i="12"/>
  <c r="L134" i="12"/>
  <c r="K244" i="12"/>
  <c r="F208" i="12"/>
  <c r="F192" i="12"/>
  <c r="K236" i="12"/>
  <c r="M405" i="12"/>
  <c r="L457" i="12"/>
  <c r="Q105" i="12"/>
  <c r="K301" i="12"/>
  <c r="L156" i="12"/>
  <c r="K374" i="12"/>
  <c r="K310" i="12"/>
  <c r="K340" i="12"/>
  <c r="K121" i="12"/>
  <c r="I322" i="12"/>
  <c r="T176" i="12"/>
  <c r="R168" i="12"/>
  <c r="T129" i="12"/>
  <c r="G140" i="12"/>
  <c r="T87" i="12"/>
  <c r="Q233" i="12"/>
  <c r="J228" i="12"/>
  <c r="S192" i="12"/>
  <c r="G249" i="12"/>
  <c r="O214" i="12"/>
  <c r="N312" i="12"/>
  <c r="K156" i="12"/>
  <c r="J297" i="12"/>
  <c r="P125" i="12"/>
  <c r="S131" i="12"/>
  <c r="F322" i="12"/>
  <c r="U206" i="2"/>
  <c r="Q176" i="12"/>
  <c r="N150" i="12"/>
  <c r="I168" i="12"/>
  <c r="T140" i="12"/>
  <c r="L115" i="12"/>
  <c r="Q114" i="12"/>
  <c r="T116" i="12"/>
  <c r="J182" i="12"/>
  <c r="K196" i="12"/>
  <c r="T210" i="12"/>
  <c r="T139" i="12"/>
  <c r="F405" i="12"/>
  <c r="U344" i="2"/>
  <c r="N214" i="12"/>
  <c r="AB668" i="12"/>
  <c r="G237" i="12"/>
  <c r="F374" i="12"/>
  <c r="U306" i="2"/>
  <c r="M249" i="3" s="1"/>
  <c r="N356" i="12"/>
  <c r="Q340" i="12"/>
  <c r="L344" i="12"/>
  <c r="Q160" i="12"/>
  <c r="S323" i="12"/>
  <c r="L263" i="12"/>
  <c r="Q140" i="12"/>
  <c r="F124" i="12"/>
  <c r="U197" i="2"/>
  <c r="M156" i="3" s="1"/>
  <c r="I114" i="12"/>
  <c r="I103" i="12"/>
  <c r="Q75" i="12"/>
  <c r="L95" i="12"/>
  <c r="N196" i="12"/>
  <c r="J486" i="12"/>
  <c r="F488" i="12"/>
  <c r="F210" i="12"/>
  <c r="J493" i="12"/>
  <c r="T413" i="12"/>
  <c r="G151" i="12"/>
  <c r="Z705" i="12"/>
  <c r="T394" i="12"/>
  <c r="Q153" i="12"/>
  <c r="F137" i="12"/>
  <c r="S181" i="12"/>
  <c r="F156" i="12"/>
  <c r="U223" i="2"/>
  <c r="N148" i="12"/>
  <c r="N125" i="12"/>
  <c r="R322" i="12"/>
  <c r="M176" i="12"/>
  <c r="M129" i="12"/>
  <c r="S140" i="12"/>
  <c r="N115" i="12"/>
  <c r="P133" i="12"/>
  <c r="R239" i="12"/>
  <c r="L91" i="12"/>
  <c r="J86" i="12"/>
  <c r="N440" i="12"/>
  <c r="S445" i="12"/>
  <c r="O190" i="12"/>
  <c r="R214" i="12"/>
  <c r="K383" i="12"/>
  <c r="T252" i="12"/>
  <c r="I272" i="12"/>
  <c r="G415" i="12"/>
  <c r="Q324" i="12"/>
  <c r="R120" i="12"/>
  <c r="O121" i="12"/>
  <c r="S322" i="12"/>
  <c r="F316" i="12"/>
  <c r="I150" i="12"/>
  <c r="N168" i="12"/>
  <c r="T90" i="12"/>
  <c r="J284" i="12"/>
  <c r="T136" i="12"/>
  <c r="Q239" i="12"/>
  <c r="S103" i="12"/>
  <c r="N75" i="12"/>
  <c r="R522" i="12"/>
  <c r="N190" i="12"/>
  <c r="F312" i="12"/>
  <c r="U256" i="2"/>
  <c r="M189" i="3" s="1"/>
  <c r="O179" i="12"/>
  <c r="J490" i="12"/>
  <c r="X664" i="12"/>
  <c r="N511" i="12"/>
  <c r="L522" i="12"/>
  <c r="K476" i="12"/>
  <c r="N455" i="12"/>
  <c r="K190" i="12"/>
  <c r="Q170" i="12"/>
  <c r="M309" i="12"/>
  <c r="S180" i="12"/>
  <c r="O315" i="12"/>
  <c r="K356" i="12"/>
  <c r="R152" i="12"/>
  <c r="K357" i="12"/>
  <c r="R263" i="12"/>
  <c r="F122" i="12"/>
  <c r="U239" i="2"/>
  <c r="I259" i="12"/>
  <c r="K113" i="12"/>
  <c r="Q86" i="12"/>
  <c r="F59" i="12"/>
  <c r="U67" i="2"/>
  <c r="M94" i="3" s="1"/>
  <c r="F180" i="12"/>
  <c r="N310" i="12"/>
  <c r="O173" i="12"/>
  <c r="R269" i="12"/>
  <c r="K98" i="12"/>
  <c r="L114" i="12"/>
  <c r="G234" i="12"/>
  <c r="M103" i="12"/>
  <c r="P199" i="12"/>
  <c r="F186" i="12"/>
  <c r="U123" i="2"/>
  <c r="G102" i="12"/>
  <c r="O63" i="12"/>
  <c r="F157" i="12"/>
  <c r="U88" i="2"/>
  <c r="M248" i="3" s="1"/>
  <c r="M64" i="12"/>
  <c r="N45" i="12"/>
  <c r="R195" i="12"/>
  <c r="G60" i="12"/>
  <c r="L118" i="12"/>
  <c r="P20" i="12"/>
  <c r="Q14" i="12"/>
  <c r="P61" i="12"/>
  <c r="J49" i="12"/>
  <c r="N20" i="12"/>
  <c r="N61" i="12"/>
  <c r="S142" i="12"/>
  <c r="S7" i="12"/>
  <c r="F49" i="12"/>
  <c r="U12" i="2"/>
  <c r="M217" i="3" s="1"/>
  <c r="G84" i="12"/>
  <c r="G15" i="12"/>
  <c r="K4" i="12"/>
  <c r="F165" i="12"/>
  <c r="M50" i="12"/>
  <c r="I317" i="12"/>
  <c r="R59" i="12"/>
  <c r="N24" i="12"/>
  <c r="R172" i="12"/>
  <c r="M310" i="12"/>
  <c r="G150" i="12"/>
  <c r="Z726" i="12"/>
  <c r="U159" i="2"/>
  <c r="M298" i="3" s="1"/>
  <c r="R169" i="12"/>
  <c r="G146" i="12"/>
  <c r="I71" i="12"/>
  <c r="Q33" i="12"/>
  <c r="F46" i="12"/>
  <c r="U44" i="2"/>
  <c r="M292" i="3" s="1"/>
  <c r="R78" i="12"/>
  <c r="N177" i="12"/>
  <c r="K127" i="12"/>
  <c r="Q101" i="12"/>
  <c r="K36" i="12"/>
  <c r="I49" i="12"/>
  <c r="J24" i="12"/>
  <c r="F10" i="12"/>
  <c r="U14" i="2"/>
  <c r="M326" i="3" s="1"/>
  <c r="R50" i="12"/>
  <c r="J5" i="12"/>
  <c r="I9" i="12"/>
  <c r="M107" i="12"/>
  <c r="S36" i="12"/>
  <c r="M17" i="12"/>
  <c r="O237" i="12"/>
  <c r="F356" i="12"/>
  <c r="S279" i="12"/>
  <c r="Q199" i="12"/>
  <c r="AA710" i="12"/>
  <c r="K157" i="12"/>
  <c r="S65" i="12"/>
  <c r="L45" i="12"/>
  <c r="L41" i="12"/>
  <c r="L195" i="12"/>
  <c r="P19" i="12"/>
  <c r="J34" i="12"/>
  <c r="L29" i="12"/>
  <c r="I22" i="12"/>
  <c r="N14" i="3"/>
  <c r="X701" i="12"/>
  <c r="M113" i="12"/>
  <c r="O64" i="12"/>
  <c r="G27" i="12"/>
  <c r="J375" i="12"/>
  <c r="G256" i="12"/>
  <c r="AL95" i="2"/>
  <c r="K113" i="3" s="1"/>
  <c r="T58" i="12"/>
  <c r="X721" i="12"/>
  <c r="G31" i="12"/>
  <c r="I55" i="12"/>
  <c r="Q164" i="12"/>
  <c r="K51" i="12"/>
  <c r="L165" i="12"/>
  <c r="N39" i="12"/>
  <c r="I26" i="12"/>
  <c r="K154" i="12"/>
  <c r="S28" i="12"/>
  <c r="F38" i="12"/>
  <c r="R9" i="12"/>
  <c r="S165" i="12"/>
  <c r="R27" i="12"/>
  <c r="AB707" i="12"/>
  <c r="P168" i="12"/>
  <c r="G136" i="12"/>
  <c r="K184" i="12"/>
  <c r="F71" i="12"/>
  <c r="I93" i="12"/>
  <c r="K117" i="12"/>
  <c r="R21" i="12"/>
  <c r="M39" i="12"/>
  <c r="I35" i="12"/>
  <c r="O37" i="12"/>
  <c r="J154" i="12"/>
  <c r="K67" i="12"/>
  <c r="AA701" i="12"/>
  <c r="O2" i="12"/>
  <c r="T2" i="3"/>
  <c r="P66" i="12"/>
  <c r="R118" i="12"/>
  <c r="J31" i="12"/>
  <c r="M194" i="12"/>
  <c r="G126" i="12"/>
  <c r="F112" i="12"/>
  <c r="M83" i="12"/>
  <c r="F83" i="12"/>
  <c r="U138" i="2"/>
  <c r="M241" i="3" s="1"/>
  <c r="T155" i="12"/>
  <c r="I73" i="12"/>
  <c r="J66" i="12"/>
  <c r="Q55" i="12"/>
  <c r="F134" i="12"/>
  <c r="G32" i="12"/>
  <c r="R194" i="12"/>
  <c r="Q21" i="12"/>
  <c r="Q48" i="12"/>
  <c r="G34" i="12"/>
  <c r="N37" i="12"/>
  <c r="J20" i="12"/>
  <c r="F24" i="12"/>
  <c r="U28" i="2"/>
  <c r="M293" i="3" s="1"/>
  <c r="O21" i="12"/>
  <c r="F99" i="12"/>
  <c r="AA699" i="12"/>
  <c r="S4" i="12"/>
  <c r="M121" i="12"/>
  <c r="AA671" i="12"/>
  <c r="R657" i="12"/>
  <c r="P239" i="12"/>
  <c r="O116" i="12"/>
  <c r="R100" i="12"/>
  <c r="N46" i="12"/>
  <c r="S64" i="12"/>
  <c r="L130" i="12"/>
  <c r="F194" i="12"/>
  <c r="U83" i="2"/>
  <c r="M46" i="3" s="1"/>
  <c r="P54" i="12"/>
  <c r="S48" i="12"/>
  <c r="G35" i="12"/>
  <c r="M37" i="12"/>
  <c r="S53" i="12"/>
  <c r="S9" i="12"/>
  <c r="O62" i="12"/>
  <c r="F28" i="12"/>
  <c r="P15" i="12"/>
  <c r="M326" i="12"/>
  <c r="J326" i="12"/>
  <c r="S119" i="12"/>
  <c r="M294" i="12"/>
  <c r="G296" i="12"/>
  <c r="G91" i="12"/>
  <c r="O169" i="12"/>
  <c r="I146" i="12"/>
  <c r="N319" i="12"/>
  <c r="S319" i="12"/>
  <c r="G135" i="12"/>
  <c r="P135" i="12"/>
  <c r="Q91" i="12"/>
  <c r="L75" i="12"/>
  <c r="J72" i="12"/>
  <c r="T79" i="12"/>
  <c r="Q165" i="12"/>
  <c r="P38" i="12"/>
  <c r="M35" i="12"/>
  <c r="G29" i="12"/>
  <c r="S101" i="12"/>
  <c r="R15" i="12"/>
  <c r="I96" i="12"/>
  <c r="O43" i="12"/>
  <c r="O13" i="12"/>
  <c r="T2" i="12"/>
  <c r="Y2" i="3"/>
  <c r="L6" i="12"/>
  <c r="R5" i="12"/>
  <c r="J6" i="12"/>
  <c r="N52" i="12"/>
  <c r="M75" i="12"/>
  <c r="K56" i="12"/>
  <c r="M22" i="12"/>
  <c r="P12" i="12"/>
  <c r="S11" i="12"/>
  <c r="G42" i="12"/>
  <c r="T67" i="12"/>
  <c r="T157" i="12"/>
  <c r="F275" i="12"/>
  <c r="U431" i="2"/>
  <c r="J460" i="12"/>
  <c r="S197" i="12"/>
  <c r="G349" i="12"/>
  <c r="G457" i="12"/>
  <c r="Q206" i="12"/>
  <c r="N105" i="12"/>
  <c r="O375" i="12"/>
  <c r="N128" i="12"/>
  <c r="N274" i="12"/>
  <c r="N629" i="12"/>
  <c r="T629" i="12"/>
  <c r="R245" i="12"/>
  <c r="J218" i="12"/>
  <c r="T496" i="12"/>
  <c r="L440" i="12"/>
  <c r="N203" i="12"/>
  <c r="F389" i="12"/>
  <c r="M210" i="12"/>
  <c r="O139" i="12"/>
  <c r="O188" i="12"/>
  <c r="G171" i="12"/>
  <c r="F221" i="12"/>
  <c r="U331" i="2"/>
  <c r="K166" i="12"/>
  <c r="AQ190" i="2"/>
  <c r="AR190" i="2"/>
  <c r="T601" i="12"/>
  <c r="J592" i="12"/>
  <c r="I580" i="12"/>
  <c r="Q260" i="12"/>
  <c r="R513" i="12"/>
  <c r="L265" i="12"/>
  <c r="T265" i="12"/>
  <c r="R504" i="12"/>
  <c r="I227" i="12"/>
  <c r="R562" i="12"/>
  <c r="J473" i="12"/>
  <c r="L571" i="12"/>
  <c r="R201" i="12"/>
  <c r="AA664" i="12"/>
  <c r="I161" i="12"/>
  <c r="N167" i="12"/>
  <c r="I468" i="12"/>
  <c r="L187" i="12"/>
  <c r="P209" i="12"/>
  <c r="F171" i="12"/>
  <c r="U278" i="2"/>
  <c r="L128" i="12"/>
  <c r="J108" i="12"/>
  <c r="J166" i="12"/>
  <c r="F246" i="12"/>
  <c r="K428" i="12"/>
  <c r="Q556" i="12"/>
  <c r="N308" i="12"/>
  <c r="P440" i="12"/>
  <c r="K203" i="12"/>
  <c r="J488" i="12"/>
  <c r="J216" i="12"/>
  <c r="L235" i="12"/>
  <c r="P275" i="12"/>
  <c r="G197" i="12"/>
  <c r="O231" i="12"/>
  <c r="L257" i="12"/>
  <c r="N178" i="12"/>
  <c r="J458" i="12"/>
  <c r="L375" i="12"/>
  <c r="R614" i="12"/>
  <c r="K299" i="12"/>
  <c r="R601" i="12"/>
  <c r="O338" i="12"/>
  <c r="L535" i="12"/>
  <c r="S305" i="12"/>
  <c r="T341" i="12"/>
  <c r="F579" i="12"/>
  <c r="S270" i="12"/>
  <c r="J514" i="12"/>
  <c r="R267" i="12"/>
  <c r="J273" i="12"/>
  <c r="K562" i="12"/>
  <c r="L217" i="12"/>
  <c r="O440" i="12"/>
  <c r="P491" i="12"/>
  <c r="K306" i="12"/>
  <c r="F461" i="12"/>
  <c r="U379" i="2"/>
  <c r="G210" i="12"/>
  <c r="O191" i="12"/>
  <c r="J403" i="12"/>
  <c r="K139" i="12"/>
  <c r="Q468" i="12"/>
  <c r="M183" i="12"/>
  <c r="J144" i="12"/>
  <c r="S172" i="12"/>
  <c r="M276" i="12"/>
  <c r="J159" i="12"/>
  <c r="L278" i="12"/>
  <c r="K281" i="12"/>
  <c r="T556" i="12"/>
  <c r="N578" i="12"/>
  <c r="J562" i="12"/>
  <c r="S524" i="12"/>
  <c r="K609" i="12"/>
  <c r="N582" i="12"/>
  <c r="G574" i="12"/>
  <c r="I366" i="12"/>
  <c r="G314" i="12"/>
  <c r="I561" i="12"/>
  <c r="G238" i="12"/>
  <c r="N597" i="12"/>
  <c r="K330" i="12"/>
  <c r="O567" i="12"/>
  <c r="M229" i="12"/>
  <c r="F229" i="12"/>
  <c r="U393" i="2"/>
  <c r="M324" i="3" s="1"/>
  <c r="M494" i="12"/>
  <c r="R570" i="12"/>
  <c r="T109" i="12"/>
  <c r="N227" i="12"/>
  <c r="N479" i="12"/>
  <c r="R571" i="12"/>
  <c r="O250" i="12"/>
  <c r="N207" i="12"/>
  <c r="R277" i="12"/>
  <c r="N213" i="12"/>
  <c r="R441" i="12"/>
  <c r="Q403" i="12"/>
  <c r="I224" i="12"/>
  <c r="K484" i="12"/>
  <c r="F193" i="12"/>
  <c r="U382" i="2"/>
  <c r="K193" i="12"/>
  <c r="N170" i="12"/>
  <c r="L206" i="12"/>
  <c r="F301" i="12"/>
  <c r="U243" i="2"/>
  <c r="S148" i="12"/>
  <c r="S298" i="12"/>
  <c r="P204" i="12"/>
  <c r="J125" i="12"/>
  <c r="P150" i="12"/>
  <c r="L110" i="12"/>
  <c r="S123" i="12"/>
  <c r="O112" i="12"/>
  <c r="G116" i="12"/>
  <c r="J75" i="12"/>
  <c r="Q155" i="12"/>
  <c r="O102" i="12"/>
  <c r="M507" i="12"/>
  <c r="F455" i="12"/>
  <c r="U336" i="2"/>
  <c r="N191" i="12"/>
  <c r="N405" i="12"/>
  <c r="R179" i="12"/>
  <c r="AL135" i="2"/>
  <c r="K26" i="3" s="1"/>
  <c r="R309" i="12"/>
  <c r="M200" i="12"/>
  <c r="S408" i="12"/>
  <c r="P274" i="12"/>
  <c r="R166" i="12"/>
  <c r="K119" i="12"/>
  <c r="N92" i="12"/>
  <c r="T657" i="12"/>
  <c r="K90" i="12"/>
  <c r="I240" i="12"/>
  <c r="F115" i="12"/>
  <c r="U170" i="2"/>
  <c r="M150" i="3" s="1"/>
  <c r="Q123" i="12"/>
  <c r="O76" i="12"/>
  <c r="N113" i="12"/>
  <c r="F116" i="12"/>
  <c r="U162" i="2"/>
  <c r="G69" i="12"/>
  <c r="M102" i="12"/>
  <c r="M72" i="12"/>
  <c r="M21" i="12"/>
  <c r="P490" i="12"/>
  <c r="M244" i="12"/>
  <c r="O502" i="12"/>
  <c r="Q493" i="12"/>
  <c r="L236" i="12"/>
  <c r="Q402" i="12"/>
  <c r="T209" i="12"/>
  <c r="R241" i="12"/>
  <c r="L221" i="12"/>
  <c r="L301" i="12"/>
  <c r="Q298" i="12"/>
  <c r="Q125" i="12"/>
  <c r="P132" i="12"/>
  <c r="F158" i="12"/>
  <c r="U269" i="2"/>
  <c r="K129" i="12"/>
  <c r="N266" i="12"/>
  <c r="S124" i="12"/>
  <c r="K228" i="12"/>
  <c r="P493" i="12"/>
  <c r="F153" i="12"/>
  <c r="U298" i="2"/>
  <c r="T297" i="12"/>
  <c r="I202" i="12"/>
  <c r="G162" i="12"/>
  <c r="T357" i="12"/>
  <c r="S168" i="12"/>
  <c r="F140" i="12"/>
  <c r="U194" i="2"/>
  <c r="M38" i="3" s="1"/>
  <c r="K136" i="12"/>
  <c r="N279" i="12"/>
  <c r="Q230" i="12"/>
  <c r="Z673" i="12"/>
  <c r="L88" i="12"/>
  <c r="P405" i="12"/>
  <c r="P468" i="12"/>
  <c r="AQ143" i="2"/>
  <c r="P316" i="3" s="1"/>
  <c r="AR143" i="2"/>
  <c r="Q316" i="3" s="1"/>
  <c r="M312" i="12"/>
  <c r="J276" i="12"/>
  <c r="P374" i="12"/>
  <c r="O166" i="12"/>
  <c r="R340" i="12"/>
  <c r="M344" i="12"/>
  <c r="I160" i="12"/>
  <c r="K323" i="12"/>
  <c r="P124" i="12"/>
  <c r="N98" i="12"/>
  <c r="S114" i="12"/>
  <c r="R77" i="12"/>
  <c r="L44" i="12"/>
  <c r="Q250" i="12"/>
  <c r="P192" i="12"/>
  <c r="L493" i="12"/>
  <c r="I349" i="12"/>
  <c r="Q151" i="12"/>
  <c r="G144" i="12"/>
  <c r="K394" i="12"/>
  <c r="R153" i="12"/>
  <c r="I159" i="12"/>
  <c r="J181" i="12"/>
  <c r="P156" i="12"/>
  <c r="O108" i="12"/>
  <c r="N298" i="12"/>
  <c r="J322" i="12"/>
  <c r="O158" i="12"/>
  <c r="I263" i="12"/>
  <c r="T269" i="12"/>
  <c r="I133" i="12"/>
  <c r="G239" i="12"/>
  <c r="T182" i="12"/>
  <c r="R250" i="12"/>
  <c r="J445" i="12"/>
  <c r="I214" i="12"/>
  <c r="M252" i="12"/>
  <c r="K252" i="12"/>
  <c r="M382" i="12"/>
  <c r="K656" i="12"/>
  <c r="I120" i="12"/>
  <c r="O185" i="12"/>
  <c r="M125" i="12"/>
  <c r="T162" i="12"/>
  <c r="K104" i="12"/>
  <c r="O357" i="12"/>
  <c r="Q143" i="12"/>
  <c r="F239" i="12"/>
  <c r="I112" i="12"/>
  <c r="G103" i="12"/>
  <c r="J44" i="12"/>
  <c r="N490" i="12"/>
  <c r="L460" i="12"/>
  <c r="P312" i="12"/>
  <c r="K490" i="12"/>
  <c r="M275" i="12"/>
  <c r="R524" i="12"/>
  <c r="M522" i="12"/>
  <c r="M476" i="12"/>
  <c r="K167" i="12"/>
  <c r="L190" i="12"/>
  <c r="G402" i="12"/>
  <c r="S147" i="12"/>
  <c r="Q415" i="12"/>
  <c r="J180" i="12"/>
  <c r="G274" i="12"/>
  <c r="L356" i="12"/>
  <c r="F328" i="12"/>
  <c r="U272" i="2"/>
  <c r="S92" i="12"/>
  <c r="J263" i="12"/>
  <c r="I657" i="12"/>
  <c r="S284" i="12"/>
  <c r="G98" i="12"/>
  <c r="P112" i="12"/>
  <c r="L113" i="12"/>
  <c r="F86" i="12"/>
  <c r="P59" i="12"/>
  <c r="J128" i="12"/>
  <c r="I173" i="12"/>
  <c r="K240" i="12"/>
  <c r="O233" i="12"/>
  <c r="J234" i="12"/>
  <c r="T111" i="12"/>
  <c r="Q186" i="12"/>
  <c r="L59" i="12"/>
  <c r="Q82" i="12"/>
  <c r="R130" i="12"/>
  <c r="F195" i="12"/>
  <c r="U72" i="2"/>
  <c r="M276" i="3" s="1"/>
  <c r="Q60" i="12"/>
  <c r="N35" i="12"/>
  <c r="L127" i="12"/>
  <c r="F14" i="12"/>
  <c r="U30" i="2"/>
  <c r="M209" i="3" s="1"/>
  <c r="L99" i="12"/>
  <c r="R28" i="12"/>
  <c r="P17" i="12"/>
  <c r="S59" i="12"/>
  <c r="N21" i="12"/>
  <c r="G43" i="12"/>
  <c r="J317" i="12"/>
  <c r="L46" i="12"/>
  <c r="S14" i="12"/>
  <c r="G125" i="12"/>
  <c r="S263" i="12"/>
  <c r="AA726" i="12"/>
  <c r="F114" i="12"/>
  <c r="R182" i="12"/>
  <c r="G169" i="12"/>
  <c r="F95" i="12"/>
  <c r="R146" i="12"/>
  <c r="G62" i="12"/>
  <c r="O78" i="12"/>
  <c r="S164" i="12"/>
  <c r="M32" i="12"/>
  <c r="N38" i="12"/>
  <c r="K48" i="12"/>
  <c r="Z728" i="12"/>
  <c r="F101" i="12"/>
  <c r="U34" i="2"/>
  <c r="M72" i="3" s="1"/>
  <c r="AQ69" i="2"/>
  <c r="P315" i="3" s="1"/>
  <c r="AR69" i="2"/>
  <c r="Q315" i="3" s="1"/>
  <c r="Q96" i="12"/>
  <c r="T22" i="12"/>
  <c r="Y14" i="3"/>
  <c r="P4" i="12"/>
  <c r="R18" i="12"/>
  <c r="F50" i="12"/>
  <c r="U21" i="2"/>
  <c r="M275" i="3" s="1"/>
  <c r="R36" i="12"/>
  <c r="N10" i="12"/>
  <c r="F7" i="12"/>
  <c r="U11" i="2"/>
  <c r="M300" i="3" s="1"/>
  <c r="I195" i="12"/>
  <c r="N17" i="12"/>
  <c r="K40" i="12"/>
  <c r="O84" i="12"/>
  <c r="O137" i="12"/>
  <c r="F92" i="12"/>
  <c r="F113" i="12"/>
  <c r="L111" i="12"/>
  <c r="F69" i="12"/>
  <c r="U78" i="2"/>
  <c r="M330" i="3" s="1"/>
  <c r="J55" i="12"/>
  <c r="L157" i="12"/>
  <c r="F47" i="12"/>
  <c r="U94" i="2"/>
  <c r="M99" i="3" s="1"/>
  <c r="P130" i="12"/>
  <c r="M41" i="12"/>
  <c r="K38" i="12"/>
  <c r="J19" i="12"/>
  <c r="M9" i="12"/>
  <c r="T7" i="12"/>
  <c r="S23" i="12"/>
  <c r="O3" i="12"/>
  <c r="F17" i="12"/>
  <c r="U26" i="2"/>
  <c r="M31" i="3" s="1"/>
  <c r="G28" i="12"/>
  <c r="O17" i="12"/>
  <c r="N88" i="12"/>
  <c r="P32" i="12"/>
  <c r="J328" i="12"/>
  <c r="I58" i="12"/>
  <c r="M89" i="12"/>
  <c r="R31" i="12"/>
  <c r="J93" i="12"/>
  <c r="Q107" i="12"/>
  <c r="R40" i="12"/>
  <c r="T34" i="12"/>
  <c r="K53" i="12"/>
  <c r="P49" i="12"/>
  <c r="O142" i="12"/>
  <c r="L42" i="12"/>
  <c r="I60" i="12"/>
  <c r="M49" i="12"/>
  <c r="R272" i="12"/>
  <c r="AR150" i="2"/>
  <c r="AQ150" i="2"/>
  <c r="Q296" i="12"/>
  <c r="K87" i="12"/>
  <c r="O70" i="12"/>
  <c r="N44" i="12"/>
  <c r="O33" i="12"/>
  <c r="N65" i="12"/>
  <c r="P164" i="12"/>
  <c r="Q81" i="12"/>
  <c r="G21" i="12"/>
  <c r="R48" i="12"/>
  <c r="S26" i="12"/>
  <c r="J37" i="12"/>
  <c r="R23" i="12"/>
  <c r="I43" i="12"/>
  <c r="G82" i="12"/>
  <c r="L37" i="12"/>
  <c r="R8" i="12"/>
  <c r="L196" i="12"/>
  <c r="M171" i="12"/>
  <c r="F119" i="12"/>
  <c r="F136" i="12"/>
  <c r="R83" i="12"/>
  <c r="P83" i="12"/>
  <c r="U129" i="2"/>
  <c r="M17" i="3" s="1"/>
  <c r="S73" i="12"/>
  <c r="G66" i="12"/>
  <c r="L82" i="12"/>
  <c r="N72" i="12"/>
  <c r="O138" i="12"/>
  <c r="P68" i="12"/>
  <c r="N56" i="12"/>
  <c r="F21" i="12"/>
  <c r="T57" i="12"/>
  <c r="O18" i="12"/>
  <c r="K25" i="12"/>
  <c r="T8" i="12"/>
  <c r="R103" i="12"/>
  <c r="T119" i="12"/>
  <c r="R247" i="12"/>
  <c r="P317" i="12"/>
  <c r="N239" i="12"/>
  <c r="N77" i="12"/>
  <c r="P100" i="12"/>
  <c r="R42" i="12"/>
  <c r="G79" i="12"/>
  <c r="R32" i="12"/>
  <c r="P194" i="12"/>
  <c r="G54" i="12"/>
  <c r="J48" i="12"/>
  <c r="Q26" i="12"/>
  <c r="L30" i="12"/>
  <c r="G53" i="12"/>
  <c r="M46" i="12"/>
  <c r="R51" i="12"/>
  <c r="S12" i="12"/>
  <c r="M68" i="12"/>
  <c r="L50" i="12"/>
  <c r="N326" i="12"/>
  <c r="T326" i="12"/>
  <c r="N344" i="12"/>
  <c r="X717" i="12"/>
  <c r="J164" i="12"/>
  <c r="T319" i="12"/>
  <c r="T131" i="12"/>
  <c r="T135" i="12"/>
  <c r="R266" i="12"/>
  <c r="S112" i="12"/>
  <c r="I44" i="12"/>
  <c r="Q59" i="12"/>
  <c r="T78" i="12"/>
  <c r="O32" i="12"/>
  <c r="R165" i="12"/>
  <c r="L38" i="12"/>
  <c r="Q20" i="12"/>
  <c r="R14" i="12"/>
  <c r="M36" i="12"/>
  <c r="Q61" i="12"/>
  <c r="K49" i="12"/>
  <c r="J2" i="12"/>
  <c r="O2" i="3"/>
  <c r="P2" i="12"/>
  <c r="U2" i="3"/>
  <c r="N3" i="12"/>
  <c r="L4" i="12"/>
  <c r="K31" i="12"/>
  <c r="G57" i="12"/>
  <c r="Q38" i="12"/>
  <c r="Q16" i="12"/>
  <c r="J68" i="12"/>
  <c r="S317" i="12"/>
  <c r="I40" i="12"/>
  <c r="R10" i="12"/>
  <c r="L47" i="12"/>
  <c r="AB678" i="12"/>
  <c r="L7" i="12"/>
  <c r="S41" i="12"/>
  <c r="G78" i="12"/>
  <c r="I163" i="12"/>
  <c r="O631" i="12"/>
  <c r="K278" i="12"/>
  <c r="O485" i="12"/>
  <c r="K485" i="12"/>
  <c r="M227" i="12"/>
  <c r="I543" i="12"/>
  <c r="Q510" i="12"/>
  <c r="K207" i="12"/>
  <c r="J389" i="12"/>
  <c r="N192" i="12"/>
  <c r="J191" i="12"/>
  <c r="N412" i="12"/>
  <c r="G413" i="12"/>
  <c r="AA707" i="12"/>
  <c r="Q404" i="12"/>
  <c r="S245" i="12"/>
  <c r="F211" i="12"/>
  <c r="L578" i="12"/>
  <c r="K205" i="12"/>
  <c r="F562" i="12"/>
  <c r="U440" i="2"/>
  <c r="O524" i="12"/>
  <c r="Q442" i="12"/>
  <c r="K250" i="12"/>
  <c r="R306" i="12"/>
  <c r="L213" i="12"/>
  <c r="P441" i="12"/>
  <c r="I249" i="12"/>
  <c r="R167" i="12"/>
  <c r="G224" i="12"/>
  <c r="S94" i="12"/>
  <c r="Q383" i="12"/>
  <c r="Q188" i="12"/>
  <c r="I382" i="12"/>
  <c r="G189" i="12"/>
  <c r="O159" i="12"/>
  <c r="G174" i="12"/>
  <c r="N247" i="12"/>
  <c r="O645" i="12"/>
  <c r="K527" i="12"/>
  <c r="N254" i="12"/>
  <c r="R574" i="12"/>
  <c r="G586" i="12"/>
  <c r="L505" i="12"/>
  <c r="R604" i="12"/>
  <c r="L565" i="12"/>
  <c r="T565" i="12"/>
  <c r="N514" i="12"/>
  <c r="J449" i="12"/>
  <c r="L480" i="12"/>
  <c r="P308" i="12"/>
  <c r="S262" i="12"/>
  <c r="K509" i="12"/>
  <c r="J250" i="12"/>
  <c r="N208" i="12"/>
  <c r="Q226" i="12"/>
  <c r="T460" i="12"/>
  <c r="P409" i="12"/>
  <c r="R231" i="12"/>
  <c r="G206" i="12"/>
  <c r="L137" i="12"/>
  <c r="O106" i="12"/>
  <c r="O629" i="12"/>
  <c r="K629" i="12"/>
  <c r="I245" i="12"/>
  <c r="G245" i="12"/>
  <c r="L292" i="12"/>
  <c r="O436" i="12"/>
  <c r="R262" i="12"/>
  <c r="M440" i="12"/>
  <c r="R507" i="12"/>
  <c r="F201" i="12"/>
  <c r="U408" i="2"/>
  <c r="M531" i="12"/>
  <c r="Q161" i="12"/>
  <c r="R197" i="12"/>
  <c r="Q349" i="12"/>
  <c r="K412" i="12"/>
  <c r="N139" i="12"/>
  <c r="P183" i="12"/>
  <c r="O272" i="12"/>
  <c r="Q359" i="12"/>
  <c r="K108" i="12"/>
  <c r="L202" i="12"/>
  <c r="Q338" i="12"/>
  <c r="N592" i="12"/>
  <c r="T580" i="12"/>
  <c r="G260" i="12"/>
  <c r="I513" i="12"/>
  <c r="O265" i="12"/>
  <c r="K265" i="12"/>
  <c r="I478" i="12"/>
  <c r="S227" i="12"/>
  <c r="S530" i="12"/>
  <c r="T473" i="12"/>
  <c r="K488" i="12"/>
  <c r="K418" i="12"/>
  <c r="R368" i="12"/>
  <c r="S161" i="12"/>
  <c r="P197" i="12"/>
  <c r="I198" i="12"/>
  <c r="N215" i="12"/>
  <c r="T170" i="12"/>
  <c r="F209" i="12"/>
  <c r="U387" i="2"/>
  <c r="N656" i="12"/>
  <c r="T132" i="12"/>
  <c r="G253" i="12"/>
  <c r="P366" i="12"/>
  <c r="K556" i="12"/>
  <c r="S578" i="12"/>
  <c r="R496" i="12"/>
  <c r="Q228" i="12"/>
  <c r="N226" i="12"/>
  <c r="O235" i="12"/>
  <c r="K275" i="12"/>
  <c r="J210" i="12"/>
  <c r="Q197" i="12"/>
  <c r="N224" i="12"/>
  <c r="K439" i="12"/>
  <c r="O382" i="12"/>
  <c r="N276" i="12"/>
  <c r="M656" i="12"/>
  <c r="K654" i="12"/>
  <c r="R620" i="12"/>
  <c r="P601" i="12"/>
  <c r="I601" i="12"/>
  <c r="R338" i="12"/>
  <c r="N535" i="12"/>
  <c r="N223" i="12"/>
  <c r="I341" i="12"/>
  <c r="J575" i="12"/>
  <c r="J270" i="12"/>
  <c r="T514" i="12"/>
  <c r="I267" i="12"/>
  <c r="T478" i="12"/>
  <c r="J219" i="12"/>
  <c r="M217" i="12"/>
  <c r="I491" i="12"/>
  <c r="I216" i="12"/>
  <c r="P461" i="12"/>
  <c r="M460" i="12"/>
  <c r="M191" i="12"/>
  <c r="R412" i="12"/>
  <c r="K413" i="12"/>
  <c r="G468" i="12"/>
  <c r="I172" i="12"/>
  <c r="N171" i="12"/>
  <c r="P655" i="12"/>
  <c r="J232" i="12"/>
  <c r="G251" i="12"/>
  <c r="O530" i="12"/>
  <c r="J563" i="12"/>
  <c r="O655" i="12"/>
  <c r="G291" i="12"/>
  <c r="T366" i="12"/>
  <c r="M485" i="12"/>
  <c r="K515" i="12"/>
  <c r="Q238" i="12"/>
  <c r="Q582" i="12"/>
  <c r="Q229" i="12"/>
  <c r="P229" i="12"/>
  <c r="F314" i="12"/>
  <c r="Q579" i="12"/>
  <c r="M283" i="12"/>
  <c r="K109" i="12"/>
  <c r="I578" i="12"/>
  <c r="O217" i="12"/>
  <c r="I571" i="12"/>
  <c r="L228" i="12"/>
  <c r="J235" i="12"/>
  <c r="Q210" i="12"/>
  <c r="F441" i="12"/>
  <c r="K191" i="12"/>
  <c r="S139" i="12"/>
  <c r="P402" i="12"/>
  <c r="P458" i="12"/>
  <c r="P244" i="12"/>
  <c r="Q193" i="12"/>
  <c r="L349" i="12"/>
  <c r="I332" i="12"/>
  <c r="T382" i="12"/>
  <c r="P415" i="12"/>
  <c r="Q385" i="12"/>
  <c r="J148" i="12"/>
  <c r="K106" i="12"/>
  <c r="J298" i="12"/>
  <c r="N185" i="12"/>
  <c r="T125" i="12"/>
  <c r="J131" i="12"/>
  <c r="G104" i="12"/>
  <c r="T222" i="12"/>
  <c r="S115" i="12"/>
  <c r="K133" i="12"/>
  <c r="S233" i="12"/>
  <c r="J114" i="12"/>
  <c r="O103" i="12"/>
  <c r="K89" i="12"/>
  <c r="S199" i="12"/>
  <c r="S69" i="12"/>
  <c r="X678" i="12"/>
  <c r="AL82" i="2"/>
  <c r="K83" i="3" s="1"/>
  <c r="K86" i="3" s="1"/>
  <c r="G208" i="12"/>
  <c r="G531" i="12"/>
  <c r="Q455" i="12"/>
  <c r="K349" i="12"/>
  <c r="I179" i="12"/>
  <c r="S241" i="12"/>
  <c r="I309" i="12"/>
  <c r="S375" i="12"/>
  <c r="M156" i="12"/>
  <c r="J408" i="12"/>
  <c r="J106" i="12"/>
  <c r="G166" i="12"/>
  <c r="T328" i="12"/>
  <c r="O263" i="12"/>
  <c r="R259" i="12"/>
  <c r="O136" i="12"/>
  <c r="P279" i="12"/>
  <c r="S230" i="12"/>
  <c r="I75" i="12"/>
  <c r="O31" i="12"/>
  <c r="Q196" i="12"/>
  <c r="M59" i="12"/>
  <c r="N78" i="12"/>
  <c r="N40" i="12"/>
  <c r="K543" i="12"/>
  <c r="N244" i="12"/>
  <c r="S207" i="12"/>
  <c r="X661" i="12"/>
  <c r="M236" i="12"/>
  <c r="O402" i="12"/>
  <c r="N151" i="12"/>
  <c r="T189" i="12"/>
  <c r="T359" i="12"/>
  <c r="M301" i="12"/>
  <c r="P158" i="12"/>
  <c r="Q318" i="12"/>
  <c r="M269" i="12"/>
  <c r="Q115" i="12"/>
  <c r="G124" i="12"/>
  <c r="J239" i="12"/>
  <c r="N76" i="12"/>
  <c r="P442" i="12"/>
  <c r="R228" i="12"/>
  <c r="AL161" i="2"/>
  <c r="T403" i="12"/>
  <c r="K402" i="12"/>
  <c r="S656" i="12"/>
  <c r="K297" i="12"/>
  <c r="K120" i="12"/>
  <c r="Q204" i="12"/>
  <c r="T344" i="12"/>
  <c r="G294" i="12"/>
  <c r="K168" i="12"/>
  <c r="T143" i="12"/>
  <c r="F230" i="12"/>
  <c r="J113" i="12"/>
  <c r="AA673" i="12"/>
  <c r="S75" i="12"/>
  <c r="M85" i="12"/>
  <c r="O604" i="12"/>
  <c r="R541" i="12"/>
  <c r="R192" i="12"/>
  <c r="T215" i="12"/>
  <c r="G405" i="12"/>
  <c r="N180" i="12"/>
  <c r="G374" i="12"/>
  <c r="N166" i="12"/>
  <c r="I340" i="12"/>
  <c r="O344" i="12"/>
  <c r="S160" i="12"/>
  <c r="L323" i="12"/>
  <c r="O318" i="12"/>
  <c r="N129" i="12"/>
  <c r="L266" i="12"/>
  <c r="F77" i="12"/>
  <c r="U148" i="2"/>
  <c r="M179" i="3" s="1"/>
  <c r="Q89" i="12"/>
  <c r="K88" i="12"/>
  <c r="N491" i="12"/>
  <c r="N493" i="12"/>
  <c r="M493" i="12"/>
  <c r="K231" i="12"/>
  <c r="R151" i="12"/>
  <c r="J147" i="12"/>
  <c r="L394" i="12"/>
  <c r="I153" i="12"/>
  <c r="M180" i="12"/>
  <c r="T181" i="12"/>
  <c r="G156" i="12"/>
  <c r="N108" i="12"/>
  <c r="T202" i="12"/>
  <c r="I119" i="12"/>
  <c r="T322" i="12"/>
  <c r="P294" i="12"/>
  <c r="O168" i="12"/>
  <c r="Q240" i="12"/>
  <c r="S133" i="12"/>
  <c r="M98" i="12"/>
  <c r="N116" i="12"/>
  <c r="O75" i="12"/>
  <c r="K445" i="12"/>
  <c r="S214" i="12"/>
  <c r="F252" i="12"/>
  <c r="U360" i="2"/>
  <c r="L252" i="12"/>
  <c r="Q237" i="12"/>
  <c r="S221" i="12"/>
  <c r="S120" i="12"/>
  <c r="F185" i="12"/>
  <c r="U293" i="2"/>
  <c r="R162" i="12"/>
  <c r="L176" i="12"/>
  <c r="I92" i="12"/>
  <c r="L318" i="12"/>
  <c r="I256" i="12"/>
  <c r="F143" i="12"/>
  <c r="L98" i="12"/>
  <c r="N114" i="12"/>
  <c r="P77" i="12"/>
  <c r="O89" i="12"/>
  <c r="K440" i="12"/>
  <c r="K464" i="12"/>
  <c r="S178" i="12"/>
  <c r="G312" i="12"/>
  <c r="P144" i="12"/>
  <c r="G490" i="12"/>
  <c r="K215" i="12"/>
  <c r="I187" i="12"/>
  <c r="Q522" i="12"/>
  <c r="O522" i="12"/>
  <c r="N476" i="12"/>
  <c r="T441" i="12"/>
  <c r="M190" i="12"/>
  <c r="J190" i="12"/>
  <c r="J332" i="12"/>
  <c r="Q147" i="12"/>
  <c r="O415" i="12"/>
  <c r="T180" i="12"/>
  <c r="L106" i="12"/>
  <c r="M356" i="12"/>
  <c r="K131" i="12"/>
  <c r="K158" i="12"/>
  <c r="O92" i="12"/>
  <c r="T263" i="12"/>
  <c r="G284" i="12"/>
  <c r="Q76" i="12"/>
  <c r="G112" i="12"/>
  <c r="T212" i="12"/>
  <c r="P182" i="12"/>
  <c r="T199" i="12"/>
  <c r="N134" i="12"/>
  <c r="I200" i="12"/>
  <c r="S173" i="12"/>
  <c r="I284" i="12"/>
  <c r="K234" i="12"/>
  <c r="S95" i="12"/>
  <c r="O186" i="12"/>
  <c r="T33" i="12"/>
  <c r="J82" i="12"/>
  <c r="T72" i="12"/>
  <c r="P79" i="12"/>
  <c r="F130" i="12"/>
  <c r="U62" i="2"/>
  <c r="M219" i="3" s="1"/>
  <c r="K194" i="12"/>
  <c r="O38" i="12"/>
  <c r="L54" i="12"/>
  <c r="K52" i="12"/>
  <c r="O57" i="12"/>
  <c r="L24" i="12"/>
  <c r="N99" i="12"/>
  <c r="P6" i="12"/>
  <c r="U6" i="3"/>
  <c r="F16" i="12"/>
  <c r="U15" i="2"/>
  <c r="M264" i="3" s="1"/>
  <c r="O14" i="12"/>
  <c r="K28" i="12"/>
  <c r="T84" i="12"/>
  <c r="K13" i="12"/>
  <c r="I5" i="12"/>
  <c r="N50" i="12"/>
  <c r="P55" i="12"/>
  <c r="P26" i="12"/>
  <c r="K317" i="12"/>
  <c r="R45" i="12"/>
  <c r="P137" i="12"/>
  <c r="J344" i="12"/>
  <c r="M168" i="12"/>
  <c r="R124" i="12"/>
  <c r="AB721" i="12"/>
  <c r="Q83" i="12"/>
  <c r="S169" i="12"/>
  <c r="M146" i="12"/>
  <c r="R102" i="12"/>
  <c r="L93" i="12"/>
  <c r="G164" i="12"/>
  <c r="T68" i="12"/>
  <c r="J194" i="12"/>
  <c r="J52" i="12"/>
  <c r="P14" i="12"/>
  <c r="F96" i="12"/>
  <c r="U20" i="2"/>
  <c r="M73" i="3" s="1"/>
  <c r="N9" i="12"/>
  <c r="J22" i="12"/>
  <c r="O14" i="3"/>
  <c r="F4" i="12"/>
  <c r="U3" i="2"/>
  <c r="M118" i="3" s="1"/>
  <c r="M27" i="12"/>
  <c r="K5" i="12"/>
  <c r="O96" i="12"/>
  <c r="R17" i="12"/>
  <c r="G22" i="12"/>
  <c r="L14" i="3"/>
  <c r="S100" i="12"/>
  <c r="G118" i="12"/>
  <c r="T61" i="12"/>
  <c r="L234" i="12"/>
  <c r="N48" i="12"/>
  <c r="K84" i="12"/>
  <c r="Q181" i="12"/>
  <c r="J168" i="12"/>
  <c r="Z659" i="12"/>
  <c r="O95" i="12"/>
  <c r="J59" i="12"/>
  <c r="M63" i="12"/>
  <c r="I134" i="12"/>
  <c r="K64" i="12"/>
  <c r="I130" i="12"/>
  <c r="L51" i="12"/>
  <c r="M165" i="12"/>
  <c r="T21" i="12"/>
  <c r="T19" i="12"/>
  <c r="J127" i="12"/>
  <c r="N12" i="12"/>
  <c r="M61" i="12"/>
  <c r="F2" i="12"/>
  <c r="K2" i="3"/>
  <c r="U2" i="2"/>
  <c r="M263" i="3" s="1"/>
  <c r="Q142" i="12"/>
  <c r="K16" i="12"/>
  <c r="O48" i="12"/>
  <c r="P28" i="12"/>
  <c r="I63" i="12"/>
  <c r="P80" i="12"/>
  <c r="N7" i="12"/>
  <c r="M297" i="12"/>
  <c r="M160" i="12"/>
  <c r="I115" i="12"/>
  <c r="O98" i="12"/>
  <c r="J58" i="12"/>
  <c r="AQ99" i="2"/>
  <c r="P54" i="3" s="1"/>
  <c r="AR99" i="2"/>
  <c r="Q54" i="3" s="1"/>
  <c r="J155" i="12"/>
  <c r="F66" i="12"/>
  <c r="U113" i="2"/>
  <c r="M273" i="3" s="1"/>
  <c r="P157" i="12"/>
  <c r="O65" i="12"/>
  <c r="M141" i="12"/>
  <c r="I80" i="12"/>
  <c r="F40" i="12"/>
  <c r="U63" i="2"/>
  <c r="M214" i="3" s="1"/>
  <c r="G48" i="12"/>
  <c r="I34" i="12"/>
  <c r="O30" i="12"/>
  <c r="M25" i="12"/>
  <c r="F84" i="12"/>
  <c r="U19" i="2"/>
  <c r="M246" i="3" s="1"/>
  <c r="J42" i="12"/>
  <c r="I241" i="12"/>
  <c r="O340" i="12"/>
  <c r="P87" i="12"/>
  <c r="G89" i="12"/>
  <c r="S62" i="12"/>
  <c r="K63" i="12"/>
  <c r="T47" i="12"/>
  <c r="L164" i="12"/>
  <c r="N41" i="12"/>
  <c r="F48" i="12"/>
  <c r="U51" i="2"/>
  <c r="M36" i="3" s="1"/>
  <c r="T37" i="12"/>
  <c r="J53" i="12"/>
  <c r="G23" i="12"/>
  <c r="X703" i="12"/>
  <c r="I78" i="12"/>
  <c r="O66" i="12"/>
  <c r="Q118" i="12"/>
  <c r="O309" i="12"/>
  <c r="G408" i="12"/>
  <c r="J123" i="12"/>
  <c r="K126" i="12"/>
  <c r="N70" i="12"/>
  <c r="G83" i="12"/>
  <c r="T75" i="12"/>
  <c r="G184" i="12"/>
  <c r="P69" i="12"/>
  <c r="R66" i="12"/>
  <c r="G55" i="12"/>
  <c r="O46" i="12"/>
  <c r="K78" i="12"/>
  <c r="T177" i="12"/>
  <c r="K68" i="12"/>
  <c r="J165" i="12"/>
  <c r="P40" i="12"/>
  <c r="M19" i="12"/>
  <c r="R127" i="12"/>
  <c r="I57" i="12"/>
  <c r="J18" i="12"/>
  <c r="T15" i="12"/>
  <c r="M3" i="12"/>
  <c r="Q35" i="12"/>
  <c r="T73" i="12"/>
  <c r="S29" i="12"/>
  <c r="K2" i="12"/>
  <c r="M131" i="12"/>
  <c r="F247" i="12"/>
  <c r="U201" i="2"/>
  <c r="R86" i="12"/>
  <c r="J95" i="12"/>
  <c r="K102" i="12"/>
  <c r="F100" i="12"/>
  <c r="U104" i="2"/>
  <c r="M206" i="3" s="1"/>
  <c r="N138" i="12"/>
  <c r="F32" i="12"/>
  <c r="U52" i="2"/>
  <c r="M234" i="3" s="1"/>
  <c r="J195" i="12"/>
  <c r="Q54" i="12"/>
  <c r="T48" i="12"/>
  <c r="F26" i="12"/>
  <c r="P24" i="12"/>
  <c r="N81" i="12"/>
  <c r="L11" i="12"/>
  <c r="S16" i="12"/>
  <c r="O326" i="12"/>
  <c r="K326" i="12"/>
  <c r="Z671" i="12"/>
  <c r="I296" i="12"/>
  <c r="Q113" i="12"/>
  <c r="F199" i="12"/>
  <c r="J97" i="12"/>
  <c r="F415" i="12"/>
  <c r="O319" i="12"/>
  <c r="O162" i="12"/>
  <c r="P143" i="12"/>
  <c r="N85" i="12"/>
  <c r="M38" i="12"/>
  <c r="F20" i="12"/>
  <c r="G14" i="12"/>
  <c r="L23" i="12"/>
  <c r="O99" i="12"/>
  <c r="P9" i="12"/>
  <c r="L22" i="12"/>
  <c r="Q14" i="3"/>
  <c r="Q22" i="3" s="1"/>
  <c r="R22" i="12"/>
  <c r="W14" i="3"/>
  <c r="J22" i="3"/>
  <c r="P36" i="12"/>
  <c r="I25" i="12"/>
  <c r="Q57" i="12"/>
  <c r="F13" i="12"/>
  <c r="P177" i="12"/>
  <c r="I164" i="12"/>
  <c r="G12" i="12"/>
  <c r="M54" i="12"/>
  <c r="R586" i="12"/>
  <c r="M505" i="12"/>
  <c r="I604" i="12"/>
  <c r="O565" i="12"/>
  <c r="K565" i="12"/>
  <c r="G283" i="12"/>
  <c r="T449" i="12"/>
  <c r="P238" i="12"/>
  <c r="R308" i="12"/>
  <c r="R486" i="12"/>
  <c r="L509" i="12"/>
  <c r="N484" i="12"/>
  <c r="R226" i="12"/>
  <c r="J213" i="12"/>
  <c r="G231" i="12"/>
  <c r="P413" i="12"/>
  <c r="R209" i="12"/>
  <c r="F656" i="12"/>
  <c r="U202" i="2"/>
  <c r="F629" i="12"/>
  <c r="U501" i="2"/>
  <c r="P568" i="12"/>
  <c r="J245" i="12"/>
  <c r="Q245" i="12"/>
  <c r="S537" i="12"/>
  <c r="R515" i="12"/>
  <c r="O262" i="12"/>
  <c r="N277" i="12"/>
  <c r="F197" i="12"/>
  <c r="U315" i="2"/>
  <c r="M4" i="3" s="1"/>
  <c r="F349" i="12"/>
  <c r="U287" i="2"/>
  <c r="N413" i="12"/>
  <c r="T468" i="12"/>
  <c r="F183" i="12"/>
  <c r="U348" i="2"/>
  <c r="P457" i="12"/>
  <c r="G359" i="12"/>
  <c r="L315" i="12"/>
  <c r="O328" i="12"/>
  <c r="K318" i="12"/>
  <c r="P313" i="12"/>
  <c r="R535" i="12"/>
  <c r="O592" i="12"/>
  <c r="N290" i="12"/>
  <c r="J580" i="12"/>
  <c r="R260" i="12"/>
  <c r="F560" i="12"/>
  <c r="S513" i="12"/>
  <c r="F265" i="12"/>
  <c r="U505" i="2"/>
  <c r="N270" i="12"/>
  <c r="L499" i="12"/>
  <c r="J227" i="12"/>
  <c r="K473" i="12"/>
  <c r="N543" i="12"/>
  <c r="G491" i="12"/>
  <c r="S228" i="12"/>
  <c r="S389" i="12"/>
  <c r="M161" i="12"/>
  <c r="Q191" i="12"/>
  <c r="J170" i="12"/>
  <c r="O206" i="12"/>
  <c r="O221" i="12"/>
  <c r="L274" i="12"/>
  <c r="L204" i="12"/>
  <c r="J132" i="12"/>
  <c r="K285" i="12"/>
  <c r="J577" i="12"/>
  <c r="R242" i="12"/>
  <c r="L556" i="12"/>
  <c r="J238" i="12"/>
  <c r="S473" i="12"/>
  <c r="P262" i="12"/>
  <c r="P507" i="12"/>
  <c r="L306" i="12"/>
  <c r="Q201" i="12"/>
  <c r="J418" i="12"/>
  <c r="O161" i="12"/>
  <c r="L332" i="12"/>
  <c r="K187" i="12"/>
  <c r="K144" i="12"/>
  <c r="O171" i="12"/>
  <c r="N221" i="12"/>
  <c r="F601" i="12"/>
  <c r="U355" i="2"/>
  <c r="S601" i="12"/>
  <c r="I338" i="12"/>
  <c r="O535" i="12"/>
  <c r="J396" i="12"/>
  <c r="J341" i="12"/>
  <c r="R533" i="12"/>
  <c r="T270" i="12"/>
  <c r="K514" i="12"/>
  <c r="S267" i="12"/>
  <c r="M308" i="12"/>
  <c r="G524" i="12"/>
  <c r="K261" i="12"/>
  <c r="S491" i="12"/>
  <c r="M226" i="12"/>
  <c r="I461" i="12"/>
  <c r="S213" i="12"/>
  <c r="G412" i="12"/>
  <c r="L215" i="12"/>
  <c r="R170" i="12"/>
  <c r="S458" i="12"/>
  <c r="M457" i="12"/>
  <c r="K147" i="12"/>
  <c r="K375" i="12"/>
  <c r="J289" i="12"/>
  <c r="L220" i="12"/>
  <c r="S503" i="12"/>
  <c r="S478" i="12"/>
  <c r="Q520" i="12"/>
  <c r="I289" i="12"/>
  <c r="K519" i="12"/>
  <c r="J366" i="12"/>
  <c r="P560" i="12"/>
  <c r="S428" i="12"/>
  <c r="R238" i="12"/>
  <c r="J223" i="12"/>
  <c r="G229" i="12"/>
  <c r="N420" i="12"/>
  <c r="K579" i="12"/>
  <c r="L449" i="12"/>
  <c r="T267" i="12"/>
  <c r="P205" i="12"/>
  <c r="Q524" i="12"/>
  <c r="S571" i="12"/>
  <c r="I484" i="12"/>
  <c r="S418" i="12"/>
  <c r="R210" i="12"/>
  <c r="K197" i="12"/>
  <c r="F403" i="12"/>
  <c r="S413" i="12"/>
  <c r="F402" i="12"/>
  <c r="F458" i="12"/>
  <c r="G193" i="12"/>
  <c r="L463" i="12"/>
  <c r="R383" i="12"/>
  <c r="P151" i="12"/>
  <c r="X712" i="12"/>
  <c r="K415" i="12"/>
  <c r="O385" i="12"/>
  <c r="T148" i="12"/>
  <c r="M174" i="12"/>
  <c r="T298" i="12"/>
  <c r="M340" i="12"/>
  <c r="K125" i="12"/>
  <c r="L160" i="12"/>
  <c r="I294" i="12"/>
  <c r="P92" i="12"/>
  <c r="F284" i="12"/>
  <c r="U195" i="2"/>
  <c r="M132" i="3" s="1"/>
  <c r="G115" i="12"/>
  <c r="G233" i="12"/>
  <c r="O113" i="12"/>
  <c r="P44" i="12"/>
  <c r="N541" i="12"/>
  <c r="AB690" i="12"/>
  <c r="G455" i="12"/>
  <c r="R458" i="12"/>
  <c r="S179" i="12"/>
  <c r="Z712" i="12"/>
  <c r="Q241" i="12"/>
  <c r="S309" i="12"/>
  <c r="Q375" i="12"/>
  <c r="T408" i="12"/>
  <c r="S204" i="12"/>
  <c r="R328" i="12"/>
  <c r="T168" i="12"/>
  <c r="Q129" i="12"/>
  <c r="G259" i="12"/>
  <c r="K143" i="12"/>
  <c r="J279" i="12"/>
  <c r="O44" i="12"/>
  <c r="F31" i="12"/>
  <c r="U115" i="2"/>
  <c r="M128" i="3" s="1"/>
  <c r="F196" i="12"/>
  <c r="U131" i="2"/>
  <c r="M160" i="3" s="1"/>
  <c r="M51" i="12"/>
  <c r="M509" i="12"/>
  <c r="R244" i="12"/>
  <c r="F236" i="12"/>
  <c r="U402" i="2"/>
  <c r="P439" i="12"/>
  <c r="Q458" i="12"/>
  <c r="M181" i="12"/>
  <c r="S397" i="12"/>
  <c r="Q148" i="12"/>
  <c r="G310" i="12"/>
  <c r="P356" i="12"/>
  <c r="G121" i="12"/>
  <c r="J316" i="12"/>
  <c r="G158" i="12"/>
  <c r="F318" i="12"/>
  <c r="T240" i="12"/>
  <c r="O123" i="12"/>
  <c r="P98" i="12"/>
  <c r="J509" i="12"/>
  <c r="T216" i="12"/>
  <c r="AA661" i="12"/>
  <c r="P511" i="12"/>
  <c r="S439" i="12"/>
  <c r="F151" i="12"/>
  <c r="K221" i="12"/>
  <c r="Q408" i="12"/>
  <c r="K185" i="12"/>
  <c r="K152" i="12"/>
  <c r="Q294" i="12"/>
  <c r="L168" i="12"/>
  <c r="J269" i="12"/>
  <c r="I143" i="12"/>
  <c r="T239" i="12"/>
  <c r="P91" i="12"/>
  <c r="S70" i="12"/>
  <c r="L103" i="12"/>
  <c r="L155" i="12"/>
  <c r="P321" i="12"/>
  <c r="Q405" i="12"/>
  <c r="R439" i="12"/>
  <c r="N252" i="12"/>
  <c r="O148" i="12"/>
  <c r="Q374" i="12"/>
  <c r="S340" i="12"/>
  <c r="F344" i="12"/>
  <c r="U268" i="2"/>
  <c r="J160" i="12"/>
  <c r="N318" i="12"/>
  <c r="I269" i="12"/>
  <c r="R110" i="12"/>
  <c r="J76" i="12"/>
  <c r="K86" i="12"/>
  <c r="N461" i="12"/>
  <c r="F493" i="12"/>
  <c r="U361" i="2"/>
  <c r="K493" i="12"/>
  <c r="O468" i="12"/>
  <c r="I151" i="12"/>
  <c r="J272" i="12"/>
  <c r="M394" i="12"/>
  <c r="S153" i="12"/>
  <c r="K181" i="12"/>
  <c r="Q156" i="12"/>
  <c r="K274" i="12"/>
  <c r="G202" i="12"/>
  <c r="R344" i="12"/>
  <c r="K322" i="12"/>
  <c r="Q323" i="12"/>
  <c r="I136" i="12"/>
  <c r="J133" i="12"/>
  <c r="J112" i="12"/>
  <c r="Q77" i="12"/>
  <c r="K85" i="12"/>
  <c r="N481" i="12"/>
  <c r="L445" i="12"/>
  <c r="J214" i="12"/>
  <c r="P252" i="12"/>
  <c r="P297" i="12"/>
  <c r="O310" i="12"/>
  <c r="P185" i="12"/>
  <c r="I162" i="12"/>
  <c r="N158" i="12"/>
  <c r="L129" i="12"/>
  <c r="O87" i="12"/>
  <c r="S113" i="12"/>
  <c r="K77" i="12"/>
  <c r="R510" i="12"/>
  <c r="G441" i="12"/>
  <c r="Q312" i="12"/>
  <c r="L382" i="12"/>
  <c r="R490" i="12"/>
  <c r="K460" i="12"/>
  <c r="M94" i="12"/>
  <c r="I188" i="12"/>
  <c r="T522" i="12"/>
  <c r="F522" i="12"/>
  <c r="U407" i="2"/>
  <c r="R476" i="12"/>
  <c r="Q236" i="12"/>
  <c r="P190" i="12"/>
  <c r="T190" i="12"/>
  <c r="P159" i="12"/>
  <c r="K180" i="12"/>
  <c r="S174" i="12"/>
  <c r="I166" i="12"/>
  <c r="G92" i="12"/>
  <c r="K263" i="12"/>
  <c r="F222" i="12"/>
  <c r="U125" i="2"/>
  <c r="M161" i="3" s="1"/>
  <c r="R256" i="12"/>
  <c r="Q112" i="12"/>
  <c r="I212" i="12"/>
  <c r="O182" i="12"/>
  <c r="I199" i="12"/>
  <c r="S196" i="12"/>
  <c r="O72" i="12"/>
  <c r="J200" i="12"/>
  <c r="O160" i="12"/>
  <c r="J173" i="12"/>
  <c r="L140" i="12"/>
  <c r="M234" i="12"/>
  <c r="F182" i="12"/>
  <c r="N95" i="12"/>
  <c r="M155" i="12"/>
  <c r="T82" i="12"/>
  <c r="I72" i="12"/>
  <c r="G138" i="12"/>
  <c r="N32" i="12"/>
  <c r="K21" i="12"/>
  <c r="Q39" i="12"/>
  <c r="S37" i="12"/>
  <c r="N57" i="12"/>
  <c r="Z680" i="12"/>
  <c r="L36" i="12"/>
  <c r="M84" i="12"/>
  <c r="K22" i="12"/>
  <c r="P14" i="3"/>
  <c r="P22" i="3" s="1"/>
  <c r="H4" i="13" s="1"/>
  <c r="F6" i="12"/>
  <c r="K6" i="3"/>
  <c r="U9" i="2"/>
  <c r="M267" i="3" s="1"/>
  <c r="S49" i="12"/>
  <c r="M14" i="12"/>
  <c r="L43" i="12"/>
  <c r="I84" i="12"/>
  <c r="L8" i="12"/>
  <c r="N11" i="12"/>
  <c r="Q134" i="12"/>
  <c r="L317" i="12"/>
  <c r="N184" i="12"/>
  <c r="Q51" i="12"/>
  <c r="N137" i="12"/>
  <c r="T152" i="12"/>
  <c r="J222" i="12"/>
  <c r="I279" i="12"/>
  <c r="J98" i="12"/>
  <c r="Q212" i="12"/>
  <c r="I169" i="12"/>
  <c r="N146" i="12"/>
  <c r="F102" i="12"/>
  <c r="M42" i="12"/>
  <c r="T65" i="12"/>
  <c r="J47" i="12"/>
  <c r="Z678" i="12"/>
  <c r="T56" i="12"/>
  <c r="K54" i="12"/>
  <c r="Q19" i="12"/>
  <c r="R37" i="12"/>
  <c r="O20" i="12"/>
  <c r="M53" i="12"/>
  <c r="J23" i="12"/>
  <c r="O61" i="12"/>
  <c r="O12" i="12"/>
  <c r="K7" i="12"/>
  <c r="Q3" i="12"/>
  <c r="L15" i="12"/>
  <c r="K99" i="12"/>
  <c r="R142" i="12"/>
  <c r="J9" i="12"/>
  <c r="I157" i="12"/>
  <c r="O127" i="12"/>
  <c r="Q43" i="12"/>
  <c r="N169" i="12"/>
  <c r="O26" i="12"/>
  <c r="R12" i="12"/>
  <c r="N301" i="12"/>
  <c r="K657" i="12"/>
  <c r="P126" i="12"/>
  <c r="R33" i="12"/>
  <c r="O82" i="12"/>
  <c r="R72" i="12"/>
  <c r="N79" i="12"/>
  <c r="S130" i="12"/>
  <c r="J80" i="12"/>
  <c r="T107" i="12"/>
  <c r="I21" i="12"/>
  <c r="K19" i="12"/>
  <c r="T52" i="12"/>
  <c r="N25" i="12"/>
  <c r="O4" i="12"/>
  <c r="K43" i="12"/>
  <c r="J15" i="12"/>
  <c r="S99" i="12"/>
  <c r="S8" i="12"/>
  <c r="F127" i="12"/>
  <c r="U41" i="2"/>
  <c r="M247" i="3" s="1"/>
  <c r="K10" i="12"/>
  <c r="S63" i="12"/>
  <c r="M81" i="12"/>
  <c r="O5" i="12"/>
  <c r="T174" i="12"/>
  <c r="P322" i="12"/>
  <c r="L133" i="12"/>
  <c r="O126" i="12"/>
  <c r="K58" i="12"/>
  <c r="O184" i="12"/>
  <c r="I59" i="12"/>
  <c r="I100" i="12"/>
  <c r="N82" i="12"/>
  <c r="M79" i="12"/>
  <c r="K45" i="12"/>
  <c r="T194" i="12"/>
  <c r="L117" i="12"/>
  <c r="Q97" i="12"/>
  <c r="O19" i="12"/>
  <c r="I127" i="12"/>
  <c r="K30" i="12"/>
  <c r="Q18" i="12"/>
  <c r="AB701" i="12"/>
  <c r="T13" i="12"/>
  <c r="Q28" i="12"/>
  <c r="T42" i="12"/>
  <c r="R154" i="12"/>
  <c r="Q13" i="12"/>
  <c r="I233" i="12"/>
  <c r="F118" i="12"/>
  <c r="P43" i="12"/>
  <c r="I375" i="12"/>
  <c r="G119" i="12"/>
  <c r="F87" i="12"/>
  <c r="U177" i="2"/>
  <c r="M91" i="3" s="1"/>
  <c r="X673" i="12"/>
  <c r="G85" i="12"/>
  <c r="L62" i="12"/>
  <c r="M82" i="12"/>
  <c r="I47" i="12"/>
  <c r="M164" i="12"/>
  <c r="K165" i="12"/>
  <c r="Q40" i="12"/>
  <c r="S34" i="12"/>
  <c r="N30" i="12"/>
  <c r="R24" i="12"/>
  <c r="G17" i="12"/>
  <c r="M18" i="12"/>
  <c r="L2" i="12"/>
  <c r="K72" i="12"/>
  <c r="O34" i="12"/>
  <c r="M359" i="12"/>
  <c r="R316" i="12"/>
  <c r="K222" i="12"/>
  <c r="L126" i="12"/>
  <c r="S83" i="12"/>
  <c r="L73" i="12"/>
  <c r="T196" i="12"/>
  <c r="T66" i="12"/>
  <c r="R55" i="12"/>
  <c r="S42" i="12"/>
  <c r="G177" i="12"/>
  <c r="L68" i="12"/>
  <c r="O107" i="12"/>
  <c r="O40" i="12"/>
  <c r="T118" i="12"/>
  <c r="G127" i="12"/>
  <c r="T154" i="12"/>
  <c r="T18" i="12"/>
  <c r="I15" i="12"/>
  <c r="S15" i="12"/>
  <c r="I33" i="12"/>
  <c r="X699" i="12"/>
  <c r="G13" i="12"/>
  <c r="Q177" i="12"/>
  <c r="T101" i="12"/>
  <c r="G105" i="12"/>
  <c r="Q162" i="12"/>
  <c r="G247" i="12"/>
  <c r="F269" i="12"/>
  <c r="AQ101" i="2"/>
  <c r="G86" i="12"/>
  <c r="J186" i="12"/>
  <c r="T59" i="12"/>
  <c r="Q100" i="12"/>
  <c r="J157" i="12"/>
  <c r="L65" i="12"/>
  <c r="S177" i="12"/>
  <c r="O68" i="12"/>
  <c r="S38" i="12"/>
  <c r="R54" i="12"/>
  <c r="Q34" i="12"/>
  <c r="J29" i="12"/>
  <c r="K101" i="12"/>
  <c r="P7" i="12"/>
  <c r="G93" i="12"/>
  <c r="L40" i="12"/>
  <c r="P5" i="12"/>
  <c r="G8" i="12"/>
  <c r="F326" i="12"/>
  <c r="U251" i="2"/>
  <c r="K296" i="12"/>
  <c r="O240" i="12"/>
  <c r="R136" i="12"/>
  <c r="I95" i="12"/>
  <c r="J656" i="12"/>
  <c r="F319" i="12"/>
  <c r="U252" i="2"/>
  <c r="I174" i="12"/>
  <c r="S294" i="12"/>
  <c r="I135" i="12"/>
  <c r="N143" i="12"/>
  <c r="M114" i="12"/>
  <c r="L21" i="12"/>
  <c r="T39" i="12"/>
  <c r="M26" i="12"/>
  <c r="P57" i="12"/>
  <c r="J99" i="12"/>
  <c r="F9" i="12"/>
  <c r="P8" i="12"/>
  <c r="I7" i="12"/>
  <c r="I141" i="12"/>
  <c r="Q99" i="12"/>
  <c r="I4" i="12"/>
  <c r="K26" i="12"/>
  <c r="I45" i="12"/>
  <c r="L81" i="12"/>
  <c r="P82" i="12"/>
  <c r="N64" i="12"/>
  <c r="S195" i="12"/>
  <c r="F215" i="12"/>
  <c r="U323" i="2"/>
  <c r="N187" i="12"/>
  <c r="R382" i="12"/>
  <c r="O241" i="12"/>
  <c r="Q221" i="12"/>
  <c r="O324" i="12"/>
  <c r="P629" i="12"/>
  <c r="K245" i="12"/>
  <c r="K271" i="12"/>
  <c r="O270" i="12"/>
  <c r="S109" i="12"/>
  <c r="O238" i="12"/>
  <c r="F496" i="12"/>
  <c r="U411" i="2"/>
  <c r="M571" i="12"/>
  <c r="P484" i="12"/>
  <c r="R275" i="12"/>
  <c r="O409" i="12"/>
  <c r="Q231" i="12"/>
  <c r="R511" i="12"/>
  <c r="O413" i="12"/>
  <c r="J468" i="12"/>
  <c r="F457" i="12"/>
  <c r="U353" i="2"/>
  <c r="P206" i="12"/>
  <c r="M105" i="12"/>
  <c r="K137" i="12"/>
  <c r="M274" i="12"/>
  <c r="F639" i="12"/>
  <c r="P304" i="12"/>
  <c r="K305" i="12"/>
  <c r="K592" i="12"/>
  <c r="L580" i="12"/>
  <c r="K580" i="12"/>
  <c r="S260" i="12"/>
  <c r="J436" i="12"/>
  <c r="J513" i="12"/>
  <c r="P265" i="12"/>
  <c r="G480" i="12"/>
  <c r="T227" i="12"/>
  <c r="F191" i="12"/>
  <c r="U335" i="2"/>
  <c r="L403" i="12"/>
  <c r="N189" i="12"/>
  <c r="J137" i="12"/>
  <c r="O255" i="12"/>
  <c r="K242" i="12"/>
  <c r="M556" i="12"/>
  <c r="T479" i="12"/>
  <c r="N261" i="12"/>
  <c r="K507" i="12"/>
  <c r="S541" i="12"/>
  <c r="I201" i="12"/>
  <c r="R389" i="12"/>
  <c r="I192" i="12"/>
  <c r="K249" i="12"/>
  <c r="O94" i="12"/>
  <c r="L149" i="12"/>
  <c r="L147" i="12"/>
  <c r="S237" i="12"/>
  <c r="J601" i="12"/>
  <c r="K601" i="12"/>
  <c r="S338" i="12"/>
  <c r="P535" i="12"/>
  <c r="P589" i="12"/>
  <c r="K341" i="12"/>
  <c r="N366" i="12"/>
  <c r="N560" i="12"/>
  <c r="M270" i="12"/>
  <c r="K270" i="12"/>
  <c r="L514" i="12"/>
  <c r="K267" i="12"/>
  <c r="O496" i="12"/>
  <c r="M262" i="12"/>
  <c r="S250" i="12"/>
  <c r="K510" i="12"/>
  <c r="G207" i="12"/>
  <c r="S461" i="12"/>
  <c r="G213" i="12"/>
  <c r="N161" i="12"/>
  <c r="S402" i="12"/>
  <c r="I458" i="12"/>
  <c r="N209" i="12"/>
  <c r="L272" i="12"/>
  <c r="J105" i="12"/>
  <c r="L656" i="12"/>
  <c r="O304" i="12"/>
  <c r="Q163" i="12"/>
  <c r="Q503" i="12"/>
  <c r="Q478" i="12"/>
  <c r="I219" i="12"/>
  <c r="R380" i="12"/>
  <c r="M366" i="12"/>
  <c r="K366" i="12"/>
  <c r="Q436" i="12"/>
  <c r="M175" i="12"/>
  <c r="O211" i="12"/>
  <c r="I238" i="12"/>
  <c r="R229" i="12"/>
  <c r="R575" i="12"/>
  <c r="F281" i="12"/>
  <c r="L109" i="12"/>
  <c r="K211" i="12"/>
  <c r="T243" i="12"/>
  <c r="N524" i="12"/>
  <c r="M491" i="12"/>
  <c r="I507" i="12"/>
  <c r="G306" i="12"/>
  <c r="I210" i="12"/>
  <c r="T409" i="12"/>
  <c r="J349" i="12"/>
  <c r="O412" i="12"/>
  <c r="S215" i="12"/>
  <c r="Q439" i="12"/>
  <c r="Q187" i="12"/>
  <c r="O541" i="12"/>
  <c r="R193" i="12"/>
  <c r="J167" i="12"/>
  <c r="I149" i="12"/>
  <c r="P394" i="12"/>
  <c r="S159" i="12"/>
  <c r="G128" i="12"/>
  <c r="K148" i="12"/>
  <c r="N120" i="12"/>
  <c r="K298" i="12"/>
  <c r="F121" i="12"/>
  <c r="U212" i="2"/>
  <c r="L125" i="12"/>
  <c r="M322" i="12"/>
  <c r="J323" i="12"/>
  <c r="L90" i="12"/>
  <c r="Q256" i="12"/>
  <c r="K140" i="12"/>
  <c r="P136" i="12"/>
  <c r="Q279" i="12"/>
  <c r="P76" i="12"/>
  <c r="J70" i="12"/>
  <c r="G44" i="12"/>
  <c r="P85" i="12"/>
  <c r="R111" i="12"/>
  <c r="R196" i="12"/>
  <c r="J261" i="12"/>
  <c r="R460" i="12"/>
  <c r="R455" i="12"/>
  <c r="J179" i="12"/>
  <c r="AA712" i="12"/>
  <c r="J309" i="12"/>
  <c r="K408" i="12"/>
  <c r="L174" i="12"/>
  <c r="M185" i="12"/>
  <c r="L322" i="12"/>
  <c r="O176" i="12"/>
  <c r="F168" i="12"/>
  <c r="U237" i="2"/>
  <c r="Q222" i="12"/>
  <c r="T279" i="12"/>
  <c r="I70" i="12"/>
  <c r="N103" i="12"/>
  <c r="J89" i="12"/>
  <c r="P31" i="12"/>
  <c r="N80" i="12"/>
  <c r="I261" i="12"/>
  <c r="I244" i="12"/>
  <c r="G418" i="12"/>
  <c r="P236" i="12"/>
  <c r="G403" i="12"/>
  <c r="T332" i="12"/>
  <c r="O458" i="12"/>
  <c r="J206" i="12"/>
  <c r="L276" i="12"/>
  <c r="G301" i="12"/>
  <c r="Q310" i="12"/>
  <c r="Q166" i="12"/>
  <c r="Q121" i="12"/>
  <c r="M119" i="12"/>
  <c r="S104" i="12"/>
  <c r="Q158" i="12"/>
  <c r="F323" i="12"/>
  <c r="M122" i="12"/>
  <c r="Q259" i="12"/>
  <c r="R98" i="12"/>
  <c r="I510" i="12"/>
  <c r="P201" i="12"/>
  <c r="AB661" i="12"/>
  <c r="K257" i="12"/>
  <c r="S332" i="12"/>
  <c r="I144" i="12"/>
  <c r="P180" i="12"/>
  <c r="O132" i="12"/>
  <c r="R294" i="12"/>
  <c r="L92" i="12"/>
  <c r="P318" i="12"/>
  <c r="S240" i="12"/>
  <c r="S87" i="12"/>
  <c r="I239" i="12"/>
  <c r="O91" i="12"/>
  <c r="G70" i="12"/>
  <c r="S77" i="12"/>
  <c r="O111" i="12"/>
  <c r="K308" i="12"/>
  <c r="F216" i="12"/>
  <c r="T249" i="12"/>
  <c r="K178" i="12"/>
  <c r="R405" i="12"/>
  <c r="P108" i="12"/>
  <c r="R374" i="12"/>
  <c r="J340" i="12"/>
  <c r="P344" i="12"/>
  <c r="T160" i="12"/>
  <c r="Q104" i="12"/>
  <c r="S247" i="12"/>
  <c r="K122" i="12"/>
  <c r="R240" i="12"/>
  <c r="F110" i="12"/>
  <c r="U163" i="2"/>
  <c r="M70" i="3" s="1"/>
  <c r="M123" i="12"/>
  <c r="P230" i="12"/>
  <c r="L85" i="12"/>
  <c r="J71" i="12"/>
  <c r="R493" i="12"/>
  <c r="O493" i="12"/>
  <c r="S183" i="12"/>
  <c r="S151" i="12"/>
  <c r="G394" i="12"/>
  <c r="J153" i="12"/>
  <c r="L181" i="12"/>
  <c r="R156" i="12"/>
  <c r="S106" i="12"/>
  <c r="J204" i="12"/>
  <c r="I152" i="12"/>
  <c r="J122" i="12"/>
  <c r="K284" i="12"/>
  <c r="R143" i="12"/>
  <c r="T133" i="12"/>
  <c r="O114" i="12"/>
  <c r="Q502" i="12"/>
  <c r="M445" i="12"/>
  <c r="L464" i="12"/>
  <c r="R139" i="12"/>
  <c r="T214" i="12"/>
  <c r="G252" i="12"/>
  <c r="K188" i="12"/>
  <c r="G172" i="12"/>
  <c r="L180" i="12"/>
  <c r="N408" i="12"/>
  <c r="O120" i="12"/>
  <c r="M298" i="12"/>
  <c r="Q344" i="12"/>
  <c r="S162" i="12"/>
  <c r="O294" i="12"/>
  <c r="Z719" i="12"/>
  <c r="L25" i="3"/>
  <c r="L28" i="3" s="1"/>
  <c r="I122" i="12"/>
  <c r="S269" i="12"/>
  <c r="O140" i="12"/>
  <c r="M124" i="12"/>
  <c r="M233" i="12"/>
  <c r="G113" i="12"/>
  <c r="L77" i="12"/>
  <c r="N565" i="12"/>
  <c r="M481" i="12"/>
  <c r="U327" i="2"/>
  <c r="R312" i="12"/>
  <c r="L530" i="12"/>
  <c r="L442" i="12"/>
  <c r="M209" i="12"/>
  <c r="G522" i="12"/>
  <c r="P522" i="12"/>
  <c r="O201" i="12"/>
  <c r="I476" i="12"/>
  <c r="F190" i="12"/>
  <c r="U284" i="2"/>
  <c r="M511" i="12"/>
  <c r="G458" i="12"/>
  <c r="P272" i="12"/>
  <c r="L359" i="12"/>
  <c r="R385" i="12"/>
  <c r="L310" i="12"/>
  <c r="P202" i="12"/>
  <c r="S132" i="12"/>
  <c r="Q92" i="12"/>
  <c r="S129" i="12"/>
  <c r="X663" i="12"/>
  <c r="R112" i="12"/>
  <c r="S111" i="12"/>
  <c r="Q88" i="12"/>
  <c r="K200" i="12"/>
  <c r="J162" i="12"/>
  <c r="T173" i="12"/>
  <c r="M110" i="12"/>
  <c r="F76" i="12"/>
  <c r="N234" i="12"/>
  <c r="S184" i="12"/>
  <c r="R82" i="12"/>
  <c r="S78" i="12"/>
  <c r="O177" i="12"/>
  <c r="I68" i="12"/>
  <c r="I56" i="12"/>
  <c r="L26" i="12"/>
  <c r="N154" i="12"/>
  <c r="I18" i="12"/>
  <c r="P25" i="12"/>
  <c r="K17" i="12"/>
  <c r="G4" i="12"/>
  <c r="AL61" i="2"/>
  <c r="O16" i="12"/>
  <c r="J28" i="12"/>
  <c r="G36" i="12"/>
  <c r="Q7" i="12"/>
  <c r="T12" i="12"/>
  <c r="F79" i="12"/>
  <c r="M317" i="12"/>
  <c r="I184" i="12"/>
  <c r="Q117" i="12"/>
  <c r="R6" i="12"/>
  <c r="R415" i="12"/>
  <c r="Q152" i="12"/>
  <c r="Q269" i="12"/>
  <c r="Z730" i="12"/>
  <c r="L169" i="12"/>
  <c r="N73" i="12"/>
  <c r="P146" i="12"/>
  <c r="K59" i="12"/>
  <c r="L66" i="12"/>
  <c r="R157" i="12"/>
  <c r="R65" i="12"/>
  <c r="Q141" i="12"/>
  <c r="Q41" i="12"/>
  <c r="N165" i="12"/>
  <c r="J21" i="12"/>
  <c r="P39" i="12"/>
  <c r="G37" i="12"/>
  <c r="M20" i="12"/>
  <c r="K24" i="12"/>
  <c r="O27" i="12"/>
  <c r="I61" i="12"/>
  <c r="L5" i="12"/>
  <c r="G3" i="12"/>
  <c r="AR76" i="2"/>
  <c r="Q199" i="3" s="1"/>
  <c r="AQ76" i="2"/>
  <c r="P199" i="3" s="1"/>
  <c r="L13" i="12"/>
  <c r="P50" i="12"/>
  <c r="K65" i="12"/>
  <c r="J30" i="12"/>
  <c r="J16" i="12"/>
  <c r="N69" i="12"/>
  <c r="I30" i="12"/>
  <c r="F125" i="12"/>
  <c r="G222" i="12"/>
  <c r="R76" i="12"/>
  <c r="I74" i="12"/>
  <c r="T186" i="12"/>
  <c r="F62" i="12"/>
  <c r="U42" i="2"/>
  <c r="M149" i="3" s="1"/>
  <c r="R46" i="12"/>
  <c r="G72" i="12"/>
  <c r="R138" i="12"/>
  <c r="J130" i="12"/>
  <c r="F107" i="12"/>
  <c r="U43" i="2"/>
  <c r="M334" i="3" s="1"/>
  <c r="S40" i="12"/>
  <c r="M118" i="12"/>
  <c r="L57" i="12"/>
  <c r="AB703" i="12"/>
  <c r="L61" i="12"/>
  <c r="J146" i="12"/>
  <c r="P127" i="12"/>
  <c r="F5" i="12"/>
  <c r="G63" i="12"/>
  <c r="T60" i="12"/>
  <c r="Q8" i="12"/>
  <c r="P310" i="12"/>
  <c r="J104" i="12"/>
  <c r="Z687" i="12"/>
  <c r="N58" i="12"/>
  <c r="L58" i="12"/>
  <c r="T146" i="12"/>
  <c r="Z710" i="12"/>
  <c r="Q46" i="12"/>
  <c r="Q138" i="12"/>
  <c r="AR87" i="2"/>
  <c r="Q84" i="3" s="1"/>
  <c r="AQ87" i="2"/>
  <c r="P84" i="3" s="1"/>
  <c r="R81" i="12"/>
  <c r="O97" i="12"/>
  <c r="AR86" i="2"/>
  <c r="Q344" i="3" s="1"/>
  <c r="AQ86" i="2"/>
  <c r="P344" i="3" s="1"/>
  <c r="F18" i="12"/>
  <c r="U32" i="2"/>
  <c r="M90" i="3" s="1"/>
  <c r="R96" i="12"/>
  <c r="M4" i="12"/>
  <c r="K42" i="12"/>
  <c r="O24" i="12"/>
  <c r="Q74" i="12"/>
  <c r="N34" i="12"/>
  <c r="T10" i="12"/>
  <c r="I328" i="12"/>
  <c r="R87" i="12"/>
  <c r="K116" i="12"/>
  <c r="M199" i="12"/>
  <c r="J62" i="12"/>
  <c r="O157" i="12"/>
  <c r="S47" i="12"/>
  <c r="L141" i="12"/>
  <c r="P107" i="12"/>
  <c r="N97" i="12"/>
  <c r="S127" i="12"/>
  <c r="M29" i="12"/>
  <c r="G24" i="12"/>
  <c r="N101" i="12"/>
  <c r="G142" i="12"/>
  <c r="P23" i="12"/>
  <c r="Q32" i="12"/>
  <c r="S27" i="12"/>
  <c r="I138" i="12"/>
  <c r="R20" i="12"/>
  <c r="T385" i="12"/>
  <c r="M90" i="12"/>
  <c r="M126" i="12"/>
  <c r="F73" i="12"/>
  <c r="U119" i="2"/>
  <c r="M120" i="3" s="1"/>
  <c r="O146" i="12"/>
  <c r="I66" i="12"/>
  <c r="O55" i="12"/>
  <c r="F42" i="12"/>
  <c r="U114" i="2"/>
  <c r="M35" i="3" s="1"/>
  <c r="M65" i="12"/>
  <c r="O164" i="12"/>
  <c r="K41" i="12"/>
  <c r="P81" i="12"/>
  <c r="M97" i="12"/>
  <c r="I118" i="12"/>
  <c r="Z699" i="12"/>
  <c r="M30" i="12"/>
  <c r="I154" i="12"/>
  <c r="N67" i="12"/>
  <c r="F36" i="12"/>
  <c r="U29" i="2"/>
  <c r="M152" i="3" s="1"/>
  <c r="T4" i="12"/>
  <c r="L107" i="12"/>
  <c r="AB680" i="12"/>
  <c r="N309" i="12"/>
  <c r="Q316" i="12"/>
  <c r="I247" i="12"/>
  <c r="N140" i="12"/>
  <c r="K182" i="12"/>
  <c r="S155" i="12"/>
  <c r="J100" i="12"/>
  <c r="R134" i="12"/>
  <c r="O47" i="12"/>
  <c r="F177" i="12"/>
  <c r="U100" i="2"/>
  <c r="M103" i="3" s="1"/>
  <c r="J41" i="12"/>
  <c r="I165" i="12"/>
  <c r="G38" i="12"/>
  <c r="F34" i="12"/>
  <c r="U49" i="2"/>
  <c r="M151" i="3" s="1"/>
  <c r="T20" i="12"/>
  <c r="Q93" i="12"/>
  <c r="J39" i="12"/>
  <c r="L71" i="12"/>
  <c r="T195" i="12"/>
  <c r="P326" i="12"/>
  <c r="R315" i="12"/>
  <c r="N296" i="12"/>
  <c r="K259" i="12"/>
  <c r="K124" i="12"/>
  <c r="J212" i="12"/>
  <c r="I186" i="12"/>
  <c r="K382" i="12"/>
  <c r="K359" i="12"/>
  <c r="P319" i="12"/>
  <c r="J174" i="12"/>
  <c r="J135" i="12"/>
  <c r="T95" i="12"/>
  <c r="F33" i="12"/>
  <c r="G41" i="12"/>
  <c r="P117" i="12"/>
  <c r="J40" i="12"/>
  <c r="M34" i="12"/>
  <c r="Q27" i="12"/>
  <c r="T99" i="12"/>
  <c r="Q12" i="12"/>
  <c r="F8" i="12"/>
  <c r="T43" i="12"/>
  <c r="Z701" i="12"/>
  <c r="F142" i="12"/>
  <c r="U25" i="2"/>
  <c r="M44" i="3" s="1"/>
  <c r="I12" i="12"/>
  <c r="I102" i="12"/>
  <c r="N36" i="12"/>
  <c r="K80" i="12"/>
  <c r="G130" i="12"/>
  <c r="J36" i="12"/>
  <c r="I65" i="12"/>
  <c r="F39" i="12"/>
  <c r="J56" i="12"/>
  <c r="I97" i="12"/>
  <c r="S19" i="12"/>
  <c r="R403" i="12"/>
  <c r="F139" i="12"/>
  <c r="U258" i="2"/>
  <c r="L468" i="12"/>
  <c r="R183" i="12"/>
  <c r="R457" i="12"/>
  <c r="P147" i="12"/>
  <c r="S171" i="12"/>
  <c r="F375" i="12"/>
  <c r="U311" i="2"/>
  <c r="O128" i="12"/>
  <c r="F357" i="12"/>
  <c r="U246" i="2"/>
  <c r="M74" i="3" s="1"/>
  <c r="F657" i="12"/>
  <c r="U171" i="2"/>
  <c r="I586" i="12"/>
  <c r="F505" i="12"/>
  <c r="U375" i="2"/>
  <c r="T505" i="12"/>
  <c r="J604" i="12"/>
  <c r="P565" i="12"/>
  <c r="O449" i="12"/>
  <c r="S308" i="12"/>
  <c r="N571" i="12"/>
  <c r="S226" i="12"/>
  <c r="R161" i="12"/>
  <c r="G463" i="12"/>
  <c r="Q178" i="12"/>
  <c r="N439" i="12"/>
  <c r="N144" i="12"/>
  <c r="G221" i="12"/>
  <c r="L166" i="12"/>
  <c r="G629" i="12"/>
  <c r="O353" i="12"/>
  <c r="P254" i="12"/>
  <c r="L245" i="12"/>
  <c r="I420" i="12"/>
  <c r="J267" i="12"/>
  <c r="P496" i="12"/>
  <c r="O543" i="12"/>
  <c r="G484" i="12"/>
  <c r="T502" i="12"/>
  <c r="R409" i="12"/>
  <c r="F231" i="12"/>
  <c r="U391" i="2"/>
  <c r="M67" i="3" s="1"/>
  <c r="G511" i="12"/>
  <c r="O215" i="12"/>
  <c r="L458" i="12"/>
  <c r="Q209" i="12"/>
  <c r="F206" i="12"/>
  <c r="U337" i="2"/>
  <c r="N241" i="12"/>
  <c r="L415" i="12"/>
  <c r="K397" i="12"/>
  <c r="N106" i="12"/>
  <c r="M204" i="12"/>
  <c r="S353" i="12"/>
  <c r="P592" i="12"/>
  <c r="L592" i="12"/>
  <c r="P580" i="12"/>
  <c r="M580" i="12"/>
  <c r="I260" i="12"/>
  <c r="R537" i="12"/>
  <c r="T513" i="12"/>
  <c r="G265" i="12"/>
  <c r="I503" i="12"/>
  <c r="K227" i="12"/>
  <c r="N238" i="12"/>
  <c r="L219" i="12"/>
  <c r="F217" i="12"/>
  <c r="U482" i="2"/>
  <c r="O442" i="12"/>
  <c r="S481" i="12"/>
  <c r="L203" i="12"/>
  <c r="L277" i="12"/>
  <c r="O460" i="12"/>
  <c r="P349" i="12"/>
  <c r="O224" i="12"/>
  <c r="O178" i="12"/>
  <c r="L439" i="12"/>
  <c r="N188" i="12"/>
  <c r="L144" i="12"/>
  <c r="P382" i="12"/>
  <c r="P359" i="12"/>
  <c r="N200" i="12"/>
  <c r="N174" i="12"/>
  <c r="K587" i="12"/>
  <c r="Q248" i="12"/>
  <c r="F295" i="12"/>
  <c r="O556" i="12"/>
  <c r="M205" i="12"/>
  <c r="R479" i="12"/>
  <c r="L486" i="12"/>
  <c r="I208" i="12"/>
  <c r="F541" i="12"/>
  <c r="U396" i="2"/>
  <c r="S201" i="12"/>
  <c r="Q389" i="12"/>
  <c r="T268" i="12"/>
  <c r="O464" i="12"/>
  <c r="S198" i="12"/>
  <c r="N463" i="12"/>
  <c r="N183" i="12"/>
  <c r="I237" i="12"/>
  <c r="S137" i="12"/>
  <c r="L601" i="12"/>
  <c r="P338" i="12"/>
  <c r="J338" i="12"/>
  <c r="I535" i="12"/>
  <c r="I589" i="12"/>
  <c r="L341" i="12"/>
  <c r="O229" i="12"/>
  <c r="I264" i="12"/>
  <c r="F270" i="12"/>
  <c r="U405" i="2"/>
  <c r="L270" i="12"/>
  <c r="M514" i="12"/>
  <c r="F570" i="12"/>
  <c r="L267" i="12"/>
  <c r="J499" i="12"/>
  <c r="P473" i="12"/>
  <c r="K486" i="12"/>
  <c r="O481" i="12"/>
  <c r="I418" i="12"/>
  <c r="Q213" i="12"/>
  <c r="L409" i="12"/>
  <c r="I402" i="12"/>
  <c r="T187" i="12"/>
  <c r="M221" i="12"/>
  <c r="S380" i="12"/>
  <c r="I396" i="12"/>
  <c r="J501" i="12"/>
  <c r="T570" i="12"/>
  <c r="Q321" i="12"/>
  <c r="L308" i="12"/>
  <c r="G456" i="12"/>
  <c r="F366" i="12"/>
  <c r="U462" i="2"/>
  <c r="L366" i="12"/>
  <c r="P537" i="12"/>
  <c r="R273" i="12"/>
  <c r="S238" i="12"/>
  <c r="J585" i="12"/>
  <c r="M218" i="12"/>
  <c r="S229" i="12"/>
  <c r="J515" i="12"/>
  <c r="F109" i="12"/>
  <c r="U330" i="2"/>
  <c r="L504" i="12"/>
  <c r="O243" i="12"/>
  <c r="R208" i="12"/>
  <c r="M541" i="12"/>
  <c r="G226" i="12"/>
  <c r="K389" i="12"/>
  <c r="I275" i="12"/>
  <c r="S210" i="12"/>
  <c r="I409" i="12"/>
  <c r="I412" i="12"/>
  <c r="I215" i="12"/>
  <c r="G439" i="12"/>
  <c r="G187" i="12"/>
  <c r="N201" i="12"/>
  <c r="S193" i="12"/>
  <c r="R188" i="12"/>
  <c r="T375" i="12"/>
  <c r="L324" i="12"/>
  <c r="L148" i="12"/>
  <c r="M374" i="12"/>
  <c r="L298" i="12"/>
  <c r="N162" i="12"/>
  <c r="P263" i="12"/>
  <c r="O256" i="12"/>
  <c r="L136" i="12"/>
  <c r="K76" i="12"/>
  <c r="S212" i="12"/>
  <c r="J77" i="12"/>
  <c r="Q44" i="12"/>
  <c r="I85" i="12"/>
  <c r="G111" i="12"/>
  <c r="G196" i="12"/>
  <c r="N59" i="12"/>
  <c r="G192" i="12"/>
  <c r="S455" i="12"/>
  <c r="K463" i="12"/>
  <c r="P188" i="12"/>
  <c r="T179" i="12"/>
  <c r="AB712" i="12"/>
  <c r="P189" i="12"/>
  <c r="T309" i="12"/>
  <c r="P656" i="12"/>
  <c r="I397" i="12"/>
  <c r="L408" i="12"/>
  <c r="M120" i="12"/>
  <c r="L340" i="12"/>
  <c r="M162" i="12"/>
  <c r="F176" i="12"/>
  <c r="U261" i="2"/>
  <c r="P222" i="12"/>
  <c r="Q284" i="12"/>
  <c r="T124" i="12"/>
  <c r="K279" i="12"/>
  <c r="R91" i="12"/>
  <c r="R212" i="12"/>
  <c r="I77" i="12"/>
  <c r="O85" i="12"/>
  <c r="O88" i="12"/>
  <c r="O244" i="12"/>
  <c r="S244" i="12"/>
  <c r="T531" i="12"/>
  <c r="N236" i="12"/>
  <c r="J236" i="12"/>
  <c r="M257" i="12"/>
  <c r="Q332" i="12"/>
  <c r="P187" i="12"/>
  <c r="T171" i="12"/>
  <c r="Q301" i="12"/>
  <c r="R108" i="12"/>
  <c r="R310" i="12"/>
  <c r="F166" i="12"/>
  <c r="R121" i="12"/>
  <c r="L104" i="12"/>
  <c r="I158" i="12"/>
  <c r="Q150" i="12"/>
  <c r="S657" i="12"/>
  <c r="F259" i="12"/>
  <c r="I98" i="12"/>
  <c r="N502" i="12"/>
  <c r="R207" i="12"/>
  <c r="AR161" i="2"/>
  <c r="AQ161" i="2"/>
  <c r="O252" i="12"/>
  <c r="G181" i="12"/>
  <c r="G297" i="12"/>
  <c r="P148" i="12"/>
  <c r="O131" i="12"/>
  <c r="N132" i="12"/>
  <c r="J294" i="12"/>
  <c r="AA719" i="12"/>
  <c r="M25" i="3"/>
  <c r="M28" i="3" s="1"/>
  <c r="G240" i="12"/>
  <c r="M266" i="12"/>
  <c r="N123" i="12"/>
  <c r="P233" i="12"/>
  <c r="P212" i="12"/>
  <c r="G77" i="12"/>
  <c r="M111" i="12"/>
  <c r="O479" i="12"/>
  <c r="P235" i="12"/>
  <c r="I405" i="12"/>
  <c r="X668" i="12"/>
  <c r="K272" i="12"/>
  <c r="Q397" i="12"/>
  <c r="I374" i="12"/>
  <c r="K204" i="12"/>
  <c r="T340" i="12"/>
  <c r="J152" i="12"/>
  <c r="K150" i="12"/>
  <c r="F240" i="12"/>
  <c r="U174" i="2"/>
  <c r="J136" i="12"/>
  <c r="Q133" i="12"/>
  <c r="I113" i="12"/>
  <c r="I182" i="12"/>
  <c r="O199" i="12"/>
  <c r="L31" i="12"/>
  <c r="J151" i="12"/>
  <c r="Q394" i="12"/>
  <c r="F237" i="12"/>
  <c r="T153" i="12"/>
  <c r="P397" i="12"/>
  <c r="I156" i="12"/>
  <c r="Q106" i="12"/>
  <c r="L328" i="12"/>
  <c r="L132" i="12"/>
  <c r="J150" i="12"/>
  <c r="M657" i="12"/>
  <c r="J256" i="12"/>
  <c r="K266" i="12"/>
  <c r="G143" i="12"/>
  <c r="T113" i="12"/>
  <c r="K44" i="12"/>
  <c r="O389" i="12"/>
  <c r="N445" i="12"/>
  <c r="M214" i="12"/>
  <c r="K214" i="12"/>
  <c r="Q252" i="12"/>
  <c r="S457" i="12"/>
  <c r="K189" i="12"/>
  <c r="P301" i="12"/>
  <c r="T315" i="12"/>
  <c r="F120" i="12"/>
  <c r="U228" i="2"/>
  <c r="G356" i="12"/>
  <c r="G185" i="12"/>
  <c r="K162" i="12"/>
  <c r="P323" i="12"/>
  <c r="AB719" i="12"/>
  <c r="N25" i="3"/>
  <c r="N28" i="3" s="1"/>
  <c r="Q4" i="13" s="1"/>
  <c r="L657" i="12"/>
  <c r="G269" i="12"/>
  <c r="P110" i="12"/>
  <c r="T76" i="12"/>
  <c r="P70" i="12"/>
  <c r="K74" i="12"/>
  <c r="T308" i="12"/>
  <c r="G203" i="12"/>
  <c r="F198" i="12"/>
  <c r="G170" i="12"/>
  <c r="I312" i="12"/>
  <c r="M496" i="12"/>
  <c r="M468" i="12"/>
  <c r="N179" i="12"/>
  <c r="I442" i="12"/>
  <c r="O476" i="12"/>
  <c r="S476" i="12"/>
  <c r="Q190" i="12"/>
  <c r="J215" i="12"/>
  <c r="J149" i="12"/>
  <c r="T206" i="12"/>
  <c r="O180" i="12"/>
  <c r="T200" i="12"/>
  <c r="K202" i="12"/>
  <c r="L294" i="12"/>
  <c r="R92" i="12"/>
  <c r="G129" i="12"/>
  <c r="Q266" i="12"/>
  <c r="T123" i="12"/>
  <c r="P103" i="12"/>
  <c r="R95" i="12"/>
  <c r="F88" i="12"/>
  <c r="F200" i="12"/>
  <c r="U305" i="2"/>
  <c r="P173" i="12"/>
  <c r="L173" i="12"/>
  <c r="O143" i="12"/>
  <c r="P58" i="12"/>
  <c r="R234" i="12"/>
  <c r="U128" i="2"/>
  <c r="M8" i="3" s="1"/>
  <c r="G186" i="12"/>
  <c r="I62" i="12"/>
  <c r="I82" i="12"/>
  <c r="M93" i="12"/>
  <c r="R41" i="12"/>
  <c r="O165" i="12"/>
  <c r="T97" i="12"/>
  <c r="L48" i="12"/>
  <c r="R30" i="12"/>
  <c r="O154" i="12"/>
  <c r="K142" i="12"/>
  <c r="F12" i="12"/>
  <c r="U16" i="2"/>
  <c r="M153" i="3" s="1"/>
  <c r="P3" i="12"/>
  <c r="L9" i="12"/>
  <c r="L10" i="12"/>
  <c r="AA724" i="12"/>
  <c r="O317" i="12"/>
  <c r="T184" i="12"/>
  <c r="P213" i="12"/>
  <c r="O301" i="12"/>
  <c r="X726" i="12"/>
  <c r="J169" i="12"/>
  <c r="K69" i="12"/>
  <c r="F146" i="12"/>
  <c r="U85" i="2"/>
  <c r="M278" i="3" s="1"/>
  <c r="S33" i="12"/>
  <c r="L100" i="12"/>
  <c r="F65" i="12"/>
  <c r="U84" i="2"/>
  <c r="M295" i="3" s="1"/>
  <c r="O141" i="12"/>
  <c r="T40" i="12"/>
  <c r="R39" i="12"/>
  <c r="Q30" i="12"/>
  <c r="S18" i="12"/>
  <c r="N27" i="12"/>
  <c r="J17" i="12"/>
  <c r="S61" i="12"/>
  <c r="P16" i="12"/>
  <c r="T142" i="12"/>
  <c r="M8" i="12"/>
  <c r="S13" i="12"/>
  <c r="S45" i="12"/>
  <c r="G154" i="12"/>
  <c r="O7" i="12"/>
  <c r="N62" i="12"/>
  <c r="Q154" i="12"/>
  <c r="P13" i="12"/>
  <c r="S152" i="12"/>
  <c r="O90" i="12"/>
  <c r="K66" i="12"/>
  <c r="T130" i="12"/>
  <c r="I194" i="12"/>
  <c r="M117" i="12"/>
  <c r="G40" i="12"/>
  <c r="Q37" i="12"/>
  <c r="L53" i="12"/>
  <c r="I23" i="12"/>
  <c r="P10" i="12"/>
  <c r="Q2" i="12"/>
  <c r="V2" i="3"/>
  <c r="J43" i="12"/>
  <c r="M10" i="12"/>
  <c r="S20" i="12"/>
  <c r="K3" i="12"/>
  <c r="Q63" i="12"/>
  <c r="J3" i="12"/>
  <c r="J176" i="12"/>
  <c r="AA687" i="12"/>
  <c r="Q58" i="12"/>
  <c r="M58" i="12"/>
  <c r="P33" i="12"/>
  <c r="X710" i="12"/>
  <c r="K46" i="12"/>
  <c r="L138" i="12"/>
  <c r="O130" i="12"/>
  <c r="R56" i="12"/>
  <c r="F81" i="12"/>
  <c r="U89" i="2"/>
  <c r="M184" i="3" s="1"/>
  <c r="F97" i="12"/>
  <c r="U27" i="2"/>
  <c r="M101" i="3" s="1"/>
  <c r="R52" i="12"/>
  <c r="P67" i="12"/>
  <c r="T28" i="12"/>
  <c r="O22" i="12"/>
  <c r="T14" i="3"/>
  <c r="S93" i="12"/>
  <c r="I14" i="12"/>
  <c r="K37" i="12"/>
  <c r="L49" i="12"/>
  <c r="R301" i="12"/>
  <c r="O322" i="12"/>
  <c r="G87" i="12"/>
  <c r="J111" i="12"/>
  <c r="I69" i="12"/>
  <c r="K62" i="12"/>
  <c r="G47" i="12"/>
  <c r="J45" i="12"/>
  <c r="J51" i="12"/>
  <c r="R107" i="12"/>
  <c r="L60" i="12"/>
  <c r="P18" i="12"/>
  <c r="L14" i="12"/>
  <c r="I99" i="12"/>
  <c r="G99" i="12"/>
  <c r="O202" i="12"/>
  <c r="F45" i="12"/>
  <c r="U75" i="2"/>
  <c r="M180" i="3" s="1"/>
  <c r="AA728" i="12"/>
  <c r="F315" i="12"/>
  <c r="L357" i="12"/>
  <c r="I129" i="12"/>
  <c r="I126" i="12"/>
  <c r="T83" i="12"/>
  <c r="F85" i="12"/>
  <c r="Q73" i="12"/>
  <c r="S88" i="12"/>
  <c r="S66" i="12"/>
  <c r="K141" i="12"/>
  <c r="T51" i="12"/>
  <c r="J81" i="12"/>
  <c r="K60" i="12"/>
  <c r="S35" i="12"/>
  <c r="P52" i="12"/>
  <c r="M101" i="12"/>
  <c r="Q23" i="12"/>
  <c r="R99" i="12"/>
  <c r="R57" i="12"/>
  <c r="M23" i="12"/>
  <c r="G159" i="12"/>
  <c r="R104" i="12"/>
  <c r="J247" i="12"/>
  <c r="G266" i="12"/>
  <c r="L89" i="12"/>
  <c r="F155" i="12"/>
  <c r="J33" i="12"/>
  <c r="T100" i="12"/>
  <c r="Q64" i="12"/>
  <c r="N164" i="12"/>
  <c r="S51" i="12"/>
  <c r="N107" i="12"/>
  <c r="P21" i="12"/>
  <c r="Q127" i="12"/>
  <c r="I20" i="12"/>
  <c r="J14" i="12"/>
  <c r="M10" i="3"/>
  <c r="O93" i="12"/>
  <c r="P34" i="12"/>
  <c r="O100" i="12"/>
  <c r="P35" i="12"/>
  <c r="G326" i="12"/>
  <c r="P328" i="12"/>
  <c r="F263" i="12"/>
  <c r="J296" i="12"/>
  <c r="M140" i="12"/>
  <c r="Z685" i="12"/>
  <c r="Q69" i="12"/>
  <c r="R200" i="12"/>
  <c r="K174" i="12"/>
  <c r="K135" i="12"/>
  <c r="K123" i="12"/>
  <c r="M69" i="12"/>
  <c r="O42" i="12"/>
  <c r="Q79" i="12"/>
  <c r="P51" i="12"/>
  <c r="I117" i="12"/>
  <c r="M127" i="12"/>
  <c r="P154" i="12"/>
  <c r="F27" i="12"/>
  <c r="U36" i="2"/>
  <c r="M122" i="3" s="1"/>
  <c r="L17" i="12"/>
  <c r="N84" i="12"/>
  <c r="R16" i="12"/>
  <c r="M7" i="12"/>
  <c r="M16" i="12"/>
  <c r="O50" i="12"/>
  <c r="P142" i="12"/>
  <c r="I41" i="12"/>
  <c r="N55" i="12"/>
  <c r="M142" i="12"/>
  <c r="L194" i="12"/>
  <c r="P73" i="12"/>
  <c r="K23" i="12"/>
  <c r="P138" i="12"/>
  <c r="M48" i="12"/>
  <c r="K107" i="12"/>
  <c r="P27" i="12"/>
  <c r="N66" i="12"/>
  <c r="I37" i="12"/>
  <c r="K260" i="3" l="1"/>
  <c r="Z254" i="3"/>
  <c r="Z80" i="3"/>
  <c r="K144" i="3"/>
  <c r="P115" i="3"/>
  <c r="P7" i="13" s="1"/>
  <c r="Q115" i="3"/>
  <c r="O7" i="13" s="1"/>
  <c r="Z225" i="3"/>
  <c r="Z109" i="3"/>
  <c r="P347" i="3"/>
  <c r="P15" i="13" s="1"/>
  <c r="Q231" i="3"/>
  <c r="O11" i="13" s="1"/>
  <c r="Y721" i="12"/>
  <c r="Z341" i="3"/>
  <c r="L15" i="13"/>
  <c r="K231" i="3"/>
  <c r="Q289" i="3"/>
  <c r="O13" i="13" s="1"/>
  <c r="P86" i="3"/>
  <c r="P6" i="13" s="1"/>
  <c r="Z51" i="3"/>
  <c r="Z138" i="3"/>
  <c r="Z283" i="3"/>
  <c r="Z196" i="3"/>
  <c r="Z167" i="3"/>
  <c r="M225" i="3"/>
  <c r="F11" i="13" s="1"/>
  <c r="Z312" i="3"/>
  <c r="P318" i="3"/>
  <c r="P14" i="13" s="1"/>
  <c r="M196" i="3"/>
  <c r="F10" i="13" s="1"/>
  <c r="Q260" i="3"/>
  <c r="O12" i="13" s="1"/>
  <c r="P260" i="3"/>
  <c r="P12" i="13" s="1"/>
  <c r="Q10" i="13"/>
  <c r="P202" i="3"/>
  <c r="P10" i="13" s="1"/>
  <c r="P144" i="3"/>
  <c r="P8" i="13" s="1"/>
  <c r="Q144" i="3"/>
  <c r="O8" i="13" s="1"/>
  <c r="Q57" i="3"/>
  <c r="O5" i="13" s="1"/>
  <c r="P57" i="3"/>
  <c r="P5" i="13" s="1"/>
  <c r="M312" i="3"/>
  <c r="F14" i="13" s="1"/>
  <c r="M341" i="3"/>
  <c r="F15" i="13" s="1"/>
  <c r="M51" i="3"/>
  <c r="F5" i="13" s="1"/>
  <c r="M138" i="3"/>
  <c r="F8" i="13" s="1"/>
  <c r="M109" i="3"/>
  <c r="F7" i="13" s="1"/>
  <c r="K115" i="3"/>
  <c r="M254" i="3"/>
  <c r="F12" i="13" s="1"/>
  <c r="M167" i="3"/>
  <c r="F9" i="13" s="1"/>
  <c r="Q347" i="3"/>
  <c r="O15" i="13" s="1"/>
  <c r="O173" i="3"/>
  <c r="M283" i="3"/>
  <c r="F13" i="13" s="1"/>
  <c r="M80" i="3"/>
  <c r="F6" i="13" s="1"/>
  <c r="K318" i="3"/>
  <c r="K347" i="3"/>
  <c r="AC684" i="12"/>
  <c r="AD674" i="12"/>
  <c r="H205" i="12"/>
  <c r="C205" i="12" s="1"/>
  <c r="I434" i="2" s="1"/>
  <c r="AD724" i="12"/>
  <c r="H139" i="12"/>
  <c r="C139" i="12" s="1"/>
  <c r="H357" i="12"/>
  <c r="C357" i="12" s="1"/>
  <c r="I55" i="8" s="1"/>
  <c r="X22" i="3"/>
  <c r="L4" i="13" s="1"/>
  <c r="W22" i="3"/>
  <c r="L22" i="3"/>
  <c r="E4" i="13" s="1"/>
  <c r="H2" i="12"/>
  <c r="C2" i="12" s="1"/>
  <c r="M2" i="3"/>
  <c r="H132" i="12"/>
  <c r="C132" i="12" s="1"/>
  <c r="I240" i="2" s="1"/>
  <c r="H118" i="12"/>
  <c r="C118" i="12" s="1"/>
  <c r="H9" i="12"/>
  <c r="C9" i="12" s="1"/>
  <c r="I18" i="2" s="1"/>
  <c r="F213" i="3" s="1"/>
  <c r="H397" i="12"/>
  <c r="C397" i="12" s="1"/>
  <c r="I75" i="8" s="1"/>
  <c r="H117" i="12"/>
  <c r="C117" i="12" s="1"/>
  <c r="H364" i="12"/>
  <c r="C364" i="12" s="1"/>
  <c r="I602" i="2" s="1"/>
  <c r="H51" i="12"/>
  <c r="C51" i="12" s="1"/>
  <c r="I90" i="2" s="1"/>
  <c r="F272" i="3" s="1"/>
  <c r="H615" i="12"/>
  <c r="C615" i="12" s="1"/>
  <c r="H458" i="12"/>
  <c r="C458" i="12" s="1"/>
  <c r="H38" i="12"/>
  <c r="C38" i="12" s="1"/>
  <c r="I58" i="2" s="1"/>
  <c r="F60" i="3" s="1"/>
  <c r="H79" i="12"/>
  <c r="C79" i="12" s="1"/>
  <c r="I121" i="2" s="1"/>
  <c r="F68" i="3" s="1"/>
  <c r="H102" i="12"/>
  <c r="C102" i="12" s="1"/>
  <c r="I142" i="2" s="1"/>
  <c r="F182" i="3" s="1"/>
  <c r="H363" i="12"/>
  <c r="C363" i="12" s="1"/>
  <c r="I574" i="2" s="1"/>
  <c r="E125" i="7" s="1"/>
  <c r="H563" i="12"/>
  <c r="C563" i="12" s="1"/>
  <c r="H402" i="12"/>
  <c r="C402" i="12" s="1"/>
  <c r="H380" i="12"/>
  <c r="C380" i="12" s="1"/>
  <c r="I569" i="2" s="1"/>
  <c r="H293" i="12"/>
  <c r="C293" i="12" s="1"/>
  <c r="I568" i="2" s="1"/>
  <c r="E118" i="5" s="1"/>
  <c r="H331" i="12"/>
  <c r="C331" i="12" s="1"/>
  <c r="I594" i="2" s="1"/>
  <c r="H626" i="12"/>
  <c r="C626" i="12" s="1"/>
  <c r="H587" i="12"/>
  <c r="C587" i="12" s="1"/>
  <c r="H358" i="12"/>
  <c r="C358" i="12" s="1"/>
  <c r="I566" i="2" s="1"/>
  <c r="H525" i="12"/>
  <c r="C525" i="12" s="1"/>
  <c r="H599" i="12"/>
  <c r="C599" i="12" s="1"/>
  <c r="H495" i="12"/>
  <c r="C495" i="12" s="1"/>
  <c r="I682" i="2" s="1"/>
  <c r="H614" i="12"/>
  <c r="C614" i="12" s="1"/>
  <c r="H329" i="12"/>
  <c r="C329" i="12" s="1"/>
  <c r="I578" i="2" s="1"/>
  <c r="H523" i="12"/>
  <c r="C523" i="12" s="1"/>
  <c r="I674" i="2" s="1"/>
  <c r="H620" i="12"/>
  <c r="C620" i="12" s="1"/>
  <c r="H287" i="12"/>
  <c r="C287" i="12" s="1"/>
  <c r="I535" i="2" s="1"/>
  <c r="H520" i="12"/>
  <c r="C520" i="12" s="1"/>
  <c r="H603" i="12"/>
  <c r="C603" i="12" s="1"/>
  <c r="Y661" i="12"/>
  <c r="H374" i="12"/>
  <c r="C374" i="12" s="1"/>
  <c r="I67" i="8" s="1"/>
  <c r="H322" i="12"/>
  <c r="C322" i="12" s="1"/>
  <c r="I60" i="8" s="1"/>
  <c r="H463" i="12"/>
  <c r="C463" i="12" s="1"/>
  <c r="I100" i="8" s="1"/>
  <c r="H25" i="12"/>
  <c r="C25" i="12" s="1"/>
  <c r="I33" i="2" s="1"/>
  <c r="F93" i="3" s="1"/>
  <c r="H15" i="12"/>
  <c r="C15" i="12" s="1"/>
  <c r="I22" i="2" s="1"/>
  <c r="H385" i="12"/>
  <c r="C385" i="12" s="1"/>
  <c r="H131" i="12"/>
  <c r="C131" i="12" s="1"/>
  <c r="H223" i="12"/>
  <c r="C223" i="12" s="1"/>
  <c r="I473" i="2" s="1"/>
  <c r="Y695" i="12"/>
  <c r="H187" i="12"/>
  <c r="C187" i="12" s="1"/>
  <c r="H353" i="12"/>
  <c r="C353" i="12" s="1"/>
  <c r="I553" i="2" s="1"/>
  <c r="AD686" i="12"/>
  <c r="H274" i="12"/>
  <c r="C274" i="12" s="1"/>
  <c r="I68" i="8" s="1"/>
  <c r="Y662" i="12"/>
  <c r="AC659" i="12"/>
  <c r="H112" i="12"/>
  <c r="C112" i="12" s="1"/>
  <c r="I165" i="2" s="1"/>
  <c r="H445" i="12"/>
  <c r="C445" i="12" s="1"/>
  <c r="I108" i="8" s="1"/>
  <c r="H306" i="12"/>
  <c r="C306" i="12" s="1"/>
  <c r="H436" i="12"/>
  <c r="C436" i="12" s="1"/>
  <c r="I158" i="8" s="1"/>
  <c r="H370" i="12"/>
  <c r="C370" i="12" s="1"/>
  <c r="I580" i="2" s="1"/>
  <c r="Y685" i="12"/>
  <c r="H459" i="12"/>
  <c r="C459" i="12" s="1"/>
  <c r="H642" i="12"/>
  <c r="C642" i="12" s="1"/>
  <c r="I728" i="2" s="1"/>
  <c r="AD696" i="12"/>
  <c r="H251" i="12"/>
  <c r="C251" i="12" s="1"/>
  <c r="I417" i="2" s="1"/>
  <c r="H646" i="12"/>
  <c r="C646" i="12" s="1"/>
  <c r="I727" i="2" s="1"/>
  <c r="H475" i="12"/>
  <c r="C475" i="12" s="1"/>
  <c r="I658" i="2" s="1"/>
  <c r="H564" i="12"/>
  <c r="C564" i="12" s="1"/>
  <c r="I684" i="2" s="1"/>
  <c r="Y670" i="12"/>
  <c r="H367" i="12"/>
  <c r="C367" i="12" s="1"/>
  <c r="H554" i="12"/>
  <c r="C554" i="12" s="1"/>
  <c r="I713" i="2" s="1"/>
  <c r="E223" i="6" s="1"/>
  <c r="H406" i="12"/>
  <c r="C406" i="12" s="1"/>
  <c r="I645" i="2" s="1"/>
  <c r="E327" i="4" s="1"/>
  <c r="Y729" i="12"/>
  <c r="H634" i="12"/>
  <c r="C634" i="12" s="1"/>
  <c r="AD711" i="12"/>
  <c r="H446" i="12"/>
  <c r="C446" i="12" s="1"/>
  <c r="H278" i="12"/>
  <c r="C278" i="12" s="1"/>
  <c r="H649" i="12"/>
  <c r="C649" i="12" s="1"/>
  <c r="I229" i="8" s="1"/>
  <c r="H379" i="12"/>
  <c r="C379" i="12" s="1"/>
  <c r="I601" i="2" s="1"/>
  <c r="E156" i="7" s="1"/>
  <c r="H285" i="12"/>
  <c r="C285" i="12" s="1"/>
  <c r="I575" i="2" s="1"/>
  <c r="E133" i="6" s="1"/>
  <c r="H644" i="12"/>
  <c r="C644" i="12" s="1"/>
  <c r="I228" i="8" s="1"/>
  <c r="H280" i="12"/>
  <c r="C280" i="12" s="1"/>
  <c r="I558" i="2" s="1"/>
  <c r="H360" i="12"/>
  <c r="C360" i="12" s="1"/>
  <c r="I603" i="2" s="1"/>
  <c r="E165" i="5" s="1"/>
  <c r="H547" i="12"/>
  <c r="C547" i="12" s="1"/>
  <c r="I673" i="2" s="1"/>
  <c r="E166" i="5" s="1"/>
  <c r="H532" i="12"/>
  <c r="C532" i="12" s="1"/>
  <c r="I703" i="2" s="1"/>
  <c r="H452" i="12"/>
  <c r="C452" i="12" s="1"/>
  <c r="AC671" i="12"/>
  <c r="H69" i="12"/>
  <c r="C69" i="12" s="1"/>
  <c r="I78" i="2" s="1"/>
  <c r="F330" i="3" s="1"/>
  <c r="AD677" i="12"/>
  <c r="H46" i="12"/>
  <c r="C46" i="12" s="1"/>
  <c r="I44" i="2" s="1"/>
  <c r="F292" i="3" s="1"/>
  <c r="H239" i="12"/>
  <c r="C239" i="12" s="1"/>
  <c r="H233" i="12"/>
  <c r="C233" i="12" s="1"/>
  <c r="I40" i="8" s="1"/>
  <c r="H491" i="12"/>
  <c r="C491" i="12" s="1"/>
  <c r="I121" i="8" s="1"/>
  <c r="H261" i="12"/>
  <c r="C261" i="12" s="1"/>
  <c r="H409" i="12"/>
  <c r="C409" i="12" s="1"/>
  <c r="I103" i="8" s="1"/>
  <c r="H317" i="12"/>
  <c r="C317" i="12" s="1"/>
  <c r="I50" i="8" s="1"/>
  <c r="H502" i="12"/>
  <c r="C502" i="12" s="1"/>
  <c r="I117" i="8" s="1"/>
  <c r="H296" i="12"/>
  <c r="C296" i="12" s="1"/>
  <c r="H68" i="12"/>
  <c r="C68" i="12" s="1"/>
  <c r="AC687" i="12"/>
  <c r="H93" i="12"/>
  <c r="C93" i="12" s="1"/>
  <c r="H41" i="12"/>
  <c r="C41" i="12" s="1"/>
  <c r="I57" i="2" s="1"/>
  <c r="F98" i="3" s="1"/>
  <c r="H464" i="12"/>
  <c r="C464" i="12" s="1"/>
  <c r="I105" i="8" s="1"/>
  <c r="H412" i="12"/>
  <c r="C412" i="12" s="1"/>
  <c r="H242" i="12"/>
  <c r="C242" i="12" s="1"/>
  <c r="I464" i="2" s="1"/>
  <c r="H510" i="12"/>
  <c r="C510" i="12" s="1"/>
  <c r="I120" i="8" s="1"/>
  <c r="AC706" i="12"/>
  <c r="H330" i="12"/>
  <c r="C330" i="12" s="1"/>
  <c r="I484" i="2" s="1"/>
  <c r="H13" i="12"/>
  <c r="C13" i="12" s="1"/>
  <c r="I8" i="2" s="1"/>
  <c r="H103" i="12"/>
  <c r="C103" i="12" s="1"/>
  <c r="I140" i="2" s="1"/>
  <c r="F208" i="3" s="1"/>
  <c r="H146" i="12"/>
  <c r="C146" i="12" s="1"/>
  <c r="I29" i="8" s="1"/>
  <c r="H590" i="12"/>
  <c r="C590" i="12" s="1"/>
  <c r="H366" i="12"/>
  <c r="C366" i="12" s="1"/>
  <c r="I462" i="2" s="1"/>
  <c r="H231" i="12"/>
  <c r="C231" i="12" s="1"/>
  <c r="I391" i="2" s="1"/>
  <c r="F67" i="3" s="1"/>
  <c r="H36" i="12"/>
  <c r="C36" i="12" s="1"/>
  <c r="I29" i="2" s="1"/>
  <c r="F152" i="3" s="1"/>
  <c r="AC724" i="12"/>
  <c r="AD701" i="12"/>
  <c r="AD659" i="12"/>
  <c r="AD697" i="12"/>
  <c r="AD673" i="12"/>
  <c r="AD678" i="12"/>
  <c r="AD671" i="12"/>
  <c r="AD705" i="12"/>
  <c r="AD665" i="12"/>
  <c r="AD682" i="12"/>
  <c r="AD717" i="12"/>
  <c r="AD663" i="12"/>
  <c r="AD685" i="12"/>
  <c r="AD728" i="12"/>
  <c r="AD676" i="12"/>
  <c r="AD730" i="12"/>
  <c r="AD694" i="12"/>
  <c r="AD662" i="12"/>
  <c r="AD708" i="12"/>
  <c r="AD700" i="12"/>
  <c r="AD672" i="12"/>
  <c r="AD670" i="12"/>
  <c r="AD695" i="12"/>
  <c r="AD716" i="12"/>
  <c r="H319" i="12"/>
  <c r="C319" i="12" s="1"/>
  <c r="H522" i="12"/>
  <c r="C522" i="12" s="1"/>
  <c r="H196" i="12"/>
  <c r="C196" i="12" s="1"/>
  <c r="I30" i="8" s="1"/>
  <c r="H629" i="12"/>
  <c r="C629" i="12" s="1"/>
  <c r="I199" i="8" s="1"/>
  <c r="H269" i="12"/>
  <c r="C269" i="12" s="1"/>
  <c r="H26" i="12"/>
  <c r="C26" i="12" s="1"/>
  <c r="I56" i="2" s="1"/>
  <c r="F185" i="3" s="1"/>
  <c r="K22" i="3"/>
  <c r="D4" i="13" s="1"/>
  <c r="H77" i="12"/>
  <c r="C77" i="12" s="1"/>
  <c r="I148" i="2" s="1"/>
  <c r="F179" i="3" s="1"/>
  <c r="H201" i="12"/>
  <c r="C201" i="12" s="1"/>
  <c r="H195" i="12"/>
  <c r="C195" i="12" s="1"/>
  <c r="I17" i="8" s="1"/>
  <c r="AC677" i="12"/>
  <c r="AD680" i="12"/>
  <c r="H136" i="12"/>
  <c r="C136" i="12" s="1"/>
  <c r="I199" i="2" s="1"/>
  <c r="F268" i="3" s="1"/>
  <c r="H49" i="12"/>
  <c r="C49" i="12" s="1"/>
  <c r="I4" i="8" s="1"/>
  <c r="H186" i="12"/>
  <c r="C186" i="12" s="1"/>
  <c r="I33" i="8" s="1"/>
  <c r="H124" i="12"/>
  <c r="C124" i="12" s="1"/>
  <c r="I197" i="2" s="1"/>
  <c r="F156" i="3" s="1"/>
  <c r="H150" i="12"/>
  <c r="C150" i="12" s="1"/>
  <c r="I271" i="2" s="1"/>
  <c r="H89" i="12"/>
  <c r="C89" i="12" s="1"/>
  <c r="I134" i="2" s="1"/>
  <c r="F40" i="3" s="1"/>
  <c r="H267" i="12"/>
  <c r="C267" i="12" s="1"/>
  <c r="I497" i="2" s="1"/>
  <c r="E118" i="6" s="1"/>
  <c r="AD727" i="12"/>
  <c r="H64" i="12"/>
  <c r="C64" i="12" s="1"/>
  <c r="I109" i="2" s="1"/>
  <c r="F123" i="3" s="1"/>
  <c r="AD687" i="12"/>
  <c r="AC726" i="12"/>
  <c r="AD692" i="12"/>
  <c r="H58" i="12"/>
  <c r="C58" i="12" s="1"/>
  <c r="I117" i="2" s="1"/>
  <c r="I2" i="2"/>
  <c r="F263" i="3" s="1"/>
  <c r="H30" i="12"/>
  <c r="C30" i="12" s="1"/>
  <c r="I39" i="2" s="1"/>
  <c r="F210" i="3" s="1"/>
  <c r="H256" i="12"/>
  <c r="C256" i="12" s="1"/>
  <c r="H359" i="12"/>
  <c r="C359" i="12" s="1"/>
  <c r="I77" i="8" s="1"/>
  <c r="Y707" i="12"/>
  <c r="Y682" i="12"/>
  <c r="H613" i="12"/>
  <c r="C613" i="12" s="1"/>
  <c r="Y697" i="12"/>
  <c r="AD706" i="12"/>
  <c r="AC692" i="12"/>
  <c r="AC727" i="12"/>
  <c r="H147" i="12"/>
  <c r="C147" i="12" s="1"/>
  <c r="I257" i="2" s="1"/>
  <c r="H480" i="12"/>
  <c r="C480" i="12" s="1"/>
  <c r="I138" i="8" s="1"/>
  <c r="H159" i="12"/>
  <c r="C159" i="12" s="1"/>
  <c r="I319" i="2" s="1"/>
  <c r="F66" i="3" s="1"/>
  <c r="I299" i="2"/>
  <c r="H232" i="12"/>
  <c r="C232" i="12" s="1"/>
  <c r="I386" i="2" s="1"/>
  <c r="E110" i="6" s="1"/>
  <c r="H473" i="12"/>
  <c r="C473" i="12" s="1"/>
  <c r="I133" i="8" s="1"/>
  <c r="AC715" i="12"/>
  <c r="Y705" i="12"/>
  <c r="AC720" i="12"/>
  <c r="H501" i="12"/>
  <c r="C501" i="12" s="1"/>
  <c r="H244" i="12"/>
  <c r="C244" i="12" s="1"/>
  <c r="I447" i="2" s="1"/>
  <c r="H578" i="12"/>
  <c r="C578" i="12" s="1"/>
  <c r="I137" i="8" s="1"/>
  <c r="H264" i="12"/>
  <c r="C264" i="12" s="1"/>
  <c r="I494" i="2" s="1"/>
  <c r="E111" i="6" s="1"/>
  <c r="H235" i="12"/>
  <c r="C235" i="12" s="1"/>
  <c r="I445" i="2" s="1"/>
  <c r="H561" i="12"/>
  <c r="C561" i="12" s="1"/>
  <c r="H204" i="12"/>
  <c r="C204" i="12" s="1"/>
  <c r="I282" i="2" s="1"/>
  <c r="E57" i="5" s="1"/>
  <c r="I498" i="2"/>
  <c r="H342" i="12"/>
  <c r="C342" i="12" s="1"/>
  <c r="I588" i="2" s="1"/>
  <c r="H456" i="12"/>
  <c r="C456" i="12" s="1"/>
  <c r="I604" i="2" s="1"/>
  <c r="E136" i="7" s="1"/>
  <c r="H350" i="12"/>
  <c r="C350" i="12" s="1"/>
  <c r="I581" i="2" s="1"/>
  <c r="E288" i="4" s="1"/>
  <c r="H594" i="12"/>
  <c r="C594" i="12" s="1"/>
  <c r="I710" i="2" s="1"/>
  <c r="AD681" i="12"/>
  <c r="H623" i="12"/>
  <c r="C623" i="12" s="1"/>
  <c r="AC666" i="12"/>
  <c r="AD714" i="12"/>
  <c r="H335" i="12"/>
  <c r="C335" i="12" s="1"/>
  <c r="I579" i="2" s="1"/>
  <c r="E131" i="7" s="1"/>
  <c r="Y672" i="12"/>
  <c r="H648" i="12"/>
  <c r="C648" i="12" s="1"/>
  <c r="Y684" i="12"/>
  <c r="H433" i="12"/>
  <c r="C433" i="12" s="1"/>
  <c r="I587" i="2" s="1"/>
  <c r="AC660" i="12"/>
  <c r="H381" i="12"/>
  <c r="C381" i="12" s="1"/>
  <c r="I609" i="2" s="1"/>
  <c r="E199" i="6" s="1"/>
  <c r="AD689" i="12"/>
  <c r="AC669" i="12"/>
  <c r="H606" i="12"/>
  <c r="C606" i="12" s="1"/>
  <c r="I720" i="2" s="1"/>
  <c r="Y694" i="12"/>
  <c r="Y716" i="12"/>
  <c r="AD729" i="12"/>
  <c r="H429" i="12"/>
  <c r="C429" i="12" s="1"/>
  <c r="AC711" i="12"/>
  <c r="H467" i="12"/>
  <c r="C467" i="12" s="1"/>
  <c r="I644" i="2" s="1"/>
  <c r="H583" i="12"/>
  <c r="C583" i="12" s="1"/>
  <c r="I699" i="2" s="1"/>
  <c r="J699" i="2" s="1"/>
  <c r="H443" i="12"/>
  <c r="C443" i="12" s="1"/>
  <c r="I624" i="2" s="1"/>
  <c r="E152" i="7" s="1"/>
  <c r="H637" i="12"/>
  <c r="C637" i="12" s="1"/>
  <c r="I222" i="8" s="1"/>
  <c r="H346" i="12"/>
  <c r="C346" i="12" s="1"/>
  <c r="I564" i="2" s="1"/>
  <c r="H288" i="12"/>
  <c r="C288" i="12" s="1"/>
  <c r="I518" i="2" s="1"/>
  <c r="E178" i="5" s="1"/>
  <c r="Y691" i="12"/>
  <c r="H454" i="12"/>
  <c r="C454" i="12" s="1"/>
  <c r="I642" i="2" s="1"/>
  <c r="E344" i="4" s="1"/>
  <c r="H313" i="12"/>
  <c r="C313" i="12" s="1"/>
  <c r="I584" i="2" s="1"/>
  <c r="E132" i="6" s="1"/>
  <c r="H528" i="12"/>
  <c r="C528" i="12" s="1"/>
  <c r="H392" i="12"/>
  <c r="C392" i="12" s="1"/>
  <c r="I627" i="2" s="1"/>
  <c r="H605" i="12"/>
  <c r="C605" i="12" s="1"/>
  <c r="I717" i="2" s="1"/>
  <c r="H572" i="12"/>
  <c r="C572" i="12" s="1"/>
  <c r="I705" i="2" s="1"/>
  <c r="H373" i="12"/>
  <c r="C373" i="12" s="1"/>
  <c r="I596" i="2" s="1"/>
  <c r="E196" i="6" s="1"/>
  <c r="AC667" i="12"/>
  <c r="AC717" i="12"/>
  <c r="AC705" i="12"/>
  <c r="H66" i="12"/>
  <c r="C66" i="12" s="1"/>
  <c r="I113" i="2" s="1"/>
  <c r="F273" i="3" s="1"/>
  <c r="Y724" i="12"/>
  <c r="H324" i="12"/>
  <c r="C324" i="12" s="1"/>
  <c r="I73" i="8" s="1"/>
  <c r="H625" i="12"/>
  <c r="C625" i="12" s="1"/>
  <c r="H311" i="12"/>
  <c r="C311" i="12" s="1"/>
  <c r="I552" i="2" s="1"/>
  <c r="H476" i="12"/>
  <c r="C476" i="12" s="1"/>
  <c r="I110" i="8" s="1"/>
  <c r="H383" i="12"/>
  <c r="C383" i="12" s="1"/>
  <c r="I90" i="8" s="1"/>
  <c r="H404" i="12"/>
  <c r="C404" i="12" s="1"/>
  <c r="I583" i="2" s="1"/>
  <c r="H305" i="12"/>
  <c r="C305" i="12" s="1"/>
  <c r="I543" i="2" s="1"/>
  <c r="H250" i="12"/>
  <c r="C250" i="12" s="1"/>
  <c r="I398" i="2" s="1"/>
  <c r="H408" i="12"/>
  <c r="C408" i="12" s="1"/>
  <c r="I70" i="8" s="1"/>
  <c r="H577" i="12"/>
  <c r="C577" i="12" s="1"/>
  <c r="I182" i="8" s="1"/>
  <c r="H643" i="12"/>
  <c r="C643" i="12" s="1"/>
  <c r="H484" i="12"/>
  <c r="C484" i="12" s="1"/>
  <c r="I122" i="8" s="1"/>
  <c r="AD720" i="12"/>
  <c r="H576" i="12"/>
  <c r="C576" i="12" s="1"/>
  <c r="H271" i="12"/>
  <c r="C271" i="12" s="1"/>
  <c r="I490" i="2" s="1"/>
  <c r="H468" i="12"/>
  <c r="C468" i="12" s="1"/>
  <c r="H384" i="12"/>
  <c r="C384" i="12" s="1"/>
  <c r="I611" i="2" s="1"/>
  <c r="H519" i="12"/>
  <c r="C519" i="12" s="1"/>
  <c r="H104" i="12"/>
  <c r="C104" i="12" s="1"/>
  <c r="I230" i="2" s="1"/>
  <c r="F211" i="3" s="1"/>
  <c r="H529" i="12"/>
  <c r="C529" i="12" s="1"/>
  <c r="I164" i="8" s="1"/>
  <c r="H604" i="12"/>
  <c r="C604" i="12" s="1"/>
  <c r="I160" i="8" s="1"/>
  <c r="H430" i="12"/>
  <c r="C430" i="12" s="1"/>
  <c r="I635" i="2" s="1"/>
  <c r="AC723" i="12"/>
  <c r="AC683" i="12"/>
  <c r="AD702" i="12"/>
  <c r="Y681" i="12"/>
  <c r="AD666" i="12"/>
  <c r="AC679" i="12"/>
  <c r="H544" i="12"/>
  <c r="C544" i="12" s="1"/>
  <c r="I669" i="2" s="1"/>
  <c r="AC714" i="12"/>
  <c r="H647" i="12"/>
  <c r="C647" i="12" s="1"/>
  <c r="I207" i="8" s="1"/>
  <c r="AD660" i="12"/>
  <c r="AD704" i="12"/>
  <c r="H471" i="12"/>
  <c r="C471" i="12" s="1"/>
  <c r="I654" i="2" s="1"/>
  <c r="E195" i="6" s="1"/>
  <c r="Y714" i="12"/>
  <c r="Y731" i="12"/>
  <c r="H431" i="12"/>
  <c r="C431" i="12" s="1"/>
  <c r="I657" i="2" s="1"/>
  <c r="H548" i="12"/>
  <c r="C548" i="12" s="1"/>
  <c r="H336" i="12"/>
  <c r="C336" i="12" s="1"/>
  <c r="AC670" i="12"/>
  <c r="Y722" i="12"/>
  <c r="AC674" i="12"/>
  <c r="Y666" i="12"/>
  <c r="H432" i="12"/>
  <c r="C432" i="12" s="1"/>
  <c r="AD693" i="12"/>
  <c r="H546" i="12"/>
  <c r="C546" i="12" s="1"/>
  <c r="I688" i="2" s="1"/>
  <c r="H462" i="12"/>
  <c r="C462" i="12" s="1"/>
  <c r="I630" i="2" s="1"/>
  <c r="H348" i="12"/>
  <c r="C348" i="12" s="1"/>
  <c r="I586" i="2" s="1"/>
  <c r="AD713" i="12"/>
  <c r="AD667" i="12"/>
  <c r="H640" i="12"/>
  <c r="C640" i="12" s="1"/>
  <c r="Y675" i="12"/>
  <c r="H477" i="12"/>
  <c r="C477" i="12" s="1"/>
  <c r="I663" i="2" s="1"/>
  <c r="Y679" i="12"/>
  <c r="H263" i="12"/>
  <c r="C263" i="12" s="1"/>
  <c r="AC701" i="12"/>
  <c r="AC682" i="12"/>
  <c r="AC680" i="12"/>
  <c r="AC708" i="12"/>
  <c r="AC695" i="12"/>
  <c r="H202" i="12"/>
  <c r="C202" i="12" s="1"/>
  <c r="I309" i="2" s="1"/>
  <c r="H148" i="12"/>
  <c r="C148" i="12" s="1"/>
  <c r="I244" i="2" s="1"/>
  <c r="F127" i="3" s="1"/>
  <c r="H183" i="12"/>
  <c r="C183" i="12" s="1"/>
  <c r="I348" i="2" s="1"/>
  <c r="H4" i="12"/>
  <c r="C4" i="12" s="1"/>
  <c r="I3" i="2" s="1"/>
  <c r="F118" i="3" s="1"/>
  <c r="H61" i="12"/>
  <c r="C61" i="12" s="1"/>
  <c r="H24" i="12"/>
  <c r="C24" i="12" s="1"/>
  <c r="I28" i="2" s="1"/>
  <c r="F293" i="3" s="1"/>
  <c r="H119" i="12"/>
  <c r="C119" i="12" s="1"/>
  <c r="I227" i="2" s="1"/>
  <c r="E53" i="5" s="1"/>
  <c r="H418" i="12"/>
  <c r="C418" i="12" s="1"/>
  <c r="I114" i="8" s="1"/>
  <c r="H90" i="12"/>
  <c r="C90" i="12" s="1"/>
  <c r="I173" i="2" s="1"/>
  <c r="E56" i="6" s="1"/>
  <c r="Y663" i="12"/>
  <c r="H67" i="12"/>
  <c r="C67" i="12" s="1"/>
  <c r="I40" i="2" s="1"/>
  <c r="F39" i="3" s="1"/>
  <c r="AD726" i="12"/>
  <c r="H173" i="12"/>
  <c r="C173" i="12" s="1"/>
  <c r="H435" i="12"/>
  <c r="C435" i="12" s="1"/>
  <c r="I599" i="2" s="1"/>
  <c r="H567" i="12"/>
  <c r="C567" i="12" s="1"/>
  <c r="I172" i="8" s="1"/>
  <c r="H123" i="12"/>
  <c r="C123" i="12" s="1"/>
  <c r="I196" i="2" s="1"/>
  <c r="F7" i="3" s="1"/>
  <c r="H12" i="12"/>
  <c r="C12" i="12" s="1"/>
  <c r="I16" i="2" s="1"/>
  <c r="F153" i="3" s="1"/>
  <c r="AC665" i="12"/>
  <c r="H253" i="12"/>
  <c r="C253" i="12" s="1"/>
  <c r="I410" i="2" s="1"/>
  <c r="H375" i="12"/>
  <c r="C375" i="12" s="1"/>
  <c r="I79" i="8" s="1"/>
  <c r="H177" i="12"/>
  <c r="C177" i="12" s="1"/>
  <c r="I25" i="8" s="1"/>
  <c r="H42" i="12"/>
  <c r="C42" i="12" s="1"/>
  <c r="I114" i="2" s="1"/>
  <c r="F35" i="3" s="1"/>
  <c r="E22" i="5"/>
  <c r="H284" i="12"/>
  <c r="C284" i="12" s="1"/>
  <c r="I45" i="8" s="1"/>
  <c r="AC678" i="12"/>
  <c r="H247" i="12"/>
  <c r="C247" i="12" s="1"/>
  <c r="AD707" i="12"/>
  <c r="H7" i="12"/>
  <c r="C7" i="12" s="1"/>
  <c r="I11" i="2" s="1"/>
  <c r="H193" i="12"/>
  <c r="C193" i="12" s="1"/>
  <c r="I382" i="2" s="1"/>
  <c r="H314" i="12"/>
  <c r="C314" i="12" s="1"/>
  <c r="I463" i="2" s="1"/>
  <c r="E113" i="6" s="1"/>
  <c r="H260" i="12"/>
  <c r="C260" i="12" s="1"/>
  <c r="I477" i="2" s="1"/>
  <c r="H241" i="12"/>
  <c r="C241" i="12" s="1"/>
  <c r="I84" i="8" s="1"/>
  <c r="H33" i="12"/>
  <c r="C33" i="12" s="1"/>
  <c r="I74" i="2" s="1"/>
  <c r="F89" i="3" s="1"/>
  <c r="H165" i="12"/>
  <c r="C165" i="12" s="1"/>
  <c r="AC697" i="12"/>
  <c r="H208" i="12"/>
  <c r="C208" i="12" s="1"/>
  <c r="I349" i="2" s="1"/>
  <c r="AC673" i="12"/>
  <c r="H184" i="12"/>
  <c r="C184" i="12" s="1"/>
  <c r="I31" i="8" s="1"/>
  <c r="S22" i="3"/>
  <c r="K4" i="13" s="1"/>
  <c r="H170" i="12"/>
  <c r="C170" i="12" s="1"/>
  <c r="I286" i="2" s="1"/>
  <c r="F296" i="3" s="1"/>
  <c r="H580" i="12"/>
  <c r="C580" i="12" s="1"/>
  <c r="I166" i="8" s="1"/>
  <c r="Y730" i="12"/>
  <c r="Y717" i="12"/>
  <c r="H460" i="12"/>
  <c r="C460" i="12" s="1"/>
  <c r="I107" i="8" s="1"/>
  <c r="H92" i="12"/>
  <c r="C92" i="12" s="1"/>
  <c r="I209" i="2" s="1"/>
  <c r="F32" i="3" s="1"/>
  <c r="H216" i="12"/>
  <c r="C216" i="12" s="1"/>
  <c r="I424" i="2" s="1"/>
  <c r="H341" i="12"/>
  <c r="C341" i="12" s="1"/>
  <c r="I555" i="2" s="1"/>
  <c r="H340" i="12"/>
  <c r="C340" i="12" s="1"/>
  <c r="I63" i="8" s="1"/>
  <c r="H494" i="12"/>
  <c r="C494" i="12" s="1"/>
  <c r="Y665" i="12"/>
  <c r="H439" i="12"/>
  <c r="C439" i="12" s="1"/>
  <c r="I92" i="8" s="1"/>
  <c r="H226" i="12"/>
  <c r="C226" i="12" s="1"/>
  <c r="I420" i="2" s="1"/>
  <c r="E97" i="7" s="1"/>
  <c r="H411" i="12"/>
  <c r="C411" i="12" s="1"/>
  <c r="I598" i="2" s="1"/>
  <c r="H453" i="12"/>
  <c r="C453" i="12" s="1"/>
  <c r="I589" i="2" s="1"/>
  <c r="E130" i="7" s="1"/>
  <c r="H645" i="12"/>
  <c r="C645" i="12" s="1"/>
  <c r="H504" i="12"/>
  <c r="C504" i="12" s="1"/>
  <c r="Y698" i="12"/>
  <c r="H309" i="12"/>
  <c r="C309" i="12" s="1"/>
  <c r="I81" i="8" s="1"/>
  <c r="H574" i="12"/>
  <c r="C574" i="12" s="1"/>
  <c r="H589" i="12"/>
  <c r="C589" i="12" s="1"/>
  <c r="H262" i="12"/>
  <c r="C262" i="12" s="1"/>
  <c r="I489" i="2" s="1"/>
  <c r="H537" i="12"/>
  <c r="C537" i="12" s="1"/>
  <c r="H279" i="12"/>
  <c r="C279" i="12" s="1"/>
  <c r="I42" i="8" s="1"/>
  <c r="H149" i="12"/>
  <c r="C149" i="12" s="1"/>
  <c r="I303" i="2" s="1"/>
  <c r="E81" i="7" s="1"/>
  <c r="H304" i="12"/>
  <c r="C304" i="12" s="1"/>
  <c r="I512" i="2" s="1"/>
  <c r="J512" i="2" s="1"/>
  <c r="H361" i="12"/>
  <c r="C361" i="12" s="1"/>
  <c r="I610" i="2" s="1"/>
  <c r="H530" i="12"/>
  <c r="C530" i="12" s="1"/>
  <c r="H490" i="12"/>
  <c r="C490" i="12" s="1"/>
  <c r="E113" i="7"/>
  <c r="E239" i="4"/>
  <c r="J464" i="2"/>
  <c r="H633" i="12"/>
  <c r="C633" i="12" s="1"/>
  <c r="I723" i="2" s="1"/>
  <c r="AD723" i="12"/>
  <c r="H624" i="12"/>
  <c r="C624" i="12" s="1"/>
  <c r="I719" i="2" s="1"/>
  <c r="E428" i="4" s="1"/>
  <c r="AD683" i="12"/>
  <c r="H393" i="12"/>
  <c r="C393" i="12" s="1"/>
  <c r="I625" i="2" s="1"/>
  <c r="H632" i="12"/>
  <c r="C632" i="12" s="1"/>
  <c r="I694" i="2" s="1"/>
  <c r="H539" i="12"/>
  <c r="C539" i="12" s="1"/>
  <c r="I692" i="2" s="1"/>
  <c r="E202" i="6" s="1"/>
  <c r="AD679" i="12"/>
  <c r="H447" i="12"/>
  <c r="C447" i="12" s="1"/>
  <c r="I662" i="2" s="1"/>
  <c r="E359" i="4" s="1"/>
  <c r="H399" i="12"/>
  <c r="C399" i="12" s="1"/>
  <c r="I633" i="2" s="1"/>
  <c r="AD688" i="12"/>
  <c r="AC704" i="12"/>
  <c r="H536" i="12"/>
  <c r="C536" i="12" s="1"/>
  <c r="I677" i="2" s="1"/>
  <c r="E400" i="4" s="1"/>
  <c r="H582" i="12"/>
  <c r="C582" i="12" s="1"/>
  <c r="H225" i="12"/>
  <c r="C225" i="12" s="1"/>
  <c r="I403" i="2" s="1"/>
  <c r="E144" i="7" s="1"/>
  <c r="H608" i="12"/>
  <c r="C608" i="12" s="1"/>
  <c r="I636" i="2"/>
  <c r="H533" i="12"/>
  <c r="C533" i="12" s="1"/>
  <c r="H593" i="12"/>
  <c r="C593" i="12" s="1"/>
  <c r="I706" i="2" s="1"/>
  <c r="I617" i="2"/>
  <c r="Y683" i="12"/>
  <c r="H538" i="12"/>
  <c r="C538" i="12" s="1"/>
  <c r="I680" i="2" s="1"/>
  <c r="H498" i="12"/>
  <c r="C498" i="12" s="1"/>
  <c r="I656" i="2" s="1"/>
  <c r="E183" i="6" s="1"/>
  <c r="H472" i="12"/>
  <c r="C472" i="12" s="1"/>
  <c r="I668" i="2" s="1"/>
  <c r="E173" i="7" s="1"/>
  <c r="H635" i="12"/>
  <c r="C635" i="12" s="1"/>
  <c r="I200" i="8" s="1"/>
  <c r="AC693" i="12"/>
  <c r="AC725" i="12"/>
  <c r="AC709" i="12"/>
  <c r="H343" i="12"/>
  <c r="C343" i="12" s="1"/>
  <c r="I557" i="2" s="1"/>
  <c r="J557" i="2" s="1"/>
  <c r="H492" i="12"/>
  <c r="C492" i="12" s="1"/>
  <c r="I667" i="2" s="1"/>
  <c r="E323" i="4" s="1"/>
  <c r="H325" i="12"/>
  <c r="C325" i="12" s="1"/>
  <c r="I572" i="2" s="1"/>
  <c r="H398" i="12"/>
  <c r="C398" i="12" s="1"/>
  <c r="I612" i="2" s="1"/>
  <c r="H607" i="12"/>
  <c r="C607" i="12" s="1"/>
  <c r="I714" i="2" s="1"/>
  <c r="H560" i="12"/>
  <c r="C560" i="12" s="1"/>
  <c r="Y687" i="12"/>
  <c r="H192" i="12"/>
  <c r="C192" i="12" s="1"/>
  <c r="I363" i="2" s="1"/>
  <c r="E79" i="5" s="1"/>
  <c r="H266" i="12"/>
  <c r="C266" i="12" s="1"/>
  <c r="H291" i="12"/>
  <c r="C291" i="12" s="1"/>
  <c r="I517" i="2" s="1"/>
  <c r="E115" i="7" s="1"/>
  <c r="H556" i="12"/>
  <c r="C556" i="12" s="1"/>
  <c r="I141" i="8" s="1"/>
  <c r="H27" i="12"/>
  <c r="C27" i="12" s="1"/>
  <c r="I36" i="2" s="1"/>
  <c r="F122" i="3" s="1"/>
  <c r="H45" i="12"/>
  <c r="C45" i="12" s="1"/>
  <c r="I75" i="2" s="1"/>
  <c r="F180" i="3" s="1"/>
  <c r="H200" i="12"/>
  <c r="C200" i="12" s="1"/>
  <c r="I305" i="2" s="1"/>
  <c r="H176" i="12"/>
  <c r="C176" i="12" s="1"/>
  <c r="I261" i="2" s="1"/>
  <c r="H295" i="12"/>
  <c r="C295" i="12" s="1"/>
  <c r="I531" i="2" s="1"/>
  <c r="E112" i="6" s="1"/>
  <c r="H191" i="12"/>
  <c r="C191" i="12" s="1"/>
  <c r="I335" i="2" s="1"/>
  <c r="H31" i="12"/>
  <c r="C31" i="12" s="1"/>
  <c r="I115" i="2" s="1"/>
  <c r="F128" i="3" s="1"/>
  <c r="E107" i="7"/>
  <c r="E223" i="4"/>
  <c r="H656" i="12"/>
  <c r="C656" i="12" s="1"/>
  <c r="I78" i="8" s="1"/>
  <c r="H185" i="12"/>
  <c r="C185" i="12" s="1"/>
  <c r="I293" i="2" s="1"/>
  <c r="H524" i="12"/>
  <c r="C524" i="12" s="1"/>
  <c r="Y671" i="12"/>
  <c r="AD703" i="12"/>
  <c r="H14" i="12"/>
  <c r="C14" i="12" s="1"/>
  <c r="I30" i="2" s="1"/>
  <c r="F209" i="3" s="1"/>
  <c r="E30" i="5"/>
  <c r="E29" i="6"/>
  <c r="E54" i="4"/>
  <c r="J109" i="2"/>
  <c r="H328" i="12"/>
  <c r="C328" i="12" s="1"/>
  <c r="I61" i="8" s="1"/>
  <c r="H153" i="12"/>
  <c r="C153" i="12" s="1"/>
  <c r="I298" i="2" s="1"/>
  <c r="Y712" i="12"/>
  <c r="H229" i="12"/>
  <c r="C229" i="12" s="1"/>
  <c r="I393" i="2" s="1"/>
  <c r="F324" i="3" s="1"/>
  <c r="H461" i="12"/>
  <c r="C461" i="12" s="1"/>
  <c r="H221" i="12"/>
  <c r="C221" i="12" s="1"/>
  <c r="I331" i="2" s="1"/>
  <c r="H194" i="12"/>
  <c r="C194" i="12" s="1"/>
  <c r="I21" i="8" s="1"/>
  <c r="H99" i="12"/>
  <c r="C99" i="12" s="1"/>
  <c r="I374" i="2"/>
  <c r="H86" i="12"/>
  <c r="C86" i="12" s="1"/>
  <c r="I169" i="2" s="1"/>
  <c r="F269" i="3" s="1"/>
  <c r="H52" i="12"/>
  <c r="C52" i="12" s="1"/>
  <c r="I48" i="2" s="1"/>
  <c r="F148" i="3" s="1"/>
  <c r="H180" i="12"/>
  <c r="C180" i="12" s="1"/>
  <c r="I283" i="2" s="1"/>
  <c r="H273" i="12"/>
  <c r="C273" i="12" s="1"/>
  <c r="I483" i="2" s="1"/>
  <c r="H535" i="12"/>
  <c r="C535" i="12" s="1"/>
  <c r="H276" i="12"/>
  <c r="C276" i="12" s="1"/>
  <c r="I83" i="8" s="1"/>
  <c r="H72" i="12"/>
  <c r="C72" i="12" s="1"/>
  <c r="I106" i="2" s="1"/>
  <c r="AC710" i="12"/>
  <c r="H11" i="12"/>
  <c r="C11" i="12" s="1"/>
  <c r="I10" i="2" s="1"/>
  <c r="AC712" i="12"/>
  <c r="H382" i="12"/>
  <c r="C382" i="12" s="1"/>
  <c r="I86" i="8" s="1"/>
  <c r="Y703" i="12"/>
  <c r="H254" i="12"/>
  <c r="C254" i="12" s="1"/>
  <c r="I479" i="2" s="1"/>
  <c r="E106" i="5" s="1"/>
  <c r="AC698" i="12"/>
  <c r="H422" i="12"/>
  <c r="C422" i="12" s="1"/>
  <c r="I591" i="2" s="1"/>
  <c r="H440" i="12"/>
  <c r="C440" i="12" s="1"/>
  <c r="H543" i="12"/>
  <c r="C543" i="12" s="1"/>
  <c r="H651" i="12"/>
  <c r="C651" i="12" s="1"/>
  <c r="Y720" i="12"/>
  <c r="H167" i="12"/>
  <c r="C167" i="12" s="1"/>
  <c r="I301" i="2" s="1"/>
  <c r="H105" i="12"/>
  <c r="C105" i="12" s="1"/>
  <c r="I255" i="2" s="1"/>
  <c r="H631" i="12"/>
  <c r="C631" i="12" s="1"/>
  <c r="Y719" i="12"/>
  <c r="K25" i="3"/>
  <c r="K28" i="3" s="1"/>
  <c r="H188" i="12"/>
  <c r="C188" i="12" s="1"/>
  <c r="I275" i="2" s="1"/>
  <c r="H175" i="12"/>
  <c r="C175" i="12" s="1"/>
  <c r="I290" i="2" s="1"/>
  <c r="H650" i="12"/>
  <c r="C650" i="12" s="1"/>
  <c r="H179" i="12"/>
  <c r="C179" i="12" s="1"/>
  <c r="I263" i="2" s="1"/>
  <c r="F62" i="3" s="1"/>
  <c r="H513" i="12"/>
  <c r="C513" i="12" s="1"/>
  <c r="I474" i="2"/>
  <c r="H163" i="12"/>
  <c r="C163" i="12" s="1"/>
  <c r="I280" i="2" s="1"/>
  <c r="H390" i="12"/>
  <c r="C390" i="12" s="1"/>
  <c r="I616" i="2" s="1"/>
  <c r="E143" i="7" s="1"/>
  <c r="H437" i="12"/>
  <c r="C437" i="12" s="1"/>
  <c r="I648" i="2" s="1"/>
  <c r="I206" i="2"/>
  <c r="H238" i="12"/>
  <c r="C238" i="12" s="1"/>
  <c r="I444" i="2" s="1"/>
  <c r="H585" i="12"/>
  <c r="C585" i="12" s="1"/>
  <c r="H507" i="12"/>
  <c r="C507" i="12" s="1"/>
  <c r="H286" i="12"/>
  <c r="C286" i="12" s="1"/>
  <c r="I545" i="2" s="1"/>
  <c r="H551" i="12"/>
  <c r="C551" i="12" s="1"/>
  <c r="I689" i="2" s="1"/>
  <c r="H596" i="12"/>
  <c r="C596" i="12" s="1"/>
  <c r="I711" i="2" s="1"/>
  <c r="H595" i="12"/>
  <c r="C595" i="12" s="1"/>
  <c r="I693" i="2" s="1"/>
  <c r="H552" i="12"/>
  <c r="C552" i="12" s="1"/>
  <c r="I708" i="2" s="1"/>
  <c r="H497" i="12"/>
  <c r="C497" i="12" s="1"/>
  <c r="I661" i="2" s="1"/>
  <c r="H347" i="12"/>
  <c r="C347" i="12" s="1"/>
  <c r="I576" i="2" s="1"/>
  <c r="H483" i="12"/>
  <c r="C483" i="12" s="1"/>
  <c r="I651" i="2" s="1"/>
  <c r="H526" i="12"/>
  <c r="C526" i="12" s="1"/>
  <c r="I701" i="2" s="1"/>
  <c r="AC688" i="12"/>
  <c r="H424" i="12"/>
  <c r="C424" i="12" s="1"/>
  <c r="I620" i="2" s="1"/>
  <c r="H628" i="12"/>
  <c r="C628" i="12" s="1"/>
  <c r="I721" i="2" s="1"/>
  <c r="H351" i="12"/>
  <c r="C351" i="12" s="1"/>
  <c r="I556" i="2" s="1"/>
  <c r="H630" i="12"/>
  <c r="C630" i="12" s="1"/>
  <c r="I725" i="2" s="1"/>
  <c r="Y676" i="12"/>
  <c r="Y704" i="12"/>
  <c r="E135" i="7"/>
  <c r="E155" i="6"/>
  <c r="E290" i="4"/>
  <c r="J566" i="2"/>
  <c r="AC718" i="12"/>
  <c r="AD709" i="12"/>
  <c r="H389" i="12"/>
  <c r="C389" i="12" s="1"/>
  <c r="Y686" i="12"/>
  <c r="H451" i="12"/>
  <c r="C451" i="12" s="1"/>
  <c r="I631" i="2" s="1"/>
  <c r="H444" i="12"/>
  <c r="C444" i="12" s="1"/>
  <c r="I671" i="2" s="1"/>
  <c r="J671" i="2" s="1"/>
  <c r="I655" i="2"/>
  <c r="H97" i="12"/>
  <c r="C97" i="12" s="1"/>
  <c r="H142" i="12"/>
  <c r="C142" i="12" s="1"/>
  <c r="I11" i="8" s="1"/>
  <c r="H315" i="12"/>
  <c r="C315" i="12" s="1"/>
  <c r="H134" i="12"/>
  <c r="C134" i="12" s="1"/>
  <c r="H265" i="12"/>
  <c r="C265" i="12" s="1"/>
  <c r="I505" i="2" s="1"/>
  <c r="H639" i="12"/>
  <c r="C639" i="12" s="1"/>
  <c r="E25" i="7"/>
  <c r="E33" i="5"/>
  <c r="E63" i="4"/>
  <c r="J121" i="2"/>
  <c r="H40" i="12"/>
  <c r="C40" i="12" s="1"/>
  <c r="I63" i="2" s="1"/>
  <c r="F214" i="3" s="1"/>
  <c r="H85" i="12"/>
  <c r="C85" i="12" s="1"/>
  <c r="I141" i="2" s="1"/>
  <c r="AC703" i="12"/>
  <c r="H301" i="12"/>
  <c r="C301" i="12" s="1"/>
  <c r="AD690" i="12"/>
  <c r="H113" i="12"/>
  <c r="C113" i="12" s="1"/>
  <c r="I153" i="2" s="1"/>
  <c r="H405" i="12"/>
  <c r="C405" i="12" s="1"/>
  <c r="I95" i="8" s="1"/>
  <c r="AC690" i="12"/>
  <c r="H135" i="12"/>
  <c r="C135" i="12" s="1"/>
  <c r="I215" i="2" s="1"/>
  <c r="E52" i="7" s="1"/>
  <c r="H71" i="12"/>
  <c r="C71" i="12" s="1"/>
  <c r="I105" i="2" s="1"/>
  <c r="F215" i="3" s="1"/>
  <c r="H162" i="12"/>
  <c r="C162" i="12" s="1"/>
  <c r="I289" i="2" s="1"/>
  <c r="H19" i="12"/>
  <c r="C19" i="12" s="1"/>
  <c r="I64" i="2" s="1"/>
  <c r="J64" i="2" s="1"/>
  <c r="AD710" i="12"/>
  <c r="H54" i="12"/>
  <c r="C54" i="12" s="1"/>
  <c r="I35" i="2" s="1"/>
  <c r="F321" i="3" s="1"/>
  <c r="H23" i="12"/>
  <c r="C23" i="12" s="1"/>
  <c r="I31" i="2" s="1"/>
  <c r="Y710" i="12"/>
  <c r="H37" i="12"/>
  <c r="C37" i="12" s="1"/>
  <c r="I46" i="2" s="1"/>
  <c r="F37" i="3" s="1"/>
  <c r="Y726" i="12"/>
  <c r="Y728" i="12"/>
  <c r="H95" i="12"/>
  <c r="C95" i="12" s="1"/>
  <c r="I146" i="2" s="1"/>
  <c r="H277" i="12"/>
  <c r="C277" i="12" s="1"/>
  <c r="I452" i="2" s="1"/>
  <c r="AD712" i="12"/>
  <c r="H479" i="12"/>
  <c r="C479" i="12" s="1"/>
  <c r="H531" i="12"/>
  <c r="C531" i="12" s="1"/>
  <c r="H413" i="12"/>
  <c r="C413" i="12" s="1"/>
  <c r="I96" i="8" s="1"/>
  <c r="H573" i="12"/>
  <c r="C573" i="12" s="1"/>
  <c r="Y668" i="12"/>
  <c r="I258" i="2"/>
  <c r="H568" i="12"/>
  <c r="C568" i="12" s="1"/>
  <c r="I184" i="8" s="1"/>
  <c r="H199" i="12"/>
  <c r="C199" i="12" s="1"/>
  <c r="I34" i="8" s="1"/>
  <c r="H559" i="12"/>
  <c r="C559" i="12" s="1"/>
  <c r="I165" i="8" s="1"/>
  <c r="H289" i="12"/>
  <c r="C289" i="12" s="1"/>
  <c r="I508" i="2" s="1"/>
  <c r="E118" i="7" s="1"/>
  <c r="E122" i="7"/>
  <c r="E134" i="6"/>
  <c r="E256" i="4"/>
  <c r="J410" i="2"/>
  <c r="H75" i="12"/>
  <c r="C75" i="12" s="1"/>
  <c r="I120" i="2" s="1"/>
  <c r="H486" i="12"/>
  <c r="C486" i="12" s="1"/>
  <c r="H499" i="12"/>
  <c r="C499" i="12" s="1"/>
  <c r="I139" i="8" s="1"/>
  <c r="H283" i="12"/>
  <c r="C283" i="12" s="1"/>
  <c r="I442" i="2" s="1"/>
  <c r="E225" i="4" s="1"/>
  <c r="H332" i="12"/>
  <c r="C332" i="12" s="1"/>
  <c r="AD691" i="12"/>
  <c r="H218" i="12"/>
  <c r="C218" i="12" s="1"/>
  <c r="I467" i="2" s="1"/>
  <c r="H627" i="12"/>
  <c r="C627" i="12" s="1"/>
  <c r="H333" i="12"/>
  <c r="C333" i="12" s="1"/>
  <c r="I595" i="2" s="1"/>
  <c r="E156" i="6"/>
  <c r="E291" i="4"/>
  <c r="J594" i="2"/>
  <c r="H423" i="12"/>
  <c r="C423" i="12" s="1"/>
  <c r="I638" i="2" s="1"/>
  <c r="E145" i="5" s="1"/>
  <c r="H617" i="12"/>
  <c r="C617" i="12" s="1"/>
  <c r="I718" i="2" s="1"/>
  <c r="E157" i="6"/>
  <c r="E292" i="4"/>
  <c r="J627" i="2"/>
  <c r="H352" i="12"/>
  <c r="C352" i="12" s="1"/>
  <c r="I582" i="2" s="1"/>
  <c r="H388" i="12"/>
  <c r="C388" i="12" s="1"/>
  <c r="I647" i="2" s="1"/>
  <c r="E176" i="6" s="1"/>
  <c r="I339" i="2"/>
  <c r="H516" i="12"/>
  <c r="C516" i="12" s="1"/>
  <c r="I652" i="2" s="1"/>
  <c r="J652" i="2" s="1"/>
  <c r="H641" i="12"/>
  <c r="C641" i="12" s="1"/>
  <c r="H482" i="12"/>
  <c r="C482" i="12" s="1"/>
  <c r="I634" i="2" s="1"/>
  <c r="AC729" i="12"/>
  <c r="H549" i="12"/>
  <c r="C549" i="12" s="1"/>
  <c r="I664" i="2" s="1"/>
  <c r="E201" i="6" s="1"/>
  <c r="H448" i="12"/>
  <c r="C448" i="12" s="1"/>
  <c r="I650" i="2" s="1"/>
  <c r="J650" i="2" s="1"/>
  <c r="H377" i="12"/>
  <c r="C377" i="12" s="1"/>
  <c r="I626" i="2" s="1"/>
  <c r="E145" i="7" s="1"/>
  <c r="AD718" i="12"/>
  <c r="Y690" i="12"/>
  <c r="H598" i="12"/>
  <c r="C598" i="12" s="1"/>
  <c r="I712" i="2" s="1"/>
  <c r="H425" i="12"/>
  <c r="C425" i="12" s="1"/>
  <c r="I643" i="2" s="1"/>
  <c r="H600" i="12"/>
  <c r="C600" i="12" s="1"/>
  <c r="I208" i="8" s="1"/>
  <c r="AC731" i="12"/>
  <c r="Y711" i="12"/>
  <c r="H465" i="12"/>
  <c r="C465" i="12" s="1"/>
  <c r="I676" i="2" s="1"/>
  <c r="Y696" i="12"/>
  <c r="I629" i="2"/>
  <c r="I666" i="2"/>
  <c r="H487" i="12"/>
  <c r="C487" i="12" s="1"/>
  <c r="I670" i="2" s="1"/>
  <c r="E178" i="6" s="1"/>
  <c r="Y692" i="12"/>
  <c r="E37" i="5"/>
  <c r="E74" i="4"/>
  <c r="J148" i="2"/>
  <c r="H209" i="12"/>
  <c r="C209" i="12" s="1"/>
  <c r="I387" i="2" s="1"/>
  <c r="AC707" i="12"/>
  <c r="E66" i="7"/>
  <c r="E141" i="4"/>
  <c r="J244" i="2"/>
  <c r="H5" i="12"/>
  <c r="C5" i="12" s="1"/>
  <c r="I7" i="2" s="1"/>
  <c r="F11" i="3" s="1"/>
  <c r="H240" i="12"/>
  <c r="C240" i="12" s="1"/>
  <c r="H217" i="12"/>
  <c r="C217" i="12" s="1"/>
  <c r="I482" i="2" s="1"/>
  <c r="H505" i="12"/>
  <c r="C505" i="12" s="1"/>
  <c r="I162" i="8" s="1"/>
  <c r="H190" i="12"/>
  <c r="C190" i="12" s="1"/>
  <c r="I284" i="2" s="1"/>
  <c r="H127" i="12"/>
  <c r="C127" i="12" s="1"/>
  <c r="H6" i="12"/>
  <c r="C6" i="12" s="1"/>
  <c r="I9" i="2" s="1"/>
  <c r="F267" i="3" s="1"/>
  <c r="M6" i="3"/>
  <c r="H65" i="12"/>
  <c r="C65" i="12" s="1"/>
  <c r="I84" i="2" s="1"/>
  <c r="F295" i="3" s="1"/>
  <c r="H441" i="12"/>
  <c r="C441" i="12" s="1"/>
  <c r="H270" i="12"/>
  <c r="C270" i="12" s="1"/>
  <c r="I405" i="2" s="1"/>
  <c r="H541" i="12"/>
  <c r="C541" i="12" s="1"/>
  <c r="I115" i="8" s="1"/>
  <c r="H198" i="12"/>
  <c r="C198" i="12" s="1"/>
  <c r="I327" i="2" s="1"/>
  <c r="H457" i="12"/>
  <c r="C457" i="12" s="1"/>
  <c r="H496" i="12"/>
  <c r="C496" i="12" s="1"/>
  <c r="I134" i="8" s="1"/>
  <c r="H236" i="12"/>
  <c r="C236" i="12" s="1"/>
  <c r="I402" i="2" s="1"/>
  <c r="I110" i="2"/>
  <c r="F157" i="3" s="1"/>
  <c r="H100" i="12"/>
  <c r="C100" i="12" s="1"/>
  <c r="I104" i="2" s="1"/>
  <c r="F206" i="3" s="1"/>
  <c r="AD721" i="12"/>
  <c r="H16" i="12"/>
  <c r="C16" i="12" s="1"/>
  <c r="I15" i="2" s="1"/>
  <c r="F264" i="3" s="1"/>
  <c r="H155" i="12"/>
  <c r="C155" i="12" s="1"/>
  <c r="I32" i="8" s="1"/>
  <c r="H17" i="12"/>
  <c r="C17" i="12" s="1"/>
  <c r="I26" i="2" s="1"/>
  <c r="F31" i="3" s="1"/>
  <c r="H47" i="12"/>
  <c r="C47" i="12" s="1"/>
  <c r="I94" i="2" s="1"/>
  <c r="F99" i="3" s="1"/>
  <c r="H101" i="12"/>
  <c r="C101" i="12" s="1"/>
  <c r="H158" i="12"/>
  <c r="C158" i="12" s="1"/>
  <c r="I269" i="2" s="1"/>
  <c r="Y22" i="3"/>
  <c r="H415" i="12"/>
  <c r="C415" i="12" s="1"/>
  <c r="H83" i="12"/>
  <c r="C83" i="12" s="1"/>
  <c r="I138" i="2" s="1"/>
  <c r="F241" i="3" s="1"/>
  <c r="H157" i="12"/>
  <c r="C157" i="12" s="1"/>
  <c r="H312" i="12"/>
  <c r="C312" i="12" s="1"/>
  <c r="I87" i="8" s="1"/>
  <c r="H272" i="12"/>
  <c r="C272" i="12" s="1"/>
  <c r="I362" i="2" s="1"/>
  <c r="H154" i="12"/>
  <c r="C154" i="12" s="1"/>
  <c r="H21" i="12"/>
  <c r="C21" i="12" s="1"/>
  <c r="I66" i="2" s="1"/>
  <c r="H111" i="12"/>
  <c r="C111" i="12" s="1"/>
  <c r="I136" i="2" s="1"/>
  <c r="F327" i="3" s="1"/>
  <c r="H481" i="12"/>
  <c r="C481" i="12" s="1"/>
  <c r="I119" i="8" s="1"/>
  <c r="H57" i="12"/>
  <c r="C57" i="12" s="1"/>
  <c r="I50" i="2" s="1"/>
  <c r="H174" i="12"/>
  <c r="C174" i="12" s="1"/>
  <c r="I200" i="2" s="1"/>
  <c r="F65" i="3" s="1"/>
  <c r="H53" i="12"/>
  <c r="C53" i="12" s="1"/>
  <c r="I38" i="2" s="1"/>
  <c r="F239" i="3" s="1"/>
  <c r="H141" i="12"/>
  <c r="C141" i="12" s="1"/>
  <c r="AC719" i="12"/>
  <c r="P25" i="3"/>
  <c r="H181" i="12"/>
  <c r="C181" i="12" s="1"/>
  <c r="I314" i="2" s="1"/>
  <c r="E69" i="7" s="1"/>
  <c r="H394" i="12"/>
  <c r="C394" i="12" s="1"/>
  <c r="H207" i="12"/>
  <c r="C207" i="12" s="1"/>
  <c r="I342" i="2" s="1"/>
  <c r="H338" i="12"/>
  <c r="C338" i="12" s="1"/>
  <c r="I492" i="2" s="1"/>
  <c r="H592" i="12"/>
  <c r="C592" i="12" s="1"/>
  <c r="H449" i="12"/>
  <c r="C449" i="12" s="1"/>
  <c r="I143" i="8" s="1"/>
  <c r="H133" i="12"/>
  <c r="C133" i="12" s="1"/>
  <c r="I210" i="2" s="1"/>
  <c r="H321" i="12"/>
  <c r="C321" i="12" s="1"/>
  <c r="I466" i="2" s="1"/>
  <c r="H619" i="12"/>
  <c r="C619" i="12" s="1"/>
  <c r="H70" i="12"/>
  <c r="C70" i="12" s="1"/>
  <c r="I166" i="2" s="1"/>
  <c r="F124" i="3" s="1"/>
  <c r="H257" i="12"/>
  <c r="C257" i="12" s="1"/>
  <c r="I356" i="2" s="1"/>
  <c r="H303" i="12"/>
  <c r="C303" i="12" s="1"/>
  <c r="I542" i="2" s="1"/>
  <c r="H249" i="12"/>
  <c r="C249" i="12" s="1"/>
  <c r="I377" i="2" s="1"/>
  <c r="E91" i="7" s="1"/>
  <c r="H268" i="12"/>
  <c r="C268" i="12" s="1"/>
  <c r="I450" i="2" s="1"/>
  <c r="E94" i="7" s="1"/>
  <c r="H323" i="12"/>
  <c r="C323" i="12" s="1"/>
  <c r="I57" i="8" s="1"/>
  <c r="H488" i="12"/>
  <c r="C488" i="12" s="1"/>
  <c r="I131" i="2"/>
  <c r="F160" i="3" s="1"/>
  <c r="H248" i="12"/>
  <c r="C248" i="12" s="1"/>
  <c r="I500" i="2" s="1"/>
  <c r="E117" i="6" s="1"/>
  <c r="H514" i="12"/>
  <c r="C514" i="12" s="1"/>
  <c r="I146" i="8" s="1"/>
  <c r="AC691" i="12"/>
  <c r="H401" i="12"/>
  <c r="C401" i="12" s="1"/>
  <c r="I607" i="2" s="1"/>
  <c r="H166" i="12"/>
  <c r="C166" i="12" s="1"/>
  <c r="I304" i="2" s="1"/>
  <c r="H518" i="12"/>
  <c r="C518" i="12" s="1"/>
  <c r="I686" i="2" s="1"/>
  <c r="H602" i="12"/>
  <c r="C602" i="12" s="1"/>
  <c r="I696" i="2" s="1"/>
  <c r="E201" i="5" s="1"/>
  <c r="AD675" i="12"/>
  <c r="AD664" i="12"/>
  <c r="H527" i="12"/>
  <c r="C527" i="12" s="1"/>
  <c r="AC716" i="12"/>
  <c r="H421" i="12"/>
  <c r="C421" i="12" s="1"/>
  <c r="I628" i="2" s="1"/>
  <c r="E173" i="6" s="1"/>
  <c r="H469" i="12"/>
  <c r="C469" i="12" s="1"/>
  <c r="I632" i="2" s="1"/>
  <c r="E146" i="5" s="1"/>
  <c r="H508" i="12"/>
  <c r="C508" i="12" s="1"/>
  <c r="I679" i="2" s="1"/>
  <c r="E403" i="4" s="1"/>
  <c r="Y709" i="12"/>
  <c r="AC700" i="12"/>
  <c r="H400" i="12"/>
  <c r="C400" i="12" s="1"/>
  <c r="I597" i="2" s="1"/>
  <c r="E280" i="4" s="1"/>
  <c r="H362" i="12"/>
  <c r="C362" i="12" s="1"/>
  <c r="I571" i="2" s="1"/>
  <c r="H395" i="12"/>
  <c r="C395" i="12" s="1"/>
  <c r="I570" i="2" s="1"/>
  <c r="H337" i="12"/>
  <c r="C337" i="12" s="1"/>
  <c r="I519" i="2" s="1"/>
  <c r="H470" i="12"/>
  <c r="C470" i="12" s="1"/>
  <c r="I641" i="2" s="1"/>
  <c r="Y713" i="12"/>
  <c r="H145" i="12"/>
  <c r="C145" i="12" s="1"/>
  <c r="I232" i="2" s="1"/>
  <c r="H416" i="12"/>
  <c r="C416" i="12" s="1"/>
  <c r="I600" i="2" s="1"/>
  <c r="I726" i="2"/>
  <c r="H355" i="12"/>
  <c r="C355" i="12" s="1"/>
  <c r="I608" i="2" s="1"/>
  <c r="AD731" i="12"/>
  <c r="H506" i="12"/>
  <c r="C506" i="12" s="1"/>
  <c r="I681" i="2" s="1"/>
  <c r="H334" i="12"/>
  <c r="C334" i="12" s="1"/>
  <c r="I559" i="2" s="1"/>
  <c r="H8" i="12"/>
  <c r="C8" i="12" s="1"/>
  <c r="I5" i="2" s="1"/>
  <c r="F176" i="3" s="1"/>
  <c r="H215" i="12"/>
  <c r="C215" i="12" s="1"/>
  <c r="I323" i="2" s="1"/>
  <c r="H252" i="12"/>
  <c r="C252" i="12" s="1"/>
  <c r="I360" i="2" s="1"/>
  <c r="H32" i="12"/>
  <c r="C32" i="12" s="1"/>
  <c r="I52" i="2" s="1"/>
  <c r="F234" i="3" s="1"/>
  <c r="H48" i="12"/>
  <c r="C48" i="12" s="1"/>
  <c r="I51" i="2" s="1"/>
  <c r="F36" i="3" s="1"/>
  <c r="H115" i="12"/>
  <c r="C115" i="12" s="1"/>
  <c r="I170" i="2" s="1"/>
  <c r="F150" i="3" s="1"/>
  <c r="H59" i="12"/>
  <c r="C59" i="12" s="1"/>
  <c r="I67" i="2" s="1"/>
  <c r="F94" i="3" s="1"/>
  <c r="H156" i="12"/>
  <c r="C156" i="12" s="1"/>
  <c r="I223" i="2" s="1"/>
  <c r="H586" i="12"/>
  <c r="C586" i="12" s="1"/>
  <c r="I167" i="8" s="1"/>
  <c r="AC728" i="12"/>
  <c r="H206" i="12"/>
  <c r="C206" i="12" s="1"/>
  <c r="I337" i="2" s="1"/>
  <c r="H18" i="12"/>
  <c r="C18" i="12" s="1"/>
  <c r="I32" i="2" s="1"/>
  <c r="F90" i="3" s="1"/>
  <c r="H62" i="12"/>
  <c r="C62" i="12" s="1"/>
  <c r="I42" i="2" s="1"/>
  <c r="F149" i="3" s="1"/>
  <c r="H39" i="12"/>
  <c r="C39" i="12" s="1"/>
  <c r="I45" i="2" s="1"/>
  <c r="F235" i="3" s="1"/>
  <c r="Y701" i="12"/>
  <c r="H125" i="12"/>
  <c r="C125" i="12" s="1"/>
  <c r="I238" i="2" s="1"/>
  <c r="H76" i="12"/>
  <c r="C76" i="12" s="1"/>
  <c r="I147" i="2" s="1"/>
  <c r="F177" i="3" s="1"/>
  <c r="H281" i="12"/>
  <c r="C281" i="12" s="1"/>
  <c r="I476" i="2" s="1"/>
  <c r="E109" i="6" s="1"/>
  <c r="E38" i="5"/>
  <c r="E75" i="4"/>
  <c r="J140" i="2"/>
  <c r="H82" i="12"/>
  <c r="C82" i="12" s="1"/>
  <c r="I122" i="2" s="1"/>
  <c r="F242" i="3" s="1"/>
  <c r="H81" i="12"/>
  <c r="C81" i="12" s="1"/>
  <c r="I89" i="2" s="1"/>
  <c r="F184" i="3" s="1"/>
  <c r="H44" i="12"/>
  <c r="C44" i="12" s="1"/>
  <c r="I128" i="2" s="1"/>
  <c r="F8" i="3" s="1"/>
  <c r="H120" i="12"/>
  <c r="C120" i="12" s="1"/>
  <c r="I228" i="2" s="1"/>
  <c r="AC699" i="12"/>
  <c r="H168" i="12"/>
  <c r="C168" i="12" s="1"/>
  <c r="I237" i="2" s="1"/>
  <c r="E54" i="7" s="1"/>
  <c r="H43" i="12"/>
  <c r="C43" i="12" s="1"/>
  <c r="H493" i="12"/>
  <c r="C493" i="12" s="1"/>
  <c r="H344" i="12"/>
  <c r="C344" i="12" s="1"/>
  <c r="I62" i="8" s="1"/>
  <c r="H230" i="12"/>
  <c r="C230" i="12" s="1"/>
  <c r="AD715" i="12"/>
  <c r="H601" i="12"/>
  <c r="C601" i="12" s="1"/>
  <c r="I181" i="8" s="1"/>
  <c r="H349" i="12"/>
  <c r="C349" i="12" s="1"/>
  <c r="AC721" i="12"/>
  <c r="H96" i="12"/>
  <c r="C96" i="12" s="1"/>
  <c r="H182" i="12"/>
  <c r="C182" i="12" s="1"/>
  <c r="H151" i="12"/>
  <c r="C151" i="12" s="1"/>
  <c r="I259" i="2" s="1"/>
  <c r="Y678" i="12"/>
  <c r="H562" i="12"/>
  <c r="C562" i="12" s="1"/>
  <c r="I136" i="8" s="1"/>
  <c r="U22" i="3"/>
  <c r="H50" i="12"/>
  <c r="C50" i="12" s="1"/>
  <c r="AD668" i="12"/>
  <c r="H140" i="12"/>
  <c r="C140" i="12" s="1"/>
  <c r="I194" i="2" s="1"/>
  <c r="F38" i="3" s="1"/>
  <c r="H116" i="12"/>
  <c r="C116" i="12" s="1"/>
  <c r="I162" i="2" s="1"/>
  <c r="T22" i="3"/>
  <c r="H10" i="12"/>
  <c r="C10" i="12" s="1"/>
  <c r="I14" i="2" s="1"/>
  <c r="F326" i="3" s="1"/>
  <c r="H122" i="12"/>
  <c r="C122" i="12" s="1"/>
  <c r="I239" i="2" s="1"/>
  <c r="E58" i="6" s="1"/>
  <c r="H169" i="12"/>
  <c r="C169" i="12" s="1"/>
  <c r="H98" i="12"/>
  <c r="C98" i="12" s="1"/>
  <c r="I157" i="2" s="1"/>
  <c r="F270" i="3" s="1"/>
  <c r="H126" i="12"/>
  <c r="C126" i="12" s="1"/>
  <c r="I167" i="2" s="1"/>
  <c r="E53" i="6" s="1"/>
  <c r="H234" i="12"/>
  <c r="C234" i="12" s="1"/>
  <c r="I37" i="8" s="1"/>
  <c r="H78" i="12"/>
  <c r="C78" i="12" s="1"/>
  <c r="I81" i="2" s="1"/>
  <c r="F265" i="3" s="1"/>
  <c r="H88" i="12"/>
  <c r="C88" i="12" s="1"/>
  <c r="I79" i="2" s="1"/>
  <c r="H3" i="12"/>
  <c r="C3" i="12" s="1"/>
  <c r="I4" i="2" s="1"/>
  <c r="AD719" i="12"/>
  <c r="Q25" i="3"/>
  <c r="H297" i="12"/>
  <c r="C297" i="12" s="1"/>
  <c r="H189" i="12"/>
  <c r="C189" i="12" s="1"/>
  <c r="I288" i="2" s="1"/>
  <c r="F243" i="3" s="1"/>
  <c r="I175" i="2"/>
  <c r="I235" i="2"/>
  <c r="H485" i="12"/>
  <c r="C485" i="12" s="1"/>
  <c r="I161" i="8" s="1"/>
  <c r="H228" i="12"/>
  <c r="C228" i="12" s="1"/>
  <c r="I486" i="2" s="1"/>
  <c r="E99" i="7" s="1"/>
  <c r="AC685" i="12"/>
  <c r="H428" i="12"/>
  <c r="C428" i="12" s="1"/>
  <c r="Y706" i="12"/>
  <c r="Y659" i="12"/>
  <c r="C659" i="12" s="1"/>
  <c r="H318" i="12"/>
  <c r="C318" i="12" s="1"/>
  <c r="H128" i="12"/>
  <c r="C128" i="12" s="1"/>
  <c r="I234" i="2" s="1"/>
  <c r="H372" i="12"/>
  <c r="C372" i="12" s="1"/>
  <c r="I593" i="2" s="1"/>
  <c r="H378" i="12"/>
  <c r="C378" i="12" s="1"/>
  <c r="I563" i="2" s="1"/>
  <c r="E132" i="5" s="1"/>
  <c r="H655" i="12"/>
  <c r="C655" i="12" s="1"/>
  <c r="I376" i="2" s="1"/>
  <c r="H227" i="12"/>
  <c r="C227" i="12" s="1"/>
  <c r="I400" i="2" s="1"/>
  <c r="H144" i="12"/>
  <c r="C144" i="12" s="1"/>
  <c r="I297" i="2" s="1"/>
  <c r="J297" i="2" s="1"/>
  <c r="E126" i="7"/>
  <c r="E142" i="6"/>
  <c r="E265" i="4"/>
  <c r="J553" i="2"/>
  <c r="H570" i="12"/>
  <c r="C570" i="12" s="1"/>
  <c r="Y715" i="12"/>
  <c r="H396" i="12"/>
  <c r="C396" i="12" s="1"/>
  <c r="H511" i="12"/>
  <c r="C511" i="12" s="1"/>
  <c r="H178" i="12"/>
  <c r="C178" i="12" s="1"/>
  <c r="I343" i="2" s="1"/>
  <c r="H610" i="12"/>
  <c r="C610" i="12" s="1"/>
  <c r="I218" i="8" s="1"/>
  <c r="H368" i="12"/>
  <c r="C368" i="12" s="1"/>
  <c r="Y664" i="12"/>
  <c r="H622" i="12"/>
  <c r="C622" i="12" s="1"/>
  <c r="H243" i="12"/>
  <c r="C243" i="12" s="1"/>
  <c r="I446" i="2" s="1"/>
  <c r="E95" i="5" s="1"/>
  <c r="H517" i="12"/>
  <c r="C517" i="12" s="1"/>
  <c r="AD722" i="12"/>
  <c r="AC675" i="12"/>
  <c r="H500" i="12"/>
  <c r="C500" i="12" s="1"/>
  <c r="I683" i="2" s="1"/>
  <c r="AC664" i="12"/>
  <c r="I561" i="2"/>
  <c r="H320" i="12"/>
  <c r="C320" i="12" s="1"/>
  <c r="I544" i="2" s="1"/>
  <c r="H414" i="12"/>
  <c r="C414" i="12" s="1"/>
  <c r="I605" i="2" s="1"/>
  <c r="E158" i="7" s="1"/>
  <c r="H450" i="12"/>
  <c r="C450" i="12" s="1"/>
  <c r="I672" i="2" s="1"/>
  <c r="H521" i="12"/>
  <c r="C521" i="12" s="1"/>
  <c r="I691" i="2" s="1"/>
  <c r="Y702" i="12"/>
  <c r="Y723" i="12"/>
  <c r="AC689" i="12"/>
  <c r="H466" i="12"/>
  <c r="C466" i="12" s="1"/>
  <c r="I640" i="2" s="1"/>
  <c r="J640" i="2" s="1"/>
  <c r="H534" i="12"/>
  <c r="C534" i="12" s="1"/>
  <c r="I697" i="2" s="1"/>
  <c r="Y674" i="12"/>
  <c r="H557" i="12"/>
  <c r="C557" i="12" s="1"/>
  <c r="I704" i="2" s="1"/>
  <c r="H302" i="12"/>
  <c r="C302" i="12" s="1"/>
  <c r="I530" i="2" s="1"/>
  <c r="E140" i="6"/>
  <c r="E126" i="5"/>
  <c r="E262" i="4"/>
  <c r="J602" i="2"/>
  <c r="H611" i="12"/>
  <c r="C611" i="12" s="1"/>
  <c r="I707" i="2" s="1"/>
  <c r="E182" i="7" s="1"/>
  <c r="Y708" i="12"/>
  <c r="C708" i="12" s="1"/>
  <c r="E84" i="5"/>
  <c r="E168" i="4"/>
  <c r="J349" i="2"/>
  <c r="H410" i="12"/>
  <c r="C410" i="12" s="1"/>
  <c r="I639" i="2" s="1"/>
  <c r="Y660" i="12"/>
  <c r="H540" i="12"/>
  <c r="C540" i="12" s="1"/>
  <c r="I678" i="2" s="1"/>
  <c r="H581" i="12"/>
  <c r="C581" i="12" s="1"/>
  <c r="I702" i="2" s="1"/>
  <c r="H219" i="12"/>
  <c r="C219" i="12" s="1"/>
  <c r="I381" i="2" s="1"/>
  <c r="E87" i="5" s="1"/>
  <c r="H553" i="12"/>
  <c r="C553" i="12" s="1"/>
  <c r="I685" i="2" s="1"/>
  <c r="H609" i="12"/>
  <c r="C609" i="12" s="1"/>
  <c r="I191" i="8" s="1"/>
  <c r="H376" i="12"/>
  <c r="C376" i="12" s="1"/>
  <c r="I618" i="2" s="1"/>
  <c r="Y727" i="12"/>
  <c r="H300" i="12"/>
  <c r="C300" i="12" s="1"/>
  <c r="I541" i="2" s="1"/>
  <c r="E126" i="6" s="1"/>
  <c r="H558" i="12"/>
  <c r="C558" i="12" s="1"/>
  <c r="I675" i="2" s="1"/>
  <c r="H555" i="12"/>
  <c r="C555" i="12" s="1"/>
  <c r="I687" i="2" s="1"/>
  <c r="H584" i="12"/>
  <c r="C584" i="12" s="1"/>
  <c r="I695" i="2" s="1"/>
  <c r="H612" i="12"/>
  <c r="C612" i="12" s="1"/>
  <c r="I716" i="2" s="1"/>
  <c r="Y669" i="12"/>
  <c r="I724" i="2"/>
  <c r="H172" i="12"/>
  <c r="C172" i="12" s="1"/>
  <c r="I302" i="2" s="1"/>
  <c r="H203" i="12"/>
  <c r="C203" i="12" s="1"/>
  <c r="I346" i="2" s="1"/>
  <c r="E100" i="7" s="1"/>
  <c r="H73" i="12"/>
  <c r="C73" i="12" s="1"/>
  <c r="I119" i="2" s="1"/>
  <c r="F120" i="3" s="1"/>
  <c r="H107" i="12"/>
  <c r="C107" i="12" s="1"/>
  <c r="H237" i="12"/>
  <c r="C237" i="12" s="1"/>
  <c r="I318" i="2" s="1"/>
  <c r="H121" i="12"/>
  <c r="C121" i="12" s="1"/>
  <c r="I212" i="2" s="1"/>
  <c r="H130" i="12"/>
  <c r="C130" i="12" s="1"/>
  <c r="I22" i="8" s="1"/>
  <c r="H316" i="12"/>
  <c r="C316" i="12" s="1"/>
  <c r="AC730" i="12"/>
  <c r="H403" i="12"/>
  <c r="C403" i="12" s="1"/>
  <c r="AC668" i="12"/>
  <c r="H455" i="12"/>
  <c r="C455" i="12" s="1"/>
  <c r="I102" i="8" s="1"/>
  <c r="H171" i="12"/>
  <c r="C171" i="12" s="1"/>
  <c r="I278" i="2" s="1"/>
  <c r="H114" i="12"/>
  <c r="C114" i="12" s="1"/>
  <c r="I159" i="2" s="1"/>
  <c r="F298" i="3" s="1"/>
  <c r="H246" i="12"/>
  <c r="C246" i="12" s="1"/>
  <c r="I526" i="2" s="1"/>
  <c r="H509" i="12"/>
  <c r="C509" i="12" s="1"/>
  <c r="H22" i="12"/>
  <c r="C22" i="12" s="1"/>
  <c r="I3" i="8" s="1"/>
  <c r="M14" i="3"/>
  <c r="H55" i="12"/>
  <c r="C55" i="12" s="1"/>
  <c r="I73" i="2" s="1"/>
  <c r="F294" i="3" s="1"/>
  <c r="H356" i="12"/>
  <c r="C356" i="12" s="1"/>
  <c r="H29" i="12"/>
  <c r="C29" i="12" s="1"/>
  <c r="I54" i="2" s="1"/>
  <c r="F147" i="3" s="1"/>
  <c r="H137" i="12"/>
  <c r="C137" i="12" s="1"/>
  <c r="I213" i="2" s="1"/>
  <c r="H571" i="12"/>
  <c r="C571" i="12" s="1"/>
  <c r="I127" i="8" s="1"/>
  <c r="H550" i="12"/>
  <c r="C550" i="12" s="1"/>
  <c r="H60" i="12"/>
  <c r="C60" i="12" s="1"/>
  <c r="I53" i="2" s="1"/>
  <c r="H298" i="12"/>
  <c r="C298" i="12" s="1"/>
  <c r="H80" i="12"/>
  <c r="C80" i="12" s="1"/>
  <c r="I71" i="2" s="1"/>
  <c r="H35" i="12"/>
  <c r="C35" i="12" s="1"/>
  <c r="I60" i="2" s="1"/>
  <c r="Q28" i="3"/>
  <c r="O4" i="13" s="1"/>
  <c r="P28" i="3"/>
  <c r="P4" i="13" s="1"/>
  <c r="H214" i="12"/>
  <c r="C214" i="12" s="1"/>
  <c r="I378" i="2" s="1"/>
  <c r="E83" i="7" s="1"/>
  <c r="H91" i="12"/>
  <c r="C91" i="12" s="1"/>
  <c r="I158" i="2" s="1"/>
  <c r="F322" i="3" s="1"/>
  <c r="H310" i="12"/>
  <c r="C310" i="12" s="1"/>
  <c r="I66" i="8" s="1"/>
  <c r="H224" i="12"/>
  <c r="C224" i="12" s="1"/>
  <c r="I392" i="2" s="1"/>
  <c r="H653" i="12"/>
  <c r="C653" i="12" s="1"/>
  <c r="H354" i="12"/>
  <c r="C354" i="12" s="1"/>
  <c r="I585" i="2" s="1"/>
  <c r="H365" i="12"/>
  <c r="C365" i="12" s="1"/>
  <c r="I590" i="2" s="1"/>
  <c r="H255" i="12"/>
  <c r="C255" i="12" s="1"/>
  <c r="I511" i="2" s="1"/>
  <c r="H420" i="12"/>
  <c r="C420" i="12" s="1"/>
  <c r="H292" i="12"/>
  <c r="C292" i="12" s="1"/>
  <c r="I521" i="2" s="1"/>
  <c r="H152" i="12"/>
  <c r="C152" i="12" s="1"/>
  <c r="I211" i="2" s="1"/>
  <c r="F207" i="3" s="1"/>
  <c r="H575" i="12"/>
  <c r="C575" i="12" s="1"/>
  <c r="H258" i="12"/>
  <c r="C258" i="12" s="1"/>
  <c r="I425" i="2" s="1"/>
  <c r="H419" i="12"/>
  <c r="C419" i="12" s="1"/>
  <c r="I622" i="2" s="1"/>
  <c r="H327" i="12"/>
  <c r="C327" i="12" s="1"/>
  <c r="I540" i="2" s="1"/>
  <c r="H515" i="12"/>
  <c r="C515" i="12" s="1"/>
  <c r="I408" i="2"/>
  <c r="H503" i="12"/>
  <c r="C503" i="12" s="1"/>
  <c r="H129" i="12"/>
  <c r="C129" i="12" s="1"/>
  <c r="I208" i="2" s="1"/>
  <c r="F299" i="3" s="1"/>
  <c r="H211" i="12"/>
  <c r="C211" i="12" s="1"/>
  <c r="I448" i="2" s="1"/>
  <c r="E91" i="5" s="1"/>
  <c r="H108" i="12"/>
  <c r="C108" i="12" s="1"/>
  <c r="I185" i="2" s="1"/>
  <c r="H94" i="12"/>
  <c r="C94" i="12" s="1"/>
  <c r="I149" i="2" s="1"/>
  <c r="F323" i="3" s="1"/>
  <c r="H387" i="12"/>
  <c r="C387" i="12" s="1"/>
  <c r="H545" i="12"/>
  <c r="C545" i="12" s="1"/>
  <c r="H371" i="12"/>
  <c r="C371" i="12" s="1"/>
  <c r="I577" i="2" s="1"/>
  <c r="H161" i="12"/>
  <c r="C161" i="12" s="1"/>
  <c r="I322" i="2" s="1"/>
  <c r="H621" i="12"/>
  <c r="C621" i="12" s="1"/>
  <c r="AC722" i="12"/>
  <c r="AC713" i="12"/>
  <c r="H417" i="12"/>
  <c r="C417" i="12" s="1"/>
  <c r="I621" i="2" s="1"/>
  <c r="I729" i="2"/>
  <c r="AC676" i="12"/>
  <c r="H654" i="12"/>
  <c r="C654" i="12" s="1"/>
  <c r="I217" i="8" s="1"/>
  <c r="H369" i="12"/>
  <c r="C369" i="12" s="1"/>
  <c r="I615" i="2" s="1"/>
  <c r="H636" i="12"/>
  <c r="C636" i="12" s="1"/>
  <c r="I730" i="2" s="1"/>
  <c r="H438" i="12"/>
  <c r="C438" i="12" s="1"/>
  <c r="I659" i="2" s="1"/>
  <c r="E329" i="4" s="1"/>
  <c r="H489" i="12"/>
  <c r="C489" i="12" s="1"/>
  <c r="I637" i="2" s="1"/>
  <c r="H566" i="12"/>
  <c r="C566" i="12" s="1"/>
  <c r="I715" i="2" s="1"/>
  <c r="Y718" i="12"/>
  <c r="I646" i="2"/>
  <c r="H569" i="12"/>
  <c r="C569" i="12" s="1"/>
  <c r="I690" i="2" s="1"/>
  <c r="H426" i="12"/>
  <c r="C426" i="12" s="1"/>
  <c r="I613" i="2" s="1"/>
  <c r="E159" i="6" s="1"/>
  <c r="H442" i="12"/>
  <c r="C442" i="12" s="1"/>
  <c r="I125" i="8" s="1"/>
  <c r="H478" i="12"/>
  <c r="C478" i="12" s="1"/>
  <c r="AC702" i="12"/>
  <c r="I700" i="2"/>
  <c r="I567" i="2"/>
  <c r="AC661" i="12"/>
  <c r="H657" i="12"/>
  <c r="C657" i="12" s="1"/>
  <c r="I51" i="8" s="1"/>
  <c r="H34" i="12"/>
  <c r="C34" i="12" s="1"/>
  <c r="I49" i="2" s="1"/>
  <c r="F151" i="3" s="1"/>
  <c r="AD699" i="12"/>
  <c r="Y680" i="12"/>
  <c r="Y689" i="12"/>
  <c r="E62" i="7"/>
  <c r="E136" i="4"/>
  <c r="J309" i="2"/>
  <c r="AD698" i="12"/>
  <c r="H326" i="12"/>
  <c r="C326" i="12" s="1"/>
  <c r="I82" i="8" s="1"/>
  <c r="H84" i="12"/>
  <c r="C84" i="12" s="1"/>
  <c r="V22" i="3"/>
  <c r="I4" i="13" s="1"/>
  <c r="H212" i="12"/>
  <c r="C212" i="12" s="1"/>
  <c r="AD661" i="12"/>
  <c r="H109" i="12"/>
  <c r="C109" i="12" s="1"/>
  <c r="I330" i="2" s="1"/>
  <c r="H20" i="12"/>
  <c r="C20" i="12" s="1"/>
  <c r="I37" i="2" s="1"/>
  <c r="F64" i="3" s="1"/>
  <c r="H110" i="12"/>
  <c r="C110" i="12" s="1"/>
  <c r="I163" i="2" s="1"/>
  <c r="H87" i="12"/>
  <c r="C87" i="12" s="1"/>
  <c r="I177" i="2" s="1"/>
  <c r="I108" i="2"/>
  <c r="F97" i="3" s="1"/>
  <c r="H222" i="12"/>
  <c r="C222" i="12" s="1"/>
  <c r="H197" i="12"/>
  <c r="C197" i="12" s="1"/>
  <c r="I315" i="2" s="1"/>
  <c r="O22" i="3"/>
  <c r="H259" i="12"/>
  <c r="C259" i="12" s="1"/>
  <c r="H275" i="12"/>
  <c r="C275" i="12" s="1"/>
  <c r="I431" i="2" s="1"/>
  <c r="E76" i="4"/>
  <c r="H579" i="12"/>
  <c r="C579" i="12" s="1"/>
  <c r="I437" i="2"/>
  <c r="H106" i="12"/>
  <c r="C106" i="12" s="1"/>
  <c r="I191" i="2" s="1"/>
  <c r="I334" i="2"/>
  <c r="H28" i="12"/>
  <c r="C28" i="12" s="1"/>
  <c r="I23" i="2" s="1"/>
  <c r="H138" i="12"/>
  <c r="C138" i="12" s="1"/>
  <c r="Y673" i="12"/>
  <c r="H245" i="12"/>
  <c r="C245" i="12" s="1"/>
  <c r="I368" i="2" s="1"/>
  <c r="E105" i="5" s="1"/>
  <c r="H63" i="12"/>
  <c r="C63" i="12" s="1"/>
  <c r="I103" i="2" s="1"/>
  <c r="F125" i="3" s="1"/>
  <c r="H164" i="12"/>
  <c r="C164" i="12" s="1"/>
  <c r="I24" i="8" s="1"/>
  <c r="N22" i="3"/>
  <c r="G4" i="13" s="1"/>
  <c r="H56" i="12"/>
  <c r="C56" i="12" s="1"/>
  <c r="I91" i="2" s="1"/>
  <c r="F41" i="3" s="1"/>
  <c r="AC663" i="12"/>
  <c r="I249" i="2"/>
  <c r="H213" i="12"/>
  <c r="C213" i="12" s="1"/>
  <c r="I328" i="2" s="1"/>
  <c r="E80" i="5" s="1"/>
  <c r="Y677" i="12"/>
  <c r="C677" i="12" s="1"/>
  <c r="I37" i="9" s="1"/>
  <c r="Y699" i="12"/>
  <c r="H299" i="12"/>
  <c r="C299" i="12" s="1"/>
  <c r="I529" i="2" s="1"/>
  <c r="E120" i="7" s="1"/>
  <c r="I241" i="2"/>
  <c r="I421" i="2"/>
  <c r="H308" i="12"/>
  <c r="C308" i="12" s="1"/>
  <c r="I427" i="2" s="1"/>
  <c r="E96" i="6" s="1"/>
  <c r="H210" i="12"/>
  <c r="C210" i="12" s="1"/>
  <c r="I389" i="2" s="1"/>
  <c r="E85" i="6" s="1"/>
  <c r="H282" i="12"/>
  <c r="C282" i="12" s="1"/>
  <c r="I532" i="2" s="1"/>
  <c r="H143" i="12"/>
  <c r="C143" i="12" s="1"/>
  <c r="I186" i="2" s="1"/>
  <c r="H565" i="12"/>
  <c r="C565" i="12" s="1"/>
  <c r="I156" i="8" s="1"/>
  <c r="AC686" i="12"/>
  <c r="H160" i="12"/>
  <c r="C160" i="12" s="1"/>
  <c r="I260" i="2" s="1"/>
  <c r="E60" i="7" s="1"/>
  <c r="I203" i="2"/>
  <c r="H591" i="12"/>
  <c r="C591" i="12" s="1"/>
  <c r="H294" i="12"/>
  <c r="C294" i="12" s="1"/>
  <c r="H616" i="12"/>
  <c r="C616" i="12" s="1"/>
  <c r="I366" i="2"/>
  <c r="AC662" i="12"/>
  <c r="H220" i="12"/>
  <c r="C220" i="12" s="1"/>
  <c r="I385" i="2" s="1"/>
  <c r="E188" i="4" s="1"/>
  <c r="H290" i="12"/>
  <c r="C290" i="12" s="1"/>
  <c r="I550" i="2" s="1"/>
  <c r="J550" i="2" s="1"/>
  <c r="H74" i="12"/>
  <c r="C74" i="12" s="1"/>
  <c r="I139" i="2" s="1"/>
  <c r="H345" i="12"/>
  <c r="C345" i="12" s="1"/>
  <c r="I606" i="2" s="1"/>
  <c r="I709" i="2"/>
  <c r="AC696" i="12"/>
  <c r="H597" i="12"/>
  <c r="C597" i="12" s="1"/>
  <c r="AC681" i="12"/>
  <c r="AD669" i="12"/>
  <c r="H652" i="12"/>
  <c r="C652" i="12" s="1"/>
  <c r="H434" i="12"/>
  <c r="C434" i="12" s="1"/>
  <c r="I649" i="2" s="1"/>
  <c r="E186" i="6" s="1"/>
  <c r="H512" i="12"/>
  <c r="C512" i="12" s="1"/>
  <c r="I660" i="2" s="1"/>
  <c r="H588" i="12"/>
  <c r="C588" i="12" s="1"/>
  <c r="I698" i="2" s="1"/>
  <c r="H638" i="12"/>
  <c r="C638" i="12" s="1"/>
  <c r="I722" i="2" s="1"/>
  <c r="Y725" i="12"/>
  <c r="I506" i="2"/>
  <c r="H339" i="12"/>
  <c r="C339" i="12" s="1"/>
  <c r="I551" i="2" s="1"/>
  <c r="J551" i="2" s="1"/>
  <c r="H618" i="12"/>
  <c r="C618" i="12" s="1"/>
  <c r="AD725" i="12"/>
  <c r="AC672" i="12"/>
  <c r="H391" i="12"/>
  <c r="C391" i="12" s="1"/>
  <c r="I619" i="2" s="1"/>
  <c r="J619" i="2" s="1"/>
  <c r="Y700" i="12"/>
  <c r="Y693" i="12"/>
  <c r="H407" i="12"/>
  <c r="C407" i="12" s="1"/>
  <c r="I592" i="2" s="1"/>
  <c r="H474" i="12"/>
  <c r="C474" i="12" s="1"/>
  <c r="I623" i="2" s="1"/>
  <c r="E149" i="7" s="1"/>
  <c r="E331" i="4"/>
  <c r="AC694" i="12"/>
  <c r="Y667" i="12"/>
  <c r="C667" i="12" s="1"/>
  <c r="H307" i="12"/>
  <c r="C307" i="12" s="1"/>
  <c r="I565" i="2" s="1"/>
  <c r="E315" i="4" s="1"/>
  <c r="I560" i="2"/>
  <c r="H542" i="12"/>
  <c r="C542" i="12" s="1"/>
  <c r="I665" i="2" s="1"/>
  <c r="E209" i="6"/>
  <c r="E186" i="5"/>
  <c r="E387" i="4"/>
  <c r="Y688" i="12"/>
  <c r="AD684" i="12"/>
  <c r="H427" i="12"/>
  <c r="C427" i="12" s="1"/>
  <c r="I653" i="2" s="1"/>
  <c r="J653" i="2" s="1"/>
  <c r="H386" i="12"/>
  <c r="C386" i="12" s="1"/>
  <c r="I614" i="2" s="1"/>
  <c r="E285" i="4" s="1"/>
  <c r="E137" i="6" l="1"/>
  <c r="E124" i="7"/>
  <c r="E243" i="4"/>
  <c r="E216" i="4"/>
  <c r="J58" i="2"/>
  <c r="E38" i="4"/>
  <c r="E130" i="6"/>
  <c r="J303" i="2"/>
  <c r="E166" i="4"/>
  <c r="E81" i="6"/>
  <c r="C674" i="12"/>
  <c r="I370" i="2"/>
  <c r="J568" i="2"/>
  <c r="J609" i="2"/>
  <c r="E71" i="4"/>
  <c r="E99" i="4"/>
  <c r="J56" i="2"/>
  <c r="E39" i="4"/>
  <c r="E14" i="7"/>
  <c r="E23" i="6"/>
  <c r="J497" i="2"/>
  <c r="I246" i="2"/>
  <c r="F74" i="3" s="1"/>
  <c r="E385" i="4"/>
  <c r="E185" i="5"/>
  <c r="E175" i="7"/>
  <c r="J142" i="2"/>
  <c r="E259" i="4"/>
  <c r="E136" i="6"/>
  <c r="E38" i="6"/>
  <c r="C680" i="12"/>
  <c r="I5" i="9" s="1"/>
  <c r="J601" i="2"/>
  <c r="E32" i="7"/>
  <c r="E258" i="4"/>
  <c r="C727" i="12"/>
  <c r="I35" i="9" s="1"/>
  <c r="E125" i="5"/>
  <c r="E37" i="6"/>
  <c r="I470" i="2"/>
  <c r="E141" i="8" s="1"/>
  <c r="J136" i="2"/>
  <c r="E49" i="6"/>
  <c r="F91" i="3"/>
  <c r="E15" i="7"/>
  <c r="F155" i="3"/>
  <c r="E6" i="7"/>
  <c r="F300" i="3"/>
  <c r="E392" i="4"/>
  <c r="E59" i="5"/>
  <c r="F33" i="3"/>
  <c r="E23" i="5"/>
  <c r="F3" i="3"/>
  <c r="E26" i="6"/>
  <c r="F297" i="3"/>
  <c r="E178" i="7"/>
  <c r="J304" i="2"/>
  <c r="F13" i="3"/>
  <c r="E44" i="7"/>
  <c r="F12" i="3"/>
  <c r="E12" i="5"/>
  <c r="F119" i="3"/>
  <c r="E17" i="7"/>
  <c r="F329" i="3"/>
  <c r="E63" i="6"/>
  <c r="F328" i="3"/>
  <c r="E43" i="6"/>
  <c r="F238" i="3"/>
  <c r="E52" i="6"/>
  <c r="F96" i="3"/>
  <c r="E50" i="7"/>
  <c r="F70" i="3"/>
  <c r="E9" i="7"/>
  <c r="F271" i="3"/>
  <c r="J239" i="2"/>
  <c r="E4" i="5"/>
  <c r="F325" i="3"/>
  <c r="E51" i="6"/>
  <c r="F301" i="3"/>
  <c r="J446" i="2"/>
  <c r="E34" i="7"/>
  <c r="F126" i="3"/>
  <c r="Q173" i="3"/>
  <c r="O9" i="13" s="1"/>
  <c r="P173" i="3"/>
  <c r="P9" i="13" s="1"/>
  <c r="E36" i="5"/>
  <c r="F61" i="3"/>
  <c r="E48" i="7"/>
  <c r="F186" i="3"/>
  <c r="J31" i="2"/>
  <c r="F236" i="3"/>
  <c r="E77" i="5"/>
  <c r="F4" i="3"/>
  <c r="J167" i="2"/>
  <c r="F240" i="3"/>
  <c r="E54" i="5"/>
  <c r="F237" i="3"/>
  <c r="J141" i="2"/>
  <c r="F205" i="3"/>
  <c r="E35" i="5"/>
  <c r="F178" i="3"/>
  <c r="E78" i="7"/>
  <c r="F69" i="3"/>
  <c r="E20" i="6"/>
  <c r="F181" i="3"/>
  <c r="E30" i="6"/>
  <c r="F95" i="3"/>
  <c r="Z22" i="3"/>
  <c r="E310" i="4"/>
  <c r="C704" i="12"/>
  <c r="I52" i="9" s="1"/>
  <c r="J117" i="2"/>
  <c r="J668" i="2"/>
  <c r="E148" i="5"/>
  <c r="E98" i="4"/>
  <c r="E380" i="4"/>
  <c r="E163" i="6"/>
  <c r="E17" i="4"/>
  <c r="J719" i="2"/>
  <c r="J575" i="2"/>
  <c r="E181" i="5"/>
  <c r="E10" i="5"/>
  <c r="E45" i="7"/>
  <c r="J363" i="2"/>
  <c r="E161" i="4"/>
  <c r="I373" i="2"/>
  <c r="J22" i="2"/>
  <c r="E19" i="4"/>
  <c r="I396" i="2"/>
  <c r="E115" i="8" s="1"/>
  <c r="I160" i="2"/>
  <c r="F277" i="3" s="1"/>
  <c r="E207" i="6"/>
  <c r="E146" i="4"/>
  <c r="E35" i="4"/>
  <c r="E254" i="4"/>
  <c r="E70" i="6"/>
  <c r="E124" i="5"/>
  <c r="J500" i="2"/>
  <c r="J479" i="2"/>
  <c r="E221" i="4"/>
  <c r="J662" i="2"/>
  <c r="E172" i="5"/>
  <c r="E101" i="6"/>
  <c r="E197" i="4"/>
  <c r="J434" i="2"/>
  <c r="E39" i="5"/>
  <c r="I62" i="2"/>
  <c r="F219" i="3" s="1"/>
  <c r="J146" i="2"/>
  <c r="E84" i="4"/>
  <c r="I171" i="2"/>
  <c r="E194" i="4"/>
  <c r="E99" i="6"/>
  <c r="E43" i="5"/>
  <c r="E222" i="4"/>
  <c r="I155" i="2"/>
  <c r="E37" i="8" s="1"/>
  <c r="E340" i="4"/>
  <c r="J626" i="2"/>
  <c r="I562" i="2"/>
  <c r="E305" i="4"/>
  <c r="I97" i="2"/>
  <c r="F131" i="3" s="1"/>
  <c r="E39" i="6"/>
  <c r="J173" i="2"/>
  <c r="E177" i="6"/>
  <c r="C706" i="12"/>
  <c r="I34" i="9" s="1"/>
  <c r="I116" i="2"/>
  <c r="E34" i="8" s="1"/>
  <c r="E244" i="4"/>
  <c r="E106" i="4"/>
  <c r="J713" i="2"/>
  <c r="J282" i="2"/>
  <c r="E423" i="4"/>
  <c r="E116" i="4"/>
  <c r="I220" i="2"/>
  <c r="J603" i="2"/>
  <c r="I394" i="2"/>
  <c r="J163" i="2"/>
  <c r="E112" i="4"/>
  <c r="I202" i="2"/>
  <c r="E78" i="8" s="1"/>
  <c r="E53" i="7"/>
  <c r="I440" i="2"/>
  <c r="E136" i="8" s="1"/>
  <c r="E37" i="7"/>
  <c r="J616" i="2"/>
  <c r="E303" i="4"/>
  <c r="E103" i="5"/>
  <c r="E85" i="5"/>
  <c r="E77" i="4"/>
  <c r="I83" i="2"/>
  <c r="F46" i="3" s="1"/>
  <c r="I534" i="2"/>
  <c r="E207" i="8" s="1"/>
  <c r="E225" i="6"/>
  <c r="I406" i="2"/>
  <c r="E119" i="8" s="1"/>
  <c r="J624" i="2"/>
  <c r="I367" i="2"/>
  <c r="E100" i="8" s="1"/>
  <c r="E318" i="4"/>
  <c r="C721" i="12"/>
  <c r="I14" i="9" s="1"/>
  <c r="E167" i="6"/>
  <c r="I197" i="4"/>
  <c r="E313" i="4"/>
  <c r="I195" i="2"/>
  <c r="F132" i="3" s="1"/>
  <c r="I291" i="2"/>
  <c r="I101" i="6"/>
  <c r="I25" i="2"/>
  <c r="F44" i="3" s="1"/>
  <c r="I397" i="2"/>
  <c r="J397" i="2" s="1"/>
  <c r="I123" i="2"/>
  <c r="E33" i="8" s="1"/>
  <c r="I488" i="2"/>
  <c r="E208" i="8" s="1"/>
  <c r="I325" i="2"/>
  <c r="E96" i="8" s="1"/>
  <c r="E154" i="7"/>
  <c r="C673" i="12"/>
  <c r="I12" i="9" s="1"/>
  <c r="J623" i="2"/>
  <c r="I6" i="2"/>
  <c r="E170" i="4"/>
  <c r="I538" i="2"/>
  <c r="J463" i="2"/>
  <c r="I178" i="2"/>
  <c r="E34" i="9" s="1"/>
  <c r="E192" i="5"/>
  <c r="I317" i="2"/>
  <c r="E86" i="8" s="1"/>
  <c r="E131" i="6"/>
  <c r="J153" i="2"/>
  <c r="E84" i="6"/>
  <c r="I321" i="2"/>
  <c r="E96" i="4"/>
  <c r="I554" i="2"/>
  <c r="E222" i="8" s="1"/>
  <c r="I12" i="2"/>
  <c r="F217" i="3" s="1"/>
  <c r="E42" i="7"/>
  <c r="I510" i="2"/>
  <c r="E218" i="8" s="1"/>
  <c r="J574" i="2"/>
  <c r="J494" i="2"/>
  <c r="E212" i="4"/>
  <c r="C660" i="12"/>
  <c r="I61" i="9" s="1"/>
  <c r="C723" i="12"/>
  <c r="I74" i="9" s="1"/>
  <c r="I451" i="2"/>
  <c r="E165" i="8" s="1"/>
  <c r="E263" i="4"/>
  <c r="J165" i="2"/>
  <c r="E141" i="6"/>
  <c r="E97" i="4"/>
  <c r="I272" i="2"/>
  <c r="J517" i="2"/>
  <c r="E43" i="7"/>
  <c r="J677" i="2"/>
  <c r="I384" i="2"/>
  <c r="E105" i="8" s="1"/>
  <c r="I189" i="8"/>
  <c r="I504" i="2"/>
  <c r="E18" i="6"/>
  <c r="E33" i="4"/>
  <c r="J49" i="2"/>
  <c r="E152" i="5"/>
  <c r="E301" i="4"/>
  <c r="E345" i="4"/>
  <c r="E224" i="4"/>
  <c r="I216" i="8"/>
  <c r="I539" i="2"/>
  <c r="E162" i="6"/>
  <c r="E308" i="4"/>
  <c r="J606" i="2"/>
  <c r="E27" i="4"/>
  <c r="J37" i="2"/>
  <c r="E14" i="6"/>
  <c r="E16" i="5"/>
  <c r="E141" i="5"/>
  <c r="E166" i="6"/>
  <c r="E161" i="6"/>
  <c r="E180" i="6"/>
  <c r="E107" i="5"/>
  <c r="E112" i="7"/>
  <c r="E237" i="4"/>
  <c r="J540" i="2"/>
  <c r="I226" i="8"/>
  <c r="I573" i="2"/>
  <c r="I65" i="8"/>
  <c r="I254" i="2"/>
  <c r="J378" i="2"/>
  <c r="E191" i="5"/>
  <c r="E398" i="4"/>
  <c r="J704" i="2"/>
  <c r="I52" i="8"/>
  <c r="I219" i="2"/>
  <c r="I10" i="8"/>
  <c r="I21" i="2"/>
  <c r="F275" i="3" s="1"/>
  <c r="I355" i="2"/>
  <c r="J355" i="2" s="1"/>
  <c r="J541" i="2"/>
  <c r="E339" i="4"/>
  <c r="J346" i="2"/>
  <c r="J237" i="2"/>
  <c r="I375" i="2"/>
  <c r="E138" i="5"/>
  <c r="J628" i="2"/>
  <c r="E418" i="4"/>
  <c r="E137" i="4"/>
  <c r="J377" i="2"/>
  <c r="E147" i="6"/>
  <c r="J315" i="2"/>
  <c r="E115" i="5"/>
  <c r="E235" i="4"/>
  <c r="J545" i="2"/>
  <c r="E108" i="7"/>
  <c r="E64" i="5"/>
  <c r="E130" i="4"/>
  <c r="J263" i="2"/>
  <c r="E73" i="7"/>
  <c r="E152" i="4"/>
  <c r="J298" i="2"/>
  <c r="J66" i="2"/>
  <c r="I549" i="2"/>
  <c r="E200" i="8" s="1"/>
  <c r="E167" i="5"/>
  <c r="E190" i="6"/>
  <c r="E362" i="4"/>
  <c r="J621" i="2"/>
  <c r="I183" i="8"/>
  <c r="I496" i="2"/>
  <c r="E119" i="6"/>
  <c r="E78" i="5"/>
  <c r="E158" i="4"/>
  <c r="E78" i="6"/>
  <c r="J392" i="2"/>
  <c r="J177" i="2"/>
  <c r="I65" i="9"/>
  <c r="I273" i="2"/>
  <c r="I195" i="8"/>
  <c r="I509" i="2"/>
  <c r="I13" i="9"/>
  <c r="I118" i="2"/>
  <c r="E47" i="6"/>
  <c r="E91" i="4"/>
  <c r="J157" i="2"/>
  <c r="I491" i="2"/>
  <c r="E167" i="8" s="1"/>
  <c r="E236" i="4"/>
  <c r="E161" i="7"/>
  <c r="E212" i="6"/>
  <c r="E393" i="4"/>
  <c r="E189" i="5"/>
  <c r="J686" i="2"/>
  <c r="E206" i="4"/>
  <c r="E117" i="4"/>
  <c r="E334" i="4"/>
  <c r="E186" i="7"/>
  <c r="E69" i="5"/>
  <c r="E185" i="4"/>
  <c r="I112" i="8"/>
  <c r="I432" i="2"/>
  <c r="I76" i="8"/>
  <c r="I243" i="2"/>
  <c r="E156" i="4"/>
  <c r="E224" i="8"/>
  <c r="E224" i="6"/>
  <c r="J701" i="2"/>
  <c r="I118" i="8"/>
  <c r="I422" i="2"/>
  <c r="F191" i="3" s="1"/>
  <c r="J120" i="2"/>
  <c r="I180" i="8"/>
  <c r="I458" i="2"/>
  <c r="E48" i="4"/>
  <c r="E213" i="6"/>
  <c r="E395" i="4"/>
  <c r="J723" i="2"/>
  <c r="E138" i="7"/>
  <c r="E295" i="4"/>
  <c r="J599" i="2"/>
  <c r="E102" i="7"/>
  <c r="E209" i="4"/>
  <c r="J398" i="2"/>
  <c r="E399" i="4"/>
  <c r="J720" i="2"/>
  <c r="E216" i="6"/>
  <c r="E306" i="4"/>
  <c r="J592" i="2"/>
  <c r="E181" i="7"/>
  <c r="E408" i="4"/>
  <c r="J690" i="2"/>
  <c r="E129" i="5"/>
  <c r="E268" i="4"/>
  <c r="J577" i="2"/>
  <c r="I145" i="8"/>
  <c r="I372" i="2"/>
  <c r="J427" i="2"/>
  <c r="I197" i="8"/>
  <c r="I441" i="2"/>
  <c r="E94" i="4"/>
  <c r="E157" i="5"/>
  <c r="E326" i="4"/>
  <c r="J639" i="2"/>
  <c r="E199" i="5"/>
  <c r="E416" i="4"/>
  <c r="J697" i="2"/>
  <c r="I35" i="8"/>
  <c r="I107" i="2"/>
  <c r="F335" i="3" s="1"/>
  <c r="E83" i="6"/>
  <c r="E82" i="7"/>
  <c r="E169" i="4"/>
  <c r="J360" i="2"/>
  <c r="E116" i="5"/>
  <c r="I116" i="8"/>
  <c r="I383" i="2"/>
  <c r="E86" i="6"/>
  <c r="E86" i="7"/>
  <c r="E86" i="5"/>
  <c r="E174" i="4"/>
  <c r="J356" i="2"/>
  <c r="E96" i="5"/>
  <c r="E100" i="6"/>
  <c r="E195" i="4"/>
  <c r="J466" i="2"/>
  <c r="I23" i="8"/>
  <c r="I47" i="2"/>
  <c r="F188" i="3" s="1"/>
  <c r="I12" i="8"/>
  <c r="I34" i="2"/>
  <c r="F72" i="3" s="1"/>
  <c r="E167" i="7"/>
  <c r="E170" i="5"/>
  <c r="E353" i="4"/>
  <c r="J643" i="2"/>
  <c r="I223" i="8"/>
  <c r="I548" i="2"/>
  <c r="E163" i="5"/>
  <c r="E63" i="7"/>
  <c r="E93" i="6"/>
  <c r="I132" i="8"/>
  <c r="I433" i="2"/>
  <c r="E187" i="6"/>
  <c r="E357" i="4"/>
  <c r="J631" i="2"/>
  <c r="E402" i="4"/>
  <c r="E155" i="5"/>
  <c r="E322" i="4"/>
  <c r="J651" i="2"/>
  <c r="J238" i="2"/>
  <c r="E70" i="4"/>
  <c r="E129" i="7"/>
  <c r="E139" i="5"/>
  <c r="E281" i="4"/>
  <c r="J591" i="2"/>
  <c r="E19" i="7"/>
  <c r="I157" i="8"/>
  <c r="I471" i="2"/>
  <c r="E193" i="4"/>
  <c r="J431" i="2"/>
  <c r="E95" i="7"/>
  <c r="E109" i="4"/>
  <c r="J211" i="2"/>
  <c r="E52" i="5"/>
  <c r="E190" i="4"/>
  <c r="E48" i="5"/>
  <c r="J613" i="2"/>
  <c r="E44" i="5"/>
  <c r="E85" i="4"/>
  <c r="J147" i="2"/>
  <c r="E84" i="7"/>
  <c r="E171" i="4"/>
  <c r="J323" i="2"/>
  <c r="E146" i="6"/>
  <c r="E272" i="4"/>
  <c r="J571" i="2"/>
  <c r="J486" i="2"/>
  <c r="E46" i="7"/>
  <c r="E49" i="5"/>
  <c r="E100" i="4"/>
  <c r="J210" i="2"/>
  <c r="E11" i="7"/>
  <c r="E19" i="6"/>
  <c r="E34" i="4"/>
  <c r="J38" i="2"/>
  <c r="E26" i="7"/>
  <c r="E64" i="4"/>
  <c r="E90" i="7"/>
  <c r="E184" i="4"/>
  <c r="J327" i="2"/>
  <c r="I47" i="8"/>
  <c r="I174" i="2"/>
  <c r="I198" i="8"/>
  <c r="I495" i="2"/>
  <c r="I129" i="8"/>
  <c r="I359" i="2"/>
  <c r="E33" i="7"/>
  <c r="E78" i="4"/>
  <c r="J105" i="2"/>
  <c r="I27" i="8"/>
  <c r="I77" i="2"/>
  <c r="F15" i="3" s="1"/>
  <c r="E217" i="6"/>
  <c r="J647" i="2"/>
  <c r="E113" i="4"/>
  <c r="J531" i="2"/>
  <c r="I171" i="8"/>
  <c r="I516" i="2"/>
  <c r="J94" i="2"/>
  <c r="J612" i="2"/>
  <c r="E136" i="5"/>
  <c r="E277" i="4"/>
  <c r="J667" i="2"/>
  <c r="E104" i="7"/>
  <c r="E104" i="5"/>
  <c r="E214" i="4"/>
  <c r="J489" i="2"/>
  <c r="J635" i="2"/>
  <c r="E211" i="6"/>
  <c r="E176" i="7"/>
  <c r="E390" i="4"/>
  <c r="E140" i="7"/>
  <c r="E160" i="6"/>
  <c r="E298" i="4"/>
  <c r="J611" i="2"/>
  <c r="I153" i="8"/>
  <c r="I443" i="2"/>
  <c r="I93" i="2"/>
  <c r="I46" i="8"/>
  <c r="I172" i="2"/>
  <c r="F307" i="3" s="1"/>
  <c r="E107" i="4"/>
  <c r="J649" i="2"/>
  <c r="I176" i="8"/>
  <c r="I455" i="2"/>
  <c r="J185" i="2"/>
  <c r="I277" i="2"/>
  <c r="J23" i="2"/>
  <c r="E383" i="4"/>
  <c r="E183" i="5"/>
  <c r="J685" i="2"/>
  <c r="E297" i="4"/>
  <c r="E197" i="6"/>
  <c r="E370" i="4"/>
  <c r="J683" i="2"/>
  <c r="I148" i="8"/>
  <c r="I347" i="2"/>
  <c r="I71" i="8"/>
  <c r="I253" i="2"/>
  <c r="J5" i="2"/>
  <c r="E6" i="5"/>
  <c r="E6" i="4"/>
  <c r="J234" i="2"/>
  <c r="E203" i="4"/>
  <c r="I371" i="2"/>
  <c r="J79" i="2"/>
  <c r="I404" i="2"/>
  <c r="E139" i="8" s="1"/>
  <c r="E87" i="6"/>
  <c r="E176" i="4"/>
  <c r="J452" i="2"/>
  <c r="J71" i="2"/>
  <c r="E18" i="7"/>
  <c r="E46" i="4"/>
  <c r="J63" i="2"/>
  <c r="I69" i="8"/>
  <c r="I231" i="2"/>
  <c r="I113" i="8"/>
  <c r="I358" i="2"/>
  <c r="J664" i="2"/>
  <c r="E207" i="5"/>
  <c r="E427" i="4"/>
  <c r="J721" i="2"/>
  <c r="E338" i="4"/>
  <c r="E213" i="4"/>
  <c r="J476" i="2"/>
  <c r="I7" i="8"/>
  <c r="I17" i="2"/>
  <c r="F43" i="3" s="1"/>
  <c r="I43" i="8"/>
  <c r="I156" i="2"/>
  <c r="F306" i="3" s="1"/>
  <c r="E133" i="5"/>
  <c r="J572" i="2"/>
  <c r="E274" i="4"/>
  <c r="I58" i="8"/>
  <c r="I225" i="2"/>
  <c r="J660" i="2"/>
  <c r="E210" i="6"/>
  <c r="E388" i="4"/>
  <c r="E187" i="5"/>
  <c r="I190" i="2"/>
  <c r="E37" i="9" s="1"/>
  <c r="J389" i="2"/>
  <c r="I140" i="8"/>
  <c r="I388" i="2"/>
  <c r="E356" i="4"/>
  <c r="I190" i="8"/>
  <c r="I352" i="2"/>
  <c r="E119" i="4"/>
  <c r="J186" i="2"/>
  <c r="E143" i="6"/>
  <c r="E267" i="4"/>
  <c r="J590" i="2"/>
  <c r="E64" i="6"/>
  <c r="E132" i="4"/>
  <c r="J213" i="2"/>
  <c r="I124" i="8"/>
  <c r="I390" i="2"/>
  <c r="E16" i="4"/>
  <c r="I99" i="8"/>
  <c r="I326" i="2"/>
  <c r="E115" i="4"/>
  <c r="J212" i="2"/>
  <c r="E56" i="5"/>
  <c r="I39" i="8"/>
  <c r="I130" i="2"/>
  <c r="J381" i="2"/>
  <c r="J605" i="2"/>
  <c r="E126" i="4"/>
  <c r="E100" i="5"/>
  <c r="E79" i="4"/>
  <c r="J4" i="2"/>
  <c r="J314" i="2"/>
  <c r="E41" i="4"/>
  <c r="E375" i="4"/>
  <c r="E164" i="5"/>
  <c r="E214" i="6"/>
  <c r="E396" i="4"/>
  <c r="J708" i="2"/>
  <c r="I194" i="8"/>
  <c r="I514" i="2"/>
  <c r="I204" i="8"/>
  <c r="I547" i="2"/>
  <c r="E208" i="4"/>
  <c r="E8" i="5"/>
  <c r="J10" i="2"/>
  <c r="E11" i="4"/>
  <c r="I173" i="8"/>
  <c r="I487" i="2"/>
  <c r="E116" i="7"/>
  <c r="E246" i="4"/>
  <c r="J555" i="2"/>
  <c r="E111" i="7"/>
  <c r="E229" i="4"/>
  <c r="J490" i="2"/>
  <c r="E32" i="6"/>
  <c r="E59" i="4"/>
  <c r="J103" i="2"/>
  <c r="E173" i="4"/>
  <c r="I38" i="8"/>
  <c r="I127" i="2"/>
  <c r="E219" i="6"/>
  <c r="E410" i="4"/>
  <c r="J715" i="2"/>
  <c r="E171" i="5"/>
  <c r="E93" i="7"/>
  <c r="E97" i="6"/>
  <c r="E191" i="4"/>
  <c r="J322" i="2"/>
  <c r="E70" i="5"/>
  <c r="E142" i="4"/>
  <c r="J149" i="2"/>
  <c r="E103" i="4"/>
  <c r="I169" i="8"/>
  <c r="I357" i="2"/>
  <c r="E21" i="6"/>
  <c r="E12" i="7"/>
  <c r="E21" i="5"/>
  <c r="E36" i="4"/>
  <c r="J54" i="2"/>
  <c r="E121" i="6"/>
  <c r="E226" i="4"/>
  <c r="E108" i="5"/>
  <c r="J526" i="2"/>
  <c r="E7" i="6"/>
  <c r="E75" i="7"/>
  <c r="E77" i="6"/>
  <c r="E157" i="4"/>
  <c r="J318" i="2"/>
  <c r="J448" i="2"/>
  <c r="E5" i="6"/>
  <c r="E12" i="4"/>
  <c r="J14" i="2"/>
  <c r="I268" i="2"/>
  <c r="E30" i="4"/>
  <c r="J45" i="2"/>
  <c r="E18" i="5"/>
  <c r="E46" i="5"/>
  <c r="E90" i="4"/>
  <c r="J170" i="2"/>
  <c r="E175" i="4"/>
  <c r="E358" i="4"/>
  <c r="J641" i="2"/>
  <c r="E169" i="7"/>
  <c r="E333" i="4"/>
  <c r="J450" i="2"/>
  <c r="E107" i="6"/>
  <c r="I178" i="8"/>
  <c r="I435" i="2"/>
  <c r="E40" i="6"/>
  <c r="I13" i="8"/>
  <c r="I59" i="2"/>
  <c r="F304" i="3" s="1"/>
  <c r="I129" i="2"/>
  <c r="E4" i="4"/>
  <c r="J679" i="2"/>
  <c r="J670" i="2"/>
  <c r="I460" i="2"/>
  <c r="E184" i="8" s="1"/>
  <c r="I211" i="8"/>
  <c r="I485" i="2"/>
  <c r="E147" i="4"/>
  <c r="E172" i="7"/>
  <c r="E105" i="7"/>
  <c r="E218" i="4"/>
  <c r="J444" i="2"/>
  <c r="J508" i="2"/>
  <c r="E12" i="6"/>
  <c r="E25" i="4"/>
  <c r="J30" i="2"/>
  <c r="E92" i="6"/>
  <c r="E90" i="5"/>
  <c r="E182" i="4"/>
  <c r="J424" i="2"/>
  <c r="E6" i="6"/>
  <c r="E13" i="4"/>
  <c r="J16" i="2"/>
  <c r="E162" i="7"/>
  <c r="E179" i="6"/>
  <c r="E343" i="4"/>
  <c r="J630" i="2"/>
  <c r="E158" i="6"/>
  <c r="E137" i="7"/>
  <c r="E142" i="5"/>
  <c r="E294" i="4"/>
  <c r="J587" i="2"/>
  <c r="I201" i="8"/>
  <c r="I499" i="2"/>
  <c r="I49" i="8"/>
  <c r="I125" i="2"/>
  <c r="F161" i="3" s="1"/>
  <c r="I61" i="2"/>
  <c r="E5" i="9" s="1"/>
  <c r="E165" i="7"/>
  <c r="E347" i="4"/>
  <c r="J637" i="2"/>
  <c r="J139" i="2"/>
  <c r="J260" i="2"/>
  <c r="J328" i="2"/>
  <c r="I19" i="8"/>
  <c r="I43" i="2"/>
  <c r="F334" i="3" s="1"/>
  <c r="E183" i="4"/>
  <c r="E232" i="4"/>
  <c r="E113" i="5"/>
  <c r="J376" i="2"/>
  <c r="J42" i="2"/>
  <c r="E29" i="5"/>
  <c r="E53" i="4"/>
  <c r="E154" i="6"/>
  <c r="E289" i="4"/>
  <c r="J559" i="2"/>
  <c r="E162" i="5"/>
  <c r="E192" i="4"/>
  <c r="I80" i="8"/>
  <c r="I300" i="2"/>
  <c r="E109" i="7"/>
  <c r="E109" i="5"/>
  <c r="E227" i="4"/>
  <c r="J405" i="2"/>
  <c r="E3" i="6"/>
  <c r="J707" i="2"/>
  <c r="E193" i="5"/>
  <c r="E341" i="4"/>
  <c r="E71" i="6"/>
  <c r="E110" i="4"/>
  <c r="J215" i="2"/>
  <c r="E249" i="4"/>
  <c r="E149" i="4"/>
  <c r="J301" i="2"/>
  <c r="E73" i="5"/>
  <c r="I128" i="8"/>
  <c r="I413" i="2"/>
  <c r="E128" i="6"/>
  <c r="E117" i="5"/>
  <c r="E241" i="4"/>
  <c r="J552" i="2"/>
  <c r="I185" i="8"/>
  <c r="I513" i="2"/>
  <c r="I220" i="8"/>
  <c r="I493" i="2"/>
  <c r="I92" i="2"/>
  <c r="F142" i="3" s="1"/>
  <c r="I6" i="8"/>
  <c r="I19" i="2"/>
  <c r="F246" i="3" s="1"/>
  <c r="E160" i="5"/>
  <c r="J659" i="2"/>
  <c r="E73" i="4"/>
  <c r="E131" i="4"/>
  <c r="E162" i="4"/>
  <c r="E66" i="6"/>
  <c r="E68" i="5"/>
  <c r="E135" i="4"/>
  <c r="J278" i="2"/>
  <c r="E62" i="4"/>
  <c r="J119" i="2"/>
  <c r="E32" i="5"/>
  <c r="E177" i="5"/>
  <c r="E372" i="4"/>
  <c r="J687" i="2"/>
  <c r="E203" i="6"/>
  <c r="E180" i="5"/>
  <c r="E377" i="4"/>
  <c r="J691" i="2"/>
  <c r="I97" i="8"/>
  <c r="I365" i="2"/>
  <c r="F190" i="3" s="1"/>
  <c r="E40" i="7"/>
  <c r="E92" i="4"/>
  <c r="J162" i="2"/>
  <c r="I36" i="8"/>
  <c r="I102" i="2"/>
  <c r="F159" i="3" s="1"/>
  <c r="I106" i="8"/>
  <c r="I361" i="2"/>
  <c r="J681" i="2"/>
  <c r="E185" i="6"/>
  <c r="E354" i="4"/>
  <c r="E122" i="5"/>
  <c r="E250" i="4"/>
  <c r="J570" i="2"/>
  <c r="E98" i="6"/>
  <c r="J259" i="2"/>
  <c r="E94" i="6"/>
  <c r="E92" i="7"/>
  <c r="E187" i="4"/>
  <c r="J402" i="2"/>
  <c r="E3" i="7"/>
  <c r="E4" i="6"/>
  <c r="E7" i="4"/>
  <c r="F6" i="3"/>
  <c r="J9" i="2"/>
  <c r="E411" i="4"/>
  <c r="E279" i="4"/>
  <c r="E137" i="5"/>
  <c r="J595" i="2"/>
  <c r="J385" i="2"/>
  <c r="J638" i="2"/>
  <c r="J53" i="2"/>
  <c r="I111" i="8"/>
  <c r="I379" i="2"/>
  <c r="E111" i="8" s="1"/>
  <c r="E57" i="7"/>
  <c r="E124" i="4"/>
  <c r="J261" i="2"/>
  <c r="I159" i="8"/>
  <c r="I459" i="2"/>
  <c r="I213" i="8"/>
  <c r="I520" i="2"/>
  <c r="E146" i="7"/>
  <c r="I469" i="2"/>
  <c r="E156" i="8" s="1"/>
  <c r="I26" i="8"/>
  <c r="I80" i="2"/>
  <c r="F305" i="3" s="1"/>
  <c r="I251" i="2"/>
  <c r="E82" i="8" s="1"/>
  <c r="J565" i="2"/>
  <c r="E227" i="6"/>
  <c r="E431" i="4"/>
  <c r="J730" i="2"/>
  <c r="E65" i="5"/>
  <c r="J529" i="2"/>
  <c r="I64" i="8"/>
  <c r="I250" i="2"/>
  <c r="I336" i="2"/>
  <c r="J336" i="2" s="1"/>
  <c r="I59" i="8"/>
  <c r="I214" i="2"/>
  <c r="F336" i="3" s="1"/>
  <c r="E183" i="7"/>
  <c r="E412" i="4"/>
  <c r="J672" i="2"/>
  <c r="I205" i="8"/>
  <c r="I418" i="2"/>
  <c r="I109" i="8"/>
  <c r="I295" i="2"/>
  <c r="I177" i="8"/>
  <c r="I324" i="2"/>
  <c r="E25" i="5"/>
  <c r="E45" i="4"/>
  <c r="J81" i="2"/>
  <c r="I9" i="8"/>
  <c r="I20" i="2"/>
  <c r="F73" i="3" s="1"/>
  <c r="I5" i="8"/>
  <c r="I13" i="2"/>
  <c r="F333" i="3" s="1"/>
  <c r="I192" i="8"/>
  <c r="I429" i="2"/>
  <c r="I168" i="8"/>
  <c r="I480" i="2"/>
  <c r="E88" i="6"/>
  <c r="E178" i="4"/>
  <c r="E88" i="5"/>
  <c r="J342" i="2"/>
  <c r="I256" i="2"/>
  <c r="J368" i="2"/>
  <c r="E163" i="4"/>
  <c r="I411" i="2"/>
  <c r="E134" i="8" s="1"/>
  <c r="I14" i="8"/>
  <c r="I41" i="2"/>
  <c r="F247" i="3" s="1"/>
  <c r="J632" i="2"/>
  <c r="E430" i="4"/>
  <c r="E208" i="5"/>
  <c r="J718" i="2"/>
  <c r="E189" i="7"/>
  <c r="E93" i="5"/>
  <c r="J563" i="2"/>
  <c r="J60" i="2"/>
  <c r="I344" i="2"/>
  <c r="E95" i="8" s="1"/>
  <c r="I196" i="8"/>
  <c r="I522" i="2"/>
  <c r="I16" i="8"/>
  <c r="I27" i="2"/>
  <c r="F101" i="3" s="1"/>
  <c r="E302" i="4"/>
  <c r="E44" i="4"/>
  <c r="I131" i="8"/>
  <c r="I412" i="2"/>
  <c r="I214" i="8"/>
  <c r="I546" i="2"/>
  <c r="J546" i="2" s="1"/>
  <c r="E14" i="5"/>
  <c r="E22" i="4"/>
  <c r="J28" i="2"/>
  <c r="J614" i="2"/>
  <c r="E127" i="5"/>
  <c r="E264" i="4"/>
  <c r="J425" i="2"/>
  <c r="E253" i="4"/>
  <c r="E27" i="5"/>
  <c r="E50" i="4"/>
  <c r="J73" i="2"/>
  <c r="E61" i="5"/>
  <c r="E125" i="4"/>
  <c r="J302" i="2"/>
  <c r="E184" i="7"/>
  <c r="E414" i="4"/>
  <c r="E198" i="5"/>
  <c r="J702" i="2"/>
  <c r="I53" i="9"/>
  <c r="I248" i="2"/>
  <c r="J530" i="2"/>
  <c r="E135" i="5"/>
  <c r="E276" i="4"/>
  <c r="I438" i="2"/>
  <c r="E161" i="8" s="1"/>
  <c r="E30" i="7"/>
  <c r="E69" i="4"/>
  <c r="J122" i="2"/>
  <c r="E170" i="7"/>
  <c r="E189" i="6"/>
  <c r="E361" i="4"/>
  <c r="J608" i="2"/>
  <c r="I409" i="2"/>
  <c r="J409" i="2" s="1"/>
  <c r="I85" i="8"/>
  <c r="I316" i="2"/>
  <c r="E13" i="6"/>
  <c r="E26" i="4"/>
  <c r="J50" i="2"/>
  <c r="E215" i="4"/>
  <c r="E81" i="5"/>
  <c r="I104" i="8"/>
  <c r="I354" i="2"/>
  <c r="J597" i="2"/>
  <c r="E307" i="4"/>
  <c r="J696" i="2"/>
  <c r="I91" i="8"/>
  <c r="I224" i="2"/>
  <c r="E273" i="4"/>
  <c r="E40" i="4"/>
  <c r="J442" i="2"/>
  <c r="E92" i="5"/>
  <c r="E186" i="4"/>
  <c r="J290" i="2"/>
  <c r="I126" i="8"/>
  <c r="I430" i="2"/>
  <c r="E25" i="6"/>
  <c r="I179" i="8"/>
  <c r="I475" i="2"/>
  <c r="E59" i="6"/>
  <c r="E55" i="5"/>
  <c r="E114" i="4"/>
  <c r="J230" i="2"/>
  <c r="I70" i="9"/>
  <c r="I312" i="2"/>
  <c r="E5" i="7"/>
  <c r="E9" i="4"/>
  <c r="J7" i="2"/>
  <c r="I149" i="8"/>
  <c r="I423" i="2"/>
  <c r="I152" i="8"/>
  <c r="I428" i="2"/>
  <c r="E266" i="4"/>
  <c r="E128" i="5"/>
  <c r="J544" i="2"/>
  <c r="I144" i="8"/>
  <c r="I401" i="2"/>
  <c r="I101" i="8"/>
  <c r="I287" i="2"/>
  <c r="E24" i="5"/>
  <c r="E43" i="4"/>
  <c r="J52" i="2"/>
  <c r="I28" i="8"/>
  <c r="I88" i="2"/>
  <c r="F248" i="3" s="1"/>
  <c r="I88" i="8"/>
  <c r="I353" i="2"/>
  <c r="E120" i="6"/>
  <c r="I155" i="8"/>
  <c r="I426" i="2"/>
  <c r="I123" i="8"/>
  <c r="I364" i="2"/>
  <c r="E83" i="4"/>
  <c r="J115" i="2"/>
  <c r="E36" i="7"/>
  <c r="E42" i="5"/>
  <c r="E182" i="5"/>
  <c r="E381" i="4"/>
  <c r="J680" i="2"/>
  <c r="J196" i="2"/>
  <c r="E48" i="6"/>
  <c r="E47" i="5"/>
  <c r="E93" i="4"/>
  <c r="E5" i="5"/>
  <c r="E5" i="4"/>
  <c r="J3" i="2"/>
  <c r="E169" i="5"/>
  <c r="E352" i="4"/>
  <c r="J663" i="2"/>
  <c r="E74" i="6"/>
  <c r="E72" i="7"/>
  <c r="E74" i="5"/>
  <c r="E151" i="4"/>
  <c r="J319" i="2"/>
  <c r="E61" i="6"/>
  <c r="E55" i="7"/>
  <c r="E121" i="4"/>
  <c r="J271" i="2"/>
  <c r="I94" i="8"/>
  <c r="I345" i="2"/>
  <c r="I215" i="8"/>
  <c r="I524" i="2"/>
  <c r="I150" i="8"/>
  <c r="I457" i="2"/>
  <c r="I501" i="2"/>
  <c r="E199" i="8" s="1"/>
  <c r="I147" i="8"/>
  <c r="I472" i="2"/>
  <c r="I207" i="2"/>
  <c r="F104" i="3" s="1"/>
  <c r="J584" i="2"/>
  <c r="E163" i="7"/>
  <c r="E153" i="6"/>
  <c r="E111" i="4"/>
  <c r="I306" i="2"/>
  <c r="I193" i="8"/>
  <c r="I537" i="2"/>
  <c r="E58" i="7"/>
  <c r="E128" i="4"/>
  <c r="E63" i="5"/>
  <c r="J240" i="2"/>
  <c r="I468" i="2"/>
  <c r="E51" i="5"/>
  <c r="E105" i="4"/>
  <c r="J209" i="2"/>
  <c r="I221" i="8"/>
  <c r="I536" i="2"/>
  <c r="I98" i="8"/>
  <c r="I350" i="2"/>
  <c r="E245" i="4"/>
  <c r="E134" i="7"/>
  <c r="E188" i="6"/>
  <c r="J682" i="2"/>
  <c r="E360" i="4"/>
  <c r="I340" i="2"/>
  <c r="I274" i="2"/>
  <c r="I135" i="8"/>
  <c r="I416" i="2"/>
  <c r="I142" i="8"/>
  <c r="I449" i="2"/>
  <c r="I170" i="8"/>
  <c r="I456" i="2"/>
  <c r="I163" i="8"/>
  <c r="I395" i="2"/>
  <c r="E119" i="5"/>
  <c r="J673" i="2"/>
  <c r="J604" i="2"/>
  <c r="J386" i="2"/>
  <c r="I225" i="8"/>
  <c r="I523" i="2"/>
  <c r="I380" i="2"/>
  <c r="I192" i="2"/>
  <c r="F102" i="3" s="1"/>
  <c r="J656" i="2"/>
  <c r="E373" i="4"/>
  <c r="J420" i="2"/>
  <c r="I44" i="8"/>
  <c r="I184" i="2"/>
  <c r="F133" i="3" s="1"/>
  <c r="I130" i="8"/>
  <c r="I407" i="2"/>
  <c r="E4" i="7"/>
  <c r="E8" i="4"/>
  <c r="F10" i="3"/>
  <c r="J8" i="2"/>
  <c r="E342" i="4"/>
  <c r="E293" i="4"/>
  <c r="E211" i="4"/>
  <c r="I206" i="8"/>
  <c r="I436" i="2"/>
  <c r="I419" i="2"/>
  <c r="I266" i="2"/>
  <c r="I85" i="2"/>
  <c r="F278" i="3" s="1"/>
  <c r="I209" i="8"/>
  <c r="I528" i="2"/>
  <c r="J169" i="2"/>
  <c r="E44" i="6"/>
  <c r="E86" i="4"/>
  <c r="I151" i="8"/>
  <c r="I351" i="2"/>
  <c r="E349" i="4"/>
  <c r="I186" i="8"/>
  <c r="I481" i="2"/>
  <c r="E201" i="4"/>
  <c r="E49" i="7"/>
  <c r="E55" i="6"/>
  <c r="E104" i="4"/>
  <c r="J199" i="2"/>
  <c r="I72" i="8"/>
  <c r="I252" i="2"/>
  <c r="J11" i="2"/>
  <c r="I414" i="2"/>
  <c r="E121" i="8" s="1"/>
  <c r="I74" i="8"/>
  <c r="I307" i="2"/>
  <c r="I89" i="8"/>
  <c r="I294" i="2"/>
  <c r="I369" i="2"/>
  <c r="I154" i="8"/>
  <c r="I465" i="2"/>
  <c r="I56" i="8"/>
  <c r="I201" i="2"/>
  <c r="J403" i="2"/>
  <c r="E105" i="6"/>
  <c r="I174" i="8"/>
  <c r="I439" i="2"/>
  <c r="E10" i="4"/>
  <c r="J596" i="2"/>
  <c r="I212" i="8"/>
  <c r="I502" i="2"/>
  <c r="I203" i="8"/>
  <c r="I507" i="2"/>
  <c r="I329" i="2"/>
  <c r="I20" i="8"/>
  <c r="I68" i="2"/>
  <c r="F45" i="3" s="1"/>
  <c r="E304" i="4"/>
  <c r="J692" i="2"/>
  <c r="E7" i="5"/>
  <c r="E369" i="4"/>
  <c r="J518" i="2"/>
  <c r="J579" i="2"/>
  <c r="I227" i="8"/>
  <c r="I533" i="2"/>
  <c r="I202" i="8"/>
  <c r="I525" i="2"/>
  <c r="E31" i="6"/>
  <c r="E22" i="7"/>
  <c r="E58" i="4"/>
  <c r="J90" i="2"/>
  <c r="I279" i="2"/>
  <c r="I399" i="2"/>
  <c r="I310" i="2"/>
  <c r="I100" i="2"/>
  <c r="F103" i="3" s="1"/>
  <c r="I453" i="2"/>
  <c r="E166" i="8" s="1"/>
  <c r="I54" i="8"/>
  <c r="I189" i="2"/>
  <c r="E376" i="4"/>
  <c r="J654" i="2"/>
  <c r="I41" i="8"/>
  <c r="I151" i="2"/>
  <c r="E200" i="6"/>
  <c r="E284" i="4"/>
  <c r="I187" i="8"/>
  <c r="I415" i="2"/>
  <c r="I72" i="2"/>
  <c r="F276" i="3" s="1"/>
  <c r="I8" i="8"/>
  <c r="I24" i="2"/>
  <c r="F71" i="3" s="1"/>
  <c r="J106" i="2"/>
  <c r="E179" i="5"/>
  <c r="E368" i="4"/>
  <c r="E374" i="4"/>
  <c r="E150" i="6"/>
  <c r="E139" i="6"/>
  <c r="E261" i="4"/>
  <c r="J535" i="2"/>
  <c r="I18" i="8"/>
  <c r="I65" i="2"/>
  <c r="F218" i="3" s="1"/>
  <c r="E76" i="6"/>
  <c r="E155" i="4"/>
  <c r="J286" i="2"/>
  <c r="E57" i="4"/>
  <c r="J589" i="2"/>
  <c r="J645" i="2"/>
  <c r="I188" i="8"/>
  <c r="I527" i="2"/>
  <c r="E242" i="4"/>
  <c r="J569" i="2"/>
  <c r="E129" i="6"/>
  <c r="I175" i="8"/>
  <c r="I503" i="2"/>
  <c r="I198" i="2"/>
  <c r="E84" i="8" s="1"/>
  <c r="I311" i="2"/>
  <c r="J311" i="2" s="1"/>
  <c r="I454" i="2"/>
  <c r="J454" i="2" s="1"/>
  <c r="E193" i="6"/>
  <c r="E175" i="5"/>
  <c r="E365" i="4"/>
  <c r="J688" i="2"/>
  <c r="E282" i="4"/>
  <c r="E159" i="7"/>
  <c r="E335" i="4"/>
  <c r="J564" i="2"/>
  <c r="I461" i="2"/>
  <c r="E137" i="8" s="1"/>
  <c r="I210" i="8"/>
  <c r="I515" i="2"/>
  <c r="I53" i="8"/>
  <c r="I217" i="2"/>
  <c r="J642" i="2"/>
  <c r="E158" i="5"/>
  <c r="J581" i="2"/>
  <c r="J227" i="2"/>
  <c r="J674" i="2"/>
  <c r="E184" i="6"/>
  <c r="E350" i="4"/>
  <c r="I93" i="8"/>
  <c r="I313" i="2"/>
  <c r="J18" i="2"/>
  <c r="E8" i="7"/>
  <c r="E15" i="4"/>
  <c r="I48" i="8"/>
  <c r="I179" i="2"/>
  <c r="F162" i="3" s="1"/>
  <c r="E128" i="7"/>
  <c r="E278" i="4"/>
  <c r="J578" i="2"/>
  <c r="I219" i="8"/>
  <c r="I478" i="2"/>
  <c r="I15" i="8"/>
  <c r="I55" i="2"/>
  <c r="I85" i="7"/>
  <c r="I172" i="4"/>
  <c r="C711" i="12"/>
  <c r="C689" i="12"/>
  <c r="C688" i="12"/>
  <c r="C724" i="12"/>
  <c r="C700" i="12"/>
  <c r="C710" i="12"/>
  <c r="J4" i="13"/>
  <c r="C664" i="12"/>
  <c r="C720" i="12"/>
  <c r="C692" i="12"/>
  <c r="C726" i="12"/>
  <c r="C687" i="12"/>
  <c r="C701" i="12"/>
  <c r="C671" i="12"/>
  <c r="C669" i="12"/>
  <c r="C663" i="12"/>
  <c r="C717" i="12"/>
  <c r="C682" i="12"/>
  <c r="C729" i="12"/>
  <c r="C678" i="12"/>
  <c r="C709" i="12"/>
  <c r="C690" i="12"/>
  <c r="C730" i="12"/>
  <c r="C707" i="12"/>
  <c r="C715" i="12"/>
  <c r="C713" i="12"/>
  <c r="C699" i="12"/>
  <c r="C718" i="12"/>
  <c r="C702" i="12"/>
  <c r="C728" i="12"/>
  <c r="C714" i="12"/>
  <c r="C691" i="12"/>
  <c r="C694" i="12"/>
  <c r="C679" i="12"/>
  <c r="C661" i="12"/>
  <c r="C668" i="12"/>
  <c r="C686" i="12"/>
  <c r="C675" i="12"/>
  <c r="C697" i="12"/>
  <c r="C712" i="12"/>
  <c r="C665" i="12"/>
  <c r="C662" i="12"/>
  <c r="I93" i="5"/>
  <c r="I188" i="4"/>
  <c r="I15" i="7"/>
  <c r="I40" i="4"/>
  <c r="I39" i="7"/>
  <c r="I45" i="6"/>
  <c r="I45" i="5"/>
  <c r="I88" i="4"/>
  <c r="I105" i="5"/>
  <c r="I215" i="4"/>
  <c r="I122" i="6"/>
  <c r="I111" i="5"/>
  <c r="I230" i="4"/>
  <c r="I85" i="6"/>
  <c r="I173" i="4"/>
  <c r="I96" i="6"/>
  <c r="I190" i="4"/>
  <c r="I36" i="5"/>
  <c r="I73" i="4"/>
  <c r="I219" i="6"/>
  <c r="I410" i="4"/>
  <c r="I21" i="5"/>
  <c r="I12" i="7"/>
  <c r="I21" i="6"/>
  <c r="I36" i="4"/>
  <c r="I32" i="5"/>
  <c r="I62" i="4"/>
  <c r="I203" i="6"/>
  <c r="I180" i="5"/>
  <c r="I377" i="4"/>
  <c r="I99" i="7"/>
  <c r="I107" i="6"/>
  <c r="I100" i="5"/>
  <c r="I203" i="4"/>
  <c r="I64" i="7"/>
  <c r="I139" i="4"/>
  <c r="I44" i="5"/>
  <c r="I85" i="4"/>
  <c r="I43" i="4"/>
  <c r="I24" i="5"/>
  <c r="I146" i="6"/>
  <c r="I272" i="4"/>
  <c r="I193" i="5"/>
  <c r="I403" i="4"/>
  <c r="I69" i="7"/>
  <c r="I71" i="6"/>
  <c r="I147" i="4"/>
  <c r="I65" i="7"/>
  <c r="I68" i="6"/>
  <c r="I140" i="4"/>
  <c r="I7" i="7"/>
  <c r="I9" i="5"/>
  <c r="I14" i="4"/>
  <c r="I52" i="7"/>
  <c r="I110" i="4"/>
  <c r="I155" i="5"/>
  <c r="I322" i="4"/>
  <c r="I106" i="7"/>
  <c r="I115" i="6"/>
  <c r="I219" i="4"/>
  <c r="I68" i="7"/>
  <c r="I69" i="6"/>
  <c r="I145" i="4"/>
  <c r="I124" i="7"/>
  <c r="I137" i="6"/>
  <c r="I259" i="4"/>
  <c r="I116" i="7"/>
  <c r="I246" i="4"/>
  <c r="I76" i="6"/>
  <c r="I155" i="4"/>
  <c r="I60" i="6"/>
  <c r="I120" i="4"/>
  <c r="I62" i="7"/>
  <c r="I136" i="4"/>
  <c r="I162" i="7"/>
  <c r="I179" i="6"/>
  <c r="I343" i="4"/>
  <c r="I117" i="7"/>
  <c r="I121" i="5"/>
  <c r="I248" i="4"/>
  <c r="I216" i="6"/>
  <c r="I399" i="4"/>
  <c r="I123" i="7"/>
  <c r="I135" i="6"/>
  <c r="I257" i="4"/>
  <c r="I126" i="7"/>
  <c r="I142" i="6"/>
  <c r="I265" i="4"/>
  <c r="I32" i="7"/>
  <c r="I38" i="6"/>
  <c r="I76" i="4"/>
  <c r="I168" i="5"/>
  <c r="I351" i="4"/>
  <c r="I27" i="6"/>
  <c r="I49" i="4"/>
  <c r="I425" i="4"/>
  <c r="I205" i="5"/>
  <c r="I192" i="5"/>
  <c r="I400" i="4"/>
  <c r="I81" i="7"/>
  <c r="I81" i="6"/>
  <c r="I166" i="4"/>
  <c r="I97" i="7"/>
  <c r="I105" i="6"/>
  <c r="I201" i="4"/>
  <c r="I92" i="6"/>
  <c r="I90" i="5"/>
  <c r="I182" i="4"/>
  <c r="I159" i="7"/>
  <c r="I335" i="4"/>
  <c r="I29" i="6"/>
  <c r="I30" i="5"/>
  <c r="I54" i="4"/>
  <c r="I47" i="7"/>
  <c r="I102" i="4"/>
  <c r="I170" i="6"/>
  <c r="I159" i="5"/>
  <c r="I328" i="4"/>
  <c r="I125" i="6"/>
  <c r="I234" i="4"/>
  <c r="I25" i="7"/>
  <c r="I33" i="5"/>
  <c r="I63" i="4"/>
  <c r="I101" i="5"/>
  <c r="I204" i="4"/>
  <c r="I136" i="5"/>
  <c r="I277" i="4"/>
  <c r="I185" i="7"/>
  <c r="I415" i="4"/>
  <c r="I51" i="5"/>
  <c r="I105" i="4"/>
  <c r="I113" i="6"/>
  <c r="I216" i="4"/>
  <c r="I47" i="5"/>
  <c r="I48" i="6"/>
  <c r="I93" i="4"/>
  <c r="I10" i="7"/>
  <c r="I15" i="6"/>
  <c r="I28" i="4"/>
  <c r="I140" i="7"/>
  <c r="I160" i="6"/>
  <c r="I298" i="4"/>
  <c r="I131" i="7"/>
  <c r="I150" i="6"/>
  <c r="I284" i="4"/>
  <c r="I16" i="6"/>
  <c r="I17" i="5"/>
  <c r="I29" i="4"/>
  <c r="I9" i="6"/>
  <c r="I21" i="4"/>
  <c r="I88" i="7"/>
  <c r="I90" i="6"/>
  <c r="I180" i="4"/>
  <c r="I103" i="7"/>
  <c r="I210" i="4"/>
  <c r="I22" i="5"/>
  <c r="I38" i="4"/>
  <c r="I166" i="7"/>
  <c r="I182" i="6"/>
  <c r="I348" i="4"/>
  <c r="I149" i="7"/>
  <c r="I313" i="4"/>
  <c r="I121" i="6"/>
  <c r="I108" i="5"/>
  <c r="I226" i="4"/>
  <c r="I54" i="6"/>
  <c r="I50" i="5"/>
  <c r="I101" i="4"/>
  <c r="I23" i="5"/>
  <c r="I41" i="4"/>
  <c r="I128" i="5"/>
  <c r="I266" i="4"/>
  <c r="I25" i="5"/>
  <c r="I45" i="4"/>
  <c r="I18" i="5"/>
  <c r="I30" i="4"/>
  <c r="I67" i="7"/>
  <c r="I72" i="5"/>
  <c r="I144" i="4"/>
  <c r="I28" i="5"/>
  <c r="I52" i="4"/>
  <c r="I167" i="7"/>
  <c r="I170" i="5"/>
  <c r="I353" i="4"/>
  <c r="I11" i="6"/>
  <c r="I15" i="5"/>
  <c r="I24" i="4"/>
  <c r="I274" i="4"/>
  <c r="I133" i="5"/>
  <c r="I122" i="7"/>
  <c r="I134" i="6"/>
  <c r="I256" i="4"/>
  <c r="I53" i="5"/>
  <c r="I111" i="4"/>
  <c r="I188" i="7"/>
  <c r="I429" i="4"/>
  <c r="I226" i="6"/>
  <c r="I176" i="7"/>
  <c r="I390" i="4"/>
  <c r="I211" i="6"/>
  <c r="I157" i="7"/>
  <c r="I172" i="6"/>
  <c r="I161" i="5"/>
  <c r="I332" i="4"/>
  <c r="I110" i="6"/>
  <c r="I211" i="4"/>
  <c r="I37" i="5"/>
  <c r="I74" i="4"/>
  <c r="I154" i="5"/>
  <c r="I320" i="4"/>
  <c r="I218" i="6"/>
  <c r="I409" i="4"/>
  <c r="I139" i="6"/>
  <c r="I261" i="4"/>
  <c r="I3" i="5"/>
  <c r="I3" i="4"/>
  <c r="I119" i="6"/>
  <c r="I107" i="5"/>
  <c r="I224" i="4"/>
  <c r="I100" i="7"/>
  <c r="I206" i="4"/>
  <c r="I113" i="4"/>
  <c r="I54" i="5"/>
  <c r="I79" i="7"/>
  <c r="I82" i="5"/>
  <c r="I164" i="4"/>
  <c r="I91" i="5"/>
  <c r="I183" i="4"/>
  <c r="I16" i="5"/>
  <c r="I14" i="6"/>
  <c r="I27" i="4"/>
  <c r="I70" i="6"/>
  <c r="I146" i="4"/>
  <c r="I20" i="7"/>
  <c r="I28" i="6"/>
  <c r="I51" i="4"/>
  <c r="I53" i="4"/>
  <c r="I29" i="5"/>
  <c r="I84" i="7"/>
  <c r="I171" i="4"/>
  <c r="I90" i="7"/>
  <c r="I184" i="4"/>
  <c r="I87" i="7"/>
  <c r="I177" i="4"/>
  <c r="I178" i="6"/>
  <c r="I341" i="4"/>
  <c r="I222" i="6"/>
  <c r="I421" i="4"/>
  <c r="I160" i="7"/>
  <c r="I174" i="6"/>
  <c r="I336" i="4"/>
  <c r="I108" i="7"/>
  <c r="I120" i="6"/>
  <c r="I225" i="4"/>
  <c r="I13" i="7"/>
  <c r="I22" i="6"/>
  <c r="I37" i="4"/>
  <c r="I42" i="7"/>
  <c r="I51" i="6"/>
  <c r="I96" i="4"/>
  <c r="I124" i="6"/>
  <c r="I233" i="4"/>
  <c r="I114" i="5"/>
  <c r="I129" i="7"/>
  <c r="I139" i="5"/>
  <c r="I281" i="4"/>
  <c r="I17" i="6"/>
  <c r="I19" i="5"/>
  <c r="I31" i="4"/>
  <c r="I139" i="7"/>
  <c r="I143" i="5"/>
  <c r="I296" i="4"/>
  <c r="I104" i="7"/>
  <c r="I214" i="4"/>
  <c r="I104" i="5"/>
  <c r="I82" i="6"/>
  <c r="I167" i="4"/>
  <c r="I22" i="4"/>
  <c r="I14" i="5"/>
  <c r="I145" i="6"/>
  <c r="I127" i="7"/>
  <c r="I271" i="4"/>
  <c r="I44" i="7"/>
  <c r="I98" i="4"/>
  <c r="I114" i="7"/>
  <c r="I240" i="4"/>
  <c r="I168" i="7"/>
  <c r="I355" i="4"/>
  <c r="I123" i="5"/>
  <c r="I252" i="4"/>
  <c r="I156" i="6"/>
  <c r="I291" i="4"/>
  <c r="I63" i="6"/>
  <c r="I126" i="4"/>
  <c r="I34" i="7"/>
  <c r="I40" i="6"/>
  <c r="I79" i="4"/>
  <c r="I163" i="5"/>
  <c r="I173" i="6"/>
  <c r="I334" i="4"/>
  <c r="I71" i="5"/>
  <c r="I143" i="4"/>
  <c r="I45" i="7"/>
  <c r="I53" i="6"/>
  <c r="I99" i="4"/>
  <c r="I46" i="5"/>
  <c r="I90" i="4"/>
  <c r="I6" i="5"/>
  <c r="I6" i="4"/>
  <c r="I41" i="7"/>
  <c r="I50" i="6"/>
  <c r="I95" i="4"/>
  <c r="I118" i="7"/>
  <c r="I249" i="4"/>
  <c r="I214" i="6"/>
  <c r="I396" i="4"/>
  <c r="I61" i="7"/>
  <c r="I67" i="5"/>
  <c r="I65" i="6"/>
  <c r="I134" i="4"/>
  <c r="I173" i="7"/>
  <c r="I380" i="4"/>
  <c r="I181" i="5"/>
  <c r="I150" i="5"/>
  <c r="I312" i="4"/>
  <c r="I138" i="7"/>
  <c r="I295" i="4"/>
  <c r="I56" i="6"/>
  <c r="I106" i="4"/>
  <c r="I147" i="7"/>
  <c r="I309" i="4"/>
  <c r="I147" i="5"/>
  <c r="I158" i="6"/>
  <c r="I137" i="7"/>
  <c r="I142" i="5"/>
  <c r="I294" i="4"/>
  <c r="I206" i="6"/>
  <c r="I382" i="4"/>
  <c r="I72" i="7"/>
  <c r="I74" i="6"/>
  <c r="I74" i="5"/>
  <c r="I151" i="4"/>
  <c r="I14" i="7"/>
  <c r="I23" i="6"/>
  <c r="I39" i="4"/>
  <c r="I156" i="7"/>
  <c r="I331" i="4"/>
  <c r="I220" i="6"/>
  <c r="I200" i="5"/>
  <c r="I417" i="4"/>
  <c r="I426" i="4"/>
  <c r="I206" i="5"/>
  <c r="I184" i="6"/>
  <c r="I350" i="4"/>
  <c r="I130" i="6"/>
  <c r="I118" i="5"/>
  <c r="I243" i="4"/>
  <c r="I22" i="7"/>
  <c r="I31" i="6"/>
  <c r="I58" i="4"/>
  <c r="I3" i="6"/>
  <c r="I4" i="4"/>
  <c r="I4" i="5"/>
  <c r="I186" i="7"/>
  <c r="I201" i="5"/>
  <c r="I418" i="4"/>
  <c r="I61" i="5"/>
  <c r="I125" i="4"/>
  <c r="I175" i="7"/>
  <c r="I207" i="6"/>
  <c r="I185" i="5"/>
  <c r="I385" i="4"/>
  <c r="I189" i="7"/>
  <c r="I208" i="5"/>
  <c r="I430" i="4"/>
  <c r="I33" i="7"/>
  <c r="I78" i="4"/>
  <c r="I110" i="7"/>
  <c r="I110" i="5"/>
  <c r="I228" i="4"/>
  <c r="I171" i="6"/>
  <c r="I330" i="4"/>
  <c r="I67" i="6"/>
  <c r="I138" i="4"/>
  <c r="I225" i="6"/>
  <c r="I428" i="4"/>
  <c r="I130" i="7"/>
  <c r="I282" i="4"/>
  <c r="I97" i="5"/>
  <c r="I196" i="4"/>
  <c r="I188" i="5"/>
  <c r="I389" i="4"/>
  <c r="I134" i="7"/>
  <c r="I153" i="6"/>
  <c r="I288" i="4"/>
  <c r="I89" i="6"/>
  <c r="I89" i="5"/>
  <c r="I179" i="4"/>
  <c r="I133" i="6"/>
  <c r="I254" i="4"/>
  <c r="I124" i="5"/>
  <c r="I98" i="7"/>
  <c r="I106" i="6"/>
  <c r="I202" i="4"/>
  <c r="I66" i="5"/>
  <c r="I133" i="4"/>
  <c r="I128" i="7"/>
  <c r="I278" i="4"/>
  <c r="I129" i="6"/>
  <c r="I242" i="4"/>
  <c r="I141" i="5"/>
  <c r="I285" i="4"/>
  <c r="I49" i="6"/>
  <c r="I48" i="5"/>
  <c r="I94" i="4"/>
  <c r="I42" i="6"/>
  <c r="I40" i="5"/>
  <c r="I81" i="4"/>
  <c r="I32" i="6"/>
  <c r="I59" i="4"/>
  <c r="I177" i="5"/>
  <c r="I372" i="4"/>
  <c r="I121" i="7"/>
  <c r="I255" i="4"/>
  <c r="I120" i="5"/>
  <c r="I247" i="4"/>
  <c r="I78" i="6"/>
  <c r="I78" i="5"/>
  <c r="I158" i="4"/>
  <c r="I27" i="5"/>
  <c r="I50" i="4"/>
  <c r="I25" i="6"/>
  <c r="I17" i="7"/>
  <c r="I44" i="4"/>
  <c r="I164" i="7"/>
  <c r="I346" i="4"/>
  <c r="I181" i="6"/>
  <c r="I150" i="7"/>
  <c r="I153" i="5"/>
  <c r="I316" i="4"/>
  <c r="I113" i="5"/>
  <c r="I232" i="4"/>
  <c r="I74" i="7"/>
  <c r="I76" i="5"/>
  <c r="I154" i="4"/>
  <c r="I54" i="7"/>
  <c r="I117" i="4"/>
  <c r="I16" i="7"/>
  <c r="I24" i="6"/>
  <c r="I42" i="4"/>
  <c r="I63" i="7"/>
  <c r="I137" i="4"/>
  <c r="I69" i="5"/>
  <c r="I119" i="7"/>
  <c r="I251" i="4"/>
  <c r="I37" i="6"/>
  <c r="I71" i="4"/>
  <c r="I92" i="7"/>
  <c r="I94" i="6"/>
  <c r="I187" i="4"/>
  <c r="I95" i="6"/>
  <c r="I189" i="4"/>
  <c r="I94" i="5"/>
  <c r="I279" i="4"/>
  <c r="I137" i="5"/>
  <c r="I123" i="6"/>
  <c r="I112" i="5"/>
  <c r="I231" i="4"/>
  <c r="I20" i="5"/>
  <c r="I32" i="4"/>
  <c r="I198" i="6"/>
  <c r="I371" i="4"/>
  <c r="I324" i="4"/>
  <c r="I156" i="5"/>
  <c r="I73" i="5"/>
  <c r="I149" i="4"/>
  <c r="I36" i="7"/>
  <c r="I42" i="5"/>
  <c r="I83" i="4"/>
  <c r="I115" i="7"/>
  <c r="I131" i="6"/>
  <c r="I244" i="4"/>
  <c r="I136" i="6"/>
  <c r="I125" i="5"/>
  <c r="I258" i="4"/>
  <c r="I182" i="5"/>
  <c r="I381" i="4"/>
  <c r="I84" i="5"/>
  <c r="I168" i="4"/>
  <c r="I133" i="7"/>
  <c r="I152" i="6"/>
  <c r="I287" i="4"/>
  <c r="I59" i="6"/>
  <c r="I55" i="5"/>
  <c r="I114" i="4"/>
  <c r="I31" i="7"/>
  <c r="I72" i="4"/>
  <c r="I152" i="7"/>
  <c r="I167" i="6"/>
  <c r="I318" i="4"/>
  <c r="I197" i="5"/>
  <c r="I413" i="4"/>
  <c r="I136" i="7"/>
  <c r="I293" i="4"/>
  <c r="I96" i="7"/>
  <c r="I103" i="6"/>
  <c r="I199" i="4"/>
  <c r="I99" i="5"/>
  <c r="I107" i="7"/>
  <c r="I118" i="6"/>
  <c r="I223" i="4"/>
  <c r="I49" i="7"/>
  <c r="I55" i="6"/>
  <c r="I104" i="4"/>
  <c r="I38" i="5"/>
  <c r="I75" i="4"/>
  <c r="I26" i="5"/>
  <c r="I47" i="4"/>
  <c r="I223" i="6"/>
  <c r="I423" i="4"/>
  <c r="I172" i="7"/>
  <c r="I375" i="4"/>
  <c r="I201" i="6"/>
  <c r="I50" i="7"/>
  <c r="I107" i="4"/>
  <c r="I5" i="6"/>
  <c r="I12" i="4"/>
  <c r="I70" i="7"/>
  <c r="I72" i="6"/>
  <c r="I148" i="4"/>
  <c r="I217" i="6"/>
  <c r="I402" i="4"/>
  <c r="I227" i="6"/>
  <c r="I431" i="4"/>
  <c r="I166" i="6"/>
  <c r="I315" i="4"/>
  <c r="I152" i="5"/>
  <c r="I120" i="7"/>
  <c r="I253" i="4"/>
  <c r="I159" i="6"/>
  <c r="I297" i="4"/>
  <c r="I116" i="5"/>
  <c r="I126" i="6"/>
  <c r="I236" i="4"/>
  <c r="I127" i="5"/>
  <c r="I264" i="4"/>
  <c r="I180" i="6"/>
  <c r="I167" i="5"/>
  <c r="I345" i="4"/>
  <c r="I56" i="5"/>
  <c r="I115" i="4"/>
  <c r="I77" i="5"/>
  <c r="I156" i="4"/>
  <c r="I75" i="7"/>
  <c r="I77" i="6"/>
  <c r="I157" i="4"/>
  <c r="I76" i="7"/>
  <c r="I79" i="6"/>
  <c r="I159" i="4"/>
  <c r="I154" i="6"/>
  <c r="I289" i="4"/>
  <c r="I149" i="6"/>
  <c r="I140" i="5"/>
  <c r="I283" i="4"/>
  <c r="I88" i="6"/>
  <c r="I88" i="5"/>
  <c r="I178" i="4"/>
  <c r="I19" i="7"/>
  <c r="I26" i="6"/>
  <c r="I48" i="4"/>
  <c r="I164" i="5"/>
  <c r="I176" i="6"/>
  <c r="I338" i="4"/>
  <c r="I37" i="7"/>
  <c r="I43" i="5"/>
  <c r="I43" i="6"/>
  <c r="I84" i="4"/>
  <c r="I39" i="6"/>
  <c r="I77" i="4"/>
  <c r="I39" i="5"/>
  <c r="I151" i="7"/>
  <c r="I317" i="4"/>
  <c r="I105" i="7"/>
  <c r="I218" i="4"/>
  <c r="I92" i="5"/>
  <c r="I186" i="4"/>
  <c r="I71" i="7"/>
  <c r="I73" i="6"/>
  <c r="I150" i="4"/>
  <c r="I57" i="7"/>
  <c r="I124" i="4"/>
  <c r="I202" i="6"/>
  <c r="I179" i="5"/>
  <c r="I376" i="4"/>
  <c r="I213" i="6"/>
  <c r="I395" i="4"/>
  <c r="I153" i="7"/>
  <c r="I319" i="4"/>
  <c r="I6" i="6"/>
  <c r="I13" i="4"/>
  <c r="I75" i="6"/>
  <c r="I75" i="5"/>
  <c r="I153" i="4"/>
  <c r="I205" i="6"/>
  <c r="I379" i="4"/>
  <c r="I163" i="7"/>
  <c r="I344" i="4"/>
  <c r="I178" i="7"/>
  <c r="I392" i="4"/>
  <c r="I132" i="7"/>
  <c r="I151" i="6"/>
  <c r="I286" i="4"/>
  <c r="I111" i="6"/>
  <c r="I212" i="4"/>
  <c r="I62" i="5"/>
  <c r="I127" i="4"/>
  <c r="I4" i="7"/>
  <c r="I8" i="4"/>
  <c r="I12" i="5"/>
  <c r="I19" i="4"/>
  <c r="I161" i="6"/>
  <c r="I301" i="4"/>
  <c r="I165" i="7"/>
  <c r="I347" i="4"/>
  <c r="I183" i="7"/>
  <c r="I412" i="4"/>
  <c r="I146" i="5"/>
  <c r="I307" i="4"/>
  <c r="I160" i="5"/>
  <c r="I329" i="4"/>
  <c r="I158" i="7"/>
  <c r="I162" i="5"/>
  <c r="I333" i="4"/>
  <c r="I212" i="6"/>
  <c r="I189" i="5"/>
  <c r="I393" i="4"/>
  <c r="I95" i="7"/>
  <c r="I193" i="4"/>
  <c r="I60" i="7"/>
  <c r="I65" i="5"/>
  <c r="I131" i="4"/>
  <c r="I416" i="4"/>
  <c r="I199" i="5"/>
  <c r="I87" i="5"/>
  <c r="I175" i="4"/>
  <c r="I9" i="7"/>
  <c r="I7" i="6"/>
  <c r="I16" i="4"/>
  <c r="I112" i="7"/>
  <c r="I237" i="4"/>
  <c r="I99" i="6"/>
  <c r="I95" i="5"/>
  <c r="I194" i="4"/>
  <c r="I102" i="6"/>
  <c r="I98" i="5"/>
  <c r="I198" i="4"/>
  <c r="I13" i="5"/>
  <c r="I20" i="4"/>
  <c r="I203" i="5"/>
  <c r="I422" i="4"/>
  <c r="I18" i="6"/>
  <c r="I33" i="4"/>
  <c r="I144" i="6"/>
  <c r="I269" i="4"/>
  <c r="I130" i="5"/>
  <c r="I424" i="4"/>
  <c r="I204" i="5"/>
  <c r="I196" i="5"/>
  <c r="I407" i="4"/>
  <c r="I162" i="6"/>
  <c r="I308" i="4"/>
  <c r="I104" i="6"/>
  <c r="I200" i="4"/>
  <c r="I141" i="7"/>
  <c r="I299" i="4"/>
  <c r="I41" i="5"/>
  <c r="I82" i="4"/>
  <c r="I204" i="6"/>
  <c r="I378" i="4"/>
  <c r="I78" i="7"/>
  <c r="I81" i="5"/>
  <c r="I163" i="4"/>
  <c r="I210" i="6"/>
  <c r="I187" i="5"/>
  <c r="I388" i="4"/>
  <c r="I58" i="5"/>
  <c r="I118" i="4"/>
  <c r="I190" i="6"/>
  <c r="I362" i="4"/>
  <c r="I83" i="7"/>
  <c r="I84" i="6"/>
  <c r="I85" i="5"/>
  <c r="I170" i="4"/>
  <c r="I53" i="7"/>
  <c r="I58" i="6"/>
  <c r="I112" i="4"/>
  <c r="I109" i="6"/>
  <c r="I208" i="4"/>
  <c r="I185" i="6"/>
  <c r="I354" i="4"/>
  <c r="I142" i="7"/>
  <c r="I144" i="5"/>
  <c r="I300" i="4"/>
  <c r="I394" i="4"/>
  <c r="I190" i="5"/>
  <c r="I145" i="7"/>
  <c r="I305" i="4"/>
  <c r="I131" i="5"/>
  <c r="I270" i="4"/>
  <c r="I18" i="7"/>
  <c r="I46" i="4"/>
  <c r="I207" i="5"/>
  <c r="I427" i="4"/>
  <c r="I106" i="5"/>
  <c r="I221" i="4"/>
  <c r="I89" i="7"/>
  <c r="I91" i="6"/>
  <c r="I181" i="4"/>
  <c r="I79" i="5"/>
  <c r="I161" i="4"/>
  <c r="I144" i="7"/>
  <c r="I304" i="4"/>
  <c r="I179" i="7"/>
  <c r="I401" i="4"/>
  <c r="I155" i="7"/>
  <c r="I169" i="6"/>
  <c r="I325" i="4"/>
  <c r="I66" i="7"/>
  <c r="I141" i="4"/>
  <c r="I138" i="6"/>
  <c r="I260" i="4"/>
  <c r="I55" i="7"/>
  <c r="I61" i="6"/>
  <c r="I121" i="4"/>
  <c r="I10" i="6"/>
  <c r="I23" i="4"/>
  <c r="I125" i="7"/>
  <c r="I141" i="6"/>
  <c r="I263" i="4"/>
  <c r="E54" i="6"/>
  <c r="E50" i="5"/>
  <c r="E101" i="4"/>
  <c r="J208" i="2"/>
  <c r="I56" i="7"/>
  <c r="I123" i="4"/>
  <c r="E147" i="7"/>
  <c r="E309" i="4"/>
  <c r="E147" i="5"/>
  <c r="J629" i="2"/>
  <c r="E203" i="5"/>
  <c r="E422" i="4"/>
  <c r="J722" i="2"/>
  <c r="E182" i="6"/>
  <c r="E166" i="7"/>
  <c r="E348" i="4"/>
  <c r="J665" i="2"/>
  <c r="E60" i="6"/>
  <c r="E120" i="4"/>
  <c r="J241" i="2"/>
  <c r="E24" i="7"/>
  <c r="E61" i="4"/>
  <c r="J108" i="2"/>
  <c r="I181" i="7"/>
  <c r="I408" i="4"/>
  <c r="I93" i="7"/>
  <c r="I97" i="6"/>
  <c r="I191" i="4"/>
  <c r="E127" i="6"/>
  <c r="E238" i="4"/>
  <c r="J511" i="2"/>
  <c r="J155" i="2"/>
  <c r="E176" i="5"/>
  <c r="E367" i="4"/>
  <c r="J675" i="2"/>
  <c r="E41" i="7"/>
  <c r="E50" i="6"/>
  <c r="E95" i="4"/>
  <c r="J166" i="2"/>
  <c r="E160" i="7"/>
  <c r="E174" i="6"/>
  <c r="E336" i="4"/>
  <c r="J634" i="2"/>
  <c r="E27" i="7"/>
  <c r="E34" i="5"/>
  <c r="E66" i="4"/>
  <c r="J84" i="2"/>
  <c r="I143" i="7"/>
  <c r="I303" i="4"/>
  <c r="C719" i="12"/>
  <c r="E117" i="8"/>
  <c r="J374" i="2"/>
  <c r="E89" i="7"/>
  <c r="E91" i="6"/>
  <c r="E181" i="4"/>
  <c r="J335" i="2"/>
  <c r="I183" i="6"/>
  <c r="I349" i="4"/>
  <c r="E36" i="6"/>
  <c r="E29" i="7"/>
  <c r="E68" i="4"/>
  <c r="J114" i="2"/>
  <c r="E31" i="7"/>
  <c r="E72" i="4"/>
  <c r="J113" i="2"/>
  <c r="E215" i="6"/>
  <c r="E397" i="4"/>
  <c r="J717" i="2"/>
  <c r="I178" i="5"/>
  <c r="I200" i="6"/>
  <c r="I374" i="4"/>
  <c r="C705" i="12"/>
  <c r="E62" i="5"/>
  <c r="E127" i="4"/>
  <c r="J257" i="2"/>
  <c r="I166" i="5"/>
  <c r="I342" i="4"/>
  <c r="C685" i="12"/>
  <c r="C695" i="12"/>
  <c r="M22" i="3"/>
  <c r="F4" i="13" s="1"/>
  <c r="I169" i="5"/>
  <c r="I352" i="4"/>
  <c r="I193" i="6"/>
  <c r="I175" i="5"/>
  <c r="I365" i="4"/>
  <c r="I128" i="6"/>
  <c r="I117" i="5"/>
  <c r="I241" i="4"/>
  <c r="I215" i="6"/>
  <c r="I397" i="4"/>
  <c r="C672" i="12"/>
  <c r="E26" i="5"/>
  <c r="E47" i="4"/>
  <c r="J44" i="2"/>
  <c r="I177" i="6"/>
  <c r="I165" i="5"/>
  <c r="I340" i="4"/>
  <c r="E125" i="6"/>
  <c r="E234" i="4"/>
  <c r="J473" i="2"/>
  <c r="I138" i="5"/>
  <c r="I280" i="4"/>
  <c r="I5" i="5"/>
  <c r="I5" i="4"/>
  <c r="I102" i="7"/>
  <c r="I209" i="4"/>
  <c r="I157" i="6"/>
  <c r="I292" i="4"/>
  <c r="I23" i="7"/>
  <c r="I33" i="6"/>
  <c r="I60" i="4"/>
  <c r="E148" i="6"/>
  <c r="E134" i="5"/>
  <c r="E275" i="4"/>
  <c r="J558" i="2"/>
  <c r="E191" i="6"/>
  <c r="E173" i="5"/>
  <c r="E363" i="4"/>
  <c r="J684" i="2"/>
  <c r="I197" i="6"/>
  <c r="I370" i="4"/>
  <c r="I169" i="7"/>
  <c r="I358" i="4"/>
  <c r="E139" i="7"/>
  <c r="E143" i="5"/>
  <c r="E296" i="4"/>
  <c r="J625" i="2"/>
  <c r="E121" i="7"/>
  <c r="E255" i="4"/>
  <c r="J519" i="2"/>
  <c r="I46" i="7"/>
  <c r="I100" i="4"/>
  <c r="I49" i="5"/>
  <c r="I35" i="5"/>
  <c r="I70" i="4"/>
  <c r="I180" i="7"/>
  <c r="I404" i="4"/>
  <c r="I171" i="5"/>
  <c r="I356" i="4"/>
  <c r="I186" i="6"/>
  <c r="I48" i="7"/>
  <c r="I103" i="4"/>
  <c r="I5" i="7"/>
  <c r="I9" i="4"/>
  <c r="E222" i="6"/>
  <c r="E421" i="4"/>
  <c r="J712" i="2"/>
  <c r="I192" i="6"/>
  <c r="I364" i="4"/>
  <c r="I174" i="5"/>
  <c r="I64" i="6"/>
  <c r="I132" i="4"/>
  <c r="E424" i="4"/>
  <c r="E204" i="5"/>
  <c r="J716" i="2"/>
  <c r="I184" i="7"/>
  <c r="I198" i="5"/>
  <c r="I414" i="4"/>
  <c r="I191" i="5"/>
  <c r="I398" i="4"/>
  <c r="E73" i="8"/>
  <c r="J235" i="2"/>
  <c r="AF13" i="3"/>
  <c r="E181" i="8"/>
  <c r="E28" i="6"/>
  <c r="E20" i="7"/>
  <c r="E51" i="4"/>
  <c r="J89" i="2"/>
  <c r="I114" i="6"/>
  <c r="I217" i="4"/>
  <c r="I122" i="5"/>
  <c r="I250" i="4"/>
  <c r="E143" i="8"/>
  <c r="J371" i="2"/>
  <c r="E7" i="7"/>
  <c r="E9" i="5"/>
  <c r="E14" i="4"/>
  <c r="J15" i="2"/>
  <c r="C696" i="12"/>
  <c r="E168" i="5"/>
  <c r="E351" i="4"/>
  <c r="J689" i="2"/>
  <c r="I20" i="6"/>
  <c r="I35" i="4"/>
  <c r="E168" i="6"/>
  <c r="E321" i="4"/>
  <c r="J655" i="2"/>
  <c r="C676" i="12"/>
  <c r="I224" i="8"/>
  <c r="I224" i="6"/>
  <c r="E160" i="8"/>
  <c r="J474" i="2"/>
  <c r="E70" i="7"/>
  <c r="E72" i="6"/>
  <c r="E148" i="4"/>
  <c r="J283" i="2"/>
  <c r="E101" i="5"/>
  <c r="E204" i="4"/>
  <c r="J393" i="2"/>
  <c r="E185" i="7"/>
  <c r="E415" i="4"/>
  <c r="J706" i="2"/>
  <c r="E75" i="5"/>
  <c r="E75" i="6"/>
  <c r="E153" i="4"/>
  <c r="J348" i="2"/>
  <c r="J534" i="2"/>
  <c r="E117" i="7"/>
  <c r="E121" i="5"/>
  <c r="E248" i="4"/>
  <c r="J543" i="2"/>
  <c r="E172" i="6"/>
  <c r="E157" i="7"/>
  <c r="E161" i="5"/>
  <c r="E332" i="4"/>
  <c r="J644" i="2"/>
  <c r="E108" i="6"/>
  <c r="E205" i="4"/>
  <c r="J417" i="2"/>
  <c r="E77" i="8"/>
  <c r="J291" i="2"/>
  <c r="E38" i="7"/>
  <c r="E87" i="4"/>
  <c r="J134" i="2"/>
  <c r="I28" i="7"/>
  <c r="I35" i="6"/>
  <c r="I67" i="4"/>
  <c r="I168" i="6"/>
  <c r="I321" i="4"/>
  <c r="I148" i="6"/>
  <c r="I134" i="5"/>
  <c r="I275" i="4"/>
  <c r="I158" i="5"/>
  <c r="I327" i="4"/>
  <c r="I173" i="5"/>
  <c r="I191" i="6"/>
  <c r="I363" i="4"/>
  <c r="I62" i="6"/>
  <c r="I60" i="5"/>
  <c r="I122" i="4"/>
  <c r="I187" i="6"/>
  <c r="I357" i="4"/>
  <c r="E151" i="7"/>
  <c r="E317" i="4"/>
  <c r="J556" i="2"/>
  <c r="I29" i="7"/>
  <c r="I36" i="6"/>
  <c r="I68" i="4"/>
  <c r="E192" i="6"/>
  <c r="E174" i="5"/>
  <c r="E364" i="4"/>
  <c r="J615" i="2"/>
  <c r="E142" i="7"/>
  <c r="E300" i="4"/>
  <c r="E144" i="5"/>
  <c r="J607" i="2"/>
  <c r="I12" i="6"/>
  <c r="I25" i="4"/>
  <c r="E122" i="6"/>
  <c r="E111" i="5"/>
  <c r="E230" i="4"/>
  <c r="J521" i="2"/>
  <c r="E204" i="6"/>
  <c r="E378" i="4"/>
  <c r="J678" i="2"/>
  <c r="E174" i="7"/>
  <c r="E184" i="5"/>
  <c r="E384" i="4"/>
  <c r="J620" i="2"/>
  <c r="E83" i="8"/>
  <c r="J175" i="2"/>
  <c r="I34" i="6"/>
  <c r="I65" i="4"/>
  <c r="I94" i="7"/>
  <c r="I98" i="6"/>
  <c r="I192" i="4"/>
  <c r="I11" i="7"/>
  <c r="I19" i="6"/>
  <c r="I34" i="4"/>
  <c r="E77" i="7"/>
  <c r="E80" i="6"/>
  <c r="E160" i="4"/>
  <c r="J362" i="2"/>
  <c r="E42" i="6"/>
  <c r="E40" i="5"/>
  <c r="E81" i="4"/>
  <c r="J138" i="2"/>
  <c r="I26" i="7"/>
  <c r="I64" i="4"/>
  <c r="E79" i="7"/>
  <c r="E82" i="5"/>
  <c r="E164" i="4"/>
  <c r="J387" i="2"/>
  <c r="E394" i="4"/>
  <c r="E190" i="5"/>
  <c r="J676" i="2"/>
  <c r="E179" i="7"/>
  <c r="E401" i="4"/>
  <c r="J694" i="2"/>
  <c r="I174" i="7"/>
  <c r="I384" i="4"/>
  <c r="I184" i="5"/>
  <c r="E156" i="5"/>
  <c r="E324" i="4"/>
  <c r="J648" i="2"/>
  <c r="E40" i="8"/>
  <c r="E11" i="6"/>
  <c r="E15" i="5"/>
  <c r="E24" i="4"/>
  <c r="J36" i="2"/>
  <c r="I359" i="4"/>
  <c r="I172" i="5"/>
  <c r="E31" i="8"/>
  <c r="J97" i="2"/>
  <c r="E31" i="5"/>
  <c r="E56" i="4"/>
  <c r="J74" i="2"/>
  <c r="I195" i="6"/>
  <c r="I368" i="4"/>
  <c r="E218" i="6"/>
  <c r="E409" i="4"/>
  <c r="J728" i="2"/>
  <c r="I38" i="7"/>
  <c r="I87" i="4"/>
  <c r="I113" i="7"/>
  <c r="I239" i="4"/>
  <c r="I208" i="6"/>
  <c r="I386" i="4"/>
  <c r="I140" i="6"/>
  <c r="I126" i="5"/>
  <c r="I262" i="4"/>
  <c r="E104" i="6"/>
  <c r="E200" i="4"/>
  <c r="J330" i="2"/>
  <c r="E23" i="7"/>
  <c r="E33" i="6"/>
  <c r="E60" i="4"/>
  <c r="J57" i="2"/>
  <c r="E164" i="7"/>
  <c r="E181" i="6"/>
  <c r="E346" i="4"/>
  <c r="J600" i="2"/>
  <c r="I27" i="7"/>
  <c r="I34" i="5"/>
  <c r="I66" i="4"/>
  <c r="E124" i="6"/>
  <c r="E114" i="5"/>
  <c r="E233" i="4"/>
  <c r="J280" i="2"/>
  <c r="E180" i="7"/>
  <c r="E404" i="4"/>
  <c r="J693" i="2"/>
  <c r="E220" i="6"/>
  <c r="E200" i="5"/>
  <c r="E417" i="4"/>
  <c r="J729" i="2"/>
  <c r="I91" i="7"/>
  <c r="I93" i="6"/>
  <c r="I185" i="4"/>
  <c r="I154" i="7"/>
  <c r="I323" i="4"/>
  <c r="E159" i="5"/>
  <c r="E170" i="6"/>
  <c r="E328" i="4"/>
  <c r="J617" i="2"/>
  <c r="E379" i="4"/>
  <c r="E205" i="6"/>
  <c r="J709" i="2"/>
  <c r="E68" i="8"/>
  <c r="J203" i="2"/>
  <c r="I21" i="7"/>
  <c r="I55" i="4"/>
  <c r="E103" i="8"/>
  <c r="J334" i="2"/>
  <c r="E34" i="6"/>
  <c r="E65" i="4"/>
  <c r="J67" i="2"/>
  <c r="E133" i="8"/>
  <c r="J370" i="2"/>
  <c r="I66" i="6"/>
  <c r="I68" i="5"/>
  <c r="I135" i="4"/>
  <c r="E191" i="8"/>
  <c r="J538" i="2"/>
  <c r="E74" i="7"/>
  <c r="E76" i="5"/>
  <c r="E154" i="4"/>
  <c r="J288" i="2"/>
  <c r="I40" i="7"/>
  <c r="I92" i="4"/>
  <c r="I30" i="7"/>
  <c r="I69" i="4"/>
  <c r="E13" i="5"/>
  <c r="E20" i="4"/>
  <c r="J32" i="2"/>
  <c r="I82" i="7"/>
  <c r="I83" i="6"/>
  <c r="I169" i="4"/>
  <c r="I77" i="7"/>
  <c r="I80" i="6"/>
  <c r="I160" i="4"/>
  <c r="E8" i="6"/>
  <c r="E11" i="5"/>
  <c r="E18" i="4"/>
  <c r="J26" i="2"/>
  <c r="I3" i="7"/>
  <c r="I4" i="6"/>
  <c r="I7" i="4"/>
  <c r="E90" i="8"/>
  <c r="J339" i="2"/>
  <c r="I87" i="6"/>
  <c r="I176" i="4"/>
  <c r="E13" i="7"/>
  <c r="E22" i="6"/>
  <c r="E37" i="4"/>
  <c r="J46" i="2"/>
  <c r="E60" i="8"/>
  <c r="J206" i="2"/>
  <c r="I64" i="5"/>
  <c r="I130" i="4"/>
  <c r="C703" i="12"/>
  <c r="I30" i="6"/>
  <c r="I57" i="4"/>
  <c r="E19" i="5"/>
  <c r="E17" i="6"/>
  <c r="E31" i="4"/>
  <c r="J48" i="2"/>
  <c r="E9" i="6"/>
  <c r="E21" i="4"/>
  <c r="J29" i="2"/>
  <c r="I31" i="5"/>
  <c r="I56" i="4"/>
  <c r="E208" i="6"/>
  <c r="E386" i="4"/>
  <c r="J703" i="2"/>
  <c r="E47" i="7"/>
  <c r="E102" i="4"/>
  <c r="J197" i="2"/>
  <c r="I24" i="7"/>
  <c r="I61" i="4"/>
  <c r="I116" i="6"/>
  <c r="I220" i="4"/>
  <c r="E151" i="6"/>
  <c r="E132" i="7"/>
  <c r="E286" i="4"/>
  <c r="J588" i="2"/>
  <c r="I135" i="5"/>
  <c r="I276" i="4"/>
  <c r="I96" i="5"/>
  <c r="I100" i="6"/>
  <c r="I195" i="4"/>
  <c r="E110" i="7"/>
  <c r="E110" i="5"/>
  <c r="E228" i="4"/>
  <c r="J505" i="2"/>
  <c r="I145" i="5"/>
  <c r="I302" i="4"/>
  <c r="E195" i="5"/>
  <c r="E406" i="4"/>
  <c r="J658" i="2"/>
  <c r="E20" i="5"/>
  <c r="E32" i="4"/>
  <c r="J35" i="2"/>
  <c r="E58" i="5"/>
  <c r="E118" i="4"/>
  <c r="J191" i="2"/>
  <c r="E46" i="6"/>
  <c r="E89" i="4"/>
  <c r="J159" i="2"/>
  <c r="I161" i="7"/>
  <c r="I339" i="4"/>
  <c r="E94" i="5"/>
  <c r="E95" i="6"/>
  <c r="E189" i="4"/>
  <c r="J482" i="2"/>
  <c r="E16" i="7"/>
  <c r="E24" i="6"/>
  <c r="E42" i="4"/>
  <c r="J51" i="2"/>
  <c r="E119" i="7"/>
  <c r="E251" i="4"/>
  <c r="J492" i="2"/>
  <c r="I8" i="6"/>
  <c r="I11" i="5"/>
  <c r="I18" i="4"/>
  <c r="E28" i="5"/>
  <c r="E52" i="4"/>
  <c r="J104" i="2"/>
  <c r="E10" i="6"/>
  <c r="E23" i="4"/>
  <c r="J33" i="2"/>
  <c r="I148" i="5"/>
  <c r="I163" i="6"/>
  <c r="I310" i="4"/>
  <c r="E123" i="5"/>
  <c r="E252" i="4"/>
  <c r="J580" i="2"/>
  <c r="E171" i="7"/>
  <c r="E194" i="6"/>
  <c r="E366" i="4"/>
  <c r="J661" i="2"/>
  <c r="I73" i="7"/>
  <c r="I152" i="4"/>
  <c r="E61" i="7"/>
  <c r="E67" i="5"/>
  <c r="E65" i="6"/>
  <c r="E134" i="4"/>
  <c r="J293" i="2"/>
  <c r="E155" i="7"/>
  <c r="E169" i="6"/>
  <c r="E325" i="4"/>
  <c r="J610" i="2"/>
  <c r="E10" i="7"/>
  <c r="E15" i="6"/>
  <c r="E28" i="4"/>
  <c r="J40" i="2"/>
  <c r="E133" i="7"/>
  <c r="E152" i="6"/>
  <c r="E287" i="4"/>
  <c r="J586" i="2"/>
  <c r="I165" i="6"/>
  <c r="I314" i="4"/>
  <c r="I151" i="5"/>
  <c r="I111" i="7"/>
  <c r="I229" i="4"/>
  <c r="I199" i="6"/>
  <c r="I373" i="4"/>
  <c r="E98" i="7"/>
  <c r="E106" i="6"/>
  <c r="E202" i="4"/>
  <c r="J498" i="2"/>
  <c r="E101" i="7"/>
  <c r="E102" i="5"/>
  <c r="E207" i="4"/>
  <c r="J447" i="2"/>
  <c r="E16" i="6"/>
  <c r="E17" i="5"/>
  <c r="E29" i="4"/>
  <c r="J39" i="2"/>
  <c r="E88" i="7"/>
  <c r="E90" i="6"/>
  <c r="E180" i="4"/>
  <c r="J391" i="2"/>
  <c r="I108" i="6"/>
  <c r="I205" i="4"/>
  <c r="I188" i="6"/>
  <c r="I360" i="4"/>
  <c r="I127" i="6"/>
  <c r="I238" i="4"/>
  <c r="E127" i="8"/>
  <c r="J394" i="2"/>
  <c r="E188" i="7"/>
  <c r="E226" i="6"/>
  <c r="E429" i="4"/>
  <c r="J724" i="2"/>
  <c r="E71" i="5"/>
  <c r="E143" i="4"/>
  <c r="J343" i="2"/>
  <c r="E39" i="7"/>
  <c r="E45" i="5"/>
  <c r="E45" i="6"/>
  <c r="E88" i="4"/>
  <c r="J128" i="2"/>
  <c r="I13" i="6"/>
  <c r="I26" i="4"/>
  <c r="E56" i="7"/>
  <c r="E123" i="4"/>
  <c r="J269" i="2"/>
  <c r="E102" i="6"/>
  <c r="E98" i="5"/>
  <c r="E198" i="4"/>
  <c r="J400" i="2"/>
  <c r="I109" i="7"/>
  <c r="I227" i="4"/>
  <c r="I109" i="5"/>
  <c r="E158" i="8"/>
  <c r="J366" i="2"/>
  <c r="E228" i="8"/>
  <c r="J560" i="2"/>
  <c r="I146" i="7"/>
  <c r="I306" i="4"/>
  <c r="I80" i="5"/>
  <c r="I162" i="4"/>
  <c r="E22" i="8"/>
  <c r="J62" i="2"/>
  <c r="E89" i="6"/>
  <c r="E89" i="5"/>
  <c r="E179" i="4"/>
  <c r="J408" i="2"/>
  <c r="E141" i="7"/>
  <c r="E299" i="4"/>
  <c r="J622" i="2"/>
  <c r="I143" i="6"/>
  <c r="I267" i="4"/>
  <c r="I46" i="6"/>
  <c r="I89" i="4"/>
  <c r="E194" i="5"/>
  <c r="E405" i="4"/>
  <c r="J695" i="2"/>
  <c r="I183" i="5"/>
  <c r="I383" i="4"/>
  <c r="I157" i="5"/>
  <c r="I326" i="4"/>
  <c r="I147" i="6"/>
  <c r="I132" i="5"/>
  <c r="I273" i="4"/>
  <c r="E76" i="7"/>
  <c r="E79" i="6"/>
  <c r="E159" i="4"/>
  <c r="J337" i="2"/>
  <c r="I170" i="7"/>
  <c r="I189" i="6"/>
  <c r="I361" i="4"/>
  <c r="E413" i="4"/>
  <c r="E197" i="5"/>
  <c r="J726" i="2"/>
  <c r="I117" i="6"/>
  <c r="I222" i="4"/>
  <c r="E149" i="6"/>
  <c r="E140" i="5"/>
  <c r="E283" i="4"/>
  <c r="J542" i="2"/>
  <c r="E87" i="7"/>
  <c r="E177" i="4"/>
  <c r="J284" i="2"/>
  <c r="E106" i="7"/>
  <c r="E115" i="6"/>
  <c r="E219" i="4"/>
  <c r="J483" i="2"/>
  <c r="I209" i="6"/>
  <c r="I186" i="5"/>
  <c r="I387" i="4"/>
  <c r="E187" i="7"/>
  <c r="E420" i="4"/>
  <c r="J725" i="2"/>
  <c r="I171" i="7"/>
  <c r="I194" i="6"/>
  <c r="I366" i="4"/>
  <c r="E80" i="7"/>
  <c r="E83" i="5"/>
  <c r="E165" i="4"/>
  <c r="J275" i="2"/>
  <c r="I44" i="6"/>
  <c r="I86" i="4"/>
  <c r="E21" i="8"/>
  <c r="J83" i="2"/>
  <c r="E188" i="5"/>
  <c r="E389" i="4"/>
  <c r="J669" i="2"/>
  <c r="E82" i="6"/>
  <c r="E167" i="4"/>
  <c r="J382" i="2"/>
  <c r="I175" i="6"/>
  <c r="I337" i="4"/>
  <c r="C722" i="12"/>
  <c r="C681" i="12"/>
  <c r="E127" i="7"/>
  <c r="E145" i="6"/>
  <c r="E271" i="4"/>
  <c r="J583" i="2"/>
  <c r="I369" i="4"/>
  <c r="I196" i="6"/>
  <c r="I132" i="6"/>
  <c r="I119" i="5"/>
  <c r="I245" i="4"/>
  <c r="I177" i="7"/>
  <c r="I391" i="4"/>
  <c r="I57" i="5"/>
  <c r="I116" i="4"/>
  <c r="E96" i="7"/>
  <c r="E103" i="6"/>
  <c r="E99" i="5"/>
  <c r="E199" i="4"/>
  <c r="J445" i="2"/>
  <c r="I101" i="7"/>
  <c r="I102" i="5"/>
  <c r="I207" i="4"/>
  <c r="E66" i="5"/>
  <c r="E133" i="4"/>
  <c r="J299" i="2"/>
  <c r="E55" i="8"/>
  <c r="J246" i="2"/>
  <c r="I8" i="7"/>
  <c r="I15" i="4"/>
  <c r="I52" i="5"/>
  <c r="I109" i="4"/>
  <c r="E68" i="7"/>
  <c r="E69" i="6"/>
  <c r="E145" i="4"/>
  <c r="J305" i="2"/>
  <c r="E120" i="8"/>
  <c r="J421" i="2"/>
  <c r="E67" i="7"/>
  <c r="E72" i="5"/>
  <c r="E144" i="4"/>
  <c r="J223" i="2"/>
  <c r="I103" i="5"/>
  <c r="I112" i="6"/>
  <c r="I213" i="4"/>
  <c r="C725" i="12"/>
  <c r="E116" i="6"/>
  <c r="E220" i="4"/>
  <c r="J506" i="2"/>
  <c r="C693" i="12"/>
  <c r="E41" i="5"/>
  <c r="E82" i="4"/>
  <c r="J158" i="2"/>
  <c r="E103" i="7"/>
  <c r="E210" i="4"/>
  <c r="J437" i="2"/>
  <c r="E138" i="6"/>
  <c r="E260" i="4"/>
  <c r="J567" i="2"/>
  <c r="E217" i="8"/>
  <c r="J562" i="2"/>
  <c r="I70" i="5"/>
  <c r="I142" i="4"/>
  <c r="E144" i="6"/>
  <c r="E130" i="5"/>
  <c r="E269" i="4"/>
  <c r="J585" i="2"/>
  <c r="J277" i="2"/>
  <c r="E150" i="7"/>
  <c r="E153" i="5"/>
  <c r="E316" i="4"/>
  <c r="J618" i="2"/>
  <c r="I405" i="4"/>
  <c r="I194" i="5"/>
  <c r="E57" i="8"/>
  <c r="J220" i="2"/>
  <c r="E148" i="7"/>
  <c r="E164" i="6"/>
  <c r="E149" i="5"/>
  <c r="E311" i="4"/>
  <c r="J593" i="2"/>
  <c r="I47" i="6"/>
  <c r="I91" i="4"/>
  <c r="AE13" i="3"/>
  <c r="E57" i="6"/>
  <c r="E51" i="7"/>
  <c r="E108" i="4"/>
  <c r="J194" i="2"/>
  <c r="E30" i="8"/>
  <c r="J131" i="2"/>
  <c r="E28" i="7"/>
  <c r="E35" i="6"/>
  <c r="E67" i="4"/>
  <c r="J110" i="2"/>
  <c r="E123" i="6"/>
  <c r="E112" i="5"/>
  <c r="E231" i="4"/>
  <c r="J467" i="2"/>
  <c r="E85" i="7"/>
  <c r="E172" i="4"/>
  <c r="J258" i="2"/>
  <c r="I10" i="5"/>
  <c r="I17" i="4"/>
  <c r="E59" i="7"/>
  <c r="E129" i="4"/>
  <c r="J289" i="2"/>
  <c r="J25" i="2"/>
  <c r="E425" i="4"/>
  <c r="E205" i="5"/>
  <c r="J714" i="2"/>
  <c r="I187" i="7"/>
  <c r="I420" i="4"/>
  <c r="I115" i="5"/>
  <c r="I235" i="4"/>
  <c r="I80" i="7"/>
  <c r="I83" i="5"/>
  <c r="I165" i="4"/>
  <c r="J317" i="2"/>
  <c r="E45" i="8"/>
  <c r="J195" i="2"/>
  <c r="E165" i="6"/>
  <c r="E314" i="4"/>
  <c r="E151" i="5"/>
  <c r="J657" i="2"/>
  <c r="E150" i="5"/>
  <c r="E312" i="4"/>
  <c r="J633" i="2"/>
  <c r="C698" i="12"/>
  <c r="C666" i="12"/>
  <c r="C731" i="12"/>
  <c r="E221" i="6"/>
  <c r="E202" i="5"/>
  <c r="E419" i="4"/>
  <c r="J705" i="2"/>
  <c r="C716" i="12"/>
  <c r="E3" i="5"/>
  <c r="E3" i="4"/>
  <c r="F2" i="3"/>
  <c r="J2" i="2"/>
  <c r="E114" i="7"/>
  <c r="E240" i="4"/>
  <c r="J462" i="2"/>
  <c r="E123" i="7"/>
  <c r="E135" i="6"/>
  <c r="E257" i="4"/>
  <c r="J484" i="2"/>
  <c r="E50" i="8"/>
  <c r="J207" i="2"/>
  <c r="E41" i="6"/>
  <c r="E35" i="7"/>
  <c r="E80" i="4"/>
  <c r="J78" i="2"/>
  <c r="I406" i="4"/>
  <c r="I195" i="5"/>
  <c r="I43" i="7"/>
  <c r="I52" i="6"/>
  <c r="I97" i="4"/>
  <c r="E154" i="5"/>
  <c r="E320" i="4"/>
  <c r="J646" i="2"/>
  <c r="I176" i="5"/>
  <c r="I367" i="4"/>
  <c r="E114" i="6"/>
  <c r="E217" i="4"/>
  <c r="J232" i="2"/>
  <c r="E168" i="7"/>
  <c r="E355" i="4"/>
  <c r="J666" i="2"/>
  <c r="E198" i="6"/>
  <c r="E371" i="4"/>
  <c r="J711" i="2"/>
  <c r="E67" i="6"/>
  <c r="E138" i="4"/>
  <c r="J255" i="2"/>
  <c r="I8" i="5"/>
  <c r="I11" i="4"/>
  <c r="I268" i="4"/>
  <c r="I129" i="5"/>
  <c r="E120" i="5"/>
  <c r="E247" i="4"/>
  <c r="J532" i="2"/>
  <c r="E21" i="7"/>
  <c r="E55" i="4"/>
  <c r="J91" i="2"/>
  <c r="E125" i="8"/>
  <c r="J321" i="2"/>
  <c r="E51" i="8"/>
  <c r="J171" i="2"/>
  <c r="E108" i="8"/>
  <c r="J373" i="2"/>
  <c r="E196" i="5"/>
  <c r="E407" i="4"/>
  <c r="J698" i="2"/>
  <c r="E61" i="8"/>
  <c r="J272" i="2"/>
  <c r="E62" i="6"/>
  <c r="E60" i="5"/>
  <c r="E122" i="4"/>
  <c r="J249" i="2"/>
  <c r="E177" i="7"/>
  <c r="E391" i="4"/>
  <c r="J700" i="2"/>
  <c r="I59" i="5"/>
  <c r="I119" i="4"/>
  <c r="I182" i="7"/>
  <c r="I411" i="4"/>
  <c r="E229" i="8"/>
  <c r="J561" i="2"/>
  <c r="I148" i="7"/>
  <c r="I164" i="6"/>
  <c r="I149" i="5"/>
  <c r="I311" i="4"/>
  <c r="I51" i="7"/>
  <c r="I57" i="6"/>
  <c r="I108" i="4"/>
  <c r="E62" i="8"/>
  <c r="J268" i="2"/>
  <c r="E64" i="7"/>
  <c r="E139" i="4"/>
  <c r="J228" i="2"/>
  <c r="E131" i="5"/>
  <c r="E270" i="4"/>
  <c r="J582" i="2"/>
  <c r="I86" i="7"/>
  <c r="I86" i="5"/>
  <c r="I86" i="6"/>
  <c r="I174" i="4"/>
  <c r="E65" i="7"/>
  <c r="E68" i="6"/>
  <c r="E140" i="4"/>
  <c r="J200" i="2"/>
  <c r="E162" i="8"/>
  <c r="J375" i="2"/>
  <c r="J451" i="2"/>
  <c r="I59" i="7"/>
  <c r="I129" i="4"/>
  <c r="E171" i="6"/>
  <c r="E330" i="4"/>
  <c r="J576" i="2"/>
  <c r="E27" i="6"/>
  <c r="E49" i="4"/>
  <c r="J75" i="2"/>
  <c r="E71" i="7"/>
  <c r="E73" i="6"/>
  <c r="E150" i="4"/>
  <c r="J331" i="2"/>
  <c r="C683" i="12"/>
  <c r="E175" i="6"/>
  <c r="E337" i="4"/>
  <c r="J636" i="2"/>
  <c r="E153" i="7"/>
  <c r="E319" i="4"/>
  <c r="J598" i="2"/>
  <c r="E97" i="5"/>
  <c r="E196" i="4"/>
  <c r="J477" i="2"/>
  <c r="I6" i="7"/>
  <c r="I7" i="5"/>
  <c r="I10" i="4"/>
  <c r="I419" i="4"/>
  <c r="I221" i="6"/>
  <c r="I202" i="5"/>
  <c r="C684" i="12"/>
  <c r="E206" i="6"/>
  <c r="E382" i="4"/>
  <c r="J710" i="2"/>
  <c r="E4" i="8"/>
  <c r="J12" i="2"/>
  <c r="I35" i="7"/>
  <c r="I41" i="6"/>
  <c r="I80" i="4"/>
  <c r="C670" i="12"/>
  <c r="E206" i="5"/>
  <c r="E426" i="4"/>
  <c r="J727" i="2"/>
  <c r="I135" i="7"/>
  <c r="I155" i="6"/>
  <c r="I290" i="4"/>
  <c r="I58" i="7"/>
  <c r="I63" i="5"/>
  <c r="I128" i="4"/>
  <c r="J488" i="2" l="1"/>
  <c r="J491" i="2"/>
  <c r="J367" i="2"/>
  <c r="J160" i="2"/>
  <c r="J440" i="2"/>
  <c r="E11" i="8"/>
  <c r="J470" i="2"/>
  <c r="J178" i="2"/>
  <c r="J123" i="2"/>
  <c r="J469" i="2"/>
  <c r="J384" i="2"/>
  <c r="E102" i="8"/>
  <c r="E79" i="8"/>
  <c r="J198" i="2"/>
  <c r="I183" i="2"/>
  <c r="E35" i="9" s="1"/>
  <c r="I222" i="2"/>
  <c r="F80" i="3"/>
  <c r="F167" i="3"/>
  <c r="F51" i="3"/>
  <c r="F283" i="3"/>
  <c r="J510" i="2"/>
  <c r="J404" i="2"/>
  <c r="F341" i="3"/>
  <c r="F109" i="3"/>
  <c r="F312" i="3"/>
  <c r="J251" i="2"/>
  <c r="J306" i="2"/>
  <c r="F249" i="3"/>
  <c r="F254" i="3" s="1"/>
  <c r="J256" i="2"/>
  <c r="F189" i="3"/>
  <c r="F196" i="3" s="1"/>
  <c r="J93" i="2"/>
  <c r="F16" i="3"/>
  <c r="E87" i="8"/>
  <c r="E66" i="8"/>
  <c r="F220" i="3"/>
  <c r="F225" i="3" s="1"/>
  <c r="E3" i="8"/>
  <c r="F130" i="3"/>
  <c r="F138" i="3" s="1"/>
  <c r="J396" i="2"/>
  <c r="E214" i="8"/>
  <c r="E32" i="8"/>
  <c r="F17" i="3"/>
  <c r="I333" i="2"/>
  <c r="E74" i="9" s="1"/>
  <c r="J344" i="2"/>
  <c r="J325" i="2"/>
  <c r="J501" i="2"/>
  <c r="J61" i="2"/>
  <c r="J414" i="2"/>
  <c r="I99" i="2"/>
  <c r="E14" i="9" s="1"/>
  <c r="J411" i="2"/>
  <c r="J129" i="2"/>
  <c r="J406" i="2"/>
  <c r="E182" i="8"/>
  <c r="J549" i="2"/>
  <c r="J461" i="2"/>
  <c r="J116" i="2"/>
  <c r="J202" i="2"/>
  <c r="E146" i="8"/>
  <c r="J190" i="2"/>
  <c r="E24" i="8"/>
  <c r="E172" i="8"/>
  <c r="J453" i="2"/>
  <c r="J460" i="2"/>
  <c r="J6" i="2"/>
  <c r="F14" i="3"/>
  <c r="J554" i="2"/>
  <c r="E67" i="8"/>
  <c r="J379" i="2"/>
  <c r="I285" i="2"/>
  <c r="E61" i="9" s="1"/>
  <c r="J438" i="2"/>
  <c r="H153" i="8"/>
  <c r="I29" i="9"/>
  <c r="I143" i="2"/>
  <c r="F316" i="3" s="1"/>
  <c r="I63" i="9"/>
  <c r="I264" i="2"/>
  <c r="E210" i="8"/>
  <c r="J515" i="2"/>
  <c r="E54" i="8"/>
  <c r="J189" i="2"/>
  <c r="E203" i="8"/>
  <c r="J507" i="2"/>
  <c r="E154" i="8"/>
  <c r="J465" i="2"/>
  <c r="E209" i="8"/>
  <c r="J528" i="2"/>
  <c r="E149" i="8"/>
  <c r="J423" i="2"/>
  <c r="E131" i="8"/>
  <c r="J412" i="2"/>
  <c r="E106" i="8"/>
  <c r="J361" i="2"/>
  <c r="E153" i="8"/>
  <c r="J443" i="2"/>
  <c r="E132" i="8"/>
  <c r="J433" i="2"/>
  <c r="J383" i="2"/>
  <c r="E116" i="8"/>
  <c r="I39" i="9"/>
  <c r="I188" i="2"/>
  <c r="E15" i="8"/>
  <c r="J55" i="2"/>
  <c r="J313" i="2"/>
  <c r="E93" i="8"/>
  <c r="E8" i="8"/>
  <c r="J24" i="2"/>
  <c r="E227" i="8"/>
  <c r="J533" i="2"/>
  <c r="E81" i="8"/>
  <c r="J274" i="2"/>
  <c r="E211" i="8"/>
  <c r="J485" i="2"/>
  <c r="E27" i="8"/>
  <c r="J77" i="2"/>
  <c r="E23" i="8"/>
  <c r="J47" i="2"/>
  <c r="E195" i="8"/>
  <c r="J509" i="2"/>
  <c r="E183" i="8"/>
  <c r="J496" i="2"/>
  <c r="E216" i="8"/>
  <c r="J539" i="2"/>
  <c r="I55" i="9"/>
  <c r="I245" i="2"/>
  <c r="I47" i="9"/>
  <c r="I218" i="2"/>
  <c r="I69" i="9"/>
  <c r="I308" i="2"/>
  <c r="I30" i="9"/>
  <c r="I161" i="2"/>
  <c r="I33" i="9"/>
  <c r="I168" i="2"/>
  <c r="I20" i="9"/>
  <c r="I132" i="2"/>
  <c r="F170" i="3" s="1"/>
  <c r="I11" i="9"/>
  <c r="I96" i="2"/>
  <c r="F141" i="3" s="1"/>
  <c r="F144" i="3" s="1"/>
  <c r="E175" i="8"/>
  <c r="J503" i="2"/>
  <c r="E212" i="8"/>
  <c r="J502" i="2"/>
  <c r="E107" i="8"/>
  <c r="J369" i="2"/>
  <c r="E29" i="8"/>
  <c r="J85" i="2"/>
  <c r="E130" i="8"/>
  <c r="J407" i="2"/>
  <c r="E92" i="8"/>
  <c r="J340" i="2"/>
  <c r="E126" i="8"/>
  <c r="J430" i="2"/>
  <c r="E53" i="9"/>
  <c r="J248" i="2"/>
  <c r="E177" i="8"/>
  <c r="J324" i="2"/>
  <c r="J250" i="2"/>
  <c r="E64" i="8"/>
  <c r="E36" i="8"/>
  <c r="J102" i="2"/>
  <c r="I50" i="9"/>
  <c r="I221" i="2"/>
  <c r="I25" i="9"/>
  <c r="I150" i="2"/>
  <c r="I67" i="9"/>
  <c r="I292" i="2"/>
  <c r="E219" i="8"/>
  <c r="J478" i="2"/>
  <c r="E18" i="8"/>
  <c r="J65" i="2"/>
  <c r="E17" i="8"/>
  <c r="J72" i="2"/>
  <c r="E25" i="8"/>
  <c r="J100" i="2"/>
  <c r="E89" i="8"/>
  <c r="J294" i="2"/>
  <c r="E70" i="8"/>
  <c r="J266" i="2"/>
  <c r="E164" i="8"/>
  <c r="J468" i="2"/>
  <c r="E123" i="8"/>
  <c r="J364" i="2"/>
  <c r="E101" i="8"/>
  <c r="J287" i="2"/>
  <c r="E104" i="8"/>
  <c r="J354" i="2"/>
  <c r="E168" i="8"/>
  <c r="J480" i="2"/>
  <c r="J520" i="2"/>
  <c r="E213" i="8"/>
  <c r="E71" i="8"/>
  <c r="J253" i="2"/>
  <c r="E76" i="8"/>
  <c r="J243" i="2"/>
  <c r="E65" i="9"/>
  <c r="J273" i="2"/>
  <c r="I36" i="9"/>
  <c r="I187" i="2"/>
  <c r="I41" i="9"/>
  <c r="I193" i="2"/>
  <c r="I18" i="9"/>
  <c r="I124" i="2"/>
  <c r="F258" i="3" s="1"/>
  <c r="I56" i="9"/>
  <c r="I233" i="2"/>
  <c r="I8" i="9"/>
  <c r="I87" i="2"/>
  <c r="F84" i="3" s="1"/>
  <c r="E187" i="8"/>
  <c r="J415" i="2"/>
  <c r="E75" i="8"/>
  <c r="J310" i="2"/>
  <c r="E186" i="8"/>
  <c r="J481" i="2"/>
  <c r="J419" i="2"/>
  <c r="E138" i="8"/>
  <c r="E44" i="8"/>
  <c r="J184" i="2"/>
  <c r="E147" i="8"/>
  <c r="J472" i="2"/>
  <c r="E16" i="8"/>
  <c r="J27" i="2"/>
  <c r="E109" i="8"/>
  <c r="J295" i="2"/>
  <c r="E6" i="8"/>
  <c r="J19" i="2"/>
  <c r="E128" i="8"/>
  <c r="J413" i="2"/>
  <c r="E99" i="8"/>
  <c r="J326" i="2"/>
  <c r="E58" i="8"/>
  <c r="J225" i="2"/>
  <c r="E197" i="8"/>
  <c r="J441" i="2"/>
  <c r="I19" i="9"/>
  <c r="I112" i="2"/>
  <c r="F171" i="3" s="1"/>
  <c r="I24" i="9"/>
  <c r="I133" i="2"/>
  <c r="F55" i="3" s="1"/>
  <c r="I43" i="9"/>
  <c r="I182" i="2"/>
  <c r="I31" i="9"/>
  <c r="I152" i="2"/>
  <c r="I22" i="9"/>
  <c r="I137" i="2"/>
  <c r="I57" i="9"/>
  <c r="I247" i="2"/>
  <c r="E122" i="8"/>
  <c r="J399" i="2"/>
  <c r="E74" i="8"/>
  <c r="J307" i="2"/>
  <c r="E206" i="8"/>
  <c r="J436" i="2"/>
  <c r="E163" i="8"/>
  <c r="J395" i="2"/>
  <c r="E155" i="8"/>
  <c r="J426" i="2"/>
  <c r="E144" i="8"/>
  <c r="J401" i="2"/>
  <c r="E70" i="9"/>
  <c r="J312" i="2"/>
  <c r="E14" i="8"/>
  <c r="J41" i="2"/>
  <c r="E192" i="8"/>
  <c r="J429" i="2"/>
  <c r="E159" i="8"/>
  <c r="J459" i="2"/>
  <c r="E204" i="8"/>
  <c r="J547" i="2"/>
  <c r="E190" i="8"/>
  <c r="J352" i="2"/>
  <c r="E148" i="8"/>
  <c r="J347" i="2"/>
  <c r="E176" i="8"/>
  <c r="J455" i="2"/>
  <c r="E223" i="8"/>
  <c r="J548" i="2"/>
  <c r="E112" i="8"/>
  <c r="J432" i="2"/>
  <c r="I51" i="9"/>
  <c r="I236" i="2"/>
  <c r="I48" i="9"/>
  <c r="I229" i="2"/>
  <c r="I45" i="9"/>
  <c r="I204" i="2"/>
  <c r="I46" i="9"/>
  <c r="I216" i="2"/>
  <c r="I4" i="9"/>
  <c r="I69" i="2"/>
  <c r="F315" i="3" s="1"/>
  <c r="I26" i="9"/>
  <c r="I135" i="2"/>
  <c r="F26" i="3" s="1"/>
  <c r="I68" i="9"/>
  <c r="I296" i="2"/>
  <c r="I72" i="9"/>
  <c r="I332" i="2"/>
  <c r="I3" i="9"/>
  <c r="I76" i="2"/>
  <c r="F199" i="3" s="1"/>
  <c r="E63" i="8"/>
  <c r="J279" i="2"/>
  <c r="E174" i="8"/>
  <c r="J439" i="2"/>
  <c r="E196" i="8"/>
  <c r="J522" i="2"/>
  <c r="E205" i="8"/>
  <c r="J418" i="2"/>
  <c r="E12" i="9"/>
  <c r="J92" i="2"/>
  <c r="E129" i="8"/>
  <c r="J359" i="2"/>
  <c r="E180" i="8"/>
  <c r="J458" i="2"/>
  <c r="E65" i="8"/>
  <c r="J254" i="2"/>
  <c r="I6" i="9"/>
  <c r="I70" i="2"/>
  <c r="F112" i="3" s="1"/>
  <c r="I9" i="9"/>
  <c r="I82" i="2"/>
  <c r="F83" i="3" s="1"/>
  <c r="F86" i="3" s="1"/>
  <c r="U83" i="3" s="1"/>
  <c r="AE3" i="3" s="1"/>
  <c r="I17" i="9"/>
  <c r="I95" i="2"/>
  <c r="F113" i="3" s="1"/>
  <c r="E188" i="8"/>
  <c r="J527" i="2"/>
  <c r="E151" i="8"/>
  <c r="J351" i="2"/>
  <c r="E170" i="8"/>
  <c r="J456" i="2"/>
  <c r="E150" i="8"/>
  <c r="J457" i="2"/>
  <c r="E5" i="8"/>
  <c r="J13" i="2"/>
  <c r="E97" i="8"/>
  <c r="J365" i="2"/>
  <c r="E194" i="8"/>
  <c r="J514" i="2"/>
  <c r="E124" i="8"/>
  <c r="J390" i="2"/>
  <c r="E171" i="8"/>
  <c r="J516" i="2"/>
  <c r="E35" i="8"/>
  <c r="J107" i="2"/>
  <c r="E145" i="8"/>
  <c r="J372" i="2"/>
  <c r="I62" i="9"/>
  <c r="I265" i="2"/>
  <c r="I16" i="9"/>
  <c r="I111" i="2"/>
  <c r="F228" i="3" s="1"/>
  <c r="E48" i="8"/>
  <c r="J179" i="2"/>
  <c r="E41" i="8"/>
  <c r="J151" i="2"/>
  <c r="E98" i="8"/>
  <c r="J350" i="2"/>
  <c r="E193" i="8"/>
  <c r="J537" i="2"/>
  <c r="E88" i="8"/>
  <c r="J353" i="2"/>
  <c r="E220" i="8"/>
  <c r="J493" i="2"/>
  <c r="J125" i="2"/>
  <c r="E49" i="8"/>
  <c r="E13" i="8"/>
  <c r="J59" i="2"/>
  <c r="J388" i="2"/>
  <c r="E140" i="8"/>
  <c r="E113" i="8"/>
  <c r="J358" i="2"/>
  <c r="E198" i="8"/>
  <c r="J495" i="2"/>
  <c r="E157" i="8"/>
  <c r="J471" i="2"/>
  <c r="E10" i="8"/>
  <c r="J21" i="2"/>
  <c r="E226" i="8"/>
  <c r="J573" i="2"/>
  <c r="I66" i="9"/>
  <c r="I281" i="2"/>
  <c r="I54" i="9"/>
  <c r="I242" i="2"/>
  <c r="I38" i="9"/>
  <c r="I180" i="2"/>
  <c r="F287" i="3" s="1"/>
  <c r="I44" i="9"/>
  <c r="I205" i="2"/>
  <c r="I75" i="9"/>
  <c r="I341" i="2"/>
  <c r="I23" i="9"/>
  <c r="I126" i="2"/>
  <c r="F345" i="3" s="1"/>
  <c r="I58" i="9"/>
  <c r="I262" i="2"/>
  <c r="I64" i="9"/>
  <c r="I276" i="2"/>
  <c r="I10" i="9"/>
  <c r="I98" i="2"/>
  <c r="F200" i="3" s="1"/>
  <c r="I71" i="9"/>
  <c r="I320" i="2"/>
  <c r="E20" i="8"/>
  <c r="J68" i="2"/>
  <c r="E72" i="8"/>
  <c r="J252" i="2"/>
  <c r="E42" i="8"/>
  <c r="J192" i="2"/>
  <c r="E142" i="8"/>
  <c r="J449" i="2"/>
  <c r="E215" i="8"/>
  <c r="J524" i="2"/>
  <c r="E9" i="8"/>
  <c r="J20" i="2"/>
  <c r="E80" i="8"/>
  <c r="J300" i="2"/>
  <c r="E169" i="8"/>
  <c r="J357" i="2"/>
  <c r="J156" i="2"/>
  <c r="E43" i="8"/>
  <c r="E46" i="8"/>
  <c r="J172" i="2"/>
  <c r="E118" i="8"/>
  <c r="J422" i="2"/>
  <c r="I73" i="9"/>
  <c r="I338" i="2"/>
  <c r="I59" i="9"/>
  <c r="I270" i="2"/>
  <c r="I28" i="9"/>
  <c r="I154" i="2"/>
  <c r="I42" i="9"/>
  <c r="I176" i="2"/>
  <c r="I49" i="9"/>
  <c r="I226" i="2"/>
  <c r="E53" i="8"/>
  <c r="J217" i="2"/>
  <c r="E56" i="8"/>
  <c r="J201" i="2"/>
  <c r="J380" i="2"/>
  <c r="E110" i="8"/>
  <c r="E221" i="8"/>
  <c r="J536" i="2"/>
  <c r="E28" i="8"/>
  <c r="J88" i="2"/>
  <c r="E152" i="8"/>
  <c r="J428" i="2"/>
  <c r="E91" i="8"/>
  <c r="J224" i="2"/>
  <c r="E85" i="8"/>
  <c r="J316" i="2"/>
  <c r="E185" i="8"/>
  <c r="J513" i="2"/>
  <c r="E201" i="8"/>
  <c r="J499" i="2"/>
  <c r="E39" i="8"/>
  <c r="J130" i="2"/>
  <c r="E69" i="8"/>
  <c r="J231" i="2"/>
  <c r="J174" i="2"/>
  <c r="E47" i="8"/>
  <c r="E52" i="8"/>
  <c r="J219" i="2"/>
  <c r="E189" i="8"/>
  <c r="J504" i="2"/>
  <c r="I60" i="9"/>
  <c r="I267" i="2"/>
  <c r="I27" i="9"/>
  <c r="I145" i="2"/>
  <c r="F286" i="3" s="1"/>
  <c r="I21" i="9"/>
  <c r="I144" i="2"/>
  <c r="F257" i="3" s="1"/>
  <c r="I40" i="9"/>
  <c r="I181" i="2"/>
  <c r="I7" i="9"/>
  <c r="I86" i="2"/>
  <c r="F344" i="3" s="1"/>
  <c r="I15" i="9"/>
  <c r="I101" i="2"/>
  <c r="I32" i="9"/>
  <c r="I164" i="2"/>
  <c r="F229" i="3" s="1"/>
  <c r="E202" i="8"/>
  <c r="J525" i="2"/>
  <c r="E114" i="8"/>
  <c r="J329" i="2"/>
  <c r="E225" i="8"/>
  <c r="J523" i="2"/>
  <c r="E135" i="8"/>
  <c r="J416" i="2"/>
  <c r="J345" i="2"/>
  <c r="E94" i="8"/>
  <c r="E179" i="8"/>
  <c r="J475" i="2"/>
  <c r="E59" i="8"/>
  <c r="J214" i="2"/>
  <c r="E26" i="8"/>
  <c r="J80" i="2"/>
  <c r="E19" i="8"/>
  <c r="J43" i="2"/>
  <c r="E178" i="8"/>
  <c r="J435" i="2"/>
  <c r="J127" i="2"/>
  <c r="E38" i="8"/>
  <c r="E173" i="8"/>
  <c r="J487" i="2"/>
  <c r="E7" i="8"/>
  <c r="J17" i="2"/>
  <c r="E12" i="8"/>
  <c r="J34" i="2"/>
  <c r="E13" i="9"/>
  <c r="J118" i="2"/>
  <c r="H135" i="8"/>
  <c r="C135" i="8" s="1"/>
  <c r="E416" i="2" s="1"/>
  <c r="H51" i="8"/>
  <c r="H177" i="8"/>
  <c r="C177" i="8" s="1"/>
  <c r="E324" i="2" s="1"/>
  <c r="H117" i="8"/>
  <c r="C117" i="8" s="1"/>
  <c r="E374" i="2" s="1"/>
  <c r="H174" i="8"/>
  <c r="H28" i="8"/>
  <c r="C28" i="8" s="1"/>
  <c r="E88" i="2" s="1"/>
  <c r="C248" i="3" s="1"/>
  <c r="H34" i="8"/>
  <c r="C34" i="8" s="1"/>
  <c r="E116" i="2" s="1"/>
  <c r="H215" i="8"/>
  <c r="C215" i="8" s="1"/>
  <c r="E524" i="2" s="1"/>
  <c r="H86" i="8"/>
  <c r="C86" i="8" s="1"/>
  <c r="E317" i="2" s="1"/>
  <c r="H223" i="8"/>
  <c r="C223" i="8" s="1"/>
  <c r="E548" i="2" s="1"/>
  <c r="H85" i="8"/>
  <c r="C85" i="8" s="1"/>
  <c r="E316" i="2" s="1"/>
  <c r="H186" i="8"/>
  <c r="C186" i="8" s="1"/>
  <c r="E481" i="2" s="1"/>
  <c r="H154" i="8"/>
  <c r="H211" i="8"/>
  <c r="H198" i="8"/>
  <c r="C198" i="8" s="1"/>
  <c r="E495" i="2" s="1"/>
  <c r="H212" i="8"/>
  <c r="H63" i="8"/>
  <c r="H123" i="8"/>
  <c r="H217" i="8"/>
  <c r="C217" i="8" s="1"/>
  <c r="E562" i="2" s="1"/>
  <c r="H4" i="8"/>
  <c r="C4" i="8" s="1"/>
  <c r="E12" i="2" s="1"/>
  <c r="C217" i="3" s="1"/>
  <c r="H67" i="8"/>
  <c r="H75" i="8"/>
  <c r="C75" i="8" s="1"/>
  <c r="E310" i="2" s="1"/>
  <c r="H152" i="8"/>
  <c r="C152" i="8" s="1"/>
  <c r="E428" i="2" s="1"/>
  <c r="H197" i="8"/>
  <c r="C197" i="8" s="1"/>
  <c r="E441" i="2" s="1"/>
  <c r="H121" i="8"/>
  <c r="H49" i="8"/>
  <c r="C49" i="8" s="1"/>
  <c r="E125" i="2" s="1"/>
  <c r="C161" i="3" s="1"/>
  <c r="H132" i="8"/>
  <c r="C132" i="8" s="1"/>
  <c r="E433" i="2" s="1"/>
  <c r="H115" i="8"/>
  <c r="C115" i="8" s="1"/>
  <c r="E396" i="2" s="1"/>
  <c r="H161" i="8"/>
  <c r="H110" i="8"/>
  <c r="C110" i="8" s="1"/>
  <c r="E380" i="2" s="1"/>
  <c r="H106" i="8"/>
  <c r="C106" i="8" s="1"/>
  <c r="E361" i="2" s="1"/>
  <c r="H162" i="8"/>
  <c r="C162" i="8" s="1"/>
  <c r="E375" i="2" s="1"/>
  <c r="H138" i="8"/>
  <c r="H173" i="8"/>
  <c r="C173" i="8" s="1"/>
  <c r="E487" i="2" s="1"/>
  <c r="H119" i="8"/>
  <c r="C119" i="8" s="1"/>
  <c r="E406" i="2" s="1"/>
  <c r="H188" i="8"/>
  <c r="H210" i="8"/>
  <c r="H209" i="8"/>
  <c r="H129" i="8"/>
  <c r="C129" i="8" s="1"/>
  <c r="E359" i="2" s="1"/>
  <c r="H50" i="8"/>
  <c r="C50" i="8" s="1"/>
  <c r="E207" i="2" s="1"/>
  <c r="C104" i="3" s="1"/>
  <c r="H208" i="8"/>
  <c r="C208" i="8" s="1"/>
  <c r="E488" i="2" s="1"/>
  <c r="H52" i="8"/>
  <c r="C52" i="8" s="1"/>
  <c r="E219" i="2" s="1"/>
  <c r="H124" i="8"/>
  <c r="H190" i="8"/>
  <c r="C190" i="8" s="1"/>
  <c r="E352" i="2" s="1"/>
  <c r="H27" i="8"/>
  <c r="H18" i="8"/>
  <c r="C18" i="8" s="1"/>
  <c r="E65" i="2" s="1"/>
  <c r="C218" i="3" s="1"/>
  <c r="H133" i="8"/>
  <c r="H151" i="8"/>
  <c r="C151" i="8" s="1"/>
  <c r="E351" i="2" s="1"/>
  <c r="H226" i="8"/>
  <c r="H73" i="8"/>
  <c r="H8" i="8"/>
  <c r="C8" i="8" s="1"/>
  <c r="E24" i="2" s="1"/>
  <c r="C71" i="3" s="1"/>
  <c r="H10" i="8"/>
  <c r="C10" i="8" s="1"/>
  <c r="E21" i="2" s="1"/>
  <c r="C275" i="3" s="1"/>
  <c r="H19" i="8"/>
  <c r="H143" i="8"/>
  <c r="C143" i="8" s="1"/>
  <c r="E371" i="2" s="1"/>
  <c r="H105" i="8"/>
  <c r="H140" i="8"/>
  <c r="C140" i="8" s="1"/>
  <c r="E388" i="2" s="1"/>
  <c r="H145" i="8"/>
  <c r="H193" i="8"/>
  <c r="C193" i="8" s="1"/>
  <c r="E537" i="2" s="1"/>
  <c r="H178" i="8"/>
  <c r="C178" i="8" s="1"/>
  <c r="E435" i="2" s="1"/>
  <c r="H5" i="8"/>
  <c r="C5" i="8" s="1"/>
  <c r="E13" i="2" s="1"/>
  <c r="C333" i="3" s="1"/>
  <c r="H113" i="8"/>
  <c r="H179" i="8"/>
  <c r="H171" i="8"/>
  <c r="C171" i="8" s="1"/>
  <c r="E516" i="2" s="1"/>
  <c r="H46" i="8"/>
  <c r="C46" i="8" s="1"/>
  <c r="E172" i="2" s="1"/>
  <c r="C307" i="3" s="1"/>
  <c r="H204" i="8"/>
  <c r="H118" i="8"/>
  <c r="C118" i="8" s="1"/>
  <c r="E422" i="2" s="1"/>
  <c r="C191" i="3" s="1"/>
  <c r="H176" i="8"/>
  <c r="H220" i="8"/>
  <c r="C220" i="8" s="1"/>
  <c r="E493" i="2" s="1"/>
  <c r="H155" i="8"/>
  <c r="H76" i="8"/>
  <c r="C76" i="8" s="1"/>
  <c r="E243" i="2" s="1"/>
  <c r="H216" i="8"/>
  <c r="C216" i="8" s="1"/>
  <c r="E539" i="2" s="1"/>
  <c r="H66" i="8"/>
  <c r="C66" i="8" s="1"/>
  <c r="E277" i="2" s="1"/>
  <c r="C220" i="3" s="1"/>
  <c r="H172" i="8"/>
  <c r="H91" i="8"/>
  <c r="C91" i="8" s="1"/>
  <c r="E224" i="2" s="1"/>
  <c r="H85" i="7"/>
  <c r="H16" i="8"/>
  <c r="H41" i="8"/>
  <c r="C41" i="8" s="1"/>
  <c r="E151" i="2" s="1"/>
  <c r="H74" i="8"/>
  <c r="C74" i="8" s="1"/>
  <c r="E307" i="2" s="1"/>
  <c r="H120" i="8"/>
  <c r="H70" i="8"/>
  <c r="H38" i="8"/>
  <c r="H225" i="8"/>
  <c r="C225" i="8" s="1"/>
  <c r="E523" i="2" s="1"/>
  <c r="H166" i="8"/>
  <c r="C166" i="8" s="1"/>
  <c r="E453" i="2" s="1"/>
  <c r="H229" i="8"/>
  <c r="C229" i="8" s="1"/>
  <c r="E561" i="2" s="1"/>
  <c r="H170" i="8"/>
  <c r="C170" i="8" s="1"/>
  <c r="E456" i="2" s="1"/>
  <c r="H57" i="8"/>
  <c r="H194" i="5"/>
  <c r="C194" i="5" s="1"/>
  <c r="E695" i="2" s="1"/>
  <c r="H267" i="4"/>
  <c r="C267" i="4" s="1"/>
  <c r="H109" i="7"/>
  <c r="H77" i="7"/>
  <c r="C77" i="7" s="1"/>
  <c r="E362" i="2" s="1"/>
  <c r="H135" i="7"/>
  <c r="C135" i="7" s="1"/>
  <c r="E566" i="2" s="1"/>
  <c r="H129" i="5"/>
  <c r="C129" i="5" s="1"/>
  <c r="E577" i="2" s="1"/>
  <c r="H420" i="4"/>
  <c r="C420" i="4" s="1"/>
  <c r="H112" i="6"/>
  <c r="H15" i="4"/>
  <c r="C15" i="4" s="1"/>
  <c r="H86" i="4"/>
  <c r="C86" i="4" s="1"/>
  <c r="H209" i="6"/>
  <c r="H189" i="6"/>
  <c r="H109" i="5"/>
  <c r="H8" i="6"/>
  <c r="C8" i="6" s="1"/>
  <c r="E26" i="2" s="1"/>
  <c r="C31" i="3" s="1"/>
  <c r="H160" i="4"/>
  <c r="C160" i="4" s="1"/>
  <c r="H185" i="4"/>
  <c r="C185" i="4" s="1"/>
  <c r="H262" i="4"/>
  <c r="C262" i="4" s="1"/>
  <c r="H184" i="5"/>
  <c r="C184" i="5" s="1"/>
  <c r="H19" i="6"/>
  <c r="C19" i="6" s="1"/>
  <c r="H122" i="4"/>
  <c r="C122" i="4" s="1"/>
  <c r="H191" i="6"/>
  <c r="C191" i="6" s="1"/>
  <c r="E684" i="2" s="1"/>
  <c r="H275" i="4"/>
  <c r="H35" i="4"/>
  <c r="H217" i="4"/>
  <c r="C217" i="4" s="1"/>
  <c r="H184" i="7"/>
  <c r="C184" i="7" s="1"/>
  <c r="E702" i="2" s="1"/>
  <c r="H9" i="4"/>
  <c r="C9" i="4" s="1"/>
  <c r="H180" i="7"/>
  <c r="H197" i="6"/>
  <c r="C197" i="6" s="1"/>
  <c r="E683" i="2" s="1"/>
  <c r="H215" i="6"/>
  <c r="H365" i="4"/>
  <c r="C365" i="4" s="1"/>
  <c r="H374" i="4"/>
  <c r="C374" i="4" s="1"/>
  <c r="H56" i="7"/>
  <c r="H304" i="4"/>
  <c r="C304" i="4" s="1"/>
  <c r="H106" i="5"/>
  <c r="C106" i="5" s="1"/>
  <c r="E479" i="2" s="1"/>
  <c r="H145" i="7"/>
  <c r="C145" i="7" s="1"/>
  <c r="E626" i="2" s="1"/>
  <c r="H112" i="4"/>
  <c r="H190" i="6"/>
  <c r="C190" i="6" s="1"/>
  <c r="E621" i="2" s="1"/>
  <c r="H78" i="7"/>
  <c r="C78" i="7" s="1"/>
  <c r="E259" i="2" s="1"/>
  <c r="C69" i="3" s="1"/>
  <c r="H141" i="7"/>
  <c r="H424" i="4"/>
  <c r="C424" i="4" s="1"/>
  <c r="H198" i="4"/>
  <c r="H9" i="7"/>
  <c r="C9" i="7" s="1"/>
  <c r="E23" i="2" s="1"/>
  <c r="C271" i="3" s="1"/>
  <c r="H65" i="5"/>
  <c r="C65" i="5" s="1"/>
  <c r="H212" i="6"/>
  <c r="H412" i="4"/>
  <c r="C412" i="4" s="1"/>
  <c r="H98" i="8"/>
  <c r="C98" i="8" s="1"/>
  <c r="E350" i="2" s="1"/>
  <c r="H286" i="4"/>
  <c r="C286" i="4" s="1"/>
  <c r="H205" i="6"/>
  <c r="H395" i="4"/>
  <c r="C395" i="4" s="1"/>
  <c r="H57" i="7"/>
  <c r="C57" i="7" s="1"/>
  <c r="E261" i="2" s="1"/>
  <c r="H317" i="4"/>
  <c r="H165" i="8"/>
  <c r="C165" i="8" s="1"/>
  <c r="E451" i="2" s="1"/>
  <c r="H88" i="5"/>
  <c r="H154" i="6"/>
  <c r="H157" i="4"/>
  <c r="C157" i="4" s="1"/>
  <c r="H56" i="5"/>
  <c r="C56" i="5" s="1"/>
  <c r="E212" i="2" s="1"/>
  <c r="H264" i="4"/>
  <c r="C264" i="4" s="1"/>
  <c r="H120" i="7"/>
  <c r="C120" i="7" s="1"/>
  <c r="E529" i="2" s="1"/>
  <c r="H217" i="6"/>
  <c r="H201" i="6"/>
  <c r="C201" i="6" s="1"/>
  <c r="H223" i="6"/>
  <c r="C223" i="6" s="1"/>
  <c r="E713" i="2" s="1"/>
  <c r="H223" i="4"/>
  <c r="C223" i="4" s="1"/>
  <c r="H136" i="7"/>
  <c r="C136" i="7" s="1"/>
  <c r="E604" i="2" s="1"/>
  <c r="H114" i="4"/>
  <c r="C114" i="4" s="1"/>
  <c r="H81" i="8"/>
  <c r="C81" i="8" s="1"/>
  <c r="E274" i="2" s="1"/>
  <c r="H83" i="4"/>
  <c r="C83" i="4" s="1"/>
  <c r="H198" i="6"/>
  <c r="C198" i="6" s="1"/>
  <c r="E711" i="2" s="1"/>
  <c r="H95" i="6"/>
  <c r="H153" i="5"/>
  <c r="C153" i="5" s="1"/>
  <c r="H125" i="8"/>
  <c r="C125" i="8" s="1"/>
  <c r="E321" i="2" s="1"/>
  <c r="H50" i="4"/>
  <c r="H42" i="6"/>
  <c r="H278" i="4"/>
  <c r="C278" i="4" s="1"/>
  <c r="H89" i="6"/>
  <c r="C89" i="6" s="1"/>
  <c r="E408" i="2" s="1"/>
  <c r="H54" i="8"/>
  <c r="H282" i="4"/>
  <c r="C282" i="4" s="1"/>
  <c r="H21" i="8"/>
  <c r="H33" i="7"/>
  <c r="C33" i="7" s="1"/>
  <c r="E105" i="2" s="1"/>
  <c r="C215" i="3" s="1"/>
  <c r="H418" i="4"/>
  <c r="C418" i="4" s="1"/>
  <c r="H22" i="7"/>
  <c r="C22" i="7" s="1"/>
  <c r="E90" i="2" s="1"/>
  <c r="C272" i="3" s="1"/>
  <c r="H417" i="4"/>
  <c r="C417" i="4" s="1"/>
  <c r="H23" i="6"/>
  <c r="C23" i="6" s="1"/>
  <c r="H294" i="4"/>
  <c r="H182" i="8"/>
  <c r="H150" i="5"/>
  <c r="H45" i="7"/>
  <c r="C45" i="7" s="1"/>
  <c r="E167" i="2" s="1"/>
  <c r="C240" i="3" s="1"/>
  <c r="H156" i="6"/>
  <c r="H114" i="7"/>
  <c r="C114" i="7" s="1"/>
  <c r="E462" i="2" s="1"/>
  <c r="H104" i="7"/>
  <c r="H17" i="6"/>
  <c r="C17" i="6" s="1"/>
  <c r="E48" i="2" s="1"/>
  <c r="C148" i="3" s="1"/>
  <c r="H51" i="6"/>
  <c r="C51" i="6" s="1"/>
  <c r="H160" i="7"/>
  <c r="C160" i="7" s="1"/>
  <c r="E634" i="2" s="1"/>
  <c r="H32" i="8"/>
  <c r="C32" i="8" s="1"/>
  <c r="E129" i="2" s="1"/>
  <c r="C17" i="3" s="1"/>
  <c r="H181" i="8"/>
  <c r="C181" i="8" s="1"/>
  <c r="E355" i="2" s="1"/>
  <c r="H16" i="5"/>
  <c r="H206" i="4"/>
  <c r="C206" i="4" s="1"/>
  <c r="H202" i="8"/>
  <c r="C202" i="8" s="1"/>
  <c r="E525" i="2" s="1"/>
  <c r="H37" i="5"/>
  <c r="C37" i="5" s="1"/>
  <c r="E148" i="2" s="1"/>
  <c r="C179" i="3" s="1"/>
  <c r="H134" i="6"/>
  <c r="H24" i="4"/>
  <c r="C24" i="4" s="1"/>
  <c r="H95" i="8"/>
  <c r="H144" i="4"/>
  <c r="C144" i="4" s="1"/>
  <c r="H205" i="8"/>
  <c r="C205" i="8" s="1"/>
  <c r="E418" i="2" s="1"/>
  <c r="H50" i="5"/>
  <c r="H180" i="4"/>
  <c r="C180" i="4" s="1"/>
  <c r="H160" i="6"/>
  <c r="C160" i="6" s="1"/>
  <c r="H56" i="8"/>
  <c r="H277" i="4"/>
  <c r="H100" i="8"/>
  <c r="C100" i="8" s="1"/>
  <c r="E367" i="2" s="1"/>
  <c r="H102" i="4"/>
  <c r="C102" i="4" s="1"/>
  <c r="H81" i="6"/>
  <c r="H351" i="4"/>
  <c r="C351" i="4" s="1"/>
  <c r="H123" i="7"/>
  <c r="C123" i="7" s="1"/>
  <c r="E484" i="2" s="1"/>
  <c r="H60" i="6"/>
  <c r="C60" i="6" s="1"/>
  <c r="E241" i="2" s="1"/>
  <c r="H145" i="4"/>
  <c r="C145" i="4" s="1"/>
  <c r="H322" i="4"/>
  <c r="C322" i="4" s="1"/>
  <c r="H88" i="8"/>
  <c r="C88" i="8" s="1"/>
  <c r="E353" i="2" s="1"/>
  <c r="H69" i="7"/>
  <c r="C69" i="7" s="1"/>
  <c r="E314" i="2" s="1"/>
  <c r="H64" i="7"/>
  <c r="C64" i="7" s="1"/>
  <c r="E228" i="2" s="1"/>
  <c r="H62" i="4"/>
  <c r="H21" i="5"/>
  <c r="C21" i="5" s="1"/>
  <c r="H215" i="4"/>
  <c r="C215" i="4" s="1"/>
  <c r="H40" i="4"/>
  <c r="H20" i="6"/>
  <c r="H175" i="5"/>
  <c r="H144" i="7"/>
  <c r="C144" i="7" s="1"/>
  <c r="E403" i="2" s="1"/>
  <c r="H190" i="5"/>
  <c r="C190" i="5" s="1"/>
  <c r="E676" i="2" s="1"/>
  <c r="H300" i="4"/>
  <c r="C300" i="4" s="1"/>
  <c r="H58" i="6"/>
  <c r="C58" i="6" s="1"/>
  <c r="H200" i="4"/>
  <c r="C200" i="4" s="1"/>
  <c r="H130" i="5"/>
  <c r="H98" i="5"/>
  <c r="H175" i="4"/>
  <c r="C175" i="4" s="1"/>
  <c r="H60" i="7"/>
  <c r="C60" i="7" s="1"/>
  <c r="E260" i="2" s="1"/>
  <c r="H333" i="4"/>
  <c r="C333" i="4" s="1"/>
  <c r="H183" i="7"/>
  <c r="C183" i="7" s="1"/>
  <c r="E672" i="2" s="1"/>
  <c r="H151" i="6"/>
  <c r="H153" i="4"/>
  <c r="C153" i="4" s="1"/>
  <c r="H213" i="6"/>
  <c r="C213" i="6" s="1"/>
  <c r="E723" i="2" s="1"/>
  <c r="H150" i="4"/>
  <c r="C150" i="4" s="1"/>
  <c r="H151" i="7"/>
  <c r="C151" i="7" s="1"/>
  <c r="E556" i="2" s="1"/>
  <c r="H338" i="4"/>
  <c r="C338" i="4" s="1"/>
  <c r="H88" i="6"/>
  <c r="C88" i="6" s="1"/>
  <c r="E342" i="2" s="1"/>
  <c r="H159" i="4"/>
  <c r="C159" i="4" s="1"/>
  <c r="H77" i="6"/>
  <c r="C77" i="6" s="1"/>
  <c r="H127" i="5"/>
  <c r="C127" i="5" s="1"/>
  <c r="E425" i="2" s="1"/>
  <c r="H148" i="4"/>
  <c r="C148" i="4" s="1"/>
  <c r="H375" i="4"/>
  <c r="H47" i="4"/>
  <c r="H118" i="6"/>
  <c r="C118" i="6" s="1"/>
  <c r="H413" i="4"/>
  <c r="C413" i="4" s="1"/>
  <c r="H55" i="5"/>
  <c r="H42" i="5"/>
  <c r="C42" i="5" s="1"/>
  <c r="H32" i="4"/>
  <c r="C32" i="4" s="1"/>
  <c r="H150" i="7"/>
  <c r="H27" i="5"/>
  <c r="C27" i="5" s="1"/>
  <c r="E73" i="2" s="1"/>
  <c r="C294" i="3" s="1"/>
  <c r="H128" i="7"/>
  <c r="C128" i="7" s="1"/>
  <c r="E578" i="2" s="1"/>
  <c r="H124" i="5"/>
  <c r="C124" i="5" s="1"/>
  <c r="H130" i="7"/>
  <c r="C130" i="7" s="1"/>
  <c r="E589" i="2" s="1"/>
  <c r="H201" i="5"/>
  <c r="H243" i="4"/>
  <c r="C243" i="4" s="1"/>
  <c r="H200" i="5"/>
  <c r="C200" i="5" s="1"/>
  <c r="H14" i="7"/>
  <c r="C14" i="7" s="1"/>
  <c r="E56" i="2" s="1"/>
  <c r="C185" i="3" s="1"/>
  <c r="H142" i="5"/>
  <c r="H106" i="4"/>
  <c r="C106" i="4" s="1"/>
  <c r="H181" i="5"/>
  <c r="C181" i="5" s="1"/>
  <c r="H396" i="4"/>
  <c r="C396" i="4" s="1"/>
  <c r="H95" i="4"/>
  <c r="H143" i="4"/>
  <c r="C143" i="4" s="1"/>
  <c r="H98" i="4"/>
  <c r="C98" i="4" s="1"/>
  <c r="H296" i="4"/>
  <c r="C296" i="4" s="1"/>
  <c r="H281" i="4"/>
  <c r="H42" i="7"/>
  <c r="C42" i="7" s="1"/>
  <c r="E153" i="2" s="1"/>
  <c r="C301" i="3" s="1"/>
  <c r="H421" i="4"/>
  <c r="C421" i="4" s="1"/>
  <c r="H146" i="8"/>
  <c r="C146" i="8" s="1"/>
  <c r="E409" i="2" s="1"/>
  <c r="H100" i="7"/>
  <c r="C100" i="7" s="1"/>
  <c r="E346" i="2" s="1"/>
  <c r="H261" i="4"/>
  <c r="C261" i="4" s="1"/>
  <c r="H33" i="8"/>
  <c r="H211" i="6"/>
  <c r="C211" i="6" s="1"/>
  <c r="H122" i="7"/>
  <c r="C122" i="7" s="1"/>
  <c r="E410" i="2" s="1"/>
  <c r="H15" i="5"/>
  <c r="C15" i="5" s="1"/>
  <c r="H353" i="4"/>
  <c r="C353" i="4" s="1"/>
  <c r="H72" i="5"/>
  <c r="C72" i="5" s="1"/>
  <c r="H266" i="4"/>
  <c r="H54" i="6"/>
  <c r="H348" i="4"/>
  <c r="C348" i="4" s="1"/>
  <c r="H90" i="6"/>
  <c r="C90" i="6" s="1"/>
  <c r="H140" i="7"/>
  <c r="C140" i="7" s="1"/>
  <c r="E611" i="2" s="1"/>
  <c r="H136" i="5"/>
  <c r="C136" i="5" s="1"/>
  <c r="E612" i="2" s="1"/>
  <c r="H234" i="4"/>
  <c r="C234" i="4" s="1"/>
  <c r="H47" i="7"/>
  <c r="C47" i="7" s="1"/>
  <c r="E197" i="2" s="1"/>
  <c r="C156" i="3" s="1"/>
  <c r="H81" i="7"/>
  <c r="H168" i="5"/>
  <c r="C168" i="5" s="1"/>
  <c r="E689" i="2" s="1"/>
  <c r="H265" i="4"/>
  <c r="C265" i="4" s="1"/>
  <c r="H207" i="8"/>
  <c r="C207" i="8" s="1"/>
  <c r="E534" i="2" s="1"/>
  <c r="H79" i="8"/>
  <c r="C79" i="8" s="1"/>
  <c r="E311" i="2" s="1"/>
  <c r="H69" i="6"/>
  <c r="C69" i="6" s="1"/>
  <c r="H155" i="5"/>
  <c r="C155" i="5" s="1"/>
  <c r="E651" i="2" s="1"/>
  <c r="H403" i="4"/>
  <c r="C403" i="4" s="1"/>
  <c r="H62" i="8"/>
  <c r="C62" i="8" s="1"/>
  <c r="E268" i="2" s="1"/>
  <c r="H32" i="5"/>
  <c r="C32" i="5" s="1"/>
  <c r="E119" i="2" s="1"/>
  <c r="C120" i="3" s="1"/>
  <c r="H410" i="4"/>
  <c r="C410" i="4" s="1"/>
  <c r="H190" i="4"/>
  <c r="C190" i="4" s="1"/>
  <c r="H105" i="5"/>
  <c r="C105" i="5" s="1"/>
  <c r="E368" i="2" s="1"/>
  <c r="H15" i="7"/>
  <c r="C15" i="7" s="1"/>
  <c r="E60" i="2" s="1"/>
  <c r="C155" i="3" s="1"/>
  <c r="H23" i="4"/>
  <c r="C23" i="4" s="1"/>
  <c r="H161" i="4"/>
  <c r="C161" i="4" s="1"/>
  <c r="H104" i="6"/>
  <c r="C104" i="6" s="1"/>
  <c r="E330" i="2" s="1"/>
  <c r="H269" i="4"/>
  <c r="H102" i="6"/>
  <c r="C102" i="6" s="1"/>
  <c r="E400" i="2" s="1"/>
  <c r="H87" i="5"/>
  <c r="C87" i="5" s="1"/>
  <c r="E381" i="2" s="1"/>
  <c r="H193" i="4"/>
  <c r="C193" i="4" s="1"/>
  <c r="H162" i="5"/>
  <c r="C162" i="5" s="1"/>
  <c r="H347" i="4"/>
  <c r="C347" i="4" s="1"/>
  <c r="H8" i="4"/>
  <c r="C8" i="4" s="1"/>
  <c r="H132" i="7"/>
  <c r="H75" i="5"/>
  <c r="C75" i="5" s="1"/>
  <c r="H376" i="4"/>
  <c r="C376" i="4" s="1"/>
  <c r="H73" i="6"/>
  <c r="C73" i="6" s="1"/>
  <c r="H39" i="5"/>
  <c r="C39" i="5" s="1"/>
  <c r="H176" i="6"/>
  <c r="H283" i="4"/>
  <c r="C283" i="4" s="1"/>
  <c r="H79" i="6"/>
  <c r="C79" i="6" s="1"/>
  <c r="H75" i="7"/>
  <c r="C75" i="7" s="1"/>
  <c r="E318" i="2" s="1"/>
  <c r="H72" i="6"/>
  <c r="C72" i="6" s="1"/>
  <c r="H172" i="7"/>
  <c r="C172" i="7" s="1"/>
  <c r="E664" i="2" s="1"/>
  <c r="H26" i="5"/>
  <c r="C26" i="5" s="1"/>
  <c r="E44" i="2" s="1"/>
  <c r="C292" i="3" s="1"/>
  <c r="H107" i="7"/>
  <c r="C107" i="7" s="1"/>
  <c r="E497" i="2" s="1"/>
  <c r="H197" i="5"/>
  <c r="C197" i="5" s="1"/>
  <c r="E726" i="2" s="1"/>
  <c r="H59" i="6"/>
  <c r="C59" i="6" s="1"/>
  <c r="E230" i="2" s="1"/>
  <c r="C211" i="3" s="1"/>
  <c r="H381" i="4"/>
  <c r="C381" i="4" s="1"/>
  <c r="H36" i="7"/>
  <c r="H20" i="5"/>
  <c r="C20" i="5" s="1"/>
  <c r="E35" i="2" s="1"/>
  <c r="C321" i="3" s="1"/>
  <c r="H69" i="5"/>
  <c r="H154" i="4"/>
  <c r="C154" i="4" s="1"/>
  <c r="H255" i="4"/>
  <c r="H133" i="4"/>
  <c r="C133" i="4" s="1"/>
  <c r="H254" i="4"/>
  <c r="C254" i="4" s="1"/>
  <c r="H138" i="4"/>
  <c r="C138" i="4" s="1"/>
  <c r="H186" i="7"/>
  <c r="C186" i="7" s="1"/>
  <c r="E696" i="2" s="1"/>
  <c r="H118" i="5"/>
  <c r="H220" i="6"/>
  <c r="C220" i="6" s="1"/>
  <c r="E729" i="2" s="1"/>
  <c r="H151" i="4"/>
  <c r="C151" i="4" s="1"/>
  <c r="H137" i="7"/>
  <c r="C137" i="7" s="1"/>
  <c r="E587" i="2" s="1"/>
  <c r="H56" i="6"/>
  <c r="H380" i="4"/>
  <c r="C380" i="4" s="1"/>
  <c r="H214" i="6"/>
  <c r="C214" i="6" s="1"/>
  <c r="E708" i="2" s="1"/>
  <c r="H50" i="6"/>
  <c r="C50" i="6" s="1"/>
  <c r="H71" i="5"/>
  <c r="C71" i="5" s="1"/>
  <c r="E343" i="2" s="1"/>
  <c r="H44" i="7"/>
  <c r="C44" i="7" s="1"/>
  <c r="E117" i="2" s="1"/>
  <c r="C12" i="3" s="1"/>
  <c r="H167" i="4"/>
  <c r="C167" i="4" s="1"/>
  <c r="H143" i="5"/>
  <c r="H139" i="5"/>
  <c r="C139" i="5" s="1"/>
  <c r="H37" i="4"/>
  <c r="C37" i="4" s="1"/>
  <c r="H222" i="6"/>
  <c r="C222" i="6" s="1"/>
  <c r="E712" i="2" s="1"/>
  <c r="H136" i="8"/>
  <c r="C136" i="8" s="1"/>
  <c r="E440" i="2" s="1"/>
  <c r="H224" i="4"/>
  <c r="C224" i="4" s="1"/>
  <c r="H139" i="6"/>
  <c r="C139" i="6" s="1"/>
  <c r="E535" i="2" s="1"/>
  <c r="H390" i="4"/>
  <c r="H31" i="8"/>
  <c r="C31" i="8" s="1"/>
  <c r="E97" i="2" s="1"/>
  <c r="C131" i="3" s="1"/>
  <c r="H11" i="6"/>
  <c r="C11" i="6" s="1"/>
  <c r="E36" i="2" s="1"/>
  <c r="C122" i="3" s="1"/>
  <c r="H170" i="5"/>
  <c r="C170" i="5" s="1"/>
  <c r="H67" i="7"/>
  <c r="C67" i="7" s="1"/>
  <c r="E223" i="2" s="1"/>
  <c r="H128" i="5"/>
  <c r="H101" i="8"/>
  <c r="C101" i="8" s="1"/>
  <c r="E287" i="2" s="1"/>
  <c r="H182" i="6"/>
  <c r="C182" i="6" s="1"/>
  <c r="H88" i="7"/>
  <c r="C88" i="7" s="1"/>
  <c r="E391" i="2" s="1"/>
  <c r="C67" i="3" s="1"/>
  <c r="H137" i="8"/>
  <c r="H216" i="4"/>
  <c r="C216" i="4" s="1"/>
  <c r="H204" i="4"/>
  <c r="C204" i="4" s="1"/>
  <c r="H125" i="6"/>
  <c r="C125" i="6" s="1"/>
  <c r="E473" i="2" s="1"/>
  <c r="H54" i="4"/>
  <c r="C54" i="4" s="1"/>
  <c r="H160" i="8"/>
  <c r="C160" i="8" s="1"/>
  <c r="E474" i="2" s="1"/>
  <c r="H400" i="4"/>
  <c r="C400" i="4" s="1"/>
  <c r="H15" i="8"/>
  <c r="C15" i="8" s="1"/>
  <c r="E55" i="2" s="1"/>
  <c r="H142" i="6"/>
  <c r="H130" i="8"/>
  <c r="C130" i="8" s="1"/>
  <c r="E407" i="2" s="1"/>
  <c r="H343" i="4"/>
  <c r="C343" i="4" s="1"/>
  <c r="H68" i="7"/>
  <c r="C68" i="7" s="1"/>
  <c r="E305" i="2" s="1"/>
  <c r="H14" i="4"/>
  <c r="C14" i="4" s="1"/>
  <c r="H193" i="5"/>
  <c r="H219" i="6"/>
  <c r="H96" i="6"/>
  <c r="C96" i="6" s="1"/>
  <c r="E427" i="2" s="1"/>
  <c r="H188" i="4"/>
  <c r="C188" i="4" s="1"/>
  <c r="H268" i="4"/>
  <c r="C268" i="4" s="1"/>
  <c r="H245" i="4"/>
  <c r="C245" i="4" s="1"/>
  <c r="H44" i="6"/>
  <c r="C44" i="6" s="1"/>
  <c r="E169" i="2" s="1"/>
  <c r="C269" i="3" s="1"/>
  <c r="H170" i="7"/>
  <c r="C170" i="7" s="1"/>
  <c r="E608" i="2" s="1"/>
  <c r="H176" i="4"/>
  <c r="C176" i="4" s="1"/>
  <c r="H93" i="6"/>
  <c r="C93" i="6" s="1"/>
  <c r="H119" i="5"/>
  <c r="H143" i="6"/>
  <c r="C143" i="6" s="1"/>
  <c r="E590" i="2" s="1"/>
  <c r="H195" i="4"/>
  <c r="H87" i="6"/>
  <c r="C87" i="6" s="1"/>
  <c r="E452" i="2" s="1"/>
  <c r="H221" i="6"/>
  <c r="C221" i="6" s="1"/>
  <c r="E705" i="2" s="1"/>
  <c r="H7" i="5"/>
  <c r="H164" i="6"/>
  <c r="C164" i="6" s="1"/>
  <c r="H411" i="4"/>
  <c r="C411" i="4" s="1"/>
  <c r="C51" i="8"/>
  <c r="E171" i="2" s="1"/>
  <c r="H10" i="5"/>
  <c r="C10" i="5" s="1"/>
  <c r="E31" i="2" s="1"/>
  <c r="C236" i="3" s="1"/>
  <c r="H47" i="6"/>
  <c r="C47" i="6" s="1"/>
  <c r="E157" i="2" s="1"/>
  <c r="C270" i="3" s="1"/>
  <c r="H132" i="6"/>
  <c r="C132" i="6" s="1"/>
  <c r="E584" i="2" s="1"/>
  <c r="H148" i="5"/>
  <c r="H100" i="6"/>
  <c r="C100" i="6" s="1"/>
  <c r="E466" i="2" s="1"/>
  <c r="H56" i="4"/>
  <c r="C56" i="4" s="1"/>
  <c r="H130" i="4"/>
  <c r="C130" i="4" s="1"/>
  <c r="H7" i="4"/>
  <c r="C7" i="4" s="1"/>
  <c r="H30" i="7"/>
  <c r="C30" i="7" s="1"/>
  <c r="E122" i="2" s="1"/>
  <c r="C242" i="3" s="1"/>
  <c r="H55" i="4"/>
  <c r="C55" i="4" s="1"/>
  <c r="H87" i="4"/>
  <c r="C87" i="4" s="1"/>
  <c r="H25" i="4"/>
  <c r="C25" i="4" s="1"/>
  <c r="H68" i="4"/>
  <c r="C68" i="4" s="1"/>
  <c r="H357" i="4"/>
  <c r="C357" i="4" s="1"/>
  <c r="H321" i="4"/>
  <c r="C321" i="4" s="1"/>
  <c r="H191" i="5"/>
  <c r="H64" i="6"/>
  <c r="C64" i="6" s="1"/>
  <c r="E213" i="2" s="1"/>
  <c r="H364" i="4"/>
  <c r="C364" i="4" s="1"/>
  <c r="H356" i="4"/>
  <c r="C356" i="4" s="1"/>
  <c r="H49" i="5"/>
  <c r="C49" i="5" s="1"/>
  <c r="H292" i="4"/>
  <c r="C292" i="4" s="1"/>
  <c r="H128" i="6"/>
  <c r="C128" i="6" s="1"/>
  <c r="E552" i="2" s="1"/>
  <c r="H352" i="4"/>
  <c r="C352" i="4" s="1"/>
  <c r="H166" i="5"/>
  <c r="C166" i="5" s="1"/>
  <c r="E673" i="2" s="1"/>
  <c r="H10" i="6"/>
  <c r="C10" i="6" s="1"/>
  <c r="E33" i="2" s="1"/>
  <c r="C93" i="3" s="1"/>
  <c r="H142" i="8"/>
  <c r="C142" i="8" s="1"/>
  <c r="E449" i="2" s="1"/>
  <c r="H79" i="5"/>
  <c r="C79" i="5" s="1"/>
  <c r="E363" i="2" s="1"/>
  <c r="H427" i="4"/>
  <c r="C427" i="4" s="1"/>
  <c r="H142" i="7"/>
  <c r="C142" i="7" s="1"/>
  <c r="E607" i="2" s="1"/>
  <c r="H59" i="8"/>
  <c r="C59" i="8" s="1"/>
  <c r="E214" i="2" s="1"/>
  <c r="C336" i="3" s="1"/>
  <c r="H118" i="4"/>
  <c r="C118" i="4" s="1"/>
  <c r="H378" i="4"/>
  <c r="H144" i="6"/>
  <c r="H194" i="4"/>
  <c r="C194" i="4" s="1"/>
  <c r="H99" i="8"/>
  <c r="C99" i="8" s="1"/>
  <c r="E326" i="2" s="1"/>
  <c r="H95" i="7"/>
  <c r="H158" i="7"/>
  <c r="C158" i="7" s="1"/>
  <c r="E605" i="2" s="1"/>
  <c r="H165" i="7"/>
  <c r="C165" i="7" s="1"/>
  <c r="E637" i="2" s="1"/>
  <c r="H4" i="7"/>
  <c r="C4" i="7" s="1"/>
  <c r="E8" i="2" s="1"/>
  <c r="C10" i="3" s="1"/>
  <c r="H392" i="4"/>
  <c r="C392" i="4" s="1"/>
  <c r="H75" i="6"/>
  <c r="C75" i="6" s="1"/>
  <c r="E348" i="2" s="1"/>
  <c r="H179" i="5"/>
  <c r="C179" i="5" s="1"/>
  <c r="H71" i="7"/>
  <c r="C71" i="7" s="1"/>
  <c r="E331" i="2" s="1"/>
  <c r="H77" i="4"/>
  <c r="C77" i="4" s="1"/>
  <c r="H164" i="5"/>
  <c r="H140" i="5"/>
  <c r="C140" i="5" s="1"/>
  <c r="H76" i="7"/>
  <c r="C76" i="7" s="1"/>
  <c r="E337" i="2" s="1"/>
  <c r="H127" i="8"/>
  <c r="C127" i="8" s="1"/>
  <c r="E394" i="2" s="1"/>
  <c r="H345" i="4"/>
  <c r="H82" i="8"/>
  <c r="C82" i="8" s="1"/>
  <c r="E251" i="2" s="1"/>
  <c r="H70" i="7"/>
  <c r="C70" i="7" s="1"/>
  <c r="E283" i="2" s="1"/>
  <c r="H53" i="8"/>
  <c r="C53" i="8" s="1"/>
  <c r="E217" i="2" s="1"/>
  <c r="H318" i="4"/>
  <c r="C318" i="4" s="1"/>
  <c r="H287" i="4"/>
  <c r="C287" i="4" s="1"/>
  <c r="H182" i="5"/>
  <c r="C182" i="5" s="1"/>
  <c r="E680" i="2" s="1"/>
  <c r="H149" i="4"/>
  <c r="C149" i="4" s="1"/>
  <c r="H231" i="4"/>
  <c r="C231" i="4" s="1"/>
  <c r="H187" i="4"/>
  <c r="C187" i="4" s="1"/>
  <c r="H137" i="4"/>
  <c r="C137" i="4" s="1"/>
  <c r="H76" i="5"/>
  <c r="H121" i="7"/>
  <c r="C121" i="7" s="1"/>
  <c r="E519" i="2" s="1"/>
  <c r="H94" i="4"/>
  <c r="C94" i="4" s="1"/>
  <c r="H66" i="5"/>
  <c r="C66" i="5" s="1"/>
  <c r="E299" i="2" s="1"/>
  <c r="H133" i="6"/>
  <c r="C133" i="6" s="1"/>
  <c r="E575" i="2" s="1"/>
  <c r="H288" i="4"/>
  <c r="H114" i="8"/>
  <c r="C114" i="8" s="1"/>
  <c r="E329" i="2" s="1"/>
  <c r="H67" i="6"/>
  <c r="C67" i="6" s="1"/>
  <c r="E255" i="2" s="1"/>
  <c r="H430" i="4"/>
  <c r="C430" i="4" s="1"/>
  <c r="H4" i="5"/>
  <c r="C4" i="5" s="1"/>
  <c r="H130" i="6"/>
  <c r="C130" i="6" s="1"/>
  <c r="E568" i="2" s="1"/>
  <c r="H331" i="4"/>
  <c r="C331" i="4" s="1"/>
  <c r="H74" i="5"/>
  <c r="C74" i="5" s="1"/>
  <c r="H158" i="6"/>
  <c r="H295" i="4"/>
  <c r="C295" i="4" s="1"/>
  <c r="H173" i="7"/>
  <c r="C173" i="7" s="1"/>
  <c r="E668" i="2" s="1"/>
  <c r="H41" i="7"/>
  <c r="C41" i="7" s="1"/>
  <c r="E166" i="2" s="1"/>
  <c r="C124" i="3" s="1"/>
  <c r="H334" i="4"/>
  <c r="H126" i="4"/>
  <c r="C126" i="4" s="1"/>
  <c r="H271" i="4"/>
  <c r="C271" i="4" s="1"/>
  <c r="H82" i="6"/>
  <c r="C82" i="6" s="1"/>
  <c r="E382" i="2" s="1"/>
  <c r="H139" i="7"/>
  <c r="H129" i="7"/>
  <c r="C129" i="7" s="1"/>
  <c r="E591" i="2" s="1"/>
  <c r="H22" i="6"/>
  <c r="C22" i="6" s="1"/>
  <c r="H341" i="4"/>
  <c r="C341" i="4" s="1"/>
  <c r="H171" i="4"/>
  <c r="H183" i="4"/>
  <c r="C183" i="4" s="1"/>
  <c r="H107" i="5"/>
  <c r="C107" i="5" s="1"/>
  <c r="H211" i="4"/>
  <c r="C211" i="4" s="1"/>
  <c r="H176" i="7"/>
  <c r="H131" i="8"/>
  <c r="H167" i="7"/>
  <c r="C167" i="7" s="1"/>
  <c r="E643" i="2" s="1"/>
  <c r="H30" i="4"/>
  <c r="C30" i="4" s="1"/>
  <c r="H166" i="7"/>
  <c r="C166" i="7" s="1"/>
  <c r="E665" i="2" s="1"/>
  <c r="H21" i="4"/>
  <c r="C21" i="4" s="1"/>
  <c r="H113" i="6"/>
  <c r="C113" i="6" s="1"/>
  <c r="E463" i="2" s="1"/>
  <c r="H101" i="5"/>
  <c r="H328" i="4"/>
  <c r="H30" i="5"/>
  <c r="C30" i="5" s="1"/>
  <c r="H182" i="4"/>
  <c r="C182" i="4" s="1"/>
  <c r="H192" i="5"/>
  <c r="C192" i="5" s="1"/>
  <c r="E677" i="2" s="1"/>
  <c r="H126" i="7"/>
  <c r="C126" i="7" s="1"/>
  <c r="E553" i="2" s="1"/>
  <c r="H44" i="8"/>
  <c r="H179" i="6"/>
  <c r="C179" i="6" s="1"/>
  <c r="H155" i="4"/>
  <c r="C155" i="4" s="1"/>
  <c r="H111" i="8"/>
  <c r="C111" i="8" s="1"/>
  <c r="E379" i="2" s="1"/>
  <c r="H9" i="5"/>
  <c r="C9" i="5" s="1"/>
  <c r="H272" i="4"/>
  <c r="C272" i="4" s="1"/>
  <c r="H203" i="4"/>
  <c r="C203" i="4" s="1"/>
  <c r="H22" i="8"/>
  <c r="C22" i="8" s="1"/>
  <c r="E62" i="2" s="1"/>
  <c r="C219" i="3" s="1"/>
  <c r="H156" i="8"/>
  <c r="C156" i="8" s="1"/>
  <c r="E469" i="2" s="1"/>
  <c r="H93" i="5"/>
  <c r="C93" i="5" s="1"/>
  <c r="E385" i="2" s="1"/>
  <c r="C212" i="6"/>
  <c r="E686" i="2" s="1"/>
  <c r="H103" i="5"/>
  <c r="C103" i="5" s="1"/>
  <c r="H227" i="4"/>
  <c r="C227" i="4" s="1"/>
  <c r="C124" i="8"/>
  <c r="E390" i="2" s="1"/>
  <c r="H70" i="5"/>
  <c r="C70" i="5" s="1"/>
  <c r="E149" i="2" s="1"/>
  <c r="C323" i="3" s="1"/>
  <c r="H69" i="4"/>
  <c r="C69" i="4" s="1"/>
  <c r="H394" i="4"/>
  <c r="C394" i="4" s="1"/>
  <c r="H148" i="7"/>
  <c r="C148" i="7" s="1"/>
  <c r="E593" i="2" s="1"/>
  <c r="H182" i="7"/>
  <c r="C182" i="7" s="1"/>
  <c r="E707" i="2" s="1"/>
  <c r="H367" i="4"/>
  <c r="C367" i="4" s="1"/>
  <c r="H235" i="4"/>
  <c r="C235" i="4" s="1"/>
  <c r="H109" i="4"/>
  <c r="C109" i="4" s="1"/>
  <c r="H196" i="6"/>
  <c r="H337" i="4"/>
  <c r="H326" i="4"/>
  <c r="C326" i="4" s="1"/>
  <c r="C198" i="4"/>
  <c r="H360" i="4"/>
  <c r="C360" i="4" s="1"/>
  <c r="H373" i="4"/>
  <c r="H96" i="5"/>
  <c r="C96" i="5" s="1"/>
  <c r="H31" i="5"/>
  <c r="C31" i="5" s="1"/>
  <c r="E74" i="2" s="1"/>
  <c r="C89" i="3" s="1"/>
  <c r="H64" i="5"/>
  <c r="C64" i="5" s="1"/>
  <c r="E263" i="2" s="1"/>
  <c r="C62" i="3" s="1"/>
  <c r="H4" i="6"/>
  <c r="C4" i="6" s="1"/>
  <c r="H92" i="4"/>
  <c r="C92" i="4" s="1"/>
  <c r="C176" i="8"/>
  <c r="E455" i="2" s="1"/>
  <c r="H21" i="7"/>
  <c r="C21" i="7" s="1"/>
  <c r="E91" i="2" s="1"/>
  <c r="C41" i="3" s="1"/>
  <c r="H323" i="4"/>
  <c r="C323" i="4" s="1"/>
  <c r="H66" i="4"/>
  <c r="C66" i="4" s="1"/>
  <c r="H38" i="7"/>
  <c r="C38" i="7" s="1"/>
  <c r="E134" i="2" s="1"/>
  <c r="C40" i="3" s="1"/>
  <c r="H192" i="4"/>
  <c r="C192" i="4" s="1"/>
  <c r="H12" i="6"/>
  <c r="H36" i="6"/>
  <c r="C36" i="6" s="1"/>
  <c r="H187" i="6"/>
  <c r="C187" i="6" s="1"/>
  <c r="E631" i="2" s="1"/>
  <c r="H327" i="4"/>
  <c r="H168" i="6"/>
  <c r="C168" i="6" s="1"/>
  <c r="E655" i="2" s="1"/>
  <c r="H192" i="6"/>
  <c r="C192" i="6" s="1"/>
  <c r="E615" i="2" s="1"/>
  <c r="H171" i="5"/>
  <c r="C171" i="5" s="1"/>
  <c r="H100" i="4"/>
  <c r="C100" i="4" s="1"/>
  <c r="H157" i="6"/>
  <c r="C157" i="6" s="1"/>
  <c r="E627" i="2" s="1"/>
  <c r="C50" i="4"/>
  <c r="H169" i="5"/>
  <c r="C169" i="5" s="1"/>
  <c r="E663" i="2" s="1"/>
  <c r="H349" i="4"/>
  <c r="C349" i="4" s="1"/>
  <c r="H303" i="4"/>
  <c r="C303" i="4" s="1"/>
  <c r="H408" i="4"/>
  <c r="C408" i="4" s="1"/>
  <c r="H30" i="8"/>
  <c r="C30" i="8" s="1"/>
  <c r="E131" i="2" s="1"/>
  <c r="C160" i="3" s="1"/>
  <c r="H181" i="4"/>
  <c r="C181" i="4" s="1"/>
  <c r="H207" i="5"/>
  <c r="C207" i="5" s="1"/>
  <c r="E721" i="2" s="1"/>
  <c r="H354" i="4"/>
  <c r="C354" i="4" s="1"/>
  <c r="H144" i="8"/>
  <c r="C144" i="8" s="1"/>
  <c r="E401" i="2" s="1"/>
  <c r="H58" i="5"/>
  <c r="C58" i="5" s="1"/>
  <c r="E191" i="2" s="1"/>
  <c r="H204" i="6"/>
  <c r="C204" i="6" s="1"/>
  <c r="E678" i="2" s="1"/>
  <c r="H33" i="4"/>
  <c r="C33" i="4" s="1"/>
  <c r="H95" i="5"/>
  <c r="C95" i="5" s="1"/>
  <c r="H201" i="8"/>
  <c r="C201" i="8" s="1"/>
  <c r="E499" i="2" s="1"/>
  <c r="H329" i="4"/>
  <c r="C329" i="4" s="1"/>
  <c r="H301" i="4"/>
  <c r="C301" i="4" s="1"/>
  <c r="H199" i="8"/>
  <c r="C199" i="8" s="1"/>
  <c r="E501" i="2" s="1"/>
  <c r="H178" i="7"/>
  <c r="C178" i="7" s="1"/>
  <c r="E699" i="2" s="1"/>
  <c r="H13" i="4"/>
  <c r="C13" i="4" s="1"/>
  <c r="H202" i="6"/>
  <c r="C202" i="6" s="1"/>
  <c r="E692" i="2" s="1"/>
  <c r="H39" i="6"/>
  <c r="C39" i="6" s="1"/>
  <c r="E141" i="2" s="1"/>
  <c r="C205" i="3" s="1"/>
  <c r="H149" i="6"/>
  <c r="C149" i="6" s="1"/>
  <c r="E542" i="2" s="1"/>
  <c r="H39" i="8"/>
  <c r="C39" i="8" s="1"/>
  <c r="E130" i="2" s="1"/>
  <c r="H167" i="5"/>
  <c r="C167" i="5" s="1"/>
  <c r="H236" i="4"/>
  <c r="C236" i="4" s="1"/>
  <c r="H152" i="5"/>
  <c r="H167" i="8"/>
  <c r="C167" i="8" s="1"/>
  <c r="E491" i="2" s="1"/>
  <c r="H167" i="6"/>
  <c r="H152" i="6"/>
  <c r="C152" i="6" s="1"/>
  <c r="H258" i="4"/>
  <c r="C258" i="4" s="1"/>
  <c r="H73" i="5"/>
  <c r="C73" i="5" s="1"/>
  <c r="E301" i="2" s="1"/>
  <c r="H112" i="5"/>
  <c r="C112" i="5" s="1"/>
  <c r="H94" i="6"/>
  <c r="C94" i="6" s="1"/>
  <c r="H63" i="7"/>
  <c r="H74" i="7"/>
  <c r="C74" i="7" s="1"/>
  <c r="E288" i="2" s="1"/>
  <c r="C243" i="3" s="1"/>
  <c r="H181" i="6"/>
  <c r="C181" i="6" s="1"/>
  <c r="H158" i="4"/>
  <c r="C158" i="4" s="1"/>
  <c r="H372" i="4"/>
  <c r="C372" i="4" s="1"/>
  <c r="H48" i="5"/>
  <c r="C48" i="5" s="1"/>
  <c r="H68" i="8"/>
  <c r="C68" i="8" s="1"/>
  <c r="E203" i="2" s="1"/>
  <c r="H29" i="8"/>
  <c r="C29" i="8" s="1"/>
  <c r="E85" i="2" s="1"/>
  <c r="C278" i="3" s="1"/>
  <c r="H153" i="6"/>
  <c r="C153" i="6" s="1"/>
  <c r="H45" i="8"/>
  <c r="C45" i="8" s="1"/>
  <c r="E195" i="2" s="1"/>
  <c r="C132" i="3" s="1"/>
  <c r="H330" i="4"/>
  <c r="C330" i="4" s="1"/>
  <c r="H208" i="5"/>
  <c r="C208" i="5" s="1"/>
  <c r="H4" i="4"/>
  <c r="C4" i="4" s="1"/>
  <c r="H350" i="4"/>
  <c r="C350" i="4" s="1"/>
  <c r="H156" i="7"/>
  <c r="C156" i="7" s="1"/>
  <c r="E601" i="2" s="1"/>
  <c r="H74" i="6"/>
  <c r="C74" i="6" s="1"/>
  <c r="H147" i="5"/>
  <c r="C147" i="5" s="1"/>
  <c r="H138" i="7"/>
  <c r="C138" i="7" s="1"/>
  <c r="E599" i="2" s="1"/>
  <c r="H6" i="4"/>
  <c r="C6" i="4" s="1"/>
  <c r="H173" i="6"/>
  <c r="C173" i="6" s="1"/>
  <c r="E628" i="2" s="1"/>
  <c r="H63" i="6"/>
  <c r="C63" i="6" s="1"/>
  <c r="E234" i="2" s="1"/>
  <c r="C328" i="3" s="1"/>
  <c r="H60" i="8"/>
  <c r="C60" i="8" s="1"/>
  <c r="E206" i="2" s="1"/>
  <c r="H127" i="7"/>
  <c r="C127" i="7" s="1"/>
  <c r="E583" i="2" s="1"/>
  <c r="H84" i="8"/>
  <c r="C84" i="8" s="1"/>
  <c r="E198" i="2" s="1"/>
  <c r="H114" i="5"/>
  <c r="C114" i="5" s="1"/>
  <c r="H13" i="7"/>
  <c r="C13" i="7" s="1"/>
  <c r="E46" i="2" s="1"/>
  <c r="C37" i="3" s="1"/>
  <c r="H178" i="6"/>
  <c r="C178" i="6" s="1"/>
  <c r="E670" i="2" s="1"/>
  <c r="H84" i="7"/>
  <c r="C84" i="7" s="1"/>
  <c r="E323" i="2" s="1"/>
  <c r="H91" i="5"/>
  <c r="C91" i="5" s="1"/>
  <c r="E448" i="2" s="1"/>
  <c r="H119" i="6"/>
  <c r="C119" i="6" s="1"/>
  <c r="E550" i="2" s="1"/>
  <c r="H110" i="6"/>
  <c r="C110" i="6" s="1"/>
  <c r="E386" i="2" s="1"/>
  <c r="H226" i="6"/>
  <c r="C226" i="6" s="1"/>
  <c r="H52" i="4"/>
  <c r="C52" i="4" s="1"/>
  <c r="H18" i="5"/>
  <c r="C18" i="5" s="1"/>
  <c r="E45" i="2" s="1"/>
  <c r="C235" i="3" s="1"/>
  <c r="H226" i="4"/>
  <c r="C226" i="4" s="1"/>
  <c r="H38" i="4"/>
  <c r="C38" i="4" s="1"/>
  <c r="H9" i="6"/>
  <c r="C9" i="6" s="1"/>
  <c r="E29" i="2" s="1"/>
  <c r="C152" i="3" s="1"/>
  <c r="H284" i="4"/>
  <c r="C284" i="4" s="1"/>
  <c r="H28" i="4"/>
  <c r="C28" i="4" s="1"/>
  <c r="H105" i="4"/>
  <c r="C105" i="4" s="1"/>
  <c r="H63" i="4"/>
  <c r="C63" i="4" s="1"/>
  <c r="H159" i="5"/>
  <c r="C159" i="5" s="1"/>
  <c r="H29" i="6"/>
  <c r="C29" i="6" s="1"/>
  <c r="E109" i="2" s="1"/>
  <c r="C123" i="3" s="1"/>
  <c r="H90" i="5"/>
  <c r="C90" i="5" s="1"/>
  <c r="H205" i="5"/>
  <c r="C205" i="5" s="1"/>
  <c r="E714" i="2" s="1"/>
  <c r="H76" i="4"/>
  <c r="C76" i="4" s="1"/>
  <c r="H108" i="8"/>
  <c r="C108" i="8" s="1"/>
  <c r="E373" i="2" s="1"/>
  <c r="H162" i="7"/>
  <c r="C162" i="7" s="1"/>
  <c r="E630" i="2" s="1"/>
  <c r="H76" i="6"/>
  <c r="C76" i="6" s="1"/>
  <c r="E286" i="2" s="1"/>
  <c r="C296" i="3" s="1"/>
  <c r="H110" i="4"/>
  <c r="C110" i="4" s="1"/>
  <c r="H7" i="7"/>
  <c r="C7" i="7" s="1"/>
  <c r="E15" i="2" s="1"/>
  <c r="C264" i="3" s="1"/>
  <c r="H146" i="6"/>
  <c r="C146" i="6" s="1"/>
  <c r="E571" i="2" s="1"/>
  <c r="H100" i="5"/>
  <c r="C100" i="5" s="1"/>
  <c r="H55" i="8"/>
  <c r="C55" i="8" s="1"/>
  <c r="E246" i="2" s="1"/>
  <c r="C74" i="3" s="1"/>
  <c r="H65" i="8"/>
  <c r="C65" i="8" s="1"/>
  <c r="E254" i="2" s="1"/>
  <c r="H14" i="8"/>
  <c r="C14" i="8" s="1"/>
  <c r="E41" i="2" s="1"/>
  <c r="C247" i="3" s="1"/>
  <c r="H69" i="8"/>
  <c r="C69" i="8" s="1"/>
  <c r="E231" i="2" s="1"/>
  <c r="H173" i="5"/>
  <c r="C173" i="5" s="1"/>
  <c r="H5" i="4"/>
  <c r="C5" i="4" s="1"/>
  <c r="H10" i="4"/>
  <c r="C10" i="4" s="1"/>
  <c r="H17" i="4"/>
  <c r="H91" i="4"/>
  <c r="C91" i="4" s="1"/>
  <c r="C42" i="6"/>
  <c r="E138" i="2" s="1"/>
  <c r="C241" i="3" s="1"/>
  <c r="H419" i="4"/>
  <c r="C419" i="4" s="1"/>
  <c r="H129" i="4"/>
  <c r="C129" i="4" s="1"/>
  <c r="H174" i="4"/>
  <c r="C174" i="4" s="1"/>
  <c r="H108" i="4"/>
  <c r="C108" i="4" s="1"/>
  <c r="C142" i="6"/>
  <c r="C209" i="6"/>
  <c r="E671" i="2" s="1"/>
  <c r="H176" i="5"/>
  <c r="C176" i="5" s="1"/>
  <c r="E675" i="2" s="1"/>
  <c r="H97" i="4"/>
  <c r="C97" i="4" s="1"/>
  <c r="C277" i="4"/>
  <c r="C195" i="4"/>
  <c r="H115" i="5"/>
  <c r="C115" i="5" s="1"/>
  <c r="E545" i="2" s="1"/>
  <c r="H52" i="5"/>
  <c r="C52" i="5" s="1"/>
  <c r="E211" i="2" s="1"/>
  <c r="C207" i="3" s="1"/>
  <c r="H116" i="4"/>
  <c r="C116" i="4" s="1"/>
  <c r="H369" i="4"/>
  <c r="C369" i="4" s="1"/>
  <c r="H175" i="6"/>
  <c r="H157" i="5"/>
  <c r="C157" i="5" s="1"/>
  <c r="E639" i="2" s="1"/>
  <c r="H89" i="4"/>
  <c r="C89" i="4" s="1"/>
  <c r="C141" i="7"/>
  <c r="E622" i="2" s="1"/>
  <c r="C98" i="5"/>
  <c r="H197" i="4"/>
  <c r="C197" i="4" s="1"/>
  <c r="H188" i="6"/>
  <c r="C188" i="6" s="1"/>
  <c r="E682" i="2" s="1"/>
  <c r="H199" i="6"/>
  <c r="C199" i="6" s="1"/>
  <c r="E609" i="2" s="1"/>
  <c r="C95" i="6"/>
  <c r="E482" i="2" s="1"/>
  <c r="H276" i="4"/>
  <c r="C276" i="4" s="1"/>
  <c r="H61" i="4"/>
  <c r="C61" i="4" s="1"/>
  <c r="C113" i="8"/>
  <c r="E358" i="2" s="1"/>
  <c r="C134" i="6"/>
  <c r="H3" i="7"/>
  <c r="C3" i="7" s="1"/>
  <c r="H40" i="7"/>
  <c r="C40" i="7" s="1"/>
  <c r="E162" i="2" s="1"/>
  <c r="H135" i="4"/>
  <c r="C135" i="4" s="1"/>
  <c r="H154" i="7"/>
  <c r="C154" i="7" s="1"/>
  <c r="E667" i="2" s="1"/>
  <c r="C180" i="7"/>
  <c r="E693" i="2" s="1"/>
  <c r="H34" i="5"/>
  <c r="C34" i="5" s="1"/>
  <c r="H172" i="4"/>
  <c r="H386" i="4"/>
  <c r="C386" i="4" s="1"/>
  <c r="H98" i="6"/>
  <c r="C98" i="6" s="1"/>
  <c r="H29" i="7"/>
  <c r="C29" i="7" s="1"/>
  <c r="E114" i="2" s="1"/>
  <c r="C35" i="3" s="1"/>
  <c r="H158" i="5"/>
  <c r="C158" i="5" s="1"/>
  <c r="E645" i="2" s="1"/>
  <c r="H46" i="7"/>
  <c r="C46" i="7" s="1"/>
  <c r="E210" i="2" s="1"/>
  <c r="H358" i="4"/>
  <c r="C358" i="4" s="1"/>
  <c r="C142" i="5"/>
  <c r="H209" i="4"/>
  <c r="C209" i="4" s="1"/>
  <c r="C62" i="4"/>
  <c r="C215" i="6"/>
  <c r="E717" i="2" s="1"/>
  <c r="H183" i="6"/>
  <c r="C183" i="6" s="1"/>
  <c r="E656" i="2" s="1"/>
  <c r="H143" i="7"/>
  <c r="C143" i="7" s="1"/>
  <c r="E616" i="2" s="1"/>
  <c r="H181" i="7"/>
  <c r="C181" i="7" s="1"/>
  <c r="E690" i="2" s="1"/>
  <c r="H260" i="4"/>
  <c r="H325" i="4"/>
  <c r="C325" i="4" s="1"/>
  <c r="H91" i="6"/>
  <c r="C91" i="6" s="1"/>
  <c r="H46" i="4"/>
  <c r="C46" i="4" s="1"/>
  <c r="H134" i="8"/>
  <c r="C134" i="8" s="1"/>
  <c r="E411" i="2" s="1"/>
  <c r="H185" i="6"/>
  <c r="C185" i="6" s="1"/>
  <c r="E681" i="2" s="1"/>
  <c r="H170" i="4"/>
  <c r="C170" i="4" s="1"/>
  <c r="H388" i="4"/>
  <c r="C388" i="4" s="1"/>
  <c r="H102" i="8"/>
  <c r="C102" i="8" s="1"/>
  <c r="E336" i="2" s="1"/>
  <c r="H308" i="4"/>
  <c r="C308" i="4" s="1"/>
  <c r="H18" i="6"/>
  <c r="C18" i="6" s="1"/>
  <c r="E49" i="2" s="1"/>
  <c r="C151" i="3" s="1"/>
  <c r="H99" i="6"/>
  <c r="C99" i="6" s="1"/>
  <c r="E446" i="2" s="1"/>
  <c r="H199" i="5"/>
  <c r="C199" i="5" s="1"/>
  <c r="E697" i="2" s="1"/>
  <c r="H160" i="5"/>
  <c r="C160" i="5" s="1"/>
  <c r="E659" i="2" s="1"/>
  <c r="H161" i="6"/>
  <c r="C161" i="6" s="1"/>
  <c r="E551" i="2" s="1"/>
  <c r="H344" i="4"/>
  <c r="C344" i="4" s="1"/>
  <c r="H6" i="6"/>
  <c r="C6" i="6" s="1"/>
  <c r="E16" i="2" s="1"/>
  <c r="C153" i="3" s="1"/>
  <c r="H84" i="4"/>
  <c r="C84" i="4" s="1"/>
  <c r="H47" i="8"/>
  <c r="C47" i="8" s="1"/>
  <c r="E174" i="2" s="1"/>
  <c r="H156" i="4"/>
  <c r="C156" i="4" s="1"/>
  <c r="H180" i="6"/>
  <c r="C180" i="6" s="1"/>
  <c r="E619" i="2" s="1"/>
  <c r="H126" i="6"/>
  <c r="C126" i="6" s="1"/>
  <c r="E541" i="2" s="1"/>
  <c r="H315" i="4"/>
  <c r="C315" i="4" s="1"/>
  <c r="H80" i="8"/>
  <c r="C80" i="8" s="1"/>
  <c r="E300" i="2" s="1"/>
  <c r="H24" i="8"/>
  <c r="C24" i="8" s="1"/>
  <c r="E93" i="2" s="1"/>
  <c r="C16" i="3" s="1"/>
  <c r="H75" i="4"/>
  <c r="C75" i="4" s="1"/>
  <c r="H99" i="5"/>
  <c r="C99" i="5" s="1"/>
  <c r="H152" i="7"/>
  <c r="C152" i="7" s="1"/>
  <c r="E624" i="2" s="1"/>
  <c r="H133" i="7"/>
  <c r="C133" i="7" s="1"/>
  <c r="E586" i="2" s="1"/>
  <c r="H125" i="5"/>
  <c r="C125" i="5" s="1"/>
  <c r="H156" i="5"/>
  <c r="C156" i="5" s="1"/>
  <c r="E648" i="2" s="1"/>
  <c r="H123" i="6"/>
  <c r="C123" i="6" s="1"/>
  <c r="E467" i="2" s="1"/>
  <c r="H92" i="7"/>
  <c r="C92" i="7" s="1"/>
  <c r="E402" i="2" s="1"/>
  <c r="H42" i="4"/>
  <c r="C42" i="4" s="1"/>
  <c r="H232" i="4"/>
  <c r="C232" i="4" s="1"/>
  <c r="H346" i="4"/>
  <c r="C346" i="4" s="1"/>
  <c r="H44" i="4"/>
  <c r="C44" i="4" s="1"/>
  <c r="H78" i="5"/>
  <c r="C78" i="5" s="1"/>
  <c r="H177" i="5"/>
  <c r="C177" i="5" s="1"/>
  <c r="E687" i="2" s="1"/>
  <c r="H49" i="6"/>
  <c r="C49" i="6" s="1"/>
  <c r="E177" i="2" s="1"/>
  <c r="C91" i="3" s="1"/>
  <c r="H134" i="7"/>
  <c r="C134" i="7" s="1"/>
  <c r="E581" i="2" s="1"/>
  <c r="H128" i="8"/>
  <c r="C128" i="8" s="1"/>
  <c r="E413" i="2" s="1"/>
  <c r="H171" i="6"/>
  <c r="C171" i="6" s="1"/>
  <c r="E576" i="2" s="1"/>
  <c r="H189" i="7"/>
  <c r="C189" i="7" s="1"/>
  <c r="E718" i="2" s="1"/>
  <c r="H3" i="6"/>
  <c r="C3" i="6" s="1"/>
  <c r="H184" i="6"/>
  <c r="C184" i="6" s="1"/>
  <c r="E674" i="2" s="1"/>
  <c r="H40" i="8"/>
  <c r="H72" i="7"/>
  <c r="C72" i="7" s="1"/>
  <c r="E319" i="2" s="1"/>
  <c r="C66" i="3" s="1"/>
  <c r="H309" i="4"/>
  <c r="C309" i="4" s="1"/>
  <c r="H214" i="8"/>
  <c r="C214" i="8" s="1"/>
  <c r="E546" i="2" s="1"/>
  <c r="H134" i="4"/>
  <c r="C134" i="4" s="1"/>
  <c r="H96" i="8"/>
  <c r="C96" i="8" s="1"/>
  <c r="E325" i="2" s="1"/>
  <c r="H6" i="5"/>
  <c r="C6" i="5" s="1"/>
  <c r="E5" i="2" s="1"/>
  <c r="C176" i="3" s="1"/>
  <c r="H163" i="5"/>
  <c r="C163" i="5" s="1"/>
  <c r="H58" i="8"/>
  <c r="C58" i="8" s="1"/>
  <c r="E225" i="2" s="1"/>
  <c r="H252" i="4"/>
  <c r="C252" i="4" s="1"/>
  <c r="H145" i="6"/>
  <c r="C145" i="6" s="1"/>
  <c r="H200" i="8"/>
  <c r="C200" i="8" s="1"/>
  <c r="E549" i="2" s="1"/>
  <c r="H233" i="4"/>
  <c r="C233" i="4" s="1"/>
  <c r="H225" i="4"/>
  <c r="C225" i="4" s="1"/>
  <c r="H177" i="4"/>
  <c r="C177" i="4" s="1"/>
  <c r="H29" i="5"/>
  <c r="C29" i="5" s="1"/>
  <c r="E42" i="2" s="1"/>
  <c r="C149" i="3" s="1"/>
  <c r="H37" i="8"/>
  <c r="C37" i="8" s="1"/>
  <c r="E155" i="2" s="1"/>
  <c r="H164" i="4"/>
  <c r="C164" i="4" s="1"/>
  <c r="H3" i="4"/>
  <c r="C3" i="4" s="1"/>
  <c r="H409" i="4"/>
  <c r="C409" i="4" s="1"/>
  <c r="H332" i="4"/>
  <c r="C332" i="4" s="1"/>
  <c r="H429" i="4"/>
  <c r="C429" i="4" s="1"/>
  <c r="H28" i="5"/>
  <c r="C28" i="5" s="1"/>
  <c r="E104" i="2" s="1"/>
  <c r="C206" i="3" s="1"/>
  <c r="H45" i="4"/>
  <c r="C45" i="4" s="1"/>
  <c r="H108" i="5"/>
  <c r="C108" i="5" s="1"/>
  <c r="H22" i="5"/>
  <c r="C22" i="5" s="1"/>
  <c r="E58" i="2" s="1"/>
  <c r="C60" i="3" s="1"/>
  <c r="H150" i="6"/>
  <c r="H15" i="6"/>
  <c r="C15" i="6" s="1"/>
  <c r="H51" i="5"/>
  <c r="C51" i="5" s="1"/>
  <c r="E209" i="2" s="1"/>
  <c r="C32" i="3" s="1"/>
  <c r="H33" i="5"/>
  <c r="C33" i="5" s="1"/>
  <c r="H170" i="6"/>
  <c r="C170" i="6" s="1"/>
  <c r="E617" i="2" s="1"/>
  <c r="H92" i="6"/>
  <c r="C92" i="6" s="1"/>
  <c r="E424" i="2" s="1"/>
  <c r="H425" i="4"/>
  <c r="C425" i="4" s="1"/>
  <c r="H38" i="6"/>
  <c r="C38" i="6" s="1"/>
  <c r="H399" i="4"/>
  <c r="C399" i="4" s="1"/>
  <c r="H246" i="4"/>
  <c r="C246" i="4" s="1"/>
  <c r="H219" i="4"/>
  <c r="C219" i="4" s="1"/>
  <c r="H52" i="7"/>
  <c r="C52" i="7" s="1"/>
  <c r="E215" i="2" s="1"/>
  <c r="H140" i="4"/>
  <c r="C140" i="4" s="1"/>
  <c r="H24" i="5"/>
  <c r="C24" i="5" s="1"/>
  <c r="E52" i="2" s="1"/>
  <c r="C234" i="3" s="1"/>
  <c r="H107" i="6"/>
  <c r="C107" i="6" s="1"/>
  <c r="H3" i="8"/>
  <c r="C3" i="8" s="1"/>
  <c r="H73" i="4"/>
  <c r="C73" i="4" s="1"/>
  <c r="H173" i="4"/>
  <c r="C173" i="4" s="1"/>
  <c r="H80" i="6"/>
  <c r="C80" i="6" s="1"/>
  <c r="H134" i="5"/>
  <c r="C134" i="5" s="1"/>
  <c r="C101" i="5"/>
  <c r="E393" i="2" s="1"/>
  <c r="C324" i="3" s="1"/>
  <c r="H70" i="4"/>
  <c r="C70" i="4" s="1"/>
  <c r="H200" i="6"/>
  <c r="C200" i="6" s="1"/>
  <c r="E518" i="2" s="1"/>
  <c r="H174" i="7"/>
  <c r="C174" i="7" s="1"/>
  <c r="E620" i="2" s="1"/>
  <c r="H144" i="5"/>
  <c r="C144" i="5" s="1"/>
  <c r="H59" i="7"/>
  <c r="C59" i="7" s="1"/>
  <c r="E289" i="2" s="1"/>
  <c r="H86" i="6"/>
  <c r="C86" i="6" s="1"/>
  <c r="H57" i="6"/>
  <c r="C57" i="6" s="1"/>
  <c r="H11" i="4"/>
  <c r="C11" i="4" s="1"/>
  <c r="H52" i="6"/>
  <c r="C52" i="6" s="1"/>
  <c r="C16" i="5"/>
  <c r="C88" i="5"/>
  <c r="C175" i="5"/>
  <c r="C201" i="5"/>
  <c r="C150" i="7"/>
  <c r="E618" i="2" s="1"/>
  <c r="C269" i="4"/>
  <c r="C109" i="7"/>
  <c r="E405" i="2" s="1"/>
  <c r="H57" i="5"/>
  <c r="C57" i="5" s="1"/>
  <c r="E282" i="2" s="1"/>
  <c r="C226" i="8"/>
  <c r="E573" i="2" s="1"/>
  <c r="H366" i="4"/>
  <c r="C366" i="4" s="1"/>
  <c r="C217" i="6"/>
  <c r="E653" i="2" s="1"/>
  <c r="H383" i="4"/>
  <c r="C383" i="4" s="1"/>
  <c r="H46" i="6"/>
  <c r="C46" i="6" s="1"/>
  <c r="E159" i="2" s="1"/>
  <c r="C298" i="3" s="1"/>
  <c r="H162" i="4"/>
  <c r="C162" i="4" s="1"/>
  <c r="H238" i="4"/>
  <c r="C238" i="4" s="1"/>
  <c r="H205" i="4"/>
  <c r="C205" i="4" s="1"/>
  <c r="H229" i="4"/>
  <c r="C229" i="4" s="1"/>
  <c r="H151" i="5"/>
  <c r="C151" i="5" s="1"/>
  <c r="H152" i="4"/>
  <c r="C152" i="4" s="1"/>
  <c r="C95" i="8"/>
  <c r="E344" i="2" s="1"/>
  <c r="H135" i="5"/>
  <c r="C135" i="5" s="1"/>
  <c r="E530" i="2" s="1"/>
  <c r="H24" i="7"/>
  <c r="C24" i="7" s="1"/>
  <c r="E108" i="2" s="1"/>
  <c r="C97" i="3" s="1"/>
  <c r="H57" i="4"/>
  <c r="C57" i="4" s="1"/>
  <c r="C40" i="4"/>
  <c r="H169" i="4"/>
  <c r="C169" i="4" s="1"/>
  <c r="H68" i="5"/>
  <c r="C68" i="5" s="1"/>
  <c r="H27" i="7"/>
  <c r="C27" i="7" s="1"/>
  <c r="E84" i="2" s="1"/>
  <c r="C295" i="3" s="1"/>
  <c r="H208" i="6"/>
  <c r="C208" i="6" s="1"/>
  <c r="E703" i="2" s="1"/>
  <c r="H94" i="7"/>
  <c r="C94" i="7" s="1"/>
  <c r="E450" i="2" s="1"/>
  <c r="H169" i="7"/>
  <c r="C169" i="7" s="1"/>
  <c r="E641" i="2" s="1"/>
  <c r="C121" i="8"/>
  <c r="E414" i="2" s="1"/>
  <c r="H102" i="7"/>
  <c r="C102" i="7" s="1"/>
  <c r="E398" i="2" s="1"/>
  <c r="C63" i="8"/>
  <c r="E279" i="2" s="1"/>
  <c r="C294" i="4"/>
  <c r="H340" i="4"/>
  <c r="C340" i="4" s="1"/>
  <c r="C191" i="5"/>
  <c r="E704" i="2" s="1"/>
  <c r="C95" i="7"/>
  <c r="E431" i="2" s="1"/>
  <c r="H121" i="4"/>
  <c r="C121" i="4" s="1"/>
  <c r="H138" i="6"/>
  <c r="C138" i="6" s="1"/>
  <c r="E567" i="2" s="1"/>
  <c r="H169" i="6"/>
  <c r="C169" i="6" s="1"/>
  <c r="H89" i="7"/>
  <c r="C89" i="7" s="1"/>
  <c r="E335" i="2" s="1"/>
  <c r="H18" i="7"/>
  <c r="C18" i="7" s="1"/>
  <c r="E63" i="2" s="1"/>
  <c r="C214" i="3" s="1"/>
  <c r="H208" i="4"/>
  <c r="C208" i="4" s="1"/>
  <c r="H85" i="5"/>
  <c r="C85" i="5" s="1"/>
  <c r="H187" i="5"/>
  <c r="C187" i="5" s="1"/>
  <c r="H162" i="6"/>
  <c r="C162" i="6" s="1"/>
  <c r="E606" i="2" s="1"/>
  <c r="H422" i="4"/>
  <c r="C422" i="4" s="1"/>
  <c r="H237" i="4"/>
  <c r="C237" i="4" s="1"/>
  <c r="H416" i="4"/>
  <c r="C416" i="4" s="1"/>
  <c r="H219" i="8"/>
  <c r="C219" i="8" s="1"/>
  <c r="E478" i="2" s="1"/>
  <c r="H127" i="4"/>
  <c r="C127" i="4" s="1"/>
  <c r="H163" i="7"/>
  <c r="C163" i="7" s="1"/>
  <c r="E642" i="2" s="1"/>
  <c r="H25" i="8"/>
  <c r="C25" i="8" s="1"/>
  <c r="E100" i="2" s="1"/>
  <c r="C103" i="3" s="1"/>
  <c r="H213" i="8"/>
  <c r="C213" i="8" s="1"/>
  <c r="E520" i="2" s="1"/>
  <c r="H186" i="4"/>
  <c r="C186" i="4" s="1"/>
  <c r="H43" i="6"/>
  <c r="C43" i="6" s="1"/>
  <c r="H48" i="4"/>
  <c r="C48" i="4" s="1"/>
  <c r="H192" i="8"/>
  <c r="C192" i="8" s="1"/>
  <c r="E429" i="2" s="1"/>
  <c r="H71" i="8"/>
  <c r="C71" i="8" s="1"/>
  <c r="E253" i="2" s="1"/>
  <c r="H77" i="5"/>
  <c r="C77" i="5" s="1"/>
  <c r="E315" i="2" s="1"/>
  <c r="C4" i="3" s="1"/>
  <c r="H168" i="8"/>
  <c r="C168" i="8" s="1"/>
  <c r="E480" i="2" s="1"/>
  <c r="H116" i="5"/>
  <c r="C116" i="5" s="1"/>
  <c r="H166" i="6"/>
  <c r="C166" i="6" s="1"/>
  <c r="E565" i="2" s="1"/>
  <c r="H12" i="4"/>
  <c r="C12" i="4" s="1"/>
  <c r="H38" i="5"/>
  <c r="C38" i="5" s="1"/>
  <c r="E140" i="2" s="1"/>
  <c r="C208" i="3" s="1"/>
  <c r="H199" i="4"/>
  <c r="C199" i="4" s="1"/>
  <c r="H72" i="4"/>
  <c r="C72" i="4" s="1"/>
  <c r="H168" i="4"/>
  <c r="C168" i="4" s="1"/>
  <c r="H136" i="6"/>
  <c r="C136" i="6" s="1"/>
  <c r="E557" i="2" s="1"/>
  <c r="H324" i="4"/>
  <c r="C324" i="4" s="1"/>
  <c r="H137" i="5"/>
  <c r="C137" i="5" s="1"/>
  <c r="E595" i="2" s="1"/>
  <c r="H71" i="4"/>
  <c r="C71" i="4" s="1"/>
  <c r="H24" i="6"/>
  <c r="C24" i="6" s="1"/>
  <c r="H113" i="5"/>
  <c r="C113" i="5" s="1"/>
  <c r="E376" i="2" s="1"/>
  <c r="H164" i="7"/>
  <c r="C164" i="7" s="1"/>
  <c r="E600" i="2" s="1"/>
  <c r="H17" i="7"/>
  <c r="C17" i="7" s="1"/>
  <c r="E53" i="2" s="1"/>
  <c r="C329" i="3" s="1"/>
  <c r="H78" i="6"/>
  <c r="C78" i="6" s="1"/>
  <c r="E392" i="2" s="1"/>
  <c r="H59" i="4"/>
  <c r="C59" i="4" s="1"/>
  <c r="H285" i="4"/>
  <c r="C285" i="4" s="1"/>
  <c r="H202" i="4"/>
  <c r="H48" i="8"/>
  <c r="C48" i="8" s="1"/>
  <c r="E179" i="2" s="1"/>
  <c r="C162" i="3" s="1"/>
  <c r="H164" i="8"/>
  <c r="C164" i="8" s="1"/>
  <c r="E468" i="2" s="1"/>
  <c r="H196" i="4"/>
  <c r="C196" i="4" s="1"/>
  <c r="H428" i="4"/>
  <c r="C428" i="4" s="1"/>
  <c r="H228" i="4"/>
  <c r="C228" i="4" s="1"/>
  <c r="H385" i="4"/>
  <c r="C385" i="4" s="1"/>
  <c r="H125" i="4"/>
  <c r="C125" i="4" s="1"/>
  <c r="H183" i="8"/>
  <c r="C183" i="8" s="1"/>
  <c r="E496" i="2" s="1"/>
  <c r="H158" i="8"/>
  <c r="C158" i="8" s="1"/>
  <c r="E366" i="2" s="1"/>
  <c r="H163" i="8"/>
  <c r="C163" i="8" s="1"/>
  <c r="E395" i="2" s="1"/>
  <c r="H147" i="7"/>
  <c r="C147" i="7" s="1"/>
  <c r="E629" i="2" s="1"/>
  <c r="H65" i="6"/>
  <c r="C65" i="6" s="1"/>
  <c r="H90" i="4"/>
  <c r="C90" i="4" s="1"/>
  <c r="H79" i="4"/>
  <c r="C79" i="4" s="1"/>
  <c r="H123" i="5"/>
  <c r="C123" i="5" s="1"/>
  <c r="E580" i="2" s="1"/>
  <c r="H14" i="5"/>
  <c r="C14" i="5" s="1"/>
  <c r="E28" i="2" s="1"/>
  <c r="C293" i="3" s="1"/>
  <c r="H107" i="8"/>
  <c r="C107" i="8" s="1"/>
  <c r="E369" i="2" s="1"/>
  <c r="H124" i="6"/>
  <c r="C124" i="6" s="1"/>
  <c r="E280" i="2" s="1"/>
  <c r="H120" i="6"/>
  <c r="C120" i="6" s="1"/>
  <c r="H87" i="7"/>
  <c r="C87" i="7" s="1"/>
  <c r="E284" i="2" s="1"/>
  <c r="H53" i="4"/>
  <c r="C53" i="4" s="1"/>
  <c r="H146" i="4"/>
  <c r="C146" i="4" s="1"/>
  <c r="H82" i="5"/>
  <c r="C82" i="5" s="1"/>
  <c r="H3" i="5"/>
  <c r="C3" i="5" s="1"/>
  <c r="H218" i="6"/>
  <c r="C218" i="6" s="1"/>
  <c r="E728" i="2" s="1"/>
  <c r="H161" i="5"/>
  <c r="C161" i="5" s="1"/>
  <c r="H188" i="7"/>
  <c r="C188" i="7" s="1"/>
  <c r="E724" i="2" s="1"/>
  <c r="H87" i="8"/>
  <c r="C87" i="8" s="1"/>
  <c r="E256" i="2" s="1"/>
  <c r="C189" i="3" s="1"/>
  <c r="H25" i="5"/>
  <c r="C25" i="5" s="1"/>
  <c r="E81" i="2" s="1"/>
  <c r="C265" i="3" s="1"/>
  <c r="H64" i="8"/>
  <c r="C64" i="8" s="1"/>
  <c r="E250" i="2" s="1"/>
  <c r="H121" i="6"/>
  <c r="C121" i="6" s="1"/>
  <c r="E526" i="2" s="1"/>
  <c r="H17" i="8"/>
  <c r="C17" i="8" s="1"/>
  <c r="E72" i="2" s="1"/>
  <c r="C276" i="3" s="1"/>
  <c r="H131" i="7"/>
  <c r="C131" i="7" s="1"/>
  <c r="E579" i="2" s="1"/>
  <c r="H10" i="7"/>
  <c r="C10" i="7" s="1"/>
  <c r="E40" i="2" s="1"/>
  <c r="C39" i="3" s="1"/>
  <c r="H25" i="7"/>
  <c r="C25" i="7" s="1"/>
  <c r="E121" i="2" s="1"/>
  <c r="C68" i="3" s="1"/>
  <c r="H150" i="8"/>
  <c r="C150" i="8" s="1"/>
  <c r="E457" i="2" s="1"/>
  <c r="H201" i="4"/>
  <c r="C201" i="4" s="1"/>
  <c r="H49" i="4"/>
  <c r="C49" i="4" s="1"/>
  <c r="H32" i="7"/>
  <c r="C32" i="7" s="1"/>
  <c r="E142" i="2" s="1"/>
  <c r="C182" i="3" s="1"/>
  <c r="H228" i="8"/>
  <c r="C228" i="8" s="1"/>
  <c r="E560" i="2" s="1"/>
  <c r="H216" i="6"/>
  <c r="C216" i="6" s="1"/>
  <c r="E720" i="2" s="1"/>
  <c r="H116" i="7"/>
  <c r="C116" i="7" s="1"/>
  <c r="E555" i="2" s="1"/>
  <c r="H115" i="6"/>
  <c r="C115" i="6" s="1"/>
  <c r="H68" i="6"/>
  <c r="C68" i="6" s="1"/>
  <c r="H43" i="4"/>
  <c r="C43" i="4" s="1"/>
  <c r="H99" i="7"/>
  <c r="C99" i="7" s="1"/>
  <c r="E486" i="2" s="1"/>
  <c r="H36" i="5"/>
  <c r="C36" i="5" s="1"/>
  <c r="E139" i="2" s="1"/>
  <c r="C61" i="3" s="1"/>
  <c r="H85" i="6"/>
  <c r="C85" i="6" s="1"/>
  <c r="E389" i="2" s="1"/>
  <c r="H88" i="4"/>
  <c r="C88" i="4" s="1"/>
  <c r="H311" i="4"/>
  <c r="C311" i="4" s="1"/>
  <c r="H187" i="7"/>
  <c r="C187" i="7" s="1"/>
  <c r="E725" i="2" s="1"/>
  <c r="H142" i="4"/>
  <c r="C142" i="4" s="1"/>
  <c r="H8" i="7"/>
  <c r="C8" i="7" s="1"/>
  <c r="E18" i="2" s="1"/>
  <c r="C213" i="3" s="1"/>
  <c r="C266" i="4"/>
  <c r="H384" i="4"/>
  <c r="C384" i="4" s="1"/>
  <c r="H60" i="5"/>
  <c r="C60" i="5" s="1"/>
  <c r="C174" i="8"/>
  <c r="E439" i="2" s="1"/>
  <c r="C57" i="8"/>
  <c r="E220" i="2" s="1"/>
  <c r="H163" i="6"/>
  <c r="C163" i="6" s="1"/>
  <c r="E650" i="2" s="1"/>
  <c r="C151" i="6"/>
  <c r="C205" i="6"/>
  <c r="E709" i="2" s="1"/>
  <c r="C161" i="8"/>
  <c r="E438" i="2" s="1"/>
  <c r="H140" i="6"/>
  <c r="C140" i="6" s="1"/>
  <c r="E602" i="2" s="1"/>
  <c r="C36" i="7"/>
  <c r="E115" i="2" s="1"/>
  <c r="C128" i="3" s="1"/>
  <c r="H34" i="6"/>
  <c r="C34" i="6" s="1"/>
  <c r="E67" i="2" s="1"/>
  <c r="C94" i="3" s="1"/>
  <c r="H62" i="6"/>
  <c r="C62" i="6" s="1"/>
  <c r="E249" i="2" s="1"/>
  <c r="H398" i="4"/>
  <c r="C398" i="4" s="1"/>
  <c r="H132" i="4"/>
  <c r="C132" i="4" s="1"/>
  <c r="H186" i="6"/>
  <c r="C186" i="6" s="1"/>
  <c r="E649" i="2" s="1"/>
  <c r="C275" i="4"/>
  <c r="H5" i="5"/>
  <c r="C5" i="5" s="1"/>
  <c r="E3" i="2" s="1"/>
  <c r="C118" i="3" s="1"/>
  <c r="H193" i="6"/>
  <c r="C193" i="6" s="1"/>
  <c r="E688" i="2" s="1"/>
  <c r="H342" i="4"/>
  <c r="C342" i="4" s="1"/>
  <c r="H53" i="7"/>
  <c r="C53" i="7" s="1"/>
  <c r="E239" i="2" s="1"/>
  <c r="C19" i="8"/>
  <c r="E43" i="2" s="1"/>
  <c r="C334" i="3" s="1"/>
  <c r="H6" i="7"/>
  <c r="C6" i="7" s="1"/>
  <c r="E11" i="2" s="1"/>
  <c r="C300" i="3" s="1"/>
  <c r="H128" i="4"/>
  <c r="C128" i="4" s="1"/>
  <c r="H63" i="5"/>
  <c r="C63" i="5" s="1"/>
  <c r="H80" i="4"/>
  <c r="C80" i="4" s="1"/>
  <c r="H86" i="5"/>
  <c r="C86" i="5" s="1"/>
  <c r="H8" i="5"/>
  <c r="C8" i="5" s="1"/>
  <c r="E10" i="2" s="1"/>
  <c r="C176" i="6"/>
  <c r="E647" i="2" s="1"/>
  <c r="H391" i="4"/>
  <c r="C391" i="4" s="1"/>
  <c r="C172" i="8"/>
  <c r="E454" i="2" s="1"/>
  <c r="H273" i="4"/>
  <c r="C273" i="4" s="1"/>
  <c r="H80" i="5"/>
  <c r="C80" i="5" s="1"/>
  <c r="E328" i="2" s="1"/>
  <c r="C56" i="7"/>
  <c r="E269" i="2" s="1"/>
  <c r="C109" i="5"/>
  <c r="H108" i="6"/>
  <c r="C108" i="6" s="1"/>
  <c r="E417" i="2" s="1"/>
  <c r="H111" i="7"/>
  <c r="C111" i="7" s="1"/>
  <c r="E490" i="2" s="1"/>
  <c r="H314" i="4"/>
  <c r="C314" i="4" s="1"/>
  <c r="H73" i="7"/>
  <c r="C73" i="7" s="1"/>
  <c r="E298" i="2" s="1"/>
  <c r="H339" i="4"/>
  <c r="C339" i="4" s="1"/>
  <c r="H220" i="4"/>
  <c r="C220" i="4" s="1"/>
  <c r="H30" i="6"/>
  <c r="C30" i="6" s="1"/>
  <c r="E106" i="2" s="1"/>
  <c r="C95" i="3" s="1"/>
  <c r="H83" i="6"/>
  <c r="C83" i="6" s="1"/>
  <c r="H66" i="6"/>
  <c r="C66" i="6" s="1"/>
  <c r="E278" i="2" s="1"/>
  <c r="C133" i="8"/>
  <c r="E370" i="2" s="1"/>
  <c r="C81" i="7"/>
  <c r="E303" i="2" s="1"/>
  <c r="C128" i="5"/>
  <c r="E544" i="2" s="1"/>
  <c r="H239" i="4"/>
  <c r="C239" i="4" s="1"/>
  <c r="H368" i="4"/>
  <c r="C368" i="4" s="1"/>
  <c r="H64" i="4"/>
  <c r="C64" i="4" s="1"/>
  <c r="C193" i="5"/>
  <c r="E679" i="2" s="1"/>
  <c r="H67" i="4"/>
  <c r="C67" i="4" s="1"/>
  <c r="C204" i="8"/>
  <c r="E547" i="2" s="1"/>
  <c r="C255" i="4"/>
  <c r="C143" i="5"/>
  <c r="H60" i="4"/>
  <c r="C60" i="4" s="1"/>
  <c r="H280" i="4"/>
  <c r="C280" i="4" s="1"/>
  <c r="H165" i="5"/>
  <c r="C165" i="5" s="1"/>
  <c r="H191" i="4"/>
  <c r="C191" i="4" s="1"/>
  <c r="C50" i="5"/>
  <c r="H263" i="4"/>
  <c r="C263" i="4" s="1"/>
  <c r="H61" i="6"/>
  <c r="C61" i="6" s="1"/>
  <c r="H141" i="4"/>
  <c r="C141" i="4" s="1"/>
  <c r="H155" i="7"/>
  <c r="C155" i="7" s="1"/>
  <c r="E610" i="2" s="1"/>
  <c r="H270" i="4"/>
  <c r="C270" i="4" s="1"/>
  <c r="H109" i="6"/>
  <c r="C109" i="6" s="1"/>
  <c r="E476" i="2" s="1"/>
  <c r="H84" i="6"/>
  <c r="C84" i="6" s="1"/>
  <c r="H210" i="6"/>
  <c r="C210" i="6" s="1"/>
  <c r="E660" i="2" s="1"/>
  <c r="H82" i="4"/>
  <c r="C82" i="4" s="1"/>
  <c r="H407" i="4"/>
  <c r="C407" i="4" s="1"/>
  <c r="H203" i="5"/>
  <c r="C203" i="5" s="1"/>
  <c r="E722" i="2" s="1"/>
  <c r="H112" i="7"/>
  <c r="C112" i="7" s="1"/>
  <c r="E540" i="2" s="1"/>
  <c r="H169" i="8"/>
  <c r="C169" i="8" s="1"/>
  <c r="E357" i="2" s="1"/>
  <c r="H184" i="8"/>
  <c r="C184" i="8" s="1"/>
  <c r="E460" i="2" s="1"/>
  <c r="H185" i="8"/>
  <c r="C185" i="8" s="1"/>
  <c r="E513" i="2" s="1"/>
  <c r="H62" i="5"/>
  <c r="C62" i="5" s="1"/>
  <c r="E257" i="2" s="1"/>
  <c r="H221" i="8"/>
  <c r="C221" i="8" s="1"/>
  <c r="E536" i="2" s="1"/>
  <c r="H43" i="8"/>
  <c r="C43" i="8" s="1"/>
  <c r="E156" i="2" s="1"/>
  <c r="C306" i="3" s="1"/>
  <c r="H92" i="5"/>
  <c r="C92" i="5" s="1"/>
  <c r="E290" i="2" s="1"/>
  <c r="H43" i="5"/>
  <c r="C43" i="5" s="1"/>
  <c r="H26" i="6"/>
  <c r="C26" i="6" s="1"/>
  <c r="H297" i="4"/>
  <c r="C297" i="4" s="1"/>
  <c r="H431" i="4"/>
  <c r="C431" i="4" s="1"/>
  <c r="H5" i="6"/>
  <c r="C5" i="6" s="1"/>
  <c r="E14" i="2" s="1"/>
  <c r="C326" i="3" s="1"/>
  <c r="H104" i="4"/>
  <c r="C104" i="4" s="1"/>
  <c r="H103" i="6"/>
  <c r="C103" i="6" s="1"/>
  <c r="H31" i="7"/>
  <c r="C31" i="7" s="1"/>
  <c r="E113" i="2" s="1"/>
  <c r="C273" i="3" s="1"/>
  <c r="H84" i="5"/>
  <c r="C84" i="5" s="1"/>
  <c r="E349" i="2" s="1"/>
  <c r="H244" i="4"/>
  <c r="C244" i="4" s="1"/>
  <c r="H194" i="8"/>
  <c r="C194" i="8" s="1"/>
  <c r="E514" i="2" s="1"/>
  <c r="H279" i="4"/>
  <c r="C279" i="4" s="1"/>
  <c r="H37" i="6"/>
  <c r="C37" i="6" s="1"/>
  <c r="E136" i="2" s="1"/>
  <c r="C327" i="3" s="1"/>
  <c r="H16" i="7"/>
  <c r="C16" i="7" s="1"/>
  <c r="E51" i="2" s="1"/>
  <c r="C36" i="3" s="1"/>
  <c r="H148" i="8"/>
  <c r="C148" i="8" s="1"/>
  <c r="E347" i="2" s="1"/>
  <c r="H25" i="6"/>
  <c r="C25" i="6" s="1"/>
  <c r="H247" i="4"/>
  <c r="C247" i="4" s="1"/>
  <c r="H32" i="6"/>
  <c r="C32" i="6" s="1"/>
  <c r="E103" i="2" s="1"/>
  <c r="C125" i="3" s="1"/>
  <c r="H141" i="5"/>
  <c r="C141" i="5" s="1"/>
  <c r="E614" i="2" s="1"/>
  <c r="H106" i="6"/>
  <c r="C106" i="6" s="1"/>
  <c r="H97" i="5"/>
  <c r="C97" i="5" s="1"/>
  <c r="E477" i="2" s="1"/>
  <c r="H225" i="6"/>
  <c r="C225" i="6" s="1"/>
  <c r="E719" i="2" s="1"/>
  <c r="H110" i="5"/>
  <c r="C110" i="5" s="1"/>
  <c r="H185" i="5"/>
  <c r="C185" i="5" s="1"/>
  <c r="H61" i="5"/>
  <c r="C61" i="5" s="1"/>
  <c r="E302" i="2" s="1"/>
  <c r="H147" i="8"/>
  <c r="C147" i="8" s="1"/>
  <c r="E472" i="2" s="1"/>
  <c r="H67" i="5"/>
  <c r="C67" i="5" s="1"/>
  <c r="H249" i="4"/>
  <c r="C249" i="4" s="1"/>
  <c r="H46" i="5"/>
  <c r="C46" i="5" s="1"/>
  <c r="E170" i="2" s="1"/>
  <c r="C150" i="3" s="1"/>
  <c r="H40" i="6"/>
  <c r="C40" i="6" s="1"/>
  <c r="H203" i="8"/>
  <c r="C203" i="8" s="1"/>
  <c r="E507" i="2" s="1"/>
  <c r="H355" i="4"/>
  <c r="C355" i="4" s="1"/>
  <c r="H22" i="4"/>
  <c r="C22" i="4" s="1"/>
  <c r="H7" i="8"/>
  <c r="C7" i="8" s="1"/>
  <c r="E17" i="2" s="1"/>
  <c r="C43" i="3" s="1"/>
  <c r="H196" i="8"/>
  <c r="C196" i="8" s="1"/>
  <c r="E522" i="2" s="1"/>
  <c r="H108" i="7"/>
  <c r="C108" i="7" s="1"/>
  <c r="E442" i="2" s="1"/>
  <c r="H184" i="4"/>
  <c r="C184" i="4" s="1"/>
  <c r="H51" i="4"/>
  <c r="C51" i="4" s="1"/>
  <c r="H70" i="6"/>
  <c r="C70" i="6" s="1"/>
  <c r="E297" i="2" s="1"/>
  <c r="H79" i="7"/>
  <c r="C79" i="7" s="1"/>
  <c r="E387" i="2" s="1"/>
  <c r="H320" i="4"/>
  <c r="C320" i="4" s="1"/>
  <c r="H172" i="6"/>
  <c r="C172" i="6" s="1"/>
  <c r="H111" i="4"/>
  <c r="C111" i="4" s="1"/>
  <c r="H157" i="8"/>
  <c r="C157" i="8" s="1"/>
  <c r="E471" i="2" s="1"/>
  <c r="H11" i="8"/>
  <c r="C11" i="8" s="1"/>
  <c r="E25" i="2" s="1"/>
  <c r="C44" i="3" s="1"/>
  <c r="H218" i="8"/>
  <c r="C218" i="8" s="1"/>
  <c r="E510" i="2" s="1"/>
  <c r="H41" i="4"/>
  <c r="C41" i="4" s="1"/>
  <c r="H313" i="4"/>
  <c r="C313" i="4" s="1"/>
  <c r="H187" i="8"/>
  <c r="C187" i="8" s="1"/>
  <c r="E415" i="2" s="1"/>
  <c r="H29" i="4"/>
  <c r="C29" i="4" s="1"/>
  <c r="H93" i="4"/>
  <c r="C93" i="4" s="1"/>
  <c r="H92" i="8"/>
  <c r="C92" i="8" s="1"/>
  <c r="E340" i="2" s="1"/>
  <c r="H227" i="8"/>
  <c r="C227" i="8" s="1"/>
  <c r="E533" i="2" s="1"/>
  <c r="H103" i="8"/>
  <c r="C103" i="8" s="1"/>
  <c r="E334" i="2" s="1"/>
  <c r="H335" i="4"/>
  <c r="C335" i="4" s="1"/>
  <c r="H105" i="6"/>
  <c r="C105" i="6" s="1"/>
  <c r="H27" i="6"/>
  <c r="C27" i="6" s="1"/>
  <c r="E75" i="2" s="1"/>
  <c r="C180" i="3" s="1"/>
  <c r="H206" i="8"/>
  <c r="C206" i="8" s="1"/>
  <c r="E436" i="2" s="1"/>
  <c r="H248" i="4"/>
  <c r="C248" i="4" s="1"/>
  <c r="H136" i="4"/>
  <c r="C136" i="4" s="1"/>
  <c r="H259" i="4"/>
  <c r="C259" i="4" s="1"/>
  <c r="H106" i="7"/>
  <c r="C106" i="7" s="1"/>
  <c r="E483" i="2" s="1"/>
  <c r="H65" i="7"/>
  <c r="C65" i="7" s="1"/>
  <c r="E200" i="2" s="1"/>
  <c r="C65" i="3" s="1"/>
  <c r="H85" i="4"/>
  <c r="C85" i="4" s="1"/>
  <c r="H377" i="4"/>
  <c r="C377" i="4" s="1"/>
  <c r="H36" i="4"/>
  <c r="C36" i="4" s="1"/>
  <c r="H230" i="4"/>
  <c r="C230" i="4" s="1"/>
  <c r="H45" i="5"/>
  <c r="C45" i="5" s="1"/>
  <c r="C33" i="8"/>
  <c r="E123" i="2" s="1"/>
  <c r="C56" i="6"/>
  <c r="E173" i="2" s="1"/>
  <c r="H310" i="4"/>
  <c r="C310" i="4" s="1"/>
  <c r="H11" i="7"/>
  <c r="C11" i="7" s="1"/>
  <c r="E38" i="2" s="1"/>
  <c r="C239" i="3" s="1"/>
  <c r="H114" i="6"/>
  <c r="C114" i="6" s="1"/>
  <c r="E232" i="2" s="1"/>
  <c r="H149" i="5"/>
  <c r="C149" i="5" s="1"/>
  <c r="H405" i="4"/>
  <c r="C405" i="4" s="1"/>
  <c r="H91" i="7"/>
  <c r="C91" i="7" s="1"/>
  <c r="E377" i="2" s="1"/>
  <c r="C40" i="8"/>
  <c r="E160" i="2" s="1"/>
  <c r="C277" i="3" s="1"/>
  <c r="C188" i="8"/>
  <c r="E527" i="2" s="1"/>
  <c r="C212" i="8"/>
  <c r="E502" i="2" s="1"/>
  <c r="C153" i="8"/>
  <c r="E443" i="2" s="1"/>
  <c r="C209" i="8"/>
  <c r="E528" i="2" s="1"/>
  <c r="C38" i="8"/>
  <c r="E127" i="2" s="1"/>
  <c r="C123" i="8"/>
  <c r="E364" i="2" s="1"/>
  <c r="H178" i="5"/>
  <c r="C178" i="5" s="1"/>
  <c r="C95" i="4"/>
  <c r="C196" i="6"/>
  <c r="E596" i="2" s="1"/>
  <c r="H58" i="7"/>
  <c r="C58" i="7" s="1"/>
  <c r="E240" i="2" s="1"/>
  <c r="C112" i="6"/>
  <c r="E531" i="2" s="1"/>
  <c r="H51" i="7"/>
  <c r="C51" i="7" s="1"/>
  <c r="E194" i="2" s="1"/>
  <c r="C38" i="3" s="1"/>
  <c r="C155" i="8"/>
  <c r="E426" i="2" s="1"/>
  <c r="C172" i="4"/>
  <c r="H207" i="4"/>
  <c r="C207" i="4" s="1"/>
  <c r="H127" i="6"/>
  <c r="C127" i="6" s="1"/>
  <c r="E511" i="2" s="1"/>
  <c r="C281" i="4"/>
  <c r="H119" i="4"/>
  <c r="C119" i="4" s="1"/>
  <c r="C85" i="7"/>
  <c r="E258" i="2" s="1"/>
  <c r="C17" i="4"/>
  <c r="C144" i="6"/>
  <c r="E585" i="2" s="1"/>
  <c r="H101" i="6"/>
  <c r="C101" i="6" s="1"/>
  <c r="E434" i="2" s="1"/>
  <c r="C327" i="4"/>
  <c r="H102" i="5"/>
  <c r="C102" i="5" s="1"/>
  <c r="H177" i="7"/>
  <c r="C177" i="7" s="1"/>
  <c r="E700" i="2" s="1"/>
  <c r="H171" i="7"/>
  <c r="C171" i="7" s="1"/>
  <c r="E661" i="2" s="1"/>
  <c r="H387" i="4"/>
  <c r="C387" i="4" s="1"/>
  <c r="H222" i="4"/>
  <c r="C222" i="4" s="1"/>
  <c r="H132" i="5"/>
  <c r="C132" i="5" s="1"/>
  <c r="H306" i="4"/>
  <c r="C306" i="4" s="1"/>
  <c r="H26" i="4"/>
  <c r="C26" i="4" s="1"/>
  <c r="C145" i="8"/>
  <c r="E372" i="2" s="1"/>
  <c r="H165" i="6"/>
  <c r="C165" i="6" s="1"/>
  <c r="E657" i="2" s="1"/>
  <c r="C156" i="6"/>
  <c r="E594" i="2" s="1"/>
  <c r="H18" i="4"/>
  <c r="C18" i="4" s="1"/>
  <c r="H161" i="7"/>
  <c r="C161" i="7" s="1"/>
  <c r="E640" i="2" s="1"/>
  <c r="C81" i="6"/>
  <c r="H302" i="4"/>
  <c r="C302" i="4" s="1"/>
  <c r="H116" i="6"/>
  <c r="C116" i="6" s="1"/>
  <c r="E506" i="2" s="1"/>
  <c r="H82" i="7"/>
  <c r="C82" i="7" s="1"/>
  <c r="E360" i="2" s="1"/>
  <c r="C138" i="8"/>
  <c r="E419" i="2" s="1"/>
  <c r="H113" i="7"/>
  <c r="C113" i="7" s="1"/>
  <c r="E464" i="2" s="1"/>
  <c r="C137" i="8"/>
  <c r="E461" i="2" s="1"/>
  <c r="H195" i="6"/>
  <c r="C195" i="6" s="1"/>
  <c r="E654" i="2" s="1"/>
  <c r="H172" i="5"/>
  <c r="C172" i="5" s="1"/>
  <c r="E662" i="2" s="1"/>
  <c r="H26" i="7"/>
  <c r="C26" i="7" s="1"/>
  <c r="E94" i="2" s="1"/>
  <c r="C99" i="3" s="1"/>
  <c r="C20" i="6"/>
  <c r="E64" i="2" s="1"/>
  <c r="C181" i="3" s="1"/>
  <c r="C148" i="5"/>
  <c r="H35" i="6"/>
  <c r="C35" i="6" s="1"/>
  <c r="H224" i="6"/>
  <c r="C224" i="6" s="1"/>
  <c r="E701" i="2" s="1"/>
  <c r="H250" i="4"/>
  <c r="C250" i="4" s="1"/>
  <c r="H414" i="4"/>
  <c r="C414" i="4" s="1"/>
  <c r="C112" i="4"/>
  <c r="H103" i="4"/>
  <c r="C103" i="4" s="1"/>
  <c r="C139" i="7"/>
  <c r="E625" i="2" s="1"/>
  <c r="H33" i="6"/>
  <c r="C33" i="6" s="1"/>
  <c r="C179" i="8"/>
  <c r="E475" i="2" s="1"/>
  <c r="H138" i="5"/>
  <c r="C138" i="5" s="1"/>
  <c r="E597" i="2" s="1"/>
  <c r="H177" i="6"/>
  <c r="C177" i="6" s="1"/>
  <c r="E603" i="2" s="1"/>
  <c r="C47" i="4"/>
  <c r="H9" i="8"/>
  <c r="C9" i="8" s="1"/>
  <c r="E20" i="2" s="1"/>
  <c r="C73" i="3" s="1"/>
  <c r="H97" i="6"/>
  <c r="C97" i="6" s="1"/>
  <c r="C54" i="6"/>
  <c r="E208" i="2" s="1"/>
  <c r="C299" i="3" s="1"/>
  <c r="H141" i="6"/>
  <c r="C141" i="6" s="1"/>
  <c r="H55" i="7"/>
  <c r="C55" i="7" s="1"/>
  <c r="E271" i="2" s="1"/>
  <c r="H66" i="7"/>
  <c r="C66" i="7" s="1"/>
  <c r="E244" i="2" s="1"/>
  <c r="C127" i="3" s="1"/>
  <c r="H401" i="4"/>
  <c r="C401" i="4" s="1"/>
  <c r="H180" i="8"/>
  <c r="C180" i="8" s="1"/>
  <c r="E458" i="2" s="1"/>
  <c r="H131" i="5"/>
  <c r="C131" i="5" s="1"/>
  <c r="E582" i="2" s="1"/>
  <c r="H12" i="8"/>
  <c r="C12" i="8" s="1"/>
  <c r="E34" i="2" s="1"/>
  <c r="C72" i="3" s="1"/>
  <c r="H36" i="8"/>
  <c r="C36" i="8" s="1"/>
  <c r="E102" i="2" s="1"/>
  <c r="C159" i="3" s="1"/>
  <c r="H83" i="7"/>
  <c r="C83" i="7" s="1"/>
  <c r="E378" i="2" s="1"/>
  <c r="H163" i="4"/>
  <c r="C163" i="4" s="1"/>
  <c r="H41" i="5"/>
  <c r="C41" i="5" s="1"/>
  <c r="E158" i="2" s="1"/>
  <c r="C322" i="3" s="1"/>
  <c r="H196" i="5"/>
  <c r="C196" i="5" s="1"/>
  <c r="E698" i="2" s="1"/>
  <c r="H20" i="4"/>
  <c r="C20" i="4" s="1"/>
  <c r="H16" i="4"/>
  <c r="C16" i="4" s="1"/>
  <c r="H393" i="4"/>
  <c r="C393" i="4" s="1"/>
  <c r="H307" i="4"/>
  <c r="C307" i="4" s="1"/>
  <c r="H19" i="4"/>
  <c r="C19" i="4" s="1"/>
  <c r="H212" i="4"/>
  <c r="C212" i="4" s="1"/>
  <c r="H319" i="4"/>
  <c r="C319" i="4" s="1"/>
  <c r="H218" i="4"/>
  <c r="C218" i="4" s="1"/>
  <c r="H37" i="7"/>
  <c r="C37" i="7" s="1"/>
  <c r="E146" i="2" s="1"/>
  <c r="C238" i="3" s="1"/>
  <c r="H19" i="7"/>
  <c r="C19" i="7" s="1"/>
  <c r="E66" i="2" s="1"/>
  <c r="C297" i="3" s="1"/>
  <c r="H189" i="8"/>
  <c r="C189" i="8" s="1"/>
  <c r="E504" i="2" s="1"/>
  <c r="H159" i="6"/>
  <c r="C159" i="6" s="1"/>
  <c r="E613" i="2" s="1"/>
  <c r="H227" i="6"/>
  <c r="C227" i="6" s="1"/>
  <c r="E730" i="2" s="1"/>
  <c r="H107" i="4"/>
  <c r="C107" i="4" s="1"/>
  <c r="H93" i="8"/>
  <c r="C93" i="8" s="1"/>
  <c r="E313" i="2" s="1"/>
  <c r="H55" i="6"/>
  <c r="C55" i="6" s="1"/>
  <c r="H96" i="7"/>
  <c r="C96" i="7" s="1"/>
  <c r="E445" i="2" s="1"/>
  <c r="H122" i="8"/>
  <c r="C122" i="8" s="1"/>
  <c r="E399" i="2" s="1"/>
  <c r="H131" i="6"/>
  <c r="C131" i="6" s="1"/>
  <c r="H94" i="5"/>
  <c r="C94" i="5" s="1"/>
  <c r="H251" i="4"/>
  <c r="C251" i="4" s="1"/>
  <c r="H117" i="4"/>
  <c r="C117" i="4" s="1"/>
  <c r="H195" i="8"/>
  <c r="C195" i="8" s="1"/>
  <c r="E509" i="2" s="1"/>
  <c r="H26" i="8"/>
  <c r="C26" i="8" s="1"/>
  <c r="E80" i="2" s="1"/>
  <c r="C305" i="3" s="1"/>
  <c r="H120" i="5"/>
  <c r="C120" i="5" s="1"/>
  <c r="E532" i="2" s="1"/>
  <c r="H81" i="4"/>
  <c r="C81" i="4" s="1"/>
  <c r="H242" i="4"/>
  <c r="C242" i="4" s="1"/>
  <c r="H98" i="7"/>
  <c r="C98" i="7" s="1"/>
  <c r="E498" i="2" s="1"/>
  <c r="H179" i="4"/>
  <c r="C179" i="4" s="1"/>
  <c r="H389" i="4"/>
  <c r="C389" i="4" s="1"/>
  <c r="H141" i="8"/>
  <c r="C141" i="8" s="1"/>
  <c r="E470" i="2" s="1"/>
  <c r="H110" i="7"/>
  <c r="C110" i="7" s="1"/>
  <c r="E505" i="2" s="1"/>
  <c r="H207" i="6"/>
  <c r="C207" i="6" s="1"/>
  <c r="H6" i="8"/>
  <c r="C6" i="8" s="1"/>
  <c r="E19" i="2" s="1"/>
  <c r="C246" i="3" s="1"/>
  <c r="H58" i="4"/>
  <c r="C58" i="4" s="1"/>
  <c r="H206" i="5"/>
  <c r="C206" i="5" s="1"/>
  <c r="E727" i="2" s="1"/>
  <c r="H382" i="4"/>
  <c r="C382" i="4" s="1"/>
  <c r="H90" i="8"/>
  <c r="C90" i="8" s="1"/>
  <c r="E339" i="2" s="1"/>
  <c r="H175" i="8"/>
  <c r="C175" i="8" s="1"/>
  <c r="E503" i="2" s="1"/>
  <c r="H61" i="7"/>
  <c r="C61" i="7" s="1"/>
  <c r="E293" i="2" s="1"/>
  <c r="H118" i="7"/>
  <c r="C118" i="7" s="1"/>
  <c r="E508" i="2" s="1"/>
  <c r="H99" i="4"/>
  <c r="C99" i="4" s="1"/>
  <c r="H34" i="7"/>
  <c r="C34" i="7" s="1"/>
  <c r="E79" i="2" s="1"/>
  <c r="C126" i="3" s="1"/>
  <c r="H168" i="7"/>
  <c r="C168" i="7" s="1"/>
  <c r="E666" i="2" s="1"/>
  <c r="H104" i="5"/>
  <c r="C104" i="5" s="1"/>
  <c r="H31" i="4"/>
  <c r="C31" i="4" s="1"/>
  <c r="H336" i="4"/>
  <c r="C336" i="4" s="1"/>
  <c r="H90" i="7"/>
  <c r="C90" i="7" s="1"/>
  <c r="E327" i="2" s="1"/>
  <c r="H28" i="6"/>
  <c r="C28" i="6" s="1"/>
  <c r="H27" i="4"/>
  <c r="C27" i="4" s="1"/>
  <c r="H54" i="5"/>
  <c r="C54" i="5" s="1"/>
  <c r="E238" i="2" s="1"/>
  <c r="C237" i="3" s="1"/>
  <c r="H89" i="8"/>
  <c r="C89" i="8" s="1"/>
  <c r="E294" i="2" s="1"/>
  <c r="H154" i="5"/>
  <c r="C154" i="5" s="1"/>
  <c r="E646" i="2" s="1"/>
  <c r="H157" i="7"/>
  <c r="C157" i="7" s="1"/>
  <c r="E644" i="2" s="1"/>
  <c r="H53" i="5"/>
  <c r="C53" i="5" s="1"/>
  <c r="E227" i="2" s="1"/>
  <c r="H133" i="5"/>
  <c r="C133" i="5" s="1"/>
  <c r="E572" i="2" s="1"/>
  <c r="H23" i="8"/>
  <c r="C23" i="8" s="1"/>
  <c r="E47" i="2" s="1"/>
  <c r="C188" i="3" s="1"/>
  <c r="H23" i="5"/>
  <c r="C23" i="5" s="1"/>
  <c r="E71" i="2" s="1"/>
  <c r="C3" i="3" s="1"/>
  <c r="H149" i="7"/>
  <c r="C149" i="7" s="1"/>
  <c r="E623" i="2" s="1"/>
  <c r="H210" i="4"/>
  <c r="C210" i="4" s="1"/>
  <c r="H17" i="5"/>
  <c r="C17" i="5" s="1"/>
  <c r="H48" i="6"/>
  <c r="C48" i="6" s="1"/>
  <c r="E196" i="2" s="1"/>
  <c r="C7" i="3" s="1"/>
  <c r="H415" i="4"/>
  <c r="C415" i="4" s="1"/>
  <c r="H72" i="8"/>
  <c r="C72" i="8" s="1"/>
  <c r="E252" i="2" s="1"/>
  <c r="H159" i="7"/>
  <c r="C159" i="7" s="1"/>
  <c r="E564" i="2" s="1"/>
  <c r="H97" i="7"/>
  <c r="C97" i="7" s="1"/>
  <c r="E420" i="2" s="1"/>
  <c r="H257" i="4"/>
  <c r="C257" i="4" s="1"/>
  <c r="H121" i="5"/>
  <c r="C121" i="5" s="1"/>
  <c r="H62" i="7"/>
  <c r="C62" i="7" s="1"/>
  <c r="E309" i="2" s="1"/>
  <c r="H137" i="6"/>
  <c r="C137" i="6" s="1"/>
  <c r="H126" i="8"/>
  <c r="C126" i="8" s="1"/>
  <c r="E430" i="2" s="1"/>
  <c r="H112" i="8"/>
  <c r="C112" i="8" s="1"/>
  <c r="E432" i="2" s="1"/>
  <c r="H147" i="4"/>
  <c r="C147" i="4" s="1"/>
  <c r="H44" i="5"/>
  <c r="C44" i="5" s="1"/>
  <c r="E147" i="2" s="1"/>
  <c r="C177" i="3" s="1"/>
  <c r="H180" i="5"/>
  <c r="C180" i="5" s="1"/>
  <c r="H21" i="6"/>
  <c r="C21" i="6" s="1"/>
  <c r="H109" i="8"/>
  <c r="C109" i="8" s="1"/>
  <c r="E295" i="2" s="1"/>
  <c r="H111" i="5"/>
  <c r="C111" i="5" s="1"/>
  <c r="H45" i="6"/>
  <c r="C45" i="6" s="1"/>
  <c r="C132" i="7"/>
  <c r="E588" i="2" s="1"/>
  <c r="C167" i="6"/>
  <c r="C76" i="5"/>
  <c r="H126" i="5"/>
  <c r="C126" i="5" s="1"/>
  <c r="H65" i="4"/>
  <c r="C65" i="4" s="1"/>
  <c r="C317" i="4"/>
  <c r="H5" i="7"/>
  <c r="C5" i="7" s="1"/>
  <c r="E7" i="2" s="1"/>
  <c r="C11" i="3" s="1"/>
  <c r="H241" i="4"/>
  <c r="C241" i="4" s="1"/>
  <c r="H202" i="5"/>
  <c r="C202" i="5" s="1"/>
  <c r="C210" i="8"/>
  <c r="E515" i="2" s="1"/>
  <c r="C219" i="6"/>
  <c r="E715" i="2" s="1"/>
  <c r="C378" i="4"/>
  <c r="C55" i="5"/>
  <c r="H148" i="6"/>
  <c r="C148" i="6" s="1"/>
  <c r="E558" i="2" s="1"/>
  <c r="H174" i="5"/>
  <c r="C174" i="5" s="1"/>
  <c r="H35" i="5"/>
  <c r="C35" i="5" s="1"/>
  <c r="E120" i="2" s="1"/>
  <c r="C178" i="3" s="1"/>
  <c r="C288" i="4"/>
  <c r="H117" i="5"/>
  <c r="C117" i="5" s="1"/>
  <c r="C211" i="8"/>
  <c r="E485" i="2" s="1"/>
  <c r="C12" i="6"/>
  <c r="E30" i="2" s="1"/>
  <c r="C209" i="3" s="1"/>
  <c r="H43" i="7"/>
  <c r="C43" i="7" s="1"/>
  <c r="E165" i="2" s="1"/>
  <c r="C96" i="3" s="1"/>
  <c r="C182" i="8"/>
  <c r="E397" i="2" s="1"/>
  <c r="H165" i="4"/>
  <c r="C165" i="4" s="1"/>
  <c r="C130" i="5"/>
  <c r="H194" i="6"/>
  <c r="C194" i="6" s="1"/>
  <c r="H183" i="5"/>
  <c r="C183" i="5" s="1"/>
  <c r="E685" i="2" s="1"/>
  <c r="H290" i="4"/>
  <c r="C290" i="4" s="1"/>
  <c r="H41" i="6"/>
  <c r="C41" i="6" s="1"/>
  <c r="C337" i="4"/>
  <c r="C375" i="4"/>
  <c r="H86" i="7"/>
  <c r="C86" i="7" s="1"/>
  <c r="E356" i="2" s="1"/>
  <c r="C345" i="4"/>
  <c r="C118" i="5"/>
  <c r="H195" i="5"/>
  <c r="C195" i="5" s="1"/>
  <c r="E658" i="2" s="1"/>
  <c r="C104" i="7"/>
  <c r="E489" i="2" s="1"/>
  <c r="H83" i="5"/>
  <c r="C83" i="5" s="1"/>
  <c r="C334" i="4"/>
  <c r="C260" i="4"/>
  <c r="C176" i="7"/>
  <c r="E635" i="2" s="1"/>
  <c r="H155" i="6"/>
  <c r="C155" i="6" s="1"/>
  <c r="H35" i="7"/>
  <c r="C35" i="7" s="1"/>
  <c r="E78" i="2" s="1"/>
  <c r="C330" i="3" s="1"/>
  <c r="C189" i="6"/>
  <c r="C175" i="6"/>
  <c r="E636" i="2" s="1"/>
  <c r="C56" i="8"/>
  <c r="E201" i="2" s="1"/>
  <c r="H59" i="5"/>
  <c r="C59" i="5" s="1"/>
  <c r="E185" i="2" s="1"/>
  <c r="C33" i="3" s="1"/>
  <c r="C171" i="4"/>
  <c r="C390" i="4"/>
  <c r="H406" i="4"/>
  <c r="C406" i="4" s="1"/>
  <c r="C119" i="5"/>
  <c r="C105" i="8"/>
  <c r="E384" i="2" s="1"/>
  <c r="C150" i="5"/>
  <c r="E633" i="2" s="1"/>
  <c r="H80" i="7"/>
  <c r="C80" i="7" s="1"/>
  <c r="E275" i="2" s="1"/>
  <c r="H213" i="4"/>
  <c r="C213" i="4" s="1"/>
  <c r="C120" i="8"/>
  <c r="E421" i="2" s="1"/>
  <c r="C70" i="8"/>
  <c r="E266" i="2" s="1"/>
  <c r="H101" i="7"/>
  <c r="C101" i="7" s="1"/>
  <c r="E447" i="2" s="1"/>
  <c r="C21" i="8"/>
  <c r="E83" i="2" s="1"/>
  <c r="C46" i="3" s="1"/>
  <c r="C164" i="5"/>
  <c r="H186" i="5"/>
  <c r="C186" i="5" s="1"/>
  <c r="H117" i="6"/>
  <c r="C117" i="6" s="1"/>
  <c r="E500" i="2" s="1"/>
  <c r="H361" i="4"/>
  <c r="C361" i="4" s="1"/>
  <c r="H147" i="6"/>
  <c r="C147" i="6" s="1"/>
  <c r="E563" i="2" s="1"/>
  <c r="H146" i="7"/>
  <c r="C146" i="7" s="1"/>
  <c r="E592" i="2" s="1"/>
  <c r="H13" i="6"/>
  <c r="C13" i="6" s="1"/>
  <c r="E50" i="2" s="1"/>
  <c r="C16" i="8"/>
  <c r="E27" i="2" s="1"/>
  <c r="C101" i="3" s="1"/>
  <c r="C131" i="8"/>
  <c r="E412" i="2" s="1"/>
  <c r="C150" i="6"/>
  <c r="C202" i="4"/>
  <c r="H11" i="5"/>
  <c r="C11" i="5" s="1"/>
  <c r="H145" i="5"/>
  <c r="C145" i="5" s="1"/>
  <c r="E638" i="2" s="1"/>
  <c r="C328" i="4"/>
  <c r="C69" i="5"/>
  <c r="C158" i="6"/>
  <c r="C7" i="5"/>
  <c r="C373" i="4"/>
  <c r="C27" i="8"/>
  <c r="E77" i="2" s="1"/>
  <c r="C15" i="3" s="1"/>
  <c r="H359" i="4"/>
  <c r="C359" i="4" s="1"/>
  <c r="H34" i="4"/>
  <c r="C34" i="4" s="1"/>
  <c r="C54" i="8"/>
  <c r="E189" i="2" s="1"/>
  <c r="C67" i="8"/>
  <c r="E306" i="2" s="1"/>
  <c r="C249" i="3" s="1"/>
  <c r="H363" i="4"/>
  <c r="C363" i="4" s="1"/>
  <c r="H28" i="7"/>
  <c r="C28" i="7" s="1"/>
  <c r="E110" i="2" s="1"/>
  <c r="C157" i="3" s="1"/>
  <c r="H224" i="8"/>
  <c r="C224" i="8" s="1"/>
  <c r="C63" i="7"/>
  <c r="E304" i="2" s="1"/>
  <c r="C13" i="3" s="1"/>
  <c r="C35" i="4"/>
  <c r="H122" i="5"/>
  <c r="C122" i="5" s="1"/>
  <c r="E570" i="2" s="1"/>
  <c r="C73" i="8"/>
  <c r="E235" i="2" s="1"/>
  <c r="H198" i="5"/>
  <c r="C198" i="5" s="1"/>
  <c r="C152" i="5"/>
  <c r="H48" i="7"/>
  <c r="C48" i="7" s="1"/>
  <c r="E186" i="2" s="1"/>
  <c r="C186" i="3" s="1"/>
  <c r="H404" i="4"/>
  <c r="C404" i="4" s="1"/>
  <c r="H370" i="4"/>
  <c r="C370" i="4" s="1"/>
  <c r="C154" i="6"/>
  <c r="E559" i="2" s="1"/>
  <c r="H23" i="7"/>
  <c r="C23" i="7" s="1"/>
  <c r="E57" i="2" s="1"/>
  <c r="C98" i="3" s="1"/>
  <c r="C44" i="8"/>
  <c r="E184" i="2" s="1"/>
  <c r="C133" i="3" s="1"/>
  <c r="H397" i="4"/>
  <c r="C397" i="4" s="1"/>
  <c r="H35" i="8"/>
  <c r="C35" i="8" s="1"/>
  <c r="E107" i="2" s="1"/>
  <c r="C335" i="3" s="1"/>
  <c r="H42" i="8"/>
  <c r="C42" i="8" s="1"/>
  <c r="E192" i="2" s="1"/>
  <c r="C102" i="3" s="1"/>
  <c r="H83" i="8"/>
  <c r="C83" i="8" s="1"/>
  <c r="E175" i="2" s="1"/>
  <c r="H93" i="7"/>
  <c r="C93" i="7" s="1"/>
  <c r="E322" i="2" s="1"/>
  <c r="C154" i="8"/>
  <c r="E465" i="2" s="1"/>
  <c r="H123" i="4"/>
  <c r="C123" i="4" s="1"/>
  <c r="H116" i="8"/>
  <c r="C116" i="8" s="1"/>
  <c r="E383" i="2" s="1"/>
  <c r="H125" i="7"/>
  <c r="C125" i="7" s="1"/>
  <c r="E574" i="2" s="1"/>
  <c r="H77" i="8"/>
  <c r="C77" i="8" s="1"/>
  <c r="E291" i="2" s="1"/>
  <c r="H20" i="8"/>
  <c r="C20" i="8" s="1"/>
  <c r="E68" i="2" s="1"/>
  <c r="C45" i="3" s="1"/>
  <c r="H179" i="7"/>
  <c r="C179" i="7" s="1"/>
  <c r="E694" i="2" s="1"/>
  <c r="H221" i="4"/>
  <c r="C221" i="4" s="1"/>
  <c r="H305" i="4"/>
  <c r="C305" i="4" s="1"/>
  <c r="H13" i="8"/>
  <c r="C13" i="8" s="1"/>
  <c r="E59" i="2" s="1"/>
  <c r="C304" i="3" s="1"/>
  <c r="H191" i="8"/>
  <c r="C191" i="8" s="1"/>
  <c r="E538" i="2" s="1"/>
  <c r="H362" i="4"/>
  <c r="C362" i="4" s="1"/>
  <c r="H81" i="5"/>
  <c r="C81" i="5" s="1"/>
  <c r="H299" i="4"/>
  <c r="C299" i="4" s="1"/>
  <c r="H204" i="5"/>
  <c r="C204" i="5" s="1"/>
  <c r="E716" i="2" s="1"/>
  <c r="H13" i="5"/>
  <c r="C13" i="5" s="1"/>
  <c r="E32" i="2" s="1"/>
  <c r="C90" i="3" s="1"/>
  <c r="H7" i="6"/>
  <c r="C7" i="6" s="1"/>
  <c r="H131" i="4"/>
  <c r="C131" i="4" s="1"/>
  <c r="H189" i="5"/>
  <c r="C189" i="5" s="1"/>
  <c r="H146" i="5"/>
  <c r="C146" i="5" s="1"/>
  <c r="E632" i="2" s="1"/>
  <c r="H12" i="5"/>
  <c r="C12" i="5" s="1"/>
  <c r="E22" i="2" s="1"/>
  <c r="C119" i="3" s="1"/>
  <c r="H111" i="6"/>
  <c r="C111" i="6" s="1"/>
  <c r="E494" i="2" s="1"/>
  <c r="H379" i="4"/>
  <c r="C379" i="4" s="1"/>
  <c r="H153" i="7"/>
  <c r="C153" i="7" s="1"/>
  <c r="E598" i="2" s="1"/>
  <c r="H124" i="4"/>
  <c r="C124" i="4" s="1"/>
  <c r="H105" i="7"/>
  <c r="C105" i="7" s="1"/>
  <c r="E444" i="2" s="1"/>
  <c r="H178" i="4"/>
  <c r="C178" i="4" s="1"/>
  <c r="H289" i="4"/>
  <c r="C289" i="4" s="1"/>
  <c r="H115" i="4"/>
  <c r="C115" i="4" s="1"/>
  <c r="H97" i="8"/>
  <c r="C97" i="8" s="1"/>
  <c r="E365" i="2" s="1"/>
  <c r="C190" i="3" s="1"/>
  <c r="H253" i="4"/>
  <c r="C253" i="4" s="1"/>
  <c r="H402" i="4"/>
  <c r="C402" i="4" s="1"/>
  <c r="H50" i="7"/>
  <c r="C50" i="7" s="1"/>
  <c r="E163" i="2" s="1"/>
  <c r="C70" i="3" s="1"/>
  <c r="H423" i="4"/>
  <c r="C423" i="4" s="1"/>
  <c r="H49" i="7"/>
  <c r="C49" i="7" s="1"/>
  <c r="E199" i="2" s="1"/>
  <c r="C268" i="3" s="1"/>
  <c r="H293" i="4"/>
  <c r="C293" i="4" s="1"/>
  <c r="H115" i="7"/>
  <c r="C115" i="7" s="1"/>
  <c r="E517" i="2" s="1"/>
  <c r="H371" i="4"/>
  <c r="C371" i="4" s="1"/>
  <c r="H189" i="4"/>
  <c r="C189" i="4" s="1"/>
  <c r="H119" i="7"/>
  <c r="C119" i="7" s="1"/>
  <c r="E492" i="2" s="1"/>
  <c r="H54" i="7"/>
  <c r="C54" i="7" s="1"/>
  <c r="E237" i="2" s="1"/>
  <c r="H316" i="4"/>
  <c r="C316" i="4" s="1"/>
  <c r="H159" i="8"/>
  <c r="C159" i="8" s="1"/>
  <c r="E459" i="2" s="1"/>
  <c r="H40" i="5"/>
  <c r="C40" i="5" s="1"/>
  <c r="H129" i="6"/>
  <c r="C129" i="6" s="1"/>
  <c r="E569" i="2" s="1"/>
  <c r="H89" i="5"/>
  <c r="C89" i="5" s="1"/>
  <c r="H188" i="5"/>
  <c r="C188" i="5" s="1"/>
  <c r="E669" i="2" s="1"/>
  <c r="H78" i="4"/>
  <c r="C78" i="4" s="1"/>
  <c r="H175" i="7"/>
  <c r="C175" i="7" s="1"/>
  <c r="E652" i="2" s="1"/>
  <c r="H31" i="6"/>
  <c r="C31" i="6" s="1"/>
  <c r="H426" i="4"/>
  <c r="C426" i="4" s="1"/>
  <c r="H39" i="4"/>
  <c r="C39" i="4" s="1"/>
  <c r="H206" i="6"/>
  <c r="C206" i="6" s="1"/>
  <c r="E710" i="2" s="1"/>
  <c r="H312" i="4"/>
  <c r="C312" i="4" s="1"/>
  <c r="H61" i="8"/>
  <c r="C61" i="8" s="1"/>
  <c r="E272" i="2" s="1"/>
  <c r="H139" i="8"/>
  <c r="C139" i="8" s="1"/>
  <c r="E404" i="2" s="1"/>
  <c r="H53" i="6"/>
  <c r="C53" i="6" s="1"/>
  <c r="H291" i="4"/>
  <c r="C291" i="4" s="1"/>
  <c r="H240" i="4"/>
  <c r="C240" i="4" s="1"/>
  <c r="H214" i="4"/>
  <c r="C214" i="4" s="1"/>
  <c r="H19" i="5"/>
  <c r="C19" i="5" s="1"/>
  <c r="H96" i="4"/>
  <c r="C96" i="4" s="1"/>
  <c r="H174" i="6"/>
  <c r="C174" i="6" s="1"/>
  <c r="H20" i="7"/>
  <c r="C20" i="7" s="1"/>
  <c r="E89" i="2" s="1"/>
  <c r="C184" i="3" s="1"/>
  <c r="H14" i="6"/>
  <c r="C14" i="6" s="1"/>
  <c r="E37" i="2" s="1"/>
  <c r="C64" i="3" s="1"/>
  <c r="H113" i="4"/>
  <c r="C113" i="4" s="1"/>
  <c r="H74" i="4"/>
  <c r="C74" i="4" s="1"/>
  <c r="H222" i="8"/>
  <c r="C222" i="8" s="1"/>
  <c r="E554" i="2" s="1"/>
  <c r="H256" i="4"/>
  <c r="C256" i="4" s="1"/>
  <c r="H274" i="4"/>
  <c r="C274" i="4" s="1"/>
  <c r="H101" i="4"/>
  <c r="C101" i="4" s="1"/>
  <c r="H104" i="8"/>
  <c r="C104" i="8" s="1"/>
  <c r="E354" i="2" s="1"/>
  <c r="H103" i="7"/>
  <c r="C103" i="7" s="1"/>
  <c r="E437" i="2" s="1"/>
  <c r="H16" i="6"/>
  <c r="C16" i="6" s="1"/>
  <c r="E39" i="2" s="1"/>
  <c r="C210" i="3" s="1"/>
  <c r="H298" i="4"/>
  <c r="C298" i="4" s="1"/>
  <c r="H47" i="5"/>
  <c r="C47" i="5" s="1"/>
  <c r="H185" i="7"/>
  <c r="C185" i="7" s="1"/>
  <c r="E706" i="2" s="1"/>
  <c r="H94" i="8"/>
  <c r="C94" i="8" s="1"/>
  <c r="E345" i="2" s="1"/>
  <c r="H166" i="4"/>
  <c r="C166" i="4" s="1"/>
  <c r="H78" i="8"/>
  <c r="C78" i="8" s="1"/>
  <c r="E202" i="2" s="1"/>
  <c r="H135" i="6"/>
  <c r="C135" i="6" s="1"/>
  <c r="H117" i="7"/>
  <c r="C117" i="7" s="1"/>
  <c r="E543" i="2" s="1"/>
  <c r="H120" i="4"/>
  <c r="C120" i="4" s="1"/>
  <c r="H124" i="7"/>
  <c r="C124" i="7" s="1"/>
  <c r="E512" i="2" s="1"/>
  <c r="H71" i="6"/>
  <c r="C71" i="6" s="1"/>
  <c r="H139" i="4"/>
  <c r="C139" i="4" s="1"/>
  <c r="H203" i="6"/>
  <c r="C203" i="6" s="1"/>
  <c r="E691" i="2" s="1"/>
  <c r="H12" i="7"/>
  <c r="C12" i="7" s="1"/>
  <c r="E54" i="2" s="1"/>
  <c r="C147" i="3" s="1"/>
  <c r="H149" i="8"/>
  <c r="C149" i="8" s="1"/>
  <c r="E423" i="2" s="1"/>
  <c r="H122" i="6"/>
  <c r="C122" i="6" s="1"/>
  <c r="E521" i="2" s="1"/>
  <c r="H39" i="7"/>
  <c r="C39" i="7" s="1"/>
  <c r="E128" i="2" s="1"/>
  <c r="C8" i="3" s="1"/>
  <c r="H64" i="9" l="1"/>
  <c r="H45" i="9"/>
  <c r="H61" i="9"/>
  <c r="H18" i="9"/>
  <c r="H19" i="9"/>
  <c r="H57" i="9"/>
  <c r="H34" i="9"/>
  <c r="H20" i="9"/>
  <c r="H15" i="9"/>
  <c r="F22" i="3"/>
  <c r="U25" i="3" s="1"/>
  <c r="AE2" i="3" s="1"/>
  <c r="J183" i="2"/>
  <c r="E52" i="9"/>
  <c r="J222" i="2"/>
  <c r="F260" i="3"/>
  <c r="U257" i="3" s="1"/>
  <c r="AE9" i="3" s="1"/>
  <c r="F318" i="3"/>
  <c r="U315" i="3" s="1"/>
  <c r="AE11" i="3" s="1"/>
  <c r="F173" i="3"/>
  <c r="U170" i="3" s="1"/>
  <c r="AE6" i="3" s="1"/>
  <c r="J99" i="2"/>
  <c r="F54" i="3"/>
  <c r="F57" i="3" s="1"/>
  <c r="U54" i="3" s="1"/>
  <c r="F289" i="3"/>
  <c r="U286" i="3" s="1"/>
  <c r="AE10" i="3" s="1"/>
  <c r="F115" i="3"/>
  <c r="U112" i="3" s="1"/>
  <c r="AE4" i="3" s="1"/>
  <c r="U141" i="3"/>
  <c r="AE5" i="3" s="1"/>
  <c r="F347" i="3"/>
  <c r="U344" i="3" s="1"/>
  <c r="AE12" i="3" s="1"/>
  <c r="F231" i="3"/>
  <c r="U228" i="3" s="1"/>
  <c r="AE8" i="3" s="1"/>
  <c r="F202" i="3"/>
  <c r="U199" i="3" s="1"/>
  <c r="AE7" i="3" s="1"/>
  <c r="J333" i="2"/>
  <c r="J285" i="2"/>
  <c r="H22" i="9"/>
  <c r="H68" i="9"/>
  <c r="H51" i="9"/>
  <c r="H50" i="9"/>
  <c r="H55" i="9"/>
  <c r="H10" i="9"/>
  <c r="H46" i="9"/>
  <c r="H75" i="9"/>
  <c r="H31" i="9"/>
  <c r="H48" i="9"/>
  <c r="H38" i="9"/>
  <c r="H44" i="9"/>
  <c r="H40" i="9"/>
  <c r="H74" i="9"/>
  <c r="H3" i="9"/>
  <c r="H24" i="9"/>
  <c r="H9" i="9"/>
  <c r="H11" i="9"/>
  <c r="H4" i="9"/>
  <c r="H8" i="9"/>
  <c r="H27" i="9"/>
  <c r="H14" i="9"/>
  <c r="H26" i="9"/>
  <c r="H72" i="9"/>
  <c r="H58" i="9"/>
  <c r="H63" i="9"/>
  <c r="H69" i="9"/>
  <c r="H59" i="9"/>
  <c r="H60" i="9"/>
  <c r="H35" i="9"/>
  <c r="H5" i="9"/>
  <c r="H54" i="9"/>
  <c r="H17" i="9"/>
  <c r="H66" i="9"/>
  <c r="H28" i="9"/>
  <c r="H37" i="9"/>
  <c r="H39" i="9"/>
  <c r="H73" i="9"/>
  <c r="C73" i="9" s="1"/>
  <c r="E338" i="2" s="1"/>
  <c r="H71" i="9"/>
  <c r="H43" i="9"/>
  <c r="H30" i="9"/>
  <c r="H65" i="9"/>
  <c r="H32" i="9"/>
  <c r="H23" i="9"/>
  <c r="E15" i="9"/>
  <c r="J101" i="2"/>
  <c r="E59" i="9"/>
  <c r="J270" i="2"/>
  <c r="E75" i="9"/>
  <c r="J341" i="2"/>
  <c r="E4" i="9"/>
  <c r="J69" i="2"/>
  <c r="E31" i="9"/>
  <c r="J152" i="2"/>
  <c r="E56" i="9"/>
  <c r="J233" i="2"/>
  <c r="E33" i="9"/>
  <c r="J168" i="2"/>
  <c r="H56" i="9"/>
  <c r="H7" i="9"/>
  <c r="H13" i="9"/>
  <c r="E7" i="9"/>
  <c r="J86" i="2"/>
  <c r="E73" i="9"/>
  <c r="J338" i="2"/>
  <c r="E71" i="9"/>
  <c r="J320" i="2"/>
  <c r="E44" i="9"/>
  <c r="J205" i="2"/>
  <c r="E46" i="9"/>
  <c r="J216" i="2"/>
  <c r="E43" i="9"/>
  <c r="J182" i="2"/>
  <c r="E18" i="9"/>
  <c r="J124" i="2"/>
  <c r="J161" i="2"/>
  <c r="E30" i="9"/>
  <c r="H29" i="9"/>
  <c r="E40" i="9"/>
  <c r="J181" i="2"/>
  <c r="E10" i="9"/>
  <c r="J98" i="2"/>
  <c r="E38" i="9"/>
  <c r="J180" i="2"/>
  <c r="J111" i="2"/>
  <c r="E16" i="9"/>
  <c r="E3" i="9"/>
  <c r="J76" i="2"/>
  <c r="E45" i="9"/>
  <c r="J204" i="2"/>
  <c r="E24" i="9"/>
  <c r="J133" i="2"/>
  <c r="E41" i="9"/>
  <c r="J193" i="2"/>
  <c r="E67" i="9"/>
  <c r="J292" i="2"/>
  <c r="E69" i="9"/>
  <c r="J308" i="2"/>
  <c r="H67" i="9"/>
  <c r="H36" i="9"/>
  <c r="H49" i="9"/>
  <c r="E21" i="9"/>
  <c r="J144" i="2"/>
  <c r="F25" i="3"/>
  <c r="F28" i="3" s="1"/>
  <c r="E49" i="9"/>
  <c r="J226" i="2"/>
  <c r="E64" i="9"/>
  <c r="J276" i="2"/>
  <c r="E54" i="9"/>
  <c r="J242" i="2"/>
  <c r="J265" i="2"/>
  <c r="E62" i="9"/>
  <c r="E17" i="9"/>
  <c r="J95" i="2"/>
  <c r="E72" i="9"/>
  <c r="J332" i="2"/>
  <c r="E48" i="9"/>
  <c r="J229" i="2"/>
  <c r="E19" i="9"/>
  <c r="J112" i="2"/>
  <c r="E36" i="9"/>
  <c r="J187" i="2"/>
  <c r="E25" i="9"/>
  <c r="J150" i="2"/>
  <c r="E47" i="9"/>
  <c r="J218" i="2"/>
  <c r="H42" i="9"/>
  <c r="H53" i="9"/>
  <c r="H41" i="9"/>
  <c r="H16" i="9"/>
  <c r="H12" i="9"/>
  <c r="H33" i="9"/>
  <c r="H70" i="9"/>
  <c r="E27" i="9"/>
  <c r="J145" i="2"/>
  <c r="E42" i="9"/>
  <c r="J176" i="2"/>
  <c r="J262" i="2"/>
  <c r="E58" i="9"/>
  <c r="E66" i="9"/>
  <c r="J281" i="2"/>
  <c r="E9" i="9"/>
  <c r="J82" i="2"/>
  <c r="E68" i="9"/>
  <c r="J296" i="2"/>
  <c r="E51" i="9"/>
  <c r="J236" i="2"/>
  <c r="E57" i="9"/>
  <c r="J247" i="2"/>
  <c r="E50" i="9"/>
  <c r="J221" i="2"/>
  <c r="E11" i="9"/>
  <c r="J96" i="2"/>
  <c r="E55" i="9"/>
  <c r="J245" i="2"/>
  <c r="J188" i="2"/>
  <c r="E39" i="9"/>
  <c r="E63" i="9"/>
  <c r="J264" i="2"/>
  <c r="H52" i="9"/>
  <c r="H21" i="9"/>
  <c r="H62" i="9"/>
  <c r="H6" i="9"/>
  <c r="H47" i="9"/>
  <c r="E32" i="9"/>
  <c r="J164" i="2"/>
  <c r="E60" i="9"/>
  <c r="J267" i="2"/>
  <c r="E28" i="9"/>
  <c r="J154" i="2"/>
  <c r="J126" i="2"/>
  <c r="E23" i="9"/>
  <c r="E6" i="9"/>
  <c r="J70" i="2"/>
  <c r="E26" i="9"/>
  <c r="J135" i="2"/>
  <c r="E22" i="9"/>
  <c r="J137" i="2"/>
  <c r="E8" i="9"/>
  <c r="J87" i="2"/>
  <c r="E20" i="9"/>
  <c r="J132" i="2"/>
  <c r="E29" i="9"/>
  <c r="J143" i="2"/>
  <c r="H25" i="9"/>
  <c r="J118" i="7"/>
  <c r="F118" i="7" s="1"/>
  <c r="K508" i="2" s="1"/>
  <c r="J256" i="4"/>
  <c r="F256" i="4" s="1"/>
  <c r="J169" i="6"/>
  <c r="F169" i="6" s="1"/>
  <c r="J82" i="7"/>
  <c r="F82" i="7" s="1"/>
  <c r="K360" i="2" s="1"/>
  <c r="J289" i="4"/>
  <c r="F289" i="4" s="1"/>
  <c r="J131" i="7"/>
  <c r="F131" i="7" s="1"/>
  <c r="K579" i="2" s="1"/>
  <c r="J240" i="4"/>
  <c r="J59" i="5"/>
  <c r="J39" i="7"/>
  <c r="J156" i="7"/>
  <c r="F156" i="7" s="1"/>
  <c r="K601" i="2" s="1"/>
  <c r="J153" i="5"/>
  <c r="J53" i="4"/>
  <c r="F53" i="4" s="1"/>
  <c r="J174" i="7"/>
  <c r="F174" i="7" s="1"/>
  <c r="K620" i="2" s="1"/>
  <c r="J24" i="7"/>
  <c r="F24" i="7" s="1"/>
  <c r="K108" i="2" s="1"/>
  <c r="G97" i="3" s="1"/>
  <c r="J81" i="5"/>
  <c r="F81" i="5" s="1"/>
  <c r="J169" i="7"/>
  <c r="F169" i="7" s="1"/>
  <c r="K641" i="2" s="1"/>
  <c r="J124" i="7"/>
  <c r="F124" i="7" s="1"/>
  <c r="K512" i="2" s="1"/>
  <c r="J41" i="6"/>
  <c r="F41" i="6" s="1"/>
  <c r="J78" i="4"/>
  <c r="F78" i="4" s="1"/>
  <c r="J23" i="5"/>
  <c r="J29" i="7"/>
  <c r="J112" i="7"/>
  <c r="F112" i="7" s="1"/>
  <c r="K540" i="2" s="1"/>
  <c r="J152" i="7"/>
  <c r="F152" i="7" s="1"/>
  <c r="K624" i="2" s="1"/>
  <c r="J104" i="4"/>
  <c r="F104" i="4" s="1"/>
  <c r="J204" i="5"/>
  <c r="F204" i="5" s="1"/>
  <c r="K716" i="2" s="1"/>
  <c r="J160" i="4"/>
  <c r="F160" i="4" s="1"/>
  <c r="J223" i="6"/>
  <c r="J224" i="8"/>
  <c r="F224" i="8" s="1"/>
  <c r="J83" i="7"/>
  <c r="J180" i="7"/>
  <c r="F180" i="7" s="1"/>
  <c r="K693" i="2" s="1"/>
  <c r="J162" i="6"/>
  <c r="J41" i="5"/>
  <c r="F41" i="5" s="1"/>
  <c r="K158" i="2" s="1"/>
  <c r="G322" i="3" s="1"/>
  <c r="J179" i="7"/>
  <c r="F179" i="7" s="1"/>
  <c r="K694" i="2" s="1"/>
  <c r="L694" i="2" s="1"/>
  <c r="J99" i="4"/>
  <c r="F99" i="4" s="1"/>
  <c r="J145" i="5"/>
  <c r="F145" i="5" s="1"/>
  <c r="K638" i="2" s="1"/>
  <c r="J6" i="7"/>
  <c r="F6" i="7" s="1"/>
  <c r="K11" i="2" s="1"/>
  <c r="G300" i="3" s="1"/>
  <c r="J188" i="7"/>
  <c r="F188" i="7" s="1"/>
  <c r="K724" i="2" s="1"/>
  <c r="J92" i="7"/>
  <c r="F92" i="7" s="1"/>
  <c r="K402" i="2" s="1"/>
  <c r="J90" i="5"/>
  <c r="F90" i="5" s="1"/>
  <c r="J408" i="4"/>
  <c r="F408" i="4" s="1"/>
  <c r="J323" i="4"/>
  <c r="F323" i="4" s="1"/>
  <c r="J9" i="5"/>
  <c r="F9" i="5" s="1"/>
  <c r="J113" i="6"/>
  <c r="J271" i="4"/>
  <c r="F271" i="4" s="1"/>
  <c r="J133" i="6"/>
  <c r="J287" i="4"/>
  <c r="F287" i="4" s="1"/>
  <c r="J79" i="5"/>
  <c r="J364" i="4"/>
  <c r="J68" i="4"/>
  <c r="F68" i="4" s="1"/>
  <c r="J30" i="7"/>
  <c r="F30" i="7" s="1"/>
  <c r="K122" i="2" s="1"/>
  <c r="G242" i="3" s="1"/>
  <c r="J56" i="4"/>
  <c r="F56" i="4" s="1"/>
  <c r="E9" i="2"/>
  <c r="F83" i="7"/>
  <c r="K378" i="2" s="1"/>
  <c r="J143" i="6"/>
  <c r="F143" i="6" s="1"/>
  <c r="K590" i="2" s="1"/>
  <c r="J219" i="6"/>
  <c r="J125" i="6"/>
  <c r="J37" i="4"/>
  <c r="J265" i="4"/>
  <c r="F265" i="4" s="1"/>
  <c r="J136" i="5"/>
  <c r="J266" i="4"/>
  <c r="F266" i="4" s="1"/>
  <c r="J211" i="6"/>
  <c r="F211" i="6" s="1"/>
  <c r="J42" i="7"/>
  <c r="F42" i="7" s="1"/>
  <c r="K153" i="2" s="1"/>
  <c r="G301" i="3" s="1"/>
  <c r="J95" i="4"/>
  <c r="J14" i="7"/>
  <c r="F14" i="7" s="1"/>
  <c r="K56" i="2" s="1"/>
  <c r="G185" i="3" s="1"/>
  <c r="J124" i="5"/>
  <c r="F124" i="5" s="1"/>
  <c r="J159" i="4"/>
  <c r="F159" i="4" s="1"/>
  <c r="J213" i="6"/>
  <c r="J60" i="7"/>
  <c r="F60" i="7" s="1"/>
  <c r="K260" i="2" s="1"/>
  <c r="J40" i="4"/>
  <c r="F40" i="4" s="1"/>
  <c r="J69" i="7"/>
  <c r="F69" i="7" s="1"/>
  <c r="K314" i="2" s="1"/>
  <c r="J144" i="4"/>
  <c r="F144" i="4" s="1"/>
  <c r="J206" i="4"/>
  <c r="F206" i="4" s="1"/>
  <c r="J89" i="6"/>
  <c r="F89" i="6" s="1"/>
  <c r="K408" i="2" s="1"/>
  <c r="J205" i="6"/>
  <c r="F205" i="6" s="1"/>
  <c r="K709" i="2" s="1"/>
  <c r="J365" i="4"/>
  <c r="F365" i="4" s="1"/>
  <c r="J197" i="6"/>
  <c r="F197" i="6" s="1"/>
  <c r="K683" i="2" s="1"/>
  <c r="J191" i="6"/>
  <c r="F191" i="6" s="1"/>
  <c r="K684" i="2" s="1"/>
  <c r="J19" i="6"/>
  <c r="F19" i="6" s="1"/>
  <c r="J262" i="4"/>
  <c r="F262" i="4" s="1"/>
  <c r="J185" i="4"/>
  <c r="F185" i="4" s="1"/>
  <c r="J112" i="6"/>
  <c r="J225" i="6"/>
  <c r="J136" i="6"/>
  <c r="J78" i="5"/>
  <c r="F78" i="5" s="1"/>
  <c r="J126" i="6"/>
  <c r="F126" i="6" s="1"/>
  <c r="K541" i="2" s="1"/>
  <c r="J344" i="4"/>
  <c r="F344" i="4" s="1"/>
  <c r="J260" i="4"/>
  <c r="F260" i="4" s="1"/>
  <c r="J89" i="4"/>
  <c r="F89" i="4" s="1"/>
  <c r="J116" i="4"/>
  <c r="F116" i="4" s="1"/>
  <c r="J52" i="5"/>
  <c r="F52" i="5" s="1"/>
  <c r="K211" i="2" s="1"/>
  <c r="G207" i="3" s="1"/>
  <c r="J110" i="4"/>
  <c r="F110" i="4" s="1"/>
  <c r="J173" i="6"/>
  <c r="J74" i="6"/>
  <c r="F74" i="6" s="1"/>
  <c r="J330" i="4"/>
  <c r="F330" i="4" s="1"/>
  <c r="J372" i="4"/>
  <c r="F372" i="4" s="1"/>
  <c r="J167" i="6"/>
  <c r="J349" i="4"/>
  <c r="F349" i="4" s="1"/>
  <c r="J326" i="4"/>
  <c r="F326" i="4" s="1"/>
  <c r="J148" i="7"/>
  <c r="F148" i="7" s="1"/>
  <c r="K593" i="2" s="1"/>
  <c r="J122" i="6"/>
  <c r="F122" i="6" s="1"/>
  <c r="K521" i="2" s="1"/>
  <c r="J71" i="6"/>
  <c r="F71" i="6" s="1"/>
  <c r="J166" i="4"/>
  <c r="F166" i="4" s="1"/>
  <c r="J16" i="6"/>
  <c r="F16" i="6" s="1"/>
  <c r="K39" i="2" s="1"/>
  <c r="G210" i="3" s="1"/>
  <c r="J174" i="6"/>
  <c r="J371" i="4"/>
  <c r="F371" i="4" s="1"/>
  <c r="J50" i="7"/>
  <c r="F50" i="7" s="1"/>
  <c r="K163" i="2" s="1"/>
  <c r="G70" i="3" s="1"/>
  <c r="J7" i="6"/>
  <c r="F7" i="6" s="1"/>
  <c r="J370" i="4"/>
  <c r="F370" i="4" s="1"/>
  <c r="J34" i="4"/>
  <c r="F34" i="4" s="1"/>
  <c r="J44" i="5"/>
  <c r="F44" i="5" s="1"/>
  <c r="K147" i="2" s="1"/>
  <c r="G177" i="3" s="1"/>
  <c r="J121" i="5"/>
  <c r="F121" i="5" s="1"/>
  <c r="J31" i="4"/>
  <c r="F31" i="4" s="1"/>
  <c r="J218" i="4"/>
  <c r="F218" i="4" s="1"/>
  <c r="J163" i="4"/>
  <c r="F163" i="4" s="1"/>
  <c r="J401" i="4"/>
  <c r="J302" i="4"/>
  <c r="F302" i="4" s="1"/>
  <c r="J222" i="4"/>
  <c r="F222" i="4" s="1"/>
  <c r="J91" i="7"/>
  <c r="F91" i="7" s="1"/>
  <c r="K377" i="2" s="1"/>
  <c r="J230" i="4"/>
  <c r="F230" i="4" s="1"/>
  <c r="J106" i="7"/>
  <c r="F106" i="7" s="1"/>
  <c r="K483" i="2" s="1"/>
  <c r="J111" i="4"/>
  <c r="F111" i="4" s="1"/>
  <c r="J51" i="4"/>
  <c r="J355" i="4"/>
  <c r="F355" i="4" s="1"/>
  <c r="J67" i="5"/>
  <c r="F67" i="5" s="1"/>
  <c r="J43" i="5"/>
  <c r="F43" i="5" s="1"/>
  <c r="J191" i="4"/>
  <c r="F191" i="4" s="1"/>
  <c r="J60" i="4"/>
  <c r="F60" i="4" s="1"/>
  <c r="J73" i="7"/>
  <c r="F73" i="7" s="1"/>
  <c r="K298" i="2" s="1"/>
  <c r="J108" i="6"/>
  <c r="F108" i="6" s="1"/>
  <c r="K417" i="2" s="1"/>
  <c r="J391" i="4"/>
  <c r="F391" i="4" s="1"/>
  <c r="J8" i="5"/>
  <c r="F8" i="5" s="1"/>
  <c r="K10" i="2" s="1"/>
  <c r="J60" i="5"/>
  <c r="F60" i="5" s="1"/>
  <c r="J85" i="6"/>
  <c r="J115" i="6"/>
  <c r="J49" i="4"/>
  <c r="F49" i="4" s="1"/>
  <c r="J14" i="5"/>
  <c r="F14" i="5" s="1"/>
  <c r="K28" i="2" s="1"/>
  <c r="G293" i="3" s="1"/>
  <c r="J147" i="7"/>
  <c r="F147" i="7" s="1"/>
  <c r="K629" i="2" s="1"/>
  <c r="J428" i="4"/>
  <c r="F428" i="4" s="1"/>
  <c r="J24" i="6"/>
  <c r="F24" i="6" s="1"/>
  <c r="J48" i="4"/>
  <c r="F48" i="4" s="1"/>
  <c r="J24" i="5"/>
  <c r="F24" i="5" s="1"/>
  <c r="K52" i="2" s="1"/>
  <c r="G234" i="3" s="1"/>
  <c r="J33" i="5"/>
  <c r="F33" i="5" s="1"/>
  <c r="J108" i="5"/>
  <c r="F108" i="5" s="1"/>
  <c r="J163" i="5"/>
  <c r="F163" i="5" s="1"/>
  <c r="J171" i="6"/>
  <c r="F171" i="6" s="1"/>
  <c r="K576" i="2" s="1"/>
  <c r="J18" i="6"/>
  <c r="J185" i="6"/>
  <c r="J135" i="4"/>
  <c r="F135" i="4" s="1"/>
  <c r="J176" i="5"/>
  <c r="F176" i="5" s="1"/>
  <c r="K675" i="2" s="1"/>
  <c r="J91" i="4"/>
  <c r="F91" i="4" s="1"/>
  <c r="J28" i="4"/>
  <c r="F28" i="4" s="1"/>
  <c r="J6" i="4"/>
  <c r="F6" i="4" s="1"/>
  <c r="J94" i="6"/>
  <c r="J178" i="7"/>
  <c r="F178" i="7" s="1"/>
  <c r="K699" i="2" s="1"/>
  <c r="J33" i="4"/>
  <c r="F33" i="4" s="1"/>
  <c r="J207" i="5"/>
  <c r="F207" i="5" s="1"/>
  <c r="K721" i="2" s="1"/>
  <c r="J192" i="6"/>
  <c r="F192" i="6" s="1"/>
  <c r="K615" i="2" s="1"/>
  <c r="L615" i="2" s="1"/>
  <c r="J373" i="4"/>
  <c r="F373" i="4" s="1"/>
  <c r="J182" i="4"/>
  <c r="F182" i="4" s="1"/>
  <c r="J21" i="4"/>
  <c r="F21" i="4" s="1"/>
  <c r="J176" i="7"/>
  <c r="F176" i="7" s="1"/>
  <c r="K635" i="2" s="1"/>
  <c r="J341" i="4"/>
  <c r="F341" i="4" s="1"/>
  <c r="J295" i="4"/>
  <c r="F295" i="4" s="1"/>
  <c r="J4" i="5"/>
  <c r="J187" i="4"/>
  <c r="F187" i="4" s="1"/>
  <c r="J76" i="7"/>
  <c r="F76" i="7" s="1"/>
  <c r="K337" i="2" s="1"/>
  <c r="J179" i="5"/>
  <c r="F179" i="5" s="1"/>
  <c r="J158" i="7"/>
  <c r="F158" i="7" s="1"/>
  <c r="K605" i="2" s="1"/>
  <c r="J378" i="4"/>
  <c r="F378" i="4" s="1"/>
  <c r="J93" i="6"/>
  <c r="J170" i="7"/>
  <c r="F170" i="7" s="1"/>
  <c r="K608" i="2" s="1"/>
  <c r="J142" i="6"/>
  <c r="F142" i="6" s="1"/>
  <c r="J71" i="5"/>
  <c r="F71" i="5" s="1"/>
  <c r="K343" i="2" s="1"/>
  <c r="J137" i="7"/>
  <c r="F137" i="7" s="1"/>
  <c r="K587" i="2" s="1"/>
  <c r="J138" i="4"/>
  <c r="F138" i="4" s="1"/>
  <c r="J69" i="5"/>
  <c r="J197" i="5"/>
  <c r="F197" i="5" s="1"/>
  <c r="K726" i="2" s="1"/>
  <c r="J75" i="7"/>
  <c r="F75" i="7" s="1"/>
  <c r="K318" i="2" s="1"/>
  <c r="J73" i="6"/>
  <c r="F73" i="6" s="1"/>
  <c r="J347" i="4"/>
  <c r="F347" i="4" s="1"/>
  <c r="J269" i="4"/>
  <c r="J15" i="7"/>
  <c r="F15" i="7" s="1"/>
  <c r="K60" i="2" s="1"/>
  <c r="G155" i="3" s="1"/>
  <c r="J375" i="4"/>
  <c r="F375" i="4" s="1"/>
  <c r="J58" i="6"/>
  <c r="F58" i="6" s="1"/>
  <c r="J104" i="7"/>
  <c r="F104" i="7" s="1"/>
  <c r="K489" i="2" s="1"/>
  <c r="J150" i="5"/>
  <c r="F150" i="5" s="1"/>
  <c r="K633" i="2" s="1"/>
  <c r="J418" i="4"/>
  <c r="F418" i="4" s="1"/>
  <c r="J278" i="4"/>
  <c r="F278" i="4" s="1"/>
  <c r="J136" i="7"/>
  <c r="F136" i="7" s="1"/>
  <c r="K604" i="2" s="1"/>
  <c r="J120" i="7"/>
  <c r="F120" i="7" s="1"/>
  <c r="K529" i="2" s="1"/>
  <c r="J88" i="5"/>
  <c r="F88" i="5" s="1"/>
  <c r="J9" i="7"/>
  <c r="F9" i="7" s="1"/>
  <c r="K23" i="2" s="1"/>
  <c r="G271" i="3" s="1"/>
  <c r="J190" i="6"/>
  <c r="J56" i="7"/>
  <c r="F56" i="7" s="1"/>
  <c r="K269" i="2" s="1"/>
  <c r="J217" i="4"/>
  <c r="F217" i="4" s="1"/>
  <c r="J122" i="4"/>
  <c r="F122" i="4" s="1"/>
  <c r="J93" i="5"/>
  <c r="F93" i="5" s="1"/>
  <c r="K385" i="2" s="1"/>
  <c r="J22" i="6"/>
  <c r="F22" i="6" s="1"/>
  <c r="J126" i="4"/>
  <c r="F126" i="4" s="1"/>
  <c r="J66" i="5"/>
  <c r="F66" i="5" s="1"/>
  <c r="K299" i="2" s="1"/>
  <c r="J318" i="4"/>
  <c r="F318" i="4" s="1"/>
  <c r="J128" i="6"/>
  <c r="J64" i="6"/>
  <c r="F64" i="6" s="1"/>
  <c r="K213" i="2" s="1"/>
  <c r="J25" i="4"/>
  <c r="F25" i="4" s="1"/>
  <c r="J7" i="4"/>
  <c r="F7" i="4" s="1"/>
  <c r="J148" i="5"/>
  <c r="J132" i="6"/>
  <c r="F132" i="6" s="1"/>
  <c r="K584" i="2" s="1"/>
  <c r="J411" i="4"/>
  <c r="F411" i="4" s="1"/>
  <c r="J87" i="6"/>
  <c r="F87" i="6" s="1"/>
  <c r="K452" i="2" s="1"/>
  <c r="J119" i="5"/>
  <c r="F119" i="5" s="1"/>
  <c r="J176" i="4"/>
  <c r="F176" i="4" s="1"/>
  <c r="J193" i="5"/>
  <c r="F193" i="5" s="1"/>
  <c r="K679" i="2" s="1"/>
  <c r="J204" i="4"/>
  <c r="F204" i="4" s="1"/>
  <c r="J390" i="4"/>
  <c r="F390" i="4" s="1"/>
  <c r="J151" i="4"/>
  <c r="F151" i="4" s="1"/>
  <c r="J20" i="5"/>
  <c r="F20" i="5" s="1"/>
  <c r="K35" i="2" s="1"/>
  <c r="G321" i="3" s="1"/>
  <c r="J105" i="5"/>
  <c r="F105" i="5" s="1"/>
  <c r="K368" i="2" s="1"/>
  <c r="J403" i="4"/>
  <c r="F403" i="4" s="1"/>
  <c r="J168" i="5"/>
  <c r="F168" i="5" s="1"/>
  <c r="K689" i="2" s="1"/>
  <c r="J140" i="7"/>
  <c r="F140" i="7" s="1"/>
  <c r="K611" i="2" s="1"/>
  <c r="J72" i="5"/>
  <c r="F72" i="5" s="1"/>
  <c r="J281" i="4"/>
  <c r="F281" i="4" s="1"/>
  <c r="J396" i="4"/>
  <c r="F396" i="4" s="1"/>
  <c r="J200" i="5"/>
  <c r="F200" i="5" s="1"/>
  <c r="J128" i="7"/>
  <c r="F128" i="7" s="1"/>
  <c r="K578" i="2" s="1"/>
  <c r="J42" i="5"/>
  <c r="F42" i="5" s="1"/>
  <c r="J88" i="6"/>
  <c r="F88" i="6" s="1"/>
  <c r="K342" i="2" s="1"/>
  <c r="J153" i="4"/>
  <c r="F153" i="4" s="1"/>
  <c r="J175" i="4"/>
  <c r="F175" i="4" s="1"/>
  <c r="J215" i="4"/>
  <c r="F215" i="4" s="1"/>
  <c r="J351" i="4"/>
  <c r="F351" i="4" s="1"/>
  <c r="J160" i="6"/>
  <c r="F160" i="6" s="1"/>
  <c r="J16" i="5"/>
  <c r="J95" i="6"/>
  <c r="F95" i="6" s="1"/>
  <c r="K482" i="2" s="1"/>
  <c r="J286" i="4"/>
  <c r="F286" i="4" s="1"/>
  <c r="J112" i="4"/>
  <c r="F112" i="4" s="1"/>
  <c r="J8" i="6"/>
  <c r="F8" i="6" s="1"/>
  <c r="K26" i="2" s="1"/>
  <c r="G31" i="3" s="1"/>
  <c r="J77" i="7"/>
  <c r="F77" i="7" s="1"/>
  <c r="K362" i="2" s="1"/>
  <c r="J267" i="4"/>
  <c r="F267" i="4" s="1"/>
  <c r="J131" i="6"/>
  <c r="J393" i="4"/>
  <c r="F393" i="4" s="1"/>
  <c r="J239" i="4"/>
  <c r="F239" i="4" s="1"/>
  <c r="J66" i="6"/>
  <c r="F66" i="6" s="1"/>
  <c r="K278" i="2" s="1"/>
  <c r="J80" i="5"/>
  <c r="F80" i="5" s="1"/>
  <c r="K328" i="2" s="1"/>
  <c r="J39" i="4"/>
  <c r="F39" i="4" s="1"/>
  <c r="J195" i="5"/>
  <c r="F195" i="5" s="1"/>
  <c r="K658" i="2" s="1"/>
  <c r="J179" i="4"/>
  <c r="F179" i="4" s="1"/>
  <c r="J414" i="4"/>
  <c r="F414" i="4" s="1"/>
  <c r="J29" i="4"/>
  <c r="F29" i="4" s="1"/>
  <c r="J123" i="6"/>
  <c r="J114" i="5"/>
  <c r="F114" i="5" s="1"/>
  <c r="J158" i="4"/>
  <c r="F158" i="4" s="1"/>
  <c r="J188" i="5"/>
  <c r="F188" i="5" s="1"/>
  <c r="K669" i="2" s="1"/>
  <c r="J316" i="4"/>
  <c r="F316" i="4" s="1"/>
  <c r="J115" i="7"/>
  <c r="F115" i="7" s="1"/>
  <c r="K517" i="2" s="1"/>
  <c r="J402" i="4"/>
  <c r="F402" i="4" s="1"/>
  <c r="J147" i="6"/>
  <c r="F147" i="6" s="1"/>
  <c r="K563" i="2" s="1"/>
  <c r="J186" i="5"/>
  <c r="F186" i="5" s="1"/>
  <c r="J86" i="7"/>
  <c r="F86" i="7" s="1"/>
  <c r="K356" i="2" s="1"/>
  <c r="J165" i="4"/>
  <c r="F165" i="4" s="1"/>
  <c r="J117" i="5"/>
  <c r="F117" i="5" s="1"/>
  <c r="J133" i="5"/>
  <c r="J27" i="4"/>
  <c r="F27" i="4" s="1"/>
  <c r="J117" i="4"/>
  <c r="F117" i="4" s="1"/>
  <c r="J159" i="6"/>
  <c r="F159" i="6" s="1"/>
  <c r="K613" i="2" s="1"/>
  <c r="J319" i="4"/>
  <c r="F319" i="4" s="1"/>
  <c r="J66" i="7"/>
  <c r="F66" i="7" s="1"/>
  <c r="K244" i="2" s="1"/>
  <c r="G127" i="3" s="1"/>
  <c r="J26" i="7"/>
  <c r="F26" i="7" s="1"/>
  <c r="K94" i="2" s="1"/>
  <c r="G99" i="3" s="1"/>
  <c r="J306" i="4"/>
  <c r="F306" i="4" s="1"/>
  <c r="J177" i="7"/>
  <c r="F177" i="7" s="1"/>
  <c r="K700" i="2" s="1"/>
  <c r="J149" i="5"/>
  <c r="J259" i="4"/>
  <c r="F259" i="4" s="1"/>
  <c r="J335" i="4"/>
  <c r="F335" i="4" s="1"/>
  <c r="J172" i="6"/>
  <c r="F172" i="6" s="1"/>
  <c r="J92" i="5"/>
  <c r="F92" i="5" s="1"/>
  <c r="K290" i="2" s="1"/>
  <c r="J86" i="5"/>
  <c r="F86" i="5" s="1"/>
  <c r="J53" i="7"/>
  <c r="F53" i="7" s="1"/>
  <c r="K239" i="2" s="1"/>
  <c r="J5" i="5"/>
  <c r="F5" i="5" s="1"/>
  <c r="K3" i="2" s="1"/>
  <c r="G118" i="3" s="1"/>
  <c r="J384" i="4"/>
  <c r="F384" i="4" s="1"/>
  <c r="J36" i="5"/>
  <c r="F36" i="5" s="1"/>
  <c r="K139" i="2" s="1"/>
  <c r="G61" i="3" s="1"/>
  <c r="J116" i="7"/>
  <c r="F116" i="7" s="1"/>
  <c r="K555" i="2" s="1"/>
  <c r="J201" i="4"/>
  <c r="F201" i="4" s="1"/>
  <c r="J121" i="6"/>
  <c r="J87" i="7"/>
  <c r="F87" i="7" s="1"/>
  <c r="K284" i="2" s="1"/>
  <c r="J123" i="5"/>
  <c r="F123" i="5" s="1"/>
  <c r="K580" i="2" s="1"/>
  <c r="J71" i="4"/>
  <c r="F71" i="4" s="1"/>
  <c r="J72" i="4"/>
  <c r="J43" i="6"/>
  <c r="F43" i="6" s="1"/>
  <c r="J85" i="5"/>
  <c r="F85" i="5" s="1"/>
  <c r="J135" i="5"/>
  <c r="F135" i="5" s="1"/>
  <c r="K530" i="2" s="1"/>
  <c r="J57" i="5"/>
  <c r="F57" i="5" s="1"/>
  <c r="K282" i="2" s="1"/>
  <c r="J59" i="7"/>
  <c r="F59" i="7" s="1"/>
  <c r="K289" i="2" s="1"/>
  <c r="J140" i="4"/>
  <c r="F140" i="4" s="1"/>
  <c r="J38" i="6"/>
  <c r="F38" i="6" s="1"/>
  <c r="J51" i="5"/>
  <c r="F51" i="5" s="1"/>
  <c r="K209" i="2" s="1"/>
  <c r="G32" i="3" s="1"/>
  <c r="J45" i="4"/>
  <c r="F45" i="4" s="1"/>
  <c r="J3" i="4"/>
  <c r="F3" i="4" s="1"/>
  <c r="J134" i="7"/>
  <c r="F134" i="7" s="1"/>
  <c r="K581" i="2" s="1"/>
  <c r="J156" i="5"/>
  <c r="F156" i="5" s="1"/>
  <c r="K648" i="2" s="1"/>
  <c r="J156" i="4"/>
  <c r="F156" i="4" s="1"/>
  <c r="J161" i="6"/>
  <c r="F161" i="6" s="1"/>
  <c r="K551" i="2" s="1"/>
  <c r="J308" i="4"/>
  <c r="F308" i="4" s="1"/>
  <c r="J46" i="4"/>
  <c r="F46" i="4" s="1"/>
  <c r="J209" i="4"/>
  <c r="F209" i="4" s="1"/>
  <c r="J40" i="7"/>
  <c r="F40" i="7" s="1"/>
  <c r="K162" i="2" s="1"/>
  <c r="J17" i="4"/>
  <c r="F17" i="4" s="1"/>
  <c r="J100" i="5"/>
  <c r="F100" i="5" s="1"/>
  <c r="J29" i="6"/>
  <c r="F29" i="6" s="1"/>
  <c r="K109" i="2" s="1"/>
  <c r="G123" i="3" s="1"/>
  <c r="J284" i="4"/>
  <c r="F284" i="4" s="1"/>
  <c r="J52" i="4"/>
  <c r="F52" i="4" s="1"/>
  <c r="J350" i="4"/>
  <c r="F350" i="4" s="1"/>
  <c r="J112" i="5"/>
  <c r="F112" i="5" s="1"/>
  <c r="J204" i="6"/>
  <c r="F204" i="6" s="1"/>
  <c r="K678" i="2" s="1"/>
  <c r="J192" i="4"/>
  <c r="F192" i="4" s="1"/>
  <c r="J69" i="4"/>
  <c r="F69" i="4" s="1"/>
  <c r="J155" i="4"/>
  <c r="F155" i="4" s="1"/>
  <c r="J30" i="5"/>
  <c r="F30" i="5" s="1"/>
  <c r="J211" i="4"/>
  <c r="F211" i="4" s="1"/>
  <c r="J158" i="6"/>
  <c r="J430" i="4"/>
  <c r="F430" i="4" s="1"/>
  <c r="J140" i="5"/>
  <c r="F140" i="5" s="1"/>
  <c r="J75" i="6"/>
  <c r="F75" i="6" s="1"/>
  <c r="K348" i="2" s="1"/>
  <c r="J95" i="7"/>
  <c r="F95" i="7" s="1"/>
  <c r="K431" i="2" s="1"/>
  <c r="J118" i="4"/>
  <c r="F118" i="4" s="1"/>
  <c r="J321" i="4"/>
  <c r="F321" i="4" s="1"/>
  <c r="J100" i="6"/>
  <c r="F100" i="6" s="1"/>
  <c r="K466" i="2" s="1"/>
  <c r="J44" i="6"/>
  <c r="J268" i="4"/>
  <c r="F268" i="4" s="1"/>
  <c r="J128" i="5"/>
  <c r="F128" i="5" s="1"/>
  <c r="K544" i="2" s="1"/>
  <c r="J139" i="5"/>
  <c r="F139" i="5" s="1"/>
  <c r="J50" i="6"/>
  <c r="F50" i="6" s="1"/>
  <c r="J254" i="4"/>
  <c r="F254" i="4" s="1"/>
  <c r="J107" i="7"/>
  <c r="F107" i="7" s="1"/>
  <c r="K497" i="2" s="1"/>
  <c r="J79" i="6"/>
  <c r="F79" i="6" s="1"/>
  <c r="J376" i="4"/>
  <c r="F376" i="4" s="1"/>
  <c r="J162" i="5"/>
  <c r="F162" i="5" s="1"/>
  <c r="J104" i="6"/>
  <c r="F104" i="6" s="1"/>
  <c r="K330" i="2" s="1"/>
  <c r="J261" i="4"/>
  <c r="F261" i="4" s="1"/>
  <c r="J296" i="4"/>
  <c r="F296" i="4" s="1"/>
  <c r="J181" i="5"/>
  <c r="F181" i="5" s="1"/>
  <c r="J55" i="5"/>
  <c r="F55" i="5" s="1"/>
  <c r="J300" i="4"/>
  <c r="F300" i="4" s="1"/>
  <c r="J322" i="4"/>
  <c r="F322" i="4" s="1"/>
  <c r="J24" i="4"/>
  <c r="J114" i="7"/>
  <c r="F114" i="7" s="1"/>
  <c r="K462" i="2" s="1"/>
  <c r="J33" i="7"/>
  <c r="F33" i="7" s="1"/>
  <c r="K105" i="2" s="1"/>
  <c r="G215" i="3" s="1"/>
  <c r="J42" i="6"/>
  <c r="F42" i="6" s="1"/>
  <c r="K138" i="2" s="1"/>
  <c r="G241" i="3" s="1"/>
  <c r="J223" i="4"/>
  <c r="F223" i="4" s="1"/>
  <c r="J264" i="4"/>
  <c r="F264" i="4" s="1"/>
  <c r="J198" i="4"/>
  <c r="F198" i="4" s="1"/>
  <c r="J209" i="6"/>
  <c r="J135" i="7"/>
  <c r="F135" i="7" s="1"/>
  <c r="K566" i="2" s="1"/>
  <c r="J206" i="6"/>
  <c r="F206" i="6" s="1"/>
  <c r="K710" i="2" s="1"/>
  <c r="J336" i="4"/>
  <c r="F336" i="4" s="1"/>
  <c r="J195" i="6"/>
  <c r="J70" i="6"/>
  <c r="J399" i="4"/>
  <c r="F399" i="4" s="1"/>
  <c r="J409" i="4"/>
  <c r="F409" i="4" s="1"/>
  <c r="J194" i="6"/>
  <c r="F194" i="6" s="1"/>
  <c r="J54" i="5"/>
  <c r="F54" i="5" s="1"/>
  <c r="K238" i="2" s="1"/>
  <c r="G237" i="3" s="1"/>
  <c r="J5" i="6"/>
  <c r="J83" i="6"/>
  <c r="F83" i="6" s="1"/>
  <c r="J70" i="4"/>
  <c r="F70" i="4" s="1"/>
  <c r="J44" i="4"/>
  <c r="F44" i="4" s="1"/>
  <c r="J180" i="6"/>
  <c r="F180" i="6" s="1"/>
  <c r="K619" i="2" s="1"/>
  <c r="J149" i="6"/>
  <c r="F149" i="6" s="1"/>
  <c r="K542" i="2" s="1"/>
  <c r="J181" i="4"/>
  <c r="F181" i="4" s="1"/>
  <c r="J70" i="5"/>
  <c r="F70" i="5" s="1"/>
  <c r="K149" i="2" s="1"/>
  <c r="G323" i="3" s="1"/>
  <c r="J103" i="7"/>
  <c r="F103" i="7" s="1"/>
  <c r="K437" i="2" s="1"/>
  <c r="J74" i="4"/>
  <c r="F74" i="4" s="1"/>
  <c r="J12" i="7"/>
  <c r="F12" i="7" s="1"/>
  <c r="K54" i="2" s="1"/>
  <c r="G147" i="3" s="1"/>
  <c r="J53" i="6"/>
  <c r="F53" i="6" s="1"/>
  <c r="J426" i="4"/>
  <c r="F426" i="4" s="1"/>
  <c r="J105" i="7"/>
  <c r="F105" i="7" s="1"/>
  <c r="K444" i="2" s="1"/>
  <c r="J12" i="5"/>
  <c r="F12" i="5" s="1"/>
  <c r="K22" i="2" s="1"/>
  <c r="G119" i="3" s="1"/>
  <c r="J13" i="5"/>
  <c r="J125" i="7"/>
  <c r="F125" i="7" s="1"/>
  <c r="K574" i="2" s="1"/>
  <c r="J93" i="7"/>
  <c r="F93" i="7" s="1"/>
  <c r="K322" i="2" s="1"/>
  <c r="J23" i="7"/>
  <c r="F23" i="7" s="1"/>
  <c r="K57" i="2" s="1"/>
  <c r="G98" i="3" s="1"/>
  <c r="J404" i="4"/>
  <c r="J101" i="7"/>
  <c r="F101" i="7" s="1"/>
  <c r="K447" i="2" s="1"/>
  <c r="J202" i="5"/>
  <c r="F202" i="5" s="1"/>
  <c r="J65" i="4"/>
  <c r="F65" i="4" s="1"/>
  <c r="J111" i="5"/>
  <c r="F111" i="5" s="1"/>
  <c r="J17" i="5"/>
  <c r="F17" i="5" s="1"/>
  <c r="J104" i="5"/>
  <c r="F104" i="5" s="1"/>
  <c r="J61" i="7"/>
  <c r="F61" i="7" s="1"/>
  <c r="K293" i="2" s="1"/>
  <c r="J207" i="6"/>
  <c r="F207" i="6" s="1"/>
  <c r="J98" i="7"/>
  <c r="F98" i="7" s="1"/>
  <c r="K498" i="2" s="1"/>
  <c r="J96" i="7"/>
  <c r="F96" i="7" s="1"/>
  <c r="K445" i="2" s="1"/>
  <c r="J212" i="4"/>
  <c r="F212" i="4" s="1"/>
  <c r="J113" i="7"/>
  <c r="F113" i="7" s="1"/>
  <c r="K464" i="2" s="1"/>
  <c r="J165" i="6"/>
  <c r="F165" i="6" s="1"/>
  <c r="K657" i="2" s="1"/>
  <c r="J387" i="4"/>
  <c r="F387" i="4" s="1"/>
  <c r="J136" i="4"/>
  <c r="F136" i="4" s="1"/>
  <c r="J184" i="4"/>
  <c r="F184" i="4" s="1"/>
  <c r="J61" i="5"/>
  <c r="F61" i="5" s="1"/>
  <c r="K302" i="2" s="1"/>
  <c r="J106" i="6"/>
  <c r="F106" i="6" s="1"/>
  <c r="J84" i="5"/>
  <c r="F84" i="5" s="1"/>
  <c r="K349" i="2" s="1"/>
  <c r="J431" i="4"/>
  <c r="F431" i="4" s="1"/>
  <c r="J203" i="5"/>
  <c r="F203" i="5" s="1"/>
  <c r="K722" i="2" s="1"/>
  <c r="J109" i="6"/>
  <c r="F109" i="6" s="1"/>
  <c r="K476" i="2" s="1"/>
  <c r="J263" i="4"/>
  <c r="F263" i="4" s="1"/>
  <c r="J67" i="4"/>
  <c r="J339" i="4"/>
  <c r="F339" i="4" s="1"/>
  <c r="J34" i="6"/>
  <c r="F34" i="6" s="1"/>
  <c r="K67" i="2" s="1"/>
  <c r="G94" i="3" s="1"/>
  <c r="J99" i="7"/>
  <c r="F99" i="7" s="1"/>
  <c r="K486" i="2" s="1"/>
  <c r="J218" i="6"/>
  <c r="F218" i="6" s="1"/>
  <c r="K728" i="2" s="1"/>
  <c r="J196" i="4"/>
  <c r="F196" i="4" s="1"/>
  <c r="J78" i="6"/>
  <c r="F78" i="6" s="1"/>
  <c r="K392" i="2" s="1"/>
  <c r="J116" i="5"/>
  <c r="F116" i="5" s="1"/>
  <c r="J186" i="4"/>
  <c r="F186" i="4" s="1"/>
  <c r="J416" i="4"/>
  <c r="F416" i="4" s="1"/>
  <c r="J138" i="6"/>
  <c r="F138" i="6" s="1"/>
  <c r="K567" i="2" s="1"/>
  <c r="J208" i="6"/>
  <c r="F208" i="6" s="1"/>
  <c r="K703" i="2" s="1"/>
  <c r="J205" i="4"/>
  <c r="F205" i="4" s="1"/>
  <c r="J173" i="4"/>
  <c r="F173" i="4" s="1"/>
  <c r="J15" i="6"/>
  <c r="F15" i="6" s="1"/>
  <c r="J233" i="4"/>
  <c r="F233" i="4" s="1"/>
  <c r="J6" i="5"/>
  <c r="F6" i="5" s="1"/>
  <c r="K5" i="2" s="1"/>
  <c r="G176" i="3" s="1"/>
  <c r="J346" i="4"/>
  <c r="F346" i="4" s="1"/>
  <c r="J75" i="4"/>
  <c r="F75" i="4" s="1"/>
  <c r="J160" i="5"/>
  <c r="F160" i="5" s="1"/>
  <c r="K659" i="2" s="1"/>
  <c r="J143" i="7"/>
  <c r="F143" i="7" s="1"/>
  <c r="K616" i="2" s="1"/>
  <c r="J34" i="5"/>
  <c r="F34" i="5" s="1"/>
  <c r="J199" i="6"/>
  <c r="F199" i="6" s="1"/>
  <c r="K609" i="2" s="1"/>
  <c r="J162" i="7"/>
  <c r="F162" i="7" s="1"/>
  <c r="K630" i="2" s="1"/>
  <c r="J91" i="5"/>
  <c r="F91" i="5" s="1"/>
  <c r="K448" i="2" s="1"/>
  <c r="J153" i="6"/>
  <c r="F153" i="6" s="1"/>
  <c r="J152" i="5"/>
  <c r="F152" i="5" s="1"/>
  <c r="J39" i="6"/>
  <c r="F39" i="6" s="1"/>
  <c r="K141" i="2" s="1"/>
  <c r="G205" i="3" s="1"/>
  <c r="J301" i="4"/>
  <c r="F301" i="4" s="1"/>
  <c r="J38" i="7"/>
  <c r="F38" i="7" s="1"/>
  <c r="K134" i="2" s="1"/>
  <c r="G40" i="3" s="1"/>
  <c r="J21" i="7"/>
  <c r="F21" i="7" s="1"/>
  <c r="K91" i="2" s="1"/>
  <c r="G41" i="3" s="1"/>
  <c r="J196" i="6"/>
  <c r="J367" i="4"/>
  <c r="F367" i="4" s="1"/>
  <c r="J227" i="4"/>
  <c r="F227" i="4" s="1"/>
  <c r="J166" i="7"/>
  <c r="F166" i="7" s="1"/>
  <c r="K665" i="2" s="1"/>
  <c r="J129" i="7"/>
  <c r="F129" i="7" s="1"/>
  <c r="K591" i="2" s="1"/>
  <c r="J67" i="6"/>
  <c r="F67" i="6" s="1"/>
  <c r="K255" i="2" s="1"/>
  <c r="J94" i="4"/>
  <c r="F94" i="4" s="1"/>
  <c r="J231" i="4"/>
  <c r="F231" i="4" s="1"/>
  <c r="J70" i="7"/>
  <c r="F70" i="7" s="1"/>
  <c r="K283" i="2" s="1"/>
  <c r="J10" i="6"/>
  <c r="F10" i="6" s="1"/>
  <c r="K33" i="2" s="1"/>
  <c r="G93" i="3" s="1"/>
  <c r="J166" i="5"/>
  <c r="F166" i="5" s="1"/>
  <c r="K673" i="2" s="1"/>
  <c r="J292" i="4"/>
  <c r="F292" i="4" s="1"/>
  <c r="J49" i="5"/>
  <c r="F49" i="5" s="1"/>
  <c r="J191" i="5"/>
  <c r="F191" i="5" s="1"/>
  <c r="K704" i="2" s="1"/>
  <c r="J87" i="4"/>
  <c r="F87" i="4" s="1"/>
  <c r="J164" i="6"/>
  <c r="F164" i="6" s="1"/>
  <c r="J14" i="4"/>
  <c r="F14" i="4" s="1"/>
  <c r="J216" i="4"/>
  <c r="F216" i="4" s="1"/>
  <c r="J139" i="6"/>
  <c r="J75" i="5"/>
  <c r="F75" i="5" s="1"/>
  <c r="J161" i="4"/>
  <c r="F161" i="4" s="1"/>
  <c r="J155" i="5"/>
  <c r="F155" i="5" s="1"/>
  <c r="K651" i="2" s="1"/>
  <c r="J81" i="7"/>
  <c r="F81" i="7" s="1"/>
  <c r="K303" i="2" s="1"/>
  <c r="J90" i="6"/>
  <c r="F90" i="6" s="1"/>
  <c r="J353" i="4"/>
  <c r="F353" i="4" s="1"/>
  <c r="J243" i="4"/>
  <c r="F243" i="4" s="1"/>
  <c r="J148" i="4"/>
  <c r="F148" i="4" s="1"/>
  <c r="J338" i="4"/>
  <c r="F338" i="4" s="1"/>
  <c r="J151" i="6"/>
  <c r="F151" i="6" s="1"/>
  <c r="J98" i="5"/>
  <c r="F98" i="5" s="1"/>
  <c r="J21" i="5"/>
  <c r="F21" i="5" s="1"/>
  <c r="J81" i="6"/>
  <c r="F81" i="6" s="1"/>
  <c r="J294" i="4"/>
  <c r="F294" i="4" s="1"/>
  <c r="J198" i="6"/>
  <c r="F198" i="6" s="1"/>
  <c r="K711" i="2" s="1"/>
  <c r="J317" i="4"/>
  <c r="F317" i="4" s="1"/>
  <c r="J424" i="4"/>
  <c r="F424" i="4" s="1"/>
  <c r="J215" i="6"/>
  <c r="F215" i="6" s="1"/>
  <c r="K717" i="2" s="1"/>
  <c r="J109" i="5"/>
  <c r="F109" i="5" s="1"/>
  <c r="J86" i="4"/>
  <c r="F86" i="4" s="1"/>
  <c r="J420" i="4"/>
  <c r="F420" i="4" s="1"/>
  <c r="J109" i="7"/>
  <c r="F109" i="7" s="1"/>
  <c r="K405" i="2" s="1"/>
  <c r="J111" i="6"/>
  <c r="F111" i="6" s="1"/>
  <c r="K494" i="2" s="1"/>
  <c r="J362" i="4"/>
  <c r="F362" i="4" s="1"/>
  <c r="J97" i="5"/>
  <c r="F97" i="5" s="1"/>
  <c r="K477" i="2" s="1"/>
  <c r="J398" i="4"/>
  <c r="F398" i="4" s="1"/>
  <c r="J161" i="5"/>
  <c r="J168" i="4"/>
  <c r="F168" i="4" s="1"/>
  <c r="J225" i="4"/>
  <c r="F225" i="4" s="1"/>
  <c r="J5" i="4"/>
  <c r="F5" i="4" s="1"/>
  <c r="J18" i="5"/>
  <c r="F18" i="5" s="1"/>
  <c r="K45" i="2" s="1"/>
  <c r="G235" i="3" s="1"/>
  <c r="J120" i="4"/>
  <c r="F120" i="4" s="1"/>
  <c r="J89" i="5"/>
  <c r="F89" i="5" s="1"/>
  <c r="J54" i="7"/>
  <c r="F54" i="7" s="1"/>
  <c r="K237" i="2" s="1"/>
  <c r="J293" i="4"/>
  <c r="F293" i="4" s="1"/>
  <c r="J253" i="4"/>
  <c r="F253" i="4" s="1"/>
  <c r="J397" i="4"/>
  <c r="F397" i="4" s="1"/>
  <c r="J359" i="4"/>
  <c r="F359" i="4" s="1"/>
  <c r="J97" i="7"/>
  <c r="F97" i="7" s="1"/>
  <c r="K420" i="2" s="1"/>
  <c r="J53" i="5"/>
  <c r="F53" i="5" s="1"/>
  <c r="K227" i="2" s="1"/>
  <c r="J242" i="4"/>
  <c r="F242" i="4" s="1"/>
  <c r="J20" i="4"/>
  <c r="F20" i="4" s="1"/>
  <c r="J55" i="7"/>
  <c r="F55" i="7" s="1"/>
  <c r="K271" i="2" s="1"/>
  <c r="J138" i="5"/>
  <c r="F138" i="5" s="1"/>
  <c r="K597" i="2" s="1"/>
  <c r="J102" i="5"/>
  <c r="F102" i="5" s="1"/>
  <c r="J377" i="4"/>
  <c r="F377" i="4" s="1"/>
  <c r="J313" i="4"/>
  <c r="F313" i="4" s="1"/>
  <c r="J320" i="4"/>
  <c r="J40" i="6"/>
  <c r="J185" i="5"/>
  <c r="F185" i="5" s="1"/>
  <c r="J16" i="7"/>
  <c r="F16" i="7" s="1"/>
  <c r="K51" i="2" s="1"/>
  <c r="G36" i="3" s="1"/>
  <c r="J165" i="5"/>
  <c r="F165" i="5" s="1"/>
  <c r="J220" i="4"/>
  <c r="F220" i="4" s="1"/>
  <c r="J314" i="4"/>
  <c r="F314" i="4" s="1"/>
  <c r="J273" i="4"/>
  <c r="F273" i="4" s="1"/>
  <c r="J63" i="5"/>
  <c r="F63" i="5" s="1"/>
  <c r="J25" i="5"/>
  <c r="F25" i="5" s="1"/>
  <c r="K81" i="2" s="1"/>
  <c r="G265" i="3" s="1"/>
  <c r="J79" i="4"/>
  <c r="F79" i="4" s="1"/>
  <c r="J17" i="7"/>
  <c r="F17" i="7" s="1"/>
  <c r="K53" i="2" s="1"/>
  <c r="G329" i="3" s="1"/>
  <c r="J237" i="4"/>
  <c r="F237" i="4" s="1"/>
  <c r="J121" i="4"/>
  <c r="F121" i="4" s="1"/>
  <c r="J102" i="7"/>
  <c r="F102" i="7" s="1"/>
  <c r="K398" i="2" s="1"/>
  <c r="J57" i="4"/>
  <c r="F57" i="4" s="1"/>
  <c r="J162" i="4"/>
  <c r="F162" i="4" s="1"/>
  <c r="J52" i="7"/>
  <c r="F52" i="7" s="1"/>
  <c r="K215" i="2" s="1"/>
  <c r="J425" i="4"/>
  <c r="F425" i="4" s="1"/>
  <c r="J28" i="5"/>
  <c r="F28" i="5" s="1"/>
  <c r="K104" i="2" s="1"/>
  <c r="G206" i="3" s="1"/>
  <c r="J164" i="4"/>
  <c r="F164" i="4" s="1"/>
  <c r="J184" i="6"/>
  <c r="F184" i="6" s="1"/>
  <c r="K674" i="2" s="1"/>
  <c r="J232" i="4"/>
  <c r="F232" i="4" s="1"/>
  <c r="J125" i="5"/>
  <c r="F125" i="5" s="1"/>
  <c r="J3" i="7"/>
  <c r="F3" i="7" s="1"/>
  <c r="K9" i="2" s="1"/>
  <c r="G267" i="3" s="1"/>
  <c r="J61" i="4"/>
  <c r="F61" i="4" s="1"/>
  <c r="J419" i="4"/>
  <c r="F419" i="4" s="1"/>
  <c r="J159" i="5"/>
  <c r="F159" i="5" s="1"/>
  <c r="J9" i="6"/>
  <c r="F9" i="6" s="1"/>
  <c r="K29" i="2" s="1"/>
  <c r="J84" i="7"/>
  <c r="F84" i="7" s="1"/>
  <c r="K323" i="2" s="1"/>
  <c r="J127" i="7"/>
  <c r="F127" i="7" s="1"/>
  <c r="K583" i="2" s="1"/>
  <c r="J181" i="6"/>
  <c r="F181" i="6" s="1"/>
  <c r="J73" i="5"/>
  <c r="F73" i="5" s="1"/>
  <c r="K301" i="2" s="1"/>
  <c r="J58" i="5"/>
  <c r="F58" i="5" s="1"/>
  <c r="K191" i="2" s="1"/>
  <c r="J157" i="6"/>
  <c r="J36" i="6"/>
  <c r="F36" i="6" s="1"/>
  <c r="J235" i="4"/>
  <c r="F235" i="4" s="1"/>
  <c r="J179" i="6"/>
  <c r="F179" i="6" s="1"/>
  <c r="J107" i="5"/>
  <c r="F107" i="5" s="1"/>
  <c r="J334" i="4"/>
  <c r="F334" i="4" s="1"/>
  <c r="J74" i="5"/>
  <c r="F74" i="5" s="1"/>
  <c r="J164" i="5"/>
  <c r="F164" i="5" s="1"/>
  <c r="J392" i="4"/>
  <c r="F392" i="4" s="1"/>
  <c r="J55" i="4"/>
  <c r="F55" i="4" s="1"/>
  <c r="J10" i="5"/>
  <c r="F10" i="5" s="1"/>
  <c r="K31" i="2" s="1"/>
  <c r="G236" i="3" s="1"/>
  <c r="J7" i="5"/>
  <c r="F7" i="5" s="1"/>
  <c r="J195" i="4"/>
  <c r="F195" i="4" s="1"/>
  <c r="J245" i="4"/>
  <c r="F245" i="4" s="1"/>
  <c r="J188" i="4"/>
  <c r="F188" i="4" s="1"/>
  <c r="J400" i="4"/>
  <c r="F400" i="4" s="1"/>
  <c r="J67" i="7"/>
  <c r="F67" i="7" s="1"/>
  <c r="K223" i="2" s="1"/>
  <c r="J143" i="5"/>
  <c r="F143" i="5" s="1"/>
  <c r="J214" i="6"/>
  <c r="F214" i="6" s="1"/>
  <c r="K708" i="2" s="1"/>
  <c r="J220" i="6"/>
  <c r="F220" i="6" s="1"/>
  <c r="K729" i="2" s="1"/>
  <c r="J133" i="4"/>
  <c r="F133" i="4" s="1"/>
  <c r="J36" i="7"/>
  <c r="F36" i="7" s="1"/>
  <c r="K115" i="2" s="1"/>
  <c r="G128" i="3" s="1"/>
  <c r="J26" i="5"/>
  <c r="F26" i="5" s="1"/>
  <c r="K44" i="2" s="1"/>
  <c r="G292" i="3" s="1"/>
  <c r="J283" i="4"/>
  <c r="F283" i="4" s="1"/>
  <c r="J193" i="4"/>
  <c r="F193" i="4" s="1"/>
  <c r="J190" i="4"/>
  <c r="F190" i="4" s="1"/>
  <c r="J348" i="4"/>
  <c r="F348" i="4" s="1"/>
  <c r="J15" i="5"/>
  <c r="F15" i="5" s="1"/>
  <c r="J100" i="7"/>
  <c r="F100" i="7" s="1"/>
  <c r="K346" i="2" s="1"/>
  <c r="J106" i="4"/>
  <c r="F106" i="4" s="1"/>
  <c r="J27" i="5"/>
  <c r="F27" i="5" s="1"/>
  <c r="K73" i="2" s="1"/>
  <c r="G294" i="3" s="1"/>
  <c r="J130" i="5"/>
  <c r="F130" i="5" s="1"/>
  <c r="J190" i="5"/>
  <c r="F190" i="5" s="1"/>
  <c r="K676" i="2" s="1"/>
  <c r="J175" i="5"/>
  <c r="F175" i="5" s="1"/>
  <c r="J62" i="4"/>
  <c r="F62" i="4" s="1"/>
  <c r="J145" i="4"/>
  <c r="F145" i="4" s="1"/>
  <c r="J102" i="4"/>
  <c r="F102" i="4" s="1"/>
  <c r="J180" i="4"/>
  <c r="J134" i="6"/>
  <c r="J56" i="5"/>
  <c r="F56" i="5" s="1"/>
  <c r="K212" i="2" s="1"/>
  <c r="J412" i="4"/>
  <c r="F412" i="4" s="1"/>
  <c r="J145" i="7"/>
  <c r="F145" i="7" s="1"/>
  <c r="K626" i="2" s="1"/>
  <c r="J35" i="4"/>
  <c r="F35" i="4" s="1"/>
  <c r="J33" i="6"/>
  <c r="J224" i="6"/>
  <c r="F224" i="6" s="1"/>
  <c r="K701" i="2" s="1"/>
  <c r="J193" i="6"/>
  <c r="F193" i="6" s="1"/>
  <c r="K688" i="2" s="1"/>
  <c r="J228" i="4"/>
  <c r="F228" i="4" s="1"/>
  <c r="J127" i="4"/>
  <c r="F127" i="4" s="1"/>
  <c r="J86" i="6"/>
  <c r="J291" i="4"/>
  <c r="F291" i="4" s="1"/>
  <c r="J45" i="6"/>
  <c r="F45" i="6" s="1"/>
  <c r="J257" i="4"/>
  <c r="F257" i="4" s="1"/>
  <c r="J58" i="4"/>
  <c r="F58" i="4" s="1"/>
  <c r="J166" i="6"/>
  <c r="J94" i="7"/>
  <c r="F94" i="7" s="1"/>
  <c r="K450" i="2" s="1"/>
  <c r="E2" i="2"/>
  <c r="F136" i="5"/>
  <c r="K612" i="2" s="1"/>
  <c r="F16" i="5"/>
  <c r="F4" i="5"/>
  <c r="F133" i="5"/>
  <c r="K572" i="2" s="1"/>
  <c r="F23" i="5"/>
  <c r="K71" i="2" s="1"/>
  <c r="G3" i="3" s="1"/>
  <c r="F69" i="5"/>
  <c r="F148" i="5"/>
  <c r="F79" i="5"/>
  <c r="K363" i="2" s="1"/>
  <c r="F59" i="5"/>
  <c r="K185" i="2" s="1"/>
  <c r="G33" i="3" s="1"/>
  <c r="J172" i="4"/>
  <c r="F172" i="4" s="1"/>
  <c r="J197" i="4"/>
  <c r="F197" i="4" s="1"/>
  <c r="J72" i="7"/>
  <c r="F72" i="7" s="1"/>
  <c r="K319" i="2" s="1"/>
  <c r="G66" i="3" s="1"/>
  <c r="J99" i="5"/>
  <c r="F99" i="5" s="1"/>
  <c r="J101" i="4"/>
  <c r="F101" i="4" s="1"/>
  <c r="J119" i="7"/>
  <c r="F119" i="7" s="1"/>
  <c r="K492" i="2" s="1"/>
  <c r="J11" i="5"/>
  <c r="F11" i="5" s="1"/>
  <c r="J361" i="4"/>
  <c r="F361" i="4" s="1"/>
  <c r="J80" i="7"/>
  <c r="F80" i="7" s="1"/>
  <c r="K275" i="2" s="1"/>
  <c r="J35" i="7"/>
  <c r="F35" i="7" s="1"/>
  <c r="K78" i="2" s="1"/>
  <c r="G330" i="3" s="1"/>
  <c r="J35" i="5"/>
  <c r="F35" i="5" s="1"/>
  <c r="K120" i="2" s="1"/>
  <c r="G178" i="3" s="1"/>
  <c r="J148" i="6"/>
  <c r="F148" i="6" s="1"/>
  <c r="K558" i="2" s="1"/>
  <c r="J126" i="5"/>
  <c r="F126" i="5" s="1"/>
  <c r="J137" i="6"/>
  <c r="F137" i="6" s="1"/>
  <c r="J159" i="7"/>
  <c r="F159" i="7" s="1"/>
  <c r="K564" i="2" s="1"/>
  <c r="J210" i="4"/>
  <c r="F210" i="4" s="1"/>
  <c r="J28" i="6"/>
  <c r="J168" i="7"/>
  <c r="F168" i="7" s="1"/>
  <c r="K666" i="2" s="1"/>
  <c r="J251" i="4"/>
  <c r="F251" i="4" s="1"/>
  <c r="J55" i="6"/>
  <c r="F55" i="6" s="1"/>
  <c r="J116" i="6"/>
  <c r="F116" i="6" s="1"/>
  <c r="K506" i="2" s="1"/>
  <c r="J161" i="7"/>
  <c r="F161" i="7" s="1"/>
  <c r="K640" i="2" s="1"/>
  <c r="J171" i="7"/>
  <c r="F171" i="7" s="1"/>
  <c r="K661" i="2" s="1"/>
  <c r="J207" i="4"/>
  <c r="F207" i="4" s="1"/>
  <c r="J58" i="7"/>
  <c r="F58" i="7" s="1"/>
  <c r="K240" i="2" s="1"/>
  <c r="J178" i="5"/>
  <c r="F178" i="5" s="1"/>
  <c r="J11" i="7"/>
  <c r="F11" i="7" s="1"/>
  <c r="K38" i="2" s="1"/>
  <c r="G239" i="3" s="1"/>
  <c r="J41" i="4"/>
  <c r="F41" i="4" s="1"/>
  <c r="J108" i="7"/>
  <c r="F108" i="7" s="1"/>
  <c r="K442" i="2" s="1"/>
  <c r="J141" i="5"/>
  <c r="F141" i="5" s="1"/>
  <c r="K614" i="2" s="1"/>
  <c r="J37" i="6"/>
  <c r="J31" i="7"/>
  <c r="F31" i="7" s="1"/>
  <c r="K113" i="2" s="1"/>
  <c r="G273" i="3" s="1"/>
  <c r="J297" i="4"/>
  <c r="F297" i="4" s="1"/>
  <c r="J407" i="4"/>
  <c r="F407" i="4" s="1"/>
  <c r="J270" i="4"/>
  <c r="F270" i="4" s="1"/>
  <c r="F174" i="6"/>
  <c r="J311" i="4"/>
  <c r="F311" i="4" s="1"/>
  <c r="J216" i="6"/>
  <c r="F216" i="6" s="1"/>
  <c r="K720" i="2" s="1"/>
  <c r="J25" i="7"/>
  <c r="F25" i="7" s="1"/>
  <c r="K121" i="2" s="1"/>
  <c r="G68" i="3" s="1"/>
  <c r="J3" i="5"/>
  <c r="F3" i="5" s="1"/>
  <c r="K2" i="2" s="1"/>
  <c r="G263" i="3" s="1"/>
  <c r="J120" i="6"/>
  <c r="J125" i="4"/>
  <c r="F125" i="4" s="1"/>
  <c r="J137" i="5"/>
  <c r="F137" i="5" s="1"/>
  <c r="K595" i="2" s="1"/>
  <c r="J199" i="4"/>
  <c r="F199" i="4" s="1"/>
  <c r="J208" i="4"/>
  <c r="F208" i="4" s="1"/>
  <c r="J27" i="7"/>
  <c r="F27" i="7" s="1"/>
  <c r="K84" i="2" s="1"/>
  <c r="G295" i="3" s="1"/>
  <c r="J68" i="5"/>
  <c r="F68" i="5" s="1"/>
  <c r="J366" i="4"/>
  <c r="F366" i="4" s="1"/>
  <c r="J52" i="6"/>
  <c r="F52" i="6" s="1"/>
  <c r="J57" i="6"/>
  <c r="F57" i="6" s="1"/>
  <c r="J134" i="5"/>
  <c r="F134" i="5" s="1"/>
  <c r="J73" i="4"/>
  <c r="F73" i="4" s="1"/>
  <c r="J92" i="6"/>
  <c r="F92" i="6" s="1"/>
  <c r="K424" i="2" s="1"/>
  <c r="J429" i="4"/>
  <c r="F429" i="4" s="1"/>
  <c r="J101" i="6"/>
  <c r="F101" i="6" s="1"/>
  <c r="K434" i="2" s="1"/>
  <c r="J49" i="6"/>
  <c r="F49" i="6" s="1"/>
  <c r="K177" i="2" s="1"/>
  <c r="G91" i="3" s="1"/>
  <c r="J199" i="5"/>
  <c r="F199" i="5" s="1"/>
  <c r="K697" i="2" s="1"/>
  <c r="J388" i="4"/>
  <c r="F388" i="4" s="1"/>
  <c r="J91" i="6"/>
  <c r="F91" i="6" s="1"/>
  <c r="J158" i="5"/>
  <c r="F158" i="5" s="1"/>
  <c r="K645" i="2" s="1"/>
  <c r="J98" i="6"/>
  <c r="F98" i="6" s="1"/>
  <c r="J85" i="7"/>
  <c r="F85" i="7" s="1"/>
  <c r="K258" i="2" s="1"/>
  <c r="J175" i="6"/>
  <c r="F175" i="6" s="1"/>
  <c r="K636" i="2" s="1"/>
  <c r="J97" i="4"/>
  <c r="F97" i="4" s="1"/>
  <c r="J174" i="4"/>
  <c r="F174" i="4" s="1"/>
  <c r="J146" i="6"/>
  <c r="F146" i="6" s="1"/>
  <c r="K571" i="2" s="1"/>
  <c r="J76" i="4"/>
  <c r="F76" i="4" s="1"/>
  <c r="J138" i="7"/>
  <c r="F138" i="7" s="1"/>
  <c r="K599" i="2" s="1"/>
  <c r="J4" i="4"/>
  <c r="F4" i="4" s="1"/>
  <c r="J74" i="7"/>
  <c r="F74" i="7" s="1"/>
  <c r="K288" i="2" s="1"/>
  <c r="G243" i="3" s="1"/>
  <c r="J202" i="6"/>
  <c r="F202" i="6" s="1"/>
  <c r="K692" i="2" s="1"/>
  <c r="J329" i="4"/>
  <c r="F329" i="4" s="1"/>
  <c r="J168" i="6"/>
  <c r="F168" i="6" s="1"/>
  <c r="K655" i="2" s="1"/>
  <c r="J66" i="4"/>
  <c r="F66" i="4" s="1"/>
  <c r="J31" i="5"/>
  <c r="F31" i="5" s="1"/>
  <c r="K74" i="2" s="1"/>
  <c r="G89" i="3" s="1"/>
  <c r="J203" i="4"/>
  <c r="F203" i="4" s="1"/>
  <c r="J328" i="4"/>
  <c r="F328" i="4" s="1"/>
  <c r="J30" i="4"/>
  <c r="F30" i="4" s="1"/>
  <c r="J139" i="7"/>
  <c r="F139" i="7" s="1"/>
  <c r="K625" i="2" s="1"/>
  <c r="J121" i="7"/>
  <c r="F121" i="7" s="1"/>
  <c r="K519" i="2" s="1"/>
  <c r="J149" i="4"/>
  <c r="F149" i="4" s="1"/>
  <c r="J77" i="4"/>
  <c r="F77" i="4" s="1"/>
  <c r="J194" i="4"/>
  <c r="F194" i="4" s="1"/>
  <c r="J142" i="7"/>
  <c r="F142" i="7" s="1"/>
  <c r="K607" i="2" s="1"/>
  <c r="J356" i="4"/>
  <c r="F356" i="4" s="1"/>
  <c r="J47" i="6"/>
  <c r="F47" i="6" s="1"/>
  <c r="K157" i="2" s="1"/>
  <c r="G270" i="3" s="1"/>
  <c r="J224" i="4"/>
  <c r="F224" i="4" s="1"/>
  <c r="J167" i="4"/>
  <c r="F167" i="4" s="1"/>
  <c r="J69" i="6"/>
  <c r="F69" i="6" s="1"/>
  <c r="J47" i="7"/>
  <c r="F47" i="7" s="1"/>
  <c r="K197" i="2" s="1"/>
  <c r="G156" i="3" s="1"/>
  <c r="J98" i="4"/>
  <c r="F98" i="4" s="1"/>
  <c r="J201" i="5"/>
  <c r="F201" i="5" s="1"/>
  <c r="J413" i="4"/>
  <c r="F413" i="4" s="1"/>
  <c r="J127" i="5"/>
  <c r="F127" i="5" s="1"/>
  <c r="K425" i="2" s="1"/>
  <c r="J151" i="7"/>
  <c r="F151" i="7" s="1"/>
  <c r="K556" i="2" s="1"/>
  <c r="J183" i="7"/>
  <c r="F183" i="7" s="1"/>
  <c r="K672" i="2" s="1"/>
  <c r="J144" i="7"/>
  <c r="F144" i="7" s="1"/>
  <c r="K403" i="2" s="1"/>
  <c r="J50" i="5"/>
  <c r="F50" i="5" s="1"/>
  <c r="J160" i="7"/>
  <c r="F160" i="7" s="1"/>
  <c r="K634" i="2" s="1"/>
  <c r="J156" i="6"/>
  <c r="J23" i="6"/>
  <c r="F23" i="6" s="1"/>
  <c r="J50" i="4"/>
  <c r="F50" i="4" s="1"/>
  <c r="J83" i="4"/>
  <c r="F83" i="4" s="1"/>
  <c r="J157" i="4"/>
  <c r="F157" i="4" s="1"/>
  <c r="J57" i="7"/>
  <c r="F57" i="7" s="1"/>
  <c r="K261" i="2" s="1"/>
  <c r="J212" i="6"/>
  <c r="F212" i="6" s="1"/>
  <c r="K686" i="2" s="1"/>
  <c r="J374" i="4"/>
  <c r="F374" i="4" s="1"/>
  <c r="F364" i="4"/>
  <c r="J15" i="4"/>
  <c r="F15" i="4" s="1"/>
  <c r="J227" i="6"/>
  <c r="F227" i="6" s="1"/>
  <c r="K730" i="2" s="1"/>
  <c r="J113" i="5"/>
  <c r="F113" i="5" s="1"/>
  <c r="K376" i="2" s="1"/>
  <c r="J340" i="4"/>
  <c r="F340" i="4" s="1"/>
  <c r="J229" i="4"/>
  <c r="F229" i="4" s="1"/>
  <c r="J383" i="4"/>
  <c r="F383" i="4" s="1"/>
  <c r="J309" i="4"/>
  <c r="F309" i="4" s="1"/>
  <c r="J358" i="4"/>
  <c r="F358" i="4" s="1"/>
  <c r="J96" i="4"/>
  <c r="F96" i="4" s="1"/>
  <c r="J16" i="4"/>
  <c r="F16" i="4" s="1"/>
  <c r="J97" i="6"/>
  <c r="J25" i="6"/>
  <c r="F25" i="6" s="1"/>
  <c r="J244" i="4"/>
  <c r="F244" i="4" s="1"/>
  <c r="J61" i="6"/>
  <c r="J59" i="4"/>
  <c r="F59" i="4" s="1"/>
  <c r="J152" i="4"/>
  <c r="F152" i="4" s="1"/>
  <c r="J64" i="5"/>
  <c r="F64" i="5" s="1"/>
  <c r="K263" i="2" s="1"/>
  <c r="G62" i="3" s="1"/>
  <c r="J49" i="7"/>
  <c r="F49" i="7" s="1"/>
  <c r="K199" i="2" s="1"/>
  <c r="G268" i="3" s="1"/>
  <c r="J117" i="6"/>
  <c r="F117" i="6" s="1"/>
  <c r="K500" i="2" s="1"/>
  <c r="J183" i="5"/>
  <c r="F183" i="5" s="1"/>
  <c r="K685" i="2" s="1"/>
  <c r="J241" i="4"/>
  <c r="F241" i="4" s="1"/>
  <c r="J21" i="6"/>
  <c r="F21" i="6" s="1"/>
  <c r="J149" i="7"/>
  <c r="F149" i="7" s="1"/>
  <c r="K623" i="2" s="1"/>
  <c r="J157" i="7"/>
  <c r="F157" i="7" s="1"/>
  <c r="K644" i="2" s="1"/>
  <c r="J110" i="7"/>
  <c r="F110" i="7" s="1"/>
  <c r="K505" i="2" s="1"/>
  <c r="J81" i="4"/>
  <c r="F81" i="4" s="1"/>
  <c r="J19" i="7"/>
  <c r="F19" i="7" s="1"/>
  <c r="K66" i="2" s="1"/>
  <c r="G297" i="3" s="1"/>
  <c r="J19" i="4"/>
  <c r="F19" i="4" s="1"/>
  <c r="J196" i="5"/>
  <c r="F196" i="5" s="1"/>
  <c r="K698" i="2" s="1"/>
  <c r="J141" i="6"/>
  <c r="F141" i="6" s="1"/>
  <c r="J250" i="4"/>
  <c r="F250" i="4" s="1"/>
  <c r="J35" i="6"/>
  <c r="F35" i="6" s="1"/>
  <c r="F37" i="4"/>
  <c r="J132" i="5"/>
  <c r="F132" i="5" s="1"/>
  <c r="J85" i="4"/>
  <c r="F85" i="4" s="1"/>
  <c r="J248" i="4"/>
  <c r="F248" i="4" s="1"/>
  <c r="J79" i="7"/>
  <c r="F79" i="7" s="1"/>
  <c r="K387" i="2" s="1"/>
  <c r="J46" i="5"/>
  <c r="F46" i="5" s="1"/>
  <c r="K170" i="2" s="1"/>
  <c r="G150" i="3" s="1"/>
  <c r="J110" i="5"/>
  <c r="F110" i="5" s="1"/>
  <c r="J32" i="6"/>
  <c r="F32" i="6" s="1"/>
  <c r="K103" i="2" s="1"/>
  <c r="G125" i="3" s="1"/>
  <c r="J62" i="5"/>
  <c r="F62" i="5" s="1"/>
  <c r="K257" i="2" s="1"/>
  <c r="J82" i="4"/>
  <c r="F82" i="4" s="1"/>
  <c r="J64" i="4"/>
  <c r="F64" i="4" s="1"/>
  <c r="J368" i="4"/>
  <c r="F368" i="4" s="1"/>
  <c r="J30" i="6"/>
  <c r="F30" i="6" s="1"/>
  <c r="K106" i="2" s="1"/>
  <c r="G95" i="3" s="1"/>
  <c r="J111" i="7"/>
  <c r="F111" i="7" s="1"/>
  <c r="K490" i="2" s="1"/>
  <c r="J128" i="4"/>
  <c r="F128" i="4" s="1"/>
  <c r="J342" i="4"/>
  <c r="F342" i="4" s="1"/>
  <c r="J8" i="7"/>
  <c r="F8" i="7" s="1"/>
  <c r="K18" i="2" s="1"/>
  <c r="G213" i="3" s="1"/>
  <c r="J43" i="4"/>
  <c r="F43" i="4" s="1"/>
  <c r="J90" i="4"/>
  <c r="F90" i="4" s="1"/>
  <c r="J202" i="4"/>
  <c r="F202" i="4" s="1"/>
  <c r="J164" i="7"/>
  <c r="F164" i="7" s="1"/>
  <c r="K600" i="2" s="1"/>
  <c r="J77" i="5"/>
  <c r="F77" i="5" s="1"/>
  <c r="K315" i="2" s="1"/>
  <c r="G4" i="3" s="1"/>
  <c r="J18" i="7"/>
  <c r="F18" i="7" s="1"/>
  <c r="K63" i="2" s="1"/>
  <c r="G214" i="3" s="1"/>
  <c r="J46" i="6"/>
  <c r="F46" i="6" s="1"/>
  <c r="K159" i="2" s="1"/>
  <c r="G298" i="3" s="1"/>
  <c r="J55" i="8"/>
  <c r="F55" i="8" s="1"/>
  <c r="K246" i="2" s="1"/>
  <c r="G74" i="3" s="1"/>
  <c r="J153" i="8"/>
  <c r="F153" i="8" s="1"/>
  <c r="K443" i="2" s="1"/>
  <c r="J112" i="8"/>
  <c r="J126" i="8"/>
  <c r="F126" i="8" s="1"/>
  <c r="K430" i="2" s="1"/>
  <c r="J72" i="8"/>
  <c r="F72" i="8" s="1"/>
  <c r="K252" i="2" s="1"/>
  <c r="J100" i="8"/>
  <c r="F100" i="8" s="1"/>
  <c r="K367" i="2" s="1"/>
  <c r="J205" i="8"/>
  <c r="F205" i="8" s="1"/>
  <c r="K418" i="2" s="1"/>
  <c r="J23" i="8"/>
  <c r="F23" i="8" s="1"/>
  <c r="K47" i="2" s="1"/>
  <c r="G188" i="3" s="1"/>
  <c r="J95" i="8"/>
  <c r="F95" i="8" s="1"/>
  <c r="K344" i="2" s="1"/>
  <c r="L344" i="2" s="1"/>
  <c r="J202" i="8"/>
  <c r="F202" i="8" s="1"/>
  <c r="K525" i="2" s="1"/>
  <c r="J32" i="8"/>
  <c r="F32" i="8" s="1"/>
  <c r="K129" i="2" s="1"/>
  <c r="G17" i="3" s="1"/>
  <c r="J182" i="8"/>
  <c r="F182" i="8" s="1"/>
  <c r="K397" i="2" s="1"/>
  <c r="J6" i="8"/>
  <c r="F6" i="8" s="1"/>
  <c r="K19" i="2" s="1"/>
  <c r="G246" i="3" s="1"/>
  <c r="J141" i="8"/>
  <c r="F141" i="8" s="1"/>
  <c r="K470" i="2" s="1"/>
  <c r="J26" i="8"/>
  <c r="F26" i="8" s="1"/>
  <c r="K80" i="2" s="1"/>
  <c r="G305" i="3" s="1"/>
  <c r="J125" i="8"/>
  <c r="F125" i="8" s="1"/>
  <c r="K321" i="2" s="1"/>
  <c r="J122" i="8"/>
  <c r="F122" i="8" s="1"/>
  <c r="K399" i="2" s="1"/>
  <c r="J165" i="8"/>
  <c r="F165" i="8" s="1"/>
  <c r="K451" i="2" s="1"/>
  <c r="J36" i="8"/>
  <c r="F36" i="8" s="1"/>
  <c r="K102" i="2" s="1"/>
  <c r="G159" i="3" s="1"/>
  <c r="J9" i="8"/>
  <c r="J110" i="8"/>
  <c r="F110" i="8" s="1"/>
  <c r="K380" i="2" s="1"/>
  <c r="J4" i="8"/>
  <c r="F4" i="8" s="1"/>
  <c r="K12" i="2" s="1"/>
  <c r="G217" i="3" s="1"/>
  <c r="J170" i="8"/>
  <c r="F170" i="8" s="1"/>
  <c r="K456" i="2" s="1"/>
  <c r="J145" i="8"/>
  <c r="F145" i="8" s="1"/>
  <c r="K372" i="2" s="1"/>
  <c r="J174" i="8"/>
  <c r="F174" i="8" s="1"/>
  <c r="K439" i="2" s="1"/>
  <c r="J34" i="8"/>
  <c r="F34" i="8" s="1"/>
  <c r="K116" i="2" s="1"/>
  <c r="L116" i="2" s="1"/>
  <c r="J117" i="8"/>
  <c r="F117" i="8" s="1"/>
  <c r="K374" i="2" s="1"/>
  <c r="J166" i="8"/>
  <c r="F166" i="8" s="1"/>
  <c r="K453" i="2" s="1"/>
  <c r="J206" i="8"/>
  <c r="F206" i="8" s="1"/>
  <c r="K436" i="2" s="1"/>
  <c r="J78" i="8"/>
  <c r="F78" i="8" s="1"/>
  <c r="K202" i="2" s="1"/>
  <c r="J227" i="8"/>
  <c r="F227" i="8" s="1"/>
  <c r="K533" i="2" s="1"/>
  <c r="J218" i="8"/>
  <c r="F218" i="8" s="1"/>
  <c r="K510" i="2" s="1"/>
  <c r="J11" i="8"/>
  <c r="F11" i="8" s="1"/>
  <c r="K25" i="2" s="1"/>
  <c r="G44" i="3" s="1"/>
  <c r="J196" i="8"/>
  <c r="F196" i="8" s="1"/>
  <c r="K522" i="2" s="1"/>
  <c r="J203" i="8"/>
  <c r="F203" i="8" s="1"/>
  <c r="K507" i="2" s="1"/>
  <c r="J147" i="8"/>
  <c r="F147" i="8" s="1"/>
  <c r="K472" i="2" s="1"/>
  <c r="J148" i="8"/>
  <c r="F148" i="8" s="1"/>
  <c r="K347" i="2" s="1"/>
  <c r="J194" i="8"/>
  <c r="F194" i="8" s="1"/>
  <c r="K514" i="2" s="1"/>
  <c r="J97" i="8"/>
  <c r="F97" i="8" s="1"/>
  <c r="K365" i="2" s="1"/>
  <c r="G190" i="3" s="1"/>
  <c r="J43" i="8"/>
  <c r="F43" i="8" s="1"/>
  <c r="K156" i="2" s="1"/>
  <c r="G306" i="3" s="1"/>
  <c r="J221" i="8"/>
  <c r="F221" i="8" s="1"/>
  <c r="K536" i="2" s="1"/>
  <c r="J169" i="8"/>
  <c r="F169" i="8" s="1"/>
  <c r="K357" i="2" s="1"/>
  <c r="J42" i="8"/>
  <c r="F42" i="8" s="1"/>
  <c r="K192" i="2" s="1"/>
  <c r="G102" i="3" s="1"/>
  <c r="J171" i="8"/>
  <c r="F171" i="8" s="1"/>
  <c r="K516" i="2" s="1"/>
  <c r="J179" i="8"/>
  <c r="F179" i="8" s="1"/>
  <c r="K475" i="2" s="1"/>
  <c r="J161" i="8"/>
  <c r="F161" i="8" s="1"/>
  <c r="K438" i="2" s="1"/>
  <c r="J154" i="8"/>
  <c r="F154" i="8" s="1"/>
  <c r="K465" i="2" s="1"/>
  <c r="J124" i="8"/>
  <c r="F124" i="8" s="1"/>
  <c r="K390" i="2" s="1"/>
  <c r="J118" i="8"/>
  <c r="F118" i="8" s="1"/>
  <c r="K422" i="2" s="1"/>
  <c r="G191" i="3" s="1"/>
  <c r="J186" i="8"/>
  <c r="F186" i="8" s="1"/>
  <c r="K481" i="2" s="1"/>
  <c r="J209" i="8"/>
  <c r="F209" i="8" s="1"/>
  <c r="K528" i="2" s="1"/>
  <c r="J193" i="8"/>
  <c r="F193" i="8" s="1"/>
  <c r="K537" i="2" s="1"/>
  <c r="J176" i="8"/>
  <c r="F176" i="8" s="1"/>
  <c r="K455" i="2" s="1"/>
  <c r="J52" i="8"/>
  <c r="F52" i="8" s="1"/>
  <c r="K219" i="2" s="1"/>
  <c r="J223" i="8"/>
  <c r="F223" i="8" s="1"/>
  <c r="K548" i="2" s="1"/>
  <c r="J109" i="8"/>
  <c r="F109" i="8" s="1"/>
  <c r="K295" i="2" s="1"/>
  <c r="J228" i="8"/>
  <c r="F228" i="8" s="1"/>
  <c r="K560" i="2" s="1"/>
  <c r="J87" i="8"/>
  <c r="F87" i="8" s="1"/>
  <c r="K256" i="2" s="1"/>
  <c r="G189" i="3" s="1"/>
  <c r="J89" i="8"/>
  <c r="F89" i="8" s="1"/>
  <c r="K294" i="2" s="1"/>
  <c r="J107" i="8"/>
  <c r="F107" i="8" s="1"/>
  <c r="K369" i="2" s="1"/>
  <c r="J175" i="8"/>
  <c r="F175" i="8" s="1"/>
  <c r="K503" i="2" s="1"/>
  <c r="J90" i="8"/>
  <c r="F90" i="8" s="1"/>
  <c r="K339" i="2" s="1"/>
  <c r="J163" i="8"/>
  <c r="F163" i="8" s="1"/>
  <c r="K395" i="2" s="1"/>
  <c r="J158" i="8"/>
  <c r="F158" i="8" s="1"/>
  <c r="K366" i="2" s="1"/>
  <c r="J183" i="8"/>
  <c r="F183" i="8" s="1"/>
  <c r="K496" i="2" s="1"/>
  <c r="J164" i="8"/>
  <c r="F164" i="8" s="1"/>
  <c r="K468" i="2" s="1"/>
  <c r="J48" i="8"/>
  <c r="F48" i="8" s="1"/>
  <c r="K179" i="2" s="1"/>
  <c r="G162" i="3" s="1"/>
  <c r="J195" i="8"/>
  <c r="F195" i="8" s="1"/>
  <c r="K509" i="2" s="1"/>
  <c r="J93" i="8"/>
  <c r="F93" i="8" s="1"/>
  <c r="K313" i="2" s="1"/>
  <c r="J168" i="8"/>
  <c r="F168" i="8" s="1"/>
  <c r="K480" i="2" s="1"/>
  <c r="J189" i="8"/>
  <c r="F189" i="8" s="1"/>
  <c r="K504" i="2" s="1"/>
  <c r="J71" i="8"/>
  <c r="F71" i="8" s="1"/>
  <c r="K253" i="2" s="1"/>
  <c r="J25" i="8"/>
  <c r="F25" i="8" s="1"/>
  <c r="K100" i="2" s="1"/>
  <c r="G103" i="3" s="1"/>
  <c r="J219" i="8"/>
  <c r="F219" i="8" s="1"/>
  <c r="K478" i="2" s="1"/>
  <c r="J12" i="8"/>
  <c r="F12" i="8" s="1"/>
  <c r="K34" i="2" s="1"/>
  <c r="G72" i="3" s="1"/>
  <c r="J180" i="8"/>
  <c r="F180" i="8" s="1"/>
  <c r="K458" i="2" s="1"/>
  <c r="J212" i="8"/>
  <c r="F212" i="8" s="1"/>
  <c r="K502" i="2" s="1"/>
  <c r="J197" i="8"/>
  <c r="J105" i="8"/>
  <c r="F105" i="8" s="1"/>
  <c r="K384" i="2" s="1"/>
  <c r="J177" i="8"/>
  <c r="F177" i="8" s="1"/>
  <c r="K324" i="2" s="1"/>
  <c r="J3" i="8"/>
  <c r="F3" i="8" s="1"/>
  <c r="K6" i="2" s="1"/>
  <c r="G130" i="3" s="1"/>
  <c r="J103" i="8"/>
  <c r="F103" i="8" s="1"/>
  <c r="K334" i="2" s="1"/>
  <c r="J92" i="8"/>
  <c r="F92" i="8" s="1"/>
  <c r="K340" i="2" s="1"/>
  <c r="J187" i="8"/>
  <c r="F187" i="8" s="1"/>
  <c r="K415" i="2" s="1"/>
  <c r="J157" i="8"/>
  <c r="F157" i="8" s="1"/>
  <c r="K471" i="2" s="1"/>
  <c r="J7" i="8"/>
  <c r="F7" i="8" s="1"/>
  <c r="K17" i="2" s="1"/>
  <c r="G43" i="3" s="1"/>
  <c r="J58" i="8"/>
  <c r="F58" i="8" s="1"/>
  <c r="K225" i="2" s="1"/>
  <c r="J96" i="8"/>
  <c r="F96" i="8" s="1"/>
  <c r="K325" i="2" s="1"/>
  <c r="J214" i="8"/>
  <c r="F214" i="8" s="1"/>
  <c r="K546" i="2" s="1"/>
  <c r="J40" i="8"/>
  <c r="F40" i="8" s="1"/>
  <c r="K160" i="2" s="1"/>
  <c r="G277" i="3" s="1"/>
  <c r="J24" i="8"/>
  <c r="F24" i="8" s="1"/>
  <c r="K93" i="2" s="1"/>
  <c r="G16" i="3" s="1"/>
  <c r="J185" i="8"/>
  <c r="F185" i="8" s="1"/>
  <c r="K513" i="2" s="1"/>
  <c r="J184" i="8"/>
  <c r="F184" i="8" s="1"/>
  <c r="K460" i="2" s="1"/>
  <c r="J102" i="8"/>
  <c r="F102" i="8" s="1"/>
  <c r="K336" i="2" s="1"/>
  <c r="J134" i="8"/>
  <c r="F134" i="8" s="1"/>
  <c r="K411" i="2" s="1"/>
  <c r="L411" i="2" s="1"/>
  <c r="J8" i="8"/>
  <c r="F8" i="8" s="1"/>
  <c r="K24" i="2" s="1"/>
  <c r="G71" i="3" s="1"/>
  <c r="J121" i="8"/>
  <c r="F121" i="8" s="1"/>
  <c r="K414" i="2" s="1"/>
  <c r="J198" i="8"/>
  <c r="F198" i="8" s="1"/>
  <c r="K495" i="2" s="1"/>
  <c r="J217" i="8"/>
  <c r="F217" i="8" s="1"/>
  <c r="K562" i="2" s="1"/>
  <c r="J123" i="8"/>
  <c r="F123" i="8" s="1"/>
  <c r="K364" i="2" s="1"/>
  <c r="J69" i="8"/>
  <c r="F69" i="8" s="1"/>
  <c r="K231" i="2" s="1"/>
  <c r="J14" i="8"/>
  <c r="F14" i="8" s="1"/>
  <c r="K41" i="2" s="1"/>
  <c r="G247" i="3" s="1"/>
  <c r="J108" i="8"/>
  <c r="F108" i="8" s="1"/>
  <c r="K373" i="2" s="1"/>
  <c r="J150" i="8"/>
  <c r="F150" i="8" s="1"/>
  <c r="K457" i="2" s="1"/>
  <c r="J17" i="8"/>
  <c r="F17" i="8" s="1"/>
  <c r="K72" i="2" s="1"/>
  <c r="G276" i="3" s="1"/>
  <c r="J64" i="8"/>
  <c r="F64" i="8" s="1"/>
  <c r="K250" i="2" s="1"/>
  <c r="J84" i="8"/>
  <c r="F84" i="8" s="1"/>
  <c r="K198" i="2" s="1"/>
  <c r="J45" i="8"/>
  <c r="F45" i="8" s="1"/>
  <c r="K195" i="2" s="1"/>
  <c r="G132" i="3" s="1"/>
  <c r="J29" i="8"/>
  <c r="F29" i="8" s="1"/>
  <c r="K85" i="2" s="1"/>
  <c r="G278" i="3" s="1"/>
  <c r="J68" i="8"/>
  <c r="F68" i="8" s="1"/>
  <c r="K203" i="2" s="1"/>
  <c r="J39" i="8"/>
  <c r="F39" i="8" s="1"/>
  <c r="K130" i="2" s="1"/>
  <c r="J192" i="8"/>
  <c r="F192" i="8" s="1"/>
  <c r="K429" i="2" s="1"/>
  <c r="J213" i="8"/>
  <c r="F213" i="8" s="1"/>
  <c r="K520" i="2" s="1"/>
  <c r="J199" i="8"/>
  <c r="F199" i="8" s="1"/>
  <c r="K501" i="2" s="1"/>
  <c r="J201" i="8"/>
  <c r="F201" i="8" s="1"/>
  <c r="K499" i="2" s="1"/>
  <c r="J30" i="8"/>
  <c r="F30" i="8" s="1"/>
  <c r="K131" i="2" s="1"/>
  <c r="G160" i="3" s="1"/>
  <c r="J74" i="8"/>
  <c r="F74" i="8" s="1"/>
  <c r="K307" i="2" s="1"/>
  <c r="J133" i="8"/>
  <c r="F133" i="8" s="1"/>
  <c r="K370" i="2" s="1"/>
  <c r="J16" i="8"/>
  <c r="F16" i="8" s="1"/>
  <c r="K27" i="2" s="1"/>
  <c r="G101" i="3" s="1"/>
  <c r="J215" i="8"/>
  <c r="F215" i="8" s="1"/>
  <c r="K524" i="2" s="1"/>
  <c r="J28" i="8"/>
  <c r="F28" i="8" s="1"/>
  <c r="K88" i="2" s="1"/>
  <c r="G248" i="3" s="1"/>
  <c r="J208" i="8"/>
  <c r="F208" i="8" s="1"/>
  <c r="K488" i="2" s="1"/>
  <c r="J19" i="8"/>
  <c r="F19" i="8" s="1"/>
  <c r="K43" i="2" s="1"/>
  <c r="G334" i="3" s="1"/>
  <c r="J51" i="8"/>
  <c r="F51" i="8" s="1"/>
  <c r="K171" i="2" s="1"/>
  <c r="J85" i="8"/>
  <c r="F85" i="8" s="1"/>
  <c r="K316" i="2" s="1"/>
  <c r="J50" i="8"/>
  <c r="F50" i="8" s="1"/>
  <c r="K207" i="2" s="1"/>
  <c r="G104" i="3" s="1"/>
  <c r="J156" i="8"/>
  <c r="F156" i="8" s="1"/>
  <c r="K469" i="2" s="1"/>
  <c r="L469" i="2" s="1"/>
  <c r="J111" i="8"/>
  <c r="F111" i="8" s="1"/>
  <c r="K379" i="2" s="1"/>
  <c r="J44" i="8"/>
  <c r="F44" i="8" s="1"/>
  <c r="K184" i="2" s="1"/>
  <c r="G133" i="3" s="1"/>
  <c r="J131" i="8"/>
  <c r="F131" i="8" s="1"/>
  <c r="K412" i="2" s="1"/>
  <c r="J37" i="8"/>
  <c r="F37" i="8" s="1"/>
  <c r="K155" i="2" s="1"/>
  <c r="J200" i="8"/>
  <c r="F200" i="8" s="1"/>
  <c r="K549" i="2" s="1"/>
  <c r="J128" i="8"/>
  <c r="F128" i="8" s="1"/>
  <c r="K413" i="2" s="1"/>
  <c r="J53" i="8"/>
  <c r="F53" i="8" s="1"/>
  <c r="K217" i="2" s="1"/>
  <c r="J80" i="8"/>
  <c r="F80" i="8" s="1"/>
  <c r="K300" i="2" s="1"/>
  <c r="J127" i="8"/>
  <c r="F127" i="8" s="1"/>
  <c r="K394" i="2" s="1"/>
  <c r="J47" i="8"/>
  <c r="F47" i="8" s="1"/>
  <c r="K174" i="2" s="1"/>
  <c r="J99" i="8"/>
  <c r="F99" i="8" s="1"/>
  <c r="K326" i="2" s="1"/>
  <c r="J59" i="8"/>
  <c r="F59" i="8" s="1"/>
  <c r="K214" i="2" s="1"/>
  <c r="G336" i="3" s="1"/>
  <c r="J142" i="8"/>
  <c r="F142" i="8" s="1"/>
  <c r="K449" i="2" s="1"/>
  <c r="J70" i="8"/>
  <c r="F70" i="8" s="1"/>
  <c r="K266" i="2" s="1"/>
  <c r="J113" i="8"/>
  <c r="F113" i="8" s="1"/>
  <c r="K358" i="2" s="1"/>
  <c r="J226" i="8"/>
  <c r="F226" i="8" s="1"/>
  <c r="K573" i="2" s="1"/>
  <c r="J229" i="8"/>
  <c r="F229" i="8" s="1"/>
  <c r="K561" i="2" s="1"/>
  <c r="J67" i="8"/>
  <c r="F67" i="8" s="1"/>
  <c r="K306" i="2" s="1"/>
  <c r="G249" i="3" s="1"/>
  <c r="J5" i="8"/>
  <c r="F5" i="8" s="1"/>
  <c r="K13" i="2" s="1"/>
  <c r="G333" i="3" s="1"/>
  <c r="J178" i="8"/>
  <c r="F178" i="8" s="1"/>
  <c r="K435" i="2" s="1"/>
  <c r="J41" i="8"/>
  <c r="F41" i="8" s="1"/>
  <c r="K151" i="2" s="1"/>
  <c r="J140" i="8"/>
  <c r="F140" i="8" s="1"/>
  <c r="K388" i="2" s="1"/>
  <c r="J65" i="8"/>
  <c r="F65" i="8" s="1"/>
  <c r="K254" i="2" s="1"/>
  <c r="J15" i="8"/>
  <c r="F15" i="8" s="1"/>
  <c r="K55" i="2" s="1"/>
  <c r="J137" i="8"/>
  <c r="F137" i="8" s="1"/>
  <c r="K461" i="2" s="1"/>
  <c r="J101" i="8"/>
  <c r="F101" i="8" s="1"/>
  <c r="K287" i="2" s="1"/>
  <c r="J31" i="8"/>
  <c r="F31" i="8" s="1"/>
  <c r="K97" i="2" s="1"/>
  <c r="G131" i="3" s="1"/>
  <c r="J136" i="8"/>
  <c r="F136" i="8" s="1"/>
  <c r="K440" i="2" s="1"/>
  <c r="J60" i="8"/>
  <c r="F60" i="8" s="1"/>
  <c r="K206" i="2" s="1"/>
  <c r="J119" i="8"/>
  <c r="F119" i="8" s="1"/>
  <c r="K406" i="2" s="1"/>
  <c r="L406" i="2" s="1"/>
  <c r="J173" i="8"/>
  <c r="F173" i="8" s="1"/>
  <c r="K487" i="2" s="1"/>
  <c r="J46" i="8"/>
  <c r="F46" i="8" s="1"/>
  <c r="K172" i="2" s="1"/>
  <c r="G307" i="3" s="1"/>
  <c r="J66" i="8"/>
  <c r="F66" i="8" s="1"/>
  <c r="K277" i="2" s="1"/>
  <c r="G220" i="3" s="1"/>
  <c r="J167" i="8"/>
  <c r="F167" i="8" s="1"/>
  <c r="K491" i="2" s="1"/>
  <c r="J216" i="8"/>
  <c r="F216" i="8" s="1"/>
  <c r="K539" i="2" s="1"/>
  <c r="J144" i="8"/>
  <c r="F144" i="8" s="1"/>
  <c r="K401" i="2" s="1"/>
  <c r="J38" i="8"/>
  <c r="F38" i="8" s="1"/>
  <c r="K127" i="2" s="1"/>
  <c r="J76" i="8"/>
  <c r="F76" i="8" s="1"/>
  <c r="K243" i="2" s="1"/>
  <c r="J204" i="8"/>
  <c r="F204" i="8" s="1"/>
  <c r="K547" i="2" s="1"/>
  <c r="J210" i="8"/>
  <c r="F210" i="8" s="1"/>
  <c r="K515" i="2" s="1"/>
  <c r="J75" i="8"/>
  <c r="F75" i="8" s="1"/>
  <c r="K310" i="2" s="1"/>
  <c r="J132" i="8"/>
  <c r="F132" i="8" s="1"/>
  <c r="K433" i="2" s="1"/>
  <c r="J155" i="8"/>
  <c r="F155" i="8" s="1"/>
  <c r="K426" i="2" s="1"/>
  <c r="J211" i="8"/>
  <c r="F211" i="8" s="1"/>
  <c r="K485" i="2" s="1"/>
  <c r="J151" i="8"/>
  <c r="F151" i="8" s="1"/>
  <c r="K351" i="2" s="1"/>
  <c r="J220" i="8"/>
  <c r="F220" i="8" s="1"/>
  <c r="K493" i="2" s="1"/>
  <c r="J27" i="8"/>
  <c r="F27" i="8" s="1"/>
  <c r="K77" i="2" s="1"/>
  <c r="G15" i="3" s="1"/>
  <c r="J63" i="8"/>
  <c r="F63" i="8" s="1"/>
  <c r="K279" i="2" s="1"/>
  <c r="J22" i="8"/>
  <c r="F22" i="8" s="1"/>
  <c r="K62" i="2" s="1"/>
  <c r="G219" i="3" s="1"/>
  <c r="J62" i="8"/>
  <c r="F62" i="8" s="1"/>
  <c r="K268" i="2" s="1"/>
  <c r="J79" i="8"/>
  <c r="F79" i="8" s="1"/>
  <c r="K311" i="2" s="1"/>
  <c r="J33" i="8"/>
  <c r="F33" i="8" s="1"/>
  <c r="K123" i="2" s="1"/>
  <c r="J146" i="8"/>
  <c r="F146" i="8" s="1"/>
  <c r="K409" i="2" s="1"/>
  <c r="J188" i="8"/>
  <c r="F188" i="8" s="1"/>
  <c r="K527" i="2" s="1"/>
  <c r="J91" i="8"/>
  <c r="F91" i="8" s="1"/>
  <c r="K224" i="2" s="1"/>
  <c r="J129" i="8"/>
  <c r="F129" i="8" s="1"/>
  <c r="K359" i="2" s="1"/>
  <c r="J114" i="8"/>
  <c r="F114" i="8" s="1"/>
  <c r="K329" i="2" s="1"/>
  <c r="J138" i="8"/>
  <c r="F138" i="8" s="1"/>
  <c r="K419" i="2" s="1"/>
  <c r="J106" i="8"/>
  <c r="F106" i="8" s="1"/>
  <c r="K361" i="2" s="1"/>
  <c r="J82" i="8"/>
  <c r="F82" i="8" s="1"/>
  <c r="K251" i="2" s="1"/>
  <c r="J152" i="8"/>
  <c r="F152" i="8" s="1"/>
  <c r="K428" i="2" s="1"/>
  <c r="J49" i="8"/>
  <c r="F49" i="8" s="1"/>
  <c r="K125" i="2" s="1"/>
  <c r="G161" i="3" s="1"/>
  <c r="J10" i="8"/>
  <c r="F10" i="8" s="1"/>
  <c r="K21" i="2" s="1"/>
  <c r="G275" i="3" s="1"/>
  <c r="J88" i="8"/>
  <c r="F88" i="8" s="1"/>
  <c r="K353" i="2" s="1"/>
  <c r="J130" i="8"/>
  <c r="F130" i="8" s="1"/>
  <c r="K407" i="2" s="1"/>
  <c r="J160" i="8"/>
  <c r="F160" i="8" s="1"/>
  <c r="K474" i="2" s="1"/>
  <c r="J56" i="8"/>
  <c r="F56" i="8" s="1"/>
  <c r="K201" i="2" s="1"/>
  <c r="J181" i="8"/>
  <c r="F181" i="8" s="1"/>
  <c r="K355" i="2" s="1"/>
  <c r="J143" i="8"/>
  <c r="F143" i="8" s="1"/>
  <c r="K371" i="2" s="1"/>
  <c r="J21" i="8"/>
  <c r="F21" i="8" s="1"/>
  <c r="K83" i="2" s="1"/>
  <c r="G46" i="3" s="1"/>
  <c r="J54" i="8"/>
  <c r="F54" i="8" s="1"/>
  <c r="K189" i="2" s="1"/>
  <c r="J115" i="8"/>
  <c r="F115" i="8" s="1"/>
  <c r="K396" i="2" s="1"/>
  <c r="J81" i="8"/>
  <c r="F81" i="8" s="1"/>
  <c r="K274" i="2" s="1"/>
  <c r="J98" i="8"/>
  <c r="F98" i="8" s="1"/>
  <c r="K350" i="2" s="1"/>
  <c r="J225" i="8"/>
  <c r="F225" i="8" s="1"/>
  <c r="K523" i="2" s="1"/>
  <c r="J120" i="8"/>
  <c r="F120" i="8" s="1"/>
  <c r="K421" i="2" s="1"/>
  <c r="J149" i="8"/>
  <c r="F149" i="8" s="1"/>
  <c r="K423" i="2" s="1"/>
  <c r="J207" i="8"/>
  <c r="F207" i="8" s="1"/>
  <c r="K534" i="2" s="1"/>
  <c r="J94" i="8"/>
  <c r="F94" i="8" s="1"/>
  <c r="K345" i="2" s="1"/>
  <c r="J104" i="8"/>
  <c r="F104" i="8" s="1"/>
  <c r="K354" i="2" s="1"/>
  <c r="J222" i="8"/>
  <c r="F222" i="8" s="1"/>
  <c r="K554" i="2" s="1"/>
  <c r="J172" i="8"/>
  <c r="F172" i="8" s="1"/>
  <c r="K454" i="2" s="1"/>
  <c r="J139" i="8"/>
  <c r="F139" i="8" s="1"/>
  <c r="K404" i="2" s="1"/>
  <c r="J61" i="8"/>
  <c r="F61" i="8" s="1"/>
  <c r="K272" i="2" s="1"/>
  <c r="J162" i="8"/>
  <c r="F162" i="8" s="1"/>
  <c r="K375" i="2" s="1"/>
  <c r="J159" i="8"/>
  <c r="F159" i="8" s="1"/>
  <c r="K459" i="2" s="1"/>
  <c r="J57" i="8"/>
  <c r="F57" i="8" s="1"/>
  <c r="K220" i="2" s="1"/>
  <c r="J191" i="8"/>
  <c r="F191" i="8" s="1"/>
  <c r="K538" i="2" s="1"/>
  <c r="J13" i="8"/>
  <c r="F13" i="8" s="1"/>
  <c r="K59" i="2" s="1"/>
  <c r="G304" i="3" s="1"/>
  <c r="J20" i="8"/>
  <c r="F20" i="8" s="1"/>
  <c r="K68" i="2" s="1"/>
  <c r="G45" i="3" s="1"/>
  <c r="J77" i="8"/>
  <c r="F77" i="8" s="1"/>
  <c r="K291" i="2" s="1"/>
  <c r="J116" i="8"/>
  <c r="F116" i="8" s="1"/>
  <c r="K383" i="2" s="1"/>
  <c r="J83" i="8"/>
  <c r="F83" i="8" s="1"/>
  <c r="K175" i="2" s="1"/>
  <c r="J35" i="8"/>
  <c r="F35" i="8" s="1"/>
  <c r="K107" i="2" s="1"/>
  <c r="G335" i="3" s="1"/>
  <c r="J73" i="8"/>
  <c r="F73" i="8" s="1"/>
  <c r="K235" i="2" s="1"/>
  <c r="J135" i="8"/>
  <c r="F135" i="8" s="1"/>
  <c r="K416" i="2" s="1"/>
  <c r="J18" i="8"/>
  <c r="F18" i="8" s="1"/>
  <c r="K65" i="2" s="1"/>
  <c r="G218" i="3" s="1"/>
  <c r="J190" i="8"/>
  <c r="F190" i="8" s="1"/>
  <c r="K352" i="2" s="1"/>
  <c r="J86" i="8"/>
  <c r="F86" i="8" s="1"/>
  <c r="K317" i="2" s="1"/>
  <c r="J219" i="4"/>
  <c r="F219" i="4" s="1"/>
  <c r="J150" i="6"/>
  <c r="F150" i="6" s="1"/>
  <c r="J145" i="6"/>
  <c r="F145" i="6" s="1"/>
  <c r="J134" i="4"/>
  <c r="F134" i="4" s="1"/>
  <c r="J3" i="6"/>
  <c r="F3" i="6" s="1"/>
  <c r="K4" i="2" s="1"/>
  <c r="G325" i="3" s="1"/>
  <c r="J42" i="4"/>
  <c r="F42" i="4" s="1"/>
  <c r="J315" i="4"/>
  <c r="F315" i="4" s="1"/>
  <c r="J84" i="4"/>
  <c r="F84" i="4" s="1"/>
  <c r="J325" i="4"/>
  <c r="F325" i="4" s="1"/>
  <c r="J183" i="6"/>
  <c r="F183" i="6" s="1"/>
  <c r="K656" i="2" s="1"/>
  <c r="J154" i="7"/>
  <c r="F154" i="7" s="1"/>
  <c r="K667" i="2" s="1"/>
  <c r="F123" i="6"/>
  <c r="K467" i="2" s="1"/>
  <c r="J7" i="7"/>
  <c r="F7" i="7" s="1"/>
  <c r="K15" i="2" s="1"/>
  <c r="G264" i="3" s="1"/>
  <c r="J63" i="4"/>
  <c r="F63" i="4" s="1"/>
  <c r="J38" i="4"/>
  <c r="F38" i="4" s="1"/>
  <c r="J226" i="6"/>
  <c r="F226" i="6" s="1"/>
  <c r="J258" i="4"/>
  <c r="F258" i="4" s="1"/>
  <c r="J236" i="4"/>
  <c r="F236" i="4" s="1"/>
  <c r="J303" i="4"/>
  <c r="F303" i="4" s="1"/>
  <c r="J100" i="4"/>
  <c r="F100" i="4" s="1"/>
  <c r="J92" i="4"/>
  <c r="F92" i="4" s="1"/>
  <c r="F125" i="6"/>
  <c r="K473" i="2" s="1"/>
  <c r="J103" i="5"/>
  <c r="F103" i="5" s="1"/>
  <c r="J183" i="4"/>
  <c r="F183" i="4" s="1"/>
  <c r="J41" i="7"/>
  <c r="F41" i="7" s="1"/>
  <c r="K166" i="2" s="1"/>
  <c r="G124" i="3" s="1"/>
  <c r="J331" i="4"/>
  <c r="F331" i="4" s="1"/>
  <c r="J345" i="4"/>
  <c r="F345" i="4" s="1"/>
  <c r="J4" i="7"/>
  <c r="F4" i="7" s="1"/>
  <c r="K8" i="2" s="1"/>
  <c r="J130" i="4"/>
  <c r="F130" i="4" s="1"/>
  <c r="J68" i="7"/>
  <c r="F68" i="7" s="1"/>
  <c r="K305" i="2" s="1"/>
  <c r="J170" i="5"/>
  <c r="F170" i="5" s="1"/>
  <c r="J380" i="4"/>
  <c r="F380" i="4" s="1"/>
  <c r="J118" i="5"/>
  <c r="F118" i="5" s="1"/>
  <c r="J255" i="4"/>
  <c r="F255" i="4" s="1"/>
  <c r="J381" i="4"/>
  <c r="F381" i="4" s="1"/>
  <c r="J172" i="7"/>
  <c r="F172" i="7" s="1"/>
  <c r="K664" i="2" s="1"/>
  <c r="J176" i="6"/>
  <c r="F176" i="6" s="1"/>
  <c r="K647" i="2" s="1"/>
  <c r="J132" i="7"/>
  <c r="F132" i="7" s="1"/>
  <c r="K588" i="2" s="1"/>
  <c r="L588" i="2" s="1"/>
  <c r="J87" i="5"/>
  <c r="F87" i="5" s="1"/>
  <c r="K381" i="2" s="1"/>
  <c r="J23" i="4"/>
  <c r="F23" i="4" s="1"/>
  <c r="J410" i="4"/>
  <c r="F410" i="4" s="1"/>
  <c r="J142" i="5"/>
  <c r="F142" i="5" s="1"/>
  <c r="J77" i="6"/>
  <c r="F77" i="6" s="1"/>
  <c r="J20" i="6"/>
  <c r="F20" i="6" s="1"/>
  <c r="K64" i="2" s="1"/>
  <c r="G181" i="3" s="1"/>
  <c r="J60" i="6"/>
  <c r="F60" i="6" s="1"/>
  <c r="K241" i="2" s="1"/>
  <c r="J37" i="5"/>
  <c r="F37" i="5" s="1"/>
  <c r="K148" i="2" s="1"/>
  <c r="G179" i="3" s="1"/>
  <c r="J282" i="4"/>
  <c r="F282" i="4" s="1"/>
  <c r="J201" i="6"/>
  <c r="F201" i="6" s="1"/>
  <c r="J141" i="7"/>
  <c r="F141" i="7" s="1"/>
  <c r="K622" i="2" s="1"/>
  <c r="J106" i="5"/>
  <c r="F106" i="5" s="1"/>
  <c r="K479" i="2" s="1"/>
  <c r="J9" i="4"/>
  <c r="F9" i="4" s="1"/>
  <c r="J184" i="5"/>
  <c r="F184" i="5" s="1"/>
  <c r="J129" i="5"/>
  <c r="F129" i="5" s="1"/>
  <c r="K577" i="2" s="1"/>
  <c r="J194" i="5"/>
  <c r="F194" i="5" s="1"/>
  <c r="K695" i="2" s="1"/>
  <c r="L695" i="2" s="1"/>
  <c r="J415" i="4"/>
  <c r="F415" i="4" s="1"/>
  <c r="J210" i="6"/>
  <c r="F210" i="6" s="1"/>
  <c r="K660" i="2" s="1"/>
  <c r="J200" i="6"/>
  <c r="F200" i="6" s="1"/>
  <c r="K518" i="2" s="1"/>
  <c r="J198" i="5"/>
  <c r="F198" i="5" s="1"/>
  <c r="J363" i="4"/>
  <c r="F363" i="4" s="1"/>
  <c r="F33" i="6"/>
  <c r="J13" i="6"/>
  <c r="F13" i="6" s="1"/>
  <c r="K50" i="2" s="1"/>
  <c r="J147" i="4"/>
  <c r="F147" i="4" s="1"/>
  <c r="J48" i="6"/>
  <c r="F48" i="6" s="1"/>
  <c r="K196" i="2" s="1"/>
  <c r="G7" i="3" s="1"/>
  <c r="J177" i="6"/>
  <c r="F177" i="6" s="1"/>
  <c r="K603" i="2" s="1"/>
  <c r="J405" i="4"/>
  <c r="F405" i="4" s="1"/>
  <c r="J114" i="6"/>
  <c r="F114" i="6" s="1"/>
  <c r="K232" i="2" s="1"/>
  <c r="J36" i="4"/>
  <c r="F36" i="4" s="1"/>
  <c r="J105" i="6"/>
  <c r="F105" i="6" s="1"/>
  <c r="J84" i="6"/>
  <c r="F84" i="6" s="1"/>
  <c r="J187" i="7"/>
  <c r="F187" i="7" s="1"/>
  <c r="K725" i="2" s="1"/>
  <c r="F149" i="5"/>
  <c r="J31" i="6"/>
  <c r="F31" i="6" s="1"/>
  <c r="J124" i="4"/>
  <c r="F124" i="4" s="1"/>
  <c r="J48" i="7"/>
  <c r="F48" i="7" s="1"/>
  <c r="K186" i="2" s="1"/>
  <c r="G186" i="3" s="1"/>
  <c r="J203" i="6"/>
  <c r="F203" i="6" s="1"/>
  <c r="K691" i="2" s="1"/>
  <c r="J47" i="5"/>
  <c r="F47" i="5" s="1"/>
  <c r="J214" i="4"/>
  <c r="F214" i="4" s="1"/>
  <c r="J274" i="4"/>
  <c r="F274" i="4" s="1"/>
  <c r="J175" i="7"/>
  <c r="F175" i="7" s="1"/>
  <c r="K652" i="2" s="1"/>
  <c r="J129" i="6"/>
  <c r="F129" i="6" s="1"/>
  <c r="K569" i="2" s="1"/>
  <c r="J115" i="4"/>
  <c r="F115" i="4" s="1"/>
  <c r="J153" i="7"/>
  <c r="F153" i="7" s="1"/>
  <c r="K598" i="2" s="1"/>
  <c r="J189" i="5"/>
  <c r="F189" i="5" s="1"/>
  <c r="J299" i="4"/>
  <c r="F299" i="4" s="1"/>
  <c r="J221" i="4"/>
  <c r="F221" i="4" s="1"/>
  <c r="J123" i="4"/>
  <c r="F123" i="4" s="1"/>
  <c r="J122" i="5"/>
  <c r="F122" i="5" s="1"/>
  <c r="K570" i="2" s="1"/>
  <c r="J28" i="7"/>
  <c r="F28" i="7" s="1"/>
  <c r="K110" i="2" s="1"/>
  <c r="G157" i="3" s="1"/>
  <c r="J406" i="4"/>
  <c r="F406" i="4" s="1"/>
  <c r="J43" i="7"/>
  <c r="F43" i="7" s="1"/>
  <c r="K165" i="2" s="1"/>
  <c r="G96" i="3" s="1"/>
  <c r="J174" i="5"/>
  <c r="F174" i="5" s="1"/>
  <c r="J62" i="7"/>
  <c r="F62" i="7" s="1"/>
  <c r="K309" i="2" s="1"/>
  <c r="J90" i="7"/>
  <c r="F90" i="7" s="1"/>
  <c r="K327" i="2" s="1"/>
  <c r="J34" i="7"/>
  <c r="F34" i="7" s="1"/>
  <c r="K79" i="2" s="1"/>
  <c r="G126" i="3" s="1"/>
  <c r="J382" i="4"/>
  <c r="F382" i="4" s="1"/>
  <c r="J94" i="5"/>
  <c r="F94" i="5" s="1"/>
  <c r="J107" i="4"/>
  <c r="F107" i="4" s="1"/>
  <c r="J131" i="5"/>
  <c r="F131" i="5" s="1"/>
  <c r="K582" i="2" s="1"/>
  <c r="J172" i="5"/>
  <c r="F172" i="5" s="1"/>
  <c r="K662" i="2" s="1"/>
  <c r="J127" i="6"/>
  <c r="F127" i="6" s="1"/>
  <c r="K511" i="2" s="1"/>
  <c r="F95" i="4"/>
  <c r="J310" i="4"/>
  <c r="F310" i="4" s="1"/>
  <c r="J45" i="5"/>
  <c r="F45" i="5" s="1"/>
  <c r="J65" i="7"/>
  <c r="F65" i="7" s="1"/>
  <c r="K200" i="2" s="1"/>
  <c r="G65" i="3" s="1"/>
  <c r="J103" i="6"/>
  <c r="F103" i="6" s="1"/>
  <c r="J155" i="7"/>
  <c r="F155" i="7" s="1"/>
  <c r="K610" i="2" s="1"/>
  <c r="F72" i="4"/>
  <c r="F51" i="4"/>
  <c r="J186" i="6"/>
  <c r="F186" i="6" s="1"/>
  <c r="K649" i="2" s="1"/>
  <c r="J62" i="6"/>
  <c r="F62" i="6" s="1"/>
  <c r="K249" i="2" s="1"/>
  <c r="J140" i="6"/>
  <c r="F140" i="6" s="1"/>
  <c r="K602" i="2" s="1"/>
  <c r="J32" i="7"/>
  <c r="F32" i="7" s="1"/>
  <c r="K142" i="2" s="1"/>
  <c r="G182" i="3" s="1"/>
  <c r="J10" i="7"/>
  <c r="F10" i="7" s="1"/>
  <c r="K40" i="2" s="1"/>
  <c r="G39" i="3" s="1"/>
  <c r="J82" i="5"/>
  <c r="F82" i="5" s="1"/>
  <c r="J124" i="6"/>
  <c r="F124" i="6" s="1"/>
  <c r="K280" i="2" s="1"/>
  <c r="J385" i="4"/>
  <c r="F385" i="4" s="1"/>
  <c r="J324" i="4"/>
  <c r="F324" i="4" s="1"/>
  <c r="J38" i="5"/>
  <c r="F38" i="5" s="1"/>
  <c r="K140" i="2" s="1"/>
  <c r="G208" i="3" s="1"/>
  <c r="J422" i="4"/>
  <c r="F422" i="4" s="1"/>
  <c r="F401" i="4"/>
  <c r="J151" i="5"/>
  <c r="F151" i="5" s="1"/>
  <c r="J238" i="4"/>
  <c r="F238" i="4" s="1"/>
  <c r="F269" i="4"/>
  <c r="J107" i="6"/>
  <c r="F107" i="6" s="1"/>
  <c r="J29" i="5"/>
  <c r="F29" i="5" s="1"/>
  <c r="K42" i="2" s="1"/>
  <c r="G149" i="3" s="1"/>
  <c r="J252" i="4"/>
  <c r="F252" i="4" s="1"/>
  <c r="J189" i="7"/>
  <c r="F189" i="7" s="1"/>
  <c r="K718" i="2" s="1"/>
  <c r="J177" i="5"/>
  <c r="F177" i="5" s="1"/>
  <c r="K687" i="2" s="1"/>
  <c r="J133" i="7"/>
  <c r="F133" i="7" s="1"/>
  <c r="K586" i="2" s="1"/>
  <c r="J170" i="4"/>
  <c r="F170" i="4" s="1"/>
  <c r="J181" i="7"/>
  <c r="F181" i="7" s="1"/>
  <c r="K690" i="2" s="1"/>
  <c r="J386" i="4"/>
  <c r="F386" i="4" s="1"/>
  <c r="J188" i="6"/>
  <c r="F188" i="6" s="1"/>
  <c r="K682" i="2" s="1"/>
  <c r="J369" i="4"/>
  <c r="F369" i="4" s="1"/>
  <c r="F153" i="5"/>
  <c r="J173" i="5"/>
  <c r="F173" i="5" s="1"/>
  <c r="J178" i="6"/>
  <c r="F178" i="6" s="1"/>
  <c r="K670" i="2" s="1"/>
  <c r="J63" i="6"/>
  <c r="F63" i="6" s="1"/>
  <c r="K234" i="2" s="1"/>
  <c r="G328" i="3" s="1"/>
  <c r="J147" i="5"/>
  <c r="F147" i="5" s="1"/>
  <c r="J48" i="5"/>
  <c r="F48" i="5" s="1"/>
  <c r="J152" i="6"/>
  <c r="F152" i="6" s="1"/>
  <c r="J167" i="5"/>
  <c r="F167" i="5" s="1"/>
  <c r="J95" i="5"/>
  <c r="F95" i="5" s="1"/>
  <c r="J354" i="4"/>
  <c r="F354" i="4" s="1"/>
  <c r="J327" i="4"/>
  <c r="F327" i="4" s="1"/>
  <c r="J12" i="6"/>
  <c r="F12" i="6" s="1"/>
  <c r="K30" i="2" s="1"/>
  <c r="G209" i="3" s="1"/>
  <c r="J360" i="4"/>
  <c r="F360" i="4" s="1"/>
  <c r="J182" i="7"/>
  <c r="F182" i="7" s="1"/>
  <c r="K707" i="2" s="1"/>
  <c r="J394" i="4"/>
  <c r="F394" i="4" s="1"/>
  <c r="J272" i="4"/>
  <c r="F272" i="4" s="1"/>
  <c r="J126" i="7"/>
  <c r="F126" i="7" s="1"/>
  <c r="K553" i="2" s="1"/>
  <c r="J101" i="5"/>
  <c r="F101" i="5" s="1"/>
  <c r="K393" i="2" s="1"/>
  <c r="G324" i="3" s="1"/>
  <c r="J167" i="7"/>
  <c r="F167" i="7" s="1"/>
  <c r="K643" i="2" s="1"/>
  <c r="J171" i="4"/>
  <c r="F171" i="4" s="1"/>
  <c r="J82" i="6"/>
  <c r="F82" i="6" s="1"/>
  <c r="K382" i="2" s="1"/>
  <c r="J288" i="4"/>
  <c r="F288" i="4" s="1"/>
  <c r="J76" i="5"/>
  <c r="F76" i="5" s="1"/>
  <c r="J182" i="5"/>
  <c r="F182" i="5" s="1"/>
  <c r="K680" i="2" s="1"/>
  <c r="J144" i="6"/>
  <c r="F144" i="6" s="1"/>
  <c r="K585" i="2" s="1"/>
  <c r="J427" i="4"/>
  <c r="F427" i="4" s="1"/>
  <c r="J357" i="4"/>
  <c r="F357" i="4" s="1"/>
  <c r="F24" i="4"/>
  <c r="J221" i="6"/>
  <c r="F221" i="6" s="1"/>
  <c r="K705" i="2" s="1"/>
  <c r="J96" i="6"/>
  <c r="F96" i="6" s="1"/>
  <c r="K427" i="2" s="1"/>
  <c r="J54" i="4"/>
  <c r="F54" i="4" s="1"/>
  <c r="J88" i="7"/>
  <c r="F88" i="7" s="1"/>
  <c r="K391" i="2" s="1"/>
  <c r="G67" i="3" s="1"/>
  <c r="J11" i="6"/>
  <c r="F11" i="6" s="1"/>
  <c r="K36" i="2" s="1"/>
  <c r="G122" i="3" s="1"/>
  <c r="J222" i="6"/>
  <c r="F222" i="6" s="1"/>
  <c r="K712" i="2" s="1"/>
  <c r="J72" i="6"/>
  <c r="F72" i="6" s="1"/>
  <c r="J102" i="6"/>
  <c r="F102" i="6" s="1"/>
  <c r="K400" i="2" s="1"/>
  <c r="J234" i="4"/>
  <c r="F234" i="4" s="1"/>
  <c r="J54" i="6"/>
  <c r="F54" i="6" s="1"/>
  <c r="K208" i="2" s="1"/>
  <c r="G299" i="3" s="1"/>
  <c r="J122" i="7"/>
  <c r="F122" i="7" s="1"/>
  <c r="K410" i="2" s="1"/>
  <c r="J421" i="4"/>
  <c r="F421" i="4" s="1"/>
  <c r="J143" i="4"/>
  <c r="F143" i="4" s="1"/>
  <c r="J130" i="7"/>
  <c r="F130" i="7" s="1"/>
  <c r="K589" i="2" s="1"/>
  <c r="J150" i="7"/>
  <c r="F150" i="7" s="1"/>
  <c r="K618" i="2" s="1"/>
  <c r="J118" i="6"/>
  <c r="F118" i="6" s="1"/>
  <c r="J150" i="4"/>
  <c r="F150" i="4" s="1"/>
  <c r="J333" i="4"/>
  <c r="F333" i="4" s="1"/>
  <c r="J200" i="4"/>
  <c r="F200" i="4" s="1"/>
  <c r="J64" i="7"/>
  <c r="F64" i="7" s="1"/>
  <c r="K228" i="2" s="1"/>
  <c r="J123" i="7"/>
  <c r="F123" i="7" s="1"/>
  <c r="K484" i="2" s="1"/>
  <c r="J51" i="6"/>
  <c r="F51" i="6" s="1"/>
  <c r="J417" i="4"/>
  <c r="F417" i="4" s="1"/>
  <c r="J217" i="6"/>
  <c r="F217" i="6" s="1"/>
  <c r="K653" i="2" s="1"/>
  <c r="J395" i="4"/>
  <c r="F395" i="4" s="1"/>
  <c r="J65" i="5"/>
  <c r="F65" i="5" s="1"/>
  <c r="J275" i="4"/>
  <c r="F275" i="4" s="1"/>
  <c r="F29" i="7"/>
  <c r="K114" i="2" s="1"/>
  <c r="G35" i="3" s="1"/>
  <c r="F320" i="4"/>
  <c r="J178" i="4"/>
  <c r="F178" i="4" s="1"/>
  <c r="J290" i="4"/>
  <c r="F290" i="4" s="1"/>
  <c r="E6" i="2"/>
  <c r="F112" i="8"/>
  <c r="K432" i="2" s="1"/>
  <c r="F9" i="8"/>
  <c r="K20" i="2" s="1"/>
  <c r="G73" i="3" s="1"/>
  <c r="F197" i="8"/>
  <c r="K441" i="2" s="1"/>
  <c r="J187" i="5"/>
  <c r="F187" i="5" s="1"/>
  <c r="J11" i="4"/>
  <c r="F11" i="4" s="1"/>
  <c r="J46" i="7"/>
  <c r="F46" i="7" s="1"/>
  <c r="K210" i="2" s="1"/>
  <c r="J276" i="4"/>
  <c r="F276" i="4" s="1"/>
  <c r="J157" i="5"/>
  <c r="F157" i="5" s="1"/>
  <c r="K639" i="2" s="1"/>
  <c r="F240" i="4"/>
  <c r="J108" i="4"/>
  <c r="F108" i="4" s="1"/>
  <c r="F180" i="4"/>
  <c r="J76" i="6"/>
  <c r="F76" i="6" s="1"/>
  <c r="K286" i="2" s="1"/>
  <c r="G296" i="3" s="1"/>
  <c r="J119" i="6"/>
  <c r="F119" i="6" s="1"/>
  <c r="K550" i="2" s="1"/>
  <c r="J187" i="6"/>
  <c r="F187" i="6" s="1"/>
  <c r="K631" i="2" s="1"/>
  <c r="F39" i="7"/>
  <c r="K128" i="2" s="1"/>
  <c r="G8" i="3" s="1"/>
  <c r="J185" i="7"/>
  <c r="F185" i="7" s="1"/>
  <c r="K706" i="2" s="1"/>
  <c r="J113" i="4"/>
  <c r="F113" i="4" s="1"/>
  <c r="J19" i="5"/>
  <c r="F19" i="5" s="1"/>
  <c r="J146" i="5"/>
  <c r="F146" i="5" s="1"/>
  <c r="K632" i="2" s="1"/>
  <c r="J305" i="4"/>
  <c r="F305" i="4" s="1"/>
  <c r="F28" i="6"/>
  <c r="J117" i="7"/>
  <c r="F117" i="7" s="1"/>
  <c r="K543" i="2" s="1"/>
  <c r="J14" i="6"/>
  <c r="F14" i="6" s="1"/>
  <c r="K37" i="2" s="1"/>
  <c r="G64" i="3" s="1"/>
  <c r="J312" i="4"/>
  <c r="F312" i="4" s="1"/>
  <c r="E4" i="2"/>
  <c r="C325" i="3" s="1"/>
  <c r="F139" i="6"/>
  <c r="K535" i="2" s="1"/>
  <c r="F44" i="6"/>
  <c r="K169" i="2" s="1"/>
  <c r="G269" i="3" s="1"/>
  <c r="F70" i="6"/>
  <c r="K297" i="2" s="1"/>
  <c r="F94" i="6"/>
  <c r="F112" i="6"/>
  <c r="K531" i="2" s="1"/>
  <c r="F196" i="6"/>
  <c r="K596" i="2" s="1"/>
  <c r="F190" i="6"/>
  <c r="K621" i="2" s="1"/>
  <c r="F113" i="6"/>
  <c r="K463" i="2" s="1"/>
  <c r="F157" i="6"/>
  <c r="K627" i="2" s="1"/>
  <c r="F133" i="6"/>
  <c r="K575" i="2" s="1"/>
  <c r="F156" i="6"/>
  <c r="K594" i="2" s="1"/>
  <c r="F97" i="6"/>
  <c r="F167" i="6"/>
  <c r="F121" i="6"/>
  <c r="K526" i="2" s="1"/>
  <c r="F134" i="6"/>
  <c r="F128" i="6"/>
  <c r="K552" i="2" s="1"/>
  <c r="F93" i="6"/>
  <c r="F209" i="6"/>
  <c r="K671" i="2" s="1"/>
  <c r="F86" i="6"/>
  <c r="F166" i="6"/>
  <c r="K565" i="2" s="1"/>
  <c r="F61" i="6"/>
  <c r="F136" i="6"/>
  <c r="K557" i="2" s="1"/>
  <c r="F131" i="6"/>
  <c r="F5" i="6"/>
  <c r="K14" i="2" s="1"/>
  <c r="G326" i="3" s="1"/>
  <c r="F195" i="6"/>
  <c r="K654" i="2" s="1"/>
  <c r="F18" i="6"/>
  <c r="K49" i="2" s="1"/>
  <c r="G151" i="3" s="1"/>
  <c r="F223" i="6"/>
  <c r="K713" i="2" s="1"/>
  <c r="F173" i="6"/>
  <c r="K628" i="2" s="1"/>
  <c r="F219" i="6"/>
  <c r="K715" i="2" s="1"/>
  <c r="F85" i="6"/>
  <c r="K389" i="2" s="1"/>
  <c r="F213" i="6"/>
  <c r="K723" i="2" s="1"/>
  <c r="F185" i="6"/>
  <c r="K681" i="2" s="1"/>
  <c r="F37" i="6"/>
  <c r="K136" i="2" s="1"/>
  <c r="G327" i="3" s="1"/>
  <c r="F158" i="6"/>
  <c r="F120" i="6"/>
  <c r="F40" i="6"/>
  <c r="F225" i="6"/>
  <c r="K719" i="2" s="1"/>
  <c r="F162" i="6"/>
  <c r="K606" i="2" s="1"/>
  <c r="J146" i="7"/>
  <c r="F146" i="7" s="1"/>
  <c r="K592" i="2" s="1"/>
  <c r="J139" i="4"/>
  <c r="F139" i="4" s="1"/>
  <c r="J135" i="6"/>
  <c r="F135" i="6" s="1"/>
  <c r="J298" i="4"/>
  <c r="F298" i="4" s="1"/>
  <c r="J20" i="7"/>
  <c r="F20" i="7" s="1"/>
  <c r="K89" i="2" s="1"/>
  <c r="G184" i="3" s="1"/>
  <c r="J40" i="5"/>
  <c r="F40" i="5" s="1"/>
  <c r="J189" i="4"/>
  <c r="F189" i="4" s="1"/>
  <c r="J423" i="4"/>
  <c r="F423" i="4" s="1"/>
  <c r="J379" i="4"/>
  <c r="F379" i="4" s="1"/>
  <c r="J131" i="4"/>
  <c r="F131" i="4" s="1"/>
  <c r="J213" i="4"/>
  <c r="F213" i="4" s="1"/>
  <c r="J155" i="6"/>
  <c r="F155" i="6" s="1"/>
  <c r="J83" i="5"/>
  <c r="F83" i="5" s="1"/>
  <c r="J5" i="7"/>
  <c r="F5" i="7" s="1"/>
  <c r="K7" i="2" s="1"/>
  <c r="G11" i="3" s="1"/>
  <c r="J180" i="5"/>
  <c r="F180" i="5" s="1"/>
  <c r="J154" i="5"/>
  <c r="F154" i="5" s="1"/>
  <c r="K646" i="2" s="1"/>
  <c r="J206" i="5"/>
  <c r="F206" i="5" s="1"/>
  <c r="K727" i="2" s="1"/>
  <c r="J389" i="4"/>
  <c r="F389" i="4" s="1"/>
  <c r="J120" i="5"/>
  <c r="F120" i="5" s="1"/>
  <c r="K532" i="2" s="1"/>
  <c r="J37" i="7"/>
  <c r="F37" i="7" s="1"/>
  <c r="K146" i="2" s="1"/>
  <c r="G238" i="3" s="1"/>
  <c r="J307" i="4"/>
  <c r="F307" i="4" s="1"/>
  <c r="J103" i="4"/>
  <c r="F103" i="4" s="1"/>
  <c r="J18" i="4"/>
  <c r="F18" i="4" s="1"/>
  <c r="J26" i="4"/>
  <c r="F26" i="4" s="1"/>
  <c r="J119" i="4"/>
  <c r="F119" i="4" s="1"/>
  <c r="J51" i="7"/>
  <c r="F51" i="7" s="1"/>
  <c r="K194" i="2" s="1"/>
  <c r="G38" i="3" s="1"/>
  <c r="J27" i="6"/>
  <c r="F27" i="6" s="1"/>
  <c r="K75" i="2" s="1"/>
  <c r="G180" i="3" s="1"/>
  <c r="J93" i="4"/>
  <c r="F93" i="4" s="1"/>
  <c r="J22" i="4"/>
  <c r="F22" i="4" s="1"/>
  <c r="J249" i="4"/>
  <c r="F249" i="4" s="1"/>
  <c r="J247" i="4"/>
  <c r="F247" i="4" s="1"/>
  <c r="J279" i="4"/>
  <c r="F279" i="4" s="1"/>
  <c r="J26" i="6"/>
  <c r="F26" i="6" s="1"/>
  <c r="J141" i="4"/>
  <c r="F141" i="4" s="1"/>
  <c r="J280" i="4"/>
  <c r="F280" i="4" s="1"/>
  <c r="J80" i="4"/>
  <c r="F80" i="4" s="1"/>
  <c r="J132" i="4"/>
  <c r="F132" i="4" s="1"/>
  <c r="J163" i="6"/>
  <c r="F163" i="6" s="1"/>
  <c r="K650" i="2" s="1"/>
  <c r="J142" i="4"/>
  <c r="F142" i="4" s="1"/>
  <c r="J88" i="4"/>
  <c r="F88" i="4" s="1"/>
  <c r="J68" i="6"/>
  <c r="F68" i="6" s="1"/>
  <c r="J146" i="4"/>
  <c r="F146" i="4" s="1"/>
  <c r="J65" i="6"/>
  <c r="F65" i="6" s="1"/>
  <c r="J285" i="4"/>
  <c r="F285" i="4" s="1"/>
  <c r="J12" i="4"/>
  <c r="F12" i="4" s="1"/>
  <c r="J163" i="7"/>
  <c r="F163" i="7" s="1"/>
  <c r="K642" i="2" s="1"/>
  <c r="J89" i="7"/>
  <c r="F89" i="7" s="1"/>
  <c r="K335" i="2" s="1"/>
  <c r="L335" i="2" s="1"/>
  <c r="F161" i="5"/>
  <c r="J169" i="4"/>
  <c r="F169" i="4" s="1"/>
  <c r="J144" i="5"/>
  <c r="F144" i="5" s="1"/>
  <c r="J80" i="6"/>
  <c r="F80" i="6" s="1"/>
  <c r="J246" i="4"/>
  <c r="F246" i="4" s="1"/>
  <c r="J170" i="6"/>
  <c r="F170" i="6" s="1"/>
  <c r="K617" i="2" s="1"/>
  <c r="J22" i="5"/>
  <c r="F22" i="5" s="1"/>
  <c r="K58" i="2" s="1"/>
  <c r="G60" i="3" s="1"/>
  <c r="J332" i="4"/>
  <c r="F332" i="4" s="1"/>
  <c r="J177" i="4"/>
  <c r="F177" i="4" s="1"/>
  <c r="J6" i="6"/>
  <c r="F6" i="6" s="1"/>
  <c r="K16" i="2" s="1"/>
  <c r="G153" i="3" s="1"/>
  <c r="J99" i="6"/>
  <c r="F99" i="6" s="1"/>
  <c r="K446" i="2" s="1"/>
  <c r="F115" i="6"/>
  <c r="J115" i="5"/>
  <c r="F115" i="5" s="1"/>
  <c r="K545" i="2" s="1"/>
  <c r="J129" i="4"/>
  <c r="F129" i="4" s="1"/>
  <c r="J10" i="4"/>
  <c r="F10" i="4" s="1"/>
  <c r="F13" i="5"/>
  <c r="K32" i="2" s="1"/>
  <c r="G90" i="3" s="1"/>
  <c r="J205" i="5"/>
  <c r="F205" i="5" s="1"/>
  <c r="K714" i="2" s="1"/>
  <c r="J105" i="4"/>
  <c r="F105" i="4" s="1"/>
  <c r="J226" i="4"/>
  <c r="F226" i="4" s="1"/>
  <c r="J110" i="6"/>
  <c r="F110" i="6" s="1"/>
  <c r="K386" i="2" s="1"/>
  <c r="J13" i="7"/>
  <c r="F13" i="7" s="1"/>
  <c r="K46" i="2" s="1"/>
  <c r="G37" i="3" s="1"/>
  <c r="J208" i="5"/>
  <c r="F208" i="5" s="1"/>
  <c r="J63" i="7"/>
  <c r="F63" i="7" s="1"/>
  <c r="K304" i="2" s="1"/>
  <c r="G13" i="3" s="1"/>
  <c r="J13" i="4"/>
  <c r="F13" i="4" s="1"/>
  <c r="J169" i="5"/>
  <c r="F169" i="5" s="1"/>
  <c r="K663" i="2" s="1"/>
  <c r="J171" i="5"/>
  <c r="F171" i="5" s="1"/>
  <c r="F404" i="4"/>
  <c r="J4" i="6"/>
  <c r="F4" i="6" s="1"/>
  <c r="J96" i="5"/>
  <c r="F96" i="5" s="1"/>
  <c r="J337" i="4"/>
  <c r="F337" i="4" s="1"/>
  <c r="J109" i="4"/>
  <c r="F109" i="4" s="1"/>
  <c r="F67" i="4"/>
  <c r="J192" i="5"/>
  <c r="F192" i="5" s="1"/>
  <c r="K677" i="2" s="1"/>
  <c r="J173" i="7"/>
  <c r="F173" i="7" s="1"/>
  <c r="K668" i="2" s="1"/>
  <c r="J130" i="6"/>
  <c r="F130" i="6" s="1"/>
  <c r="K568" i="2" s="1"/>
  <c r="J137" i="4"/>
  <c r="F137" i="4" s="1"/>
  <c r="J71" i="7"/>
  <c r="F71" i="7" s="1"/>
  <c r="K331" i="2" s="1"/>
  <c r="J165" i="7"/>
  <c r="F165" i="7" s="1"/>
  <c r="K637" i="2" s="1"/>
  <c r="J352" i="4"/>
  <c r="F352" i="4" s="1"/>
  <c r="J343" i="4"/>
  <c r="F343" i="4" s="1"/>
  <c r="J182" i="6"/>
  <c r="F182" i="6" s="1"/>
  <c r="J44" i="7"/>
  <c r="F44" i="7" s="1"/>
  <c r="K117" i="2" s="1"/>
  <c r="G12" i="3" s="1"/>
  <c r="J56" i="6"/>
  <c r="F56" i="6" s="1"/>
  <c r="K173" i="2" s="1"/>
  <c r="J186" i="7"/>
  <c r="F186" i="7" s="1"/>
  <c r="K696" i="2" s="1"/>
  <c r="J154" i="4"/>
  <c r="F154" i="4" s="1"/>
  <c r="J59" i="6"/>
  <c r="F59" i="6" s="1"/>
  <c r="K230" i="2" s="1"/>
  <c r="G211" i="3" s="1"/>
  <c r="J39" i="5"/>
  <c r="F39" i="5" s="1"/>
  <c r="J8" i="4"/>
  <c r="F8" i="4" s="1"/>
  <c r="J32" i="5"/>
  <c r="F32" i="5" s="1"/>
  <c r="K119" i="2" s="1"/>
  <c r="G120" i="3" s="1"/>
  <c r="J32" i="4"/>
  <c r="F32" i="4" s="1"/>
  <c r="J47" i="4"/>
  <c r="F47" i="4" s="1"/>
  <c r="J277" i="4"/>
  <c r="F277" i="4" s="1"/>
  <c r="J17" i="6"/>
  <c r="F17" i="6" s="1"/>
  <c r="K48" i="2" s="1"/>
  <c r="G148" i="3" s="1"/>
  <c r="J45" i="7"/>
  <c r="F45" i="7" s="1"/>
  <c r="K167" i="2" s="1"/>
  <c r="G240" i="3" s="1"/>
  <c r="J22" i="7"/>
  <c r="F22" i="7" s="1"/>
  <c r="K90" i="2" s="1"/>
  <c r="G272" i="3" s="1"/>
  <c r="J114" i="4"/>
  <c r="F114" i="4" s="1"/>
  <c r="J154" i="6"/>
  <c r="F154" i="6" s="1"/>
  <c r="K559" i="2" s="1"/>
  <c r="J78" i="7"/>
  <c r="F78" i="7" s="1"/>
  <c r="K259" i="2" s="1"/>
  <c r="G69" i="3" s="1"/>
  <c r="J304" i="4"/>
  <c r="F304" i="4" s="1"/>
  <c r="J184" i="7"/>
  <c r="F184" i="7" s="1"/>
  <c r="K702" i="2" s="1"/>
  <c r="J189" i="6"/>
  <c r="F189" i="6" s="1"/>
  <c r="J53" i="9" l="1"/>
  <c r="F53" i="9" s="1"/>
  <c r="K248" i="2" s="1"/>
  <c r="C6" i="3"/>
  <c r="C267" i="3"/>
  <c r="L29" i="2"/>
  <c r="G152" i="3"/>
  <c r="G167" i="3" s="1"/>
  <c r="G196" i="3"/>
  <c r="G341" i="3"/>
  <c r="G80" i="3"/>
  <c r="G225" i="3"/>
  <c r="C14" i="3"/>
  <c r="C130" i="3"/>
  <c r="G109" i="3"/>
  <c r="G283" i="3"/>
  <c r="G138" i="3"/>
  <c r="G51" i="3"/>
  <c r="G254" i="3"/>
  <c r="G312" i="3"/>
  <c r="C2" i="3"/>
  <c r="C263" i="3"/>
  <c r="J59" i="9"/>
  <c r="F59" i="9" s="1"/>
  <c r="K270" i="2" s="1"/>
  <c r="J13" i="9"/>
  <c r="F13" i="9" s="1"/>
  <c r="K118" i="2" s="1"/>
  <c r="L118" i="2" s="1"/>
  <c r="J36" i="9"/>
  <c r="F36" i="9" s="1"/>
  <c r="K187" i="2" s="1"/>
  <c r="L187" i="2" s="1"/>
  <c r="J40" i="9"/>
  <c r="F40" i="9" s="1"/>
  <c r="K181" i="2" s="1"/>
  <c r="L181" i="2" s="1"/>
  <c r="J3" i="9"/>
  <c r="F3" i="9" s="1"/>
  <c r="K76" i="2" s="1"/>
  <c r="G199" i="3" s="1"/>
  <c r="J17" i="9"/>
  <c r="F17" i="9" s="1"/>
  <c r="K95" i="2" s="1"/>
  <c r="G113" i="3" s="1"/>
  <c r="J57" i="9"/>
  <c r="F57" i="9" s="1"/>
  <c r="K247" i="2" s="1"/>
  <c r="J46" i="9"/>
  <c r="F46" i="9" s="1"/>
  <c r="K216" i="2" s="1"/>
  <c r="J44" i="9"/>
  <c r="F44" i="9" s="1"/>
  <c r="K205" i="2" s="1"/>
  <c r="J69" i="9"/>
  <c r="F69" i="9" s="1"/>
  <c r="K308" i="2" s="1"/>
  <c r="L308" i="2" s="1"/>
  <c r="J4" i="9"/>
  <c r="F4" i="9" s="1"/>
  <c r="K69" i="2" s="1"/>
  <c r="J62" i="9"/>
  <c r="F62" i="9" s="1"/>
  <c r="K265" i="2" s="1"/>
  <c r="L265" i="2" s="1"/>
  <c r="J51" i="9"/>
  <c r="F51" i="9" s="1"/>
  <c r="K236" i="2" s="1"/>
  <c r="J75" i="9"/>
  <c r="F75" i="9" s="1"/>
  <c r="K341" i="2" s="1"/>
  <c r="L341" i="2" s="1"/>
  <c r="J33" i="9"/>
  <c r="F33" i="9" s="1"/>
  <c r="K168" i="2" s="1"/>
  <c r="L168" i="2" s="1"/>
  <c r="J65" i="9"/>
  <c r="F65" i="9" s="1"/>
  <c r="K273" i="2" s="1"/>
  <c r="L273" i="2" s="1"/>
  <c r="J24" i="9"/>
  <c r="F24" i="9" s="1"/>
  <c r="K133" i="2" s="1"/>
  <c r="G55" i="3" s="1"/>
  <c r="J63" i="9"/>
  <c r="F63" i="9" s="1"/>
  <c r="K264" i="2" s="1"/>
  <c r="L264" i="2" s="1"/>
  <c r="J45" i="9"/>
  <c r="F45" i="9" s="1"/>
  <c r="K204" i="2" s="1"/>
  <c r="L204" i="2" s="1"/>
  <c r="J55" i="9"/>
  <c r="F55" i="9" s="1"/>
  <c r="K245" i="2" s="1"/>
  <c r="J67" i="9"/>
  <c r="F67" i="9" s="1"/>
  <c r="K292" i="2" s="1"/>
  <c r="J73" i="9"/>
  <c r="F73" i="9" s="1"/>
  <c r="K338" i="2" s="1"/>
  <c r="J26" i="9"/>
  <c r="F26" i="9" s="1"/>
  <c r="K135" i="2" s="1"/>
  <c r="J15" i="9"/>
  <c r="F15" i="9" s="1"/>
  <c r="K101" i="2" s="1"/>
  <c r="L101" i="2" s="1"/>
  <c r="J19" i="9"/>
  <c r="F19" i="9" s="1"/>
  <c r="K112" i="2" s="1"/>
  <c r="G171" i="3" s="1"/>
  <c r="J47" i="9"/>
  <c r="F47" i="9" s="1"/>
  <c r="K218" i="2" s="1"/>
  <c r="L218" i="2" s="1"/>
  <c r="J35" i="9"/>
  <c r="F35" i="9" s="1"/>
  <c r="K183" i="2" s="1"/>
  <c r="L183" i="2" s="1"/>
  <c r="J52" i="9"/>
  <c r="F52" i="9" s="1"/>
  <c r="K222" i="2" s="1"/>
  <c r="L222" i="2" s="1"/>
  <c r="J50" i="9"/>
  <c r="F50" i="9" s="1"/>
  <c r="K221" i="2" s="1"/>
  <c r="L221" i="2" s="1"/>
  <c r="J20" i="9"/>
  <c r="F20" i="9" s="1"/>
  <c r="K132" i="2" s="1"/>
  <c r="G170" i="3" s="1"/>
  <c r="J39" i="9"/>
  <c r="F39" i="9" s="1"/>
  <c r="K188" i="2" s="1"/>
  <c r="L188" i="2" s="1"/>
  <c r="J72" i="9"/>
  <c r="F72" i="9" s="1"/>
  <c r="K332" i="2" s="1"/>
  <c r="J29" i="9"/>
  <c r="F29" i="9" s="1"/>
  <c r="K143" i="2" s="1"/>
  <c r="G316" i="3" s="1"/>
  <c r="J37" i="9"/>
  <c r="F37" i="9" s="1"/>
  <c r="K190" i="2" s="1"/>
  <c r="L190" i="2" s="1"/>
  <c r="J8" i="9"/>
  <c r="F8" i="9" s="1"/>
  <c r="K87" i="2" s="1"/>
  <c r="J12" i="9"/>
  <c r="F12" i="9" s="1"/>
  <c r="K92" i="2" s="1"/>
  <c r="J6" i="9"/>
  <c r="F6" i="9" s="1"/>
  <c r="K70" i="2" s="1"/>
  <c r="G112" i="3" s="1"/>
  <c r="J32" i="9"/>
  <c r="F32" i="9" s="1"/>
  <c r="K164" i="2" s="1"/>
  <c r="G229" i="3" s="1"/>
  <c r="J58" i="9"/>
  <c r="F58" i="9" s="1"/>
  <c r="K262" i="2" s="1"/>
  <c r="L262" i="2" s="1"/>
  <c r="J22" i="9"/>
  <c r="F22" i="9" s="1"/>
  <c r="K137" i="2" s="1"/>
  <c r="L137" i="2" s="1"/>
  <c r="J27" i="9"/>
  <c r="F27" i="9" s="1"/>
  <c r="K145" i="2" s="1"/>
  <c r="G286" i="3" s="1"/>
  <c r="J34" i="9"/>
  <c r="F34" i="9" s="1"/>
  <c r="K178" i="2" s="1"/>
  <c r="L178" i="2" s="1"/>
  <c r="J28" i="9"/>
  <c r="F28" i="9" s="1"/>
  <c r="K154" i="2" s="1"/>
  <c r="L154" i="2" s="1"/>
  <c r="J43" i="9"/>
  <c r="F43" i="9" s="1"/>
  <c r="K182" i="2" s="1"/>
  <c r="J16" i="9"/>
  <c r="F16" i="9" s="1"/>
  <c r="K111" i="2" s="1"/>
  <c r="G228" i="3" s="1"/>
  <c r="J70" i="9"/>
  <c r="F70" i="9" s="1"/>
  <c r="K312" i="2" s="1"/>
  <c r="L312" i="2" s="1"/>
  <c r="J66" i="9"/>
  <c r="F66" i="9" s="1"/>
  <c r="K281" i="2" s="1"/>
  <c r="L281" i="2" s="1"/>
  <c r="J60" i="9"/>
  <c r="F60" i="9" s="1"/>
  <c r="K267" i="2" s="1"/>
  <c r="L267" i="2" s="1"/>
  <c r="J21" i="9"/>
  <c r="F21" i="9" s="1"/>
  <c r="K144" i="2" s="1"/>
  <c r="G257" i="3" s="1"/>
  <c r="J64" i="9"/>
  <c r="F64" i="9" s="1"/>
  <c r="K276" i="2" s="1"/>
  <c r="L276" i="2" s="1"/>
  <c r="J10" i="9"/>
  <c r="F10" i="9" s="1"/>
  <c r="K98" i="2" s="1"/>
  <c r="J7" i="9"/>
  <c r="F7" i="9" s="1"/>
  <c r="K86" i="2" s="1"/>
  <c r="J5" i="9"/>
  <c r="F5" i="9" s="1"/>
  <c r="K61" i="2" s="1"/>
  <c r="L61" i="2" s="1"/>
  <c r="J74" i="9"/>
  <c r="F74" i="9" s="1"/>
  <c r="K333" i="2" s="1"/>
  <c r="L333" i="2" s="1"/>
  <c r="J41" i="9"/>
  <c r="F41" i="9" s="1"/>
  <c r="K193" i="2" s="1"/>
  <c r="L193" i="2" s="1"/>
  <c r="J25" i="9"/>
  <c r="F25" i="9" s="1"/>
  <c r="K150" i="2" s="1"/>
  <c r="J49" i="9"/>
  <c r="F49" i="9" s="1"/>
  <c r="K226" i="2" s="1"/>
  <c r="J61" i="9"/>
  <c r="F61" i="9" s="1"/>
  <c r="K285" i="2" s="1"/>
  <c r="L285" i="2" s="1"/>
  <c r="J18" i="9"/>
  <c r="F18" i="9" s="1"/>
  <c r="K124" i="2" s="1"/>
  <c r="J9" i="9"/>
  <c r="F9" i="9" s="1"/>
  <c r="K82" i="2" s="1"/>
  <c r="J56" i="9"/>
  <c r="F56" i="9" s="1"/>
  <c r="K233" i="2" s="1"/>
  <c r="J31" i="9"/>
  <c r="F31" i="9" s="1"/>
  <c r="K152" i="2" s="1"/>
  <c r="L152" i="2" s="1"/>
  <c r="J14" i="9"/>
  <c r="F14" i="9" s="1"/>
  <c r="K99" i="2" s="1"/>
  <c r="J71" i="9"/>
  <c r="F71" i="9" s="1"/>
  <c r="K320" i="2" s="1"/>
  <c r="L320" i="2" s="1"/>
  <c r="J23" i="9"/>
  <c r="F23" i="9" s="1"/>
  <c r="K126" i="2" s="1"/>
  <c r="J11" i="9"/>
  <c r="F11" i="9" s="1"/>
  <c r="K96" i="2" s="1"/>
  <c r="G141" i="3" s="1"/>
  <c r="J42" i="9"/>
  <c r="F42" i="9" s="1"/>
  <c r="K176" i="2" s="1"/>
  <c r="L176" i="2" s="1"/>
  <c r="J68" i="9"/>
  <c r="F68" i="9" s="1"/>
  <c r="K296" i="2" s="1"/>
  <c r="J30" i="9"/>
  <c r="F30" i="9" s="1"/>
  <c r="K161" i="2" s="1"/>
  <c r="J38" i="9"/>
  <c r="F38" i="9" s="1"/>
  <c r="K180" i="2" s="1"/>
  <c r="C29" i="9"/>
  <c r="E143" i="2" s="1"/>
  <c r="C316" i="3" s="1"/>
  <c r="J54" i="9"/>
  <c r="F54" i="9" s="1"/>
  <c r="K242" i="2" s="1"/>
  <c r="L242" i="2" s="1"/>
  <c r="C62" i="9"/>
  <c r="E265" i="2" s="1"/>
  <c r="C23" i="9"/>
  <c r="E126" i="2" s="1"/>
  <c r="C345" i="3" s="1"/>
  <c r="C57" i="9"/>
  <c r="E247" i="2" s="1"/>
  <c r="C42" i="9"/>
  <c r="E176" i="2" s="1"/>
  <c r="C47" i="9"/>
  <c r="E218" i="2" s="1"/>
  <c r="C17" i="9"/>
  <c r="E95" i="2" s="1"/>
  <c r="C113" i="3" s="1"/>
  <c r="C45" i="9"/>
  <c r="E204" i="2" s="1"/>
  <c r="C30" i="9"/>
  <c r="E161" i="2" s="1"/>
  <c r="C31" i="9"/>
  <c r="E152" i="2" s="1"/>
  <c r="C63" i="9"/>
  <c r="E264" i="2" s="1"/>
  <c r="C51" i="9"/>
  <c r="E236" i="2" s="1"/>
  <c r="C27" i="9"/>
  <c r="E145" i="2" s="1"/>
  <c r="C286" i="3" s="1"/>
  <c r="C25" i="9"/>
  <c r="E150" i="2" s="1"/>
  <c r="C52" i="9"/>
  <c r="E222" i="2" s="1"/>
  <c r="C37" i="9"/>
  <c r="E190" i="2" s="1"/>
  <c r="C74" i="9"/>
  <c r="E333" i="2" s="1"/>
  <c r="C65" i="9"/>
  <c r="E273" i="2" s="1"/>
  <c r="C5" i="9"/>
  <c r="E61" i="2" s="1"/>
  <c r="C53" i="9"/>
  <c r="E248" i="2" s="1"/>
  <c r="C3" i="9"/>
  <c r="E76" i="2" s="1"/>
  <c r="C199" i="3" s="1"/>
  <c r="C12" i="9"/>
  <c r="E92" i="2" s="1"/>
  <c r="C142" i="3" s="1"/>
  <c r="C34" i="9"/>
  <c r="E178" i="2" s="1"/>
  <c r="C14" i="9"/>
  <c r="E99" i="2" s="1"/>
  <c r="C54" i="3" s="1"/>
  <c r="C70" i="9"/>
  <c r="E312" i="2" s="1"/>
  <c r="C13" i="9"/>
  <c r="E118" i="2" s="1"/>
  <c r="C61" i="9"/>
  <c r="E285" i="2" s="1"/>
  <c r="C35" i="9"/>
  <c r="E183" i="2" s="1"/>
  <c r="C4" i="9"/>
  <c r="E69" i="2" s="1"/>
  <c r="C315" i="3" s="1"/>
  <c r="C20" i="9"/>
  <c r="E132" i="2" s="1"/>
  <c r="C170" i="3" s="1"/>
  <c r="C28" i="9"/>
  <c r="E154" i="2" s="1"/>
  <c r="C39" i="9"/>
  <c r="E188" i="2" s="1"/>
  <c r="C16" i="9"/>
  <c r="E111" i="2" s="1"/>
  <c r="C228" i="3" s="1"/>
  <c r="C18" i="9"/>
  <c r="E124" i="2" s="1"/>
  <c r="C258" i="3" s="1"/>
  <c r="C7" i="9"/>
  <c r="E86" i="2" s="1"/>
  <c r="C344" i="3" s="1"/>
  <c r="J48" i="9"/>
  <c r="F48" i="9" s="1"/>
  <c r="K229" i="2" s="1"/>
  <c r="L229" i="2" s="1"/>
  <c r="C68" i="9"/>
  <c r="E296" i="2" s="1"/>
  <c r="C36" i="9"/>
  <c r="E187" i="2" s="1"/>
  <c r="C54" i="9"/>
  <c r="E242" i="2" s="1"/>
  <c r="C69" i="9"/>
  <c r="E308" i="2" s="1"/>
  <c r="C75" i="9"/>
  <c r="E341" i="2" s="1"/>
  <c r="C8" i="9"/>
  <c r="E87" i="2" s="1"/>
  <c r="C84" i="3" s="1"/>
  <c r="C60" i="9"/>
  <c r="E267" i="2" s="1"/>
  <c r="C43" i="9"/>
  <c r="E182" i="2" s="1"/>
  <c r="C55" i="9"/>
  <c r="E245" i="2" s="1"/>
  <c r="C9" i="9"/>
  <c r="E82" i="2" s="1"/>
  <c r="C83" i="3" s="1"/>
  <c r="C19" i="9"/>
  <c r="E112" i="2" s="1"/>
  <c r="C171" i="3" s="1"/>
  <c r="C64" i="9"/>
  <c r="E276" i="2" s="1"/>
  <c r="C67" i="9"/>
  <c r="E292" i="2" s="1"/>
  <c r="C38" i="9"/>
  <c r="E180" i="2" s="1"/>
  <c r="C287" i="3" s="1"/>
  <c r="C59" i="9"/>
  <c r="E270" i="2" s="1"/>
  <c r="C22" i="9"/>
  <c r="E137" i="2" s="1"/>
  <c r="C32" i="9"/>
  <c r="E164" i="2" s="1"/>
  <c r="C229" i="3" s="1"/>
  <c r="C46" i="9"/>
  <c r="E216" i="2" s="1"/>
  <c r="C11" i="9"/>
  <c r="E96" i="2" s="1"/>
  <c r="C141" i="3" s="1"/>
  <c r="C66" i="9"/>
  <c r="E281" i="2" s="1"/>
  <c r="C48" i="9"/>
  <c r="E229" i="2" s="1"/>
  <c r="C49" i="9"/>
  <c r="E226" i="2" s="1"/>
  <c r="C41" i="9"/>
  <c r="E193" i="2" s="1"/>
  <c r="C10" i="9"/>
  <c r="E98" i="2" s="1"/>
  <c r="C200" i="3" s="1"/>
  <c r="C33" i="9"/>
  <c r="E168" i="2" s="1"/>
  <c r="C15" i="9"/>
  <c r="E101" i="2" s="1"/>
  <c r="C26" i="9"/>
  <c r="E135" i="2" s="1"/>
  <c r="C26" i="3" s="1"/>
  <c r="C58" i="9"/>
  <c r="E262" i="2" s="1"/>
  <c r="C44" i="9"/>
  <c r="E205" i="2" s="1"/>
  <c r="C50" i="9"/>
  <c r="E221" i="2" s="1"/>
  <c r="C72" i="9"/>
  <c r="E332" i="2" s="1"/>
  <c r="C24" i="9"/>
  <c r="E133" i="2" s="1"/>
  <c r="C55" i="3" s="1"/>
  <c r="C40" i="9"/>
  <c r="E181" i="2" s="1"/>
  <c r="C56" i="9"/>
  <c r="E233" i="2" s="1"/>
  <c r="C6" i="9"/>
  <c r="E70" i="2" s="1"/>
  <c r="C112" i="3" s="1"/>
  <c r="C21" i="9"/>
  <c r="E144" i="2" s="1"/>
  <c r="C71" i="9"/>
  <c r="E320" i="2" s="1"/>
  <c r="L270" i="2"/>
  <c r="L501" i="2"/>
  <c r="L443" i="2"/>
  <c r="L290" i="2"/>
  <c r="L580" i="2"/>
  <c r="L453" i="2"/>
  <c r="L158" i="2"/>
  <c r="L648" i="2"/>
  <c r="L203" i="2"/>
  <c r="L48" i="2"/>
  <c r="L567" i="2"/>
  <c r="L311" i="2"/>
  <c r="L249" i="2"/>
  <c r="L464" i="2"/>
  <c r="L410" i="2"/>
  <c r="L718" i="2"/>
  <c r="L237" i="2"/>
  <c r="L165" i="2"/>
  <c r="L271" i="2"/>
  <c r="L591" i="2"/>
  <c r="L642" i="2"/>
  <c r="L304" i="2"/>
  <c r="L489" i="2"/>
  <c r="L244" i="2"/>
  <c r="L90" i="2"/>
  <c r="L136" i="2"/>
  <c r="L536" i="2"/>
  <c r="L412" i="2"/>
  <c r="L208" i="2"/>
  <c r="L483" i="2"/>
  <c r="L52" i="2"/>
  <c r="L572" i="2"/>
  <c r="L662" i="2"/>
  <c r="L530" i="2"/>
  <c r="L391" i="2"/>
  <c r="L705" i="2"/>
  <c r="L646" i="2"/>
  <c r="L554" i="2"/>
  <c r="L541" i="2"/>
  <c r="L559" i="2"/>
  <c r="L613" i="2"/>
  <c r="L551" i="2"/>
  <c r="L157" i="2"/>
  <c r="L463" i="2"/>
  <c r="L286" i="2"/>
  <c r="L428" i="2"/>
  <c r="L184" i="2"/>
  <c r="L316" i="2"/>
  <c r="L295" i="2"/>
  <c r="L422" i="2"/>
  <c r="L361" i="2"/>
  <c r="L326" i="2"/>
  <c r="L573" i="2"/>
  <c r="L475" i="2"/>
  <c r="L347" i="2"/>
  <c r="L504" i="2"/>
  <c r="L351" i="2"/>
  <c r="L254" i="2"/>
  <c r="L350" i="2"/>
  <c r="L477" i="2"/>
  <c r="L421" i="2"/>
  <c r="L62" i="2"/>
  <c r="L532" i="2"/>
  <c r="L570" i="2"/>
  <c r="L185" i="2"/>
  <c r="L58" i="2"/>
  <c r="L28" i="2"/>
  <c r="L349" i="2"/>
  <c r="L5" i="2"/>
  <c r="L451" i="2"/>
  <c r="L716" i="2"/>
  <c r="L26" i="2"/>
  <c r="L582" i="2"/>
  <c r="L462" i="2"/>
  <c r="L689" i="2"/>
  <c r="L727" i="2"/>
  <c r="L598" i="2"/>
  <c r="L710" i="2"/>
  <c r="L112" i="2"/>
  <c r="L617" i="2"/>
  <c r="L711" i="2"/>
  <c r="L36" i="2"/>
  <c r="L666" i="2"/>
  <c r="L374" i="2"/>
  <c r="L546" i="2"/>
  <c r="L38" i="2"/>
  <c r="L652" i="2"/>
  <c r="L121" i="2"/>
  <c r="L153" i="2"/>
  <c r="L512" i="2"/>
  <c r="L94" i="2"/>
  <c r="L11" i="2"/>
  <c r="L667" i="2"/>
  <c r="L322" i="2"/>
  <c r="L517" i="2"/>
  <c r="L564" i="2"/>
  <c r="L18" i="2"/>
  <c r="L424" i="2"/>
  <c r="L397" i="2"/>
  <c r="L291" i="2"/>
  <c r="L70" i="2"/>
  <c r="L593" i="2"/>
  <c r="L657" i="2"/>
  <c r="L15" i="2"/>
  <c r="G2" i="3"/>
  <c r="L2" i="2"/>
  <c r="L722" i="2"/>
  <c r="L510" i="2"/>
  <c r="L142" i="2"/>
  <c r="L566" i="2"/>
  <c r="L378" i="2"/>
  <c r="L641" i="2"/>
  <c r="L626" i="2"/>
  <c r="L581" i="2"/>
  <c r="L555" i="2"/>
  <c r="L79" i="2"/>
  <c r="L403" i="2"/>
  <c r="L640" i="2"/>
  <c r="L240" i="2"/>
  <c r="L538" i="2"/>
  <c r="L177" i="2"/>
  <c r="L436" i="2"/>
  <c r="L228" i="2"/>
  <c r="L385" i="2"/>
  <c r="L25" i="2"/>
  <c r="L565" i="2"/>
  <c r="L359" i="2"/>
  <c r="L423" i="2"/>
  <c r="L488" i="2"/>
  <c r="L198" i="2"/>
  <c r="L681" i="2"/>
  <c r="L389" i="2"/>
  <c r="L16" i="2"/>
  <c r="L552" i="2"/>
  <c r="L691" i="2"/>
  <c r="L653" i="2"/>
  <c r="L670" i="2"/>
  <c r="L476" i="2"/>
  <c r="L682" i="2"/>
  <c r="L688" i="2"/>
  <c r="L179" i="2"/>
  <c r="L429" i="2"/>
  <c r="L151" i="2"/>
  <c r="L174" i="2"/>
  <c r="L430" i="2"/>
  <c r="L352" i="2"/>
  <c r="L88" i="2"/>
  <c r="L401" i="2"/>
  <c r="L41" i="2"/>
  <c r="L493" i="2"/>
  <c r="L34" i="2"/>
  <c r="L449" i="2"/>
  <c r="L127" i="2"/>
  <c r="L65" i="2"/>
  <c r="L622" i="2"/>
  <c r="L454" i="2"/>
  <c r="L698" i="2"/>
  <c r="L129" i="2"/>
  <c r="L618" i="2"/>
  <c r="L171" i="2"/>
  <c r="L202" i="2"/>
  <c r="L562" i="2"/>
  <c r="L283" i="2"/>
  <c r="L275" i="2"/>
  <c r="L425" i="2"/>
  <c r="L677" i="2"/>
  <c r="L22" i="2"/>
  <c r="L227" i="2"/>
  <c r="L149" i="2"/>
  <c r="L687" i="2"/>
  <c r="L209" i="2"/>
  <c r="L57" i="2"/>
  <c r="L197" i="2"/>
  <c r="L576" i="2"/>
  <c r="L246" i="2"/>
  <c r="L583" i="2"/>
  <c r="L678" i="2"/>
  <c r="L728" i="2"/>
  <c r="L223" i="2"/>
  <c r="L194" i="2"/>
  <c r="L482" i="2"/>
  <c r="L233" i="2"/>
  <c r="L717" i="2"/>
  <c r="L110" i="2"/>
  <c r="L298" i="2"/>
  <c r="L486" i="2"/>
  <c r="L668" i="2"/>
  <c r="L604" i="2"/>
  <c r="L605" i="2"/>
  <c r="L105" i="2"/>
  <c r="L23" i="2"/>
  <c r="L377" i="2"/>
  <c r="L215" i="2"/>
  <c r="L56" i="2"/>
  <c r="L199" i="2"/>
  <c r="L556" i="2"/>
  <c r="L434" i="2"/>
  <c r="L455" i="2"/>
  <c r="L156" i="2"/>
  <c r="L437" i="2"/>
  <c r="L730" i="2"/>
  <c r="L468" i="2"/>
  <c r="L324" i="2"/>
  <c r="L586" i="2"/>
  <c r="L708" i="2"/>
  <c r="L713" i="2"/>
  <c r="L14" i="2"/>
  <c r="L603" i="2"/>
  <c r="L452" i="2"/>
  <c r="L64" i="2"/>
  <c r="L518" i="2"/>
  <c r="L631" i="2"/>
  <c r="L37" i="2"/>
  <c r="L47" i="2"/>
  <c r="L77" i="2"/>
  <c r="L515" i="2"/>
  <c r="L418" i="2"/>
  <c r="L68" i="2"/>
  <c r="L458" i="2"/>
  <c r="L279" i="2"/>
  <c r="L369" i="2"/>
  <c r="L383" i="2"/>
  <c r="L231" i="2"/>
  <c r="L399" i="2"/>
  <c r="L85" i="2"/>
  <c r="L456" i="2"/>
  <c r="L130" i="2"/>
  <c r="L537" i="2"/>
  <c r="L366" i="2"/>
  <c r="L620" i="2"/>
  <c r="L721" i="2"/>
  <c r="L328" i="2"/>
  <c r="L315" i="2"/>
  <c r="L680" i="2"/>
  <c r="L363" i="2"/>
  <c r="L282" i="2"/>
  <c r="L147" i="2"/>
  <c r="L629" i="2"/>
  <c r="L337" i="2"/>
  <c r="L706" i="2"/>
  <c r="L131" i="2"/>
  <c r="L206" i="2"/>
  <c r="L384" i="2"/>
  <c r="L155" i="2"/>
  <c r="L280" i="2"/>
  <c r="L505" i="2"/>
  <c r="L696" i="2"/>
  <c r="L444" i="2"/>
  <c r="G6" i="3"/>
  <c r="L9" i="2"/>
  <c r="L589" i="2"/>
  <c r="L115" i="2"/>
  <c r="L702" i="2"/>
  <c r="L442" i="2"/>
  <c r="L314" i="2"/>
  <c r="L664" i="2"/>
  <c r="L637" i="2"/>
  <c r="G10" i="3"/>
  <c r="L8" i="2"/>
  <c r="L584" i="2"/>
  <c r="L441" i="2"/>
  <c r="L528" i="2"/>
  <c r="L656" i="2"/>
  <c r="L234" i="2"/>
  <c r="L329" i="2"/>
  <c r="L250" i="2"/>
  <c r="L24" i="2"/>
  <c r="L269" i="2"/>
  <c r="L585" i="2"/>
  <c r="L408" i="2"/>
  <c r="L500" i="2"/>
  <c r="L692" i="2"/>
  <c r="L568" i="2"/>
  <c r="L103" i="2"/>
  <c r="L571" i="2"/>
  <c r="L4" i="2"/>
  <c r="L621" i="2"/>
  <c r="L278" i="2"/>
  <c r="L342" i="2"/>
  <c r="L569" i="2"/>
  <c r="L125" i="2"/>
  <c r="L189" i="2"/>
  <c r="L100" i="2"/>
  <c r="L300" i="2"/>
  <c r="L313" i="2"/>
  <c r="L416" i="2"/>
  <c r="L353" i="2"/>
  <c r="L457" i="2"/>
  <c r="L419" i="2"/>
  <c r="L485" i="2"/>
  <c r="L465" i="2"/>
  <c r="L201" i="2"/>
  <c r="L539" i="2"/>
  <c r="L310" i="2"/>
  <c r="L527" i="2"/>
  <c r="L330" i="2"/>
  <c r="L104" i="2"/>
  <c r="L633" i="2"/>
  <c r="L272" i="2"/>
  <c r="L138" i="2"/>
  <c r="L492" i="2"/>
  <c r="L134" i="2"/>
  <c r="L693" i="2"/>
  <c r="L675" i="2"/>
  <c r="L639" i="2"/>
  <c r="L368" i="2"/>
  <c r="L645" i="2"/>
  <c r="L212" i="2"/>
  <c r="L597" i="2"/>
  <c r="L238" i="2"/>
  <c r="L120" i="2"/>
  <c r="L595" i="2"/>
  <c r="L381" i="2"/>
  <c r="L376" i="2"/>
  <c r="L277" i="2"/>
  <c r="L447" i="2"/>
  <c r="L521" i="2"/>
  <c r="L373" i="2"/>
  <c r="L669" i="2"/>
  <c r="L339" i="2"/>
  <c r="L400" i="2"/>
  <c r="L123" i="2"/>
  <c r="L676" i="2"/>
  <c r="L113" i="2"/>
  <c r="L39" i="2"/>
  <c r="L84" i="2"/>
  <c r="L35" i="2"/>
  <c r="L409" i="2"/>
  <c r="L644" i="2"/>
  <c r="L616" i="2"/>
  <c r="L117" i="2"/>
  <c r="L672" i="2"/>
  <c r="L360" i="2"/>
  <c r="L319" i="2"/>
  <c r="L608" i="2"/>
  <c r="L146" i="2"/>
  <c r="L623" i="2"/>
  <c r="L167" i="2"/>
  <c r="L624" i="2"/>
  <c r="L578" i="2"/>
  <c r="L191" i="2"/>
  <c r="L590" i="2"/>
  <c r="L169" i="2"/>
  <c r="L435" i="2"/>
  <c r="L683" i="2"/>
  <c r="L472" i="2"/>
  <c r="L80" i="2"/>
  <c r="L542" i="2"/>
  <c r="L33" i="2"/>
  <c r="L170" i="2"/>
  <c r="L251" i="2"/>
  <c r="L106" i="2"/>
  <c r="L550" i="2"/>
  <c r="L596" i="2"/>
  <c r="L196" i="2"/>
  <c r="L674" i="2"/>
  <c r="L172" i="2"/>
  <c r="L415" i="2"/>
  <c r="L380" i="2"/>
  <c r="L407" i="2"/>
  <c r="L509" i="2"/>
  <c r="L433" i="2"/>
  <c r="L252" i="2"/>
  <c r="L478" i="2"/>
  <c r="L287" i="2"/>
  <c r="L59" i="2"/>
  <c r="L219" i="2"/>
  <c r="L459" i="2"/>
  <c r="L432" i="2"/>
  <c r="L525" i="2"/>
  <c r="L503" i="2"/>
  <c r="L387" i="2"/>
  <c r="L549" i="2"/>
  <c r="L467" i="2"/>
  <c r="L44" i="2"/>
  <c r="L331" i="2"/>
  <c r="L375" i="2"/>
  <c r="L207" i="2"/>
  <c r="L479" i="2"/>
  <c r="L301" i="2"/>
  <c r="L544" i="2"/>
  <c r="L659" i="2"/>
  <c r="L679" i="2"/>
  <c r="L445" i="2"/>
  <c r="L89" i="2"/>
  <c r="L498" i="2"/>
  <c r="L255" i="2"/>
  <c r="L232" i="2"/>
  <c r="L729" i="2"/>
  <c r="L12" i="2"/>
  <c r="L700" i="2"/>
  <c r="L235" i="2"/>
  <c r="L248" i="2"/>
  <c r="L543" i="2"/>
  <c r="L450" i="2"/>
  <c r="L508" i="2"/>
  <c r="L261" i="2"/>
  <c r="L420" i="2"/>
  <c r="L54" i="2"/>
  <c r="L553" i="2"/>
  <c r="L630" i="2"/>
  <c r="L574" i="2"/>
  <c r="L259" i="2"/>
  <c r="L497" i="2"/>
  <c r="L643" i="2"/>
  <c r="L355" i="2"/>
  <c r="L499" i="2"/>
  <c r="L214" i="2"/>
  <c r="L200" i="2"/>
  <c r="L392" i="2"/>
  <c r="L481" i="2"/>
  <c r="L636" i="2"/>
  <c r="L83" i="2"/>
  <c r="L577" i="2"/>
  <c r="L256" i="2"/>
  <c r="L563" i="2"/>
  <c r="L715" i="2"/>
  <c r="L49" i="2"/>
  <c r="L526" i="2"/>
  <c r="L609" i="2"/>
  <c r="L466" i="2"/>
  <c r="L345" i="2"/>
  <c r="L395" i="2"/>
  <c r="L495" i="2"/>
  <c r="L192" i="2"/>
  <c r="L43" i="2"/>
  <c r="L21" i="2"/>
  <c r="L516" i="2"/>
  <c r="L426" i="2"/>
  <c r="L107" i="2"/>
  <c r="L243" i="2"/>
  <c r="L217" i="2"/>
  <c r="L17" i="2"/>
  <c r="L55" i="2"/>
  <c r="L714" i="2"/>
  <c r="L473" i="2"/>
  <c r="L293" i="2"/>
  <c r="L220" i="2"/>
  <c r="L370" i="2"/>
  <c r="L519" i="2"/>
  <c r="L724" i="2"/>
  <c r="L726" i="2"/>
  <c r="L348" i="2"/>
  <c r="L506" i="2"/>
  <c r="L10" i="2"/>
  <c r="L73" i="2"/>
  <c r="L704" i="2"/>
  <c r="L673" i="2"/>
  <c r="L697" i="2"/>
  <c r="L148" i="2"/>
  <c r="L139" i="2"/>
  <c r="L612" i="2"/>
  <c r="L299" i="2"/>
  <c r="L625" i="2"/>
  <c r="L362" i="2"/>
  <c r="L560" i="2"/>
  <c r="L655" i="2"/>
  <c r="L306" i="2"/>
  <c r="L74" i="2"/>
  <c r="L607" i="2"/>
  <c r="G14" i="3"/>
  <c r="L6" i="2"/>
  <c r="L460" i="2"/>
  <c r="L332" i="2"/>
  <c r="L75" i="2"/>
  <c r="L611" i="2"/>
  <c r="L309" i="2"/>
  <c r="L540" i="2"/>
  <c r="L63" i="2"/>
  <c r="L346" i="2"/>
  <c r="L398" i="2"/>
  <c r="L163" i="2"/>
  <c r="L490" i="2"/>
  <c r="L60" i="2"/>
  <c r="L162" i="2"/>
  <c r="L239" i="2"/>
  <c r="L7" i="2"/>
  <c r="L230" i="2"/>
  <c r="L128" i="2"/>
  <c r="L533" i="2"/>
  <c r="L685" i="2"/>
  <c r="L491" i="2"/>
  <c r="L173" i="2"/>
  <c r="L166" i="2"/>
  <c r="L547" i="2"/>
  <c r="L46" i="2"/>
  <c r="L661" i="2"/>
  <c r="L638" i="2"/>
  <c r="L67" i="2"/>
  <c r="L160" i="2"/>
  <c r="L371" i="2"/>
  <c r="L557" i="2"/>
  <c r="L602" i="2"/>
  <c r="L494" i="2"/>
  <c r="L594" i="2"/>
  <c r="L531" i="2"/>
  <c r="L535" i="2"/>
  <c r="L365" i="2"/>
  <c r="L357" i="2"/>
  <c r="L236" i="2"/>
  <c r="L404" i="2"/>
  <c r="L438" i="2"/>
  <c r="L650" i="2"/>
  <c r="L619" i="2"/>
  <c r="L654" i="2"/>
  <c r="L141" i="2"/>
  <c r="L627" i="2"/>
  <c r="L30" i="2"/>
  <c r="L50" i="2"/>
  <c r="L268" i="2"/>
  <c r="L390" i="2"/>
  <c r="L224" i="2"/>
  <c r="L439" i="2"/>
  <c r="L487" i="2"/>
  <c r="L20" i="2"/>
  <c r="L253" i="2"/>
  <c r="L507" i="2"/>
  <c r="L513" i="2"/>
  <c r="L471" i="2"/>
  <c r="L266" i="2"/>
  <c r="L413" i="2"/>
  <c r="L307" i="2"/>
  <c r="L274" i="2"/>
  <c r="L13" i="2"/>
  <c r="L523" i="2"/>
  <c r="L114" i="2"/>
  <c r="L712" i="2"/>
  <c r="L51" i="2"/>
  <c r="L91" i="2"/>
  <c r="L440" i="2"/>
  <c r="L321" i="2"/>
  <c r="L144" i="2"/>
  <c r="L534" i="2"/>
  <c r="L140" i="2"/>
  <c r="L651" i="2"/>
  <c r="L31" i="2"/>
  <c r="L302" i="2"/>
  <c r="L211" i="2"/>
  <c r="L71" i="2"/>
  <c r="L81" i="2"/>
  <c r="L614" i="2"/>
  <c r="L610" i="2"/>
  <c r="L474" i="2"/>
  <c r="L336" i="2"/>
  <c r="L484" i="2"/>
  <c r="L417" i="2"/>
  <c r="L396" i="2"/>
  <c r="L93" i="2"/>
  <c r="L97" i="2"/>
  <c r="L150" i="2"/>
  <c r="L247" i="2"/>
  <c r="L182" i="2"/>
  <c r="L205" i="2"/>
  <c r="L241" i="2"/>
  <c r="L684" i="2"/>
  <c r="L379" i="2"/>
  <c r="L257" i="2"/>
  <c r="L635" i="2"/>
  <c r="L327" i="2"/>
  <c r="L699" i="2"/>
  <c r="L66" i="2"/>
  <c r="L529" i="2"/>
  <c r="L579" i="2"/>
  <c r="L323" i="2"/>
  <c r="L431" i="2"/>
  <c r="L303" i="2"/>
  <c r="L210" i="2"/>
  <c r="L599" i="2"/>
  <c r="L318" i="2"/>
  <c r="L446" i="2"/>
  <c r="L225" i="2"/>
  <c r="L388" i="2"/>
  <c r="L701" i="2"/>
  <c r="L514" i="2"/>
  <c r="L102" i="2"/>
  <c r="L72" i="2"/>
  <c r="L305" i="2"/>
  <c r="L600" i="2"/>
  <c r="L663" i="2"/>
  <c r="L325" i="2"/>
  <c r="L386" i="2"/>
  <c r="L32" i="2"/>
  <c r="L606" i="2"/>
  <c r="L671" i="2"/>
  <c r="L575" i="2"/>
  <c r="L634" i="2"/>
  <c r="L78" i="2"/>
  <c r="L719" i="2"/>
  <c r="L723" i="2"/>
  <c r="L628" i="2"/>
  <c r="L720" i="2"/>
  <c r="L649" i="2"/>
  <c r="L647" i="2"/>
  <c r="L109" i="2"/>
  <c r="L427" i="2"/>
  <c r="L686" i="2"/>
  <c r="L660" i="2"/>
  <c r="L297" i="2"/>
  <c r="L213" i="2"/>
  <c r="L470" i="2"/>
  <c r="L394" i="2"/>
  <c r="L524" i="2"/>
  <c r="L520" i="2"/>
  <c r="L496" i="2"/>
  <c r="L364" i="2"/>
  <c r="L358" i="2"/>
  <c r="L522" i="2"/>
  <c r="L294" i="2"/>
  <c r="L548" i="2"/>
  <c r="L354" i="2"/>
  <c r="L27" i="2"/>
  <c r="L340" i="2"/>
  <c r="L372" i="2"/>
  <c r="L19" i="2"/>
  <c r="L502" i="2"/>
  <c r="L480" i="2"/>
  <c r="L665" i="2"/>
  <c r="L175" i="2"/>
  <c r="L382" i="2"/>
  <c r="L258" i="2"/>
  <c r="L334" i="2"/>
  <c r="L658" i="2"/>
  <c r="L414" i="2"/>
  <c r="L317" i="2"/>
  <c r="L632" i="2"/>
  <c r="L42" i="2"/>
  <c r="L545" i="2"/>
  <c r="L263" i="2"/>
  <c r="L119" i="2"/>
  <c r="L3" i="2"/>
  <c r="L448" i="2"/>
  <c r="L45" i="2"/>
  <c r="L561" i="2"/>
  <c r="L40" i="2"/>
  <c r="L511" i="2"/>
  <c r="L343" i="2"/>
  <c r="L367" i="2"/>
  <c r="L289" i="2"/>
  <c r="L195" i="2"/>
  <c r="L393" i="2"/>
  <c r="L288" i="2"/>
  <c r="L284" i="2"/>
  <c r="L108" i="2"/>
  <c r="L296" i="2"/>
  <c r="L216" i="2"/>
  <c r="L338" i="2"/>
  <c r="L703" i="2"/>
  <c r="L245" i="2"/>
  <c r="L725" i="2"/>
  <c r="L709" i="2"/>
  <c r="L461" i="2"/>
  <c r="L558" i="2"/>
  <c r="L159" i="2"/>
  <c r="L260" i="2"/>
  <c r="L601" i="2"/>
  <c r="L592" i="2"/>
  <c r="L356" i="2"/>
  <c r="L402" i="2"/>
  <c r="L707" i="2"/>
  <c r="L405" i="2"/>
  <c r="L587" i="2"/>
  <c r="L690" i="2"/>
  <c r="L53" i="2"/>
  <c r="L186" i="2"/>
  <c r="L122" i="2"/>
  <c r="L132" i="2" l="1"/>
  <c r="G115" i="3"/>
  <c r="L133" i="2"/>
  <c r="L96" i="2"/>
  <c r="L76" i="2"/>
  <c r="L95" i="2"/>
  <c r="L164" i="2"/>
  <c r="G25" i="3"/>
  <c r="L145" i="2"/>
  <c r="L126" i="2"/>
  <c r="G345" i="3"/>
  <c r="L86" i="2"/>
  <c r="G344" i="3"/>
  <c r="L99" i="2"/>
  <c r="G54" i="3"/>
  <c r="G57" i="3" s="1"/>
  <c r="X54" i="3" s="1"/>
  <c r="L98" i="2"/>
  <c r="G200" i="3"/>
  <c r="G202" i="3" s="1"/>
  <c r="X199" i="3" s="1"/>
  <c r="AF7" i="3" s="1"/>
  <c r="X112" i="3"/>
  <c r="AF4" i="3" s="1"/>
  <c r="L82" i="2"/>
  <c r="G83" i="3"/>
  <c r="L92" i="2"/>
  <c r="G142" i="3"/>
  <c r="G144" i="3" s="1"/>
  <c r="X141" i="3" s="1"/>
  <c r="AF5" i="3" s="1"/>
  <c r="C25" i="3"/>
  <c r="C257" i="3"/>
  <c r="L124" i="2"/>
  <c r="G258" i="3"/>
  <c r="G260" i="3" s="1"/>
  <c r="X257" i="3" s="1"/>
  <c r="AF9" i="3" s="1"/>
  <c r="L87" i="2"/>
  <c r="G84" i="3"/>
  <c r="L135" i="2"/>
  <c r="G26" i="3"/>
  <c r="L69" i="2"/>
  <c r="G315" i="3"/>
  <c r="G318" i="3" s="1"/>
  <c r="X315" i="3" s="1"/>
  <c r="AF11" i="3" s="1"/>
  <c r="L180" i="2"/>
  <c r="G287" i="3"/>
  <c r="G289" i="3" s="1"/>
  <c r="X286" i="3" s="1"/>
  <c r="AF10" i="3" s="1"/>
  <c r="G231" i="3"/>
  <c r="X228" i="3" s="1"/>
  <c r="AF8" i="3" s="1"/>
  <c r="G173" i="3"/>
  <c r="X170" i="3" s="1"/>
  <c r="AF6" i="3" s="1"/>
  <c r="A722" i="2"/>
  <c r="N722" i="2" s="1"/>
  <c r="A2" i="2"/>
  <c r="N2" i="2" s="1"/>
  <c r="A323" i="2"/>
  <c r="N323" i="2" s="1"/>
  <c r="A479" i="2"/>
  <c r="N479" i="2" s="1"/>
  <c r="A351" i="2"/>
  <c r="N351" i="2" s="1"/>
  <c r="A519" i="2"/>
  <c r="N519" i="2" s="1"/>
  <c r="A226" i="2"/>
  <c r="N226" i="2" s="1"/>
  <c r="A18" i="2"/>
  <c r="N18" i="2" s="1"/>
  <c r="A425" i="2"/>
  <c r="N425" i="2" s="1"/>
  <c r="A563" i="2"/>
  <c r="N563" i="2" s="1"/>
  <c r="A619" i="2"/>
  <c r="N619" i="2" s="1"/>
  <c r="A71" i="2"/>
  <c r="N71" i="2" s="1"/>
  <c r="A56" i="2"/>
  <c r="N56" i="2" s="1"/>
  <c r="A244" i="2"/>
  <c r="N244" i="2" s="1"/>
  <c r="A504" i="2"/>
  <c r="N504" i="2" s="1"/>
  <c r="A168" i="2"/>
  <c r="N168" i="2" s="1"/>
  <c r="A553" i="2"/>
  <c r="N553" i="2" s="1"/>
  <c r="A219" i="2"/>
  <c r="N219" i="2" s="1"/>
  <c r="A396" i="2"/>
  <c r="N396" i="2" s="1"/>
  <c r="A182" i="2"/>
  <c r="N182" i="2" s="1"/>
  <c r="L143" i="2"/>
  <c r="A143" i="2"/>
  <c r="N143" i="2" s="1"/>
  <c r="A271" i="2"/>
  <c r="N271" i="2" s="1"/>
  <c r="A286" i="2"/>
  <c r="N286" i="2" s="1"/>
  <c r="A57" i="2"/>
  <c r="N57" i="2" s="1"/>
  <c r="A87" i="2"/>
  <c r="N87" i="2" s="1"/>
  <c r="A196" i="2"/>
  <c r="N196" i="2" s="1"/>
  <c r="A566" i="2"/>
  <c r="N566" i="2" s="1"/>
  <c r="A165" i="2"/>
  <c r="N165" i="2" s="1"/>
  <c r="A463" i="2"/>
  <c r="N463" i="2" s="1"/>
  <c r="A152" i="2"/>
  <c r="N152" i="2" s="1"/>
  <c r="A26" i="2"/>
  <c r="N26" i="2" s="1"/>
  <c r="A381" i="2"/>
  <c r="N381" i="2" s="1"/>
  <c r="A312" i="2"/>
  <c r="N312" i="2" s="1"/>
  <c r="A159" i="2"/>
  <c r="N159" i="2" s="1"/>
  <c r="A452" i="2"/>
  <c r="N452" i="2" s="1"/>
  <c r="A522" i="2"/>
  <c r="N522" i="2" s="1"/>
  <c r="A414" i="2"/>
  <c r="N414" i="2" s="1"/>
  <c r="A110" i="2"/>
  <c r="N110" i="2" s="1"/>
  <c r="A675" i="2"/>
  <c r="N675" i="2" s="1"/>
  <c r="A571" i="2"/>
  <c r="N571" i="2" s="1"/>
  <c r="A353" i="2"/>
  <c r="N353" i="2" s="1"/>
  <c r="A272" i="2"/>
  <c r="N272" i="2" s="1"/>
  <c r="A139" i="2"/>
  <c r="N139" i="2" s="1"/>
  <c r="A710" i="2"/>
  <c r="N710" i="2" s="1"/>
  <c r="A702" i="2"/>
  <c r="N702" i="2" s="1"/>
  <c r="A37" i="2"/>
  <c r="N37" i="2" s="1"/>
  <c r="A172" i="2"/>
  <c r="N172" i="2" s="1"/>
  <c r="A432" i="2"/>
  <c r="N432" i="2" s="1"/>
  <c r="A726" i="2"/>
  <c r="N726" i="2" s="1"/>
  <c r="A614" i="2"/>
  <c r="N614" i="2" s="1"/>
  <c r="A135" i="2"/>
  <c r="N135" i="2" s="1"/>
  <c r="A608" i="2"/>
  <c r="N608" i="2" s="1"/>
  <c r="A518" i="2"/>
  <c r="N518" i="2" s="1"/>
  <c r="A594" i="2"/>
  <c r="N594" i="2" s="1"/>
  <c r="A21" i="2"/>
  <c r="N21" i="2" s="1"/>
  <c r="A632" i="2"/>
  <c r="N632" i="2" s="1"/>
  <c r="A462" i="2"/>
  <c r="N462" i="2" s="1"/>
  <c r="A39" i="2"/>
  <c r="N39" i="2" s="1"/>
  <c r="A574" i="2"/>
  <c r="N574" i="2" s="1"/>
  <c r="A336" i="2"/>
  <c r="N336" i="2" s="1"/>
  <c r="A141" i="2"/>
  <c r="N141" i="2" s="1"/>
  <c r="A513" i="2"/>
  <c r="N513" i="2" s="1"/>
  <c r="A334" i="2"/>
  <c r="N334" i="2" s="1"/>
  <c r="A325" i="2"/>
  <c r="N325" i="2" s="1"/>
  <c r="A63" i="2"/>
  <c r="N63" i="2" s="1"/>
  <c r="A603" i="2"/>
  <c r="N603" i="2" s="1"/>
  <c r="A660" i="2"/>
  <c r="N660" i="2" s="1"/>
  <c r="A548" i="2"/>
  <c r="N548" i="2" s="1"/>
  <c r="A483" i="2"/>
  <c r="N483" i="2" s="1"/>
  <c r="A576" i="2"/>
  <c r="N576" i="2" s="1"/>
  <c r="A69" i="2"/>
  <c r="N69" i="2" s="1"/>
  <c r="A303" i="2"/>
  <c r="N303" i="2" s="1"/>
  <c r="A723" i="2"/>
  <c r="N723" i="2" s="1"/>
  <c r="A441" i="2"/>
  <c r="N441" i="2" s="1"/>
  <c r="A528" i="2"/>
  <c r="N528" i="2" s="1"/>
  <c r="A663" i="2"/>
  <c r="N663" i="2" s="1"/>
  <c r="A187" i="2"/>
  <c r="N187" i="2" s="1"/>
  <c r="A707" i="2"/>
  <c r="N707" i="2" s="1"/>
  <c r="A386" i="2"/>
  <c r="N386" i="2" s="1"/>
  <c r="A184" i="2"/>
  <c r="N184" i="2" s="1"/>
  <c r="A350" i="2"/>
  <c r="N350" i="2" s="1"/>
  <c r="A227" i="2"/>
  <c r="N227" i="2" s="1"/>
  <c r="A74" i="2"/>
  <c r="N74" i="2" s="1"/>
  <c r="A709" i="2"/>
  <c r="N709" i="2" s="1"/>
  <c r="A642" i="2"/>
  <c r="N642" i="2" s="1"/>
  <c r="A424" i="2"/>
  <c r="N424" i="2" s="1"/>
  <c r="A46" i="2"/>
  <c r="N46" i="2" s="1"/>
  <c r="A232" i="2"/>
  <c r="N232" i="2" s="1"/>
  <c r="A121" i="2"/>
  <c r="N121" i="2" s="1"/>
  <c r="A299" i="2"/>
  <c r="N299" i="2" s="1"/>
  <c r="A216" i="2"/>
  <c r="N216" i="2" s="1"/>
  <c r="A626" i="2"/>
  <c r="N626" i="2" s="1"/>
  <c r="A61" i="2"/>
  <c r="N61" i="2" s="1"/>
  <c r="A298" i="2"/>
  <c r="N298" i="2" s="1"/>
  <c r="A212" i="2"/>
  <c r="N212" i="2" s="1"/>
  <c r="A4" i="2"/>
  <c r="N4" i="2" s="1"/>
  <c r="A457" i="2"/>
  <c r="N457" i="2" s="1"/>
  <c r="A467" i="2"/>
  <c r="N467" i="2" s="1"/>
  <c r="A612" i="2"/>
  <c r="N612" i="2" s="1"/>
  <c r="A137" i="2"/>
  <c r="N137" i="2" s="1"/>
  <c r="A442" i="2"/>
  <c r="N442" i="2" s="1"/>
  <c r="A77" i="2"/>
  <c r="N77" i="2" s="1"/>
  <c r="A415" i="2"/>
  <c r="N415" i="2" s="1"/>
  <c r="A525" i="2"/>
  <c r="N525" i="2" s="1"/>
  <c r="A440" i="2"/>
  <c r="N440" i="2" s="1"/>
  <c r="A580" i="2"/>
  <c r="N580" i="2" s="1"/>
  <c r="A183" i="2"/>
  <c r="N183" i="2" s="1"/>
  <c r="A146" i="2"/>
  <c r="N146" i="2" s="1"/>
  <c r="A47" i="2"/>
  <c r="N47" i="2" s="1"/>
  <c r="A575" i="2"/>
  <c r="N575" i="2" s="1"/>
  <c r="A516" i="2"/>
  <c r="N516" i="2" s="1"/>
  <c r="A42" i="2"/>
  <c r="N42" i="2" s="1"/>
  <c r="A689" i="2"/>
  <c r="N689" i="2" s="1"/>
  <c r="A84" i="2"/>
  <c r="N84" i="2" s="1"/>
  <c r="A259" i="2"/>
  <c r="N259" i="2" s="1"/>
  <c r="A193" i="2"/>
  <c r="N193" i="2" s="1"/>
  <c r="A627" i="2"/>
  <c r="N627" i="2" s="1"/>
  <c r="A471" i="2"/>
  <c r="N471" i="2" s="1"/>
  <c r="A658" i="2"/>
  <c r="N658" i="2" s="1"/>
  <c r="A269" i="2"/>
  <c r="N269" i="2" s="1"/>
  <c r="A346" i="2"/>
  <c r="N346" i="2" s="1"/>
  <c r="A279" i="2"/>
  <c r="N279" i="2" s="1"/>
  <c r="A297" i="2"/>
  <c r="N297" i="2" s="1"/>
  <c r="A354" i="2"/>
  <c r="N354" i="2" s="1"/>
  <c r="A264" i="2"/>
  <c r="N264" i="2" s="1"/>
  <c r="A246" i="2"/>
  <c r="N246" i="2" s="1"/>
  <c r="A96" i="2"/>
  <c r="N96" i="2" s="1"/>
  <c r="A210" i="2"/>
  <c r="N210" i="2" s="1"/>
  <c r="A538" i="2"/>
  <c r="N538" i="2" s="1"/>
  <c r="A536" i="2"/>
  <c r="N536" i="2" s="1"/>
  <c r="A533" i="2"/>
  <c r="N533" i="2" s="1"/>
  <c r="A629" i="2"/>
  <c r="N629" i="2" s="1"/>
  <c r="A98" i="2"/>
  <c r="N98" i="2" s="1"/>
  <c r="A405" i="2"/>
  <c r="N405" i="2" s="1"/>
  <c r="A634" i="2"/>
  <c r="N634" i="2" s="1"/>
  <c r="A316" i="2"/>
  <c r="N316" i="2" s="1"/>
  <c r="A600" i="2"/>
  <c r="N600" i="2" s="1"/>
  <c r="A149" i="2"/>
  <c r="N149" i="2" s="1"/>
  <c r="A607" i="2"/>
  <c r="N607" i="2" s="1"/>
  <c r="A461" i="2"/>
  <c r="N461" i="2" s="1"/>
  <c r="A304" i="2"/>
  <c r="N304" i="2" s="1"/>
  <c r="A622" i="2"/>
  <c r="N622" i="2" s="1"/>
  <c r="A730" i="2"/>
  <c r="N730" i="2" s="1"/>
  <c r="A305" i="2"/>
  <c r="N305" i="2" s="1"/>
  <c r="A729" i="2"/>
  <c r="N729" i="2" s="1"/>
  <c r="A153" i="2"/>
  <c r="N153" i="2" s="1"/>
  <c r="A625" i="2"/>
  <c r="N625" i="2" s="1"/>
  <c r="A338" i="2"/>
  <c r="N338" i="2" s="1"/>
  <c r="A581" i="2"/>
  <c r="N581" i="2" s="1"/>
  <c r="A567" i="2"/>
  <c r="N567" i="2" s="1"/>
  <c r="A486" i="2"/>
  <c r="N486" i="2" s="1"/>
  <c r="A713" i="2"/>
  <c r="N713" i="2" s="1"/>
  <c r="A621" i="2"/>
  <c r="N621" i="2" s="1"/>
  <c r="A419" i="2"/>
  <c r="N419" i="2" s="1"/>
  <c r="A44" i="2"/>
  <c r="N44" i="2" s="1"/>
  <c r="A561" i="2"/>
  <c r="N561" i="2" s="1"/>
  <c r="A133" i="2"/>
  <c r="N133" i="2" s="1"/>
  <c r="A314" i="2"/>
  <c r="N314" i="2" s="1"/>
  <c r="A383" i="2"/>
  <c r="N383" i="2" s="1"/>
  <c r="A380" i="2"/>
  <c r="N380" i="2" s="1"/>
  <c r="A503" i="2"/>
  <c r="N503" i="2" s="1"/>
  <c r="A321" i="2"/>
  <c r="N321" i="2" s="1"/>
  <c r="A391" i="2"/>
  <c r="N391" i="2" s="1"/>
  <c r="A262" i="2"/>
  <c r="N262" i="2" s="1"/>
  <c r="A623" i="2"/>
  <c r="N623" i="2" s="1"/>
  <c r="A68" i="2"/>
  <c r="N68" i="2" s="1"/>
  <c r="A531" i="2"/>
  <c r="N531" i="2" s="1"/>
  <c r="A426" i="2"/>
  <c r="N426" i="2" s="1"/>
  <c r="A545" i="2"/>
  <c r="N545" i="2" s="1"/>
  <c r="A727" i="2"/>
  <c r="N727" i="2" s="1"/>
  <c r="A35" i="2"/>
  <c r="N35" i="2" s="1"/>
  <c r="A497" i="2"/>
  <c r="N497" i="2" s="1"/>
  <c r="A602" i="2"/>
  <c r="N602" i="2" s="1"/>
  <c r="A30" i="2"/>
  <c r="N30" i="2" s="1"/>
  <c r="A266" i="2"/>
  <c r="N266" i="2" s="1"/>
  <c r="A52" i="2"/>
  <c r="N52" i="2" s="1"/>
  <c r="A397" i="2"/>
  <c r="N397" i="2" s="1"/>
  <c r="A398" i="2"/>
  <c r="N398" i="2" s="1"/>
  <c r="A408" i="2"/>
  <c r="N408" i="2" s="1"/>
  <c r="A213" i="2"/>
  <c r="N213" i="2" s="1"/>
  <c r="A27" i="2"/>
  <c r="N27" i="2" s="1"/>
  <c r="A62" i="2"/>
  <c r="N62" i="2" s="1"/>
  <c r="A113" i="2"/>
  <c r="N113" i="2" s="1"/>
  <c r="A599" i="2"/>
  <c r="N599" i="2" s="1"/>
  <c r="A556" i="2"/>
  <c r="N556" i="2" s="1"/>
  <c r="A499" i="2"/>
  <c r="N499" i="2" s="1"/>
  <c r="A200" i="2"/>
  <c r="N200" i="2" s="1"/>
  <c r="A337" i="2"/>
  <c r="N337" i="2" s="1"/>
  <c r="A248" i="2"/>
  <c r="N248" i="2" s="1"/>
  <c r="A587" i="2"/>
  <c r="N587" i="2" s="1"/>
  <c r="A720" i="2"/>
  <c r="N720" i="2" s="1"/>
  <c r="A295" i="2"/>
  <c r="N295" i="2" s="1"/>
  <c r="A83" i="2"/>
  <c r="N83" i="2" s="1"/>
  <c r="A687" i="2"/>
  <c r="N687" i="2" s="1"/>
  <c r="A6" i="2"/>
  <c r="N6" i="2" s="1"/>
  <c r="A558" i="2"/>
  <c r="N558" i="2" s="1"/>
  <c r="A489" i="2"/>
  <c r="N489" i="2" s="1"/>
  <c r="A552" i="2"/>
  <c r="N552" i="2" s="1"/>
  <c r="A234" i="2"/>
  <c r="N234" i="2" s="1"/>
  <c r="A636" i="2"/>
  <c r="N636" i="2" s="1"/>
  <c r="A93" i="2"/>
  <c r="N93" i="2" s="1"/>
  <c r="A512" i="2"/>
  <c r="N512" i="2" s="1"/>
  <c r="A362" i="2"/>
  <c r="N362" i="2" s="1"/>
  <c r="A132" i="2"/>
  <c r="N132" i="2" s="1"/>
  <c r="A555" i="2"/>
  <c r="N555" i="2" s="1"/>
  <c r="A221" i="2"/>
  <c r="N221" i="2" s="1"/>
  <c r="A668" i="2"/>
  <c r="N668" i="2" s="1"/>
  <c r="A515" i="2"/>
  <c r="N515" i="2" s="1"/>
  <c r="A278" i="2"/>
  <c r="N278" i="2" s="1"/>
  <c r="A485" i="2"/>
  <c r="N485" i="2" s="1"/>
  <c r="A331" i="2"/>
  <c r="N331" i="2" s="1"/>
  <c r="A40" i="2"/>
  <c r="N40" i="2" s="1"/>
  <c r="A112" i="2"/>
  <c r="N112" i="2" s="1"/>
  <c r="A664" i="2"/>
  <c r="N664" i="2" s="1"/>
  <c r="A85" i="2"/>
  <c r="N85" i="2" s="1"/>
  <c r="A407" i="2"/>
  <c r="N407" i="2" s="1"/>
  <c r="A387" i="2"/>
  <c r="N387" i="2" s="1"/>
  <c r="A144" i="2"/>
  <c r="N144" i="2" s="1"/>
  <c r="A705" i="2"/>
  <c r="N705" i="2" s="1"/>
  <c r="A124" i="2"/>
  <c r="N124" i="2" s="1"/>
  <c r="A167" i="2"/>
  <c r="N167" i="2" s="1"/>
  <c r="A231" i="2"/>
  <c r="N231" i="2" s="1"/>
  <c r="A535" i="2"/>
  <c r="N535" i="2" s="1"/>
  <c r="A107" i="2"/>
  <c r="N107" i="2" s="1"/>
  <c r="A263" i="2"/>
  <c r="N263" i="2" s="1"/>
  <c r="A728" i="2"/>
  <c r="N728" i="2" s="1"/>
  <c r="A409" i="2"/>
  <c r="N409" i="2" s="1"/>
  <c r="A643" i="2"/>
  <c r="N643" i="2" s="1"/>
  <c r="A49" i="2"/>
  <c r="N49" i="2" s="1"/>
  <c r="A50" i="2"/>
  <c r="N50" i="2" s="1"/>
  <c r="A413" i="2"/>
  <c r="N413" i="2" s="1"/>
  <c r="A385" i="2"/>
  <c r="N385" i="2" s="1"/>
  <c r="A181" i="2"/>
  <c r="N181" i="2" s="1"/>
  <c r="A163" i="2"/>
  <c r="N163" i="2" s="1"/>
  <c r="A106" i="2"/>
  <c r="N106" i="2" s="1"/>
  <c r="A470" i="2"/>
  <c r="N470" i="2" s="1"/>
  <c r="A340" i="2"/>
  <c r="N340" i="2" s="1"/>
  <c r="A532" i="2"/>
  <c r="N532" i="2" s="1"/>
  <c r="A583" i="2"/>
  <c r="N583" i="2" s="1"/>
  <c r="A75" i="2"/>
  <c r="N75" i="2" s="1"/>
  <c r="A318" i="2"/>
  <c r="N318" i="2" s="1"/>
  <c r="A177" i="2"/>
  <c r="N177" i="2" s="1"/>
  <c r="A225" i="2"/>
  <c r="N225" i="2" s="1"/>
  <c r="A228" i="2"/>
  <c r="N228" i="2" s="1"/>
  <c r="A706" i="2"/>
  <c r="N706" i="2" s="1"/>
  <c r="A241" i="2"/>
  <c r="N241" i="2" s="1"/>
  <c r="A690" i="2"/>
  <c r="N690" i="2" s="1"/>
  <c r="A554" i="2"/>
  <c r="N554" i="2" s="1"/>
  <c r="A422" i="2"/>
  <c r="N422" i="2" s="1"/>
  <c r="A101" i="2"/>
  <c r="N101" i="2" s="1"/>
  <c r="A209" i="2"/>
  <c r="N209" i="2" s="1"/>
  <c r="A604" i="2"/>
  <c r="N604" i="2" s="1"/>
  <c r="A399" i="2"/>
  <c r="N399" i="2" s="1"/>
  <c r="A342" i="2"/>
  <c r="N342" i="2" s="1"/>
  <c r="A465" i="2"/>
  <c r="N465" i="2" s="1"/>
  <c r="A348" i="2"/>
  <c r="N348" i="2" s="1"/>
  <c r="A511" i="2"/>
  <c r="N511" i="2" s="1"/>
  <c r="A145" i="2"/>
  <c r="N145" i="2" s="1"/>
  <c r="A637" i="2"/>
  <c r="N637" i="2" s="1"/>
  <c r="A492" i="2"/>
  <c r="N492" i="2" s="1"/>
  <c r="A509" i="2"/>
  <c r="N509" i="2" s="1"/>
  <c r="A549" i="2"/>
  <c r="N549" i="2" s="1"/>
  <c r="A534" i="2"/>
  <c r="N534" i="2" s="1"/>
  <c r="A341" i="2"/>
  <c r="N341" i="2" s="1"/>
  <c r="A593" i="2"/>
  <c r="N593" i="2" s="1"/>
  <c r="A624" i="2"/>
  <c r="N624" i="2" s="1"/>
  <c r="A130" i="2"/>
  <c r="N130" i="2" s="1"/>
  <c r="A466" i="2"/>
  <c r="N466" i="2" s="1"/>
  <c r="A243" i="2"/>
  <c r="N243" i="2" s="1"/>
  <c r="A119" i="2"/>
  <c r="N119" i="2" s="1"/>
  <c r="A223" i="2"/>
  <c r="N223" i="2" s="1"/>
  <c r="A644" i="2"/>
  <c r="N644" i="2" s="1"/>
  <c r="A355" i="2"/>
  <c r="N355" i="2" s="1"/>
  <c r="A671" i="2"/>
  <c r="N671" i="2" s="1"/>
  <c r="A268" i="2"/>
  <c r="N268" i="2" s="1"/>
  <c r="A307" i="2"/>
  <c r="N307" i="2" s="1"/>
  <c r="A685" i="2"/>
  <c r="N685" i="2" s="1"/>
  <c r="A229" i="2"/>
  <c r="N229" i="2" s="1"/>
  <c r="A490" i="2"/>
  <c r="N490" i="2" s="1"/>
  <c r="A78" i="2"/>
  <c r="N78" i="2" s="1"/>
  <c r="A394" i="2"/>
  <c r="N394" i="2" s="1"/>
  <c r="A372" i="2"/>
  <c r="N372" i="2" s="1"/>
  <c r="A570" i="2"/>
  <c r="N570" i="2" s="1"/>
  <c r="A678" i="2"/>
  <c r="N678" i="2" s="1"/>
  <c r="A635" i="2"/>
  <c r="N635" i="2" s="1"/>
  <c r="A469" i="2"/>
  <c r="N469" i="2" s="1"/>
  <c r="A136" i="2"/>
  <c r="N136" i="2" s="1"/>
  <c r="A455" i="2"/>
  <c r="N455" i="2" s="1"/>
  <c r="A208" i="2"/>
  <c r="N208" i="2" s="1"/>
  <c r="A131" i="2"/>
  <c r="N131" i="2" s="1"/>
  <c r="A684" i="2"/>
  <c r="N684" i="2" s="1"/>
  <c r="A53" i="2"/>
  <c r="N53" i="2" s="1"/>
  <c r="A541" i="2"/>
  <c r="N541" i="2" s="1"/>
  <c r="A361" i="2"/>
  <c r="N361" i="2" s="1"/>
  <c r="A171" i="2"/>
  <c r="N171" i="2" s="1"/>
  <c r="A333" i="2"/>
  <c r="N333" i="2" s="1"/>
  <c r="A281" i="2"/>
  <c r="N281" i="2" s="1"/>
  <c r="A242" i="2"/>
  <c r="N242" i="2" s="1"/>
  <c r="A90" i="2"/>
  <c r="N90" i="2" s="1"/>
  <c r="A681" i="2"/>
  <c r="N681" i="2" s="1"/>
  <c r="A468" i="2"/>
  <c r="N468" i="2" s="1"/>
  <c r="A618" i="2"/>
  <c r="N618" i="2" s="1"/>
  <c r="A150" i="2"/>
  <c r="N150" i="2" s="1"/>
  <c r="A11" i="2"/>
  <c r="N11" i="2" s="1"/>
  <c r="A655" i="2"/>
  <c r="N655" i="2" s="1"/>
  <c r="A711" i="2"/>
  <c r="N711" i="2" s="1"/>
  <c r="A403" i="2"/>
  <c r="N403" i="2" s="1"/>
  <c r="A204" i="2"/>
  <c r="N204" i="2" s="1"/>
  <c r="A605" i="2"/>
  <c r="N605" i="2" s="1"/>
  <c r="A366" i="2"/>
  <c r="N366" i="2" s="1"/>
  <c r="A569" i="2"/>
  <c r="N569" i="2" s="1"/>
  <c r="A201" i="2"/>
  <c r="N201" i="2" s="1"/>
  <c r="A506" i="2"/>
  <c r="N506" i="2" s="1"/>
  <c r="A343" i="2"/>
  <c r="N343" i="2" s="1"/>
  <c r="A276" i="2"/>
  <c r="N276" i="2" s="1"/>
  <c r="A8" i="2"/>
  <c r="N8" i="2" s="1"/>
  <c r="A301" i="2"/>
  <c r="N301" i="2" s="1"/>
  <c r="A433" i="2"/>
  <c r="N433" i="2" s="1"/>
  <c r="A714" i="2"/>
  <c r="N714" i="2" s="1"/>
  <c r="A140" i="2"/>
  <c r="N140" i="2" s="1"/>
  <c r="A453" i="2"/>
  <c r="N453" i="2" s="1"/>
  <c r="A280" i="2"/>
  <c r="N280" i="2" s="1"/>
  <c r="A578" i="2"/>
  <c r="N578" i="2" s="1"/>
  <c r="A375" i="2"/>
  <c r="N375" i="2" s="1"/>
  <c r="A345" i="2"/>
  <c r="N345" i="2" s="1"/>
  <c r="A217" i="2"/>
  <c r="N217" i="2" s="1"/>
  <c r="A3" i="2"/>
  <c r="N3" i="2" s="1"/>
  <c r="A194" i="2"/>
  <c r="N194" i="2" s="1"/>
  <c r="A450" i="2"/>
  <c r="N450" i="2" s="1"/>
  <c r="A411" i="2"/>
  <c r="N411" i="2" s="1"/>
  <c r="A609" i="2"/>
  <c r="N609" i="2" s="1"/>
  <c r="A390" i="2"/>
  <c r="N390" i="2" s="1"/>
  <c r="A274" i="2"/>
  <c r="N274" i="2" s="1"/>
  <c r="A572" i="2"/>
  <c r="N572" i="2" s="1"/>
  <c r="A180" i="2"/>
  <c r="N180" i="2" s="1"/>
  <c r="A60" i="2"/>
  <c r="N60" i="2" s="1"/>
  <c r="A719" i="2"/>
  <c r="N719" i="2" s="1"/>
  <c r="A524" i="2"/>
  <c r="N524" i="2" s="1"/>
  <c r="A19" i="2"/>
  <c r="N19" i="2" s="1"/>
  <c r="A185" i="2"/>
  <c r="N185" i="2" s="1"/>
  <c r="A265" i="2"/>
  <c r="N265" i="2" s="1"/>
  <c r="A327" i="2"/>
  <c r="N327" i="2" s="1"/>
  <c r="A639" i="2"/>
  <c r="N639" i="2" s="1"/>
  <c r="A446" i="2"/>
  <c r="N446" i="2" s="1"/>
  <c r="A214" i="2"/>
  <c r="N214" i="2" s="1"/>
  <c r="A477" i="2"/>
  <c r="N477" i="2" s="1"/>
  <c r="A206" i="2"/>
  <c r="N206" i="2" s="1"/>
  <c r="A379" i="2"/>
  <c r="N379" i="2" s="1"/>
  <c r="A186" i="2"/>
  <c r="N186" i="2" s="1"/>
  <c r="A559" i="2"/>
  <c r="N559" i="2" s="1"/>
  <c r="A326" i="2"/>
  <c r="N326" i="2" s="1"/>
  <c r="A202" i="2"/>
  <c r="N202" i="2" s="1"/>
  <c r="A277" i="2"/>
  <c r="N277" i="2" s="1"/>
  <c r="A332" i="2"/>
  <c r="N332" i="2" s="1"/>
  <c r="A464" i="2"/>
  <c r="N464" i="2" s="1"/>
  <c r="A344" i="2"/>
  <c r="N344" i="2" s="1"/>
  <c r="A721" i="2"/>
  <c r="N721" i="2" s="1"/>
  <c r="A273" i="2"/>
  <c r="N273" i="2" s="1"/>
  <c r="A667" i="2"/>
  <c r="N667" i="2" s="1"/>
  <c r="A306" i="2"/>
  <c r="N306" i="2" s="1"/>
  <c r="A36" i="2"/>
  <c r="N36" i="2" s="1"/>
  <c r="A640" i="2"/>
  <c r="N640" i="2" s="1"/>
  <c r="A267" i="2"/>
  <c r="N267" i="2" s="1"/>
  <c r="A105" i="2"/>
  <c r="N105" i="2" s="1"/>
  <c r="A138" i="2"/>
  <c r="N138" i="2" s="1"/>
  <c r="A125" i="2"/>
  <c r="N125" i="2" s="1"/>
  <c r="A539" i="2"/>
  <c r="N539" i="2" s="1"/>
  <c r="A10" i="2"/>
  <c r="N10" i="2" s="1"/>
  <c r="A367" i="2"/>
  <c r="N367" i="2" s="1"/>
  <c r="A717" i="2"/>
  <c r="N717" i="2" s="1"/>
  <c r="A610" i="2"/>
  <c r="N610" i="2" s="1"/>
  <c r="A252" i="2"/>
  <c r="N252" i="2" s="1"/>
  <c r="A473" i="2"/>
  <c r="N473" i="2" s="1"/>
  <c r="A651" i="2"/>
  <c r="N651" i="2" s="1"/>
  <c r="A158" i="2"/>
  <c r="N158" i="2" s="1"/>
  <c r="A505" i="2"/>
  <c r="N505" i="2" s="1"/>
  <c r="A191" i="2"/>
  <c r="N191" i="2" s="1"/>
  <c r="A207" i="2"/>
  <c r="N207" i="2" s="1"/>
  <c r="A365" i="2"/>
  <c r="N365" i="2" s="1"/>
  <c r="A17" i="2"/>
  <c r="N17" i="2" s="1"/>
  <c r="A448" i="2"/>
  <c r="N448" i="2" s="1"/>
  <c r="A482" i="2"/>
  <c r="N482" i="2" s="1"/>
  <c r="A508" i="2"/>
  <c r="N508" i="2" s="1"/>
  <c r="A645" i="2"/>
  <c r="N645" i="2" s="1"/>
  <c r="A236" i="2"/>
  <c r="N236" i="2" s="1"/>
  <c r="A224" i="2"/>
  <c r="N224" i="2" s="1"/>
  <c r="A13" i="2"/>
  <c r="N13" i="2" s="1"/>
  <c r="A290" i="2"/>
  <c r="N290" i="2" s="1"/>
  <c r="A218" i="2"/>
  <c r="N218" i="2" s="1"/>
  <c r="A162" i="2"/>
  <c r="N162" i="2" s="1"/>
  <c r="A628" i="2"/>
  <c r="N628" i="2" s="1"/>
  <c r="A520" i="2"/>
  <c r="N520" i="2" s="1"/>
  <c r="A502" i="2"/>
  <c r="N502" i="2" s="1"/>
  <c r="A58" i="2"/>
  <c r="N58" i="2" s="1"/>
  <c r="A400" i="2"/>
  <c r="N400" i="2" s="1"/>
  <c r="A699" i="2"/>
  <c r="N699" i="2" s="1"/>
  <c r="A238" i="2"/>
  <c r="N238" i="2" s="1"/>
  <c r="A584" i="2"/>
  <c r="N584" i="2" s="1"/>
  <c r="A436" i="2"/>
  <c r="N436" i="2" s="1"/>
  <c r="A421" i="2"/>
  <c r="N421" i="2" s="1"/>
  <c r="A384" i="2"/>
  <c r="N384" i="2" s="1"/>
  <c r="A257" i="2"/>
  <c r="N257" i="2" s="1"/>
  <c r="A122" i="2"/>
  <c r="N122" i="2" s="1"/>
  <c r="A613" i="2"/>
  <c r="N613" i="2" s="1"/>
  <c r="A573" i="2"/>
  <c r="N573" i="2" s="1"/>
  <c r="A562" i="2"/>
  <c r="N562" i="2" s="1"/>
  <c r="A447" i="2"/>
  <c r="N447" i="2" s="1"/>
  <c r="A164" i="2"/>
  <c r="N164" i="2" s="1"/>
  <c r="A410" i="2"/>
  <c r="N410" i="2" s="1"/>
  <c r="A29" i="2"/>
  <c r="N29" i="2" s="1"/>
  <c r="A368" i="2"/>
  <c r="N368" i="2" s="1"/>
  <c r="A102" i="2"/>
  <c r="N102" i="2" s="1"/>
  <c r="A315" i="2"/>
  <c r="N315" i="2" s="1"/>
  <c r="A322" i="2"/>
  <c r="N322" i="2" s="1"/>
  <c r="A284" i="2"/>
  <c r="N284" i="2" s="1"/>
  <c r="A666" i="2"/>
  <c r="N666" i="2" s="1"/>
  <c r="A240" i="2"/>
  <c r="N240" i="2" s="1"/>
  <c r="A82" i="2"/>
  <c r="N82" i="2" s="1"/>
  <c r="A23" i="2"/>
  <c r="N23" i="2" s="1"/>
  <c r="A544" i="2"/>
  <c r="N544" i="2" s="1"/>
  <c r="A189" i="2"/>
  <c r="N189" i="2" s="1"/>
  <c r="A310" i="2"/>
  <c r="N310" i="2" s="1"/>
  <c r="A73" i="2"/>
  <c r="N73" i="2" s="1"/>
  <c r="A289" i="2"/>
  <c r="N289" i="2" s="1"/>
  <c r="A696" i="2"/>
  <c r="N696" i="2" s="1"/>
  <c r="A270" i="2"/>
  <c r="N270" i="2" s="1"/>
  <c r="A557" i="2"/>
  <c r="N557" i="2" s="1"/>
  <c r="A478" i="2"/>
  <c r="N478" i="2" s="1"/>
  <c r="A293" i="2"/>
  <c r="N293" i="2" s="1"/>
  <c r="A31" i="2"/>
  <c r="N31" i="2" s="1"/>
  <c r="A178" i="2"/>
  <c r="N178" i="2" s="1"/>
  <c r="A616" i="2"/>
  <c r="N616" i="2" s="1"/>
  <c r="A659" i="2"/>
  <c r="N659" i="2" s="1"/>
  <c r="A395" i="2"/>
  <c r="N395" i="2" s="1"/>
  <c r="A55" i="2"/>
  <c r="N55" i="2" s="1"/>
  <c r="A45" i="2"/>
  <c r="N45" i="2" s="1"/>
  <c r="A188" i="2"/>
  <c r="N188" i="2" s="1"/>
  <c r="A261" i="2"/>
  <c r="N261" i="2" s="1"/>
  <c r="A631" i="2"/>
  <c r="N631" i="2" s="1"/>
  <c r="A404" i="2"/>
  <c r="N404" i="2" s="1"/>
  <c r="A439" i="2"/>
  <c r="N439" i="2" s="1"/>
  <c r="A523" i="2"/>
  <c r="N523" i="2" s="1"/>
  <c r="A662" i="2"/>
  <c r="N662" i="2" s="1"/>
  <c r="A320" i="2"/>
  <c r="N320" i="2" s="1"/>
  <c r="A239" i="2"/>
  <c r="N239" i="2" s="1"/>
  <c r="A649" i="2"/>
  <c r="N649" i="2" s="1"/>
  <c r="A496" i="2"/>
  <c r="N496" i="2" s="1"/>
  <c r="A480" i="2"/>
  <c r="N480" i="2" s="1"/>
  <c r="A28" i="2"/>
  <c r="N28" i="2" s="1"/>
  <c r="A123" i="2"/>
  <c r="N123" i="2" s="1"/>
  <c r="A66" i="2"/>
  <c r="N66" i="2" s="1"/>
  <c r="A64" i="2"/>
  <c r="N64" i="2" s="1"/>
  <c r="A590" i="2"/>
  <c r="N590" i="2" s="1"/>
  <c r="A156" i="2"/>
  <c r="N156" i="2" s="1"/>
  <c r="A33" i="2"/>
  <c r="N33" i="2" s="1"/>
  <c r="A155" i="2"/>
  <c r="N155" i="2" s="1"/>
  <c r="A260" i="2"/>
  <c r="N260" i="2" s="1"/>
  <c r="A335" i="2"/>
  <c r="N335" i="2" s="1"/>
  <c r="A551" i="2"/>
  <c r="N551" i="2" s="1"/>
  <c r="A475" i="2"/>
  <c r="N475" i="2" s="1"/>
  <c r="A283" i="2"/>
  <c r="N283" i="2" s="1"/>
  <c r="A521" i="2"/>
  <c r="N521" i="2" s="1"/>
  <c r="A126" i="2"/>
  <c r="N126" i="2" s="1"/>
  <c r="A718" i="2"/>
  <c r="N718" i="2" s="1"/>
  <c r="A116" i="2"/>
  <c r="N116" i="2" s="1"/>
  <c r="A517" i="2"/>
  <c r="N517" i="2" s="1"/>
  <c r="A108" i="2"/>
  <c r="N108" i="2" s="1"/>
  <c r="A374" i="2"/>
  <c r="N374" i="2" s="1"/>
  <c r="A474" i="2"/>
  <c r="N474" i="2" s="1"/>
  <c r="A657" i="2"/>
  <c r="N657" i="2" s="1"/>
  <c r="A377" i="2"/>
  <c r="N377" i="2" s="1"/>
  <c r="A500" i="2"/>
  <c r="N500" i="2" s="1"/>
  <c r="A100" i="2"/>
  <c r="N100" i="2" s="1"/>
  <c r="A527" i="2"/>
  <c r="N527" i="2" s="1"/>
  <c r="A704" i="2"/>
  <c r="N704" i="2" s="1"/>
  <c r="A195" i="2"/>
  <c r="N195" i="2" s="1"/>
  <c r="A444" i="2"/>
  <c r="N444" i="2" s="1"/>
  <c r="A406" i="2"/>
  <c r="N406" i="2" s="1"/>
  <c r="A550" i="2"/>
  <c r="N550" i="2" s="1"/>
  <c r="A287" i="2"/>
  <c r="N287" i="2" s="1"/>
  <c r="A220" i="2"/>
  <c r="N220" i="2" s="1"/>
  <c r="A302" i="2"/>
  <c r="N302" i="2" s="1"/>
  <c r="A646" i="2"/>
  <c r="N646" i="2" s="1"/>
  <c r="A117" i="2"/>
  <c r="N117" i="2" s="1"/>
  <c r="A501" i="2"/>
  <c r="N501" i="2" s="1"/>
  <c r="A371" i="2"/>
  <c r="N371" i="2" s="1"/>
  <c r="A495" i="2"/>
  <c r="N495" i="2" s="1"/>
  <c r="A51" i="2"/>
  <c r="N51" i="2" s="1"/>
  <c r="A451" i="2"/>
  <c r="N451" i="2" s="1"/>
  <c r="A233" i="2"/>
  <c r="N233" i="2" s="1"/>
  <c r="A420" i="2"/>
  <c r="N420" i="2" s="1"/>
  <c r="A369" i="2"/>
  <c r="N369" i="2" s="1"/>
  <c r="A438" i="2"/>
  <c r="N438" i="2" s="1"/>
  <c r="A487" i="2"/>
  <c r="N487" i="2" s="1"/>
  <c r="A114" i="2"/>
  <c r="N114" i="2" s="1"/>
  <c r="A530" i="2"/>
  <c r="N530" i="2" s="1"/>
  <c r="A543" i="2"/>
  <c r="N543" i="2" s="1"/>
  <c r="A7" i="2"/>
  <c r="N7" i="2" s="1"/>
  <c r="A647" i="2"/>
  <c r="N647" i="2" s="1"/>
  <c r="A364" i="2"/>
  <c r="N364" i="2" s="1"/>
  <c r="A665" i="2"/>
  <c r="N665" i="2" s="1"/>
  <c r="A349" i="2"/>
  <c r="N349" i="2" s="1"/>
  <c r="A676" i="2"/>
  <c r="N676" i="2" s="1"/>
  <c r="A529" i="2"/>
  <c r="N529" i="2" s="1"/>
  <c r="A458" i="2"/>
  <c r="N458" i="2" s="1"/>
  <c r="A230" i="2"/>
  <c r="N230" i="2" s="1"/>
  <c r="A412" i="2"/>
  <c r="N412" i="2" s="1"/>
  <c r="A661" i="2"/>
  <c r="N661" i="2" s="1"/>
  <c r="A700" i="2"/>
  <c r="N700" i="2" s="1"/>
  <c r="A601" i="2"/>
  <c r="N601" i="2" s="1"/>
  <c r="A620" i="2"/>
  <c r="N620" i="2" s="1"/>
  <c r="A157" i="2"/>
  <c r="N157" i="2" s="1"/>
  <c r="A347" i="2"/>
  <c r="N347" i="2" s="1"/>
  <c r="A275" i="2"/>
  <c r="N275" i="2" s="1"/>
  <c r="A373" i="2"/>
  <c r="N373" i="2" s="1"/>
  <c r="A154" i="2"/>
  <c r="N154" i="2" s="1"/>
  <c r="A237" i="2"/>
  <c r="N237" i="2" s="1"/>
  <c r="A695" i="2"/>
  <c r="N695" i="2" s="1"/>
  <c r="A537" i="2"/>
  <c r="N537" i="2" s="1"/>
  <c r="A72" i="2"/>
  <c r="N72" i="2" s="1"/>
  <c r="A147" i="2"/>
  <c r="N147" i="2" s="1"/>
  <c r="A311" i="2"/>
  <c r="N311" i="2" s="1"/>
  <c r="A564" i="2"/>
  <c r="N564" i="2" s="1"/>
  <c r="A296" i="2"/>
  <c r="N296" i="2" s="1"/>
  <c r="A142" i="2"/>
  <c r="N142" i="2" s="1"/>
  <c r="A417" i="2"/>
  <c r="N417" i="2" s="1"/>
  <c r="A15" i="2"/>
  <c r="N15" i="2" s="1"/>
  <c r="A215" i="2"/>
  <c r="N215" i="2" s="1"/>
  <c r="A692" i="2"/>
  <c r="N692" i="2" s="1"/>
  <c r="A300" i="2"/>
  <c r="N300" i="2" s="1"/>
  <c r="A330" i="2"/>
  <c r="N330" i="2" s="1"/>
  <c r="A673" i="2"/>
  <c r="N673" i="2" s="1"/>
  <c r="A393" i="2"/>
  <c r="N393" i="2" s="1"/>
  <c r="A9" i="2"/>
  <c r="N9" i="2" s="1"/>
  <c r="A693" i="2"/>
  <c r="N693" i="2" s="1"/>
  <c r="A596" i="2"/>
  <c r="N596" i="2" s="1"/>
  <c r="A59" i="2"/>
  <c r="N59" i="2" s="1"/>
  <c r="A370" i="2"/>
  <c r="N370" i="2" s="1"/>
  <c r="A211" i="2"/>
  <c r="N211" i="2" s="1"/>
  <c r="A648" i="2"/>
  <c r="N648" i="2" s="1"/>
  <c r="A672" i="2"/>
  <c r="N672" i="2" s="1"/>
  <c r="A588" i="2"/>
  <c r="N588" i="2" s="1"/>
  <c r="A715" i="2"/>
  <c r="N715" i="2" s="1"/>
  <c r="A357" i="2"/>
  <c r="N357" i="2" s="1"/>
  <c r="A91" i="2"/>
  <c r="N91" i="2" s="1"/>
  <c r="A716" i="2"/>
  <c r="N716" i="2" s="1"/>
  <c r="A308" i="2"/>
  <c r="N308" i="2" s="1"/>
  <c r="A54" i="2"/>
  <c r="N54" i="2" s="1"/>
  <c r="A456" i="2"/>
  <c r="N456" i="2" s="1"/>
  <c r="A650" i="2"/>
  <c r="N650" i="2" s="1"/>
  <c r="A20" i="2"/>
  <c r="N20" i="2" s="1"/>
  <c r="A712" i="2"/>
  <c r="N712" i="2" s="1"/>
  <c r="A67" i="2"/>
  <c r="N67" i="2" s="1"/>
  <c r="A611" i="2"/>
  <c r="N611" i="2" s="1"/>
  <c r="A109" i="2"/>
  <c r="N109" i="2" s="1"/>
  <c r="A358" i="2"/>
  <c r="N358" i="2" s="1"/>
  <c r="A175" i="2"/>
  <c r="N175" i="2" s="1"/>
  <c r="A5" i="2"/>
  <c r="N5" i="2" s="1"/>
  <c r="A579" i="2"/>
  <c r="N579" i="2" s="1"/>
  <c r="A585" i="2"/>
  <c r="N585" i="2" s="1"/>
  <c r="A434" i="2"/>
  <c r="N434" i="2" s="1"/>
  <c r="A388" i="2"/>
  <c r="N388" i="2" s="1"/>
  <c r="A577" i="2"/>
  <c r="N577" i="2" s="1"/>
  <c r="A235" i="2"/>
  <c r="N235" i="2" s="1"/>
  <c r="A592" i="2"/>
  <c r="N592" i="2" s="1"/>
  <c r="A324" i="2"/>
  <c r="N324" i="2" s="1"/>
  <c r="A498" i="2"/>
  <c r="N498" i="2" s="1"/>
  <c r="A249" i="2"/>
  <c r="N249" i="2" s="1"/>
  <c r="A694" i="2"/>
  <c r="N694" i="2" s="1"/>
  <c r="A111" i="2"/>
  <c r="N111" i="2" s="1"/>
  <c r="A378" i="2"/>
  <c r="N378" i="2" s="1"/>
  <c r="A203" i="2"/>
  <c r="N203" i="2" s="1"/>
  <c r="A510" i="2"/>
  <c r="N510" i="2" s="1"/>
  <c r="A199" i="2"/>
  <c r="N199" i="2" s="1"/>
  <c r="A103" i="2"/>
  <c r="N103" i="2" s="1"/>
  <c r="A416" i="2"/>
  <c r="N416" i="2" s="1"/>
  <c r="A633" i="2"/>
  <c r="N633" i="2" s="1"/>
  <c r="A148" i="2"/>
  <c r="N148" i="2" s="1"/>
  <c r="A598" i="2"/>
  <c r="N598" i="2" s="1"/>
  <c r="A115" i="2"/>
  <c r="N115" i="2" s="1"/>
  <c r="A14" i="2"/>
  <c r="N14" i="2" s="1"/>
  <c r="A674" i="2"/>
  <c r="N674" i="2" s="1"/>
  <c r="A459" i="2"/>
  <c r="N459" i="2" s="1"/>
  <c r="A724" i="2"/>
  <c r="N724" i="2" s="1"/>
  <c r="A81" i="2"/>
  <c r="N81" i="2" s="1"/>
  <c r="A70" i="2"/>
  <c r="N70" i="2" s="1"/>
  <c r="A319" i="2"/>
  <c r="N319" i="2" s="1"/>
  <c r="A595" i="2"/>
  <c r="N595" i="2" s="1"/>
  <c r="A526" i="2"/>
  <c r="N526" i="2" s="1"/>
  <c r="A43" i="2"/>
  <c r="N43" i="2" s="1"/>
  <c r="A317" i="2"/>
  <c r="N317" i="2" s="1"/>
  <c r="A582" i="2"/>
  <c r="N582" i="2" s="1"/>
  <c r="A76" i="2"/>
  <c r="N76" i="2" s="1"/>
  <c r="A630" i="2"/>
  <c r="N630" i="2" s="1"/>
  <c r="A679" i="2"/>
  <c r="N679" i="2" s="1"/>
  <c r="A654" i="2"/>
  <c r="N654" i="2" s="1"/>
  <c r="A507" i="2"/>
  <c r="N507" i="2" s="1"/>
  <c r="A258" i="2"/>
  <c r="N258" i="2" s="1"/>
  <c r="A160" i="2"/>
  <c r="N160" i="2" s="1"/>
  <c r="A540" i="2"/>
  <c r="N540" i="2" s="1"/>
  <c r="A597" i="2"/>
  <c r="N597" i="2" s="1"/>
  <c r="A686" i="2"/>
  <c r="N686" i="2" s="1"/>
  <c r="A294" i="2"/>
  <c r="N294" i="2" s="1"/>
  <c r="A437" i="2"/>
  <c r="N437" i="2" s="1"/>
  <c r="A197" i="2"/>
  <c r="N197" i="2" s="1"/>
  <c r="A285" i="2"/>
  <c r="N285" i="2" s="1"/>
  <c r="A431" i="2"/>
  <c r="N431" i="2" s="1"/>
  <c r="A606" i="2"/>
  <c r="N606" i="2" s="1"/>
  <c r="A128" i="2"/>
  <c r="N128" i="2" s="1"/>
  <c r="A443" i="2"/>
  <c r="N443" i="2" s="1"/>
  <c r="A638" i="2"/>
  <c r="N638" i="2" s="1"/>
  <c r="A176" i="2"/>
  <c r="N176" i="2" s="1"/>
  <c r="A402" i="2"/>
  <c r="N402" i="2" s="1"/>
  <c r="A418" i="2"/>
  <c r="N418" i="2" s="1"/>
  <c r="A428" i="2"/>
  <c r="N428" i="2" s="1"/>
  <c r="A254" i="2"/>
  <c r="N254" i="2" s="1"/>
  <c r="A22" i="2"/>
  <c r="N22" i="2" s="1"/>
  <c r="A339" i="2"/>
  <c r="N339" i="2" s="1"/>
  <c r="A725" i="2"/>
  <c r="N725" i="2" s="1"/>
  <c r="A591" i="2"/>
  <c r="N591" i="2" s="1"/>
  <c r="A245" i="2"/>
  <c r="N245" i="2" s="1"/>
  <c r="A376" i="2"/>
  <c r="N376" i="2" s="1"/>
  <c r="A427" i="2"/>
  <c r="N427" i="2" s="1"/>
  <c r="A192" i="2"/>
  <c r="N192" i="2" s="1"/>
  <c r="A589" i="2"/>
  <c r="N589" i="2" s="1"/>
  <c r="A222" i="2"/>
  <c r="N222" i="2" s="1"/>
  <c r="A565" i="2"/>
  <c r="N565" i="2" s="1"/>
  <c r="A292" i="2"/>
  <c r="N292" i="2" s="1"/>
  <c r="L292" i="2"/>
  <c r="L111" i="2"/>
  <c r="A703" i="2"/>
  <c r="N703" i="2" s="1"/>
  <c r="A356" i="2"/>
  <c r="N356" i="2" s="1"/>
  <c r="A615" i="2"/>
  <c r="N615" i="2" s="1"/>
  <c r="A494" i="2"/>
  <c r="N494" i="2" s="1"/>
  <c r="A288" i="2"/>
  <c r="N288" i="2" s="1"/>
  <c r="A445" i="2"/>
  <c r="N445" i="2" s="1"/>
  <c r="A161" i="2"/>
  <c r="N161" i="2" s="1"/>
  <c r="L161" i="2"/>
  <c r="A460" i="2"/>
  <c r="N460" i="2" s="1"/>
  <c r="A92" i="2"/>
  <c r="N92" i="2" s="1"/>
  <c r="A309" i="2"/>
  <c r="N309" i="2" s="1"/>
  <c r="A134" i="2"/>
  <c r="N134" i="2" s="1"/>
  <c r="A697" i="2"/>
  <c r="N697" i="2" s="1"/>
  <c r="A80" i="2"/>
  <c r="N80" i="2" s="1"/>
  <c r="L226" i="2"/>
  <c r="A190" i="2"/>
  <c r="N190" i="2" s="1"/>
  <c r="A170" i="2"/>
  <c r="N170" i="2" s="1"/>
  <c r="A256" i="2"/>
  <c r="N256" i="2" s="1"/>
  <c r="A104" i="2"/>
  <c r="N104" i="2" s="1"/>
  <c r="A251" i="2"/>
  <c r="N251" i="2" s="1"/>
  <c r="A669" i="2"/>
  <c r="N669" i="2" s="1"/>
  <c r="A435" i="2"/>
  <c r="N435" i="2" s="1"/>
  <c r="A382" i="2"/>
  <c r="N382" i="2" s="1"/>
  <c r="A360" i="2"/>
  <c r="N360" i="2" s="1"/>
  <c r="A313" i="2"/>
  <c r="N313" i="2" s="1"/>
  <c r="A677" i="2"/>
  <c r="N677" i="2" s="1"/>
  <c r="A169" i="2"/>
  <c r="N169" i="2" s="1"/>
  <c r="A253" i="2"/>
  <c r="N253" i="2" s="1"/>
  <c r="A291" i="2"/>
  <c r="N291" i="2" s="1"/>
  <c r="A568" i="2"/>
  <c r="N568" i="2" s="1"/>
  <c r="A491" i="2"/>
  <c r="N491" i="2" s="1"/>
  <c r="A179" i="2"/>
  <c r="N179" i="2" s="1"/>
  <c r="A205" i="2"/>
  <c r="N205" i="2" s="1"/>
  <c r="A282" i="2"/>
  <c r="N282" i="2" s="1"/>
  <c r="A250" i="2"/>
  <c r="N250" i="2" s="1"/>
  <c r="A708" i="2"/>
  <c r="N708" i="2" s="1"/>
  <c r="A472" i="2"/>
  <c r="N472" i="2" s="1"/>
  <c r="A118" i="2"/>
  <c r="N118" i="2" s="1"/>
  <c r="A79" i="2"/>
  <c r="N79" i="2" s="1"/>
  <c r="A617" i="2"/>
  <c r="N617" i="2" s="1"/>
  <c r="A560" i="2"/>
  <c r="N560" i="2" s="1"/>
  <c r="A94" i="2"/>
  <c r="N94" i="2" s="1"/>
  <c r="A86" i="2"/>
  <c r="N86" i="2" s="1"/>
  <c r="A129" i="2"/>
  <c r="N129" i="2" s="1"/>
  <c r="A392" i="2"/>
  <c r="N392" i="2" s="1"/>
  <c r="A88" i="2"/>
  <c r="N88" i="2" s="1"/>
  <c r="A48" i="2"/>
  <c r="N48" i="2" s="1"/>
  <c r="A641" i="2"/>
  <c r="N641" i="2" s="1"/>
  <c r="A99" i="2"/>
  <c r="N99" i="2" s="1"/>
  <c r="A120" i="2"/>
  <c r="N120" i="2" s="1"/>
  <c r="A546" i="2"/>
  <c r="N546" i="2" s="1"/>
  <c r="A255" i="2"/>
  <c r="N255" i="2" s="1"/>
  <c r="A423" i="2"/>
  <c r="N423" i="2" s="1"/>
  <c r="A652" i="2"/>
  <c r="N652" i="2" s="1"/>
  <c r="A97" i="2"/>
  <c r="N97" i="2" s="1"/>
  <c r="A363" i="2"/>
  <c r="N363" i="2" s="1"/>
  <c r="A24" i="2"/>
  <c r="N24" i="2" s="1"/>
  <c r="A514" i="2"/>
  <c r="N514" i="2" s="1"/>
  <c r="A25" i="2"/>
  <c r="N25" i="2" s="1"/>
  <c r="A682" i="2"/>
  <c r="N682" i="2" s="1"/>
  <c r="A670" i="2"/>
  <c r="N670" i="2" s="1"/>
  <c r="A691" i="2"/>
  <c r="N691" i="2" s="1"/>
  <c r="A38" i="2"/>
  <c r="N38" i="2" s="1"/>
  <c r="A95" i="2"/>
  <c r="N95" i="2" s="1"/>
  <c r="A680" i="2"/>
  <c r="N680" i="2" s="1"/>
  <c r="A481" i="2"/>
  <c r="N481" i="2" s="1"/>
  <c r="A166" i="2"/>
  <c r="N166" i="2" s="1"/>
  <c r="A32" i="2"/>
  <c r="N32" i="2" s="1"/>
  <c r="A488" i="2"/>
  <c r="N488" i="2" s="1"/>
  <c r="A198" i="2"/>
  <c r="N198" i="2" s="1"/>
  <c r="A174" i="2"/>
  <c r="N174" i="2" s="1"/>
  <c r="A127" i="2"/>
  <c r="N127" i="2" s="1"/>
  <c r="A449" i="2"/>
  <c r="N449" i="2" s="1"/>
  <c r="A12" i="2"/>
  <c r="N12" i="2" s="1"/>
  <c r="A328" i="2"/>
  <c r="N328" i="2" s="1"/>
  <c r="A547" i="2"/>
  <c r="N547" i="2" s="1"/>
  <c r="A683" i="2"/>
  <c r="N683" i="2" s="1"/>
  <c r="A484" i="2"/>
  <c r="N484" i="2" s="1"/>
  <c r="A41" i="2"/>
  <c r="N41" i="2" s="1"/>
  <c r="A430" i="2"/>
  <c r="N430" i="2" s="1"/>
  <c r="A352" i="2"/>
  <c r="N352" i="2" s="1"/>
  <c r="A653" i="2"/>
  <c r="N653" i="2" s="1"/>
  <c r="A688" i="2"/>
  <c r="N688" i="2" s="1"/>
  <c r="A586" i="2"/>
  <c r="N586" i="2" s="1"/>
  <c r="A247" i="2"/>
  <c r="N247" i="2" s="1"/>
  <c r="A89" i="2"/>
  <c r="N89" i="2" s="1"/>
  <c r="A542" i="2"/>
  <c r="N542" i="2" s="1"/>
  <c r="A359" i="2"/>
  <c r="N359" i="2" s="1"/>
  <c r="A701" i="2"/>
  <c r="N701" i="2" s="1"/>
  <c r="A65" i="2"/>
  <c r="N65" i="2" s="1"/>
  <c r="A476" i="2"/>
  <c r="N476" i="2" s="1"/>
  <c r="A16" i="2"/>
  <c r="N16" i="2" s="1"/>
  <c r="A656" i="2"/>
  <c r="N656" i="2" s="1"/>
  <c r="A34" i="2"/>
  <c r="N34" i="2" s="1"/>
  <c r="A389" i="2"/>
  <c r="N389" i="2" s="1"/>
  <c r="A151" i="2"/>
  <c r="N151" i="2" s="1"/>
  <c r="A329" i="2"/>
  <c r="N329" i="2" s="1"/>
  <c r="A173" i="2"/>
  <c r="N173" i="2" s="1"/>
  <c r="A493" i="2"/>
  <c r="N493" i="2" s="1"/>
  <c r="A698" i="2"/>
  <c r="N698" i="2" s="1"/>
  <c r="A454" i="2"/>
  <c r="N454" i="2" s="1"/>
  <c r="A429" i="2"/>
  <c r="N429" i="2" s="1"/>
  <c r="A401" i="2"/>
  <c r="N401" i="2" s="1"/>
  <c r="G22" i="3"/>
  <c r="G28" i="3" l="1"/>
  <c r="X25" i="3" s="1"/>
  <c r="AF2" i="3" s="1"/>
  <c r="G347" i="3"/>
  <c r="X344" i="3" s="1"/>
  <c r="AF12" i="3" s="1"/>
  <c r="G86" i="3"/>
  <c r="X83" i="3" s="1"/>
  <c r="AF3" i="3" s="1"/>
</calcChain>
</file>

<file path=xl/sharedStrings.xml><?xml version="1.0" encoding="utf-8"?>
<sst xmlns="http://schemas.openxmlformats.org/spreadsheetml/2006/main" count="9080" uniqueCount="919">
  <si>
    <t>Scoring System</t>
  </si>
  <si>
    <t>Points</t>
  </si>
  <si>
    <t>Categories</t>
  </si>
  <si>
    <t>Pos</t>
  </si>
  <si>
    <t>Players Selected Over Replacement</t>
  </si>
  <si>
    <t>Starting Lineup</t>
  </si>
  <si>
    <t>Position Based</t>
  </si>
  <si>
    <t>Draft Based</t>
  </si>
  <si>
    <t>Goals</t>
  </si>
  <si>
    <r>
      <rPr>
        <b/>
        <sz val="10"/>
        <color indexed="8"/>
        <rFont val="Helvetica Neue"/>
        <family val="2"/>
      </rPr>
      <t>C</t>
    </r>
  </si>
  <si>
    <t>Assists</t>
  </si>
  <si>
    <r>
      <rPr>
        <b/>
        <sz val="10"/>
        <color indexed="8"/>
        <rFont val="Helvetica Neue"/>
        <family val="2"/>
      </rPr>
      <t>LW</t>
    </r>
  </si>
  <si>
    <r>
      <rPr>
        <b/>
        <sz val="10"/>
        <color indexed="8"/>
        <rFont val="Helvetica Neue"/>
        <family val="2"/>
      </rPr>
      <t>RW</t>
    </r>
  </si>
  <si>
    <t>Shots</t>
  </si>
  <si>
    <r>
      <rPr>
        <b/>
        <sz val="10"/>
        <color indexed="8"/>
        <rFont val="Helvetica Neue"/>
        <family val="2"/>
      </rPr>
      <t>D</t>
    </r>
  </si>
  <si>
    <t>Blocks</t>
  </si>
  <si>
    <r>
      <rPr>
        <b/>
        <sz val="10"/>
        <color indexed="8"/>
        <rFont val="Helvetica Neue"/>
        <family val="2"/>
      </rPr>
      <t>G</t>
    </r>
  </si>
  <si>
    <t>Hits</t>
  </si>
  <si>
    <t>Powerplay Goals</t>
  </si>
  <si>
    <t>Average Draft Position</t>
  </si>
  <si>
    <t>“Yahoo” or “ESPN” or “Fantrax” or “Average”</t>
  </si>
  <si>
    <t>Powerplay Points</t>
  </si>
  <si>
    <t>Fantrax</t>
  </si>
  <si>
    <t>Shorthanded Goals</t>
  </si>
  <si>
    <t>Shorthanded Points</t>
  </si>
  <si>
    <t>Games Played Projection</t>
  </si>
  <si>
    <t>“Yes” or “No”</t>
  </si>
  <si>
    <t>Time On Ice</t>
  </si>
  <si>
    <t>Defensemen Points</t>
  </si>
  <si>
    <t>Plus-Minus</t>
  </si>
  <si>
    <t>League Type</t>
  </si>
  <si>
    <t>“Points” or “Categories”</t>
  </si>
  <si>
    <t>Penalty Minutes</t>
  </si>
  <si>
    <t>Game-Winning Goals</t>
  </si>
  <si>
    <t>Faceoff Wins</t>
  </si>
  <si>
    <t>Forward Separation</t>
  </si>
  <si>
    <t>“C/LW/RW” or “Forwards”</t>
  </si>
  <si>
    <t>Faceoff Losses</t>
  </si>
  <si>
    <t>C/LW/RW</t>
  </si>
  <si>
    <t>Faceoff Percentage</t>
  </si>
  <si>
    <t>Replacement Level</t>
  </si>
  <si>
    <t>“Position” or “Draft” or “Blend”</t>
  </si>
  <si>
    <t>Wins</t>
  </si>
  <si>
    <t>Losses</t>
  </si>
  <si>
    <t>Overtime Losses</t>
  </si>
  <si>
    <t>Number of Teams</t>
  </si>
  <si>
    <t>Shutouts</t>
  </si>
  <si>
    <t xml:space="preserve">Saves </t>
  </si>
  <si>
    <t>Save Percentage</t>
  </si>
  <si>
    <t>Boost or Bust</t>
  </si>
  <si>
    <t>How much a player’s projection moves up or down based on subjective opinion</t>
  </si>
  <si>
    <t>Goals Against</t>
  </si>
  <si>
    <t>ON</t>
  </si>
  <si>
    <t>Goals Against Average</t>
  </si>
  <si>
    <t>+ + +</t>
  </si>
  <si>
    <t>“ON” or “OFF” to toggle subjective boosts/busts from Shayna and Dom</t>
  </si>
  <si>
    <t>Games Played</t>
  </si>
  <si>
    <t>+ +</t>
  </si>
  <si>
    <t>+</t>
  </si>
  <si>
    <t>Skater Stats Affected: G, A, PTS, SOG, PPG, PPP, +/-, GWG                                                    Goalie Stats Affected: W, L, SV, GA, SV%, GAA</t>
  </si>
  <si>
    <t>-</t>
  </si>
  <si>
    <t>- -</t>
  </si>
  <si>
    <t>- - -</t>
  </si>
  <si>
    <t>RK</t>
  </si>
  <si>
    <t>NAME</t>
  </si>
  <si>
    <t>KEEP?</t>
  </si>
  <si>
    <t>POS</t>
  </si>
  <si>
    <t>TEAM</t>
  </si>
  <si>
    <t>AGE</t>
  </si>
  <si>
    <t>SALARY</t>
  </si>
  <si>
    <t>FP</t>
  </si>
  <si>
    <t>/GP</t>
  </si>
  <si>
    <t>VORP</t>
  </si>
  <si>
    <t>/$</t>
  </si>
  <si>
    <t>ADP</t>
  </si>
  <si>
    <t>DIFF.</t>
  </si>
  <si>
    <t>ADJ</t>
  </si>
  <si>
    <t>GP</t>
  </si>
  <si>
    <t>TOI</t>
  </si>
  <si>
    <t>G</t>
  </si>
  <si>
    <t>A</t>
  </si>
  <si>
    <t>PTS</t>
  </si>
  <si>
    <t>SOG</t>
  </si>
  <si>
    <t>PPG</t>
  </si>
  <si>
    <t>PPP</t>
  </si>
  <si>
    <t>SHG</t>
  </si>
  <si>
    <t>SHP</t>
  </si>
  <si>
    <t>BLK</t>
  </si>
  <si>
    <t>HIT</t>
  </si>
  <si>
    <t>+/-</t>
  </si>
  <si>
    <t>PIM</t>
  </si>
  <si>
    <t>GWG</t>
  </si>
  <si>
    <t>FOW</t>
  </si>
  <si>
    <t>FOL</t>
  </si>
  <si>
    <t>FO%</t>
  </si>
  <si>
    <t>W</t>
  </si>
  <si>
    <t>L</t>
  </si>
  <si>
    <t>OTL</t>
  </si>
  <si>
    <t>SO</t>
  </si>
  <si>
    <t>SV</t>
  </si>
  <si>
    <t>GA</t>
  </si>
  <si>
    <t>SV%</t>
  </si>
  <si>
    <t>GAA</t>
  </si>
  <si>
    <t>Connor McDavid</t>
  </si>
  <si>
    <t>N</t>
  </si>
  <si>
    <t>Leon Draisaitl</t>
  </si>
  <si>
    <t>Nathan MacKinnon</t>
  </si>
  <si>
    <t>Matthew Tkachuk</t>
  </si>
  <si>
    <t>Auston Matthews</t>
  </si>
  <si>
    <t>David Pastrnak</t>
  </si>
  <si>
    <t>Nikita Kucherov</t>
  </si>
  <si>
    <t>Mikko Rantanen</t>
  </si>
  <si>
    <t>Cale Makar</t>
  </si>
  <si>
    <t>Roman Josi</t>
  </si>
  <si>
    <t>Jack Hughes</t>
  </si>
  <si>
    <t>Kirill Kaprizov</t>
  </si>
  <si>
    <t>Tage Thompson</t>
  </si>
  <si>
    <t>Jason Robertson</t>
  </si>
  <si>
    <t>Mitch Marner</t>
  </si>
  <si>
    <t>Erik Karlsson</t>
  </si>
  <si>
    <t>William Nylander</t>
  </si>
  <si>
    <t>Rasmus Dahlin</t>
  </si>
  <si>
    <t>Dougie Hamilton</t>
  </si>
  <si>
    <t>Adam Fox</t>
  </si>
  <si>
    <t>Miro Heiskanen</t>
  </si>
  <si>
    <t>Quinn Hughes</t>
  </si>
  <si>
    <t>Evan Bouchard</t>
  </si>
  <si>
    <t>Elias Pettersson</t>
  </si>
  <si>
    <t>Mika Zibanejad</t>
  </si>
  <si>
    <t>Ilya Sorokin</t>
  </si>
  <si>
    <t>Igor Shesterkin</t>
  </si>
  <si>
    <t>Alex Ovechkin</t>
  </si>
  <si>
    <t>Aleksander Barkov</t>
  </si>
  <si>
    <t>Kyle Connor</t>
  </si>
  <si>
    <t>Jake Oettinger</t>
  </si>
  <si>
    <t>Tim Stützle</t>
  </si>
  <si>
    <t>Artemi Panarin</t>
  </si>
  <si>
    <t>Victor Hedman</t>
  </si>
  <si>
    <t>Timo Meier</t>
  </si>
  <si>
    <t>Sidney Crosby</t>
  </si>
  <si>
    <t>Brayden Point</t>
  </si>
  <si>
    <t>Matt Boldy</t>
  </si>
  <si>
    <t>Connor Hellebuyck</t>
  </si>
  <si>
    <t>Moritz Seider</t>
  </si>
  <si>
    <t>Brady Tkachuk</t>
  </si>
  <si>
    <t>Steven Stamkos</t>
  </si>
  <si>
    <t>J.T. Miller</t>
  </si>
  <si>
    <t>Ryan Nugent-Hopkins</t>
  </si>
  <si>
    <t>Kevin Fiala</t>
  </si>
  <si>
    <t>John Tavares</t>
  </si>
  <si>
    <t>Juuse Saros</t>
  </si>
  <si>
    <t>Josh Morrissey</t>
  </si>
  <si>
    <t>Jake Guentzel</t>
  </si>
  <si>
    <t>Clayton Keller</t>
  </si>
  <si>
    <t>Jordan Kyrou</t>
  </si>
  <si>
    <t>Mikhail Sergachev</t>
  </si>
  <si>
    <t>Johnny Gaudreau</t>
  </si>
  <si>
    <t>Zach Hyman</t>
  </si>
  <si>
    <t>Nico Hischier</t>
  </si>
  <si>
    <t>Dylan Larkin</t>
  </si>
  <si>
    <t>Andrei Svechnikov</t>
  </si>
  <si>
    <t>Brandon Montour</t>
  </si>
  <si>
    <t>Alex Tuch</t>
  </si>
  <si>
    <t>Pavel Buchnevich</t>
  </si>
  <si>
    <t>Sebastian Aho</t>
  </si>
  <si>
    <t>Brent Burns</t>
  </si>
  <si>
    <t>Alex Debrincat</t>
  </si>
  <si>
    <t>Charlie McAvoy</t>
  </si>
  <si>
    <t>John Carlson</t>
  </si>
  <si>
    <t>Noah Dobson</t>
  </si>
  <si>
    <t>Travis Konecny</t>
  </si>
  <si>
    <t>Seth Jones</t>
  </si>
  <si>
    <t>Dylan Cozens</t>
  </si>
  <si>
    <t>Jesper Bratt</t>
  </si>
  <si>
    <t>Patrik Laine</t>
  </si>
  <si>
    <t>Sam Reinhart</t>
  </si>
  <si>
    <t>Roope Hintz</t>
  </si>
  <si>
    <t>Shea Theodore</t>
  </si>
  <si>
    <t>Thatcher Demko</t>
  </si>
  <si>
    <t>Brad Marchand</t>
  </si>
  <si>
    <t>Zach Werenski</t>
  </si>
  <si>
    <t>Alexandar Georgiev</t>
  </si>
  <si>
    <t>Rasmus Andersson</t>
  </si>
  <si>
    <t>Alex Pietrangelo</t>
  </si>
  <si>
    <t>Morgan Rielly</t>
  </si>
  <si>
    <t>Joe Pavelski</t>
  </si>
  <si>
    <t>Trevor Zegras</t>
  </si>
  <si>
    <t>Troy Terry</t>
  </si>
  <si>
    <t>Mathew Barzal</t>
  </si>
  <si>
    <t>Jonathan Marchessault</t>
  </si>
  <si>
    <t>Bo Horvat</t>
  </si>
  <si>
    <t>Jeff Skinner</t>
  </si>
  <si>
    <t>Vince Dunn</t>
  </si>
  <si>
    <t>Kris Letang</t>
  </si>
  <si>
    <t>Jonathan Huberdeau</t>
  </si>
  <si>
    <t>Jack Eichel</t>
  </si>
  <si>
    <t>Martin Necas</t>
  </si>
  <si>
    <t>Carter Verhaeghe</t>
  </si>
  <si>
    <t>Mark Scheifele</t>
  </si>
  <si>
    <t>Filip Gustavsson</t>
  </si>
  <si>
    <t>Tristan Jarry</t>
  </si>
  <si>
    <t>Joel Eriksson Ek</t>
  </si>
  <si>
    <t>Mats Zuccarello</t>
  </si>
  <si>
    <t>Evgeni Malkin</t>
  </si>
  <si>
    <t>Connor Bedard</t>
  </si>
  <si>
    <t>Filip Forsberg</t>
  </si>
  <si>
    <t>Adrian Kempe</t>
  </si>
  <si>
    <t>Valeri Nichushkin</t>
  </si>
  <si>
    <t>Cole Caufield</t>
  </si>
  <si>
    <t>Drew Doughty</t>
  </si>
  <si>
    <t>Justin Faulk</t>
  </si>
  <si>
    <t>Nikolaj Ehlers</t>
  </si>
  <si>
    <t>Elias Lindholm</t>
  </si>
  <si>
    <t>Thomas Chabot</t>
  </si>
  <si>
    <t>Devon Toews</t>
  </si>
  <si>
    <t>Robert Thomas</t>
  </si>
  <si>
    <t>Cam Fowler</t>
  </si>
  <si>
    <t>Claude Giroux</t>
  </si>
  <si>
    <t>Chris Kreider</t>
  </si>
  <si>
    <t>Sean Durzi</t>
  </si>
  <si>
    <t>Mike Matheson</t>
  </si>
  <si>
    <t>Pierre-Luc Dubois</t>
  </si>
  <si>
    <t>Drake Batherson</t>
  </si>
  <si>
    <t>Nick Schmaltz</t>
  </si>
  <si>
    <t>Brock Nelson</t>
  </si>
  <si>
    <t>Jared McCann</t>
  </si>
  <si>
    <t>Jakob Chychrun</t>
  </si>
  <si>
    <t>Brandon Hagel</t>
  </si>
  <si>
    <t>Matty Beniers</t>
  </si>
  <si>
    <t>Nick Suzuki</t>
  </si>
  <si>
    <t>Nazem Kadri</t>
  </si>
  <si>
    <t>Patrick Kane</t>
  </si>
  <si>
    <t>Noah Hanifin</t>
  </si>
  <si>
    <t>Jacob Markstrom</t>
  </si>
  <si>
    <t>John Gibson</t>
  </si>
  <si>
    <t>Torey Krug</t>
  </si>
  <si>
    <t>Andrei Kuzmenko</t>
  </si>
  <si>
    <t>Jake DeBrusk</t>
  </si>
  <si>
    <t>Ilya Samsonov</t>
  </si>
  <si>
    <t>Taylor Hall</t>
  </si>
  <si>
    <t>Lucas Raymond</t>
  </si>
  <si>
    <t>Jordan Binnington</t>
  </si>
  <si>
    <t>Anze Kopitar</t>
  </si>
  <si>
    <t>Brandt Clarke</t>
  </si>
  <si>
    <t>Mark Stone</t>
  </si>
  <si>
    <t>Tomas Hertl</t>
  </si>
  <si>
    <t>Gustav Forsling</t>
  </si>
  <si>
    <t>David Perron</t>
  </si>
  <si>
    <t>Artturi Lehkonen</t>
  </si>
  <si>
    <t>Adin Hill</t>
  </si>
  <si>
    <t>Sergei Bobrovsky</t>
  </si>
  <si>
    <t>Hampus Lindholm</t>
  </si>
  <si>
    <t>Darcy Kuemper</t>
  </si>
  <si>
    <t>Darnell Nurse</t>
  </si>
  <si>
    <t>Dawson Mercer</t>
  </si>
  <si>
    <t>Stuart Skinner</t>
  </si>
  <si>
    <t>Jamie Benn</t>
  </si>
  <si>
    <t>Tyler Toffoli</t>
  </si>
  <si>
    <t>Pavel Zacha</t>
  </si>
  <si>
    <t>Owen Tippett</t>
  </si>
  <si>
    <t>Rickard Rakell</t>
  </si>
  <si>
    <t>Logan Couture</t>
  </si>
  <si>
    <t>Vladimir Tarasenko</t>
  </si>
  <si>
    <t>John Klingberg</t>
  </si>
  <si>
    <t>Viktor Arvidsson</t>
  </si>
  <si>
    <t>Linus Ullmark</t>
  </si>
  <si>
    <t>Owen Power</t>
  </si>
  <si>
    <t>MacKenzie Weegar</t>
  </si>
  <si>
    <t>Luke Hughes</t>
  </si>
  <si>
    <t>Filip Hronek</t>
  </si>
  <si>
    <t>Tyson Barrie</t>
  </si>
  <si>
    <t>Mason McTavish</t>
  </si>
  <si>
    <t>Andre Burakovsky</t>
  </si>
  <si>
    <t>Aaron Ekblad</t>
  </si>
  <si>
    <t>Jake Sanderson</t>
  </si>
  <si>
    <t>Olen Zellweger</t>
  </si>
  <si>
    <t>Brock Boeser</t>
  </si>
  <si>
    <t>Alex Killorn</t>
  </si>
  <si>
    <t>Jared Spurgeon</t>
  </si>
  <si>
    <t>Neal Pionk</t>
  </si>
  <si>
    <t>Seth Jarvis</t>
  </si>
  <si>
    <t>Dmitry Orlov</t>
  </si>
  <si>
    <t>Andrei Vasilevskiy</t>
  </si>
  <si>
    <t>Chandler Stephenson</t>
  </si>
  <si>
    <t>Jacob Trouba</t>
  </si>
  <si>
    <t>Andrew Mangiapane</t>
  </si>
  <si>
    <t>Kevin Korchinski</t>
  </si>
  <si>
    <t>Elvis Merzlikins</t>
  </si>
  <si>
    <t>Mattias Ekholm</t>
  </si>
  <si>
    <t>Damon Severson</t>
  </si>
  <si>
    <t>Jordan Eberle</t>
  </si>
  <si>
    <t>Bryan Rust</t>
  </si>
  <si>
    <t>Vitek Vanecek</t>
  </si>
  <si>
    <t>Brayden Schenn</t>
  </si>
  <si>
    <t>Shayne Gostisbehere</t>
  </si>
  <si>
    <t>Matt Duchene</t>
  </si>
  <si>
    <t>Anders Lee</t>
  </si>
  <si>
    <t>Reilly Smith</t>
  </si>
  <si>
    <t>Jamie Drysdale</t>
  </si>
  <si>
    <t>Dylan Strome</t>
  </si>
  <si>
    <t>Casey Mittelstadt</t>
  </si>
  <si>
    <t>Colton Parayko</t>
  </si>
  <si>
    <t>Sam Bennett</t>
  </si>
  <si>
    <t>Brett Pesce</t>
  </si>
  <si>
    <t>Evgeny Kuznetsov</t>
  </si>
  <si>
    <t>Devon Levi</t>
  </si>
  <si>
    <t>Vincent Trocheck</t>
  </si>
  <si>
    <t>Logan Cooley</t>
  </si>
  <si>
    <t>Jaccob Slavin</t>
  </si>
  <si>
    <t>Kent Johnson</t>
  </si>
  <si>
    <t>Carter Hart</t>
  </si>
  <si>
    <t>Mikael Backlund</t>
  </si>
  <si>
    <t>Oliver Bjorkstrand</t>
  </si>
  <si>
    <t>Ryan Hartman</t>
  </si>
  <si>
    <t>Brady Skjei</t>
  </si>
  <si>
    <t>Samuel Girard</t>
  </si>
  <si>
    <t>K'Andre Miller</t>
  </si>
  <si>
    <t>Adam Larsson</t>
  </si>
  <si>
    <t>Luke Evangelista</t>
  </si>
  <si>
    <t>Tyler Bertuzzi</t>
  </si>
  <si>
    <t>Thomas Novak</t>
  </si>
  <si>
    <t>Cam York</t>
  </si>
  <si>
    <t>Juuso Valimaki</t>
  </si>
  <si>
    <t>Josh Norris</t>
  </si>
  <si>
    <t>Tom Wilson</t>
  </si>
  <si>
    <t>Kevin Shattenkirk</t>
  </si>
  <si>
    <t>Janis Moser</t>
  </si>
  <si>
    <t>Kirby Dach</t>
  </si>
  <si>
    <t>Jeff Petry</t>
  </si>
  <si>
    <t>Anthony Beauvillier</t>
  </si>
  <si>
    <t>Justin Schultz</t>
  </si>
  <si>
    <t>Lukas Reichel</t>
  </si>
  <si>
    <t>Ryan Graves</t>
  </si>
  <si>
    <t>Ivan Provorov</t>
  </si>
  <si>
    <t>Thomas Harley</t>
  </si>
  <si>
    <t>Conor Garland</t>
  </si>
  <si>
    <t>Teuvo Teravainen</t>
  </si>
  <si>
    <t>Mario Ferraro</t>
  </si>
  <si>
    <t>Trevor Moore</t>
  </si>
  <si>
    <t>Pavel Mintyukov</t>
  </si>
  <si>
    <t>Travis Sanheim</t>
  </si>
  <si>
    <t>Ivan Barbashev</t>
  </si>
  <si>
    <t>Ryan Pulock</t>
  </si>
  <si>
    <t>Jakub Vrana</t>
  </si>
  <si>
    <t>Blake Wheeler</t>
  </si>
  <si>
    <t>Kaiden Guhle</t>
  </si>
  <si>
    <t>Brock Faber</t>
  </si>
  <si>
    <t>Adam Henrique</t>
  </si>
  <si>
    <t>Calen Addison</t>
  </si>
  <si>
    <t>Tyler Seguin</t>
  </si>
  <si>
    <t>Bowen Byram</t>
  </si>
  <si>
    <t>Matias Maccelli</t>
  </si>
  <si>
    <t>Phillip Danault</t>
  </si>
  <si>
    <t>Kirill Marchenko</t>
  </si>
  <si>
    <t>Jonas Brodin</t>
  </si>
  <si>
    <t>Philipp Grubauer</t>
  </si>
  <si>
    <t>Adam Pelech</t>
  </si>
  <si>
    <t>Nino NIederreiter</t>
  </si>
  <si>
    <t>Frank Vatrano</t>
  </si>
  <si>
    <t>Adam Fantilli</t>
  </si>
  <si>
    <t>Michael Bunting</t>
  </si>
  <si>
    <t>Joonas Korpisalo</t>
  </si>
  <si>
    <t>Gabriel Vilardi</t>
  </si>
  <si>
    <t>Boone Jenner</t>
  </si>
  <si>
    <t>Rasmus Sandin</t>
  </si>
  <si>
    <t>Charlie Coyle</t>
  </si>
  <si>
    <t>Esa Lindell</t>
  </si>
  <si>
    <t>Cody Glass</t>
  </si>
  <si>
    <t>Alex Barabanov</t>
  </si>
  <si>
    <t>Wyatt Johnston</t>
  </si>
  <si>
    <t>Jake Walman</t>
  </si>
  <si>
    <t>Ville Husso</t>
  </si>
  <si>
    <t>Dominik Kubalik</t>
  </si>
  <si>
    <t>Frederik Andersen</t>
  </si>
  <si>
    <t>Anton Lundell</t>
  </si>
  <si>
    <t>Vladislav Gavrikov</t>
  </si>
  <si>
    <t>Tony DeAngelo</t>
  </si>
  <si>
    <t>Rasmus Ristolainen</t>
  </si>
  <si>
    <t>Nick Perbix</t>
  </si>
  <si>
    <t>Evander Kane</t>
  </si>
  <si>
    <t>Matt Roy</t>
  </si>
  <si>
    <t>Dillon Dube</t>
  </si>
  <si>
    <t>Nick Jensen</t>
  </si>
  <si>
    <t>Sean Couturier</t>
  </si>
  <si>
    <t>William Karlsson</t>
  </si>
  <si>
    <t>Daniel Sprong</t>
  </si>
  <si>
    <t>Matt Dumba</t>
  </si>
  <si>
    <t>Anthony Duclair</t>
  </si>
  <si>
    <t>Scott Laughton</t>
  </si>
  <si>
    <t>Evan Rodrigues</t>
  </si>
  <si>
    <t>Radko Gudas</t>
  </si>
  <si>
    <t>Cam Atkinson</t>
  </si>
  <si>
    <t>Marcus Pettersson</t>
  </si>
  <si>
    <t>Timothy Liljegren</t>
  </si>
  <si>
    <t>Ryan O'Reilly</t>
  </si>
  <si>
    <t>Scott Mayfield</t>
  </si>
  <si>
    <t>Alexis Lafrenière</t>
  </si>
  <si>
    <t>Adam Boqvist</t>
  </si>
  <si>
    <t>Ilya Mikheyev</t>
  </si>
  <si>
    <t>Nate Schmidt</t>
  </si>
  <si>
    <t>Joel Farabee</t>
  </si>
  <si>
    <t>T.J. Oshie</t>
  </si>
  <si>
    <t>Victor Olofsson</t>
  </si>
  <si>
    <t>Matt Grzelcyk</t>
  </si>
  <si>
    <t>Barrett Hayton</t>
  </si>
  <si>
    <t>Lawson Crouse</t>
  </si>
  <si>
    <t>Erik Cernak</t>
  </si>
  <si>
    <t>Ryan McDonagh</t>
  </si>
  <si>
    <t>Karel Vejmelka</t>
  </si>
  <si>
    <t>Nicolas Hague</t>
  </si>
  <si>
    <t>Jack Roslovic</t>
  </si>
  <si>
    <t>Cole Perfetti</t>
  </si>
  <si>
    <t>Brandon Saad</t>
  </si>
  <si>
    <t>Kevin Hayes</t>
  </si>
  <si>
    <t>Carson Soucy</t>
  </si>
  <si>
    <t>John Marino</t>
  </si>
  <si>
    <t>Erik Gustafsson (D)</t>
  </si>
  <si>
    <t>Conor Sheary</t>
  </si>
  <si>
    <t>Pheonix Copley</t>
  </si>
  <si>
    <t>Josh Anderson</t>
  </si>
  <si>
    <t>Yegor Sharangovich</t>
  </si>
  <si>
    <t>Martin Fehervary</t>
  </si>
  <si>
    <t>Jeremy Swayman</t>
  </si>
  <si>
    <t>Jake McCabe</t>
  </si>
  <si>
    <t>Brayden McNabb</t>
  </si>
  <si>
    <t>Matt Benning</t>
  </si>
  <si>
    <t>David Jiricek</t>
  </si>
  <si>
    <t>Ryan Strome</t>
  </si>
  <si>
    <t>Quinton Byfield</t>
  </si>
  <si>
    <t>Jesperi Kotkaniemi</t>
  </si>
  <si>
    <t>Gustav Nyquist</t>
  </si>
  <si>
    <t>Max Domi</t>
  </si>
  <si>
    <t>Ben Chiarot</t>
  </si>
  <si>
    <t>Blake Coleman</t>
  </si>
  <si>
    <t>Andrew Copp</t>
  </si>
  <si>
    <t>Connor Clifton</t>
  </si>
  <si>
    <t>Nikita Zadorov</t>
  </si>
  <si>
    <t>Filip Chytil</t>
  </si>
  <si>
    <t>Alec Martinez</t>
  </si>
  <si>
    <t>Philip Tomasino</t>
  </si>
  <si>
    <t>Nicolas Roy</t>
  </si>
  <si>
    <t>Dylan Demelo</t>
  </si>
  <si>
    <t>Jonas Siegenthaler</t>
  </si>
  <si>
    <t>Cody Ceci</t>
  </si>
  <si>
    <t>Mikey Anderson</t>
  </si>
  <si>
    <t>Kyle Palmieri</t>
  </si>
  <si>
    <t>Taylor Raddysh</t>
  </si>
  <si>
    <t>Kaapo Kahkonen</t>
  </si>
  <si>
    <t>Jake Bean</t>
  </si>
  <si>
    <t>Mark Giordano</t>
  </si>
  <si>
    <t>Pierre-Olivier Joseph</t>
  </si>
  <si>
    <t>Alex Romanov</t>
  </si>
  <si>
    <t>Travis Hamonic</t>
  </si>
  <si>
    <t>Jamie Oleksiak</t>
  </si>
  <si>
    <t>Oliver Ekman-Larsson</t>
  </si>
  <si>
    <t>Dante Fabbro</t>
  </si>
  <si>
    <t>Mikael Granlund</t>
  </si>
  <si>
    <t>Trevor van Riemsdyk</t>
  </si>
  <si>
    <t>J.T. Compher</t>
  </si>
  <si>
    <t>TJ Brodie</t>
  </si>
  <si>
    <t>Mattias Samuelsson</t>
  </si>
  <si>
    <t>Chris Tanev</t>
  </si>
  <si>
    <t>Mike Hoffman</t>
  </si>
  <si>
    <t>Anthony Cirelli</t>
  </si>
  <si>
    <t>Brett Kulak</t>
  </si>
  <si>
    <t>Ian Cole</t>
  </si>
  <si>
    <t>Ross Colton</t>
  </si>
  <si>
    <t>Ryan Donato</t>
  </si>
  <si>
    <t>Noah Cates</t>
  </si>
  <si>
    <t>Kaapo Kakko</t>
  </si>
  <si>
    <t>Connor Murphy</t>
  </si>
  <si>
    <t>Andreas Athanasiou</t>
  </si>
  <si>
    <t>Ryan Lindgren</t>
  </si>
  <si>
    <t>Zach Whitecloud</t>
  </si>
  <si>
    <t>Erik Brannstrom</t>
  </si>
  <si>
    <t>David Savard</t>
  </si>
  <si>
    <t>Tanner Jeannot</t>
  </si>
  <si>
    <t>Brenden Dillon</t>
  </si>
  <si>
    <t>Yanni Gourde</t>
  </si>
  <si>
    <t>Tomas Tatar</t>
  </si>
  <si>
    <t>William Eklund</t>
  </si>
  <si>
    <t>Alex Carrier</t>
  </si>
  <si>
    <t>Eeli Tolvanen</t>
  </si>
  <si>
    <t>Erik Johnson</t>
  </si>
  <si>
    <t>Sean Walker</t>
  </si>
  <si>
    <t>Colin Miller</t>
  </si>
  <si>
    <t>Jason Zucker</t>
  </si>
  <si>
    <t>Tyler Myers</t>
  </si>
  <si>
    <t>James van Riemsdyk</t>
  </si>
  <si>
    <t>Tyler Johnson</t>
  </si>
  <si>
    <t>Frederick Gaudreau</t>
  </si>
  <si>
    <t>Nicklas Backstrom</t>
  </si>
  <si>
    <t>Sebastian Aho (D)</t>
  </si>
  <si>
    <t>Luke Schenn</t>
  </si>
  <si>
    <t>Ryan Suter</t>
  </si>
  <si>
    <t>Nils Lundkvist</t>
  </si>
  <si>
    <t>Jan Rutta</t>
  </si>
  <si>
    <t>Brandon Carlo</t>
  </si>
  <si>
    <t>Justin Holl</t>
  </si>
  <si>
    <t>Jordan Harris</t>
  </si>
  <si>
    <t>Jacob Middleton</t>
  </si>
  <si>
    <t>Morgan Frost</t>
  </si>
  <si>
    <t>Kasperi Kapanen</t>
  </si>
  <si>
    <t>Jaden Schwartz</t>
  </si>
  <si>
    <t>Alex Iafallo</t>
  </si>
  <si>
    <t>Brian Dumoulin</t>
  </si>
  <si>
    <t>Alex Vlasic</t>
  </si>
  <si>
    <t>Dmitry Kulikov</t>
  </si>
  <si>
    <t>Nick Paul</t>
  </si>
  <si>
    <t>Nick Seeler</t>
  </si>
  <si>
    <t>Artem Zub</t>
  </si>
  <si>
    <t>Phil Kessel</t>
  </si>
  <si>
    <t>Jean-Gabriel Pageau</t>
  </si>
  <si>
    <t>Mike Reilly</t>
  </si>
  <si>
    <t>Matthew Knies</t>
  </si>
  <si>
    <t>Josh Manson</t>
  </si>
  <si>
    <t>Max Pacioretty</t>
  </si>
  <si>
    <t>Nick Leddy</t>
  </si>
  <si>
    <t>Alex Goligoski</t>
  </si>
  <si>
    <t>Pierre Engvall</t>
  </si>
  <si>
    <t>Troy Stecher</t>
  </si>
  <si>
    <t>Marc-Edouard Vlasic</t>
  </si>
  <si>
    <t>Ondrej Palat</t>
  </si>
  <si>
    <t>Connor Brown</t>
  </si>
  <si>
    <t>Erik Haula</t>
  </si>
  <si>
    <t>Erik Gudbranson</t>
  </si>
  <si>
    <t>Calle Rosen</t>
  </si>
  <si>
    <t>Ryan Johansen</t>
  </si>
  <si>
    <t>Arthur Kaliyev</t>
  </si>
  <si>
    <t>Braden Schneider</t>
  </si>
  <si>
    <t>Alex Newhook</t>
  </si>
  <si>
    <t>JJ Peterka</t>
  </si>
  <si>
    <t>Jani Hakanpaa</t>
  </si>
  <si>
    <t>Johnathan Kovacevic</t>
  </si>
  <si>
    <t>Dylan Samberg</t>
  </si>
  <si>
    <t>Marcus Johansson</t>
  </si>
  <si>
    <t>Josh Mahura</t>
  </si>
  <si>
    <t>Juuso Parssinen</t>
  </si>
  <si>
    <t>Evgeny Dadonov</t>
  </si>
  <si>
    <t>Derek Forbort</t>
  </si>
  <si>
    <t>Joel Edmundson</t>
  </si>
  <si>
    <t>Oliver Kylington</t>
  </si>
  <si>
    <t>Arber Xhekaj</t>
  </si>
  <si>
    <t>Anton Forsberg</t>
  </si>
  <si>
    <t>Jacob Peterson</t>
  </si>
  <si>
    <t>Rafael Harvey-Pinard</t>
  </si>
  <si>
    <t>Calle Jarnkrok</t>
  </si>
  <si>
    <t>Sean Monahan</t>
  </si>
  <si>
    <t>Kevin Labanc</t>
  </si>
  <si>
    <t>Michael Rasmussen</t>
  </si>
  <si>
    <t>Robert Hagg</t>
  </si>
  <si>
    <t>Logan Thompson</t>
  </si>
  <si>
    <t>William Borgen</t>
  </si>
  <si>
    <t>Brendan Gallagher</t>
  </si>
  <si>
    <t>Jacob MacDonald</t>
  </si>
  <si>
    <t>Mason Marchment</t>
  </si>
  <si>
    <t>Dylan Coghlan</t>
  </si>
  <si>
    <t>Anthony Mantha</t>
  </si>
  <si>
    <t>Morgan Geekie</t>
  </si>
  <si>
    <t>Connor Ingram</t>
  </si>
  <si>
    <t>Jeremy Lauzon</t>
  </si>
  <si>
    <t>Oliver Wahlstrom</t>
  </si>
  <si>
    <t>Dylan Guenther</t>
  </si>
  <si>
    <t>Kyle Burroughs</t>
  </si>
  <si>
    <t>Fabian Zetterlund</t>
  </si>
  <si>
    <t>Olli Maatta</t>
  </si>
  <si>
    <t>Philipp Kurashev</t>
  </si>
  <si>
    <t>Zach Parise</t>
  </si>
  <si>
    <t>Eetu Luostarinen</t>
  </si>
  <si>
    <t>Henri Jokiharju</t>
  </si>
  <si>
    <t>Ethan Bear</t>
  </si>
  <si>
    <t>Stefan Noesen</t>
  </si>
  <si>
    <t>Alex Kerfoot</t>
  </si>
  <si>
    <t>Arvid Soderblom</t>
  </si>
  <si>
    <t>Akira Schmid</t>
  </si>
  <si>
    <t>Marc Staal</t>
  </si>
  <si>
    <t>Warren Foegele</t>
  </si>
  <si>
    <t>Jonatan Berggren</t>
  </si>
  <si>
    <t>Leo Carlsson</t>
  </si>
  <si>
    <t>Marco Scandella</t>
  </si>
  <si>
    <t>Conor Timmins</t>
  </si>
  <si>
    <t>Alex Wennberg</t>
  </si>
  <si>
    <t>Yakov Trenin</t>
  </si>
  <si>
    <t>Jon Merrill</t>
  </si>
  <si>
    <t>Victor Soderstrom</t>
  </si>
  <si>
    <t>Nikita Zaitsev</t>
  </si>
  <si>
    <t>Kevin Bahl</t>
  </si>
  <si>
    <t>Jordan Oesterle</t>
  </si>
  <si>
    <t>Radim Simek</t>
  </si>
  <si>
    <t>Christian Wolanin</t>
  </si>
  <si>
    <t>Ben Hutton</t>
  </si>
  <si>
    <t>Jalen Chatfield</t>
  </si>
  <si>
    <t>Christian Dvorak</t>
  </si>
  <si>
    <t>Ilya Lyubushkin</t>
  </si>
  <si>
    <t>Jaycob Megna</t>
  </si>
  <si>
    <t>Niko Mikkola</t>
  </si>
  <si>
    <t>Logan Stanley</t>
  </si>
  <si>
    <t>Petr Mrazek</t>
  </si>
  <si>
    <t>Josh Brown</t>
  </si>
  <si>
    <t>Jack Campbell</t>
  </si>
  <si>
    <t>Luke Kunin</t>
  </si>
  <si>
    <t>Jake Allen</t>
  </si>
  <si>
    <t>Kailer Yamamoto</t>
  </si>
  <si>
    <t>Filip Roos</t>
  </si>
  <si>
    <t>Samuel Bolduc</t>
  </si>
  <si>
    <t>Nick Bjugstad</t>
  </si>
  <si>
    <t>Jakob Silfverberg</t>
  </si>
  <si>
    <t>Jonas Johansson</t>
  </si>
  <si>
    <t>Zach Bogosian</t>
  </si>
  <si>
    <t>William Carrier</t>
  </si>
  <si>
    <t>Brandon Tanev</t>
  </si>
  <si>
    <t>Pavel Dorofeyev</t>
  </si>
  <si>
    <t>Urho Vaakanainen</t>
  </si>
  <si>
    <t>Pius Suter</t>
  </si>
  <si>
    <t>Haydn Fleury</t>
  </si>
  <si>
    <t>Jarred Tinordi</t>
  </si>
  <si>
    <t>Jordan Martinook</t>
  </si>
  <si>
    <t>Josh Bailey</t>
  </si>
  <si>
    <t>Trent Frederic</t>
  </si>
  <si>
    <t>Cole Guttman</t>
  </si>
  <si>
    <t>Alex Alexeyev</t>
  </si>
  <si>
    <t>Marcus Foligno</t>
  </si>
  <si>
    <t>Mason Appleton</t>
  </si>
  <si>
    <t>Yegor Chinakhov</t>
  </si>
  <si>
    <t>Colton White</t>
  </si>
  <si>
    <t>Chris Wideman</t>
  </si>
  <si>
    <t>Miles Wood</t>
  </si>
  <si>
    <t>Chad Ruhwedel</t>
  </si>
  <si>
    <t>Jeff Carter</t>
  </si>
  <si>
    <t>Brendan Smith</t>
  </si>
  <si>
    <t>Corey Perry</t>
  </si>
  <si>
    <t>Matt Irwin</t>
  </si>
  <si>
    <t>Noah Gregor</t>
  </si>
  <si>
    <t>Jack Johnson</t>
  </si>
  <si>
    <t>Kyle Okposo</t>
  </si>
  <si>
    <t>Brad Hunt</t>
  </si>
  <si>
    <t>Adam Lowry</t>
  </si>
  <si>
    <t>Barclay Goodrow</t>
  </si>
  <si>
    <t>Michael Eyssimont</t>
  </si>
  <si>
    <t>Zac Jones</t>
  </si>
  <si>
    <t>Jacob Bernard-Docker</t>
  </si>
  <si>
    <t>Jonathan Drouin</t>
  </si>
  <si>
    <t>Cam Talbot</t>
  </si>
  <si>
    <t>Mattias Janmark</t>
  </si>
  <si>
    <t>Logan O'Connor</t>
  </si>
  <si>
    <t>Sam Lafferty</t>
  </si>
  <si>
    <t>Mathieu Joseph</t>
  </si>
  <si>
    <t>Philip Broberg</t>
  </si>
  <si>
    <t>Jack Quinn</t>
  </si>
  <si>
    <t>Jesper Fast</t>
  </si>
  <si>
    <t>Filip Zadina</t>
  </si>
  <si>
    <t>Vincent Desharnais</t>
  </si>
  <si>
    <t>Robby Fabbri</t>
  </si>
  <si>
    <t>Sam Montembeault</t>
  </si>
  <si>
    <t>Tobias Bjornfot</t>
  </si>
  <si>
    <t>Shane Wright</t>
  </si>
  <si>
    <t>Shane Pinto</t>
  </si>
  <si>
    <t>Cole Sillinger</t>
  </si>
  <si>
    <t>Nick Cousins</t>
  </si>
  <si>
    <t>Michael Amadio</t>
  </si>
  <si>
    <t>Jordan Staal</t>
  </si>
  <si>
    <t>Egor Zamula</t>
  </si>
  <si>
    <t>Juraj Slafkovsky</t>
  </si>
  <si>
    <t>Robert Bortuzzo</t>
  </si>
  <si>
    <t>Craig Smith</t>
  </si>
  <si>
    <t>Sonny Milano</t>
  </si>
  <si>
    <t>Eric Robinson</t>
  </si>
  <si>
    <t>Ty Dellandrea</t>
  </si>
  <si>
    <t>Alex Holtz</t>
  </si>
  <si>
    <t>Ryan McLeod</t>
  </si>
  <si>
    <t>Danton Heinen</t>
  </si>
  <si>
    <t>Jakub Zboril</t>
  </si>
  <si>
    <t>Jonathan Toews</t>
  </si>
  <si>
    <t>Wade Allison</t>
  </si>
  <si>
    <t>Joel Hanley</t>
  </si>
  <si>
    <t>Nick Ritchie</t>
  </si>
  <si>
    <t>Garnet Hathaway</t>
  </si>
  <si>
    <t>Sammy Blais</t>
  </si>
  <si>
    <t>Phillip Di Giuseppe</t>
  </si>
  <si>
    <t>Marc-Andre Fleury</t>
  </si>
  <si>
    <t>Jason Dickinson</t>
  </si>
  <si>
    <t>Hudson Fasching</t>
  </si>
  <si>
    <t>Blake Lizotte</t>
  </si>
  <si>
    <t>Nico Sturm</t>
  </si>
  <si>
    <t>Noel Acciari</t>
  </si>
  <si>
    <t>Emil Bemstrom</t>
  </si>
  <si>
    <t>Walker Duehr</t>
  </si>
  <si>
    <t>MacKenzie Blackwood</t>
  </si>
  <si>
    <t>Tyler Motte</t>
  </si>
  <si>
    <t>Alex Texier</t>
  </si>
  <si>
    <t>Nathan Bastian</t>
  </si>
  <si>
    <t>Colton Sissons</t>
  </si>
  <si>
    <t>Andreas Englund</t>
  </si>
  <si>
    <t>Carl Grundstrom</t>
  </si>
  <si>
    <t>Nicolas Aube-Kubel</t>
  </si>
  <si>
    <t>Vladislav Namestnikov</t>
  </si>
  <si>
    <t>Vasily Podkolzin</t>
  </si>
  <si>
    <t>Joel Armia</t>
  </si>
  <si>
    <t>Jimmy Vesey</t>
  </si>
  <si>
    <t>Teddy Blueger</t>
  </si>
  <si>
    <t>Adam Ruzicka</t>
  </si>
  <si>
    <t>Travis Boyd</t>
  </si>
  <si>
    <t>Keegan Kolesar</t>
  </si>
  <si>
    <t>Christian Fischer</t>
  </si>
  <si>
    <t>Jordan Greenway</t>
  </si>
  <si>
    <t>David Kampf</t>
  </si>
  <si>
    <t>Klim Kostin</t>
  </si>
  <si>
    <t>Peyton Krebs</t>
  </si>
  <si>
    <t>Kiefer Sherwood</t>
  </si>
  <si>
    <t>Morgan Barron</t>
  </si>
  <si>
    <t>Lars Eller</t>
  </si>
  <si>
    <t>Alexei Toropchenko</t>
  </si>
  <si>
    <t>Jake Neighbours</t>
  </si>
  <si>
    <t>Brett Howden</t>
  </si>
  <si>
    <t>Ridly Greig</t>
  </si>
  <si>
    <t>Brock McGinn</t>
  </si>
  <si>
    <t>Jake Evans</t>
  </si>
  <si>
    <t>Paul Cotter</t>
  </si>
  <si>
    <t>Ryan Lomberg</t>
  </si>
  <si>
    <t>Matt Nieto</t>
  </si>
  <si>
    <t>Brandon Duhaime</t>
  </si>
  <si>
    <t>Tyson Jost</t>
  </si>
  <si>
    <t>Oskar Lindblom</t>
  </si>
  <si>
    <t>Aliaksei Protas</t>
  </si>
  <si>
    <t>Zach Sanford</t>
  </si>
  <si>
    <t>Sean Kuraly</t>
  </si>
  <si>
    <t>Nic Dowd</t>
  </si>
  <si>
    <t>Joseph Woll</t>
  </si>
  <si>
    <t>Nick Foligno</t>
  </si>
  <si>
    <t>Isac Lundestrom</t>
  </si>
  <si>
    <t>Jack McBain</t>
  </si>
  <si>
    <t>Michael McLeod</t>
  </si>
  <si>
    <t>Dakota Joshua</t>
  </si>
  <si>
    <t>Michael Carcone</t>
  </si>
  <si>
    <t>Zemgus Girgensons</t>
  </si>
  <si>
    <t>Joe Snively</t>
  </si>
  <si>
    <t>Nick Bonino</t>
  </si>
  <si>
    <t>Daniil Tarasov (G)</t>
  </si>
  <si>
    <t>Alex Belzile</t>
  </si>
  <si>
    <t>Matthew Highmore</t>
  </si>
  <si>
    <t>Casey Cizikas</t>
  </si>
  <si>
    <t>Max Jones</t>
  </si>
  <si>
    <t>Nicholas Robertson</t>
  </si>
  <si>
    <t>Boris Katchouk</t>
  </si>
  <si>
    <t>Andrew Cogliano</t>
  </si>
  <si>
    <t>Alex Nedeljkovic</t>
  </si>
  <si>
    <t>Nils Hoglander</t>
  </si>
  <si>
    <t>Pavel Francouz</t>
  </si>
  <si>
    <t>Vinnie Hinostroza</t>
  </si>
  <si>
    <t>Zack MacEwen</t>
  </si>
  <si>
    <t>Jakob Pelletier</t>
  </si>
  <si>
    <t>Cal Clutterbuck</t>
  </si>
  <si>
    <t>Radek Faksa</t>
  </si>
  <si>
    <t>Ryan Poehling</t>
  </si>
  <si>
    <t>Charlie Lindgren</t>
  </si>
  <si>
    <t>Connor Dewar</t>
  </si>
  <si>
    <t>Sam Steel</t>
  </si>
  <si>
    <t>Tomas Nosek</t>
  </si>
  <si>
    <t>A.J. Greer</t>
  </si>
  <si>
    <t>Milan Lucic</t>
  </si>
  <si>
    <t>Trevor Lewis</t>
  </si>
  <si>
    <t>Zach Aston-Reese</t>
  </si>
  <si>
    <t>Steven Lorentz</t>
  </si>
  <si>
    <t>Michael McCarron</t>
  </si>
  <si>
    <t>Brett Leason</t>
  </si>
  <si>
    <t>Cole Smith</t>
  </si>
  <si>
    <t>Jakub Lauko</t>
  </si>
  <si>
    <t>Derek Ryan</t>
  </si>
  <si>
    <t>Jack Drury</t>
  </si>
  <si>
    <t>Josh Archibald</t>
  </si>
  <si>
    <t>Pontus Holmberg</t>
  </si>
  <si>
    <t>Jonathan Quick</t>
  </si>
  <si>
    <t>Jaret Anderson-Dolan</t>
  </si>
  <si>
    <t>Calvin Petersen</t>
  </si>
  <si>
    <t>Tyler Pitlick</t>
  </si>
  <si>
    <t>Matt Martin</t>
  </si>
  <si>
    <t>Pyotr Kochetkov</t>
  </si>
  <si>
    <t>Mathieu Olivier</t>
  </si>
  <si>
    <t>Dylan Holloway</t>
  </si>
  <si>
    <t>Parker Kelly</t>
  </si>
  <si>
    <t>Eric Comrie</t>
  </si>
  <si>
    <t>Patrick Maroon</t>
  </si>
  <si>
    <t>Joe Veleno</t>
  </si>
  <si>
    <t>Curtis Lazar</t>
  </si>
  <si>
    <t>Patrick Brown</t>
  </si>
  <si>
    <t>Antti Raanta</t>
  </si>
  <si>
    <t>Ryan Reaves</t>
  </si>
  <si>
    <t>Andreas Johnsson</t>
  </si>
  <si>
    <t>Anthony Stolarz</t>
  </si>
  <si>
    <t>Nicolas Deslauriers</t>
  </si>
  <si>
    <t>Sheldon Dries</t>
  </si>
  <si>
    <t>Nathan Walker</t>
  </si>
  <si>
    <t>Nils Aman</t>
  </si>
  <si>
    <t>Semyon Varlamov</t>
  </si>
  <si>
    <t>Givani Smith</t>
  </si>
  <si>
    <t>Rasmus Kupari</t>
  </si>
  <si>
    <t>Tanner Laczynski</t>
  </si>
  <si>
    <t>Pierre-Edouard Bellemare</t>
  </si>
  <si>
    <t>Rasmus Asplund</t>
  </si>
  <si>
    <t>Nic Petan</t>
  </si>
  <si>
    <t>Nikita Alexandrov</t>
  </si>
  <si>
    <t>Sam Carrick</t>
  </si>
  <si>
    <t>Marco Rossi</t>
  </si>
  <si>
    <t>Joel Hofer</t>
  </si>
  <si>
    <t>Mark Kastelic</t>
  </si>
  <si>
    <t>Fredrik Olofsson</t>
  </si>
  <si>
    <t>Grigori Denisenko</t>
  </si>
  <si>
    <t>Scott Wedgewood</t>
  </si>
  <si>
    <t>Lukas Dostal</t>
  </si>
  <si>
    <t>Nolan Foote</t>
  </si>
  <si>
    <t>James Reimer</t>
  </si>
  <si>
    <t>Luke Glendening</t>
  </si>
  <si>
    <t>Joey Daccord</t>
  </si>
  <si>
    <t>Ben Meyers</t>
  </si>
  <si>
    <t>Logan Brown</t>
  </si>
  <si>
    <t>Laurent Brossoit</t>
  </si>
  <si>
    <t>Dan Vladar</t>
  </si>
  <si>
    <t>Alex Lyon</t>
  </si>
  <si>
    <t>Kevin Rooney</t>
  </si>
  <si>
    <t>David Gustafsson</t>
  </si>
  <si>
    <t>Lane Pederson</t>
  </si>
  <si>
    <t>Ryan Carpenter</t>
  </si>
  <si>
    <t>Jayson Megna</t>
  </si>
  <si>
    <t>Kevin Lankinen</t>
  </si>
  <si>
    <t>Ross Johnston</t>
  </si>
  <si>
    <t>Chris Driedger</t>
  </si>
  <si>
    <t>Casey DeSmith</t>
  </si>
  <si>
    <t>Ukko-Pekka Luukkonen</t>
  </si>
  <si>
    <t>Spencer Knight</t>
  </si>
  <si>
    <t>Felix Sandstrom</t>
  </si>
  <si>
    <t>Dustin Wolf</t>
  </si>
  <si>
    <t>Martin Jones</t>
  </si>
  <si>
    <t>Spencer Martin</t>
  </si>
  <si>
    <t>TEAMS</t>
  </si>
  <si>
    <t xml:space="preserve"> </t>
  </si>
  <si>
    <t>TEAM 13</t>
  </si>
  <si>
    <t>TEAM 14</t>
  </si>
  <si>
    <t>TEAM 15</t>
  </si>
  <si>
    <t>TEAM 16</t>
  </si>
  <si>
    <t>TOTAL FP</t>
  </si>
  <si>
    <t>TOTAL VORP</t>
  </si>
  <si>
    <t>Name</t>
  </si>
  <si>
    <t>F</t>
  </si>
  <si>
    <t>Team</t>
  </si>
  <si>
    <t>Fantasy Points</t>
  </si>
  <si>
    <t>Standard Deviation</t>
  </si>
  <si>
    <t>C</t>
  </si>
  <si>
    <t>LW</t>
  </si>
  <si>
    <t>RW</t>
  </si>
  <si>
    <t>D</t>
  </si>
  <si>
    <t>YAHOO ADP</t>
  </si>
  <si>
    <t>ESPN  ADP</t>
  </si>
  <si>
    <t>FANTRAX ADP</t>
  </si>
  <si>
    <t>AVG     ADP</t>
  </si>
  <si>
    <t>BOOST</t>
  </si>
  <si>
    <t>PLAYER STATS</t>
  </si>
  <si>
    <t>GOALIE STATS</t>
  </si>
  <si>
    <t>Player</t>
  </si>
  <si>
    <t>Age</t>
  </si>
  <si>
    <t>EDM</t>
  </si>
  <si>
    <t>C,LW</t>
  </si>
  <si>
    <t>COL</t>
  </si>
  <si>
    <t>TBL</t>
  </si>
  <si>
    <t>FLA</t>
  </si>
  <si>
    <t>LW,RW</t>
  </si>
  <si>
    <t>C,RW</t>
  </si>
  <si>
    <t>TOR</t>
  </si>
  <si>
    <t>MIN</t>
  </si>
  <si>
    <t>NJD</t>
  </si>
  <si>
    <t>DAL</t>
  </si>
  <si>
    <t>BOS</t>
  </si>
  <si>
    <t>NYR</t>
  </si>
  <si>
    <t>BUF</t>
  </si>
  <si>
    <t>VAN</t>
  </si>
  <si>
    <t>PIT</t>
  </si>
  <si>
    <t>CBJ</t>
  </si>
  <si>
    <t>STL</t>
  </si>
  <si>
    <t>WPG</t>
  </si>
  <si>
    <t>ARI</t>
  </si>
  <si>
    <t>OTT</t>
  </si>
  <si>
    <t>C,LW,RW</t>
  </si>
  <si>
    <t>CHI</t>
  </si>
  <si>
    <t>WSH</t>
  </si>
  <si>
    <t>LAK</t>
  </si>
  <si>
    <t>CAR</t>
  </si>
  <si>
    <t>CGY</t>
  </si>
  <si>
    <t>VGK</t>
  </si>
  <si>
    <t>ANA</t>
  </si>
  <si>
    <t>NSH</t>
  </si>
  <si>
    <t>DET</t>
  </si>
  <si>
    <t>PHI</t>
  </si>
  <si>
    <t>NYI</t>
  </si>
  <si>
    <t>SEA</t>
  </si>
  <si>
    <t>SJS</t>
  </si>
  <si>
    <t>MTL</t>
  </si>
  <si>
    <t>UFA</t>
  </si>
  <si>
    <t>Skaters</t>
  </si>
  <si>
    <t>Goalies</t>
  </si>
  <si>
    <t>PIMS</t>
  </si>
  <si>
    <t>HITS</t>
  </si>
  <si>
    <t>BLKS</t>
  </si>
  <si>
    <t>Shmitty Jagger</t>
  </si>
  <si>
    <t>Mighty Shmucks</t>
  </si>
  <si>
    <t>Black Knights</t>
  </si>
  <si>
    <t>Zach Hyman's</t>
  </si>
  <si>
    <t>Carlton St. Bears</t>
  </si>
  <si>
    <t>Team Gold</t>
  </si>
  <si>
    <t>Mount Mustangs</t>
  </si>
  <si>
    <t>Leprosy Hokey</t>
  </si>
  <si>
    <t>Kon Eagle</t>
  </si>
  <si>
    <t>Bar Down</t>
  </si>
  <si>
    <t>Team Mike</t>
  </si>
  <si>
    <t>No</t>
  </si>
  <si>
    <t>Blend</t>
  </si>
  <si>
    <t>Nathan Mackinnon</t>
  </si>
  <si>
    <t>Mackenzie Weegar</t>
  </si>
  <si>
    <t>Alex DeBrincat</t>
  </si>
  <si>
    <t>Mighty Schmucks</t>
  </si>
  <si>
    <t>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</si>
</sst>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.0"/>
    <numFmt numFmtId="165" formatCode="#,##0.0"/>
    <numFmt numFmtId="166" formatCode="#,##0%"/>
    <numFmt numFmtId="167" formatCode="#,##0.000"/>
    <numFmt numFmtId="168" formatCode="0.0"/>
    <numFmt numFmtId="169" formatCode="&quot;$&quot;#,##0"/>
    <numFmt numFmtId="170" formatCode="0.000"/>
  </numFmts>
  <fonts count="31">
    <font>
      <sz val="10"/>
      <color indexed="8"/>
      <name val="Helvetica"/>
    </font>
    <font>
      <sz val="10"/>
      <color indexed="8"/>
      <name val="Verdana"/>
      <family val="2"/>
    </font>
    <font>
      <b/>
      <sz val="10"/>
      <color indexed="8"/>
      <name val="Helvetica Neue"/>
      <family val="2"/>
    </font>
    <font>
      <sz val="10"/>
      <color indexed="8"/>
      <name val="Helvetica Neue Light"/>
    </font>
    <font>
      <b/>
      <i/>
      <sz val="8"/>
      <color indexed="8"/>
      <name val="Helvetica Neue"/>
      <family val="2"/>
    </font>
    <font>
      <i/>
      <sz val="8"/>
      <color indexed="8"/>
      <name val="Helvetica Neue"/>
      <family val="2"/>
    </font>
    <font>
      <b/>
      <sz val="12"/>
      <color indexed="8"/>
      <name val="Helvetica Neue"/>
      <family val="2"/>
    </font>
    <font>
      <sz val="10"/>
      <color indexed="15"/>
      <name val="Helvetica Neue Medium"/>
    </font>
    <font>
      <sz val="10"/>
      <color indexed="8"/>
      <name val="Helvetica Neue Medium"/>
    </font>
    <font>
      <b/>
      <sz val="11"/>
      <color indexed="8"/>
      <name val="Helvetica Neue"/>
      <family val="2"/>
    </font>
    <font>
      <sz val="10"/>
      <color indexed="17"/>
      <name val="Helvetica Neue Light"/>
    </font>
    <font>
      <sz val="16"/>
      <color indexed="8"/>
      <name val="Helvetica Neue Light"/>
    </font>
    <font>
      <b/>
      <sz val="10"/>
      <color indexed="17"/>
      <name val="Helvetica Neue"/>
      <family val="2"/>
    </font>
    <font>
      <sz val="8"/>
      <color indexed="8"/>
      <name val="Helvetica Neue Light"/>
    </font>
    <font>
      <sz val="8"/>
      <color indexed="17"/>
      <name val="Helvetica Neue Light"/>
    </font>
    <font>
      <sz val="10"/>
      <color indexed="17"/>
      <name val="Helvetica Neue Medium"/>
    </font>
    <font>
      <sz val="10"/>
      <color indexed="8"/>
      <name val="Helvetica"/>
    </font>
    <font>
      <b/>
      <u/>
      <sz val="10"/>
      <color rgb="FF000000"/>
      <name val="Helvetica"/>
    </font>
    <font>
      <b/>
      <sz val="10"/>
      <color indexed="8"/>
      <name val="Helvetica"/>
    </font>
    <font>
      <b/>
      <u/>
      <sz val="10"/>
      <color indexed="8"/>
      <name val="Helvetica"/>
    </font>
    <font>
      <b/>
      <sz val="11"/>
      <color rgb="FF000000"/>
      <name val="Helvetica"/>
      <scheme val="minor"/>
    </font>
    <font>
      <sz val="10"/>
      <color indexed="8"/>
      <name val="Helvetica"/>
      <scheme val="minor"/>
    </font>
    <font>
      <b/>
      <sz val="10"/>
      <color rgb="FF000000"/>
      <name val="Helvetica"/>
      <scheme val="minor"/>
    </font>
    <font>
      <b/>
      <sz val="10"/>
      <color indexed="8"/>
      <name val="Helvetica"/>
      <scheme val="minor"/>
    </font>
    <font>
      <sz val="11"/>
      <color rgb="FF000000"/>
      <name val="Calibri"/>
      <family val="2"/>
    </font>
    <font>
      <strike/>
      <sz val="10"/>
      <color indexed="8"/>
      <name val="Helvetica Neue Light"/>
    </font>
    <font>
      <strike/>
      <sz val="10"/>
      <color indexed="15"/>
      <name val="Helvetica Neue Medium"/>
    </font>
    <font>
      <strike/>
      <sz val="10"/>
      <color indexed="8"/>
      <name val="Helvetica Neue Medium"/>
    </font>
    <font>
      <b/>
      <strike/>
      <sz val="11"/>
      <color indexed="8"/>
      <name val="Helvetica Neue"/>
      <family val="2"/>
    </font>
    <font>
      <b/>
      <strike/>
      <sz val="10"/>
      <color indexed="8"/>
      <name val="Helvetica Neue"/>
      <family val="2"/>
    </font>
    <font>
      <strike/>
      <sz val="10"/>
      <color indexed="8"/>
      <name val="Verdana"/>
      <family val="2"/>
    </font>
  </fonts>
  <fills count="2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25"/>
        <bgColor auto="1"/>
      </patternFill>
    </fill>
    <fill>
      <patternFill patternType="solid">
        <fgColor indexed="26"/>
        <bgColor auto="1"/>
      </patternFill>
    </fill>
    <fill>
      <patternFill patternType="solid">
        <fgColor indexed="27"/>
        <bgColor auto="1"/>
      </patternFill>
    </fill>
    <fill>
      <patternFill patternType="solid">
        <fgColor indexed="28"/>
        <bgColor auto="1"/>
      </patternFill>
    </fill>
    <fill>
      <patternFill patternType="solid">
        <fgColor indexed="29"/>
        <bgColor auto="1"/>
      </patternFill>
    </fill>
    <fill>
      <patternFill patternType="solid">
        <fgColor indexed="30"/>
        <bgColor auto="1"/>
      </patternFill>
    </fill>
    <fill>
      <patternFill patternType="solid">
        <fgColor indexed="31"/>
        <bgColor auto="1"/>
      </patternFill>
    </fill>
    <fill>
      <patternFill patternType="solid">
        <fgColor indexed="32"/>
        <bgColor auto="1"/>
      </patternFill>
    </fill>
    <fill>
      <patternFill patternType="solid">
        <fgColor indexed="33"/>
        <bgColor auto="1"/>
      </patternFill>
    </fill>
    <fill>
      <patternFill patternType="solid">
        <fgColor indexed="34"/>
        <bgColor auto="1"/>
      </patternFill>
    </fill>
    <fill>
      <patternFill patternType="solid">
        <fgColor indexed="35"/>
        <bgColor auto="1"/>
      </patternFill>
    </fill>
    <fill>
      <patternFill patternType="solid">
        <fgColor indexed="36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9"/>
      </bottom>
      <diagonal/>
    </border>
    <border>
      <left/>
      <right/>
      <top/>
      <bottom/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/>
      <diagonal/>
    </border>
    <border>
      <left/>
      <right/>
      <top style="thin">
        <color indexed="9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9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16" fillId="0" borderId="2" applyNumberFormat="0" applyFill="0" applyBorder="0" applyProtection="0">
      <alignment vertical="top" wrapText="1"/>
    </xf>
  </cellStyleXfs>
  <cellXfs count="256">
    <xf numFmtId="0" fontId="0" fillId="0" borderId="0" xfId="0">
      <alignment vertical="top" wrapText="1"/>
    </xf>
    <xf numFmtId="0" fontId="1" fillId="0" borderId="0" xfId="0" applyNumberFormat="1" applyFont="1" applyAlignment="1"/>
    <xf numFmtId="49" fontId="2" fillId="2" borderId="1" xfId="0" applyNumberFormat="1" applyFont="1" applyFill="1" applyBorder="1" applyAlignment="1">
      <alignment horizontal="left"/>
    </xf>
    <xf numFmtId="49" fontId="2" fillId="2" borderId="1" xfId="0" applyNumberFormat="1" applyFont="1" applyFill="1" applyBorder="1" applyAlignment="1">
      <alignment horizontal="center"/>
    </xf>
    <xf numFmtId="49" fontId="2" fillId="2" borderId="2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49" fontId="2" fillId="2" borderId="1" xfId="0" applyNumberFormat="1" applyFont="1" applyFill="1" applyBorder="1" applyAlignment="1">
      <alignment horizontal="center" wrapText="1"/>
    </xf>
    <xf numFmtId="49" fontId="2" fillId="2" borderId="2" xfId="0" applyNumberFormat="1" applyFont="1" applyFill="1" applyBorder="1" applyAlignment="1">
      <alignment horizontal="center" wrapText="1"/>
    </xf>
    <xf numFmtId="49" fontId="3" fillId="0" borderId="3" xfId="0" applyNumberFormat="1" applyFont="1" applyBorder="1" applyAlignment="1">
      <alignment horizontal="left" vertical="center"/>
    </xf>
    <xf numFmtId="0" fontId="3" fillId="0" borderId="3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49" fontId="2" fillId="5" borderId="2" xfId="0" applyNumberFormat="1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9" fontId="2" fillId="7" borderId="2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wrapText="1"/>
    </xf>
    <xf numFmtId="49" fontId="3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9" fontId="3" fillId="0" borderId="2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49" fontId="6" fillId="2" borderId="2" xfId="0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right" vertical="center"/>
    </xf>
    <xf numFmtId="49" fontId="7" fillId="0" borderId="3" xfId="0" applyNumberFormat="1" applyFont="1" applyBorder="1" applyAlignment="1">
      <alignment horizontal="center" vertical="center"/>
    </xf>
    <xf numFmtId="49" fontId="8" fillId="8" borderId="3" xfId="0" applyNumberFormat="1" applyFont="1" applyFill="1" applyBorder="1" applyAlignment="1">
      <alignment horizontal="right" vertical="center"/>
    </xf>
    <xf numFmtId="3" fontId="8" fillId="8" borderId="3" xfId="0" applyNumberFormat="1" applyFont="1" applyFill="1" applyBorder="1" applyAlignment="1">
      <alignment horizontal="left" vertical="center"/>
    </xf>
    <xf numFmtId="49" fontId="3" fillId="0" borderId="3" xfId="0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165" fontId="9" fillId="0" borderId="3" xfId="0" applyNumberFormat="1" applyFont="1" applyBorder="1" applyAlignment="1">
      <alignment horizontal="right" vertical="center"/>
    </xf>
    <xf numFmtId="165" fontId="9" fillId="0" borderId="3" xfId="0" applyNumberFormat="1" applyFont="1" applyBorder="1" applyAlignment="1">
      <alignment horizontal="center" vertical="center"/>
    </xf>
    <xf numFmtId="165" fontId="3" fillId="0" borderId="3" xfId="0" applyNumberFormat="1" applyFont="1" applyBorder="1" applyAlignment="1">
      <alignment horizontal="right" vertical="center"/>
    </xf>
    <xf numFmtId="49" fontId="2" fillId="0" borderId="3" xfId="0" applyNumberFormat="1" applyFont="1" applyBorder="1" applyAlignment="1">
      <alignment horizontal="center" vertical="center"/>
    </xf>
    <xf numFmtId="3" fontId="3" fillId="0" borderId="3" xfId="0" applyNumberFormat="1" applyFont="1" applyBorder="1" applyAlignment="1">
      <alignment horizontal="right" vertical="center"/>
    </xf>
    <xf numFmtId="166" fontId="3" fillId="0" borderId="3" xfId="0" applyNumberFormat="1" applyFont="1" applyBorder="1" applyAlignment="1">
      <alignment horizontal="right" vertical="center"/>
    </xf>
    <xf numFmtId="1" fontId="3" fillId="0" borderId="3" xfId="0" applyNumberFormat="1" applyFont="1" applyBorder="1" applyAlignment="1">
      <alignment horizontal="right" vertical="center"/>
    </xf>
    <xf numFmtId="167" fontId="3" fillId="0" borderId="3" xfId="0" applyNumberFormat="1" applyFont="1" applyBorder="1" applyAlignment="1">
      <alignment horizontal="right" vertical="center"/>
    </xf>
    <xf numFmtId="4" fontId="3" fillId="0" borderId="3" xfId="0" applyNumberFormat="1" applyFont="1" applyBorder="1" applyAlignment="1">
      <alignment horizontal="right" vertical="center"/>
    </xf>
    <xf numFmtId="3" fontId="8" fillId="9" borderId="3" xfId="0" applyNumberFormat="1" applyFont="1" applyFill="1" applyBorder="1" applyAlignment="1">
      <alignment horizontal="left" vertical="center"/>
    </xf>
    <xf numFmtId="3" fontId="8" fillId="10" borderId="3" xfId="0" applyNumberFormat="1" applyFont="1" applyFill="1" applyBorder="1" applyAlignment="1">
      <alignment horizontal="left" vertical="center"/>
    </xf>
    <xf numFmtId="3" fontId="8" fillId="11" borderId="3" xfId="0" applyNumberFormat="1" applyFont="1" applyFill="1" applyBorder="1" applyAlignment="1">
      <alignment horizontal="left" vertical="center"/>
    </xf>
    <xf numFmtId="3" fontId="8" fillId="12" borderId="3" xfId="0" applyNumberFormat="1" applyFont="1" applyFill="1" applyBorder="1" applyAlignment="1">
      <alignment horizontal="left" vertical="center"/>
    </xf>
    <xf numFmtId="49" fontId="9" fillId="0" borderId="3" xfId="0" applyNumberFormat="1" applyFont="1" applyBorder="1" applyAlignment="1">
      <alignment horizontal="right" vertical="center"/>
    </xf>
    <xf numFmtId="3" fontId="8" fillId="13" borderId="3" xfId="0" applyNumberFormat="1" applyFont="1" applyFill="1" applyBorder="1" applyAlignment="1">
      <alignment horizontal="left" vertical="center"/>
    </xf>
    <xf numFmtId="0" fontId="3" fillId="0" borderId="3" xfId="0" applyFont="1" applyBorder="1" applyAlignment="1">
      <alignment horizontal="right" vertical="center"/>
    </xf>
    <xf numFmtId="49" fontId="3" fillId="0" borderId="3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2" xfId="0" applyFont="1" applyBorder="1" applyAlignment="1">
      <alignment horizontal="right" vertical="center"/>
    </xf>
    <xf numFmtId="0" fontId="2" fillId="0" borderId="2" xfId="0" applyFont="1" applyBorder="1" applyAlignment="1">
      <alignment horizontal="right" vertical="center"/>
    </xf>
    <xf numFmtId="49" fontId="8" fillId="14" borderId="3" xfId="0" applyNumberFormat="1" applyFont="1" applyFill="1" applyBorder="1" applyAlignment="1">
      <alignment horizontal="right" vertical="center"/>
    </xf>
    <xf numFmtId="3" fontId="8" fillId="14" borderId="3" xfId="0" applyNumberFormat="1" applyFont="1" applyFill="1" applyBorder="1" applyAlignment="1">
      <alignment horizontal="left" vertical="center"/>
    </xf>
    <xf numFmtId="3" fontId="3" fillId="0" borderId="3" xfId="0" applyNumberFormat="1" applyFont="1" applyBorder="1" applyAlignment="1">
      <alignment horizontal="center" vertical="center"/>
    </xf>
    <xf numFmtId="166" fontId="3" fillId="0" borderId="2" xfId="0" applyNumberFormat="1" applyFont="1" applyBorder="1" applyAlignment="1">
      <alignment horizontal="right" vertical="center"/>
    </xf>
    <xf numFmtId="49" fontId="8" fillId="14" borderId="3" xfId="0" applyNumberFormat="1" applyFont="1" applyFill="1" applyBorder="1" applyAlignment="1">
      <alignment horizontal="left" vertical="center"/>
    </xf>
    <xf numFmtId="49" fontId="8" fillId="15" borderId="3" xfId="0" applyNumberFormat="1" applyFont="1" applyFill="1" applyBorder="1" applyAlignment="1">
      <alignment horizontal="right" vertical="center"/>
    </xf>
    <xf numFmtId="3" fontId="8" fillId="15" borderId="3" xfId="0" applyNumberFormat="1" applyFont="1" applyFill="1" applyBorder="1" applyAlignment="1">
      <alignment horizontal="left" vertical="center"/>
    </xf>
    <xf numFmtId="49" fontId="8" fillId="15" borderId="3" xfId="0" applyNumberFormat="1" applyFont="1" applyFill="1" applyBorder="1" applyAlignment="1">
      <alignment horizontal="left" vertical="center"/>
    </xf>
    <xf numFmtId="49" fontId="8" fillId="16" borderId="3" xfId="0" applyNumberFormat="1" applyFont="1" applyFill="1" applyBorder="1" applyAlignment="1">
      <alignment horizontal="right" vertical="center"/>
    </xf>
    <xf numFmtId="3" fontId="8" fillId="16" borderId="3" xfId="0" applyNumberFormat="1" applyFont="1" applyFill="1" applyBorder="1" applyAlignment="1">
      <alignment horizontal="left" vertical="center"/>
    </xf>
    <xf numFmtId="49" fontId="8" fillId="16" borderId="3" xfId="0" applyNumberFormat="1" applyFont="1" applyFill="1" applyBorder="1" applyAlignment="1">
      <alignment horizontal="left" vertical="center"/>
    </xf>
    <xf numFmtId="49" fontId="8" fillId="17" borderId="3" xfId="0" applyNumberFormat="1" applyFont="1" applyFill="1" applyBorder="1" applyAlignment="1">
      <alignment horizontal="right" vertical="center"/>
    </xf>
    <xf numFmtId="3" fontId="8" fillId="17" borderId="3" xfId="0" applyNumberFormat="1" applyFont="1" applyFill="1" applyBorder="1" applyAlignment="1">
      <alignment horizontal="left" vertical="center"/>
    </xf>
    <xf numFmtId="49" fontId="8" fillId="17" borderId="3" xfId="0" applyNumberFormat="1" applyFont="1" applyFill="1" applyBorder="1" applyAlignment="1">
      <alignment horizontal="left" vertical="center"/>
    </xf>
    <xf numFmtId="166" fontId="3" fillId="0" borderId="4" xfId="0" applyNumberFormat="1" applyFont="1" applyBorder="1" applyAlignment="1">
      <alignment horizontal="right" vertical="center"/>
    </xf>
    <xf numFmtId="0" fontId="3" fillId="0" borderId="5" xfId="0" applyFont="1" applyBorder="1" applyAlignment="1">
      <alignment horizontal="left" vertical="center"/>
    </xf>
    <xf numFmtId="49" fontId="8" fillId="17" borderId="5" xfId="0" applyNumberFormat="1" applyFont="1" applyFill="1" applyBorder="1" applyAlignment="1">
      <alignment horizontal="right" vertical="center"/>
    </xf>
    <xf numFmtId="49" fontId="8" fillId="17" borderId="5" xfId="0" applyNumberFormat="1" applyFont="1" applyFill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49" fontId="9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49" fontId="3" fillId="0" borderId="5" xfId="0" applyNumberFormat="1" applyFont="1" applyBorder="1" applyAlignment="1">
      <alignment horizontal="right" vertical="center"/>
    </xf>
    <xf numFmtId="0" fontId="3" fillId="0" borderId="6" xfId="0" applyFont="1" applyBorder="1" applyAlignment="1">
      <alignment horizontal="left" vertical="center"/>
    </xf>
    <xf numFmtId="0" fontId="8" fillId="0" borderId="6" xfId="0" applyFont="1" applyBorder="1" applyAlignment="1">
      <alignment horizontal="right" vertical="center"/>
    </xf>
    <xf numFmtId="0" fontId="8" fillId="0" borderId="6" xfId="0" applyFont="1" applyBorder="1" applyAlignment="1">
      <alignment horizontal="left" vertical="center"/>
    </xf>
    <xf numFmtId="0" fontId="3" fillId="0" borderId="6" xfId="0" applyFont="1" applyBorder="1" applyAlignment="1">
      <alignment horizontal="center" vertical="center"/>
    </xf>
    <xf numFmtId="168" fontId="3" fillId="0" borderId="6" xfId="0" applyNumberFormat="1" applyFont="1" applyBorder="1" applyAlignment="1">
      <alignment horizontal="center" vertical="center"/>
    </xf>
    <xf numFmtId="165" fontId="9" fillId="0" borderId="6" xfId="0" applyNumberFormat="1" applyFont="1" applyBorder="1" applyAlignment="1">
      <alignment horizontal="right" vertical="center"/>
    </xf>
    <xf numFmtId="165" fontId="2" fillId="0" borderId="6" xfId="0" applyNumberFormat="1" applyFont="1" applyBorder="1" applyAlignment="1">
      <alignment horizontal="right" vertical="center"/>
    </xf>
    <xf numFmtId="3" fontId="2" fillId="0" borderId="6" xfId="0" applyNumberFormat="1" applyFont="1" applyBorder="1" applyAlignment="1">
      <alignment horizontal="right" vertical="center"/>
    </xf>
    <xf numFmtId="166" fontId="2" fillId="0" borderId="6" xfId="0" applyNumberFormat="1" applyFont="1" applyBorder="1" applyAlignment="1">
      <alignment horizontal="right" vertical="center"/>
    </xf>
    <xf numFmtId="166" fontId="2" fillId="0" borderId="2" xfId="0" applyNumberFormat="1" applyFont="1" applyBorder="1" applyAlignment="1">
      <alignment horizontal="right" vertical="center"/>
    </xf>
    <xf numFmtId="0" fontId="3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right" vertical="center"/>
    </xf>
    <xf numFmtId="0" fontId="8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right" vertical="center"/>
    </xf>
    <xf numFmtId="165" fontId="9" fillId="0" borderId="2" xfId="0" applyNumberFormat="1" applyFont="1" applyBorder="1" applyAlignment="1">
      <alignment horizontal="right" vertical="center"/>
    </xf>
    <xf numFmtId="165" fontId="3" fillId="0" borderId="2" xfId="0" applyNumberFormat="1" applyFont="1" applyBorder="1" applyAlignment="1">
      <alignment horizontal="right" vertical="center"/>
    </xf>
    <xf numFmtId="3" fontId="3" fillId="0" borderId="2" xfId="0" applyNumberFormat="1" applyFont="1" applyBorder="1" applyAlignment="1">
      <alignment horizontal="right" vertical="center"/>
    </xf>
    <xf numFmtId="49" fontId="6" fillId="2" borderId="2" xfId="0" applyNumberFormat="1" applyFont="1" applyFill="1" applyBorder="1" applyAlignment="1">
      <alignment horizontal="center" vertical="center"/>
    </xf>
    <xf numFmtId="49" fontId="6" fillId="2" borderId="2" xfId="0" applyNumberFormat="1" applyFont="1" applyFill="1" applyBorder="1" applyAlignment="1">
      <alignment horizontal="right" vertical="center"/>
    </xf>
    <xf numFmtId="0" fontId="6" fillId="2" borderId="2" xfId="0" applyFont="1" applyFill="1" applyBorder="1" applyAlignment="1">
      <alignment horizontal="right" vertical="center"/>
    </xf>
    <xf numFmtId="49" fontId="2" fillId="2" borderId="2" xfId="0" applyNumberFormat="1" applyFont="1" applyFill="1" applyBorder="1" applyAlignment="1">
      <alignment horizontal="right" vertical="center"/>
    </xf>
    <xf numFmtId="49" fontId="3" fillId="0" borderId="1" xfId="0" applyNumberFormat="1" applyFont="1" applyBorder="1" applyAlignment="1">
      <alignment horizontal="left" vertical="center"/>
    </xf>
    <xf numFmtId="49" fontId="8" fillId="7" borderId="1" xfId="0" applyNumberFormat="1" applyFont="1" applyFill="1" applyBorder="1" applyAlignment="1">
      <alignment horizontal="right" vertical="center"/>
    </xf>
    <xf numFmtId="3" fontId="8" fillId="18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165" fontId="9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3" fontId="3" fillId="0" borderId="1" xfId="0" applyNumberFormat="1" applyFont="1" applyBorder="1" applyAlignment="1">
      <alignment horizontal="right" vertical="center"/>
    </xf>
    <xf numFmtId="167" fontId="3" fillId="0" borderId="1" xfId="0" applyNumberFormat="1" applyFont="1" applyBorder="1" applyAlignment="1">
      <alignment horizontal="right" vertical="center"/>
    </xf>
    <xf numFmtId="4" fontId="3" fillId="0" borderId="1" xfId="0" applyNumberFormat="1" applyFont="1" applyBorder="1" applyAlignment="1">
      <alignment horizontal="right" vertical="center"/>
    </xf>
    <xf numFmtId="49" fontId="10" fillId="0" borderId="2" xfId="0" applyNumberFormat="1" applyFont="1" applyBorder="1" applyAlignment="1">
      <alignment horizontal="right" vertical="center"/>
    </xf>
    <xf numFmtId="49" fontId="8" fillId="7" borderId="3" xfId="0" applyNumberFormat="1" applyFont="1" applyFill="1" applyBorder="1" applyAlignment="1">
      <alignment horizontal="right" vertical="center"/>
    </xf>
    <xf numFmtId="49" fontId="8" fillId="18" borderId="3" xfId="0" applyNumberFormat="1" applyFont="1" applyFill="1" applyBorder="1" applyAlignment="1">
      <alignment horizontal="left" vertical="center"/>
    </xf>
    <xf numFmtId="49" fontId="8" fillId="7" borderId="5" xfId="0" applyNumberFormat="1" applyFont="1" applyFill="1" applyBorder="1" applyAlignment="1">
      <alignment horizontal="right" vertical="center"/>
    </xf>
    <xf numFmtId="49" fontId="8" fillId="18" borderId="5" xfId="0" applyNumberFormat="1" applyFont="1" applyFill="1" applyBorder="1" applyAlignment="1">
      <alignment horizontal="left" vertical="center"/>
    </xf>
    <xf numFmtId="167" fontId="2" fillId="0" borderId="6" xfId="0" applyNumberFormat="1" applyFont="1" applyBorder="1" applyAlignment="1">
      <alignment horizontal="right" vertical="center"/>
    </xf>
    <xf numFmtId="4" fontId="2" fillId="0" borderId="6" xfId="0" applyNumberFormat="1" applyFont="1" applyBorder="1" applyAlignment="1">
      <alignment horizontal="right" vertical="center"/>
    </xf>
    <xf numFmtId="49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8" fillId="18" borderId="1" xfId="0" applyNumberFormat="1" applyFont="1" applyFill="1" applyBorder="1" applyAlignment="1">
      <alignment horizontal="left" vertical="center"/>
    </xf>
    <xf numFmtId="49" fontId="9" fillId="0" borderId="1" xfId="0" applyNumberFormat="1" applyFont="1" applyBorder="1" applyAlignment="1">
      <alignment horizontal="right" vertical="center"/>
    </xf>
    <xf numFmtId="49" fontId="3" fillId="0" borderId="1" xfId="0" applyNumberFormat="1" applyFont="1" applyBorder="1" applyAlignment="1">
      <alignment horizontal="right" vertical="center"/>
    </xf>
    <xf numFmtId="49" fontId="2" fillId="2" borderId="2" xfId="0" applyNumberFormat="1" applyFont="1" applyFill="1" applyBorder="1" applyAlignment="1">
      <alignment horizontal="left"/>
    </xf>
    <xf numFmtId="49" fontId="2" fillId="2" borderId="2" xfId="0" applyNumberFormat="1" applyFont="1" applyFill="1" applyBorder="1" applyAlignment="1">
      <alignment horizontal="right"/>
    </xf>
    <xf numFmtId="0" fontId="2" fillId="2" borderId="2" xfId="0" applyFont="1" applyFill="1" applyBorder="1" applyAlignment="1">
      <alignment horizontal="left"/>
    </xf>
    <xf numFmtId="49" fontId="2" fillId="2" borderId="2" xfId="0" applyNumberFormat="1" applyFont="1" applyFill="1" applyBorder="1" applyAlignment="1">
      <alignment horizontal="right" wrapText="1"/>
    </xf>
    <xf numFmtId="0" fontId="2" fillId="2" borderId="2" xfId="0" applyFont="1" applyFill="1" applyBorder="1" applyAlignment="1">
      <alignment horizontal="right"/>
    </xf>
    <xf numFmtId="0" fontId="12" fillId="2" borderId="2" xfId="0" applyFont="1" applyFill="1" applyBorder="1" applyAlignment="1">
      <alignment horizontal="center"/>
    </xf>
    <xf numFmtId="49" fontId="12" fillId="2" borderId="2" xfId="0" applyNumberFormat="1" applyFont="1" applyFill="1" applyBorder="1" applyAlignment="1">
      <alignment horizontal="right" wrapText="1"/>
    </xf>
    <xf numFmtId="49" fontId="12" fillId="2" borderId="2" xfId="0" applyNumberFormat="1" applyFont="1" applyFill="1" applyBorder="1" applyAlignment="1">
      <alignment horizontal="right"/>
    </xf>
    <xf numFmtId="49" fontId="13" fillId="2" borderId="1" xfId="0" applyNumberFormat="1" applyFont="1" applyFill="1" applyBorder="1" applyAlignment="1">
      <alignment horizontal="left" vertical="top"/>
    </xf>
    <xf numFmtId="0" fontId="13" fillId="2" borderId="1" xfId="0" applyNumberFormat="1" applyFont="1" applyFill="1" applyBorder="1" applyAlignment="1">
      <alignment horizontal="right" vertical="top"/>
    </xf>
    <xf numFmtId="0" fontId="13" fillId="2" borderId="1" xfId="0" applyFont="1" applyFill="1" applyBorder="1" applyAlignment="1">
      <alignment horizontal="left" vertical="top"/>
    </xf>
    <xf numFmtId="0" fontId="13" fillId="2" borderId="1" xfId="0" applyFont="1" applyFill="1" applyBorder="1" applyAlignment="1">
      <alignment horizontal="center" vertical="top"/>
    </xf>
    <xf numFmtId="0" fontId="13" fillId="2" borderId="1" xfId="0" applyFont="1" applyFill="1" applyBorder="1" applyAlignment="1">
      <alignment horizontal="right" vertical="top"/>
    </xf>
    <xf numFmtId="0" fontId="14" fillId="2" borderId="1" xfId="0" applyFont="1" applyFill="1" applyBorder="1" applyAlignment="1">
      <alignment horizontal="center" vertical="top"/>
    </xf>
    <xf numFmtId="0" fontId="14" fillId="2" borderId="1" xfId="0" applyFont="1" applyFill="1" applyBorder="1" applyAlignment="1">
      <alignment horizontal="right" vertical="top"/>
    </xf>
    <xf numFmtId="49" fontId="8" fillId="19" borderId="3" xfId="0" applyNumberFormat="1" applyFont="1" applyFill="1" applyBorder="1" applyAlignment="1">
      <alignment horizontal="right" vertical="center"/>
    </xf>
    <xf numFmtId="3" fontId="8" fillId="19" borderId="3" xfId="0" applyNumberFormat="1" applyFont="1" applyFill="1" applyBorder="1" applyAlignment="1">
      <alignment horizontal="left" vertical="center"/>
    </xf>
    <xf numFmtId="3" fontId="15" fillId="20" borderId="3" xfId="0" applyNumberFormat="1" applyFont="1" applyFill="1" applyBorder="1" applyAlignment="1">
      <alignment horizontal="center" vertical="center"/>
    </xf>
    <xf numFmtId="165" fontId="10" fillId="0" borderId="3" xfId="0" applyNumberFormat="1" applyFont="1" applyBorder="1" applyAlignment="1">
      <alignment horizontal="right" vertical="center"/>
    </xf>
    <xf numFmtId="0" fontId="14" fillId="2" borderId="2" xfId="0" applyFont="1" applyFill="1" applyBorder="1" applyAlignment="1">
      <alignment horizontal="center" vertical="top"/>
    </xf>
    <xf numFmtId="0" fontId="14" fillId="2" borderId="2" xfId="0" applyFont="1" applyFill="1" applyBorder="1" applyAlignment="1">
      <alignment horizontal="right" vertical="top"/>
    </xf>
    <xf numFmtId="3" fontId="15" fillId="20" borderId="1" xfId="0" applyNumberFormat="1" applyFont="1" applyFill="1" applyBorder="1" applyAlignment="1">
      <alignment horizontal="center" vertical="center"/>
    </xf>
    <xf numFmtId="165" fontId="10" fillId="0" borderId="1" xfId="0" applyNumberFormat="1" applyFont="1" applyBorder="1" applyAlignment="1">
      <alignment horizontal="right" vertical="center"/>
    </xf>
    <xf numFmtId="49" fontId="8" fillId="6" borderId="3" xfId="0" applyNumberFormat="1" applyFont="1" applyFill="1" applyBorder="1" applyAlignment="1">
      <alignment horizontal="right" vertical="center"/>
    </xf>
    <xf numFmtId="3" fontId="8" fillId="6" borderId="3" xfId="0" applyNumberFormat="1" applyFont="1" applyFill="1" applyBorder="1" applyAlignment="1">
      <alignment horizontal="left" vertical="center"/>
    </xf>
    <xf numFmtId="3" fontId="8" fillId="7" borderId="3" xfId="0" applyNumberFormat="1" applyFont="1" applyFill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right" wrapText="1"/>
    </xf>
    <xf numFmtId="168" fontId="3" fillId="0" borderId="3" xfId="0" applyNumberFormat="1" applyFont="1" applyBorder="1" applyAlignment="1">
      <alignment horizontal="right" vertical="center"/>
    </xf>
    <xf numFmtId="168" fontId="3" fillId="0" borderId="1" xfId="0" applyNumberFormat="1" applyFont="1" applyBorder="1" applyAlignment="1">
      <alignment horizontal="right" vertical="center"/>
    </xf>
    <xf numFmtId="169" fontId="3" fillId="0" borderId="1" xfId="0" applyNumberFormat="1" applyFont="1" applyBorder="1" applyAlignment="1">
      <alignment horizontal="right" vertical="center"/>
    </xf>
    <xf numFmtId="169" fontId="3" fillId="0" borderId="3" xfId="0" applyNumberFormat="1" applyFont="1" applyBorder="1" applyAlignment="1">
      <alignment horizontal="right" vertical="center"/>
    </xf>
    <xf numFmtId="0" fontId="6" fillId="2" borderId="2" xfId="0" applyFont="1" applyFill="1" applyBorder="1" applyAlignment="1">
      <alignment horizontal="left"/>
    </xf>
    <xf numFmtId="0" fontId="6" fillId="2" borderId="2" xfId="0" applyFont="1" applyFill="1" applyBorder="1" applyAlignment="1">
      <alignment horizontal="center"/>
    </xf>
    <xf numFmtId="1" fontId="6" fillId="2" borderId="7" xfId="0" applyNumberFormat="1" applyFont="1" applyFill="1" applyBorder="1" applyAlignment="1">
      <alignment horizontal="center"/>
    </xf>
    <xf numFmtId="49" fontId="2" fillId="2" borderId="8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49" fontId="8" fillId="20" borderId="3" xfId="0" applyNumberFormat="1" applyFont="1" applyFill="1" applyBorder="1" applyAlignment="1">
      <alignment horizontal="center" vertical="center"/>
    </xf>
    <xf numFmtId="0" fontId="8" fillId="20" borderId="3" xfId="0" applyNumberFormat="1" applyFont="1" applyFill="1" applyBorder="1" applyAlignment="1">
      <alignment horizontal="center" vertical="center"/>
    </xf>
    <xf numFmtId="165" fontId="3" fillId="0" borderId="3" xfId="0" applyNumberFormat="1" applyFont="1" applyBorder="1" applyAlignment="1">
      <alignment horizontal="center" vertical="center"/>
    </xf>
    <xf numFmtId="4" fontId="3" fillId="0" borderId="3" xfId="0" applyNumberFormat="1" applyFont="1" applyBorder="1" applyAlignment="1">
      <alignment horizontal="center" vertical="center"/>
    </xf>
    <xf numFmtId="167" fontId="3" fillId="0" borderId="3" xfId="0" applyNumberFormat="1" applyFont="1" applyBorder="1" applyAlignment="1">
      <alignment horizontal="center" vertical="center"/>
    </xf>
    <xf numFmtId="1" fontId="8" fillId="20" borderId="3" xfId="0" applyNumberFormat="1" applyFont="1" applyFill="1" applyBorder="1" applyAlignment="1">
      <alignment horizontal="center" vertical="center"/>
    </xf>
    <xf numFmtId="0" fontId="8" fillId="20" borderId="3" xfId="0" applyFont="1" applyFill="1" applyBorder="1" applyAlignment="1">
      <alignment horizontal="center" vertical="center"/>
    </xf>
    <xf numFmtId="4" fontId="8" fillId="20" borderId="3" xfId="0" applyNumberFormat="1" applyFont="1" applyFill="1" applyBorder="1" applyAlignment="1">
      <alignment horizontal="center" vertical="center"/>
    </xf>
    <xf numFmtId="0" fontId="0" fillId="0" borderId="2" xfId="1" applyFont="1">
      <alignment vertical="top" wrapText="1"/>
    </xf>
    <xf numFmtId="0" fontId="20" fillId="0" borderId="2" xfId="1" applyFont="1" applyAlignment="1"/>
    <xf numFmtId="0" fontId="21" fillId="0" borderId="2" xfId="1" applyFont="1" applyAlignment="1"/>
    <xf numFmtId="0" fontId="20" fillId="0" borderId="2" xfId="1" applyFont="1" applyAlignment="1">
      <alignment horizontal="center"/>
    </xf>
    <xf numFmtId="0" fontId="22" fillId="0" borderId="2" xfId="1" applyFont="1" applyAlignment="1">
      <alignment horizontal="center" vertical="top" wrapText="1"/>
    </xf>
    <xf numFmtId="0" fontId="23" fillId="0" borderId="2" xfId="1" applyFont="1" applyAlignment="1">
      <alignment horizontal="center" vertical="top" wrapText="1"/>
    </xf>
    <xf numFmtId="0" fontId="24" fillId="0" borderId="2" xfId="1" applyFont="1" applyAlignment="1"/>
    <xf numFmtId="0" fontId="16" fillId="0" borderId="2" xfId="1" applyAlignment="1"/>
    <xf numFmtId="3" fontId="16" fillId="0" borderId="2" xfId="1" applyNumberFormat="1" applyAlignment="1">
      <alignment horizontal="center"/>
    </xf>
    <xf numFmtId="2" fontId="16" fillId="0" borderId="2" xfId="1" applyNumberFormat="1" applyAlignment="1">
      <alignment horizontal="center"/>
    </xf>
    <xf numFmtId="170" fontId="16" fillId="0" borderId="2" xfId="1" applyNumberFormat="1" applyAlignment="1">
      <alignment horizontal="center"/>
    </xf>
    <xf numFmtId="1" fontId="16" fillId="0" borderId="2" xfId="1" applyNumberFormat="1" applyAlignment="1">
      <alignment horizontal="center"/>
    </xf>
    <xf numFmtId="0" fontId="16" fillId="0" borderId="2" xfId="1">
      <alignment vertical="top" wrapText="1"/>
    </xf>
    <xf numFmtId="0" fontId="1" fillId="21" borderId="0" xfId="0" applyNumberFormat="1" applyFont="1" applyFill="1" applyAlignment="1"/>
    <xf numFmtId="49" fontId="6" fillId="21" borderId="2" xfId="0" applyNumberFormat="1" applyFont="1" applyFill="1" applyBorder="1" applyAlignment="1">
      <alignment horizontal="left" vertical="center"/>
    </xf>
    <xf numFmtId="3" fontId="3" fillId="21" borderId="1" xfId="0" applyNumberFormat="1" applyFont="1" applyFill="1" applyBorder="1" applyAlignment="1">
      <alignment horizontal="left" vertical="center"/>
    </xf>
    <xf numFmtId="49" fontId="6" fillId="0" borderId="1" xfId="0" applyNumberFormat="1" applyFont="1" applyFill="1" applyBorder="1" applyAlignment="1">
      <alignment horizontal="right" vertical="center"/>
    </xf>
    <xf numFmtId="165" fontId="9" fillId="0" borderId="3" xfId="0" applyNumberFormat="1" applyFont="1" applyFill="1" applyBorder="1" applyAlignment="1">
      <alignment horizontal="right" vertical="center"/>
    </xf>
    <xf numFmtId="0" fontId="1" fillId="0" borderId="0" xfId="0" applyNumberFormat="1" applyFont="1" applyFill="1" applyAlignment="1"/>
    <xf numFmtId="3" fontId="25" fillId="21" borderId="1" xfId="0" applyNumberFormat="1" applyFont="1" applyFill="1" applyBorder="1" applyAlignment="1">
      <alignment horizontal="left" vertical="center"/>
    </xf>
    <xf numFmtId="49" fontId="25" fillId="0" borderId="3" xfId="0" applyNumberFormat="1" applyFont="1" applyBorder="1" applyAlignment="1">
      <alignment horizontal="left" vertical="center"/>
    </xf>
    <xf numFmtId="49" fontId="26" fillId="0" borderId="3" xfId="0" applyNumberFormat="1" applyFont="1" applyBorder="1" applyAlignment="1">
      <alignment horizontal="center" vertical="center"/>
    </xf>
    <xf numFmtId="49" fontId="27" fillId="8" borderId="3" xfId="0" applyNumberFormat="1" applyFont="1" applyFill="1" applyBorder="1" applyAlignment="1">
      <alignment horizontal="right" vertical="center"/>
    </xf>
    <xf numFmtId="49" fontId="25" fillId="0" borderId="3" xfId="0" applyNumberFormat="1" applyFont="1" applyBorder="1" applyAlignment="1">
      <alignment horizontal="center" vertical="center"/>
    </xf>
    <xf numFmtId="0" fontId="25" fillId="0" borderId="3" xfId="0" applyNumberFormat="1" applyFont="1" applyBorder="1" applyAlignment="1">
      <alignment horizontal="center" vertical="center"/>
    </xf>
    <xf numFmtId="164" fontId="25" fillId="0" borderId="3" xfId="0" applyNumberFormat="1" applyFont="1" applyBorder="1" applyAlignment="1">
      <alignment horizontal="center" vertical="center"/>
    </xf>
    <xf numFmtId="165" fontId="28" fillId="0" borderId="3" xfId="0" applyNumberFormat="1" applyFont="1" applyBorder="1" applyAlignment="1">
      <alignment horizontal="right" vertical="center"/>
    </xf>
    <xf numFmtId="165" fontId="28" fillId="0" borderId="3" xfId="0" applyNumberFormat="1" applyFont="1" applyBorder="1" applyAlignment="1">
      <alignment horizontal="center" vertical="center"/>
    </xf>
    <xf numFmtId="165" fontId="28" fillId="0" borderId="3" xfId="0" applyNumberFormat="1" applyFont="1" applyFill="1" applyBorder="1" applyAlignment="1">
      <alignment horizontal="right" vertical="center"/>
    </xf>
    <xf numFmtId="165" fontId="25" fillId="0" borderId="3" xfId="0" applyNumberFormat="1" applyFont="1" applyBorder="1" applyAlignment="1">
      <alignment horizontal="right" vertical="center"/>
    </xf>
    <xf numFmtId="49" fontId="29" fillId="0" borderId="3" xfId="0" applyNumberFormat="1" applyFont="1" applyBorder="1" applyAlignment="1">
      <alignment horizontal="center" vertical="center"/>
    </xf>
    <xf numFmtId="3" fontId="25" fillId="0" borderId="3" xfId="0" applyNumberFormat="1" applyFont="1" applyBorder="1" applyAlignment="1">
      <alignment horizontal="right" vertical="center"/>
    </xf>
    <xf numFmtId="166" fontId="25" fillId="0" borderId="3" xfId="0" applyNumberFormat="1" applyFont="1" applyBorder="1" applyAlignment="1">
      <alignment horizontal="right" vertical="center"/>
    </xf>
    <xf numFmtId="167" fontId="25" fillId="0" borderId="3" xfId="0" applyNumberFormat="1" applyFont="1" applyBorder="1" applyAlignment="1">
      <alignment horizontal="right" vertical="center"/>
    </xf>
    <xf numFmtId="4" fontId="25" fillId="0" borderId="3" xfId="0" applyNumberFormat="1" applyFont="1" applyBorder="1" applyAlignment="1">
      <alignment horizontal="right" vertical="center"/>
    </xf>
    <xf numFmtId="0" fontId="30" fillId="0" borderId="0" xfId="0" applyNumberFormat="1" applyFont="1" applyAlignment="1"/>
    <xf numFmtId="3" fontId="27" fillId="10" borderId="3" xfId="0" applyNumberFormat="1" applyFont="1" applyFill="1" applyBorder="1" applyAlignment="1">
      <alignment horizontal="left" vertical="center"/>
    </xf>
    <xf numFmtId="49" fontId="3" fillId="22" borderId="3" xfId="0" applyNumberFormat="1" applyFont="1" applyFill="1" applyBorder="1" applyAlignment="1">
      <alignment horizontal="left" vertical="center"/>
    </xf>
    <xf numFmtId="49" fontId="7" fillId="22" borderId="3" xfId="0" applyNumberFormat="1" applyFont="1" applyFill="1" applyBorder="1" applyAlignment="1">
      <alignment horizontal="center" vertical="center"/>
    </xf>
    <xf numFmtId="49" fontId="8" fillId="22" borderId="3" xfId="0" applyNumberFormat="1" applyFont="1" applyFill="1" applyBorder="1" applyAlignment="1">
      <alignment horizontal="right" vertical="center"/>
    </xf>
    <xf numFmtId="3" fontId="8" fillId="22" borderId="3" xfId="0" applyNumberFormat="1" applyFont="1" applyFill="1" applyBorder="1" applyAlignment="1">
      <alignment horizontal="left" vertical="center"/>
    </xf>
    <xf numFmtId="49" fontId="3" fillId="22" borderId="3" xfId="0" applyNumberFormat="1" applyFont="1" applyFill="1" applyBorder="1" applyAlignment="1">
      <alignment horizontal="center" vertical="center"/>
    </xf>
    <xf numFmtId="0" fontId="3" fillId="22" borderId="3" xfId="0" applyNumberFormat="1" applyFont="1" applyFill="1" applyBorder="1" applyAlignment="1">
      <alignment horizontal="center" vertical="center"/>
    </xf>
    <xf numFmtId="164" fontId="3" fillId="22" borderId="3" xfId="0" applyNumberFormat="1" applyFont="1" applyFill="1" applyBorder="1" applyAlignment="1">
      <alignment horizontal="center" vertical="center"/>
    </xf>
    <xf numFmtId="165" fontId="9" fillId="22" borderId="3" xfId="0" applyNumberFormat="1" applyFont="1" applyFill="1" applyBorder="1" applyAlignment="1">
      <alignment horizontal="right" vertical="center"/>
    </xf>
    <xf numFmtId="165" fontId="9" fillId="22" borderId="3" xfId="0" applyNumberFormat="1" applyFont="1" applyFill="1" applyBorder="1" applyAlignment="1">
      <alignment horizontal="center" vertical="center"/>
    </xf>
    <xf numFmtId="165" fontId="3" fillId="22" borderId="3" xfId="0" applyNumberFormat="1" applyFont="1" applyFill="1" applyBorder="1" applyAlignment="1">
      <alignment horizontal="right" vertical="center"/>
    </xf>
    <xf numFmtId="49" fontId="2" fillId="22" borderId="3" xfId="0" applyNumberFormat="1" applyFont="1" applyFill="1" applyBorder="1" applyAlignment="1">
      <alignment horizontal="center" vertical="center"/>
    </xf>
    <xf numFmtId="3" fontId="3" fillId="22" borderId="3" xfId="0" applyNumberFormat="1" applyFont="1" applyFill="1" applyBorder="1" applyAlignment="1">
      <alignment horizontal="right" vertical="center"/>
    </xf>
    <xf numFmtId="166" fontId="3" fillId="22" borderId="3" xfId="0" applyNumberFormat="1" applyFont="1" applyFill="1" applyBorder="1" applyAlignment="1">
      <alignment horizontal="right" vertical="center"/>
    </xf>
    <xf numFmtId="1" fontId="3" fillId="22" borderId="3" xfId="0" applyNumberFormat="1" applyFont="1" applyFill="1" applyBorder="1" applyAlignment="1">
      <alignment horizontal="right" vertical="center"/>
    </xf>
    <xf numFmtId="167" fontId="3" fillId="22" borderId="3" xfId="0" applyNumberFormat="1" applyFont="1" applyFill="1" applyBorder="1" applyAlignment="1">
      <alignment horizontal="right" vertical="center"/>
    </xf>
    <xf numFmtId="4" fontId="3" fillId="22" borderId="3" xfId="0" applyNumberFormat="1" applyFont="1" applyFill="1" applyBorder="1" applyAlignment="1">
      <alignment horizontal="right" vertical="center"/>
    </xf>
    <xf numFmtId="0" fontId="1" fillId="22" borderId="0" xfId="0" applyNumberFormat="1" applyFont="1" applyFill="1" applyAlignment="1"/>
    <xf numFmtId="49" fontId="2" fillId="2" borderId="1" xfId="0" applyNumberFormat="1" applyFont="1" applyFill="1" applyBorder="1" applyAlignment="1">
      <alignment horizontal="center"/>
    </xf>
    <xf numFmtId="0" fontId="1" fillId="0" borderId="1" xfId="0" applyFont="1" applyBorder="1" applyAlignment="1"/>
    <xf numFmtId="49" fontId="5" fillId="0" borderId="2" xfId="0" applyNumberFormat="1" applyFont="1" applyBorder="1" applyAlignment="1">
      <alignment horizontal="center" vertical="center" wrapText="1"/>
    </xf>
    <xf numFmtId="0" fontId="1" fillId="0" borderId="2" xfId="0" applyFont="1" applyBorder="1" applyAlignment="1"/>
    <xf numFmtId="49" fontId="3" fillId="0" borderId="4" xfId="0" applyNumberFormat="1" applyFont="1" applyBorder="1" applyAlignment="1">
      <alignment horizontal="center" vertical="center"/>
    </xf>
    <xf numFmtId="0" fontId="1" fillId="0" borderId="4" xfId="0" applyFont="1" applyBorder="1" applyAlignment="1"/>
    <xf numFmtId="49" fontId="2" fillId="2" borderId="2" xfId="0" applyNumberFormat="1" applyFont="1" applyFill="1" applyBorder="1" applyAlignment="1">
      <alignment horizontal="center"/>
    </xf>
    <xf numFmtId="0" fontId="3" fillId="0" borderId="2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165" fontId="11" fillId="0" borderId="2" xfId="0" applyNumberFormat="1" applyFont="1" applyBorder="1" applyAlignment="1">
      <alignment horizontal="center" vertical="center"/>
    </xf>
    <xf numFmtId="49" fontId="6" fillId="2" borderId="2" xfId="0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right" vertical="center"/>
    </xf>
    <xf numFmtId="0" fontId="17" fillId="0" borderId="2" xfId="1" applyFont="1" applyAlignment="1">
      <alignment horizontal="center" vertical="top" wrapText="1"/>
    </xf>
    <xf numFmtId="0" fontId="18" fillId="0" borderId="2" xfId="1" applyFont="1" applyAlignment="1">
      <alignment horizontal="center" vertical="top" wrapText="1"/>
    </xf>
    <xf numFmtId="0" fontId="19" fillId="0" borderId="2" xfId="1" applyFont="1" applyAlignment="1">
      <alignment horizontal="center" vertical="top" wrapText="1"/>
    </xf>
    <xf numFmtId="49" fontId="6" fillId="2" borderId="7" xfId="0" applyNumberFormat="1" applyFont="1" applyFill="1" applyBorder="1" applyAlignment="1">
      <alignment horizontal="center"/>
    </xf>
    <xf numFmtId="0" fontId="1" fillId="0" borderId="7" xfId="0" applyFont="1" applyBorder="1" applyAlignment="1"/>
    <xf numFmtId="3" fontId="3" fillId="23" borderId="1" xfId="0" applyNumberFormat="1" applyFont="1" applyFill="1" applyBorder="1" applyAlignment="1">
      <alignment horizontal="left" vertical="center"/>
    </xf>
    <xf numFmtId="49" fontId="3" fillId="23" borderId="3" xfId="0" applyNumberFormat="1" applyFont="1" applyFill="1" applyBorder="1" applyAlignment="1">
      <alignment horizontal="left" vertical="center"/>
    </xf>
    <xf numFmtId="49" fontId="7" fillId="23" borderId="3" xfId="0" applyNumberFormat="1" applyFont="1" applyFill="1" applyBorder="1" applyAlignment="1">
      <alignment horizontal="center" vertical="center"/>
    </xf>
    <xf numFmtId="49" fontId="8" fillId="23" borderId="3" xfId="0" applyNumberFormat="1" applyFont="1" applyFill="1" applyBorder="1" applyAlignment="1">
      <alignment horizontal="right" vertical="center"/>
    </xf>
    <xf numFmtId="3" fontId="8" fillId="23" borderId="3" xfId="0" applyNumberFormat="1" applyFont="1" applyFill="1" applyBorder="1" applyAlignment="1">
      <alignment horizontal="left" vertical="center"/>
    </xf>
    <xf numFmtId="49" fontId="3" fillId="23" borderId="3" xfId="0" applyNumberFormat="1" applyFont="1" applyFill="1" applyBorder="1" applyAlignment="1">
      <alignment horizontal="center" vertical="center"/>
    </xf>
    <xf numFmtId="0" fontId="3" fillId="23" borderId="3" xfId="0" applyNumberFormat="1" applyFont="1" applyFill="1" applyBorder="1" applyAlignment="1">
      <alignment horizontal="center" vertical="center"/>
    </xf>
    <xf numFmtId="164" fontId="3" fillId="23" borderId="3" xfId="0" applyNumberFormat="1" applyFont="1" applyFill="1" applyBorder="1" applyAlignment="1">
      <alignment horizontal="center" vertical="center"/>
    </xf>
    <xf numFmtId="165" fontId="9" fillId="23" borderId="3" xfId="0" applyNumberFormat="1" applyFont="1" applyFill="1" applyBorder="1" applyAlignment="1">
      <alignment horizontal="right" vertical="center"/>
    </xf>
    <xf numFmtId="165" fontId="9" fillId="23" borderId="3" xfId="0" applyNumberFormat="1" applyFont="1" applyFill="1" applyBorder="1" applyAlignment="1">
      <alignment horizontal="center" vertical="center"/>
    </xf>
    <xf numFmtId="165" fontId="3" fillId="23" borderId="3" xfId="0" applyNumberFormat="1" applyFont="1" applyFill="1" applyBorder="1" applyAlignment="1">
      <alignment horizontal="right" vertical="center"/>
    </xf>
    <xf numFmtId="49" fontId="2" fillId="23" borderId="3" xfId="0" applyNumberFormat="1" applyFont="1" applyFill="1" applyBorder="1" applyAlignment="1">
      <alignment horizontal="center" vertical="center"/>
    </xf>
    <xf numFmtId="3" fontId="3" fillId="23" borderId="3" xfId="0" applyNumberFormat="1" applyFont="1" applyFill="1" applyBorder="1" applyAlignment="1">
      <alignment horizontal="right" vertical="center"/>
    </xf>
    <xf numFmtId="166" fontId="3" fillId="23" borderId="3" xfId="0" applyNumberFormat="1" applyFont="1" applyFill="1" applyBorder="1" applyAlignment="1">
      <alignment horizontal="right" vertical="center"/>
    </xf>
    <xf numFmtId="1" fontId="3" fillId="23" borderId="3" xfId="0" applyNumberFormat="1" applyFont="1" applyFill="1" applyBorder="1" applyAlignment="1">
      <alignment horizontal="right" vertical="center"/>
    </xf>
    <xf numFmtId="167" fontId="3" fillId="23" borderId="3" xfId="0" applyNumberFormat="1" applyFont="1" applyFill="1" applyBorder="1" applyAlignment="1">
      <alignment horizontal="right" vertical="center"/>
    </xf>
    <xf numFmtId="4" fontId="3" fillId="23" borderId="3" xfId="0" applyNumberFormat="1" applyFont="1" applyFill="1" applyBorder="1" applyAlignment="1">
      <alignment horizontal="right" vertical="center"/>
    </xf>
    <xf numFmtId="0" fontId="1" fillId="23" borderId="0" xfId="0" applyNumberFormat="1" applyFont="1" applyFill="1" applyAlignment="1"/>
  </cellXfs>
  <cellStyles count="2">
    <cellStyle name="Normal" xfId="0" builtinId="0"/>
    <cellStyle name="Normal 3" xfId="1" xr:uid="{42C0E52E-AA6E-4659-A1C9-1436CCEA91FD}"/>
  </cellStyles>
  <dxfs count="59"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D5D5D5"/>
      </font>
    </dxf>
    <dxf>
      <font>
        <b/>
        <color rgb="FFFF6861"/>
      </font>
    </dxf>
    <dxf>
      <font>
        <b/>
        <color rgb="FF489BC9"/>
      </font>
    </dxf>
    <dxf>
      <font>
        <color rgb="FFFF6861"/>
      </font>
    </dxf>
    <dxf>
      <font>
        <color rgb="FF489BC9"/>
      </font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EAEAEA"/>
      <rgbColor rgb="FF94D06F"/>
      <rgbColor rgb="FFF5DD6B"/>
      <rgbColor rgb="FFFF6861"/>
      <rgbColor rgb="FF7BB4D7"/>
      <rgbColor rgb="FFB778CA"/>
      <rgbColor rgb="FFBFBFBF"/>
      <rgbColor rgb="FF92D069"/>
      <rgbColor rgb="00000000"/>
      <rgbColor rgb="FFFFA93A"/>
      <rgbColor rgb="FF6DC037"/>
      <rgbColor rgb="FF489BC9"/>
      <rgbColor rgb="FFF1D030"/>
      <rgbColor rgb="FFFF2C21"/>
      <rgbColor rgb="FF9D44B8"/>
      <rgbColor rgb="FFD5D5D5"/>
      <rgbColor rgb="FFF6C17D"/>
      <rgbColor rgb="FFFF6158"/>
      <rgbColor rgb="FF76B4D6"/>
      <rgbColor rgb="FFF4DC64"/>
      <rgbColor rgb="FFB573C9"/>
      <rgbColor rgb="FFA1CE7A"/>
      <rgbColor rgb="FFF1DD7C"/>
      <rgbColor rgb="FFED7266"/>
      <rgbColor rgb="FF87B2D4"/>
      <rgbColor rgb="FFAE7BC6"/>
      <rgbColor rgb="FFFFBE6B"/>
      <rgbColor rgb="FFFEFFFE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33"/>
  <sheetViews>
    <sheetView showGridLines="0" workbookViewId="0">
      <pane ySplit="1" topLeftCell="A2" activePane="bottomLeft" state="frozen"/>
      <selection pane="bottomLeft" activeCell="C9" sqref="C9"/>
    </sheetView>
  </sheetViews>
  <sheetFormatPr defaultColWidth="8" defaultRowHeight="16.350000000000001" customHeight="1"/>
  <cols>
    <col min="1" max="1" width="18.85546875" style="1" customWidth="1"/>
    <col min="2" max="3" width="9.42578125" style="1" customWidth="1"/>
    <col min="4" max="4" width="4.7109375" style="1" customWidth="1"/>
    <col min="5" max="5" width="9.42578125" style="1" customWidth="1"/>
    <col min="6" max="6" width="18.85546875" style="1" customWidth="1"/>
    <col min="7" max="7" width="4.7109375" style="1" customWidth="1"/>
    <col min="8" max="10" width="9.42578125" style="1" customWidth="1"/>
    <col min="11" max="11" width="8" style="1" customWidth="1"/>
    <col min="12" max="16384" width="8" style="1"/>
  </cols>
  <sheetData>
    <row r="1" spans="1:10" ht="42.6" customHeight="1">
      <c r="A1" s="2" t="s">
        <v>0</v>
      </c>
      <c r="B1" s="3" t="s">
        <v>1</v>
      </c>
      <c r="C1" s="4" t="s">
        <v>2</v>
      </c>
      <c r="D1" s="5"/>
      <c r="E1" s="4" t="s">
        <v>3</v>
      </c>
      <c r="F1" s="6" t="s">
        <v>4</v>
      </c>
      <c r="G1" s="5"/>
      <c r="H1" s="7" t="s">
        <v>5</v>
      </c>
      <c r="I1" s="7" t="s">
        <v>6</v>
      </c>
      <c r="J1" s="7" t="s">
        <v>7</v>
      </c>
    </row>
    <row r="2" spans="1:10" ht="21.2" customHeight="1">
      <c r="A2" s="8" t="s">
        <v>8</v>
      </c>
      <c r="B2" s="9"/>
      <c r="C2" s="10">
        <v>1</v>
      </c>
      <c r="D2" s="11"/>
      <c r="E2" s="12" t="s">
        <v>9</v>
      </c>
      <c r="F2" s="9">
        <f>ROUND(IF(E$21="Position",I2,IF(E$21="Draft",ROUND(J2*(H2/2)*($E$24/12),0),AVERAGE(I2,ROUND(J2*(H2/2)*($E$24/12),0)))),0)</f>
        <v>35</v>
      </c>
      <c r="G2" s="5"/>
      <c r="H2" s="10">
        <v>3</v>
      </c>
      <c r="I2" s="10">
        <f>H2*E$24</f>
        <v>36</v>
      </c>
      <c r="J2" s="10">
        <v>22</v>
      </c>
    </row>
    <row r="3" spans="1:10" ht="21.2" customHeight="1">
      <c r="A3" s="8" t="s">
        <v>10</v>
      </c>
      <c r="B3" s="9"/>
      <c r="C3" s="9">
        <v>1</v>
      </c>
      <c r="D3" s="11"/>
      <c r="E3" s="13" t="s">
        <v>11</v>
      </c>
      <c r="F3" s="9">
        <f>ROUND(IF(E$21="Position",I3,IF(E$21="Draft",ROUND(J3*(H3/2)*($E$24/12),0),AVERAGE(I3,ROUND(J3*(H3/2)*($E$24/12),0)))),0)</f>
        <v>36</v>
      </c>
      <c r="G3" s="5"/>
      <c r="H3" s="9">
        <v>3</v>
      </c>
      <c r="I3" s="9">
        <f>H3*E$24</f>
        <v>36</v>
      </c>
      <c r="J3" s="9">
        <v>24</v>
      </c>
    </row>
    <row r="4" spans="1:10" ht="21.2" customHeight="1">
      <c r="A4" s="8" t="s">
        <v>1</v>
      </c>
      <c r="B4" s="14"/>
      <c r="C4" s="14">
        <v>1</v>
      </c>
      <c r="D4" s="11"/>
      <c r="E4" s="15" t="s">
        <v>12</v>
      </c>
      <c r="F4" s="9">
        <f>ROUND(IF(E$21="Position",I4,IF(E$21="Draft",ROUND(J4*(H4/2)*($E$24/12),0),AVERAGE(I4,ROUND(J4*(H4/2)*($E$24/12),0)))),0)</f>
        <v>35</v>
      </c>
      <c r="G4" s="5"/>
      <c r="H4" s="9">
        <v>3</v>
      </c>
      <c r="I4" s="9">
        <f>H4*E$24</f>
        <v>36</v>
      </c>
      <c r="J4" s="9">
        <v>22</v>
      </c>
    </row>
    <row r="5" spans="1:10" ht="21.2" customHeight="1">
      <c r="A5" s="8" t="s">
        <v>13</v>
      </c>
      <c r="B5" s="9"/>
      <c r="C5" s="9">
        <v>1</v>
      </c>
      <c r="D5" s="11"/>
      <c r="E5" s="16" t="s">
        <v>14</v>
      </c>
      <c r="F5" s="9">
        <f>ROUND(IF(E$21="Position",I5,IF(E$21="Draft",ROUND(J5*(H5/4)*($E$24/12),0),AVERAGE(I5,ROUND(J5*(H5/4)*($E$24/12),0)))),0)</f>
        <v>34</v>
      </c>
      <c r="G5" s="5"/>
      <c r="H5" s="9">
        <v>4</v>
      </c>
      <c r="I5" s="9">
        <f>H5*E$24</f>
        <v>48</v>
      </c>
      <c r="J5" s="9">
        <v>20</v>
      </c>
    </row>
    <row r="6" spans="1:10" ht="21.2" customHeight="1">
      <c r="A6" s="8" t="s">
        <v>15</v>
      </c>
      <c r="B6" s="9"/>
      <c r="C6" s="9"/>
      <c r="D6" s="11"/>
      <c r="E6" s="17" t="s">
        <v>16</v>
      </c>
      <c r="F6" s="9">
        <f>ROUND(IF(E$21="Position",I6,IF(E$21="Draft",ROUND(J6*(H6/2)*($E$24/12),0),AVERAGE(I6,ROUND(J6*(H6/2)*($E$24/12),0)))),0)</f>
        <v>18</v>
      </c>
      <c r="G6" s="5"/>
      <c r="H6" s="9">
        <v>2</v>
      </c>
      <c r="I6" s="9">
        <f>H6*E$24</f>
        <v>24</v>
      </c>
      <c r="J6" s="9">
        <v>12</v>
      </c>
    </row>
    <row r="7" spans="1:10" ht="21.2" customHeight="1">
      <c r="A7" s="8" t="s">
        <v>17</v>
      </c>
      <c r="B7" s="14"/>
      <c r="C7" s="14"/>
      <c r="D7" s="11"/>
      <c r="E7" s="11"/>
      <c r="F7" s="18"/>
      <c r="G7" s="5"/>
      <c r="H7" s="18"/>
      <c r="I7" s="18"/>
      <c r="J7" s="18"/>
    </row>
    <row r="8" spans="1:10" ht="21.2" customHeight="1">
      <c r="A8" s="8" t="s">
        <v>18</v>
      </c>
      <c r="B8" s="14"/>
      <c r="C8" s="14"/>
      <c r="D8" s="11"/>
      <c r="E8" s="226" t="s">
        <v>19</v>
      </c>
      <c r="F8" s="223"/>
      <c r="G8" s="19"/>
      <c r="H8" s="222" t="s">
        <v>20</v>
      </c>
      <c r="I8" s="223"/>
      <c r="J8" s="223"/>
    </row>
    <row r="9" spans="1:10" ht="21.2" customHeight="1">
      <c r="A9" s="8" t="s">
        <v>21</v>
      </c>
      <c r="B9" s="9"/>
      <c r="C9" s="9">
        <v>1</v>
      </c>
      <c r="D9" s="11"/>
      <c r="E9" s="228" t="s">
        <v>22</v>
      </c>
      <c r="F9" s="223"/>
      <c r="G9" s="19"/>
      <c r="H9" s="21"/>
      <c r="I9" s="21"/>
      <c r="J9" s="21"/>
    </row>
    <row r="10" spans="1:10" ht="21.2" customHeight="1">
      <c r="A10" s="8" t="s">
        <v>23</v>
      </c>
      <c r="B10" s="14"/>
      <c r="C10" s="14"/>
      <c r="D10" s="11"/>
      <c r="E10" s="11"/>
      <c r="F10" s="11"/>
      <c r="G10" s="19"/>
      <c r="H10" s="21"/>
      <c r="I10" s="21"/>
      <c r="J10" s="21"/>
    </row>
    <row r="11" spans="1:10" ht="21.2" customHeight="1">
      <c r="A11" s="8" t="s">
        <v>24</v>
      </c>
      <c r="B11" s="9"/>
      <c r="C11" s="14"/>
      <c r="D11" s="11"/>
      <c r="E11" s="226" t="s">
        <v>25</v>
      </c>
      <c r="F11" s="223"/>
      <c r="G11" s="19"/>
      <c r="H11" s="222" t="s">
        <v>26</v>
      </c>
      <c r="I11" s="223"/>
      <c r="J11" s="223"/>
    </row>
    <row r="12" spans="1:10" ht="21.2" customHeight="1">
      <c r="A12" s="8" t="s">
        <v>27</v>
      </c>
      <c r="B12" s="14"/>
      <c r="C12" s="14"/>
      <c r="D12" s="11"/>
      <c r="E12" s="228" t="s">
        <v>912</v>
      </c>
      <c r="F12" s="223"/>
      <c r="G12" s="19"/>
      <c r="H12" s="21"/>
      <c r="I12" s="21"/>
      <c r="J12" s="21"/>
    </row>
    <row r="13" spans="1:10" ht="21.2" customHeight="1">
      <c r="A13" s="8" t="s">
        <v>28</v>
      </c>
      <c r="B13" s="14"/>
      <c r="C13" s="14"/>
      <c r="D13" s="11"/>
      <c r="E13" s="11"/>
      <c r="F13" s="11"/>
      <c r="G13" s="19"/>
      <c r="H13" s="21"/>
      <c r="I13" s="21"/>
      <c r="J13" s="21"/>
    </row>
    <row r="14" spans="1:10" ht="21.2" customHeight="1">
      <c r="A14" s="8" t="s">
        <v>29</v>
      </c>
      <c r="B14" s="14"/>
      <c r="C14" s="9"/>
      <c r="D14" s="11"/>
      <c r="E14" s="226" t="s">
        <v>30</v>
      </c>
      <c r="F14" s="223"/>
      <c r="G14" s="19"/>
      <c r="H14" s="222" t="s">
        <v>31</v>
      </c>
      <c r="I14" s="223"/>
      <c r="J14" s="223"/>
    </row>
    <row r="15" spans="1:10" ht="21.2" customHeight="1">
      <c r="A15" s="8" t="s">
        <v>32</v>
      </c>
      <c r="B15" s="14"/>
      <c r="C15" s="14"/>
      <c r="D15" s="11"/>
      <c r="E15" s="228" t="s">
        <v>2</v>
      </c>
      <c r="F15" s="223"/>
      <c r="G15" s="19"/>
      <c r="H15" s="21"/>
      <c r="I15" s="21"/>
      <c r="J15" s="21"/>
    </row>
    <row r="16" spans="1:10" ht="21.2" customHeight="1">
      <c r="A16" s="8" t="s">
        <v>33</v>
      </c>
      <c r="B16" s="14"/>
      <c r="C16" s="14"/>
      <c r="D16" s="11"/>
      <c r="E16" s="11"/>
      <c r="F16" s="11"/>
      <c r="G16" s="21"/>
      <c r="H16" s="21"/>
      <c r="I16" s="21"/>
      <c r="J16" s="21"/>
    </row>
    <row r="17" spans="1:10" ht="21.2" customHeight="1">
      <c r="A17" s="8" t="s">
        <v>34</v>
      </c>
      <c r="B17" s="14"/>
      <c r="C17" s="14"/>
      <c r="D17" s="11"/>
      <c r="E17" s="226" t="s">
        <v>35</v>
      </c>
      <c r="F17" s="223"/>
      <c r="G17" s="21"/>
      <c r="H17" s="222" t="s">
        <v>36</v>
      </c>
      <c r="I17" s="223"/>
      <c r="J17" s="223"/>
    </row>
    <row r="18" spans="1:10" ht="21.2" customHeight="1">
      <c r="A18" s="8" t="s">
        <v>37</v>
      </c>
      <c r="B18" s="14"/>
      <c r="C18" s="14"/>
      <c r="D18" s="11"/>
      <c r="E18" s="228" t="s">
        <v>38</v>
      </c>
      <c r="F18" s="223"/>
      <c r="G18" s="21"/>
      <c r="H18" s="21"/>
      <c r="I18" s="21"/>
      <c r="J18" s="21"/>
    </row>
    <row r="19" spans="1:10" ht="21.2" customHeight="1">
      <c r="A19" s="8" t="s">
        <v>39</v>
      </c>
      <c r="B19" s="14"/>
      <c r="C19" s="14"/>
      <c r="D19" s="11"/>
      <c r="E19" s="11"/>
      <c r="F19" s="11"/>
      <c r="G19" s="21"/>
      <c r="H19" s="21"/>
      <c r="I19" s="21"/>
      <c r="J19" s="21"/>
    </row>
    <row r="20" spans="1:10" ht="21.2" customHeight="1">
      <c r="A20" s="8"/>
      <c r="B20" s="14"/>
      <c r="C20" s="14"/>
      <c r="D20" s="11"/>
      <c r="E20" s="226" t="s">
        <v>40</v>
      </c>
      <c r="F20" s="223"/>
      <c r="G20" s="21"/>
      <c r="H20" s="222" t="s">
        <v>41</v>
      </c>
      <c r="I20" s="223"/>
      <c r="J20" s="223"/>
    </row>
    <row r="21" spans="1:10" ht="21.2" customHeight="1">
      <c r="A21" s="8" t="s">
        <v>42</v>
      </c>
      <c r="B21" s="9"/>
      <c r="C21" s="9">
        <v>1</v>
      </c>
      <c r="D21" s="11"/>
      <c r="E21" s="228" t="s">
        <v>913</v>
      </c>
      <c r="F21" s="223"/>
      <c r="G21" s="21"/>
      <c r="H21" s="21"/>
      <c r="I21" s="21"/>
      <c r="J21" s="21"/>
    </row>
    <row r="22" spans="1:10" ht="21.2" customHeight="1">
      <c r="A22" s="8" t="s">
        <v>43</v>
      </c>
      <c r="B22" s="14"/>
      <c r="C22" s="14"/>
      <c r="D22" s="11"/>
      <c r="E22" s="11"/>
      <c r="F22" s="11"/>
      <c r="G22" s="21"/>
      <c r="H22" s="21"/>
      <c r="I22" s="21"/>
      <c r="J22" s="21"/>
    </row>
    <row r="23" spans="1:10" ht="21.2" customHeight="1">
      <c r="A23" s="8" t="s">
        <v>44</v>
      </c>
      <c r="B23" s="14"/>
      <c r="C23" s="14"/>
      <c r="D23" s="11"/>
      <c r="E23" s="226" t="s">
        <v>45</v>
      </c>
      <c r="F23" s="223"/>
      <c r="G23" s="11"/>
      <c r="H23" s="11"/>
      <c r="I23" s="11"/>
      <c r="J23" s="11"/>
    </row>
    <row r="24" spans="1:10" ht="21.2" customHeight="1">
      <c r="A24" s="8" t="s">
        <v>46</v>
      </c>
      <c r="B24" s="9"/>
      <c r="C24" s="9"/>
      <c r="D24" s="11"/>
      <c r="E24" s="227">
        <v>12</v>
      </c>
      <c r="F24" s="223"/>
      <c r="G24" s="11"/>
      <c r="H24" s="11"/>
      <c r="I24" s="11"/>
      <c r="J24" s="11"/>
    </row>
    <row r="25" spans="1:10" ht="21.2" customHeight="1">
      <c r="A25" s="8" t="s">
        <v>47</v>
      </c>
      <c r="B25" s="9"/>
      <c r="C25" s="14">
        <v>1</v>
      </c>
      <c r="D25" s="11"/>
      <c r="E25" s="11"/>
      <c r="F25" s="11"/>
      <c r="G25" s="11"/>
      <c r="H25" s="11"/>
      <c r="I25" s="11"/>
      <c r="J25" s="11"/>
    </row>
    <row r="26" spans="1:10" ht="21.2" customHeight="1">
      <c r="A26" s="8" t="s">
        <v>48</v>
      </c>
      <c r="B26" s="14"/>
      <c r="C26" s="9"/>
      <c r="D26" s="11"/>
      <c r="E26" s="220" t="s">
        <v>49</v>
      </c>
      <c r="F26" s="221"/>
      <c r="G26" s="11"/>
      <c r="H26" s="222" t="s">
        <v>50</v>
      </c>
      <c r="I26" s="223"/>
      <c r="J26" s="223"/>
    </row>
    <row r="27" spans="1:10" ht="21.2" customHeight="1">
      <c r="A27" s="8" t="s">
        <v>51</v>
      </c>
      <c r="B27" s="9"/>
      <c r="C27" s="14"/>
      <c r="D27" s="11"/>
      <c r="E27" s="224" t="s">
        <v>52</v>
      </c>
      <c r="F27" s="225"/>
      <c r="G27" s="11"/>
      <c r="H27" s="223"/>
      <c r="I27" s="223"/>
      <c r="J27" s="223"/>
    </row>
    <row r="28" spans="1:10" ht="21.2" customHeight="1">
      <c r="A28" s="8" t="s">
        <v>53</v>
      </c>
      <c r="B28" s="14"/>
      <c r="C28" s="9"/>
      <c r="D28" s="11"/>
      <c r="E28" s="20" t="s">
        <v>54</v>
      </c>
      <c r="F28" s="22">
        <v>0.2</v>
      </c>
      <c r="G28" s="11"/>
      <c r="H28" s="222" t="s">
        <v>55</v>
      </c>
      <c r="I28" s="223"/>
      <c r="J28" s="223"/>
    </row>
    <row r="29" spans="1:10" ht="21.2" customHeight="1">
      <c r="A29" s="8" t="s">
        <v>56</v>
      </c>
      <c r="B29" s="14"/>
      <c r="C29" s="14"/>
      <c r="D29" s="11"/>
      <c r="E29" s="20" t="s">
        <v>57</v>
      </c>
      <c r="F29" s="22">
        <v>0.1</v>
      </c>
      <c r="G29" s="11"/>
      <c r="H29" s="223"/>
      <c r="I29" s="223"/>
      <c r="J29" s="223"/>
    </row>
    <row r="30" spans="1:10" ht="21.2" customHeight="1">
      <c r="A30" s="23"/>
      <c r="B30" s="14"/>
      <c r="C30" s="14"/>
      <c r="D30" s="11"/>
      <c r="E30" s="20" t="s">
        <v>58</v>
      </c>
      <c r="F30" s="22">
        <v>0.05</v>
      </c>
      <c r="G30" s="11"/>
      <c r="H30" s="222" t="s">
        <v>59</v>
      </c>
      <c r="I30" s="223"/>
      <c r="J30" s="223"/>
    </row>
    <row r="31" spans="1:10" ht="21.2" customHeight="1">
      <c r="A31" s="23"/>
      <c r="B31" s="14"/>
      <c r="C31" s="14"/>
      <c r="D31" s="11"/>
      <c r="E31" s="20" t="s">
        <v>60</v>
      </c>
      <c r="F31" s="22">
        <v>-0.05</v>
      </c>
      <c r="G31" s="11"/>
      <c r="H31" s="223"/>
      <c r="I31" s="223"/>
      <c r="J31" s="223"/>
    </row>
    <row r="32" spans="1:10" ht="21.2" customHeight="1">
      <c r="A32" s="23"/>
      <c r="B32" s="14"/>
      <c r="C32" s="14"/>
      <c r="D32" s="11"/>
      <c r="E32" s="20" t="s">
        <v>61</v>
      </c>
      <c r="F32" s="22">
        <v>-0.1</v>
      </c>
      <c r="G32" s="11"/>
      <c r="H32" s="223"/>
      <c r="I32" s="223"/>
      <c r="J32" s="223"/>
    </row>
    <row r="33" spans="1:10" ht="21.2" customHeight="1">
      <c r="A33" s="23"/>
      <c r="B33" s="14"/>
      <c r="C33" s="14"/>
      <c r="D33" s="11"/>
      <c r="E33" s="20" t="s">
        <v>62</v>
      </c>
      <c r="F33" s="22">
        <v>-0.2</v>
      </c>
      <c r="G33" s="11"/>
      <c r="H33" s="21"/>
      <c r="I33" s="21"/>
      <c r="J33" s="21"/>
    </row>
  </sheetData>
  <mergeCells count="22">
    <mergeCell ref="E15:F15"/>
    <mergeCell ref="E17:F17"/>
    <mergeCell ref="E18:F18"/>
    <mergeCell ref="H8:J8"/>
    <mergeCell ref="H11:J11"/>
    <mergeCell ref="H14:J14"/>
    <mergeCell ref="H17:J17"/>
    <mergeCell ref="E8:F8"/>
    <mergeCell ref="E9:F9"/>
    <mergeCell ref="E11:F11"/>
    <mergeCell ref="E12:F12"/>
    <mergeCell ref="E14:F14"/>
    <mergeCell ref="E23:F23"/>
    <mergeCell ref="E24:F24"/>
    <mergeCell ref="E20:F20"/>
    <mergeCell ref="E21:F21"/>
    <mergeCell ref="H20:J20"/>
    <mergeCell ref="E26:F26"/>
    <mergeCell ref="H26:J27"/>
    <mergeCell ref="H28:J29"/>
    <mergeCell ref="H30:J32"/>
    <mergeCell ref="E27:F27"/>
  </mergeCells>
  <pageMargins left="1" right="1" top="1" bottom="1" header="0.25" footer="0.25"/>
  <pageSetup orientation="portrait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S730"/>
  <sheetViews>
    <sheetView showGridLines="0" zoomScale="115" zoomScaleNormal="115" workbookViewId="0">
      <pane ySplit="1" topLeftCell="A2" activePane="bottomLeft" state="frozen"/>
      <selection pane="bottomLeft" activeCell="A8" sqref="A8:XFD8"/>
    </sheetView>
  </sheetViews>
  <sheetFormatPr defaultColWidth="8" defaultRowHeight="16.350000000000001" customHeight="1"/>
  <cols>
    <col min="1" max="1" width="4.7109375" style="179" customWidth="1"/>
    <col min="2" max="2" width="28.28515625" style="1" customWidth="1"/>
    <col min="3" max="4" width="7.140625" style="1" customWidth="1"/>
    <col min="5" max="5" width="6" style="1" customWidth="1"/>
    <col min="6" max="10" width="8.28515625" style="1" customWidth="1"/>
    <col min="11" max="11" width="8.28515625" style="184" customWidth="1"/>
    <col min="12" max="14" width="8.28515625" style="1" customWidth="1"/>
    <col min="15" max="15" width="3.42578125" style="1" customWidth="1"/>
    <col min="16" max="34" width="7.140625" style="1" customWidth="1"/>
    <col min="35" max="35" width="2.28515625" style="1" customWidth="1"/>
    <col min="36" max="44" width="7.140625" style="1" customWidth="1"/>
    <col min="45" max="45" width="2.28515625" style="1" customWidth="1"/>
    <col min="46" max="46" width="8" style="1" customWidth="1"/>
    <col min="47" max="16384" width="8" style="1"/>
  </cols>
  <sheetData>
    <row r="1" spans="1:45" ht="50.1" customHeight="1">
      <c r="A1" s="180" t="s">
        <v>63</v>
      </c>
      <c r="B1" s="25" t="s">
        <v>64</v>
      </c>
      <c r="C1" s="26" t="s">
        <v>65</v>
      </c>
      <c r="D1" s="229" t="s">
        <v>66</v>
      </c>
      <c r="E1" s="221"/>
      <c r="F1" s="26" t="s">
        <v>67</v>
      </c>
      <c r="G1" s="26" t="s">
        <v>68</v>
      </c>
      <c r="H1" s="26" t="s">
        <v>69</v>
      </c>
      <c r="I1" s="27" t="s">
        <v>70</v>
      </c>
      <c r="J1" s="26" t="s">
        <v>71</v>
      </c>
      <c r="K1" s="182" t="s">
        <v>72</v>
      </c>
      <c r="L1" s="27" t="s">
        <v>73</v>
      </c>
      <c r="M1" s="27" t="s">
        <v>74</v>
      </c>
      <c r="N1" s="27" t="s">
        <v>75</v>
      </c>
      <c r="O1" s="28"/>
      <c r="P1" s="29" t="s">
        <v>76</v>
      </c>
      <c r="Q1" s="30" t="s">
        <v>77</v>
      </c>
      <c r="R1" s="30" t="s">
        <v>78</v>
      </c>
      <c r="S1" s="30" t="s">
        <v>79</v>
      </c>
      <c r="T1" s="30" t="s">
        <v>80</v>
      </c>
      <c r="U1" s="30" t="s">
        <v>81</v>
      </c>
      <c r="V1" s="30" t="s">
        <v>82</v>
      </c>
      <c r="W1" s="30" t="s">
        <v>83</v>
      </c>
      <c r="X1" s="30" t="s">
        <v>84</v>
      </c>
      <c r="Y1" s="30" t="s">
        <v>85</v>
      </c>
      <c r="Z1" s="30" t="s">
        <v>86</v>
      </c>
      <c r="AA1" s="30" t="s">
        <v>87</v>
      </c>
      <c r="AB1" s="30" t="s">
        <v>88</v>
      </c>
      <c r="AC1" s="30" t="s">
        <v>89</v>
      </c>
      <c r="AD1" s="30" t="s">
        <v>90</v>
      </c>
      <c r="AE1" s="30" t="s">
        <v>91</v>
      </c>
      <c r="AF1" s="30" t="s">
        <v>92</v>
      </c>
      <c r="AG1" s="30" t="s">
        <v>93</v>
      </c>
      <c r="AH1" s="30" t="s">
        <v>94</v>
      </c>
      <c r="AI1" s="28"/>
      <c r="AJ1" s="30" t="s">
        <v>77</v>
      </c>
      <c r="AK1" s="30" t="s">
        <v>95</v>
      </c>
      <c r="AL1" s="30" t="s">
        <v>96</v>
      </c>
      <c r="AM1" s="30" t="s">
        <v>97</v>
      </c>
      <c r="AN1" s="30" t="s">
        <v>98</v>
      </c>
      <c r="AO1" s="30" t="s">
        <v>99</v>
      </c>
      <c r="AP1" s="30" t="s">
        <v>100</v>
      </c>
      <c r="AQ1" s="30" t="s">
        <v>101</v>
      </c>
      <c r="AR1" s="30" t="s">
        <v>102</v>
      </c>
      <c r="AS1" s="28"/>
    </row>
    <row r="2" spans="1:45" s="219" customFormat="1" ht="21.2" customHeight="1">
      <c r="A2" s="181">
        <f t="shared" ref="A2:A65" si="0">RANK(K2,K$2:K$730)</f>
        <v>1</v>
      </c>
      <c r="B2" s="203" t="s">
        <v>103</v>
      </c>
      <c r="C2" s="204" t="s">
        <v>104</v>
      </c>
      <c r="D2" s="205" t="str">
        <f>VLOOKUP(B2,'Player Data'!A1:D734,4,FALSE)</f>
        <v>C</v>
      </c>
      <c r="E2" s="206">
        <f>VLOOKUP(B2,'C'!A1:C208,3,FALSE)</f>
        <v>1</v>
      </c>
      <c r="F2" s="207" t="str">
        <f>VLOOKUP(B2,'Player Data'!A1:B734,2,FALSE)</f>
        <v>EDM</v>
      </c>
      <c r="G2" s="208">
        <f>VLOOKUP(B2,'Player Data'!A1:D734,3,FALSE)</f>
        <v>26</v>
      </c>
      <c r="H2" s="209">
        <f>IFERROR(VLOOKUP(B2,ADP!A1:G731,7,FALSE)/1000000,VLOOKUP(B2,ADP!A1:G731,7,FALSE))</f>
        <v>12.5</v>
      </c>
      <c r="I2" s="210">
        <f>IF(Settings!$E$15="POINTS",((R2*Q2)*Settings!$B$12)+(S2*Settings!$B$2)+(T2*Settings!$B$3)+(U2*Settings!$B$4)+(V2*Settings!$B$5)+(X2*Settings!$B$9)+(AA2*Settings!$B$6)+(W2*Settings!$B$8)+(AB2*Settings!$B$7)+(AC2*Settings!$B$14)+(AD2*Settings!$B$15)+(AE2*Settings!$B$16)+(AF2*Settings!$B$17)+(AG2*Settings!$B$18)+(Y2*Settings!$B$10)+(Z2*Settings!$B$11),VLOOKUP(B2,'Standard Deviations'!A1:C731,3,FALSE))</f>
        <v>21.26693059622556</v>
      </c>
      <c r="J2" s="211">
        <f t="shared" ref="J2:J65" si="1">IF(D2="G",I2/AJ2,I2/Q2)</f>
        <v>0.25935281214909217</v>
      </c>
      <c r="K2" s="210">
        <f>IF(Settings!$E$18="C/LW/RW",VLOOKUP(B2,'C'!A1:F208,6,FALSE),VLOOKUP(B2,F!A1:F431,6,FALSE))</f>
        <v>14.929879872018958</v>
      </c>
      <c r="L2" s="210">
        <f t="shared" ref="L2:L65" si="2">IFERROR(K2/H2,"N/A")</f>
        <v>1.1943903897615167</v>
      </c>
      <c r="M2" s="212">
        <f>IF(Settings!$E$9="YAHOO",VLOOKUP(B2,ADP!A1:E731,2,FALSE),IF(Settings!$E$9="ESPN",VLOOKUP(B2,ADP!A1:E731,3,FALSE),IF(Settings!$E$9="FANTRAX",VLOOKUP(B2,ADP!A1:E731,4,FALSE),VLOOKUP(B2,ADP!A1:E731,5,FALSE))))</f>
        <v>1.03</v>
      </c>
      <c r="N2" s="212">
        <f t="shared" ref="N2:N65" si="3">IFERROR(M2-A2,"N/A")</f>
        <v>3.0000000000000027E-2</v>
      </c>
      <c r="O2" s="212"/>
      <c r="P2" s="213" t="str">
        <f>IF(Settings!$E$27="ON",_xlfn.XLOOKUP(B2,ADP!A2:A731,ADP!H2:H731)," ")</f>
        <v xml:space="preserve"> </v>
      </c>
      <c r="Q2" s="214">
        <f>IF(Settings!$E$12="YES",VLOOKUP(B2,'Player Data'!A1:E734,5,FALSE),82)</f>
        <v>82</v>
      </c>
      <c r="R2" s="212">
        <f>VLOOKUP(B2,'Player Data'!$A1:$AE734,6,FALSE)</f>
        <v>22.290784001524401</v>
      </c>
      <c r="S2" s="214">
        <f>VLOOKUP(B2,'Player Data'!$A1:$AE734,7,FALSE)*$Q2*IFERROR((VLOOKUP(P2,Settings!$E$28:$F$33,2,FALSE)+1),1)</f>
        <v>54.505642928069591</v>
      </c>
      <c r="T2" s="214">
        <f>VLOOKUP(B2,'Player Data'!$A1:$AE734,8,FALSE)*$Q2*IFERROR((VLOOKUP(P2,Settings!$E$28:$F$33,2,FALSE)+1),1)</f>
        <v>87.49715841053613</v>
      </c>
      <c r="U2" s="214">
        <f t="shared" ref="U2:U33" si="4">SUM(S2:T2)</f>
        <v>142.00280133860571</v>
      </c>
      <c r="V2" s="214">
        <f>VLOOKUP(B2,'Player Data'!$A1:$AE734,10,FALSE)*$Q2*IFERROR(((VLOOKUP(P2,Settings!$E$28:$F$33,2,FALSE)/2)+1),1)</f>
        <v>334.38161399802379</v>
      </c>
      <c r="W2" s="214">
        <f>VLOOKUP(B2,'Player Data'!$A1:$AE734,11,FALSE)*$Q2*IFERROR((VLOOKUP(P2,Settings!$E$28:$F$33,2,FALSE)+1),1)</f>
        <v>16.237603075138008</v>
      </c>
      <c r="X2" s="214">
        <f>VLOOKUP(B2,'Player Data'!$A1:$AE734,12,FALSE)*$Q2*IFERROR((VLOOKUP(P2,Settings!$E$28:$F$33,2,FALSE)+1),1)</f>
        <v>59.243254422710805</v>
      </c>
      <c r="Y2" s="214">
        <f>VLOOKUP(B2,'Player Data'!$A1:$AE734,13,FALSE)*$Q2</f>
        <v>1.9208153563207988</v>
      </c>
      <c r="Z2" s="214">
        <f>VLOOKUP(B2,'Player Data'!$A1:$AE734,14,FALSE)*$Q2</f>
        <v>4.1986695898356041</v>
      </c>
      <c r="AA2" s="214">
        <f>VLOOKUP(B2,'Player Data'!$A1:$AE734,15,FALSE)*$Q2</f>
        <v>36.833005957746629</v>
      </c>
      <c r="AB2" s="214">
        <f>VLOOKUP(B2,'Player Data'!$A1:$AE734,16,FALSE)*$Q2</f>
        <v>83.075500854608379</v>
      </c>
      <c r="AC2" s="214">
        <f>VLOOKUP(B2,'Player Data'!$A1:$AE734,17,FALSE)*$Q2*IFERROR((VLOOKUP(P2,Settings!$E$28:$F$33,2,FALSE)+1),1)</f>
        <v>11.005057178823307</v>
      </c>
      <c r="AD2" s="214">
        <f>VLOOKUP(B2,'Player Data'!$A1:$AE734,18,FALSE)*$Q2</f>
        <v>36.216017924291862</v>
      </c>
      <c r="AE2" s="214">
        <f>VLOOKUP(B2,'Player Data'!$A1:$AE734,19,FALSE)*$Q2*IFERROR((VLOOKUP(P2,Settings!$E$28:$F$33,2,FALSE)+1),1)</f>
        <v>8.6276581234828456</v>
      </c>
      <c r="AF2" s="214">
        <f>VLOOKUP(B2,'Player Data'!$A1:$AE734,20,FALSE)*$Q2</f>
        <v>526.80581738492037</v>
      </c>
      <c r="AG2" s="214">
        <f>VLOOKUP(B2,'Player Data'!$A1:$AE734,21,FALSE)*$Q2</f>
        <v>484.27545583289475</v>
      </c>
      <c r="AH2" s="215">
        <f>VLOOKUP(B2,'Player Data'!$A1:$AE734,22,FALSE)</f>
        <v>0.521032118128679</v>
      </c>
      <c r="AI2" s="212"/>
      <c r="AJ2" s="216"/>
      <c r="AK2" s="214"/>
      <c r="AL2" s="214"/>
      <c r="AM2" s="214"/>
      <c r="AN2" s="214"/>
      <c r="AO2" s="214"/>
      <c r="AP2" s="214"/>
      <c r="AQ2" s="217"/>
      <c r="AR2" s="218"/>
      <c r="AS2" s="212"/>
    </row>
    <row r="3" spans="1:45" ht="21.2" customHeight="1">
      <c r="A3" s="181">
        <f t="shared" si="0"/>
        <v>2</v>
      </c>
      <c r="B3" s="8" t="s">
        <v>106</v>
      </c>
      <c r="C3" s="31" t="s">
        <v>104</v>
      </c>
      <c r="D3" s="32" t="str">
        <f>VLOOKUP(B3,'Player Data'!A1:D734,4,FALSE)</f>
        <v>C</v>
      </c>
      <c r="E3" s="33">
        <f>VLOOKUP(B3,'C'!A1:C208,3,FALSE)</f>
        <v>2</v>
      </c>
      <c r="F3" s="34" t="str">
        <f>VLOOKUP(B3,'Player Data'!A1:B734,2,FALSE)</f>
        <v>COL</v>
      </c>
      <c r="G3" s="9">
        <f>VLOOKUP(B3,'Player Data'!A1:D734,3,FALSE)</f>
        <v>27</v>
      </c>
      <c r="H3" s="35">
        <f>IFERROR(VLOOKUP(B3,ADP!A1:G731,7,FALSE)/1000000,VLOOKUP(B3,ADP!A1:G731,7,FALSE))</f>
        <v>12.6</v>
      </c>
      <c r="I3" s="36">
        <f>IF(Settings!$E$15="POINTS",((R3*Q3)*Settings!$B$12)+(S3*Settings!$B$2)+(T3*Settings!$B$3)+(U3*Settings!$B$4)+(V3*Settings!$B$5)+(X3*Settings!$B$9)+(AA3*Settings!$B$6)+(W3*Settings!$B$8)+(AB3*Settings!$B$7)+(AC3*Settings!$B$14)+(AD3*Settings!$B$15)+(AE3*Settings!$B$16)+(AF3*Settings!$B$17)+(AG3*Settings!$B$18)+(Y3*Settings!$B$10)+(Z3*Settings!$B$11),VLOOKUP(B3,'Standard Deviations'!A1:C731,3,FALSE))</f>
        <v>17.302036611371435</v>
      </c>
      <c r="J3" s="37">
        <f t="shared" si="1"/>
        <v>0.21100044648013944</v>
      </c>
      <c r="K3" s="183">
        <f>IF(Settings!$E$18="C/LW/RW",VLOOKUP(B3,'C'!A1:F208,6,FALSE),VLOOKUP(B3,F!A1:F431,6,FALSE))</f>
        <v>10.964985887164833</v>
      </c>
      <c r="L3" s="36">
        <f t="shared" si="2"/>
        <v>0.87023697517181209</v>
      </c>
      <c r="M3" s="38">
        <f>IF(Settings!$E$9="YAHOO",VLOOKUP(B3,ADP!A1:E731,2,FALSE),IF(Settings!$E$9="ESPN",VLOOKUP(B3,ADP!A1:E731,3,FALSE),IF(Settings!$E$9="FANTRAX",VLOOKUP(B3,ADP!A1:E731,4,FALSE),VLOOKUP(B3,ADP!A1:E731,5,FALSE))))</f>
        <v>2.8</v>
      </c>
      <c r="N3" s="38">
        <f t="shared" si="3"/>
        <v>0.79999999999999982</v>
      </c>
      <c r="O3" s="38"/>
      <c r="P3" s="39" t="str">
        <f>IF(Settings!$E$27="ON",_xlfn.XLOOKUP(B3,ADP!A2:A731,ADP!H2:H731)," ")</f>
        <v xml:space="preserve"> </v>
      </c>
      <c r="Q3" s="40">
        <f>IF(Settings!$E$12="YES",VLOOKUP(B3,'Player Data'!A1:E734,5,FALSE),82)</f>
        <v>82</v>
      </c>
      <c r="R3" s="38">
        <f>VLOOKUP(B3,'Player Data'!$A1:$AE734,6,FALSE)</f>
        <v>22.202629980880701</v>
      </c>
      <c r="S3" s="40">
        <f>VLOOKUP(B3,'Player Data'!$A1:$AE734,7,FALSE)*$Q3*IFERROR((VLOOKUP(P3,Settings!$E$28:$F$33,2,FALSE)+1),1)</f>
        <v>44.276898492921411</v>
      </c>
      <c r="T3" s="40">
        <f>VLOOKUP(B3,'Player Data'!$A1:$AE734,8,FALSE)*$Q3*IFERROR((VLOOKUP(P3,Settings!$E$28:$F$33,2,FALSE)+1),1)</f>
        <v>75.707402600389329</v>
      </c>
      <c r="U3" s="40">
        <f t="shared" si="4"/>
        <v>119.98430109331073</v>
      </c>
      <c r="V3" s="40">
        <f>VLOOKUP(B3,'Player Data'!$A1:$AE734,10,FALSE)*$Q3*IFERROR(((VLOOKUP(P3,Settings!$E$28:$F$33,2,FALSE)/2)+1),1)</f>
        <v>399.08699882141474</v>
      </c>
      <c r="W3" s="40">
        <f>VLOOKUP(B3,'Player Data'!$A1:$AE734,11,FALSE)*$Q3*IFERROR((VLOOKUP(P3,Settings!$E$28:$F$33,2,FALSE)+1),1)</f>
        <v>12.169665989434483</v>
      </c>
      <c r="X3" s="40">
        <f>VLOOKUP(B3,'Player Data'!$A1:$AE734,12,FALSE)*$Q3*IFERROR((VLOOKUP(P3,Settings!$E$28:$F$33,2,FALSE)+1),1)</f>
        <v>36.846573051553626</v>
      </c>
      <c r="Y3" s="40">
        <f>VLOOKUP(B3,'Player Data'!$A1:$AE734,13,FALSE)*$Q3</f>
        <v>3.481077357288722E-2</v>
      </c>
      <c r="Z3" s="40">
        <f>VLOOKUP(B3,'Player Data'!$A1:$AE734,14,FALSE)*$Q3</f>
        <v>6.4917175355180406E-2</v>
      </c>
      <c r="AA3" s="40">
        <f>VLOOKUP(B3,'Player Data'!$A1:$AE734,15,FALSE)*$Q3</f>
        <v>46.480349956227585</v>
      </c>
      <c r="AB3" s="40">
        <f>VLOOKUP(B3,'Player Data'!$A1:$AE734,16,FALSE)*$Q3</f>
        <v>68.357910290665998</v>
      </c>
      <c r="AC3" s="40">
        <f>VLOOKUP(B3,'Player Data'!$A1:$AE734,17,FALSE)*$Q3*IFERROR((VLOOKUP(P3,Settings!$E$28:$F$33,2,FALSE)+1),1)</f>
        <v>9.6694304425996336</v>
      </c>
      <c r="AD3" s="40">
        <f>VLOOKUP(B3,'Player Data'!$A1:$AE734,18,FALSE)*$Q3</f>
        <v>44.356672224204736</v>
      </c>
      <c r="AE3" s="40">
        <f>VLOOKUP(B3,'Player Data'!$A1:$AE734,19,FALSE)*$Q3*IFERROR((VLOOKUP(P3,Settings!$E$28:$F$33,2,FALSE)+1),1)</f>
        <v>7.0052724500926766</v>
      </c>
      <c r="AF3" s="40">
        <f>VLOOKUP(B3,'Player Data'!$A1:$AE734,20,FALSE)*$Q3</f>
        <v>577.9082422906672</v>
      </c>
      <c r="AG3" s="40">
        <f>VLOOKUP(B3,'Player Data'!$A1:$AE734,21,FALSE)*$Q3</f>
        <v>693.16719249414507</v>
      </c>
      <c r="AH3" s="41">
        <f>VLOOKUP(B3,'Player Data'!$A1:$AE734,22,FALSE)</f>
        <v>0.45466085369552001</v>
      </c>
      <c r="AI3" s="38"/>
      <c r="AJ3" s="42"/>
      <c r="AK3" s="43"/>
      <c r="AL3" s="40"/>
      <c r="AM3" s="40"/>
      <c r="AN3" s="40"/>
      <c r="AO3" s="40"/>
      <c r="AP3" s="40"/>
      <c r="AQ3" s="43"/>
      <c r="AR3" s="44"/>
      <c r="AS3" s="38"/>
    </row>
    <row r="4" spans="1:45" ht="21.2" customHeight="1">
      <c r="A4" s="181">
        <f t="shared" si="0"/>
        <v>3</v>
      </c>
      <c r="B4" s="8" t="s">
        <v>105</v>
      </c>
      <c r="C4" s="31" t="s">
        <v>104</v>
      </c>
      <c r="D4" s="32" t="str">
        <f>VLOOKUP(B4,'Player Data'!A1:D734,4,FALSE)</f>
        <v>C,LW</v>
      </c>
      <c r="E4" s="45">
        <f>VLOOKUP(B4,LW!A1:C227,3,FALSE)</f>
        <v>1</v>
      </c>
      <c r="F4" s="34" t="str">
        <f>VLOOKUP(B4,'Player Data'!A1:B734,2,FALSE)</f>
        <v>EDM</v>
      </c>
      <c r="G4" s="9">
        <f>VLOOKUP(B4,'Player Data'!A1:D734,3,FALSE)</f>
        <v>27</v>
      </c>
      <c r="H4" s="35">
        <f>IFERROR(VLOOKUP(B4,ADP!A1:G731,7,FALSE)/1000000,VLOOKUP(B4,ADP!A1:G731,7,FALSE))</f>
        <v>8.5</v>
      </c>
      <c r="I4" s="36">
        <f>IF(Settings!$E$15="POINTS",((R4*Q4)*Settings!$B$12)+(S4*Settings!$B$2)+(T4*Settings!$B$3)+(U4*Settings!$B$4)+(V4*Settings!$B$5)+(X4*Settings!$B$9)+(AA4*Settings!$B$6)+(W4*Settings!$B$8)+(AB4*Settings!$B$7)+(AC4*Settings!$B$14)+(AD4*Settings!$B$15)+(AE4*Settings!$B$16)+(AF4*Settings!$B$17)+(AG4*Settings!$B$18)+(Y4*Settings!$B$10)+(Z4*Settings!$B$11),VLOOKUP(B4,'Standard Deviations'!A1:C731,3,FALSE))</f>
        <v>16.883257255265598</v>
      </c>
      <c r="J4" s="37">
        <f t="shared" si="1"/>
        <v>0.20589338116177558</v>
      </c>
      <c r="K4" s="183">
        <f>IF(Settings!$E$18="C/LW/RW",VLOOKUP(B4,LW!A1:F227,6,FALSE),VLOOKUP(B4,F!A1:F431,6,FALSE))</f>
        <v>10.228588211141197</v>
      </c>
      <c r="L4" s="36">
        <f t="shared" si="2"/>
        <v>1.2033633189577879</v>
      </c>
      <c r="M4" s="38">
        <f>IF(Settings!$E$9="YAHOO",VLOOKUP(B4,ADP!A1:E731,2,FALSE),IF(Settings!$E$9="ESPN",VLOOKUP(B4,ADP!A1:E731,3,FALSE),IF(Settings!$E$9="FANTRAX",VLOOKUP(B4,ADP!A1:E731,4,FALSE),VLOOKUP(B4,ADP!A1:E731,5,FALSE))))</f>
        <v>2.4900000000000002</v>
      </c>
      <c r="N4" s="38">
        <f t="shared" si="3"/>
        <v>-0.50999999999999979</v>
      </c>
      <c r="O4" s="38"/>
      <c r="P4" s="39" t="str">
        <f>IF(Settings!$E$27="ON",_xlfn.XLOOKUP(B4,ADP!A2:A731,ADP!H2:H731)," ")</f>
        <v xml:space="preserve"> </v>
      </c>
      <c r="Q4" s="40">
        <f>IF(Settings!$E$12="YES",VLOOKUP(B4,'Player Data'!A1:E734,5,FALSE),82)</f>
        <v>82</v>
      </c>
      <c r="R4" s="38">
        <f>VLOOKUP(B4,'Player Data'!$A1:$AE734,6,FALSE)</f>
        <v>21.669641814024398</v>
      </c>
      <c r="S4" s="40">
        <f>VLOOKUP(B4,'Player Data'!$A1:$AE734,7,FALSE)*$Q4*IFERROR((VLOOKUP(P4,Settings!$E$28:$F$33,2,FALSE)+1),1)</f>
        <v>51.981084731157395</v>
      </c>
      <c r="T4" s="40">
        <f>VLOOKUP(B4,'Player Data'!$A1:$AE734,8,FALSE)*$Q4*IFERROR((VLOOKUP(P4,Settings!$E$28:$F$33,2,FALSE)+1),1)</f>
        <v>69.378428896977795</v>
      </c>
      <c r="U4" s="40">
        <f t="shared" si="4"/>
        <v>121.35951362813519</v>
      </c>
      <c r="V4" s="40">
        <f>VLOOKUP(B4,'Player Data'!$A1:$AE734,10,FALSE)*$Q4*IFERROR(((VLOOKUP(P4,Settings!$E$28:$F$33,2,FALSE)/2)+1),1)</f>
        <v>257.49083886271075</v>
      </c>
      <c r="W4" s="40">
        <f>VLOOKUP(B4,'Player Data'!$A1:$AE734,11,FALSE)*$Q4*IFERROR((VLOOKUP(P4,Settings!$E$28:$F$33,2,FALSE)+1),1)</f>
        <v>27.671930905616716</v>
      </c>
      <c r="X4" s="40">
        <f>VLOOKUP(B4,'Player Data'!$A1:$AE734,12,FALSE)*$Q4*IFERROR((VLOOKUP(P4,Settings!$E$28:$F$33,2,FALSE)+1),1)</f>
        <v>52.992491695157177</v>
      </c>
      <c r="Y4" s="40">
        <f>VLOOKUP(B4,'Player Data'!$A1:$AE734,13,FALSE)*$Q4</f>
        <v>0.66971513581373532</v>
      </c>
      <c r="Z4" s="40">
        <f>VLOOKUP(B4,'Player Data'!$A1:$AE734,14,FALSE)*$Q4</f>
        <v>1.0532817102722216</v>
      </c>
      <c r="AA4" s="40">
        <f>VLOOKUP(B4,'Player Data'!$A1:$AE734,15,FALSE)*$Q4</f>
        <v>35.531567872484771</v>
      </c>
      <c r="AB4" s="40">
        <f>VLOOKUP(B4,'Player Data'!$A1:$AE734,16,FALSE)*$Q4</f>
        <v>62.091642125414133</v>
      </c>
      <c r="AC4" s="40">
        <f>VLOOKUP(B4,'Player Data'!$A1:$AE734,17,FALSE)*$Q4*IFERROR((VLOOKUP(P4,Settings!$E$28:$F$33,2,FALSE)+1),1)</f>
        <v>7.0418148526639719</v>
      </c>
      <c r="AD4" s="40">
        <f>VLOOKUP(B4,'Player Data'!$A1:$AE734,18,FALSE)*$Q4</f>
        <v>32.878843682531915</v>
      </c>
      <c r="AE4" s="40">
        <f>VLOOKUP(B4,'Player Data'!$A1:$AE734,19,FALSE)*$Q4*IFERROR((VLOOKUP(P4,Settings!$E$28:$F$33,2,FALSE)+1),1)</f>
        <v>8.2280476636165005</v>
      </c>
      <c r="AF4" s="40">
        <f>VLOOKUP(B4,'Player Data'!$A1:$AE734,20,FALSE)*$Q4</f>
        <v>829.40627735804071</v>
      </c>
      <c r="AG4" s="40">
        <f>VLOOKUP(B4,'Player Data'!$A1:$AE734,21,FALSE)*$Q4</f>
        <v>692.99736939630861</v>
      </c>
      <c r="AH4" s="41">
        <f>VLOOKUP(B4,'Player Data'!$A1:$AE734,22,FALSE)</f>
        <v>0.54480050617736797</v>
      </c>
      <c r="AI4" s="38"/>
      <c r="AJ4" s="40"/>
      <c r="AK4" s="40"/>
      <c r="AL4" s="40"/>
      <c r="AM4" s="40"/>
      <c r="AN4" s="40"/>
      <c r="AO4" s="40"/>
      <c r="AP4" s="40"/>
      <c r="AQ4" s="43"/>
      <c r="AR4" s="44"/>
      <c r="AS4" s="38"/>
    </row>
    <row r="5" spans="1:45" ht="21.2" customHeight="1">
      <c r="A5" s="181">
        <f t="shared" si="0"/>
        <v>4</v>
      </c>
      <c r="B5" s="8" t="s">
        <v>108</v>
      </c>
      <c r="C5" s="31" t="s">
        <v>104</v>
      </c>
      <c r="D5" s="32" t="str">
        <f>VLOOKUP(B5,'Player Data'!A1:D734,4,FALSE)</f>
        <v>C</v>
      </c>
      <c r="E5" s="33">
        <f>VLOOKUP(B5,'C'!A1:C208,3,FALSE)</f>
        <v>4</v>
      </c>
      <c r="F5" s="34" t="str">
        <f>VLOOKUP(B5,'Player Data'!A1:B734,2,FALSE)</f>
        <v>TOR</v>
      </c>
      <c r="G5" s="9">
        <f>VLOOKUP(B5,'Player Data'!A1:D734,3,FALSE)</f>
        <v>25</v>
      </c>
      <c r="H5" s="35">
        <f>IFERROR(VLOOKUP(B5,ADP!A1:G731,7,FALSE)/1000000,VLOOKUP(B5,ADP!A1:G731,7,FALSE))</f>
        <v>11.64025</v>
      </c>
      <c r="I5" s="36">
        <f>IF(Settings!$E$15="POINTS",((R5*Q5)*Settings!$B$12)+(S5*Settings!$B$2)+(T5*Settings!$B$3)+(U5*Settings!$B$4)+(V5*Settings!$B$5)+(X5*Settings!$B$9)+(AA5*Settings!$B$6)+(W5*Settings!$B$8)+(AB5*Settings!$B$7)+(AC5*Settings!$B$14)+(AD5*Settings!$B$15)+(AE5*Settings!$B$16)+(AF5*Settings!$B$17)+(AG5*Settings!$B$18)+(Y5*Settings!$B$10)+(Z5*Settings!$B$11),VLOOKUP(B5,'Standard Deviations'!A1:C731,3,FALSE))</f>
        <v>15.483290898810141</v>
      </c>
      <c r="J5" s="37">
        <f t="shared" si="1"/>
        <v>0.18882062071719685</v>
      </c>
      <c r="K5" s="183">
        <f>IF(Settings!$E$18="C/LW/RW",VLOOKUP(B5,'C'!A1:F208,6,FALSE),VLOOKUP(B5,F!A1:F431,6,FALSE))</f>
        <v>9.1462401746035376</v>
      </c>
      <c r="L5" s="36">
        <f t="shared" si="2"/>
        <v>0.78574258925740748</v>
      </c>
      <c r="M5" s="38">
        <f>IF(Settings!$E$9="YAHOO",VLOOKUP(B5,ADP!A1:E731,2,FALSE),IF(Settings!$E$9="ESPN",VLOOKUP(B5,ADP!A1:E731,3,FALSE),IF(Settings!$E$9="FANTRAX",VLOOKUP(B5,ADP!A1:E731,4,FALSE),VLOOKUP(B5,ADP!A1:E731,5,FALSE))))</f>
        <v>4.68</v>
      </c>
      <c r="N5" s="38">
        <f t="shared" si="3"/>
        <v>0.67999999999999972</v>
      </c>
      <c r="O5" s="38"/>
      <c r="P5" s="39" t="str">
        <f>IF(Settings!$E$27="ON",_xlfn.XLOOKUP(B5,ADP!A2:A731,ADP!H2:H731)," ")</f>
        <v>+</v>
      </c>
      <c r="Q5" s="40">
        <f>IF(Settings!$E$12="YES",VLOOKUP(B5,'Player Data'!A1:E734,5,FALSE),82)</f>
        <v>82</v>
      </c>
      <c r="R5" s="38">
        <f>VLOOKUP(B5,'Player Data'!$A1:$AE734,6,FALSE)</f>
        <v>20.3388111305526</v>
      </c>
      <c r="S5" s="40">
        <f>VLOOKUP(B5,'Player Data'!$A1:$AE734,7,FALSE)*$Q5*IFERROR((VLOOKUP(P5,Settings!$E$28:$F$33,2,FALSE)+1),1)</f>
        <v>56.262038775534471</v>
      </c>
      <c r="T5" s="40">
        <f>VLOOKUP(B5,'Player Data'!$A1:$AE734,8,FALSE)*$Q5*IFERROR((VLOOKUP(P5,Settings!$E$28:$F$33,2,FALSE)+1),1)</f>
        <v>53.286113340645983</v>
      </c>
      <c r="U5" s="40">
        <f t="shared" si="4"/>
        <v>109.54815211618046</v>
      </c>
      <c r="V5" s="40">
        <f>VLOOKUP(B5,'Player Data'!$A1:$AE734,10,FALSE)*$Q5*IFERROR(((VLOOKUP(P5,Settings!$E$28:$F$33,2,FALSE)/2)+1),1)</f>
        <v>365.54704304572618</v>
      </c>
      <c r="W5" s="40">
        <f>VLOOKUP(B5,'Player Data'!$A1:$AE734,11,FALSE)*$Q5*IFERROR((VLOOKUP(P5,Settings!$E$28:$F$33,2,FALSE)+1),1)</f>
        <v>16.980970460658718</v>
      </c>
      <c r="X5" s="40">
        <f>VLOOKUP(B5,'Player Data'!$A1:$AE734,12,FALSE)*$Q5*IFERROR((VLOOKUP(P5,Settings!$E$28:$F$33,2,FALSE)+1),1)</f>
        <v>33.68071117627408</v>
      </c>
      <c r="Y5" s="40">
        <f>VLOOKUP(B5,'Player Data'!$A1:$AE734,13,FALSE)*$Q5</f>
        <v>1.8915333754143601E-2</v>
      </c>
      <c r="Z5" s="40">
        <f>VLOOKUP(B5,'Player Data'!$A1:$AE734,14,FALSE)*$Q5</f>
        <v>3.6790013856060878E-2</v>
      </c>
      <c r="AA5" s="40">
        <f>VLOOKUP(B5,'Player Data'!$A1:$AE734,15,FALSE)*$Q5</f>
        <v>85.016865093450008</v>
      </c>
      <c r="AB5" s="40">
        <f>VLOOKUP(B5,'Player Data'!$A1:$AE734,16,FALSE)*$Q5</f>
        <v>79.789934998983938</v>
      </c>
      <c r="AC5" s="40">
        <f>VLOOKUP(B5,'Player Data'!$A1:$AE734,17,FALSE)*$Q5*IFERROR((VLOOKUP(P5,Settings!$E$28:$F$33,2,FALSE)+1),1)</f>
        <v>12.930476613517339</v>
      </c>
      <c r="AD5" s="40">
        <f>VLOOKUP(B5,'Player Data'!$A1:$AE734,18,FALSE)*$Q5</f>
        <v>23.226742073659764</v>
      </c>
      <c r="AE5" s="40">
        <f>VLOOKUP(B5,'Player Data'!$A1:$AE734,19,FALSE)*$Q5*IFERROR((VLOOKUP(P5,Settings!$E$28:$F$33,2,FALSE)+1),1)</f>
        <v>9.0384815750663705</v>
      </c>
      <c r="AF5" s="40">
        <f>VLOOKUP(B5,'Player Data'!$A1:$AE734,20,FALSE)*$Q5</f>
        <v>649.68111536772665</v>
      </c>
      <c r="AG5" s="40">
        <f>VLOOKUP(B5,'Player Data'!$A1:$AE734,21,FALSE)*$Q5</f>
        <v>559.25271685066616</v>
      </c>
      <c r="AH5" s="41">
        <f>VLOOKUP(B5,'Player Data'!$A1:$AE734,22,FALSE)</f>
        <v>0.53740006115600403</v>
      </c>
      <c r="AI5" s="38"/>
      <c r="AJ5" s="42"/>
      <c r="AK5" s="40"/>
      <c r="AL5" s="40"/>
      <c r="AM5" s="40"/>
      <c r="AN5" s="40"/>
      <c r="AO5" s="40"/>
      <c r="AP5" s="40"/>
      <c r="AQ5" s="43"/>
      <c r="AR5" s="44"/>
      <c r="AS5" s="42"/>
    </row>
    <row r="6" spans="1:45" ht="21.2" customHeight="1">
      <c r="A6" s="181">
        <f t="shared" si="0"/>
        <v>5</v>
      </c>
      <c r="B6" s="8" t="s">
        <v>112</v>
      </c>
      <c r="C6" s="31" t="s">
        <v>104</v>
      </c>
      <c r="D6" s="32" t="str">
        <f>VLOOKUP(B6,'Player Data'!A1:D734,4,FALSE)</f>
        <v>D</v>
      </c>
      <c r="E6" s="47">
        <f>VLOOKUP(B6,D!A1:C229,3,FALSE)</f>
        <v>1</v>
      </c>
      <c r="F6" s="34" t="str">
        <f>VLOOKUP(B6,'Player Data'!A1:B734,2,FALSE)</f>
        <v>COL</v>
      </c>
      <c r="G6" s="9">
        <f>VLOOKUP(B6,'Player Data'!A1:D734,3,FALSE)</f>
        <v>24</v>
      </c>
      <c r="H6" s="35">
        <f>IFERROR(VLOOKUP(B6,ADP!A1:G731,7,FALSE)/1000000,VLOOKUP(B6,ADP!A1:G731,7,FALSE))</f>
        <v>9</v>
      </c>
      <c r="I6" s="36">
        <f>IF(Settings!$E$15="POINTS",((R6*Q6)*Settings!$B$12)+(S6*Settings!$B$2)+(T6*Settings!$B$3)+(U6*Settings!$B$4)+(V6*Settings!$B$5)+(X6*Settings!$B$9)+(AA6*Settings!$B$6)+(W6*Settings!$B$8)+(AB6*Settings!$B$7)+(AC6*Settings!$B$14)+(AD6*Settings!$B$15)+(AE6*Settings!$B$16)+(AF6*Settings!$B$17)+(AG6*Settings!$B$18)+(U6*Settings!$B$13)+(Y6*Settings!$B$10)+(Z6*Settings!$B$11),VLOOKUP(B6,'Standard Deviations'!A1:C731,3,FALSE))</f>
        <v>10.908265501872471</v>
      </c>
      <c r="J6" s="37">
        <f t="shared" si="1"/>
        <v>0.1330276280716155</v>
      </c>
      <c r="K6" s="183">
        <f>VLOOKUP(B6,D!A1:F229,6,FALSE)</f>
        <v>8.9665249582381605</v>
      </c>
      <c r="L6" s="36">
        <f t="shared" si="2"/>
        <v>0.99628055091535117</v>
      </c>
      <c r="M6" s="38">
        <f>IF(Settings!$E$9="YAHOO",VLOOKUP(B6,ADP!A1:E731,2,FALSE),IF(Settings!$E$9="ESPN",VLOOKUP(B6,ADP!A1:E731,3,FALSE),IF(Settings!$E$9="FANTRAX",VLOOKUP(B6,ADP!A1:E731,4,FALSE),VLOOKUP(B6,ADP!A1:E731,5,FALSE))))</f>
        <v>14.96</v>
      </c>
      <c r="N6" s="38">
        <f t="shared" si="3"/>
        <v>9.9600000000000009</v>
      </c>
      <c r="O6" s="38"/>
      <c r="P6" s="39" t="str">
        <f>IF(Settings!$E$27="ON",_xlfn.XLOOKUP(B6,ADP!A2:A731,ADP!H2:H731)," ")</f>
        <v>+</v>
      </c>
      <c r="Q6" s="40">
        <f>IF(Settings!$E$12="YES",VLOOKUP(B6,'Player Data'!A1:E734,5,FALSE),82)</f>
        <v>82</v>
      </c>
      <c r="R6" s="38">
        <f>VLOOKUP(B6,'Player Data'!$A1:$AE734,6,FALSE)</f>
        <v>26.22436151969</v>
      </c>
      <c r="S6" s="40">
        <f>VLOOKUP(B6,'Player Data'!$A1:$AE734,7,FALSE)*$Q6*IFERROR((VLOOKUP(P6,Settings!$E$28:$F$33,2,FALSE)+1),1)</f>
        <v>24.111258952426372</v>
      </c>
      <c r="T6" s="40">
        <f>VLOOKUP(B6,'Player Data'!$A1:$AE734,8,FALSE)*$Q6*IFERROR((VLOOKUP(P6,Settings!$E$28:$F$33,2,FALSE)+1),1)</f>
        <v>67.045702762329128</v>
      </c>
      <c r="U6" s="40">
        <f t="shared" si="4"/>
        <v>91.156961714755496</v>
      </c>
      <c r="V6" s="40">
        <f>VLOOKUP(B6,'Player Data'!$A1:$AE734,10,FALSE)*$Q6*IFERROR(((VLOOKUP(P6,Settings!$E$28:$F$33,2,FALSE)/2)+1),1)</f>
        <v>237.16849375023608</v>
      </c>
      <c r="W6" s="40">
        <f>VLOOKUP(B6,'Player Data'!$A1:$AE734,11,FALSE)*$Q6*IFERROR((VLOOKUP(P6,Settings!$E$28:$F$33,2,FALSE)+1),1)</f>
        <v>7.7742601317584121</v>
      </c>
      <c r="X6" s="40">
        <f>VLOOKUP(B6,'Player Data'!$A1:$AE734,12,FALSE)*$Q6*IFERROR((VLOOKUP(P6,Settings!$E$28:$F$33,2,FALSE)+1),1)</f>
        <v>38.400418441419056</v>
      </c>
      <c r="Y6" s="40">
        <f>VLOOKUP(B6,'Player Data'!$A1:$AE734,13,FALSE)*$Q6</f>
        <v>6.5556615447245517E-2</v>
      </c>
      <c r="Z6" s="40">
        <f>VLOOKUP(B6,'Player Data'!$A1:$AE734,14,FALSE)*$Q6</f>
        <v>0.46624422708008828</v>
      </c>
      <c r="AA6" s="40">
        <f>VLOOKUP(B6,'Player Data'!$A1:$AE734,15,FALSE)*$Q6</f>
        <v>117.17205834418468</v>
      </c>
      <c r="AB6" s="40">
        <f>VLOOKUP(B6,'Player Data'!$A1:$AE734,16,FALSE)*$Q6</f>
        <v>97.06343726333462</v>
      </c>
      <c r="AC6" s="40">
        <f>VLOOKUP(B6,'Player Data'!$A1:$AE734,17,FALSE)*$Q6*IFERROR((VLOOKUP(P6,Settings!$E$28:$F$33,2,FALSE)+1),1)</f>
        <v>10.018787217020911</v>
      </c>
      <c r="AD6" s="40">
        <f>VLOOKUP(B6,'Player Data'!$A1:$AE734,18,FALSE)*$Q6</f>
        <v>35.833437871654631</v>
      </c>
      <c r="AE6" s="40">
        <f>VLOOKUP(B6,'Player Data'!$A1:$AE734,19,FALSE)*$Q6*IFERROR((VLOOKUP(P6,Settings!$E$28:$F$33,2,FALSE)+1),1)</f>
        <v>3.8147644443407964</v>
      </c>
      <c r="AF6" s="40">
        <f>VLOOKUP(B6,'Player Data'!$A1:$AE734,20,FALSE)*$Q6</f>
        <v>0</v>
      </c>
      <c r="AG6" s="40">
        <f>VLOOKUP(B6,'Player Data'!$A1:$AE734,21,FALSE)*$Q6</f>
        <v>0</v>
      </c>
      <c r="AH6" s="41">
        <f>VLOOKUP(B6,'Player Data'!$A1:$AE734,22,FALSE)</f>
        <v>0</v>
      </c>
      <c r="AI6" s="38"/>
      <c r="AJ6" s="42"/>
      <c r="AK6" s="40"/>
      <c r="AL6" s="40"/>
      <c r="AM6" s="40"/>
      <c r="AN6" s="40"/>
      <c r="AO6" s="40"/>
      <c r="AP6" s="40"/>
      <c r="AQ6" s="43"/>
      <c r="AR6" s="44"/>
      <c r="AS6" s="38"/>
    </row>
    <row r="7" spans="1:45" s="201" customFormat="1" ht="21.2" customHeight="1">
      <c r="A7" s="185">
        <f t="shared" si="0"/>
        <v>6</v>
      </c>
      <c r="B7" s="186" t="s">
        <v>110</v>
      </c>
      <c r="C7" s="187" t="s">
        <v>104</v>
      </c>
      <c r="D7" s="188" t="str">
        <f>VLOOKUP(B7,'Player Data'!A1:D734,4,FALSE)</f>
        <v>RW</v>
      </c>
      <c r="E7" s="202">
        <f>VLOOKUP(B7,RW!A1:F189,3,FALSE)</f>
        <v>1</v>
      </c>
      <c r="F7" s="189" t="str">
        <f>VLOOKUP(B7,'Player Data'!A1:B734,2,FALSE)</f>
        <v>TBL</v>
      </c>
      <c r="G7" s="190">
        <f>VLOOKUP(B7,'Player Data'!A1:D734,3,FALSE)</f>
        <v>30</v>
      </c>
      <c r="H7" s="191">
        <f>IFERROR(VLOOKUP(B7,ADP!A1:G731,7,FALSE)/1000000,VLOOKUP(B7,ADP!A1:G731,7,FALSE))</f>
        <v>9.5</v>
      </c>
      <c r="I7" s="192">
        <f>IF(Settings!$E$15="POINTS",((R7*Q7)*Settings!$B$12)+(S7*Settings!$B$2)+(T7*Settings!$B$3)+(U7*Settings!$B$4)+(V7*Settings!$B$5)+(X7*Settings!$B$9)+(AA7*Settings!$B$6)+(W7*Settings!$B$8)+(AB7*Settings!$B$7)+(AC7*Settings!$B$14)+(AD7*Settings!$B$15)+(AE7*Settings!$B$16)+(AF7*Settings!$B$17)+(AG7*Settings!$B$18)+(Y7*Settings!$B$10)+(Z7*Settings!$B$11),VLOOKUP(B7,'Standard Deviations'!A1:C731,3,FALSE))</f>
        <v>14.394723954666029</v>
      </c>
      <c r="J7" s="193">
        <f t="shared" si="1"/>
        <v>0.17554541408129304</v>
      </c>
      <c r="K7" s="194">
        <f>IF(Settings!$E$18="C/LW/RW",VLOOKUP(B7,RW!A1:F189,6,FALSE),VLOOKUP(B7,F!A1:F431,6,FALSE))</f>
        <v>8.1144652356549472</v>
      </c>
      <c r="L7" s="192">
        <f t="shared" si="2"/>
        <v>0.85415423533209967</v>
      </c>
      <c r="M7" s="195">
        <f>IF(Settings!$E$9="YAHOO",VLOOKUP(B7,ADP!A1:E731,2,FALSE),IF(Settings!$E$9="ESPN",VLOOKUP(B7,ADP!A1:E731,3,FALSE),IF(Settings!$E$9="FANTRAX",VLOOKUP(B7,ADP!A1:E731,4,FALSE),VLOOKUP(B7,ADP!A1:E731,5,FALSE))))</f>
        <v>9.49</v>
      </c>
      <c r="N7" s="195">
        <f t="shared" si="3"/>
        <v>3.49</v>
      </c>
      <c r="O7" s="195"/>
      <c r="P7" s="196" t="str">
        <f>IF(Settings!$E$27="ON",_xlfn.XLOOKUP(B7,ADP!A2:A731,ADP!H2:H731)," ")</f>
        <v xml:space="preserve"> </v>
      </c>
      <c r="Q7" s="197">
        <f>IF(Settings!$E$12="YES",VLOOKUP(B7,'Player Data'!A1:E734,5,FALSE),82)</f>
        <v>82</v>
      </c>
      <c r="R7" s="195">
        <f>VLOOKUP(B7,'Player Data'!$A1:$AE734,6,FALSE)</f>
        <v>20.126276658841501</v>
      </c>
      <c r="S7" s="197">
        <f>VLOOKUP(B7,'Player Data'!$A1:$AE734,7,FALSE)*$Q7*IFERROR((VLOOKUP(P7,Settings!$E$28:$F$33,2,FALSE)+1),1)</f>
        <v>32.879783195972692</v>
      </c>
      <c r="T7" s="197">
        <f>VLOOKUP(B7,'Player Data'!$A1:$AE734,8,FALSE)*$Q7*IFERROR((VLOOKUP(P7,Settings!$E$28:$F$33,2,FALSE)+1),1)</f>
        <v>75.719573417820726</v>
      </c>
      <c r="U7" s="197">
        <f t="shared" si="4"/>
        <v>108.59935661379342</v>
      </c>
      <c r="V7" s="197">
        <f>VLOOKUP(B7,'Player Data'!$A1:$AE734,10,FALSE)*$Q7*IFERROR(((VLOOKUP(P7,Settings!$E$28:$F$33,2,FALSE)/2)+1),1)</f>
        <v>269.99811212929808</v>
      </c>
      <c r="W7" s="197">
        <f>VLOOKUP(B7,'Player Data'!$A1:$AE734,11,FALSE)*$Q7*IFERROR((VLOOKUP(P7,Settings!$E$28:$F$33,2,FALSE)+1),1)</f>
        <v>9.5072230128421822</v>
      </c>
      <c r="X7" s="197">
        <f>VLOOKUP(B7,'Player Data'!$A1:$AE734,12,FALSE)*$Q7*IFERROR((VLOOKUP(P7,Settings!$E$28:$F$33,2,FALSE)+1),1)</f>
        <v>45.353360267644398</v>
      </c>
      <c r="Y7" s="197">
        <f>VLOOKUP(B7,'Player Data'!$A1:$AE734,13,FALSE)*$Q7</f>
        <v>4.0645243562910218E-3</v>
      </c>
      <c r="Z7" s="197">
        <f>VLOOKUP(B7,'Player Data'!$A1:$AE734,14,FALSE)*$Q7</f>
        <v>7.2819463826122033E-3</v>
      </c>
      <c r="AA7" s="197">
        <f>VLOOKUP(B7,'Player Data'!$A1:$AE734,15,FALSE)*$Q7</f>
        <v>26.53846441085577</v>
      </c>
      <c r="AB7" s="197">
        <f>VLOOKUP(B7,'Player Data'!$A1:$AE734,16,FALSE)*$Q7</f>
        <v>59.929271112204127</v>
      </c>
      <c r="AC7" s="197">
        <f>VLOOKUP(B7,'Player Data'!$A1:$AE734,17,FALSE)*$Q7*IFERROR((VLOOKUP(P7,Settings!$E$28:$F$33,2,FALSE)+1),1)</f>
        <v>1.5943653567038134</v>
      </c>
      <c r="AD7" s="197">
        <f>VLOOKUP(B7,'Player Data'!$A1:$AE734,18,FALSE)*$Q7</f>
        <v>37.712085883544574</v>
      </c>
      <c r="AE7" s="197">
        <f>VLOOKUP(B7,'Player Data'!$A1:$AE734,19,FALSE)*$Q7*IFERROR((VLOOKUP(P7,Settings!$E$28:$F$33,2,FALSE)+1),1)</f>
        <v>5.1456980137715203</v>
      </c>
      <c r="AF7" s="197">
        <f>VLOOKUP(B7,'Player Data'!$A1:$AE734,20,FALSE)*$Q7</f>
        <v>1.9739997099532722</v>
      </c>
      <c r="AG7" s="197">
        <f>VLOOKUP(B7,'Player Data'!$A1:$AE734,21,FALSE)*$Q7</f>
        <v>0</v>
      </c>
      <c r="AH7" s="198">
        <f>VLOOKUP(B7,'Player Data'!$A1:$AE734,22,FALSE)</f>
        <v>1</v>
      </c>
      <c r="AI7" s="195"/>
      <c r="AJ7" s="197"/>
      <c r="AK7" s="197"/>
      <c r="AL7" s="197"/>
      <c r="AM7" s="197"/>
      <c r="AN7" s="197"/>
      <c r="AO7" s="197"/>
      <c r="AP7" s="197"/>
      <c r="AQ7" s="199"/>
      <c r="AR7" s="200"/>
      <c r="AS7" s="195"/>
    </row>
    <row r="8" spans="1:45" s="255" customFormat="1" ht="21.2" customHeight="1">
      <c r="A8" s="238">
        <f t="shared" si="0"/>
        <v>7</v>
      </c>
      <c r="B8" s="239" t="s">
        <v>109</v>
      </c>
      <c r="C8" s="240" t="s">
        <v>104</v>
      </c>
      <c r="D8" s="241" t="str">
        <f>VLOOKUP(B8,'Player Data'!A1:D734,4,FALSE)</f>
        <v>RW</v>
      </c>
      <c r="E8" s="242">
        <f>VLOOKUP(B8,RW!A1:F189,3,FALSE)</f>
        <v>2</v>
      </c>
      <c r="F8" s="243" t="str">
        <f>VLOOKUP(B8,'Player Data'!A1:B734,2,FALSE)</f>
        <v>BOS</v>
      </c>
      <c r="G8" s="244">
        <f>VLOOKUP(B8,'Player Data'!A1:D734,3,FALSE)</f>
        <v>27</v>
      </c>
      <c r="H8" s="245">
        <f>IFERROR(VLOOKUP(B8,ADP!A1:G731,7,FALSE)/1000000,VLOOKUP(B8,ADP!A1:G731,7,FALSE))</f>
        <v>11.25</v>
      </c>
      <c r="I8" s="246">
        <f>IF(Settings!$E$15="POINTS",((R8*Q8)*Settings!$B$12)+(S8*Settings!$B$2)+(T8*Settings!$B$3)+(U8*Settings!$B$4)+(V8*Settings!$B$5)+(X8*Settings!$B$9)+(AA8*Settings!$B$6)+(W8*Settings!$B$8)+(AB8*Settings!$B$7)+(AC8*Settings!$B$14)+(AD8*Settings!$B$15)+(AE8*Settings!$B$16)+(AF8*Settings!$B$17)+(AG8*Settings!$B$18)+(Y8*Settings!$B$10)+(Z8*Settings!$B$11),VLOOKUP(B8,'Standard Deviations'!A1:C731,3,FALSE))</f>
        <v>14.307865123333888</v>
      </c>
      <c r="J8" s="247">
        <f t="shared" si="1"/>
        <v>0.17448616004065717</v>
      </c>
      <c r="K8" s="246">
        <f>IF(Settings!$E$18="C/LW/RW",VLOOKUP(B8,RW!A1:F189,6,FALSE),VLOOKUP(B8,F!A1:F431,6,FALSE))</f>
        <v>8.0276064043228068</v>
      </c>
      <c r="L8" s="246">
        <f t="shared" si="2"/>
        <v>0.71356501371758285</v>
      </c>
      <c r="M8" s="248">
        <f>IF(Settings!$E$9="YAHOO",VLOOKUP(B8,ADP!A1:E731,2,FALSE),IF(Settings!$E$9="ESPN",VLOOKUP(B8,ADP!A1:E731,3,FALSE),IF(Settings!$E$9="FANTRAX",VLOOKUP(B8,ADP!A1:E731,4,FALSE),VLOOKUP(B8,ADP!A1:E731,5,FALSE))))</f>
        <v>5.05</v>
      </c>
      <c r="N8" s="248">
        <f t="shared" si="3"/>
        <v>-1.9500000000000002</v>
      </c>
      <c r="O8" s="248"/>
      <c r="P8" s="249" t="str">
        <f>IF(Settings!$E$27="ON",_xlfn.XLOOKUP(B8,ADP!A2:A731,ADP!H2:H731)," ")</f>
        <v xml:space="preserve"> </v>
      </c>
      <c r="Q8" s="250">
        <f>IF(Settings!$E$12="YES",VLOOKUP(B8,'Player Data'!A1:E734,5,FALSE),82)</f>
        <v>82</v>
      </c>
      <c r="R8" s="248">
        <f>VLOOKUP(B8,'Player Data'!$A1:$AE734,6,FALSE)</f>
        <v>19.436139692225598</v>
      </c>
      <c r="S8" s="250">
        <f>VLOOKUP(B8,'Player Data'!$A1:$AE734,7,FALSE)*$Q8*IFERROR((VLOOKUP(P8,Settings!$E$28:$F$33,2,FALSE)+1),1)</f>
        <v>50.864248120937681</v>
      </c>
      <c r="T8" s="250">
        <f>VLOOKUP(B8,'Player Data'!$A1:$AE734,8,FALSE)*$Q8*IFERROR((VLOOKUP(P8,Settings!$E$28:$F$33,2,FALSE)+1),1)</f>
        <v>49.08016752473543</v>
      </c>
      <c r="U8" s="250">
        <f t="shared" si="4"/>
        <v>99.944415645673104</v>
      </c>
      <c r="V8" s="250">
        <f>VLOOKUP(B8,'Player Data'!$A1:$AE734,10,FALSE)*$Q8*IFERROR(((VLOOKUP(P8,Settings!$E$28:$F$33,2,FALSE)/2)+1),1)</f>
        <v>377.46401136219617</v>
      </c>
      <c r="W8" s="250">
        <f>VLOOKUP(B8,'Player Data'!$A1:$AE734,11,FALSE)*$Q8*IFERROR((VLOOKUP(P8,Settings!$E$28:$F$33,2,FALSE)+1),1)</f>
        <v>15.836946843988686</v>
      </c>
      <c r="X8" s="250">
        <f>VLOOKUP(B8,'Player Data'!$A1:$AE734,12,FALSE)*$Q8*IFERROR((VLOOKUP(P8,Settings!$E$28:$F$33,2,FALSE)+1),1)</f>
        <v>32.389126844222503</v>
      </c>
      <c r="Y8" s="250">
        <f>VLOOKUP(B8,'Player Data'!$A1:$AE734,13,FALSE)*$Q8</f>
        <v>3.013778698974557E-2</v>
      </c>
      <c r="Z8" s="250">
        <f>VLOOKUP(B8,'Player Data'!$A1:$AE734,14,FALSE)*$Q8</f>
        <v>5.7456214199869515E-2</v>
      </c>
      <c r="AA8" s="250">
        <f>VLOOKUP(B8,'Player Data'!$A1:$AE734,15,FALSE)*$Q8</f>
        <v>29.881005953134462</v>
      </c>
      <c r="AB8" s="250">
        <f>VLOOKUP(B8,'Player Data'!$A1:$AE734,16,FALSE)*$Q8</f>
        <v>85.643108038166631</v>
      </c>
      <c r="AC8" s="250">
        <f>VLOOKUP(B8,'Player Data'!$A1:$AE734,17,FALSE)*$Q8*IFERROR((VLOOKUP(P8,Settings!$E$28:$F$33,2,FALSE)+1),1)</f>
        <v>7.101121617298209</v>
      </c>
      <c r="AD8" s="250">
        <f>VLOOKUP(B8,'Player Data'!$A1:$AE734,18,FALSE)*$Q8</f>
        <v>35.157597063068067</v>
      </c>
      <c r="AE8" s="250">
        <f>VLOOKUP(B8,'Player Data'!$A1:$AE734,19,FALSE)*$Q8*IFERROR((VLOOKUP(P8,Settings!$E$28:$F$33,2,FALSE)+1),1)</f>
        <v>8.5391062826177357</v>
      </c>
      <c r="AF8" s="250">
        <f>VLOOKUP(B8,'Player Data'!$A1:$AE734,20,FALSE)*$Q8</f>
        <v>7.057878426249049</v>
      </c>
      <c r="AG8" s="250">
        <f>VLOOKUP(B8,'Player Data'!$A1:$AE734,21,FALSE)*$Q8</f>
        <v>12.067627167189615</v>
      </c>
      <c r="AH8" s="251">
        <f>VLOOKUP(B8,'Player Data'!$A1:$AE734,22,FALSE)</f>
        <v>0.369029639073719</v>
      </c>
      <c r="AI8" s="248"/>
      <c r="AJ8" s="252"/>
      <c r="AK8" s="250"/>
      <c r="AL8" s="250"/>
      <c r="AM8" s="250"/>
      <c r="AN8" s="250"/>
      <c r="AO8" s="250"/>
      <c r="AP8" s="250"/>
      <c r="AQ8" s="253"/>
      <c r="AR8" s="254"/>
      <c r="AS8" s="248"/>
    </row>
    <row r="9" spans="1:45" ht="21.2" customHeight="1">
      <c r="A9" s="181">
        <f t="shared" si="0"/>
        <v>8</v>
      </c>
      <c r="B9" s="8" t="s">
        <v>107</v>
      </c>
      <c r="C9" s="31" t="s">
        <v>104</v>
      </c>
      <c r="D9" s="32" t="str">
        <f>VLOOKUP(B9,'Player Data'!A1:D734,4,FALSE)</f>
        <v>LW,RW</v>
      </c>
      <c r="E9" s="45">
        <f>VLOOKUP(B9,RW!A1:F189,3,FALSE)</f>
        <v>3</v>
      </c>
      <c r="F9" s="34" t="str">
        <f>VLOOKUP(B9,'Player Data'!A1:B734,2,FALSE)</f>
        <v>FLA</v>
      </c>
      <c r="G9" s="9">
        <f>VLOOKUP(B9,'Player Data'!A1:D734,3,FALSE)</f>
        <v>25</v>
      </c>
      <c r="H9" s="35">
        <f>IFERROR(VLOOKUP(B9,ADP!A1:G731,7,FALSE)/1000000,VLOOKUP(B9,ADP!A1:G731,7,FALSE))</f>
        <v>9.5</v>
      </c>
      <c r="I9" s="36">
        <f>IF(Settings!$E$15="POINTS",((R9*Q9)*Settings!$B$12)+(S9*Settings!$B$2)+(T9*Settings!$B$3)+(U9*Settings!$B$4)+(V9*Settings!$B$5)+(X9*Settings!$B$9)+(AA9*Settings!$B$6)+(W9*Settings!$B$8)+(AB9*Settings!$B$7)+(AC9*Settings!$B$14)+(AD9*Settings!$B$15)+(AE9*Settings!$B$16)+(AF9*Settings!$B$17)+(AG9*Settings!$B$18)+(Y9*Settings!$B$10)+(Z9*Settings!$B$11),VLOOKUP(B9,'Standard Deviations'!A1:C731,3,FALSE))</f>
        <v>14.152386882929994</v>
      </c>
      <c r="J9" s="37">
        <f t="shared" si="1"/>
        <v>0.17259008393817066</v>
      </c>
      <c r="K9" s="183">
        <f>IF(Settings!$E$18="C/LW/RW",VLOOKUP(B9,RW!A1:F189,6,FALSE),VLOOKUP(B9,F!A1:F431,6,FALSE))</f>
        <v>7.8721281639189131</v>
      </c>
      <c r="L9" s="36">
        <f t="shared" si="2"/>
        <v>0.82864506988620135</v>
      </c>
      <c r="M9" s="38">
        <f>IF(Settings!$E$9="YAHOO",VLOOKUP(B9,ADP!A1:E731,2,FALSE),IF(Settings!$E$9="ESPN",VLOOKUP(B9,ADP!A1:E731,3,FALSE),IF(Settings!$E$9="FANTRAX",VLOOKUP(B9,ADP!A1:E731,4,FALSE),VLOOKUP(B9,ADP!A1:E731,5,FALSE))))</f>
        <v>7.55</v>
      </c>
      <c r="N9" s="38">
        <f t="shared" si="3"/>
        <v>-0.45000000000000018</v>
      </c>
      <c r="O9" s="38"/>
      <c r="P9" s="39" t="str">
        <f>IF(Settings!$E$27="ON",_xlfn.XLOOKUP(B9,ADP!A2:A731,ADP!H2:H731)," ")</f>
        <v xml:space="preserve"> </v>
      </c>
      <c r="Q9" s="40">
        <f>IF(Settings!$E$12="YES",VLOOKUP(B9,'Player Data'!A1:E734,5,FALSE),82)</f>
        <v>82</v>
      </c>
      <c r="R9" s="38">
        <f>VLOOKUP(B9,'Player Data'!$A1:$AE734,6,FALSE)</f>
        <v>20.124918332980801</v>
      </c>
      <c r="S9" s="40">
        <f>VLOOKUP(B9,'Player Data'!$A1:$AE734,7,FALSE)*$Q9*IFERROR((VLOOKUP(P9,Settings!$E$28:$F$33,2,FALSE)+1),1)</f>
        <v>41.444964937884883</v>
      </c>
      <c r="T9" s="40">
        <f>VLOOKUP(B9,'Player Data'!$A1:$AE734,8,FALSE)*$Q9*IFERROR((VLOOKUP(P9,Settings!$E$28:$F$33,2,FALSE)+1),1)</f>
        <v>66.626586363262163</v>
      </c>
      <c r="U9" s="40">
        <f t="shared" si="4"/>
        <v>108.07155130114705</v>
      </c>
      <c r="V9" s="40">
        <f>VLOOKUP(B9,'Player Data'!$A1:$AE734,10,FALSE)*$Q9*IFERROR(((VLOOKUP(P9,Settings!$E$28:$F$33,2,FALSE)/2)+1),1)</f>
        <v>308.94241514297534</v>
      </c>
      <c r="W9" s="40">
        <f>VLOOKUP(B9,'Player Data'!$A1:$AE734,11,FALSE)*$Q9*IFERROR((VLOOKUP(P9,Settings!$E$28:$F$33,2,FALSE)+1),1)</f>
        <v>13.335859031913884</v>
      </c>
      <c r="X9" s="40">
        <f>VLOOKUP(B9,'Player Data'!$A1:$AE734,12,FALSE)*$Q9*IFERROR((VLOOKUP(P9,Settings!$E$28:$F$33,2,FALSE)+1),1)</f>
        <v>35.037645741323743</v>
      </c>
      <c r="Y9" s="40">
        <f>VLOOKUP(B9,'Player Data'!$A1:$AE734,13,FALSE)*$Q9</f>
        <v>0.10329507792673778</v>
      </c>
      <c r="Z9" s="40">
        <f>VLOOKUP(B9,'Player Data'!$A1:$AE734,14,FALSE)*$Q9</f>
        <v>0.66981534961799727</v>
      </c>
      <c r="AA9" s="40">
        <f>VLOOKUP(B9,'Player Data'!$A1:$AE734,15,FALSE)*$Q9</f>
        <v>29.354641728727088</v>
      </c>
      <c r="AB9" s="40">
        <f>VLOOKUP(B9,'Player Data'!$A1:$AE734,16,FALSE)*$Q9</f>
        <v>84.13158568820711</v>
      </c>
      <c r="AC9" s="40">
        <f>VLOOKUP(B9,'Player Data'!$A1:$AE734,17,FALSE)*$Q9*IFERROR((VLOOKUP(P9,Settings!$E$28:$F$33,2,FALSE)+1),1)</f>
        <v>11.372997884949276</v>
      </c>
      <c r="AD9" s="40">
        <f>VLOOKUP(B9,'Player Data'!$A1:$AE734,18,FALSE)*$Q9</f>
        <v>72.602385539662237</v>
      </c>
      <c r="AE9" s="40">
        <f>VLOOKUP(B9,'Player Data'!$A1:$AE734,19,FALSE)*$Q9*IFERROR((VLOOKUP(P9,Settings!$E$28:$F$33,2,FALSE)+1),1)</f>
        <v>5.9453747555901275</v>
      </c>
      <c r="AF9" s="40">
        <f>VLOOKUP(B9,'Player Data'!$A1:$AE734,20,FALSE)*$Q9</f>
        <v>13.750661802457161</v>
      </c>
      <c r="AG9" s="40">
        <f>VLOOKUP(B9,'Player Data'!$A1:$AE734,21,FALSE)*$Q9</f>
        <v>16.750973436259734</v>
      </c>
      <c r="AH9" s="41">
        <f>VLOOKUP(B9,'Player Data'!$A1:$AE734,22,FALSE)</f>
        <v>0.45081720028580602</v>
      </c>
      <c r="AI9" s="38"/>
      <c r="AJ9" s="42"/>
      <c r="AK9" s="40"/>
      <c r="AL9" s="40"/>
      <c r="AM9" s="40"/>
      <c r="AN9" s="40"/>
      <c r="AO9" s="40"/>
      <c r="AP9" s="40"/>
      <c r="AQ9" s="43"/>
      <c r="AR9" s="44"/>
      <c r="AS9" s="38"/>
    </row>
    <row r="10" spans="1:45" ht="21.2" customHeight="1">
      <c r="A10" s="181">
        <f t="shared" si="0"/>
        <v>9</v>
      </c>
      <c r="B10" s="8" t="s">
        <v>114</v>
      </c>
      <c r="C10" s="31" t="s">
        <v>104</v>
      </c>
      <c r="D10" s="32" t="str">
        <f>VLOOKUP(B10,'Player Data'!A1:D734,4,FALSE)</f>
        <v>C</v>
      </c>
      <c r="E10" s="33">
        <f>VLOOKUP(B10,'C'!A1:C208,3,FALSE)</f>
        <v>5</v>
      </c>
      <c r="F10" s="34" t="str">
        <f>VLOOKUP(B10,'Player Data'!A1:B734,2,FALSE)</f>
        <v>NJD</v>
      </c>
      <c r="G10" s="9">
        <f>VLOOKUP(B10,'Player Data'!A1:D734,3,FALSE)</f>
        <v>22</v>
      </c>
      <c r="H10" s="35">
        <f>IFERROR(VLOOKUP(B10,ADP!A1:G731,7,FALSE)/1000000,VLOOKUP(B10,ADP!A1:G731,7,FALSE))</f>
        <v>8</v>
      </c>
      <c r="I10" s="36">
        <f>IF(Settings!$E$15="POINTS",((R10*Q10)*Settings!$B$12)+(S10*Settings!$B$2)+(T10*Settings!$B$3)+(U10*Settings!$B$4)+(V10*Settings!$B$5)+(X10*Settings!$B$9)+(AA10*Settings!$B$6)+(W10*Settings!$B$8)+(AB10*Settings!$B$7)+(AC10*Settings!$B$14)+(AD10*Settings!$B$15)+(AE10*Settings!$B$16)+(AF10*Settings!$B$17)+(AG10*Settings!$B$18)+(Y10*Settings!$B$10)+(Z10*Settings!$B$11),VLOOKUP(B10,'Standard Deviations'!A1:C731,3,FALSE))</f>
        <v>14.198780832601393</v>
      </c>
      <c r="J10" s="37">
        <f t="shared" si="1"/>
        <v>0.17315586381221212</v>
      </c>
      <c r="K10" s="183">
        <f>IF(Settings!$E$18="C/LW/RW",VLOOKUP(B10,'C'!A1:F208,6,FALSE),VLOOKUP(B10,F!A1:F431,6,FALSE))</f>
        <v>7.8617301083947906</v>
      </c>
      <c r="L10" s="36">
        <f t="shared" si="2"/>
        <v>0.98271626354934882</v>
      </c>
      <c r="M10" s="38">
        <f>IF(Settings!$E$9="YAHOO",VLOOKUP(B10,ADP!A1:E731,2,FALSE),IF(Settings!$E$9="ESPN",VLOOKUP(B10,ADP!A1:E731,3,FALSE),IF(Settings!$E$9="FANTRAX",VLOOKUP(B10,ADP!A1:E731,4,FALSE),VLOOKUP(B10,ADP!A1:E731,5,FALSE))))</f>
        <v>9.01</v>
      </c>
      <c r="N10" s="38">
        <f t="shared" si="3"/>
        <v>9.9999999999997868E-3</v>
      </c>
      <c r="O10" s="38"/>
      <c r="P10" s="39" t="str">
        <f>IF(Settings!$E$27="ON",_xlfn.XLOOKUP(B10,ADP!A2:A731,ADP!H2:H731)," ")</f>
        <v>+</v>
      </c>
      <c r="Q10" s="40">
        <f>IF(Settings!$E$12="YES",VLOOKUP(B10,'Player Data'!A1:E734,5,FALSE),82)</f>
        <v>82</v>
      </c>
      <c r="R10" s="38">
        <f>VLOOKUP(B10,'Player Data'!$A1:$AE734,6,FALSE)</f>
        <v>20.361061936919601</v>
      </c>
      <c r="S10" s="40">
        <f>VLOOKUP(B10,'Player Data'!$A1:$AE734,7,FALSE)*$Q10*IFERROR((VLOOKUP(P10,Settings!$E$28:$F$33,2,FALSE)+1),1)</f>
        <v>45.543390379293882</v>
      </c>
      <c r="T10" s="40">
        <f>VLOOKUP(B10,'Player Data'!$A1:$AE734,8,FALSE)*$Q10*IFERROR((VLOOKUP(P10,Settings!$E$28:$F$33,2,FALSE)+1),1)</f>
        <v>60.546974369856244</v>
      </c>
      <c r="U10" s="40">
        <f t="shared" si="4"/>
        <v>106.09036474915013</v>
      </c>
      <c r="V10" s="40">
        <f>VLOOKUP(B10,'Player Data'!$A1:$AE734,10,FALSE)*$Q10*IFERROR(((VLOOKUP(P10,Settings!$E$28:$F$33,2,FALSE)/2)+1),1)</f>
        <v>335.01756736298984</v>
      </c>
      <c r="W10" s="40">
        <f>VLOOKUP(B10,'Player Data'!$A1:$AE734,11,FALSE)*$Q10*IFERROR((VLOOKUP(P10,Settings!$E$28:$F$33,2,FALSE)+1),1)</f>
        <v>10.962486843815315</v>
      </c>
      <c r="X10" s="40">
        <f>VLOOKUP(B10,'Player Data'!$A1:$AE734,12,FALSE)*$Q10*IFERROR((VLOOKUP(P10,Settings!$E$28:$F$33,2,FALSE)+1),1)</f>
        <v>32.488688110606944</v>
      </c>
      <c r="Y10" s="40">
        <f>VLOOKUP(B10,'Player Data'!$A1:$AE734,13,FALSE)*$Q10</f>
        <v>3.5476288634619373E-2</v>
      </c>
      <c r="Z10" s="40">
        <f>VLOOKUP(B10,'Player Data'!$A1:$AE734,14,FALSE)*$Q10</f>
        <v>7.2975714629566729E-2</v>
      </c>
      <c r="AA10" s="40">
        <f>VLOOKUP(B10,'Player Data'!$A1:$AE734,15,FALSE)*$Q10</f>
        <v>31.212840532915585</v>
      </c>
      <c r="AB10" s="40">
        <f>VLOOKUP(B10,'Player Data'!$A1:$AE734,16,FALSE)*$Q10</f>
        <v>18.118400495187782</v>
      </c>
      <c r="AC10" s="40">
        <f>VLOOKUP(B10,'Player Data'!$A1:$AE734,17,FALSE)*$Q10*IFERROR((VLOOKUP(P10,Settings!$E$28:$F$33,2,FALSE)+1),1)</f>
        <v>1.2146219047335545</v>
      </c>
      <c r="AD10" s="40">
        <f>VLOOKUP(B10,'Player Data'!$A1:$AE734,18,FALSE)*$Q10</f>
        <v>11.469648644582566</v>
      </c>
      <c r="AE10" s="40">
        <f>VLOOKUP(B10,'Player Data'!$A1:$AE734,19,FALSE)*$Q10*IFERROR((VLOOKUP(P10,Settings!$E$28:$F$33,2,FALSE)+1),1)</f>
        <v>6.6938755656694768</v>
      </c>
      <c r="AF10" s="40">
        <f>VLOOKUP(B10,'Player Data'!$A1:$AE734,20,FALSE)*$Q10</f>
        <v>196.85968338470673</v>
      </c>
      <c r="AG10" s="40">
        <f>VLOOKUP(B10,'Player Data'!$A1:$AE734,21,FALSE)*$Q10</f>
        <v>363.40129770520485</v>
      </c>
      <c r="AH10" s="41">
        <f>VLOOKUP(B10,'Player Data'!$A1:$AE734,22,FALSE)</f>
        <v>0.35137139659760502</v>
      </c>
      <c r="AI10" s="38"/>
      <c r="AJ10" s="42"/>
      <c r="AK10" s="40"/>
      <c r="AL10" s="40"/>
      <c r="AM10" s="40"/>
      <c r="AN10" s="40"/>
      <c r="AO10" s="40"/>
      <c r="AP10" s="40"/>
      <c r="AQ10" s="43"/>
      <c r="AR10" s="44"/>
      <c r="AS10" s="38"/>
    </row>
    <row r="11" spans="1:45" ht="21.2" customHeight="1">
      <c r="A11" s="181">
        <f t="shared" si="0"/>
        <v>10</v>
      </c>
      <c r="B11" s="8" t="s">
        <v>111</v>
      </c>
      <c r="C11" s="31" t="s">
        <v>104</v>
      </c>
      <c r="D11" s="32" t="str">
        <f>VLOOKUP(B11,'Player Data'!A1:D734,4,FALSE)</f>
        <v>C,RW</v>
      </c>
      <c r="E11" s="45">
        <f>VLOOKUP(B11,RW!A1:F189,3,FALSE)</f>
        <v>4</v>
      </c>
      <c r="F11" s="34" t="str">
        <f>VLOOKUP(B11,'Player Data'!A1:B734,2,FALSE)</f>
        <v>COL</v>
      </c>
      <c r="G11" s="9">
        <f>VLOOKUP(B11,'Player Data'!A1:D734,3,FALSE)</f>
        <v>26</v>
      </c>
      <c r="H11" s="35">
        <f>IFERROR(VLOOKUP(B11,ADP!A1:G731,7,FALSE)/1000000,VLOOKUP(B11,ADP!A1:G731,7,FALSE))</f>
        <v>9.25</v>
      </c>
      <c r="I11" s="36">
        <f>IF(Settings!$E$15="POINTS",((R11*Q11)*Settings!$B$12)+(S11*Settings!$B$2)+(T11*Settings!$B$3)+(U11*Settings!$B$4)+(V11*Settings!$B$5)+(X11*Settings!$B$9)+(AA11*Settings!$B$6)+(W11*Settings!$B$8)+(AB11*Settings!$B$7)+(AC11*Settings!$B$14)+(AD11*Settings!$B$15)+(AE11*Settings!$B$16)+(AF11*Settings!$B$17)+(AG11*Settings!$B$18)+(Y11*Settings!$B$10)+(Z11*Settings!$B$11),VLOOKUP(B11,'Standard Deviations'!A1:C731,3,FALSE))</f>
        <v>13.949350066699878</v>
      </c>
      <c r="J11" s="37">
        <f t="shared" si="1"/>
        <v>0.17011402520365707</v>
      </c>
      <c r="K11" s="183">
        <f>IF(Settings!$E$18="C/LW/RW",VLOOKUP(B11,RW!A1:F189,6,FALSE),VLOOKUP(B11,F!A1:F431,6,FALSE))</f>
        <v>7.6690913476887976</v>
      </c>
      <c r="L11" s="36">
        <f t="shared" si="2"/>
        <v>0.82909095650689701</v>
      </c>
      <c r="M11" s="38">
        <f>IF(Settings!$E$9="YAHOO",VLOOKUP(B11,ADP!A1:E731,2,FALSE),IF(Settings!$E$9="ESPN",VLOOKUP(B11,ADP!A1:E731,3,FALSE),IF(Settings!$E$9="FANTRAX",VLOOKUP(B11,ADP!A1:E731,4,FALSE),VLOOKUP(B11,ADP!A1:E731,5,FALSE))))</f>
        <v>6.09</v>
      </c>
      <c r="N11" s="38">
        <f t="shared" si="3"/>
        <v>-3.91</v>
      </c>
      <c r="O11" s="38"/>
      <c r="P11" s="39" t="str">
        <f>IF(Settings!$E$27="ON",_xlfn.XLOOKUP(B11,ADP!A2:A731,ADP!H2:H731)," ")</f>
        <v xml:space="preserve"> </v>
      </c>
      <c r="Q11" s="40">
        <f>IF(Settings!$E$12="YES",VLOOKUP(B11,'Player Data'!A1:E734,5,FALSE),82)</f>
        <v>82</v>
      </c>
      <c r="R11" s="38">
        <f>VLOOKUP(B11,'Player Data'!$A1:$AE734,6,FALSE)</f>
        <v>22.092966611852098</v>
      </c>
      <c r="S11" s="40">
        <f>VLOOKUP(B11,'Player Data'!$A1:$AE734,7,FALSE)*$Q11*IFERROR((VLOOKUP(P11,Settings!$E$28:$F$33,2,FALSE)+1),1)</f>
        <v>49.121774177617503</v>
      </c>
      <c r="T11" s="40">
        <f>VLOOKUP(B11,'Player Data'!$A1:$AE734,8,FALSE)*$Q11*IFERROR((VLOOKUP(P11,Settings!$E$28:$F$33,2,FALSE)+1),1)</f>
        <v>56.329010300491511</v>
      </c>
      <c r="U11" s="40">
        <f t="shared" si="4"/>
        <v>105.45078447810901</v>
      </c>
      <c r="V11" s="40">
        <f>VLOOKUP(B11,'Player Data'!$A1:$AE734,10,FALSE)*$Q11*IFERROR(((VLOOKUP(P11,Settings!$E$28:$F$33,2,FALSE)/2)+1),1)</f>
        <v>299.50906562584765</v>
      </c>
      <c r="W11" s="40">
        <f>VLOOKUP(B11,'Player Data'!$A1:$AE734,11,FALSE)*$Q11*IFERROR((VLOOKUP(P11,Settings!$E$28:$F$33,2,FALSE)+1),1)</f>
        <v>13.70014091435039</v>
      </c>
      <c r="X11" s="40">
        <f>VLOOKUP(B11,'Player Data'!$A1:$AE734,12,FALSE)*$Q11*IFERROR((VLOOKUP(P11,Settings!$E$28:$F$33,2,FALSE)+1),1)</f>
        <v>35.860321352141206</v>
      </c>
      <c r="Y11" s="40">
        <f>VLOOKUP(B11,'Player Data'!$A1:$AE734,13,FALSE)*$Q11</f>
        <v>1.5865880918309993E-2</v>
      </c>
      <c r="Z11" s="40">
        <f>VLOOKUP(B11,'Player Data'!$A1:$AE734,14,FALSE)*$Q11</f>
        <v>3.0645881896928386E-2</v>
      </c>
      <c r="AA11" s="40">
        <f>VLOOKUP(B11,'Player Data'!$A1:$AE734,15,FALSE)*$Q11</f>
        <v>42.69968221859628</v>
      </c>
      <c r="AB11" s="40">
        <f>VLOOKUP(B11,'Player Data'!$A1:$AE734,16,FALSE)*$Q11</f>
        <v>72.155783061562261</v>
      </c>
      <c r="AC11" s="40">
        <f>VLOOKUP(B11,'Player Data'!$A1:$AE734,17,FALSE)*$Q11*IFERROR((VLOOKUP(P11,Settings!$E$28:$F$33,2,FALSE)+1),1)</f>
        <v>8.8131290014230874</v>
      </c>
      <c r="AD11" s="40">
        <f>VLOOKUP(B11,'Player Data'!$A1:$AE734,18,FALSE)*$Q11</f>
        <v>59.953263495362357</v>
      </c>
      <c r="AE11" s="40">
        <f>VLOOKUP(B11,'Player Data'!$A1:$AE734,19,FALSE)*$Q11*IFERROR((VLOOKUP(P11,Settings!$E$28:$F$33,2,FALSE)+1),1)</f>
        <v>7.7718047798933236</v>
      </c>
      <c r="AF11" s="40">
        <f>VLOOKUP(B11,'Player Data'!$A1:$AE734,20,FALSE)*$Q11</f>
        <v>199.4914037428037</v>
      </c>
      <c r="AG11" s="40">
        <f>VLOOKUP(B11,'Player Data'!$A1:$AE734,21,FALSE)*$Q11</f>
        <v>213.65771600896224</v>
      </c>
      <c r="AH11" s="41">
        <f>VLOOKUP(B11,'Player Data'!$A1:$AE734,22,FALSE)</f>
        <v>0.48285569109445398</v>
      </c>
      <c r="AI11" s="38"/>
      <c r="AJ11" s="42"/>
      <c r="AK11" s="40"/>
      <c r="AL11" s="40"/>
      <c r="AM11" s="40"/>
      <c r="AN11" s="40"/>
      <c r="AO11" s="40"/>
      <c r="AP11" s="40"/>
      <c r="AQ11" s="43"/>
      <c r="AR11" s="44"/>
      <c r="AS11" s="42"/>
    </row>
    <row r="12" spans="1:45" ht="21.2" customHeight="1">
      <c r="A12" s="181">
        <f t="shared" si="0"/>
        <v>11</v>
      </c>
      <c r="B12" s="8" t="s">
        <v>113</v>
      </c>
      <c r="C12" s="31" t="s">
        <v>104</v>
      </c>
      <c r="D12" s="32" t="str">
        <f>VLOOKUP(B12,'Player Data'!A1:D734,4,FALSE)</f>
        <v>D</v>
      </c>
      <c r="E12" s="47">
        <f>VLOOKUP(B12,D!A1:C229,3,FALSE)</f>
        <v>2</v>
      </c>
      <c r="F12" s="34" t="str">
        <f>VLOOKUP(B12,'Player Data'!A1:B734,2,FALSE)</f>
        <v>NSH</v>
      </c>
      <c r="G12" s="9">
        <f>VLOOKUP(B12,'Player Data'!A1:D734,3,FALSE)</f>
        <v>33</v>
      </c>
      <c r="H12" s="35">
        <f>IFERROR(VLOOKUP(B12,ADP!A1:G731,7,FALSE)/1000000,VLOOKUP(B12,ADP!A1:G731,7,FALSE))</f>
        <v>9.0589999999999993</v>
      </c>
      <c r="I12" s="36">
        <f>IF(Settings!$E$15="POINTS",((R12*Q12)*Settings!$B$12)+(S12*Settings!$B$2)+(T12*Settings!$B$3)+(U12*Settings!$B$4)+(V12*Settings!$B$5)+(X12*Settings!$B$9)+(AA12*Settings!$B$6)+(W12*Settings!$B$8)+(AB12*Settings!$B$7)+(AC12*Settings!$B$14)+(AD12*Settings!$B$15)+(AE12*Settings!$B$16)+(AF12*Settings!$B$17)+(AG12*Settings!$B$18)+(U12*Settings!$B$13)+(Y12*Settings!$B$10)+(Z12*Settings!$B$11),VLOOKUP(B12,'Standard Deviations'!A1:C731,3,FALSE))</f>
        <v>9.2616217428406955</v>
      </c>
      <c r="J12" s="37">
        <f t="shared" si="1"/>
        <v>0.11294660662000848</v>
      </c>
      <c r="K12" s="183">
        <f>VLOOKUP(B12,D!A1:F229,6,FALSE)</f>
        <v>7.3198811992063852</v>
      </c>
      <c r="L12" s="36">
        <f t="shared" si="2"/>
        <v>0.80802309296902375</v>
      </c>
      <c r="M12" s="38">
        <f>IF(Settings!$E$9="YAHOO",VLOOKUP(B12,ADP!A1:E731,2,FALSE),IF(Settings!$E$9="ESPN",VLOOKUP(B12,ADP!A1:E731,3,FALSE),IF(Settings!$E$9="FANTRAX",VLOOKUP(B12,ADP!A1:E731,4,FALSE),VLOOKUP(B12,ADP!A1:E731,5,FALSE))))</f>
        <v>20.84</v>
      </c>
      <c r="N12" s="38">
        <f t="shared" si="3"/>
        <v>9.84</v>
      </c>
      <c r="O12" s="38"/>
      <c r="P12" s="39" t="str">
        <f>IF(Settings!$E$27="ON",_xlfn.XLOOKUP(B12,ADP!A2:A731,ADP!H2:H731)," ")</f>
        <v xml:space="preserve"> </v>
      </c>
      <c r="Q12" s="40">
        <f>IF(Settings!$E$12="YES",VLOOKUP(B12,'Player Data'!A1:E734,5,FALSE),82)</f>
        <v>82</v>
      </c>
      <c r="R12" s="38">
        <f>VLOOKUP(B12,'Player Data'!$A1:$AE734,6,FALSE)</f>
        <v>25.196900572663399</v>
      </c>
      <c r="S12" s="40">
        <f>VLOOKUP(B12,'Player Data'!$A1:$AE734,7,FALSE)*$Q12*IFERROR((VLOOKUP(P12,Settings!$E$28:$F$33,2,FALSE)+1),1)</f>
        <v>19.565508819677412</v>
      </c>
      <c r="T12" s="40">
        <f>VLOOKUP(B12,'Player Data'!$A1:$AE734,8,FALSE)*$Q12*IFERROR((VLOOKUP(P12,Settings!$E$28:$F$33,2,FALSE)+1),1)</f>
        <v>56.432868969072629</v>
      </c>
      <c r="U12" s="40">
        <f t="shared" si="4"/>
        <v>75.998377788750048</v>
      </c>
      <c r="V12" s="40">
        <f>VLOOKUP(B12,'Player Data'!$A1:$AE734,10,FALSE)*$Q12*IFERROR(((VLOOKUP(P12,Settings!$E$28:$F$33,2,FALSE)/2)+1),1)</f>
        <v>296.5880672469583</v>
      </c>
      <c r="W12" s="40">
        <f>VLOOKUP(B12,'Player Data'!$A1:$AE734,11,FALSE)*$Q12*IFERROR((VLOOKUP(P12,Settings!$E$28:$F$33,2,FALSE)+1),1)</f>
        <v>8.642235913830012</v>
      </c>
      <c r="X12" s="40">
        <f>VLOOKUP(B12,'Player Data'!$A1:$AE734,12,FALSE)*$Q12*IFERROR((VLOOKUP(P12,Settings!$E$28:$F$33,2,FALSE)+1),1)</f>
        <v>30.719827026905197</v>
      </c>
      <c r="Y12" s="40">
        <f>VLOOKUP(B12,'Player Data'!$A1:$AE734,13,FALSE)*$Q12</f>
        <v>2.2212684051330978E-3</v>
      </c>
      <c r="Z12" s="40">
        <f>VLOOKUP(B12,'Player Data'!$A1:$AE734,14,FALSE)*$Q12</f>
        <v>0.14661992744708677</v>
      </c>
      <c r="AA12" s="40">
        <f>VLOOKUP(B12,'Player Data'!$A1:$AE734,15,FALSE)*$Q12</f>
        <v>155.15928053408777</v>
      </c>
      <c r="AB12" s="40">
        <f>VLOOKUP(B12,'Player Data'!$A1:$AE734,16,FALSE)*$Q12</f>
        <v>71.984356534790464</v>
      </c>
      <c r="AC12" s="40">
        <f>VLOOKUP(B12,'Player Data'!$A1:$AE734,17,FALSE)*$Q12*IFERROR((VLOOKUP(P12,Settings!$E$28:$F$33,2,FALSE)+1),1)</f>
        <v>1.8321509831808012</v>
      </c>
      <c r="AD12" s="40">
        <f>VLOOKUP(B12,'Player Data'!$A1:$AE734,18,FALSE)*$Q12</f>
        <v>45.253817002648212</v>
      </c>
      <c r="AE12" s="40">
        <f>VLOOKUP(B12,'Player Data'!$A1:$AE734,19,FALSE)*$Q12*IFERROR((VLOOKUP(P12,Settings!$E$28:$F$33,2,FALSE)+1),1)</f>
        <v>2.8570760055032136</v>
      </c>
      <c r="AF12" s="40">
        <f>VLOOKUP(B12,'Player Data'!$A1:$AE734,20,FALSE)*$Q12</f>
        <v>0</v>
      </c>
      <c r="AG12" s="40">
        <f>VLOOKUP(B12,'Player Data'!$A1:$AE734,21,FALSE)*$Q12</f>
        <v>0</v>
      </c>
      <c r="AH12" s="41">
        <f>VLOOKUP(B12,'Player Data'!$A1:$AE734,22,FALSE)</f>
        <v>0</v>
      </c>
      <c r="AI12" s="38"/>
      <c r="AJ12" s="42"/>
      <c r="AK12" s="40"/>
      <c r="AL12" s="40"/>
      <c r="AM12" s="40"/>
      <c r="AN12" s="40"/>
      <c r="AO12" s="40"/>
      <c r="AP12" s="40"/>
      <c r="AQ12" s="43"/>
      <c r="AR12" s="44"/>
      <c r="AS12" s="38"/>
    </row>
    <row r="13" spans="1:45" ht="21.2" customHeight="1">
      <c r="A13" s="181">
        <f t="shared" si="0"/>
        <v>12</v>
      </c>
      <c r="B13" s="8" t="s">
        <v>119</v>
      </c>
      <c r="C13" s="31" t="s">
        <v>104</v>
      </c>
      <c r="D13" s="32" t="str">
        <f>VLOOKUP(B13,'Player Data'!A1:D734,4,FALSE)</f>
        <v>D</v>
      </c>
      <c r="E13" s="47">
        <f>VLOOKUP(B13,D!A1:C229,3,FALSE)</f>
        <v>3</v>
      </c>
      <c r="F13" s="34" t="str">
        <f>VLOOKUP(B13,'Player Data'!A1:B734,2,FALSE)</f>
        <v>PIT</v>
      </c>
      <c r="G13" s="9">
        <f>VLOOKUP(B13,'Player Data'!A1:D734,3,FALSE)</f>
        <v>33</v>
      </c>
      <c r="H13" s="35">
        <f>IFERROR(VLOOKUP(B13,ADP!A1:G731,7,FALSE)/1000000,VLOOKUP(B13,ADP!A1:G731,7,FALSE))</f>
        <v>10</v>
      </c>
      <c r="I13" s="36">
        <f>IF(Settings!$E$15="POINTS",((R13*Q13)*Settings!$B$12)+(S13*Settings!$B$2)+(T13*Settings!$B$3)+(U13*Settings!$B$4)+(V13*Settings!$B$5)+(X13*Settings!$B$9)+(AA13*Settings!$B$6)+(W13*Settings!$B$8)+(AB13*Settings!$B$7)+(AC13*Settings!$B$14)+(AD13*Settings!$B$15)+(AE13*Settings!$B$16)+(AF13*Settings!$B$17)+(AG13*Settings!$B$18)+(U13*Settings!$B$13)+(Y13*Settings!$B$10)+(Z13*Settings!$B$11),VLOOKUP(B13,'Standard Deviations'!A1:C731,3,FALSE))</f>
        <v>8.8342976747292852</v>
      </c>
      <c r="J13" s="37">
        <f t="shared" si="1"/>
        <v>0.1077353374966986</v>
      </c>
      <c r="K13" s="183">
        <f>VLOOKUP(B13,D!A1:F229,6,FALSE)</f>
        <v>6.8925571310949749</v>
      </c>
      <c r="L13" s="36">
        <f t="shared" si="2"/>
        <v>0.68925571310949751</v>
      </c>
      <c r="M13" s="38">
        <f>IF(Settings!$E$9="YAHOO",VLOOKUP(B13,ADP!A1:E731,2,FALSE),IF(Settings!$E$9="ESPN",VLOOKUP(B13,ADP!A1:E731,3,FALSE),IF(Settings!$E$9="FANTRAX",VLOOKUP(B13,ADP!A1:E731,4,FALSE),VLOOKUP(B13,ADP!A1:E731,5,FALSE))))</f>
        <v>34.07</v>
      </c>
      <c r="N13" s="38">
        <f t="shared" si="3"/>
        <v>22.07</v>
      </c>
      <c r="O13" s="38"/>
      <c r="P13" s="39" t="str">
        <f>IF(Settings!$E$27="ON",_xlfn.XLOOKUP(B13,ADP!A2:A731,ADP!H2:H731)," ")</f>
        <v>+ +</v>
      </c>
      <c r="Q13" s="40">
        <f>IF(Settings!$E$12="YES",VLOOKUP(B13,'Player Data'!A1:E734,5,FALSE),82)</f>
        <v>82</v>
      </c>
      <c r="R13" s="38">
        <f>VLOOKUP(B13,'Player Data'!$A1:$AE734,6,FALSE)</f>
        <v>26.080562995426799</v>
      </c>
      <c r="S13" s="40">
        <f>VLOOKUP(B13,'Player Data'!$A1:$AE734,7,FALSE)*$Q13*IFERROR((VLOOKUP(P13,Settings!$E$28:$F$33,2,FALSE)+1),1)</f>
        <v>21.645159838919501</v>
      </c>
      <c r="T13" s="40">
        <f>VLOOKUP(B13,'Player Data'!$A1:$AE734,8,FALSE)*$Q13*IFERROR((VLOOKUP(P13,Settings!$E$28:$F$33,2,FALSE)+1),1)</f>
        <v>63.41149502340452</v>
      </c>
      <c r="U13" s="40">
        <f t="shared" si="4"/>
        <v>85.056654862324024</v>
      </c>
      <c r="V13" s="40">
        <f>VLOOKUP(B13,'Player Data'!$A1:$AE734,10,FALSE)*$Q13*IFERROR(((VLOOKUP(P13,Settings!$E$28:$F$33,2,FALSE)/2)+1),1)</f>
        <v>222.7263371104965</v>
      </c>
      <c r="W13" s="40">
        <f>VLOOKUP(B13,'Player Data'!$A1:$AE734,11,FALSE)*$Q13*IFERROR((VLOOKUP(P13,Settings!$E$28:$F$33,2,FALSE)+1),1)</f>
        <v>4.6717525216072051</v>
      </c>
      <c r="X13" s="40">
        <f>VLOOKUP(B13,'Player Data'!$A1:$AE734,12,FALSE)*$Q13*IFERROR((VLOOKUP(P13,Settings!$E$28:$F$33,2,FALSE)+1),1)</f>
        <v>27.795262060404855</v>
      </c>
      <c r="Y13" s="40">
        <f>VLOOKUP(B13,'Player Data'!$A1:$AE734,13,FALSE)*$Q13</f>
        <v>2.2235226308200129E-3</v>
      </c>
      <c r="Z13" s="40">
        <f>VLOOKUP(B13,'Player Data'!$A1:$AE734,14,FALSE)*$Q13</f>
        <v>9.1433689765957241E-2</v>
      </c>
      <c r="AA13" s="40">
        <f>VLOOKUP(B13,'Player Data'!$A1:$AE734,15,FALSE)*$Q13</f>
        <v>97.894427674379784</v>
      </c>
      <c r="AB13" s="40">
        <f>VLOOKUP(B13,'Player Data'!$A1:$AE734,16,FALSE)*$Q13</f>
        <v>47.556212785682199</v>
      </c>
      <c r="AC13" s="40">
        <f>VLOOKUP(B13,'Player Data'!$A1:$AE734,17,FALSE)*$Q13*IFERROR((VLOOKUP(P13,Settings!$E$28:$F$33,2,FALSE)+1),1)</f>
        <v>3.6342190759565569</v>
      </c>
      <c r="AD13" s="40">
        <f>VLOOKUP(B13,'Player Data'!$A1:$AE734,18,FALSE)*$Q13</f>
        <v>30.736728062760388</v>
      </c>
      <c r="AE13" s="40">
        <f>VLOOKUP(B13,'Player Data'!$A1:$AE734,19,FALSE)*$Q13*IFERROR((VLOOKUP(P13,Settings!$E$28:$F$33,2,FALSE)+1),1)</f>
        <v>2.6873711494153487</v>
      </c>
      <c r="AF13" s="40">
        <f>VLOOKUP(B13,'Player Data'!$A1:$AE734,20,FALSE)*$Q13</f>
        <v>0</v>
      </c>
      <c r="AG13" s="40">
        <f>VLOOKUP(B13,'Player Data'!$A1:$AE734,21,FALSE)*$Q13</f>
        <v>0.82399251124698525</v>
      </c>
      <c r="AH13" s="41">
        <f>VLOOKUP(B13,'Player Data'!$A1:$AE734,22,FALSE)</f>
        <v>0</v>
      </c>
      <c r="AI13" s="38"/>
      <c r="AJ13" s="42"/>
      <c r="AK13" s="40"/>
      <c r="AL13" s="40"/>
      <c r="AM13" s="40"/>
      <c r="AN13" s="40"/>
      <c r="AO13" s="40"/>
      <c r="AP13" s="40"/>
      <c r="AQ13" s="43"/>
      <c r="AR13" s="44"/>
      <c r="AS13" s="38"/>
    </row>
    <row r="14" spans="1:45" ht="21.2" customHeight="1">
      <c r="A14" s="181">
        <f t="shared" si="0"/>
        <v>13</v>
      </c>
      <c r="B14" s="8" t="s">
        <v>115</v>
      </c>
      <c r="C14" s="31" t="s">
        <v>104</v>
      </c>
      <c r="D14" s="32" t="str">
        <f>VLOOKUP(B14,'Player Data'!A1:D734,4,FALSE)</f>
        <v>LW</v>
      </c>
      <c r="E14" s="48">
        <f>VLOOKUP(B14,LW!A1:C227,3,FALSE)</f>
        <v>3</v>
      </c>
      <c r="F14" s="34" t="str">
        <f>VLOOKUP(B14,'Player Data'!A1:B734,2,FALSE)</f>
        <v>MIN</v>
      </c>
      <c r="G14" s="9">
        <f>VLOOKUP(B14,'Player Data'!A1:D734,3,FALSE)</f>
        <v>26</v>
      </c>
      <c r="H14" s="35">
        <f>IFERROR(VLOOKUP(B14,ADP!A1:G731,7,FALSE)/1000000,VLOOKUP(B14,ADP!A1:G731,7,FALSE))</f>
        <v>9</v>
      </c>
      <c r="I14" s="36">
        <f>IF(Settings!$E$15="POINTS",((R14*Q14)*Settings!$B$12)+(S14*Settings!$B$2)+(T14*Settings!$B$3)+(U14*Settings!$B$4)+(V14*Settings!$B$5)+(X14*Settings!$B$9)+(AA14*Settings!$B$6)+(W14*Settings!$B$8)+(AB14*Settings!$B$7)+(AC14*Settings!$B$14)+(AD14*Settings!$B$15)+(AE14*Settings!$B$16)+(AF14*Settings!$B$17)+(AG14*Settings!$B$18)+(Y14*Settings!$B$10)+(Z14*Settings!$B$11),VLOOKUP(B14,'Standard Deviations'!A1:C731,3,FALSE))</f>
        <v>13.407467811139265</v>
      </c>
      <c r="J14" s="37">
        <f t="shared" si="1"/>
        <v>0.16350570501389347</v>
      </c>
      <c r="K14" s="183">
        <f>IF(Settings!$E$18="C/LW/RW",VLOOKUP(B14,LW!A1:F227,6,FALSE),VLOOKUP(B14,F!A1:F431,6,FALSE))</f>
        <v>6.7527987670148635</v>
      </c>
      <c r="L14" s="36">
        <f t="shared" si="2"/>
        <v>0.7503109741127626</v>
      </c>
      <c r="M14" s="38">
        <f>IF(Settings!$E$9="YAHOO",VLOOKUP(B14,ADP!A1:E731,2,FALSE),IF(Settings!$E$9="ESPN",VLOOKUP(B14,ADP!A1:E731,3,FALSE),IF(Settings!$E$9="FANTRAX",VLOOKUP(B14,ADP!A1:E731,4,FALSE),VLOOKUP(B14,ADP!A1:E731,5,FALSE))))</f>
        <v>14.27</v>
      </c>
      <c r="N14" s="38">
        <f t="shared" si="3"/>
        <v>1.2699999999999996</v>
      </c>
      <c r="O14" s="38"/>
      <c r="P14" s="39" t="str">
        <f>IF(Settings!$E$27="ON",_xlfn.XLOOKUP(B14,ADP!A2:A731,ADP!H2:H731)," ")</f>
        <v xml:space="preserve"> </v>
      </c>
      <c r="Q14" s="40">
        <f>IF(Settings!$E$12="YES",VLOOKUP(B14,'Player Data'!A1:E734,5,FALSE),82)</f>
        <v>82</v>
      </c>
      <c r="R14" s="38">
        <f>VLOOKUP(B14,'Player Data'!$A1:$AE734,6,FALSE)</f>
        <v>21.038403996787402</v>
      </c>
      <c r="S14" s="40">
        <f>VLOOKUP(B14,'Player Data'!$A1:$AE734,7,FALSE)*$Q14*IFERROR((VLOOKUP(P14,Settings!$E$28:$F$33,2,FALSE)+1),1)</f>
        <v>48.753297893801033</v>
      </c>
      <c r="T14" s="40">
        <f>VLOOKUP(B14,'Player Data'!$A1:$AE734,8,FALSE)*$Q14*IFERROR((VLOOKUP(P14,Settings!$E$28:$F$33,2,FALSE)+1),1)</f>
        <v>52.448495213395177</v>
      </c>
      <c r="U14" s="40">
        <f t="shared" si="4"/>
        <v>101.20179310719621</v>
      </c>
      <c r="V14" s="40">
        <f>VLOOKUP(B14,'Player Data'!$A1:$AE734,10,FALSE)*$Q14*IFERROR(((VLOOKUP(P14,Settings!$E$28:$F$33,2,FALSE)/2)+1),1)</f>
        <v>308.88724355830885</v>
      </c>
      <c r="W14" s="40">
        <f>VLOOKUP(B14,'Player Data'!$A1:$AE734,11,FALSE)*$Q14*IFERROR((VLOOKUP(P14,Settings!$E$28:$F$33,2,FALSE)+1),1)</f>
        <v>17.35418395110279</v>
      </c>
      <c r="X14" s="40">
        <f>VLOOKUP(B14,'Player Data'!$A1:$AE734,12,FALSE)*$Q14*IFERROR((VLOOKUP(P14,Settings!$E$28:$F$33,2,FALSE)+1),1)</f>
        <v>33.914300162522203</v>
      </c>
      <c r="Y14" s="40">
        <f>VLOOKUP(B14,'Player Data'!$A1:$AE734,13,FALSE)*$Q14</f>
        <v>1.4605857338197836E-2</v>
      </c>
      <c r="Z14" s="40">
        <f>VLOOKUP(B14,'Player Data'!$A1:$AE734,14,FALSE)*$Q14</f>
        <v>2.8201999070300014E-2</v>
      </c>
      <c r="AA14" s="40">
        <f>VLOOKUP(B14,'Player Data'!$A1:$AE734,15,FALSE)*$Q14</f>
        <v>34.282452317659285</v>
      </c>
      <c r="AB14" s="40">
        <f>VLOOKUP(B14,'Player Data'!$A1:$AE734,16,FALSE)*$Q14</f>
        <v>77.453376910671707</v>
      </c>
      <c r="AC14" s="40">
        <f>VLOOKUP(B14,'Player Data'!$A1:$AE734,17,FALSE)*$Q14*IFERROR((VLOOKUP(P14,Settings!$E$28:$F$33,2,FALSE)+1),1)</f>
        <v>4.5266866063852484</v>
      </c>
      <c r="AD14" s="40">
        <f>VLOOKUP(B14,'Player Data'!$A1:$AE734,18,FALSE)*$Q14</f>
        <v>38.927666854433895</v>
      </c>
      <c r="AE14" s="40">
        <f>VLOOKUP(B14,'Player Data'!$A1:$AE734,19,FALSE)*$Q14*IFERROR((VLOOKUP(P14,Settings!$E$28:$F$33,2,FALSE)+1),1)</f>
        <v>7.8286298212790895</v>
      </c>
      <c r="AF14" s="40">
        <f>VLOOKUP(B14,'Player Data'!$A1:$AE734,20,FALSE)*$Q14</f>
        <v>4.3125228284329067</v>
      </c>
      <c r="AG14" s="40">
        <f>VLOOKUP(B14,'Player Data'!$A1:$AE734,21,FALSE)*$Q14</f>
        <v>6.1747343933103132</v>
      </c>
      <c r="AH14" s="41">
        <f>VLOOKUP(B14,'Player Data'!$A1:$AE734,22,FALSE)</f>
        <v>0.41121551014232399</v>
      </c>
      <c r="AI14" s="38"/>
      <c r="AJ14" s="40"/>
      <c r="AK14" s="40"/>
      <c r="AL14" s="40"/>
      <c r="AM14" s="40"/>
      <c r="AN14" s="40"/>
      <c r="AO14" s="40"/>
      <c r="AP14" s="40"/>
      <c r="AQ14" s="43"/>
      <c r="AR14" s="44"/>
      <c r="AS14" s="42"/>
    </row>
    <row r="15" spans="1:45" ht="21.2" customHeight="1">
      <c r="A15" s="181">
        <f t="shared" si="0"/>
        <v>14</v>
      </c>
      <c r="B15" s="8" t="s">
        <v>116</v>
      </c>
      <c r="C15" s="31" t="s">
        <v>104</v>
      </c>
      <c r="D15" s="32" t="str">
        <f>VLOOKUP(B15,'Player Data'!A1:D734,4,FALSE)</f>
        <v>C,RW</v>
      </c>
      <c r="E15" s="45">
        <f>VLOOKUP(B15,RW!A1:F189,3,FALSE)</f>
        <v>5</v>
      </c>
      <c r="F15" s="34" t="str">
        <f>VLOOKUP(B15,'Player Data'!A1:B734,2,FALSE)</f>
        <v>BUF</v>
      </c>
      <c r="G15" s="9">
        <f>VLOOKUP(B15,'Player Data'!A1:D734,3,FALSE)</f>
        <v>25</v>
      </c>
      <c r="H15" s="35">
        <f>IFERROR(VLOOKUP(B15,ADP!A1:G731,7,FALSE)/1000000,VLOOKUP(B15,ADP!A1:G731,7,FALSE))</f>
        <v>7.14</v>
      </c>
      <c r="I15" s="36">
        <f>IF(Settings!$E$15="POINTS",((R15*Q15)*Settings!$B$12)+(S15*Settings!$B$2)+(T15*Settings!$B$3)+(U15*Settings!$B$4)+(V15*Settings!$B$5)+(X15*Settings!$B$9)+(AA15*Settings!$B$6)+(W15*Settings!$B$8)+(AB15*Settings!$B$7)+(AC15*Settings!$B$14)+(AD15*Settings!$B$15)+(AE15*Settings!$B$16)+(AF15*Settings!$B$17)+(AG15*Settings!$B$18)+(Y15*Settings!$B$10)+(Z15*Settings!$B$11),VLOOKUP(B15,'Standard Deviations'!A1:C731,3,FALSE))</f>
        <v>12.847352372708929</v>
      </c>
      <c r="J15" s="37">
        <f t="shared" si="1"/>
        <v>0.15667502893547475</v>
      </c>
      <c r="K15" s="183">
        <f>IF(Settings!$E$18="C/LW/RW",VLOOKUP(B15,RW!A1:F189,6,FALSE),VLOOKUP(B15,F!A1:F431,6,FALSE))</f>
        <v>6.5670936536978486</v>
      </c>
      <c r="L15" s="36">
        <f t="shared" si="2"/>
        <v>0.91976101592406845</v>
      </c>
      <c r="M15" s="38">
        <f>IF(Settings!$E$9="YAHOO",VLOOKUP(B15,ADP!A1:E731,2,FALSE),IF(Settings!$E$9="ESPN",VLOOKUP(B15,ADP!A1:E731,3,FALSE),IF(Settings!$E$9="FANTRAX",VLOOKUP(B15,ADP!A1:E731,4,FALSE),VLOOKUP(B15,ADP!A1:E731,5,FALSE))))</f>
        <v>14.66</v>
      </c>
      <c r="N15" s="38">
        <f t="shared" si="3"/>
        <v>0.66000000000000014</v>
      </c>
      <c r="O15" s="38"/>
      <c r="P15" s="39" t="str">
        <f>IF(Settings!$E$27="ON",_xlfn.XLOOKUP(B15,ADP!A2:A731,ADP!H2:H731)," ")</f>
        <v xml:space="preserve"> </v>
      </c>
      <c r="Q15" s="40">
        <f>IF(Settings!$E$12="YES",VLOOKUP(B15,'Player Data'!A1:E734,5,FALSE),82)</f>
        <v>82</v>
      </c>
      <c r="R15" s="38">
        <f>VLOOKUP(B15,'Player Data'!$A1:$AE734,6,FALSE)</f>
        <v>19.796520986965199</v>
      </c>
      <c r="S15" s="40">
        <f>VLOOKUP(B15,'Player Data'!$A1:$AE734,7,FALSE)*$Q15*IFERROR((VLOOKUP(P15,Settings!$E$28:$F$33,2,FALSE)+1),1)</f>
        <v>48.473229946028482</v>
      </c>
      <c r="T15" s="40">
        <f>VLOOKUP(B15,'Player Data'!$A1:$AE734,8,FALSE)*$Q15*IFERROR((VLOOKUP(P15,Settings!$E$28:$F$33,2,FALSE)+1),1)</f>
        <v>46.836103899860206</v>
      </c>
      <c r="U15" s="40">
        <f t="shared" si="4"/>
        <v>95.309333845888688</v>
      </c>
      <c r="V15" s="40">
        <f>VLOOKUP(B15,'Player Data'!$A1:$AE734,10,FALSE)*$Q15*IFERROR(((VLOOKUP(P15,Settings!$E$28:$F$33,2,FALSE)/2)+1),1)</f>
        <v>321.47320684824308</v>
      </c>
      <c r="W15" s="40">
        <f>VLOOKUP(B15,'Player Data'!$A1:$AE734,11,FALSE)*$Q15*IFERROR((VLOOKUP(P15,Settings!$E$28:$F$33,2,FALSE)+1),1)</f>
        <v>19.333914722937564</v>
      </c>
      <c r="X15" s="40">
        <f>VLOOKUP(B15,'Player Data'!$A1:$AE734,12,FALSE)*$Q15*IFERROR((VLOOKUP(P15,Settings!$E$28:$F$33,2,FALSE)+1),1)</f>
        <v>33.142193153269588</v>
      </c>
      <c r="Y15" s="40">
        <f>VLOOKUP(B15,'Player Data'!$A1:$AE734,13,FALSE)*$Q15</f>
        <v>0.49532604354866688</v>
      </c>
      <c r="Z15" s="40">
        <f>VLOOKUP(B15,'Player Data'!$A1:$AE734,14,FALSE)*$Q15</f>
        <v>0.57357615251608429</v>
      </c>
      <c r="AA15" s="40">
        <f>VLOOKUP(B15,'Player Data'!$A1:$AE734,15,FALSE)*$Q15</f>
        <v>29.869766400284618</v>
      </c>
      <c r="AB15" s="40">
        <f>VLOOKUP(B15,'Player Data'!$A1:$AE734,16,FALSE)*$Q15</f>
        <v>67.083463485832624</v>
      </c>
      <c r="AC15" s="40">
        <f>VLOOKUP(B15,'Player Data'!$A1:$AE734,17,FALSE)*$Q15*IFERROR((VLOOKUP(P15,Settings!$E$28:$F$33,2,FALSE)+1),1)</f>
        <v>-0.68084987575772171</v>
      </c>
      <c r="AD15" s="40">
        <f>VLOOKUP(B15,'Player Data'!$A1:$AE734,18,FALSE)*$Q15</f>
        <v>40.311120489259324</v>
      </c>
      <c r="AE15" s="40">
        <f>VLOOKUP(B15,'Player Data'!$A1:$AE734,19,FALSE)*$Q15*IFERROR((VLOOKUP(P15,Settings!$E$28:$F$33,2,FALSE)+1),1)</f>
        <v>6.205497163552729</v>
      </c>
      <c r="AF15" s="40">
        <f>VLOOKUP(B15,'Player Data'!$A1:$AE734,20,FALSE)*$Q15</f>
        <v>357.75518168676234</v>
      </c>
      <c r="AG15" s="40">
        <f>VLOOKUP(B15,'Player Data'!$A1:$AE734,21,FALSE)*$Q15</f>
        <v>535.67604570427329</v>
      </c>
      <c r="AH15" s="41">
        <f>VLOOKUP(B15,'Player Data'!$A1:$AE734,22,FALSE)</f>
        <v>0.40042833820736901</v>
      </c>
      <c r="AI15" s="38"/>
      <c r="AJ15" s="42"/>
      <c r="AK15" s="40"/>
      <c r="AL15" s="40"/>
      <c r="AM15" s="40"/>
      <c r="AN15" s="40"/>
      <c r="AO15" s="40"/>
      <c r="AP15" s="40"/>
      <c r="AQ15" s="43"/>
      <c r="AR15" s="44"/>
      <c r="AS15" s="42"/>
    </row>
    <row r="16" spans="1:45" ht="21.2" customHeight="1">
      <c r="A16" s="181">
        <f t="shared" si="0"/>
        <v>15</v>
      </c>
      <c r="B16" s="8" t="s">
        <v>117</v>
      </c>
      <c r="C16" s="31" t="s">
        <v>104</v>
      </c>
      <c r="D16" s="32" t="str">
        <f>VLOOKUP(B16,'Player Data'!A1:D734,4,FALSE)</f>
        <v>LW</v>
      </c>
      <c r="E16" s="48">
        <f>VLOOKUP(B16,LW!A1:C227,3,FALSE)</f>
        <v>4</v>
      </c>
      <c r="F16" s="34" t="str">
        <f>VLOOKUP(B16,'Player Data'!A1:B734,2,FALSE)</f>
        <v>DAL</v>
      </c>
      <c r="G16" s="9">
        <f>VLOOKUP(B16,'Player Data'!A1:D734,3,FALSE)</f>
        <v>24</v>
      </c>
      <c r="H16" s="35">
        <f>IFERROR(VLOOKUP(B16,ADP!A1:G731,7,FALSE)/1000000,VLOOKUP(B16,ADP!A1:G731,7,FALSE))</f>
        <v>7.75</v>
      </c>
      <c r="I16" s="36">
        <f>IF(Settings!$E$15="POINTS",((R16*Q16)*Settings!$B$12)+(S16*Settings!$B$2)+(T16*Settings!$B$3)+(U16*Settings!$B$4)+(V16*Settings!$B$5)+(X16*Settings!$B$9)+(AA16*Settings!$B$6)+(W16*Settings!$B$8)+(AB16*Settings!$B$7)+(AC16*Settings!$B$14)+(AD16*Settings!$B$15)+(AE16*Settings!$B$16)+(AF16*Settings!$B$17)+(AG16*Settings!$B$18)+(Y16*Settings!$B$10)+(Z16*Settings!$B$11),VLOOKUP(B16,'Standard Deviations'!A1:C731,3,FALSE))</f>
        <v>12.964649656239818</v>
      </c>
      <c r="J16" s="37">
        <f t="shared" si="1"/>
        <v>0.1581054836126807</v>
      </c>
      <c r="K16" s="183">
        <f>IF(Settings!$E$18="C/LW/RW",VLOOKUP(B16,LW!A1:F227,6,FALSE),VLOOKUP(B16,F!A1:F431,6,FALSE))</f>
        <v>6.3099806121154165</v>
      </c>
      <c r="L16" s="36">
        <f t="shared" si="2"/>
        <v>0.81419104672456988</v>
      </c>
      <c r="M16" s="38">
        <f>IF(Settings!$E$9="YAHOO",VLOOKUP(B16,ADP!A1:E731,2,FALSE),IF(Settings!$E$9="ESPN",VLOOKUP(B16,ADP!A1:E731,3,FALSE),IF(Settings!$E$9="FANTRAX",VLOOKUP(B16,ADP!A1:E731,4,FALSE),VLOOKUP(B16,ADP!A1:E731,5,FALSE))))</f>
        <v>9.81</v>
      </c>
      <c r="N16" s="38">
        <f t="shared" si="3"/>
        <v>-5.1899999999999995</v>
      </c>
      <c r="O16" s="38"/>
      <c r="P16" s="39" t="str">
        <f>IF(Settings!$E$27="ON",_xlfn.XLOOKUP(B16,ADP!A2:A731,ADP!H2:H731)," ")</f>
        <v xml:space="preserve"> </v>
      </c>
      <c r="Q16" s="40">
        <f>IF(Settings!$E$12="YES",VLOOKUP(B16,'Player Data'!A1:E734,5,FALSE),82)</f>
        <v>82</v>
      </c>
      <c r="R16" s="38">
        <f>VLOOKUP(B16,'Player Data'!$A1:$AE734,6,FALSE)</f>
        <v>18.8333642730564</v>
      </c>
      <c r="S16" s="40">
        <f>VLOOKUP(B16,'Player Data'!$A1:$AE734,7,FALSE)*$Q16*IFERROR((VLOOKUP(P16,Settings!$E$28:$F$33,2,FALSE)+1),1)</f>
        <v>44.309028052016785</v>
      </c>
      <c r="T16" s="40">
        <f>VLOOKUP(B16,'Player Data'!$A1:$AE734,8,FALSE)*$Q16*IFERROR((VLOOKUP(P16,Settings!$E$28:$F$33,2,FALSE)+1),1)</f>
        <v>56.528462020841772</v>
      </c>
      <c r="U16" s="40">
        <f t="shared" si="4"/>
        <v>100.83749007285856</v>
      </c>
      <c r="V16" s="40">
        <f>VLOOKUP(B16,'Player Data'!$A1:$AE734,10,FALSE)*$Q16*IFERROR(((VLOOKUP(P16,Settings!$E$28:$F$33,2,FALSE)/2)+1),1)</f>
        <v>290.10716873831757</v>
      </c>
      <c r="W16" s="40">
        <f>VLOOKUP(B16,'Player Data'!$A1:$AE734,11,FALSE)*$Q16*IFERROR((VLOOKUP(P16,Settings!$E$28:$F$33,2,FALSE)+1),1)</f>
        <v>12.975288289263437</v>
      </c>
      <c r="X16" s="40">
        <f>VLOOKUP(B16,'Player Data'!$A1:$AE734,12,FALSE)*$Q16*IFERROR((VLOOKUP(P16,Settings!$E$28:$F$33,2,FALSE)+1),1)</f>
        <v>34.096193222416218</v>
      </c>
      <c r="Y16" s="40">
        <f>VLOOKUP(B16,'Player Data'!$A1:$AE734,13,FALSE)*$Q16</f>
        <v>4.5915984499422073E-3</v>
      </c>
      <c r="Z16" s="40">
        <f>VLOOKUP(B16,'Player Data'!$A1:$AE734,14,FALSE)*$Q16</f>
        <v>9.0647010843949351E-3</v>
      </c>
      <c r="AA16" s="40">
        <f>VLOOKUP(B16,'Player Data'!$A1:$AE734,15,FALSE)*$Q16</f>
        <v>22.961236757817868</v>
      </c>
      <c r="AB16" s="40">
        <f>VLOOKUP(B16,'Player Data'!$A1:$AE734,16,FALSE)*$Q16</f>
        <v>59.128564555264823</v>
      </c>
      <c r="AC16" s="40">
        <f>VLOOKUP(B16,'Player Data'!$A1:$AE734,17,FALSE)*$Q16*IFERROR((VLOOKUP(P16,Settings!$E$28:$F$33,2,FALSE)+1),1)</f>
        <v>11.330716658011367</v>
      </c>
      <c r="AD16" s="40">
        <f>VLOOKUP(B16,'Player Data'!$A1:$AE734,18,FALSE)*$Q16</f>
        <v>25.62997925926193</v>
      </c>
      <c r="AE16" s="40">
        <f>VLOOKUP(B16,'Player Data'!$A1:$AE734,19,FALSE)*$Q16*IFERROR((VLOOKUP(P16,Settings!$E$28:$F$33,2,FALSE)+1),1)</f>
        <v>7.0891303792098297</v>
      </c>
      <c r="AF16" s="40">
        <f>VLOOKUP(B16,'Player Data'!$A1:$AE734,20,FALSE)*$Q16</f>
        <v>0.21585805454071236</v>
      </c>
      <c r="AG16" s="40">
        <f>VLOOKUP(B16,'Player Data'!$A1:$AE734,21,FALSE)*$Q16</f>
        <v>1.6709584125101959</v>
      </c>
      <c r="AH16" s="41">
        <f>VLOOKUP(B16,'Player Data'!$A1:$AE734,22,FALSE)</f>
        <v>0.11440331283418199</v>
      </c>
      <c r="AI16" s="38"/>
      <c r="AJ16" s="42"/>
      <c r="AK16" s="40"/>
      <c r="AL16" s="40"/>
      <c r="AM16" s="40"/>
      <c r="AN16" s="40"/>
      <c r="AO16" s="40"/>
      <c r="AP16" s="40"/>
      <c r="AQ16" s="43"/>
      <c r="AR16" s="44"/>
      <c r="AS16" s="42"/>
    </row>
    <row r="17" spans="1:45" ht="21.2" customHeight="1">
      <c r="A17" s="181">
        <f t="shared" si="0"/>
        <v>16</v>
      </c>
      <c r="B17" s="8" t="s">
        <v>122</v>
      </c>
      <c r="C17" s="31" t="s">
        <v>104</v>
      </c>
      <c r="D17" s="32" t="str">
        <f>VLOOKUP(B17,'Player Data'!A1:D734,4,FALSE)</f>
        <v>D</v>
      </c>
      <c r="E17" s="47">
        <f>VLOOKUP(B17,D!A1:C229,3,FALSE)</f>
        <v>4</v>
      </c>
      <c r="F17" s="34" t="str">
        <f>VLOOKUP(B17,'Player Data'!A1:B734,2,FALSE)</f>
        <v>NJD</v>
      </c>
      <c r="G17" s="9">
        <f>VLOOKUP(B17,'Player Data'!A1:D734,3,FALSE)</f>
        <v>30</v>
      </c>
      <c r="H17" s="35">
        <f>IFERROR(VLOOKUP(B17,ADP!A1:G731,7,FALSE)/1000000,VLOOKUP(B17,ADP!A1:G731,7,FALSE))</f>
        <v>9</v>
      </c>
      <c r="I17" s="36">
        <f>IF(Settings!$E$15="POINTS",((R17*Q17)*Settings!$B$12)+(S17*Settings!$B$2)+(T17*Settings!$B$3)+(U17*Settings!$B$4)+(V17*Settings!$B$5)+(X17*Settings!$B$9)+(AA17*Settings!$B$6)+(W17*Settings!$B$8)+(AB17*Settings!$B$7)+(AC17*Settings!$B$14)+(AD17*Settings!$B$15)+(AE17*Settings!$B$16)+(AF17*Settings!$B$17)+(AG17*Settings!$B$18)+(U17*Settings!$B$13)+(Y17*Settings!$B$10)+(Z17*Settings!$B$11),VLOOKUP(B17,'Standard Deviations'!A1:C731,3,FALSE))</f>
        <v>7.4620068130550559</v>
      </c>
      <c r="J17" s="37">
        <f t="shared" si="1"/>
        <v>9.100008308603727E-2</v>
      </c>
      <c r="K17" s="183">
        <f>VLOOKUP(B17,D!A1:F229,6,FALSE)</f>
        <v>5.5202662694207447</v>
      </c>
      <c r="L17" s="36">
        <f t="shared" si="2"/>
        <v>0.6133629188245272</v>
      </c>
      <c r="M17" s="38">
        <f>IF(Settings!$E$9="YAHOO",VLOOKUP(B17,ADP!A1:E731,2,FALSE),IF(Settings!$E$9="ESPN",VLOOKUP(B17,ADP!A1:E731,3,FALSE),IF(Settings!$E$9="FANTRAX",VLOOKUP(B17,ADP!A1:E731,4,FALSE),VLOOKUP(B17,ADP!A1:E731,5,FALSE))))</f>
        <v>29.9</v>
      </c>
      <c r="N17" s="38">
        <f t="shared" si="3"/>
        <v>13.899999999999999</v>
      </c>
      <c r="O17" s="38"/>
      <c r="P17" s="39" t="str">
        <f>IF(Settings!$E$27="ON",_xlfn.XLOOKUP(B17,ADP!A2:A731,ADP!H2:H731)," ")</f>
        <v>+</v>
      </c>
      <c r="Q17" s="40">
        <f>IF(Settings!$E$12="YES",VLOOKUP(B17,'Player Data'!A1:E734,5,FALSE),82)</f>
        <v>82</v>
      </c>
      <c r="R17" s="38">
        <f>VLOOKUP(B17,'Player Data'!$A1:$AE734,6,FALSE)</f>
        <v>22.454265594512201</v>
      </c>
      <c r="S17" s="40">
        <f>VLOOKUP(B17,'Player Data'!$A1:$AE734,7,FALSE)*$Q17*IFERROR((VLOOKUP(P17,Settings!$E$28:$F$33,2,FALSE)+1),1)</f>
        <v>18.134547238347217</v>
      </c>
      <c r="T17" s="40">
        <f>VLOOKUP(B17,'Player Data'!$A1:$AE734,8,FALSE)*$Q17*IFERROR((VLOOKUP(P17,Settings!$E$28:$F$33,2,FALSE)+1),1)</f>
        <v>48.419117635621355</v>
      </c>
      <c r="U17" s="40">
        <f t="shared" si="4"/>
        <v>66.553664873968572</v>
      </c>
      <c r="V17" s="40">
        <f>VLOOKUP(B17,'Player Data'!$A1:$AE734,10,FALSE)*$Q17*IFERROR(((VLOOKUP(P17,Settings!$E$28:$F$33,2,FALSE)/2)+1),1)</f>
        <v>276.58526600027579</v>
      </c>
      <c r="W17" s="40">
        <f>VLOOKUP(B17,'Player Data'!$A1:$AE734,11,FALSE)*$Q17*IFERROR((VLOOKUP(P17,Settings!$E$28:$F$33,2,FALSE)+1),1)</f>
        <v>6.6647119687769321</v>
      </c>
      <c r="X17" s="40">
        <f>VLOOKUP(B17,'Player Data'!$A1:$AE734,12,FALSE)*$Q17*IFERROR((VLOOKUP(P17,Settings!$E$28:$F$33,2,FALSE)+1),1)</f>
        <v>27.438267851710286</v>
      </c>
      <c r="Y17" s="40">
        <f>VLOOKUP(B17,'Player Data'!$A1:$AE734,13,FALSE)*$Q17</f>
        <v>0.13038852585502023</v>
      </c>
      <c r="Z17" s="40">
        <f>VLOOKUP(B17,'Player Data'!$A1:$AE734,14,FALSE)*$Q17</f>
        <v>0.17611000241328392</v>
      </c>
      <c r="AA17" s="40">
        <f>VLOOKUP(B17,'Player Data'!$A1:$AE734,15,FALSE)*$Q17</f>
        <v>100.78448746261223</v>
      </c>
      <c r="AB17" s="40">
        <f>VLOOKUP(B17,'Player Data'!$A1:$AE734,16,FALSE)*$Q17</f>
        <v>78.907236422852392</v>
      </c>
      <c r="AC17" s="40">
        <f>VLOOKUP(B17,'Player Data'!$A1:$AE734,17,FALSE)*$Q17*IFERROR((VLOOKUP(P17,Settings!$E$28:$F$33,2,FALSE)+1),1)</f>
        <v>1.447953846879791</v>
      </c>
      <c r="AD17" s="40">
        <f>VLOOKUP(B17,'Player Data'!$A1:$AE734,18,FALSE)*$Q17</f>
        <v>49.936571117370562</v>
      </c>
      <c r="AE17" s="40">
        <f>VLOOKUP(B17,'Player Data'!$A1:$AE734,19,FALSE)*$Q17*IFERROR((VLOOKUP(P17,Settings!$E$28:$F$33,2,FALSE)+1),1)</f>
        <v>2.6653791393721233</v>
      </c>
      <c r="AF17" s="40">
        <f>VLOOKUP(B17,'Player Data'!$A1:$AE734,20,FALSE)*$Q17</f>
        <v>0</v>
      </c>
      <c r="AG17" s="40">
        <f>VLOOKUP(B17,'Player Data'!$A1:$AE734,21,FALSE)*$Q17</f>
        <v>0</v>
      </c>
      <c r="AH17" s="41">
        <f>VLOOKUP(B17,'Player Data'!$A1:$AE734,22,FALSE)</f>
        <v>0</v>
      </c>
      <c r="AI17" s="38"/>
      <c r="AJ17" s="42"/>
      <c r="AK17" s="40"/>
      <c r="AL17" s="40"/>
      <c r="AM17" s="40"/>
      <c r="AN17" s="40"/>
      <c r="AO17" s="40"/>
      <c r="AP17" s="40"/>
      <c r="AQ17" s="43"/>
      <c r="AR17" s="44"/>
      <c r="AS17" s="38"/>
    </row>
    <row r="18" spans="1:45" ht="21.2" customHeight="1">
      <c r="A18" s="181">
        <f t="shared" si="0"/>
        <v>17</v>
      </c>
      <c r="B18" s="8" t="s">
        <v>118</v>
      </c>
      <c r="C18" s="31" t="s">
        <v>104</v>
      </c>
      <c r="D18" s="32" t="str">
        <f>VLOOKUP(B18,'Player Data'!A1:D734,4,FALSE)</f>
        <v>RW</v>
      </c>
      <c r="E18" s="46">
        <f>VLOOKUP(B18,RW!A1:F189,3,FALSE)</f>
        <v>6</v>
      </c>
      <c r="F18" s="34" t="str">
        <f>VLOOKUP(B18,'Player Data'!A1:B734,2,FALSE)</f>
        <v>TOR</v>
      </c>
      <c r="G18" s="9">
        <f>VLOOKUP(B18,'Player Data'!A1:D734,3,FALSE)</f>
        <v>26</v>
      </c>
      <c r="H18" s="35">
        <f>IFERROR(VLOOKUP(B18,ADP!A1:G731,7,FALSE)/1000000,VLOOKUP(B18,ADP!A1:G731,7,FALSE))</f>
        <v>10.903</v>
      </c>
      <c r="I18" s="36">
        <f>IF(Settings!$E$15="POINTS",((R18*Q18)*Settings!$B$12)+(S18*Settings!$B$2)+(T18*Settings!$B$3)+(U18*Settings!$B$4)+(V18*Settings!$B$5)+(X18*Settings!$B$9)+(AA18*Settings!$B$6)+(W18*Settings!$B$8)+(AB18*Settings!$B$7)+(AC18*Settings!$B$14)+(AD18*Settings!$B$15)+(AE18*Settings!$B$16)+(AF18*Settings!$B$17)+(AG18*Settings!$B$18)+(Y18*Settings!$B$10)+(Z18*Settings!$B$11),VLOOKUP(B18,'Standard Deviations'!A1:C731,3,FALSE))</f>
        <v>11.769975097882236</v>
      </c>
      <c r="J18" s="37">
        <f t="shared" si="1"/>
        <v>0.14353628168149069</v>
      </c>
      <c r="K18" s="183">
        <f>IF(Settings!$E$18="C/LW/RW",VLOOKUP(B18,RW!A1:F189,6,FALSE),VLOOKUP(B18,F!A1:F431,6,FALSE))</f>
        <v>5.4897163788711554</v>
      </c>
      <c r="L18" s="36">
        <f t="shared" si="2"/>
        <v>0.50350512509136525</v>
      </c>
      <c r="M18" s="38">
        <f>IF(Settings!$E$9="YAHOO",VLOOKUP(B18,ADP!A1:E731,2,FALSE),IF(Settings!$E$9="ESPN",VLOOKUP(B18,ADP!A1:E731,3,FALSE),IF(Settings!$E$9="FANTRAX",VLOOKUP(B18,ADP!A1:E731,4,FALSE),VLOOKUP(B18,ADP!A1:E731,5,FALSE))))</f>
        <v>18.21</v>
      </c>
      <c r="N18" s="38">
        <f t="shared" si="3"/>
        <v>1.2100000000000009</v>
      </c>
      <c r="O18" s="38"/>
      <c r="P18" s="39" t="str">
        <f>IF(Settings!$E$27="ON",_xlfn.XLOOKUP(B18,ADP!A2:A731,ADP!H2:H731)," ")</f>
        <v xml:space="preserve"> </v>
      </c>
      <c r="Q18" s="40">
        <f>IF(Settings!$E$12="YES",VLOOKUP(B18,'Player Data'!A1:E734,5,FALSE),82)</f>
        <v>82</v>
      </c>
      <c r="R18" s="38">
        <f>VLOOKUP(B18,'Player Data'!$A1:$AE734,6,FALSE)</f>
        <v>21.310741285327701</v>
      </c>
      <c r="S18" s="40">
        <f>VLOOKUP(B18,'Player Data'!$A1:$AE734,7,FALSE)*$Q18*IFERROR((VLOOKUP(P18,Settings!$E$28:$F$33,2,FALSE)+1),1)</f>
        <v>33.882133246961615</v>
      </c>
      <c r="T18" s="40">
        <f>VLOOKUP(B18,'Player Data'!$A1:$AE734,8,FALSE)*$Q18*IFERROR((VLOOKUP(P18,Settings!$E$28:$F$33,2,FALSE)+1),1)</f>
        <v>69.38308149197421</v>
      </c>
      <c r="U18" s="40">
        <f t="shared" si="4"/>
        <v>103.26521473893582</v>
      </c>
      <c r="V18" s="40">
        <f>VLOOKUP(B18,'Player Data'!$A1:$AE734,10,FALSE)*$Q18*IFERROR(((VLOOKUP(P18,Settings!$E$28:$F$33,2,FALSE)/2)+1),1)</f>
        <v>219.35891776290103</v>
      </c>
      <c r="W18" s="40">
        <f>VLOOKUP(B18,'Player Data'!$A1:$AE734,11,FALSE)*$Q18*IFERROR((VLOOKUP(P18,Settings!$E$28:$F$33,2,FALSE)+1),1)</f>
        <v>7.8203061570489538</v>
      </c>
      <c r="X18" s="40">
        <f>VLOOKUP(B18,'Player Data'!$A1:$AE734,12,FALSE)*$Q18*IFERROR((VLOOKUP(P18,Settings!$E$28:$F$33,2,FALSE)+1),1)</f>
        <v>33.61605618564051</v>
      </c>
      <c r="Y18" s="40">
        <f>VLOOKUP(B18,'Player Data'!$A1:$AE734,13,FALSE)*$Q18</f>
        <v>2.7195359613010588</v>
      </c>
      <c r="Z18" s="40">
        <f>VLOOKUP(B18,'Player Data'!$A1:$AE734,14,FALSE)*$Q18</f>
        <v>4.1772118928076676</v>
      </c>
      <c r="AA18" s="40">
        <f>VLOOKUP(B18,'Player Data'!$A1:$AE734,15,FALSE)*$Q18</f>
        <v>44.467223261333167</v>
      </c>
      <c r="AB18" s="40">
        <f>VLOOKUP(B18,'Player Data'!$A1:$AE734,16,FALSE)*$Q18</f>
        <v>63.514523959161416</v>
      </c>
      <c r="AC18" s="40">
        <f>VLOOKUP(B18,'Player Data'!$A1:$AE734,17,FALSE)*$Q18*IFERROR((VLOOKUP(P18,Settings!$E$28:$F$33,2,FALSE)+1),1)</f>
        <v>9.5164598586716522</v>
      </c>
      <c r="AD18" s="40">
        <f>VLOOKUP(B18,'Player Data'!$A1:$AE734,18,FALSE)*$Q18</f>
        <v>28.067101491597537</v>
      </c>
      <c r="AE18" s="40">
        <f>VLOOKUP(B18,'Player Data'!$A1:$AE734,19,FALSE)*$Q18*IFERROR((VLOOKUP(P18,Settings!$E$28:$F$33,2,FALSE)+1),1)</f>
        <v>5.4431557003898758</v>
      </c>
      <c r="AF18" s="40">
        <f>VLOOKUP(B18,'Player Data'!$A1:$AE734,20,FALSE)*$Q18</f>
        <v>2.3346992703594576</v>
      </c>
      <c r="AG18" s="40">
        <f>VLOOKUP(B18,'Player Data'!$A1:$AE734,21,FALSE)*$Q18</f>
        <v>4.4033083258921009</v>
      </c>
      <c r="AH18" s="41">
        <f>VLOOKUP(B18,'Player Data'!$A1:$AE734,22,FALSE)</f>
        <v>0.34649697807676599</v>
      </c>
      <c r="AI18" s="38"/>
      <c r="AJ18" s="42"/>
      <c r="AK18" s="40"/>
      <c r="AL18" s="40"/>
      <c r="AM18" s="40"/>
      <c r="AN18" s="40"/>
      <c r="AO18" s="40"/>
      <c r="AP18" s="40"/>
      <c r="AQ18" s="43"/>
      <c r="AR18" s="44"/>
      <c r="AS18" s="38"/>
    </row>
    <row r="19" spans="1:45" ht="21.2" customHeight="1">
      <c r="A19" s="181">
        <f t="shared" si="0"/>
        <v>18</v>
      </c>
      <c r="B19" s="8" t="s">
        <v>121</v>
      </c>
      <c r="C19" s="31" t="s">
        <v>104</v>
      </c>
      <c r="D19" s="32" t="str">
        <f>VLOOKUP(B19,'Player Data'!A1:D734,4,FALSE)</f>
        <v>D</v>
      </c>
      <c r="E19" s="47">
        <f>VLOOKUP(B19,D!A1:C229,3,FALSE)</f>
        <v>5</v>
      </c>
      <c r="F19" s="34" t="str">
        <f>VLOOKUP(B19,'Player Data'!A1:B734,2,FALSE)</f>
        <v>BUF</v>
      </c>
      <c r="G19" s="9">
        <f>VLOOKUP(B19,'Player Data'!A1:D734,3,FALSE)</f>
        <v>23</v>
      </c>
      <c r="H19" s="35">
        <f>IFERROR(VLOOKUP(B19,ADP!A1:G731,7,FALSE)/1000000,VLOOKUP(B19,ADP!A1:G731,7,FALSE))</f>
        <v>6</v>
      </c>
      <c r="I19" s="36">
        <f>IF(Settings!$E$15="POINTS",((R19*Q19)*Settings!$B$12)+(S19*Settings!$B$2)+(T19*Settings!$B$3)+(U19*Settings!$B$4)+(V19*Settings!$B$5)+(X19*Settings!$B$9)+(AA19*Settings!$B$6)+(W19*Settings!$B$8)+(AB19*Settings!$B$7)+(AC19*Settings!$B$14)+(AD19*Settings!$B$15)+(AE19*Settings!$B$16)+(AF19*Settings!$B$17)+(AG19*Settings!$B$18)+(U19*Settings!$B$13)+(Y19*Settings!$B$10)+(Z19*Settings!$B$11),VLOOKUP(B19,'Standard Deviations'!A1:C731,3,FALSE))</f>
        <v>7.1925018774443874</v>
      </c>
      <c r="J19" s="37">
        <f t="shared" si="1"/>
        <v>8.7713437529809604E-2</v>
      </c>
      <c r="K19" s="183">
        <f>VLOOKUP(B19,D!A1:F229,6,FALSE)</f>
        <v>5.2507613338100771</v>
      </c>
      <c r="L19" s="36">
        <f t="shared" si="2"/>
        <v>0.87512688896834623</v>
      </c>
      <c r="M19" s="38">
        <f>IF(Settings!$E$9="YAHOO",VLOOKUP(B19,ADP!A1:E731,2,FALSE),IF(Settings!$E$9="ESPN",VLOOKUP(B19,ADP!A1:E731,3,FALSE),IF(Settings!$E$9="FANTRAX",VLOOKUP(B19,ADP!A1:E731,4,FALSE),VLOOKUP(B19,ADP!A1:E731,5,FALSE))))</f>
        <v>29.68</v>
      </c>
      <c r="N19" s="38">
        <f t="shared" si="3"/>
        <v>11.68</v>
      </c>
      <c r="O19" s="38"/>
      <c r="P19" s="39" t="str">
        <f>IF(Settings!$E$27="ON",_xlfn.XLOOKUP(B19,ADP!A2:A731,ADP!H2:H731)," ")</f>
        <v>+</v>
      </c>
      <c r="Q19" s="40">
        <f>IF(Settings!$E$12="YES",VLOOKUP(B19,'Player Data'!A1:E734,5,FALSE),82)</f>
        <v>82</v>
      </c>
      <c r="R19" s="38">
        <f>VLOOKUP(B19,'Player Data'!$A1:$AE734,6,FALSE)</f>
        <v>25.612818272748601</v>
      </c>
      <c r="S19" s="40">
        <f>VLOOKUP(B19,'Player Data'!$A1:$AE734,7,FALSE)*$Q19*IFERROR((VLOOKUP(P19,Settings!$E$28:$F$33,2,FALSE)+1),1)</f>
        <v>15.280233847112704</v>
      </c>
      <c r="T19" s="40">
        <f>VLOOKUP(B19,'Player Data'!$A1:$AE734,8,FALSE)*$Q19*IFERROR((VLOOKUP(P19,Settings!$E$28:$F$33,2,FALSE)+1),1)</f>
        <v>56.117631392099334</v>
      </c>
      <c r="U19" s="40">
        <f t="shared" si="4"/>
        <v>71.397865239212038</v>
      </c>
      <c r="V19" s="40">
        <f>VLOOKUP(B19,'Player Data'!$A1:$AE734,10,FALSE)*$Q19*IFERROR(((VLOOKUP(P19,Settings!$E$28:$F$33,2,FALSE)/2)+1),1)</f>
        <v>211.02540968749881</v>
      </c>
      <c r="W19" s="40">
        <f>VLOOKUP(B19,'Player Data'!$A1:$AE734,11,FALSE)*$Q19*IFERROR((VLOOKUP(P19,Settings!$E$28:$F$33,2,FALSE)+1),1)</f>
        <v>5.1687963950564004</v>
      </c>
      <c r="X19" s="40">
        <f>VLOOKUP(B19,'Player Data'!$A1:$AE734,12,FALSE)*$Q19*IFERROR((VLOOKUP(P19,Settings!$E$28:$F$33,2,FALSE)+1),1)</f>
        <v>30.75102090403221</v>
      </c>
      <c r="Y19" s="40">
        <f>VLOOKUP(B19,'Player Data'!$A1:$AE734,13,FALSE)*$Q19</f>
        <v>3.6935618666942366E-2</v>
      </c>
      <c r="Z19" s="40">
        <f>VLOOKUP(B19,'Player Data'!$A1:$AE734,14,FALSE)*$Q19</f>
        <v>0.40936334798994167</v>
      </c>
      <c r="AA19" s="40">
        <f>VLOOKUP(B19,'Player Data'!$A1:$AE734,15,FALSE)*$Q19</f>
        <v>123.13779443718494</v>
      </c>
      <c r="AB19" s="40">
        <f>VLOOKUP(B19,'Player Data'!$A1:$AE734,16,FALSE)*$Q19</f>
        <v>113.77931413207595</v>
      </c>
      <c r="AC19" s="40">
        <f>VLOOKUP(B19,'Player Data'!$A1:$AE734,17,FALSE)*$Q19*IFERROR((VLOOKUP(P19,Settings!$E$28:$F$33,2,FALSE)+1),1)</f>
        <v>-0.6118871077070962</v>
      </c>
      <c r="AD19" s="40">
        <f>VLOOKUP(B19,'Player Data'!$A1:$AE734,18,FALSE)*$Q19</f>
        <v>72.237148974279506</v>
      </c>
      <c r="AE19" s="40">
        <f>VLOOKUP(B19,'Player Data'!$A1:$AE734,19,FALSE)*$Q19*IFERROR((VLOOKUP(P19,Settings!$E$28:$F$33,2,FALSE)+1),1)</f>
        <v>1.9561611203185254</v>
      </c>
      <c r="AF19" s="40">
        <f>VLOOKUP(B19,'Player Data'!$A1:$AE734,20,FALSE)*$Q19</f>
        <v>0</v>
      </c>
      <c r="AG19" s="40">
        <f>VLOOKUP(B19,'Player Data'!$A1:$AE734,21,FALSE)*$Q19</f>
        <v>0</v>
      </c>
      <c r="AH19" s="41">
        <f>VLOOKUP(B19,'Player Data'!$A1:$AE734,22,FALSE)</f>
        <v>0</v>
      </c>
      <c r="AI19" s="38"/>
      <c r="AJ19" s="40"/>
      <c r="AK19" s="40"/>
      <c r="AL19" s="40"/>
      <c r="AM19" s="40"/>
      <c r="AN19" s="40"/>
      <c r="AO19" s="40"/>
      <c r="AP19" s="40"/>
      <c r="AQ19" s="43"/>
      <c r="AR19" s="44"/>
      <c r="AS19" s="38"/>
    </row>
    <row r="20" spans="1:45" ht="21.2" customHeight="1">
      <c r="A20" s="181">
        <f t="shared" si="0"/>
        <v>19</v>
      </c>
      <c r="B20" s="8" t="s">
        <v>124</v>
      </c>
      <c r="C20" s="31" t="s">
        <v>104</v>
      </c>
      <c r="D20" s="32" t="str">
        <f>VLOOKUP(B20,'Player Data'!A1:D734,4,FALSE)</f>
        <v>D</v>
      </c>
      <c r="E20" s="47">
        <f>VLOOKUP(B20,D!A1:C229,3,FALSE)</f>
        <v>6</v>
      </c>
      <c r="F20" s="34" t="str">
        <f>VLOOKUP(B20,'Player Data'!A1:B734,2,FALSE)</f>
        <v>DAL</v>
      </c>
      <c r="G20" s="9">
        <f>VLOOKUP(B20,'Player Data'!A1:D734,3,FALSE)</f>
        <v>24</v>
      </c>
      <c r="H20" s="35">
        <f>IFERROR(VLOOKUP(B20,ADP!A1:G731,7,FALSE)/1000000,VLOOKUP(B20,ADP!A1:G731,7,FALSE))</f>
        <v>8.4499999999999993</v>
      </c>
      <c r="I20" s="36">
        <f>IF(Settings!$E$15="POINTS",((R20*Q20)*Settings!$B$12)+(S20*Settings!$B$2)+(T20*Settings!$B$3)+(U20*Settings!$B$4)+(V20*Settings!$B$5)+(X20*Settings!$B$9)+(AA20*Settings!$B$6)+(W20*Settings!$B$8)+(AB20*Settings!$B$7)+(AC20*Settings!$B$14)+(AD20*Settings!$B$15)+(AE20*Settings!$B$16)+(AF20*Settings!$B$17)+(AG20*Settings!$B$18)+(U20*Settings!$B$13)+(Y20*Settings!$B$10)+(Z20*Settings!$B$11),VLOOKUP(B20,'Standard Deviations'!A1:C731,3,FALSE))</f>
        <v>7.0602215458269182</v>
      </c>
      <c r="J20" s="37">
        <f t="shared" si="1"/>
        <v>8.61002627539868E-2</v>
      </c>
      <c r="K20" s="183">
        <f>VLOOKUP(B20,D!A1:F229,6,FALSE)</f>
        <v>5.1184810021926079</v>
      </c>
      <c r="L20" s="36">
        <f t="shared" si="2"/>
        <v>0.60573739670918447</v>
      </c>
      <c r="M20" s="38">
        <f>IF(Settings!$E$9="YAHOO",VLOOKUP(B20,ADP!A1:E731,2,FALSE),IF(Settings!$E$9="ESPN",VLOOKUP(B20,ADP!A1:E731,3,FALSE),IF(Settings!$E$9="FANTRAX",VLOOKUP(B20,ADP!A1:E731,4,FALSE),VLOOKUP(B20,ADP!A1:E731,5,FALSE))))</f>
        <v>37.32</v>
      </c>
      <c r="N20" s="38">
        <f t="shared" si="3"/>
        <v>18.32</v>
      </c>
      <c r="O20" s="38"/>
      <c r="P20" s="39" t="str">
        <f>IF(Settings!$E$27="ON",_xlfn.XLOOKUP(B20,ADP!A2:A731,ADP!H2:H731)," ")</f>
        <v>+ +</v>
      </c>
      <c r="Q20" s="40">
        <f>IF(Settings!$E$12="YES",VLOOKUP(B20,'Player Data'!A1:E734,5,FALSE),82)</f>
        <v>82</v>
      </c>
      <c r="R20" s="38">
        <f>VLOOKUP(B20,'Player Data'!$A1:$AE734,6,FALSE)</f>
        <v>25.602225706960098</v>
      </c>
      <c r="S20" s="40">
        <f>VLOOKUP(B20,'Player Data'!$A1:$AE734,7,FALSE)*$Q20*IFERROR((VLOOKUP(P20,Settings!$E$28:$F$33,2,FALSE)+1),1)</f>
        <v>11.812147048249694</v>
      </c>
      <c r="T20" s="40">
        <f>VLOOKUP(B20,'Player Data'!$A1:$AE734,8,FALSE)*$Q20*IFERROR((VLOOKUP(P20,Settings!$E$28:$F$33,2,FALSE)+1),1)</f>
        <v>58.614896408358476</v>
      </c>
      <c r="U20" s="40">
        <f t="shared" si="4"/>
        <v>70.427043456608175</v>
      </c>
      <c r="V20" s="40">
        <f>VLOOKUP(B20,'Player Data'!$A1:$AE734,10,FALSE)*$Q20*IFERROR(((VLOOKUP(P20,Settings!$E$28:$F$33,2,FALSE)/2)+1),1)</f>
        <v>214.77262047150231</v>
      </c>
      <c r="W20" s="40">
        <f>VLOOKUP(B20,'Player Data'!$A1:$AE734,11,FALSE)*$Q20*IFERROR((VLOOKUP(P20,Settings!$E$28:$F$33,2,FALSE)+1),1)</f>
        <v>3.7742123419452622</v>
      </c>
      <c r="X20" s="40">
        <f>VLOOKUP(B20,'Player Data'!$A1:$AE734,12,FALSE)*$Q20*IFERROR((VLOOKUP(P20,Settings!$E$28:$F$33,2,FALSE)+1),1)</f>
        <v>30.738848136492397</v>
      </c>
      <c r="Y20" s="40">
        <f>VLOOKUP(B20,'Player Data'!$A1:$AE734,13,FALSE)*$Q20</f>
        <v>4.6221892564810872E-2</v>
      </c>
      <c r="Z20" s="40">
        <f>VLOOKUP(B20,'Player Data'!$A1:$AE734,14,FALSE)*$Q20</f>
        <v>0.75304909489134519</v>
      </c>
      <c r="AA20" s="40">
        <f>VLOOKUP(B20,'Player Data'!$A1:$AE734,15,FALSE)*$Q20</f>
        <v>107.5705730075677</v>
      </c>
      <c r="AB20" s="40">
        <f>VLOOKUP(B20,'Player Data'!$A1:$AE734,16,FALSE)*$Q20</f>
        <v>64.707914789285809</v>
      </c>
      <c r="AC20" s="40">
        <f>VLOOKUP(B20,'Player Data'!$A1:$AE734,17,FALSE)*$Q20*IFERROR((VLOOKUP(P20,Settings!$E$28:$F$33,2,FALSE)+1),1)</f>
        <v>8.0420337349235531</v>
      </c>
      <c r="AD20" s="40">
        <f>VLOOKUP(B20,'Player Data'!$A1:$AE734,18,FALSE)*$Q20</f>
        <v>31.920044306919877</v>
      </c>
      <c r="AE20" s="40">
        <f>VLOOKUP(B20,'Player Data'!$A1:$AE734,19,FALSE)*$Q20*IFERROR((VLOOKUP(P20,Settings!$E$28:$F$33,2,FALSE)+1),1)</f>
        <v>1.8898597907662544</v>
      </c>
      <c r="AF20" s="40">
        <f>VLOOKUP(B20,'Player Data'!$A1:$AE734,20,FALSE)*$Q20</f>
        <v>0</v>
      </c>
      <c r="AG20" s="40">
        <f>VLOOKUP(B20,'Player Data'!$A1:$AE734,21,FALSE)*$Q20</f>
        <v>0</v>
      </c>
      <c r="AH20" s="41">
        <f>VLOOKUP(B20,'Player Data'!$A1:$AE734,22,FALSE)</f>
        <v>0</v>
      </c>
      <c r="AI20" s="38"/>
      <c r="AJ20" s="42"/>
      <c r="AK20" s="40"/>
      <c r="AL20" s="40"/>
      <c r="AM20" s="40"/>
      <c r="AN20" s="40"/>
      <c r="AO20" s="40"/>
      <c r="AP20" s="40"/>
      <c r="AQ20" s="43"/>
      <c r="AR20" s="44"/>
      <c r="AS20" s="42"/>
    </row>
    <row r="21" spans="1:45" ht="21.2" customHeight="1">
      <c r="A21" s="181">
        <f t="shared" si="0"/>
        <v>20</v>
      </c>
      <c r="B21" s="8" t="s">
        <v>125</v>
      </c>
      <c r="C21" s="31" t="s">
        <v>104</v>
      </c>
      <c r="D21" s="32" t="str">
        <f>VLOOKUP(B21,'Player Data'!A1:D734,4,FALSE)</f>
        <v>D</v>
      </c>
      <c r="E21" s="47">
        <f>VLOOKUP(B21,D!A1:C229,3,FALSE)</f>
        <v>7</v>
      </c>
      <c r="F21" s="34" t="str">
        <f>VLOOKUP(B21,'Player Data'!A1:B734,2,FALSE)</f>
        <v>VAN</v>
      </c>
      <c r="G21" s="9">
        <f>VLOOKUP(B21,'Player Data'!A1:D734,3,FALSE)</f>
        <v>23</v>
      </c>
      <c r="H21" s="35">
        <f>IFERROR(VLOOKUP(B21,ADP!A1:G731,7,FALSE)/1000000,VLOOKUP(B21,ADP!A1:G731,7,FALSE))</f>
        <v>7.85</v>
      </c>
      <c r="I21" s="36">
        <f>IF(Settings!$E$15="POINTS",((R21*Q21)*Settings!$B$12)+(S21*Settings!$B$2)+(T21*Settings!$B$3)+(U21*Settings!$B$4)+(V21*Settings!$B$5)+(X21*Settings!$B$9)+(AA21*Settings!$B$6)+(W21*Settings!$B$8)+(AB21*Settings!$B$7)+(AC21*Settings!$B$14)+(AD21*Settings!$B$15)+(AE21*Settings!$B$16)+(AF21*Settings!$B$17)+(AG21*Settings!$B$18)+(U21*Settings!$B$13)+(Y21*Settings!$B$10)+(Z21*Settings!$B$11),VLOOKUP(B21,'Standard Deviations'!A1:C731,3,FALSE))</f>
        <v>7.0361166303533178</v>
      </c>
      <c r="J21" s="37">
        <f t="shared" si="1"/>
        <v>8.5806300370162417E-2</v>
      </c>
      <c r="K21" s="183">
        <f>VLOOKUP(B21,D!A1:F229,6,FALSE)</f>
        <v>5.0943760867190075</v>
      </c>
      <c r="L21" s="36">
        <f t="shared" si="2"/>
        <v>0.64896510658840867</v>
      </c>
      <c r="M21" s="38">
        <f>IF(Settings!$E$9="YAHOO",VLOOKUP(B21,ADP!A1:E731,2,FALSE),IF(Settings!$E$9="ESPN",VLOOKUP(B21,ADP!A1:E731,3,FALSE),IF(Settings!$E$9="FANTRAX",VLOOKUP(B21,ADP!A1:E731,4,FALSE),VLOOKUP(B21,ADP!A1:E731,5,FALSE))))</f>
        <v>68.05</v>
      </c>
      <c r="N21" s="38">
        <f t="shared" si="3"/>
        <v>48.05</v>
      </c>
      <c r="O21" s="38"/>
      <c r="P21" s="39" t="str">
        <f>IF(Settings!$E$27="ON",_xlfn.XLOOKUP(B21,ADP!A2:A731,ADP!H2:H731)," ")</f>
        <v xml:space="preserve"> </v>
      </c>
      <c r="Q21" s="40">
        <f>IF(Settings!$E$12="YES",VLOOKUP(B21,'Player Data'!A1:E734,5,FALSE),82)</f>
        <v>82</v>
      </c>
      <c r="R21" s="38">
        <f>VLOOKUP(B21,'Player Data'!$A1:$AE734,6,FALSE)</f>
        <v>25.179356028181701</v>
      </c>
      <c r="S21" s="40">
        <f>VLOOKUP(B21,'Player Data'!$A1:$AE734,7,FALSE)*$Q21*IFERROR((VLOOKUP(P21,Settings!$E$28:$F$33,2,FALSE)+1),1)</f>
        <v>8.145519584513794</v>
      </c>
      <c r="T21" s="40">
        <f>VLOOKUP(B21,'Player Data'!$A1:$AE734,8,FALSE)*$Q21*IFERROR((VLOOKUP(P21,Settings!$E$28:$F$33,2,FALSE)+1),1)</f>
        <v>67.825805144086203</v>
      </c>
      <c r="U21" s="40">
        <f t="shared" si="4"/>
        <v>75.971324728599996</v>
      </c>
      <c r="V21" s="40">
        <f>VLOOKUP(B21,'Player Data'!$A1:$AE734,10,FALSE)*$Q21*IFERROR(((VLOOKUP(P21,Settings!$E$28:$F$33,2,FALSE)/2)+1),1)</f>
        <v>163.93694618617707</v>
      </c>
      <c r="W21" s="40">
        <f>VLOOKUP(B21,'Player Data'!$A1:$AE734,11,FALSE)*$Q21*IFERROR((VLOOKUP(P21,Settings!$E$28:$F$33,2,FALSE)+1),1)</f>
        <v>1.3174621848986379</v>
      </c>
      <c r="X21" s="40">
        <f>VLOOKUP(B21,'Player Data'!$A1:$AE734,12,FALSE)*$Q21*IFERROR((VLOOKUP(P21,Settings!$E$28:$F$33,2,FALSE)+1),1)</f>
        <v>33.408183686136923</v>
      </c>
      <c r="Y21" s="40">
        <f>VLOOKUP(B21,'Player Data'!$A1:$AE734,13,FALSE)*$Q21</f>
        <v>3.5940719821268029E-2</v>
      </c>
      <c r="Z21" s="40">
        <f>VLOOKUP(B21,'Player Data'!$A1:$AE734,14,FALSE)*$Q21</f>
        <v>0.75159615667780177</v>
      </c>
      <c r="AA21" s="40">
        <f>VLOOKUP(B21,'Player Data'!$A1:$AE734,15,FALSE)*$Q21</f>
        <v>79.683947784769913</v>
      </c>
      <c r="AB21" s="40">
        <f>VLOOKUP(B21,'Player Data'!$A1:$AE734,16,FALSE)*$Q21</f>
        <v>41.548994124254286</v>
      </c>
      <c r="AC21" s="40">
        <f>VLOOKUP(B21,'Player Data'!$A1:$AE734,17,FALSE)*$Q21*IFERROR((VLOOKUP(P21,Settings!$E$28:$F$33,2,FALSE)+1),1)</f>
        <v>1.8710726851236206</v>
      </c>
      <c r="AD21" s="40">
        <f>VLOOKUP(B21,'Player Data'!$A1:$AE734,18,FALSE)*$Q21</f>
        <v>35.722302291767257</v>
      </c>
      <c r="AE21" s="40">
        <f>VLOOKUP(B21,'Player Data'!$A1:$AE734,19,FALSE)*$Q21*IFERROR((VLOOKUP(P21,Settings!$E$28:$F$33,2,FALSE)+1),1)</f>
        <v>1.1530768929316291</v>
      </c>
      <c r="AF21" s="40">
        <f>VLOOKUP(B21,'Player Data'!$A1:$AE734,20,FALSE)*$Q21</f>
        <v>0.35779472321886169</v>
      </c>
      <c r="AG21" s="40">
        <f>VLOOKUP(B21,'Player Data'!$A1:$AE734,21,FALSE)*$Q21</f>
        <v>0.41859301317882769</v>
      </c>
      <c r="AH21" s="41">
        <f>VLOOKUP(B21,'Player Data'!$A1:$AE734,22,FALSE)</f>
        <v>0.46084540809334501</v>
      </c>
      <c r="AI21" s="38"/>
      <c r="AJ21" s="42"/>
      <c r="AK21" s="40"/>
      <c r="AL21" s="40"/>
      <c r="AM21" s="40"/>
      <c r="AN21" s="40"/>
      <c r="AO21" s="40"/>
      <c r="AP21" s="40"/>
      <c r="AQ21" s="43"/>
      <c r="AR21" s="44"/>
      <c r="AS21" s="38"/>
    </row>
    <row r="22" spans="1:45" ht="21.2" customHeight="1">
      <c r="A22" s="181">
        <f t="shared" si="0"/>
        <v>21</v>
      </c>
      <c r="B22" s="8" t="s">
        <v>132</v>
      </c>
      <c r="C22" s="31" t="s">
        <v>104</v>
      </c>
      <c r="D22" s="32" t="str">
        <f>VLOOKUP(B22,'Player Data'!A1:D734,4,FALSE)</f>
        <v>C</v>
      </c>
      <c r="E22" s="33">
        <f>VLOOKUP(B22,'C'!A1:C208,3,FALSE)</f>
        <v>8</v>
      </c>
      <c r="F22" s="34" t="str">
        <f>VLOOKUP(B22,'Player Data'!A1:B734,2,FALSE)</f>
        <v>FLA</v>
      </c>
      <c r="G22" s="9">
        <f>VLOOKUP(B22,'Player Data'!A1:D734,3,FALSE)</f>
        <v>27</v>
      </c>
      <c r="H22" s="35">
        <f>IFERROR(VLOOKUP(B22,ADP!A1:G731,7,FALSE)/1000000,VLOOKUP(B22,ADP!A1:G731,7,FALSE))</f>
        <v>10</v>
      </c>
      <c r="I22" s="36">
        <f>IF(Settings!$E$15="POINTS",((R22*Q22)*Settings!$B$12)+(S22*Settings!$B$2)+(T22*Settings!$B$3)+(U22*Settings!$B$4)+(V22*Settings!$B$5)+(X22*Settings!$B$9)+(AA22*Settings!$B$6)+(W22*Settings!$B$8)+(AB22*Settings!$B$7)+(AC22*Settings!$B$14)+(AD22*Settings!$B$15)+(AE22*Settings!$B$16)+(AF22*Settings!$B$17)+(AG22*Settings!$B$18)+(Y22*Settings!$B$10)+(Z22*Settings!$B$11),VLOOKUP(B22,'Standard Deviations'!A1:C731,3,FALSE))</f>
        <v>11.334952203384766</v>
      </c>
      <c r="J22" s="37">
        <f t="shared" si="1"/>
        <v>0.13823112443152155</v>
      </c>
      <c r="K22" s="183">
        <f>IF(Settings!$E$18="C/LW/RW",VLOOKUP(B22,'C'!A1:F208,6,FALSE),VLOOKUP(B22,F!A1:F431,6,FALSE))</f>
        <v>4.9979014791781635</v>
      </c>
      <c r="L22" s="36">
        <f t="shared" si="2"/>
        <v>0.49979014791781634</v>
      </c>
      <c r="M22" s="38">
        <f>IF(Settings!$E$9="YAHOO",VLOOKUP(B22,ADP!A1:E731,2,FALSE),IF(Settings!$E$9="ESPN",VLOOKUP(B22,ADP!A1:E731,3,FALSE),IF(Settings!$E$9="FANTRAX",VLOOKUP(B22,ADP!A1:E731,4,FALSE),VLOOKUP(B22,ADP!A1:E731,5,FALSE))))</f>
        <v>28.81</v>
      </c>
      <c r="N22" s="38">
        <f t="shared" si="3"/>
        <v>7.8099999999999987</v>
      </c>
      <c r="O22" s="38"/>
      <c r="P22" s="39" t="str">
        <f>IF(Settings!$E$27="ON",_xlfn.XLOOKUP(B22,ADP!A2:A731,ADP!H2:H731)," ")</f>
        <v xml:space="preserve"> </v>
      </c>
      <c r="Q22" s="40">
        <f>IF(Settings!$E$12="YES",VLOOKUP(B22,'Player Data'!A1:E734,5,FALSE),82)</f>
        <v>82</v>
      </c>
      <c r="R22" s="38">
        <f>VLOOKUP(B22,'Player Data'!$A1:$AE734,6,FALSE)</f>
        <v>20.775562191900601</v>
      </c>
      <c r="S22" s="40">
        <f>VLOOKUP(B22,'Player Data'!$A1:$AE734,7,FALSE)*$Q22*IFERROR((VLOOKUP(P22,Settings!$E$28:$F$33,2,FALSE)+1),1)</f>
        <v>35.503356306975121</v>
      </c>
      <c r="T22" s="40">
        <f>VLOOKUP(B22,'Player Data'!$A1:$AE734,8,FALSE)*$Q22*IFERROR((VLOOKUP(P22,Settings!$E$28:$F$33,2,FALSE)+1),1)</f>
        <v>59.974565270951572</v>
      </c>
      <c r="U22" s="40">
        <f t="shared" si="4"/>
        <v>95.477921577926693</v>
      </c>
      <c r="V22" s="40">
        <f>VLOOKUP(B22,'Player Data'!$A1:$AE734,10,FALSE)*$Q22*IFERROR(((VLOOKUP(P22,Settings!$E$28:$F$33,2,FALSE)/2)+1),1)</f>
        <v>255.79404921146903</v>
      </c>
      <c r="W22" s="40">
        <f>VLOOKUP(B22,'Player Data'!$A1:$AE734,11,FALSE)*$Q22*IFERROR((VLOOKUP(P22,Settings!$E$28:$F$33,2,FALSE)+1),1)</f>
        <v>11.01322704264382</v>
      </c>
      <c r="X22" s="40">
        <f>VLOOKUP(B22,'Player Data'!$A1:$AE734,12,FALSE)*$Q22*IFERROR((VLOOKUP(P22,Settings!$E$28:$F$33,2,FALSE)+1),1)</f>
        <v>31.862915198380186</v>
      </c>
      <c r="Y22" s="40">
        <f>VLOOKUP(B22,'Player Data'!$A1:$AE734,13,FALSE)*$Q22</f>
        <v>2.197113812280671</v>
      </c>
      <c r="Z22" s="40">
        <f>VLOOKUP(B22,'Player Data'!$A1:$AE734,14,FALSE)*$Q22</f>
        <v>3.1836534336269589</v>
      </c>
      <c r="AA22" s="40">
        <f>VLOOKUP(B22,'Player Data'!$A1:$AE734,15,FALSE)*$Q22</f>
        <v>54.756929899770071</v>
      </c>
      <c r="AB22" s="40">
        <f>VLOOKUP(B22,'Player Data'!$A1:$AE734,16,FALSE)*$Q22</f>
        <v>64.591274437542964</v>
      </c>
      <c r="AC22" s="40">
        <f>VLOOKUP(B22,'Player Data'!$A1:$AE734,17,FALSE)*$Q22*IFERROR((VLOOKUP(P22,Settings!$E$28:$F$33,2,FALSE)+1),1)</f>
        <v>6.1497400477880024</v>
      </c>
      <c r="AD22" s="40">
        <f>VLOOKUP(B22,'Player Data'!$A1:$AE734,18,FALSE)*$Q22</f>
        <v>20.492806837458382</v>
      </c>
      <c r="AE22" s="40">
        <f>VLOOKUP(B22,'Player Data'!$A1:$AE734,19,FALSE)*$Q22*IFERROR((VLOOKUP(P22,Settings!$E$28:$F$33,2,FALSE)+1),1)</f>
        <v>5.0930374447792612</v>
      </c>
      <c r="AF22" s="40">
        <f>VLOOKUP(B22,'Player Data'!$A1:$AE734,20,FALSE)*$Q22</f>
        <v>880.01599528639474</v>
      </c>
      <c r="AG22" s="40">
        <f>VLOOKUP(B22,'Player Data'!$A1:$AE734,21,FALSE)*$Q22</f>
        <v>702.43313150398171</v>
      </c>
      <c r="AH22" s="41">
        <f>VLOOKUP(B22,'Player Data'!$A1:$AE734,22,FALSE)</f>
        <v>0.55611013358217598</v>
      </c>
      <c r="AI22" s="38"/>
      <c r="AJ22" s="42"/>
      <c r="AK22" s="40"/>
      <c r="AL22" s="40"/>
      <c r="AM22" s="40"/>
      <c r="AN22" s="40"/>
      <c r="AO22" s="40"/>
      <c r="AP22" s="40"/>
      <c r="AQ22" s="43"/>
      <c r="AR22" s="44"/>
      <c r="AS22" s="38"/>
    </row>
    <row r="23" spans="1:45" ht="21.2" customHeight="1">
      <c r="A23" s="181">
        <f t="shared" si="0"/>
        <v>22</v>
      </c>
      <c r="B23" s="8" t="s">
        <v>120</v>
      </c>
      <c r="C23" s="31" t="s">
        <v>104</v>
      </c>
      <c r="D23" s="32" t="str">
        <f>VLOOKUP(B23,'Player Data'!A1:D734,4,FALSE)</f>
        <v>LW,RW</v>
      </c>
      <c r="E23" s="45">
        <f>VLOOKUP(B23,RW!A1:F189,3,FALSE)</f>
        <v>7</v>
      </c>
      <c r="F23" s="34" t="str">
        <f>VLOOKUP(B23,'Player Data'!A1:B734,2,FALSE)</f>
        <v>TOR</v>
      </c>
      <c r="G23" s="9">
        <f>VLOOKUP(B23,'Player Data'!A1:D734,3,FALSE)</f>
        <v>27</v>
      </c>
      <c r="H23" s="35">
        <f>IFERROR(VLOOKUP(B23,ADP!A1:G731,7,FALSE)/1000000,VLOOKUP(B23,ADP!A1:G731,7,FALSE))</f>
        <v>6.9619999999999997</v>
      </c>
      <c r="I23" s="36">
        <f>IF(Settings!$E$15="POINTS",((R23*Q23)*Settings!$B$12)+(S23*Settings!$B$2)+(T23*Settings!$B$3)+(U23*Settings!$B$4)+(V23*Settings!$B$5)+(X23*Settings!$B$9)+(AA23*Settings!$B$6)+(W23*Settings!$B$8)+(AB23*Settings!$B$7)+(AC23*Settings!$B$14)+(AD23*Settings!$B$15)+(AE23*Settings!$B$16)+(AF23*Settings!$B$17)+(AG23*Settings!$B$18)+(Y23*Settings!$B$10)+(Z23*Settings!$B$11),VLOOKUP(B23,'Standard Deviations'!A1:C731,3,FALSE))</f>
        <v>11.115775079553083</v>
      </c>
      <c r="J23" s="37">
        <f t="shared" si="1"/>
        <v>0.13555823267747663</v>
      </c>
      <c r="K23" s="183">
        <f>IF(Settings!$E$18="C/LW/RW",VLOOKUP(B23,RW!A1:F189,6,FALSE),VLOOKUP(B23,F!A1:F431,6,FALSE))</f>
        <v>4.8355163605420026</v>
      </c>
      <c r="L23" s="36">
        <f t="shared" si="2"/>
        <v>0.69455851199971308</v>
      </c>
      <c r="M23" s="38">
        <f>IF(Settings!$E$9="YAHOO",VLOOKUP(B23,ADP!A1:E731,2,FALSE),IF(Settings!$E$9="ESPN",VLOOKUP(B23,ADP!A1:E731,3,FALSE),IF(Settings!$E$9="FANTRAX",VLOOKUP(B23,ADP!A1:E731,4,FALSE),VLOOKUP(B23,ADP!A1:E731,5,FALSE))))</f>
        <v>25.58</v>
      </c>
      <c r="N23" s="38">
        <f t="shared" si="3"/>
        <v>3.5799999999999983</v>
      </c>
      <c r="O23" s="38"/>
      <c r="P23" s="39" t="str">
        <f>IF(Settings!$E$27="ON",_xlfn.XLOOKUP(B23,ADP!A2:A731,ADP!H2:H731)," ")</f>
        <v>+</v>
      </c>
      <c r="Q23" s="40">
        <f>IF(Settings!$E$12="YES",VLOOKUP(B23,'Player Data'!A1:E734,5,FALSE),82)</f>
        <v>82</v>
      </c>
      <c r="R23" s="38">
        <f>VLOOKUP(B23,'Player Data'!$A1:$AE734,6,FALSE)</f>
        <v>18.538966700724099</v>
      </c>
      <c r="S23" s="40">
        <f>VLOOKUP(B23,'Player Data'!$A1:$AE734,7,FALSE)*$Q23*IFERROR((VLOOKUP(P23,Settings!$E$28:$F$33,2,FALSE)+1),1)</f>
        <v>38.368949879405356</v>
      </c>
      <c r="T23" s="40">
        <f>VLOOKUP(B23,'Player Data'!$A1:$AE734,8,FALSE)*$Q23*IFERROR((VLOOKUP(P23,Settings!$E$28:$F$33,2,FALSE)+1),1)</f>
        <v>50.102068179367457</v>
      </c>
      <c r="U23" s="40">
        <f t="shared" si="4"/>
        <v>88.471018058772813</v>
      </c>
      <c r="V23" s="40">
        <f>VLOOKUP(B23,'Player Data'!$A1:$AE734,10,FALSE)*$Q23*IFERROR(((VLOOKUP(P23,Settings!$E$28:$F$33,2,FALSE)/2)+1),1)</f>
        <v>286.17531266385794</v>
      </c>
      <c r="W23" s="40">
        <f>VLOOKUP(B23,'Player Data'!$A1:$AE734,11,FALSE)*$Q23*IFERROR((VLOOKUP(P23,Settings!$E$28:$F$33,2,FALSE)+1),1)</f>
        <v>11.739010811251788</v>
      </c>
      <c r="X23" s="40">
        <f>VLOOKUP(B23,'Player Data'!$A1:$AE734,12,FALSE)*$Q23*IFERROR((VLOOKUP(P23,Settings!$E$28:$F$33,2,FALSE)+1),1)</f>
        <v>32.080425605021631</v>
      </c>
      <c r="Y23" s="40">
        <f>VLOOKUP(B23,'Player Data'!$A1:$AE734,13,FALSE)*$Q23</f>
        <v>5.9915974651271672E-2</v>
      </c>
      <c r="Z23" s="40">
        <f>VLOOKUP(B23,'Player Data'!$A1:$AE734,14,FALSE)*$Q23</f>
        <v>0.11751118966514178</v>
      </c>
      <c r="AA23" s="40">
        <f>VLOOKUP(B23,'Player Data'!$A1:$AE734,15,FALSE)*$Q23</f>
        <v>28.487813597580036</v>
      </c>
      <c r="AB23" s="40">
        <f>VLOOKUP(B23,'Player Data'!$A1:$AE734,16,FALSE)*$Q23</f>
        <v>25.134731262041207</v>
      </c>
      <c r="AC23" s="40">
        <f>VLOOKUP(B23,'Player Data'!$A1:$AE734,17,FALSE)*$Q23*IFERROR((VLOOKUP(P23,Settings!$E$28:$F$33,2,FALSE)+1),1)</f>
        <v>6.7945878357098364</v>
      </c>
      <c r="AD23" s="40">
        <f>VLOOKUP(B23,'Player Data'!$A1:$AE734,18,FALSE)*$Q23</f>
        <v>26.290346271086335</v>
      </c>
      <c r="AE23" s="40">
        <f>VLOOKUP(B23,'Player Data'!$A1:$AE734,19,FALSE)*$Q23*IFERROR((VLOOKUP(P23,Settings!$E$28:$F$33,2,FALSE)+1),1)</f>
        <v>6.1639615998141855</v>
      </c>
      <c r="AF23" s="40">
        <f>VLOOKUP(B23,'Player Data'!$A1:$AE734,20,FALSE)*$Q23</f>
        <v>28.323051833478278</v>
      </c>
      <c r="AG23" s="40">
        <f>VLOOKUP(B23,'Player Data'!$A1:$AE734,21,FALSE)*$Q23</f>
        <v>30.315816446023277</v>
      </c>
      <c r="AH23" s="41">
        <f>VLOOKUP(B23,'Player Data'!$A1:$AE734,22,FALSE)</f>
        <v>0.48300815934026398</v>
      </c>
      <c r="AI23" s="38"/>
      <c r="AJ23" s="40"/>
      <c r="AK23" s="40"/>
      <c r="AL23" s="40"/>
      <c r="AM23" s="40"/>
      <c r="AN23" s="40"/>
      <c r="AO23" s="40"/>
      <c r="AP23" s="40"/>
      <c r="AQ23" s="43"/>
      <c r="AR23" s="44"/>
      <c r="AS23" s="42"/>
    </row>
    <row r="24" spans="1:45" ht="21.2" customHeight="1">
      <c r="A24" s="181">
        <f t="shared" si="0"/>
        <v>23</v>
      </c>
      <c r="B24" s="8" t="s">
        <v>123</v>
      </c>
      <c r="C24" s="31" t="s">
        <v>104</v>
      </c>
      <c r="D24" s="32" t="str">
        <f>VLOOKUP(B24,'Player Data'!A1:D734,4,FALSE)</f>
        <v>D</v>
      </c>
      <c r="E24" s="47">
        <f>VLOOKUP(B24,D!A1:C229,3,FALSE)</f>
        <v>8</v>
      </c>
      <c r="F24" s="34" t="str">
        <f>VLOOKUP(B24,'Player Data'!A1:B734,2,FALSE)</f>
        <v>NYR</v>
      </c>
      <c r="G24" s="9">
        <f>VLOOKUP(B24,'Player Data'!A1:D734,3,FALSE)</f>
        <v>25</v>
      </c>
      <c r="H24" s="35">
        <f>IFERROR(VLOOKUP(B24,ADP!A1:G731,7,FALSE)/1000000,VLOOKUP(B24,ADP!A1:G731,7,FALSE))</f>
        <v>9.5</v>
      </c>
      <c r="I24" s="36">
        <f>IF(Settings!$E$15="POINTS",((R24*Q24)*Settings!$B$12)+(S24*Settings!$B$2)+(T24*Settings!$B$3)+(U24*Settings!$B$4)+(V24*Settings!$B$5)+(X24*Settings!$B$9)+(AA24*Settings!$B$6)+(W24*Settings!$B$8)+(AB24*Settings!$B$7)+(AC24*Settings!$B$14)+(AD24*Settings!$B$15)+(AE24*Settings!$B$16)+(AF24*Settings!$B$17)+(AG24*Settings!$B$18)+(U24*Settings!$B$13)+(Y24*Settings!$B$10)+(Z24*Settings!$B$11),VLOOKUP(B24,'Standard Deviations'!A1:C731,3,FALSE))</f>
        <v>6.757821943977536</v>
      </c>
      <c r="J24" s="37">
        <f t="shared" si="1"/>
        <v>8.2412462731433364E-2</v>
      </c>
      <c r="K24" s="183">
        <f>VLOOKUP(B24,D!A1:F229,6,FALSE)</f>
        <v>4.8160814003432257</v>
      </c>
      <c r="L24" s="36">
        <f t="shared" si="2"/>
        <v>0.50695593687823426</v>
      </c>
      <c r="M24" s="38">
        <f>IF(Settings!$E$9="YAHOO",VLOOKUP(B24,ADP!A1:E731,2,FALSE),IF(Settings!$E$9="ESPN",VLOOKUP(B24,ADP!A1:E731,3,FALSE),IF(Settings!$E$9="FANTRAX",VLOOKUP(B24,ADP!A1:E731,4,FALSE),VLOOKUP(B24,ADP!A1:E731,5,FALSE))))</f>
        <v>41.61</v>
      </c>
      <c r="N24" s="38">
        <f t="shared" si="3"/>
        <v>18.61</v>
      </c>
      <c r="O24" s="38"/>
      <c r="P24" s="39" t="str">
        <f>IF(Settings!$E$27="ON",_xlfn.XLOOKUP(B24,ADP!A2:A731,ADP!H2:H731)," ")</f>
        <v xml:space="preserve"> </v>
      </c>
      <c r="Q24" s="40">
        <f>IF(Settings!$E$12="YES",VLOOKUP(B24,'Player Data'!A1:E734,5,FALSE),82)</f>
        <v>82</v>
      </c>
      <c r="R24" s="38">
        <f>VLOOKUP(B24,'Player Data'!$A1:$AE734,6,FALSE)</f>
        <v>24.462845880335401</v>
      </c>
      <c r="S24" s="40">
        <f>VLOOKUP(B24,'Player Data'!$A1:$AE734,7,FALSE)*$Q24*IFERROR((VLOOKUP(P24,Settings!$E$28:$F$33,2,FALSE)+1),1)</f>
        <v>11.171349475718396</v>
      </c>
      <c r="T24" s="40">
        <f>VLOOKUP(B24,'Player Data'!$A1:$AE734,8,FALSE)*$Q24*IFERROR((VLOOKUP(P24,Settings!$E$28:$F$33,2,FALSE)+1),1)</f>
        <v>63.274581648909205</v>
      </c>
      <c r="U24" s="40">
        <f t="shared" si="4"/>
        <v>74.445931124627606</v>
      </c>
      <c r="V24" s="40">
        <f>VLOOKUP(B24,'Player Data'!$A1:$AE734,10,FALSE)*$Q24*IFERROR(((VLOOKUP(P24,Settings!$E$28:$F$33,2,FALSE)/2)+1),1)</f>
        <v>165.11205437730894</v>
      </c>
      <c r="W24" s="40">
        <f>VLOOKUP(B24,'Player Data'!$A1:$AE734,11,FALSE)*$Q24*IFERROR((VLOOKUP(P24,Settings!$E$28:$F$33,2,FALSE)+1),1)</f>
        <v>1.2869300977111897</v>
      </c>
      <c r="X24" s="40">
        <f>VLOOKUP(B24,'Player Data'!$A1:$AE734,12,FALSE)*$Q24*IFERROR((VLOOKUP(P24,Settings!$E$28:$F$33,2,FALSE)+1),1)</f>
        <v>31.507362608222167</v>
      </c>
      <c r="Y24" s="40">
        <f>VLOOKUP(B24,'Player Data'!$A1:$AE734,13,FALSE)*$Q24</f>
        <v>0.46740981663705938</v>
      </c>
      <c r="Z24" s="40">
        <f>VLOOKUP(B24,'Player Data'!$A1:$AE734,14,FALSE)*$Q24</f>
        <v>2.5301423764658999</v>
      </c>
      <c r="AA24" s="40">
        <f>VLOOKUP(B24,'Player Data'!$A1:$AE734,15,FALSE)*$Q24</f>
        <v>130.35614263865062</v>
      </c>
      <c r="AB24" s="40">
        <f>VLOOKUP(B24,'Player Data'!$A1:$AE734,16,FALSE)*$Q24</f>
        <v>39.735295126386276</v>
      </c>
      <c r="AC24" s="40">
        <f>VLOOKUP(B24,'Player Data'!$A1:$AE734,17,FALSE)*$Q24*IFERROR((VLOOKUP(P24,Settings!$E$28:$F$33,2,FALSE)+1),1)</f>
        <v>7.9822594342717936</v>
      </c>
      <c r="AD24" s="40">
        <f>VLOOKUP(B24,'Player Data'!$A1:$AE734,18,FALSE)*$Q24</f>
        <v>32.047414210842376</v>
      </c>
      <c r="AE24" s="40">
        <f>VLOOKUP(B24,'Player Data'!$A1:$AE734,19,FALSE)*$Q24*IFERROR((VLOOKUP(P24,Settings!$E$28:$F$33,2,FALSE)+1),1)</f>
        <v>1.9035770895807864</v>
      </c>
      <c r="AF24" s="40">
        <f>VLOOKUP(B24,'Player Data'!$A1:$AE734,20,FALSE)*$Q24</f>
        <v>0</v>
      </c>
      <c r="AG24" s="40">
        <f>VLOOKUP(B24,'Player Data'!$A1:$AE734,21,FALSE)*$Q24</f>
        <v>0.155135979441789</v>
      </c>
      <c r="AH24" s="41">
        <f>VLOOKUP(B24,'Player Data'!$A1:$AE734,22,FALSE)</f>
        <v>0</v>
      </c>
      <c r="AI24" s="38"/>
      <c r="AJ24" s="42"/>
      <c r="AK24" s="40"/>
      <c r="AL24" s="40"/>
      <c r="AM24" s="40"/>
      <c r="AN24" s="40"/>
      <c r="AO24" s="40"/>
      <c r="AP24" s="40"/>
      <c r="AQ24" s="43"/>
      <c r="AR24" s="44"/>
      <c r="AS24" s="38"/>
    </row>
    <row r="25" spans="1:45" ht="21.2" customHeight="1">
      <c r="A25" s="181">
        <f t="shared" si="0"/>
        <v>24</v>
      </c>
      <c r="B25" s="8" t="s">
        <v>126</v>
      </c>
      <c r="C25" s="31" t="s">
        <v>104</v>
      </c>
      <c r="D25" s="32" t="str">
        <f>VLOOKUP(B25,'Player Data'!A1:D734,4,FALSE)</f>
        <v>D</v>
      </c>
      <c r="E25" s="47">
        <f>VLOOKUP(B25,D!A1:C229,3,FALSE)</f>
        <v>9</v>
      </c>
      <c r="F25" s="34" t="str">
        <f>VLOOKUP(B25,'Player Data'!A1:B734,2,FALSE)</f>
        <v>EDM</v>
      </c>
      <c r="G25" s="9">
        <f>VLOOKUP(B25,'Player Data'!A1:D734,3,FALSE)</f>
        <v>23</v>
      </c>
      <c r="H25" s="35">
        <f>IFERROR(VLOOKUP(B25,ADP!A1:G731,7,FALSE)/1000000,VLOOKUP(B25,ADP!A1:G731,7,FALSE))</f>
        <v>0</v>
      </c>
      <c r="I25" s="36">
        <f>IF(Settings!$E$15="POINTS",((R25*Q25)*Settings!$B$12)+(S25*Settings!$B$2)+(T25*Settings!$B$3)+(U25*Settings!$B$4)+(V25*Settings!$B$5)+(X25*Settings!$B$9)+(AA25*Settings!$B$6)+(W25*Settings!$B$8)+(AB25*Settings!$B$7)+(AC25*Settings!$B$14)+(AD25*Settings!$B$15)+(AE25*Settings!$B$16)+(AF25*Settings!$B$17)+(AG25*Settings!$B$18)+(U25*Settings!$B$13)+(Y25*Settings!$B$10)+(Z25*Settings!$B$11),VLOOKUP(B25,'Standard Deviations'!A1:C731,3,FALSE))</f>
        <v>6.3018294872998784</v>
      </c>
      <c r="J25" s="37">
        <f t="shared" si="1"/>
        <v>7.6851579113413157E-2</v>
      </c>
      <c r="K25" s="183">
        <f>VLOOKUP(B25,D!A1:F229,6,FALSE)</f>
        <v>4.3600889436655681</v>
      </c>
      <c r="L25" s="49" t="str">
        <f t="shared" si="2"/>
        <v>N/A</v>
      </c>
      <c r="M25" s="38">
        <f>IF(Settings!$E$9="YAHOO",VLOOKUP(B25,ADP!A1:E731,2,FALSE),IF(Settings!$E$9="ESPN",VLOOKUP(B25,ADP!A1:E731,3,FALSE),IF(Settings!$E$9="FANTRAX",VLOOKUP(B25,ADP!A1:E731,4,FALSE),VLOOKUP(B25,ADP!A1:E731,5,FALSE))))</f>
        <v>45.9</v>
      </c>
      <c r="N25" s="38">
        <f t="shared" si="3"/>
        <v>21.9</v>
      </c>
      <c r="O25" s="38"/>
      <c r="P25" s="39" t="str">
        <f>IF(Settings!$E$27="ON",_xlfn.XLOOKUP(B25,ADP!A2:A731,ADP!H2:H731)," ")</f>
        <v>+ + +</v>
      </c>
      <c r="Q25" s="40">
        <f>IF(Settings!$E$12="YES",VLOOKUP(B25,'Player Data'!A1:E734,5,FALSE),82)</f>
        <v>82</v>
      </c>
      <c r="R25" s="38">
        <f>VLOOKUP(B25,'Player Data'!$A1:$AE734,6,FALSE)</f>
        <v>21.535958311964301</v>
      </c>
      <c r="S25" s="40">
        <f>VLOOKUP(B25,'Player Data'!$A1:$AE734,7,FALSE)*$Q25*IFERROR((VLOOKUP(P25,Settings!$E$28:$F$33,2,FALSE)+1),1)</f>
        <v>15.012859183295205</v>
      </c>
      <c r="T25" s="40">
        <f>VLOOKUP(B25,'Player Data'!$A1:$AE734,8,FALSE)*$Q25*IFERROR((VLOOKUP(P25,Settings!$E$28:$F$33,2,FALSE)+1),1)</f>
        <v>50.198551421912619</v>
      </c>
      <c r="U25" s="40">
        <f t="shared" si="4"/>
        <v>65.211410605207817</v>
      </c>
      <c r="V25" s="40">
        <f>VLOOKUP(B25,'Player Data'!$A1:$AE734,10,FALSE)*$Q25*IFERROR(((VLOOKUP(P25,Settings!$E$28:$F$33,2,FALSE)/2)+1),1)</f>
        <v>235.81631317744365</v>
      </c>
      <c r="W25" s="40">
        <f>VLOOKUP(B25,'Player Data'!$A1:$AE734,11,FALSE)*$Q25*IFERROR((VLOOKUP(P25,Settings!$E$28:$F$33,2,FALSE)+1),1)</f>
        <v>5.0512577788335973</v>
      </c>
      <c r="X25" s="40">
        <f>VLOOKUP(B25,'Player Data'!$A1:$AE734,12,FALSE)*$Q25*IFERROR((VLOOKUP(P25,Settings!$E$28:$F$33,2,FALSE)+1),1)</f>
        <v>24.974847046760537</v>
      </c>
      <c r="Y25" s="40">
        <f>VLOOKUP(B25,'Player Data'!$A1:$AE734,13,FALSE)*$Q25</f>
        <v>1.0363389509835176E-2</v>
      </c>
      <c r="Z25" s="40">
        <f>VLOOKUP(B25,'Player Data'!$A1:$AE734,14,FALSE)*$Q25</f>
        <v>0.22396775484146828</v>
      </c>
      <c r="AA25" s="40">
        <f>VLOOKUP(B25,'Player Data'!$A1:$AE734,15,FALSE)*$Q25</f>
        <v>99.479800928490363</v>
      </c>
      <c r="AB25" s="40">
        <f>VLOOKUP(B25,'Player Data'!$A1:$AE734,16,FALSE)*$Q25</f>
        <v>101.78350033229916</v>
      </c>
      <c r="AC25" s="40">
        <f>VLOOKUP(B25,'Player Data'!$A1:$AE734,17,FALSE)*$Q25*IFERROR((VLOOKUP(P25,Settings!$E$28:$F$33,2,FALSE)+1),1)</f>
        <v>9.1201327430292505</v>
      </c>
      <c r="AD25" s="40">
        <f>VLOOKUP(B25,'Player Data'!$A1:$AE734,18,FALSE)*$Q25</f>
        <v>33.396940988583964</v>
      </c>
      <c r="AE25" s="40">
        <f>VLOOKUP(B25,'Player Data'!$A1:$AE734,19,FALSE)*$Q25*IFERROR((VLOOKUP(P25,Settings!$E$28:$F$33,2,FALSE)+1),1)</f>
        <v>2.3763744363201766</v>
      </c>
      <c r="AF25" s="40">
        <f>VLOOKUP(B25,'Player Data'!$A1:$AE734,20,FALSE)*$Q25</f>
        <v>0</v>
      </c>
      <c r="AG25" s="40">
        <f>VLOOKUP(B25,'Player Data'!$A1:$AE734,21,FALSE)*$Q25</f>
        <v>0</v>
      </c>
      <c r="AH25" s="41">
        <f>VLOOKUP(B25,'Player Data'!$A1:$AE734,22,FALSE)</f>
        <v>0</v>
      </c>
      <c r="AI25" s="38"/>
      <c r="AJ25" s="42"/>
      <c r="AK25" s="40"/>
      <c r="AL25" s="40"/>
      <c r="AM25" s="40"/>
      <c r="AN25" s="40"/>
      <c r="AO25" s="40"/>
      <c r="AP25" s="40"/>
      <c r="AQ25" s="43"/>
      <c r="AR25" s="44"/>
      <c r="AS25" s="42"/>
    </row>
    <row r="26" spans="1:45" ht="21.2" customHeight="1">
      <c r="A26" s="181">
        <f t="shared" si="0"/>
        <v>25</v>
      </c>
      <c r="B26" s="8" t="s">
        <v>127</v>
      </c>
      <c r="C26" s="31" t="s">
        <v>104</v>
      </c>
      <c r="D26" s="32" t="str">
        <f>VLOOKUP(B26,'Player Data'!A1:D734,4,FALSE)</f>
        <v>C,LW</v>
      </c>
      <c r="E26" s="45">
        <f>VLOOKUP(B26,LW!A1:C227,3,FALSE)</f>
        <v>6</v>
      </c>
      <c r="F26" s="34" t="str">
        <f>VLOOKUP(B26,'Player Data'!A1:B734,2,FALSE)</f>
        <v>VAN</v>
      </c>
      <c r="G26" s="9">
        <f>VLOOKUP(B26,'Player Data'!A1:D734,3,FALSE)</f>
        <v>24</v>
      </c>
      <c r="H26" s="35">
        <f>IFERROR(VLOOKUP(B26,ADP!A1:G731,7,FALSE)/1000000,VLOOKUP(B26,ADP!A1:G731,7,FALSE))</f>
        <v>7.35</v>
      </c>
      <c r="I26" s="36">
        <f>IF(Settings!$E$15="POINTS",((R26*Q26)*Settings!$B$12)+(S26*Settings!$B$2)+(T26*Settings!$B$3)+(U26*Settings!$B$4)+(V26*Settings!$B$5)+(X26*Settings!$B$9)+(AA26*Settings!$B$6)+(W26*Settings!$B$8)+(AB26*Settings!$B$7)+(AC26*Settings!$B$14)+(AD26*Settings!$B$15)+(AE26*Settings!$B$16)+(AF26*Settings!$B$17)+(AG26*Settings!$B$18)+(Y26*Settings!$B$10)+(Z26*Settings!$B$11),VLOOKUP(B26,'Standard Deviations'!A1:C731,3,FALSE))</f>
        <v>10.987775194501642</v>
      </c>
      <c r="J26" s="37">
        <f t="shared" si="1"/>
        <v>0.13399725846953223</v>
      </c>
      <c r="K26" s="183">
        <f>IF(Settings!$E$18="C/LW/RW",VLOOKUP(B26,LW!A1:F227,6,FALSE),VLOOKUP(B26,F!A1:F431,6,FALSE))</f>
        <v>4.3331061503772412</v>
      </c>
      <c r="L26" s="36">
        <f t="shared" si="2"/>
        <v>0.58953825175200569</v>
      </c>
      <c r="M26" s="38">
        <f>IF(Settings!$E$9="YAHOO",VLOOKUP(B26,ADP!A1:E731,2,FALSE),IF(Settings!$E$9="ESPN",VLOOKUP(B26,ADP!A1:E731,3,FALSE),IF(Settings!$E$9="FANTRAX",VLOOKUP(B26,ADP!A1:E731,4,FALSE),VLOOKUP(B26,ADP!A1:E731,5,FALSE))))</f>
        <v>12.39</v>
      </c>
      <c r="N26" s="38">
        <f t="shared" si="3"/>
        <v>-12.61</v>
      </c>
      <c r="O26" s="38"/>
      <c r="P26" s="39" t="str">
        <f>IF(Settings!$E$27="ON",_xlfn.XLOOKUP(B26,ADP!A2:A731,ADP!H2:H731)," ")</f>
        <v>+</v>
      </c>
      <c r="Q26" s="40">
        <f>IF(Settings!$E$12="YES",VLOOKUP(B26,'Player Data'!A1:E734,5,FALSE),82)</f>
        <v>82</v>
      </c>
      <c r="R26" s="38">
        <f>VLOOKUP(B26,'Player Data'!$A1:$AE734,6,FALSE)</f>
        <v>20.2319840625</v>
      </c>
      <c r="S26" s="40">
        <f>VLOOKUP(B26,'Player Data'!$A1:$AE734,7,FALSE)*$Q26*IFERROR((VLOOKUP(P26,Settings!$E$28:$F$33,2,FALSE)+1),1)</f>
        <v>40.141320952820443</v>
      </c>
      <c r="T26" s="40">
        <f>VLOOKUP(B26,'Player Data'!$A1:$AE734,8,FALSE)*$Q26*IFERROR((VLOOKUP(P26,Settings!$E$28:$F$33,2,FALSE)+1),1)</f>
        <v>55.754005428773851</v>
      </c>
      <c r="U26" s="40">
        <f t="shared" si="4"/>
        <v>95.895326381594288</v>
      </c>
      <c r="V26" s="40">
        <f>VLOOKUP(B26,'Player Data'!$A1:$AE734,10,FALSE)*$Q26*IFERROR(((VLOOKUP(P26,Settings!$E$28:$F$33,2,FALSE)/2)+1),1)</f>
        <v>254.82374326489492</v>
      </c>
      <c r="W26" s="40">
        <f>VLOOKUP(B26,'Player Data'!$A1:$AE734,11,FALSE)*$Q26*IFERROR((VLOOKUP(P26,Settings!$E$28:$F$33,2,FALSE)+1),1)</f>
        <v>9.5240868350387036</v>
      </c>
      <c r="X26" s="40">
        <f>VLOOKUP(B26,'Player Data'!$A1:$AE734,12,FALSE)*$Q26*IFERROR((VLOOKUP(P26,Settings!$E$28:$F$33,2,FALSE)+1),1)</f>
        <v>26.997347748662406</v>
      </c>
      <c r="Y26" s="40">
        <f>VLOOKUP(B26,'Player Data'!$A1:$AE734,13,FALSE)*$Q26</f>
        <v>2.3084818429726877</v>
      </c>
      <c r="Z26" s="40">
        <f>VLOOKUP(B26,'Player Data'!$A1:$AE734,14,FALSE)*$Q26</f>
        <v>4.9115393108087879</v>
      </c>
      <c r="AA26" s="40">
        <f>VLOOKUP(B26,'Player Data'!$A1:$AE734,15,FALSE)*$Q26</f>
        <v>73.560648016294166</v>
      </c>
      <c r="AB26" s="40">
        <f>VLOOKUP(B26,'Player Data'!$A1:$AE734,16,FALSE)*$Q26</f>
        <v>70.237561953567877</v>
      </c>
      <c r="AC26" s="40">
        <f>VLOOKUP(B26,'Player Data'!$A1:$AE734,17,FALSE)*$Q26*IFERROR((VLOOKUP(P26,Settings!$E$28:$F$33,2,FALSE)+1),1)</f>
        <v>2.7760658769260962</v>
      </c>
      <c r="AD26" s="40">
        <f>VLOOKUP(B26,'Player Data'!$A1:$AE734,18,FALSE)*$Q26</f>
        <v>18.75954912345772</v>
      </c>
      <c r="AE26" s="40">
        <f>VLOOKUP(B26,'Player Data'!$A1:$AE734,19,FALSE)*$Q26*IFERROR((VLOOKUP(P26,Settings!$E$28:$F$33,2,FALSE)+1),1)</f>
        <v>5.6823913026307453</v>
      </c>
      <c r="AF26" s="40">
        <f>VLOOKUP(B26,'Player Data'!$A1:$AE734,20,FALSE)*$Q26</f>
        <v>407.53817532967537</v>
      </c>
      <c r="AG26" s="40">
        <f>VLOOKUP(B26,'Player Data'!$A1:$AE734,21,FALSE)*$Q26</f>
        <v>512.58142489074658</v>
      </c>
      <c r="AH26" s="41">
        <f>VLOOKUP(B26,'Player Data'!$A1:$AE734,22,FALSE)</f>
        <v>0.44291869799539801</v>
      </c>
      <c r="AI26" s="38"/>
      <c r="AJ26" s="42"/>
      <c r="AK26" s="40"/>
      <c r="AL26" s="40"/>
      <c r="AM26" s="40"/>
      <c r="AN26" s="40"/>
      <c r="AO26" s="40"/>
      <c r="AP26" s="40"/>
      <c r="AQ26" s="43"/>
      <c r="AR26" s="44"/>
      <c r="AS26" s="38"/>
    </row>
    <row r="27" spans="1:45" ht="21.2" customHeight="1">
      <c r="A27" s="181">
        <f t="shared" si="0"/>
        <v>26</v>
      </c>
      <c r="B27" s="8" t="s">
        <v>161</v>
      </c>
      <c r="C27" s="31" t="s">
        <v>104</v>
      </c>
      <c r="D27" s="32" t="str">
        <f>VLOOKUP(B27,'Player Data'!A1:D734,4,FALSE)</f>
        <v>D</v>
      </c>
      <c r="E27" s="47">
        <f>VLOOKUP(B27,D!A1:C229,3,FALSE)</f>
        <v>10</v>
      </c>
      <c r="F27" s="34" t="str">
        <f>VLOOKUP(B27,'Player Data'!A1:B734,2,FALSE)</f>
        <v>FLA</v>
      </c>
      <c r="G27" s="9">
        <f>VLOOKUP(B27,'Player Data'!A1:D734,3,FALSE)</f>
        <v>29</v>
      </c>
      <c r="H27" s="35">
        <f>IFERROR(VLOOKUP(B27,ADP!A1:G731,7,FALSE)/1000000,VLOOKUP(B27,ADP!A1:G731,7,FALSE))</f>
        <v>3.5</v>
      </c>
      <c r="I27" s="36">
        <f>IF(Settings!$E$15="POINTS",((R27*Q27)*Settings!$B$12)+(S27*Settings!$B$2)+(T27*Settings!$B$3)+(U27*Settings!$B$4)+(V27*Settings!$B$5)+(X27*Settings!$B$9)+(AA27*Settings!$B$6)+(W27*Settings!$B$8)+(AB27*Settings!$B$7)+(AC27*Settings!$B$14)+(AD27*Settings!$B$15)+(AE27*Settings!$B$16)+(AF27*Settings!$B$17)+(AG27*Settings!$B$18)+(U27*Settings!$B$13)+(Y27*Settings!$B$10)+(Z27*Settings!$B$11),VLOOKUP(B27,'Standard Deviations'!A1:C731,3,FALSE))</f>
        <v>6.256987505803548</v>
      </c>
      <c r="J27" s="37">
        <f t="shared" si="1"/>
        <v>7.630472568053108E-2</v>
      </c>
      <c r="K27" s="183">
        <f>VLOOKUP(B27,D!A1:F229,6,FALSE)</f>
        <v>4.3152469621692369</v>
      </c>
      <c r="L27" s="36">
        <f t="shared" si="2"/>
        <v>1.2329277034769248</v>
      </c>
      <c r="M27" s="38">
        <f>IF(Settings!$E$9="YAHOO",VLOOKUP(B27,ADP!A1:E731,2,FALSE),IF(Settings!$E$9="ESPN",VLOOKUP(B27,ADP!A1:E731,3,FALSE),IF(Settings!$E$9="FANTRAX",VLOOKUP(B27,ADP!A1:E731,4,FALSE),VLOOKUP(B27,ADP!A1:E731,5,FALSE))))</f>
        <v>64.88</v>
      </c>
      <c r="N27" s="38">
        <f t="shared" si="3"/>
        <v>38.879999999999995</v>
      </c>
      <c r="O27" s="38"/>
      <c r="P27" s="39" t="str">
        <f>IF(Settings!$E$27="ON",_xlfn.XLOOKUP(B27,ADP!A2:A731,ADP!H2:H731)," ")</f>
        <v xml:space="preserve"> </v>
      </c>
      <c r="Q27" s="40">
        <f>IF(Settings!$E$12="YES",VLOOKUP(B27,'Player Data'!A1:E734,5,FALSE),82)</f>
        <v>82</v>
      </c>
      <c r="R27" s="38">
        <f>VLOOKUP(B27,'Player Data'!$A1:$AE734,6,FALSE)</f>
        <v>23.813428477400901</v>
      </c>
      <c r="S27" s="40">
        <f>VLOOKUP(B27,'Player Data'!$A1:$AE734,7,FALSE)*$Q27*IFERROR((VLOOKUP(P27,Settings!$E$28:$F$33,2,FALSE)+1),1)</f>
        <v>14.413745919202986</v>
      </c>
      <c r="T27" s="40">
        <f>VLOOKUP(B27,'Player Data'!$A1:$AE734,8,FALSE)*$Q27*IFERROR((VLOOKUP(P27,Settings!$E$28:$F$33,2,FALSE)+1),1)</f>
        <v>49.504324618221624</v>
      </c>
      <c r="U27" s="40">
        <f t="shared" si="4"/>
        <v>63.918070537424612</v>
      </c>
      <c r="V27" s="40">
        <f>VLOOKUP(B27,'Player Data'!$A1:$AE734,10,FALSE)*$Q27*IFERROR(((VLOOKUP(P27,Settings!$E$28:$F$33,2,FALSE)/2)+1),1)</f>
        <v>229.80012729354507</v>
      </c>
      <c r="W27" s="40">
        <f>VLOOKUP(B27,'Player Data'!$A1:$AE734,11,FALSE)*$Q27*IFERROR((VLOOKUP(P27,Settings!$E$28:$F$33,2,FALSE)+1),1)</f>
        <v>2.8611797546595223</v>
      </c>
      <c r="X27" s="40">
        <f>VLOOKUP(B27,'Player Data'!$A1:$AE734,12,FALSE)*$Q27*IFERROR((VLOOKUP(P27,Settings!$E$28:$F$33,2,FALSE)+1),1)</f>
        <v>27.180044024102163</v>
      </c>
      <c r="Y27" s="40">
        <f>VLOOKUP(B27,'Player Data'!$A1:$AE734,13,FALSE)*$Q27</f>
        <v>0.13637633172129593</v>
      </c>
      <c r="Z27" s="40">
        <f>VLOOKUP(B27,'Player Data'!$A1:$AE734,14,FALSE)*$Q27</f>
        <v>0.19331655153271085</v>
      </c>
      <c r="AA27" s="40">
        <f>VLOOKUP(B27,'Player Data'!$A1:$AE734,15,FALSE)*$Q27</f>
        <v>97.883498560276379</v>
      </c>
      <c r="AB27" s="40">
        <f>VLOOKUP(B27,'Player Data'!$A1:$AE734,16,FALSE)*$Q27</f>
        <v>89.932438589161976</v>
      </c>
      <c r="AC27" s="40">
        <f>VLOOKUP(B27,'Player Data'!$A1:$AE734,17,FALSE)*$Q27*IFERROR((VLOOKUP(P27,Settings!$E$28:$F$33,2,FALSE)+1),1)</f>
        <v>5.0467454803598937</v>
      </c>
      <c r="AD27" s="40">
        <f>VLOOKUP(B27,'Player Data'!$A1:$AE734,18,FALSE)*$Q27</f>
        <v>59.185299282394034</v>
      </c>
      <c r="AE27" s="40">
        <f>VLOOKUP(B27,'Player Data'!$A1:$AE734,19,FALSE)*$Q27*IFERROR((VLOOKUP(P27,Settings!$E$28:$F$33,2,FALSE)+1),1)</f>
        <v>2.067684729615634</v>
      </c>
      <c r="AF27" s="40">
        <f>VLOOKUP(B27,'Player Data'!$A1:$AE734,20,FALSE)*$Q27</f>
        <v>0</v>
      </c>
      <c r="AG27" s="40">
        <f>VLOOKUP(B27,'Player Data'!$A1:$AE734,21,FALSE)*$Q27</f>
        <v>0</v>
      </c>
      <c r="AH27" s="41">
        <f>VLOOKUP(B27,'Player Data'!$A1:$AE734,22,FALSE)</f>
        <v>0</v>
      </c>
      <c r="AI27" s="38"/>
      <c r="AJ27" s="42"/>
      <c r="AK27" s="40"/>
      <c r="AL27" s="40"/>
      <c r="AM27" s="40"/>
      <c r="AN27" s="40"/>
      <c r="AO27" s="40"/>
      <c r="AP27" s="40"/>
      <c r="AQ27" s="43"/>
      <c r="AR27" s="44"/>
      <c r="AS27" s="38"/>
    </row>
    <row r="28" spans="1:45" ht="21.2" customHeight="1">
      <c r="A28" s="181">
        <f t="shared" si="0"/>
        <v>27</v>
      </c>
      <c r="B28" s="8" t="s">
        <v>140</v>
      </c>
      <c r="C28" s="31" t="s">
        <v>104</v>
      </c>
      <c r="D28" s="32" t="str">
        <f>VLOOKUP(B28,'Player Data'!A1:D734,4,FALSE)</f>
        <v>C</v>
      </c>
      <c r="E28" s="33">
        <f>VLOOKUP(B28,'C'!A1:C208,3,FALSE)</f>
        <v>10</v>
      </c>
      <c r="F28" s="34" t="str">
        <f>VLOOKUP(B28,'Player Data'!A1:B734,2,FALSE)</f>
        <v>TBL</v>
      </c>
      <c r="G28" s="9">
        <f>VLOOKUP(B28,'Player Data'!A1:D734,3,FALSE)</f>
        <v>27</v>
      </c>
      <c r="H28" s="35">
        <f>IFERROR(VLOOKUP(B28,ADP!A1:G731,7,FALSE)/1000000,VLOOKUP(B28,ADP!A1:G731,7,FALSE))</f>
        <v>9.5</v>
      </c>
      <c r="I28" s="36">
        <f>IF(Settings!$E$15="POINTS",((R28*Q28)*Settings!$B$12)+(S28*Settings!$B$2)+(T28*Settings!$B$3)+(U28*Settings!$B$4)+(V28*Settings!$B$5)+(X28*Settings!$B$9)+(AA28*Settings!$B$6)+(W28*Settings!$B$8)+(AB28*Settings!$B$7)+(AC28*Settings!$B$14)+(AD28*Settings!$B$15)+(AE28*Settings!$B$16)+(AF28*Settings!$B$17)+(AG28*Settings!$B$18)+(Y28*Settings!$B$10)+(Z28*Settings!$B$11),VLOOKUP(B28,'Standard Deviations'!A1:C731,3,FALSE))</f>
        <v>10.568697180365518</v>
      </c>
      <c r="J28" s="37">
        <f t="shared" si="1"/>
        <v>0.12888655098006729</v>
      </c>
      <c r="K28" s="183">
        <f>IF(Settings!$E$18="C/LW/RW",VLOOKUP(B28,'C'!A1:F208,6,FALSE),VLOOKUP(B28,F!A1:F431,6,FALSE))</f>
        <v>4.2316464561589155</v>
      </c>
      <c r="L28" s="36">
        <f t="shared" si="2"/>
        <v>0.44543646906935952</v>
      </c>
      <c r="M28" s="38">
        <f>IF(Settings!$E$9="YAHOO",VLOOKUP(B28,ADP!A1:E731,2,FALSE),IF(Settings!$E$9="ESPN",VLOOKUP(B28,ADP!A1:E731,3,FALSE),IF(Settings!$E$9="FANTRAX",VLOOKUP(B28,ADP!A1:E731,4,FALSE),VLOOKUP(B28,ADP!A1:E731,5,FALSE))))</f>
        <v>27.76</v>
      </c>
      <c r="N28" s="38">
        <f t="shared" si="3"/>
        <v>0.76000000000000156</v>
      </c>
      <c r="O28" s="38"/>
      <c r="P28" s="39" t="str">
        <f>IF(Settings!$E$27="ON",_xlfn.XLOOKUP(B28,ADP!A2:A731,ADP!H2:H731)," ")</f>
        <v>+</v>
      </c>
      <c r="Q28" s="40">
        <f>IF(Settings!$E$12="YES",VLOOKUP(B28,'Player Data'!A1:E734,5,FALSE),82)</f>
        <v>82</v>
      </c>
      <c r="R28" s="38">
        <f>VLOOKUP(B28,'Player Data'!$A1:$AE734,6,FALSE)</f>
        <v>19.7562834912348</v>
      </c>
      <c r="S28" s="40">
        <f>VLOOKUP(B28,'Player Data'!$A1:$AE734,7,FALSE)*$Q28*IFERROR((VLOOKUP(P28,Settings!$E$28:$F$33,2,FALSE)+1),1)</f>
        <v>45.760001718720567</v>
      </c>
      <c r="T28" s="40">
        <f>VLOOKUP(B28,'Player Data'!$A1:$AE734,8,FALSE)*$Q28*IFERROR((VLOOKUP(P28,Settings!$E$28:$F$33,2,FALSE)+1),1)</f>
        <v>44.760694106671103</v>
      </c>
      <c r="U28" s="40">
        <f t="shared" si="4"/>
        <v>90.52069582539167</v>
      </c>
      <c r="V28" s="40">
        <f>VLOOKUP(B28,'Player Data'!$A1:$AE734,10,FALSE)*$Q28*IFERROR(((VLOOKUP(P28,Settings!$E$28:$F$33,2,FALSE)/2)+1),1)</f>
        <v>238.60397040140384</v>
      </c>
      <c r="W28" s="40">
        <f>VLOOKUP(B28,'Player Data'!$A1:$AE734,11,FALSE)*$Q28*IFERROR((VLOOKUP(P28,Settings!$E$28:$F$33,2,FALSE)+1),1)</f>
        <v>16.879648717273753</v>
      </c>
      <c r="X28" s="40">
        <f>VLOOKUP(B28,'Player Data'!$A1:$AE734,12,FALSE)*$Q28*IFERROR((VLOOKUP(P28,Settings!$E$28:$F$33,2,FALSE)+1),1)</f>
        <v>30.484954611907103</v>
      </c>
      <c r="Y28" s="40">
        <f>VLOOKUP(B28,'Player Data'!$A1:$AE734,13,FALSE)*$Q28</f>
        <v>1.7506493130966895E-2</v>
      </c>
      <c r="Z28" s="40">
        <f>VLOOKUP(B28,'Player Data'!$A1:$AE734,14,FALSE)*$Q28</f>
        <v>3.3231118946808504E-2</v>
      </c>
      <c r="AA28" s="40">
        <f>VLOOKUP(B28,'Player Data'!$A1:$AE734,15,FALSE)*$Q28</f>
        <v>36.221974696346912</v>
      </c>
      <c r="AB28" s="40">
        <f>VLOOKUP(B28,'Player Data'!$A1:$AE734,16,FALSE)*$Q28</f>
        <v>53.306287593810112</v>
      </c>
      <c r="AC28" s="40">
        <f>VLOOKUP(B28,'Player Data'!$A1:$AE734,17,FALSE)*$Q28*IFERROR((VLOOKUP(P28,Settings!$E$28:$F$33,2,FALSE)+1),1)</f>
        <v>1.3729241528219407</v>
      </c>
      <c r="AD28" s="40">
        <f>VLOOKUP(B28,'Player Data'!$A1:$AE734,18,FALSE)*$Q28</f>
        <v>22.466418122081013</v>
      </c>
      <c r="AE28" s="40">
        <f>VLOOKUP(B28,'Player Data'!$A1:$AE734,19,FALSE)*$Q28*IFERROR((VLOOKUP(P28,Settings!$E$28:$F$33,2,FALSE)+1),1)</f>
        <v>7.1614568913289789</v>
      </c>
      <c r="AF28" s="40">
        <f>VLOOKUP(B28,'Player Data'!$A1:$AE734,20,FALSE)*$Q28</f>
        <v>421.72854297955973</v>
      </c>
      <c r="AG28" s="40">
        <f>VLOOKUP(B28,'Player Data'!$A1:$AE734,21,FALSE)*$Q28</f>
        <v>412.86267759702957</v>
      </c>
      <c r="AH28" s="41">
        <f>VLOOKUP(B28,'Player Data'!$A1:$AE734,22,FALSE)</f>
        <v>0.50531150170523298</v>
      </c>
      <c r="AI28" s="38"/>
      <c r="AJ28" s="42"/>
      <c r="AK28" s="40"/>
      <c r="AL28" s="40"/>
      <c r="AM28" s="40"/>
      <c r="AN28" s="40"/>
      <c r="AO28" s="40"/>
      <c r="AP28" s="40"/>
      <c r="AQ28" s="43"/>
      <c r="AR28" s="44"/>
      <c r="AS28" s="38"/>
    </row>
    <row r="29" spans="1:45" ht="21.2" customHeight="1">
      <c r="A29" s="181">
        <f t="shared" si="0"/>
        <v>28</v>
      </c>
      <c r="B29" s="8" t="s">
        <v>131</v>
      </c>
      <c r="C29" s="31" t="s">
        <v>104</v>
      </c>
      <c r="D29" s="32" t="str">
        <f>VLOOKUP(B29,'Player Data'!A1:D734,4,FALSE)</f>
        <v>LW</v>
      </c>
      <c r="E29" s="48">
        <f>VLOOKUP(B29,LW!A1:C227,3,FALSE)</f>
        <v>7</v>
      </c>
      <c r="F29" s="34" t="str">
        <f>VLOOKUP(B29,'Player Data'!A1:B734,2,FALSE)</f>
        <v>WSH</v>
      </c>
      <c r="G29" s="9">
        <f>VLOOKUP(B29,'Player Data'!A1:D734,3,FALSE)</f>
        <v>37</v>
      </c>
      <c r="H29" s="35">
        <f>IFERROR(VLOOKUP(B29,ADP!A1:G731,7,FALSE)/1000000,VLOOKUP(B29,ADP!A1:G731,7,FALSE))</f>
        <v>9.5</v>
      </c>
      <c r="I29" s="36">
        <f>IF(Settings!$E$15="POINTS",((R29*Q29)*Settings!$B$12)+(S29*Settings!$B$2)+(T29*Settings!$B$3)+(U29*Settings!$B$4)+(V29*Settings!$B$5)+(X29*Settings!$B$9)+(AA29*Settings!$B$6)+(W29*Settings!$B$8)+(AB29*Settings!$B$7)+(AC29*Settings!$B$14)+(AD29*Settings!$B$15)+(AE29*Settings!$B$16)+(AF29*Settings!$B$17)+(AG29*Settings!$B$18)+(Y29*Settings!$B$10)+(Z29*Settings!$B$11),VLOOKUP(B29,'Standard Deviations'!A1:C731,3,FALSE))</f>
        <v>10.835142614339283</v>
      </c>
      <c r="J29" s="37">
        <f t="shared" si="1"/>
        <v>0.13213588554072297</v>
      </c>
      <c r="K29" s="183">
        <f>IF(Settings!$E$18="C/LW/RW",VLOOKUP(B29,LW!A1:F227,6,FALSE),VLOOKUP(B29,F!A1:F431,6,FALSE))</f>
        <v>4.1804735702148816</v>
      </c>
      <c r="L29" s="36">
        <f t="shared" si="2"/>
        <v>0.44004984949630332</v>
      </c>
      <c r="M29" s="38">
        <f>IF(Settings!$E$9="YAHOO",VLOOKUP(B29,ADP!A1:E731,2,FALSE),IF(Settings!$E$9="ESPN",VLOOKUP(B29,ADP!A1:E731,3,FALSE),IF(Settings!$E$9="FANTRAX",VLOOKUP(B29,ADP!A1:E731,4,FALSE),VLOOKUP(B29,ADP!A1:E731,5,FALSE))))</f>
        <v>17.68</v>
      </c>
      <c r="N29" s="38">
        <f t="shared" si="3"/>
        <v>-10.32</v>
      </c>
      <c r="O29" s="38"/>
      <c r="P29" s="39" t="str">
        <f>IF(Settings!$E$27="ON",_xlfn.XLOOKUP(B29,ADP!A2:A731,ADP!H2:H731)," ")</f>
        <v xml:space="preserve"> </v>
      </c>
      <c r="Q29" s="40">
        <f>IF(Settings!$E$12="YES",VLOOKUP(B29,'Player Data'!A1:E734,5,FALSE),82)</f>
        <v>82</v>
      </c>
      <c r="R29" s="38">
        <f>VLOOKUP(B29,'Player Data'!$A1:$AE734,6,FALSE)</f>
        <v>20.248997503357899</v>
      </c>
      <c r="S29" s="40">
        <f>VLOOKUP(B29,'Player Data'!$A1:$AE734,7,FALSE)*$Q29*IFERROR((VLOOKUP(P29,Settings!$E$28:$F$33,2,FALSE)+1),1)</f>
        <v>44.359915546693287</v>
      </c>
      <c r="T29" s="40">
        <f>VLOOKUP(B29,'Player Data'!$A1:$AE734,8,FALSE)*$Q29*IFERROR((VLOOKUP(P29,Settings!$E$28:$F$33,2,FALSE)+1),1)</f>
        <v>37.299244581593719</v>
      </c>
      <c r="U29" s="40">
        <f t="shared" si="4"/>
        <v>81.659160128286999</v>
      </c>
      <c r="V29" s="40">
        <f>VLOOKUP(B29,'Player Data'!$A1:$AE734,10,FALSE)*$Q29*IFERROR(((VLOOKUP(P29,Settings!$E$28:$F$33,2,FALSE)/2)+1),1)</f>
        <v>331.71895022222589</v>
      </c>
      <c r="W29" s="40">
        <f>VLOOKUP(B29,'Player Data'!$A1:$AE734,11,FALSE)*$Q29*IFERROR((VLOOKUP(P29,Settings!$E$28:$F$33,2,FALSE)+1),1)</f>
        <v>15.601686677805427</v>
      </c>
      <c r="X29" s="40">
        <f>VLOOKUP(B29,'Player Data'!$A1:$AE734,12,FALSE)*$Q29*IFERROR((VLOOKUP(P29,Settings!$E$28:$F$33,2,FALSE)+1),1)</f>
        <v>28.192202286329024</v>
      </c>
      <c r="Y29" s="40">
        <f>VLOOKUP(B29,'Player Data'!$A1:$AE734,13,FALSE)*$Q29</f>
        <v>7.4917018952180611E-3</v>
      </c>
      <c r="Z29" s="40">
        <f>VLOOKUP(B29,'Player Data'!$A1:$AE734,14,FALSE)*$Q29</f>
        <v>8.4753714179144537E-3</v>
      </c>
      <c r="AA29" s="40">
        <f>VLOOKUP(B29,'Player Data'!$A1:$AE734,15,FALSE)*$Q29</f>
        <v>27.9009338054742</v>
      </c>
      <c r="AB29" s="40">
        <f>VLOOKUP(B29,'Player Data'!$A1:$AE734,16,FALSE)*$Q29</f>
        <v>183.33125498162281</v>
      </c>
      <c r="AC29" s="40">
        <f>VLOOKUP(B29,'Player Data'!$A1:$AE734,17,FALSE)*$Q29*IFERROR((VLOOKUP(P29,Settings!$E$28:$F$33,2,FALSE)+1),1)</f>
        <v>-2.6185878319986786</v>
      </c>
      <c r="AD29" s="40">
        <f>VLOOKUP(B29,'Player Data'!$A1:$AE734,18,FALSE)*$Q29</f>
        <v>32.444989619562101</v>
      </c>
      <c r="AE29" s="40">
        <f>VLOOKUP(B29,'Player Data'!$A1:$AE734,19,FALSE)*$Q29*IFERROR((VLOOKUP(P29,Settings!$E$28:$F$33,2,FALSE)+1),1)</f>
        <v>5.4565307454214906</v>
      </c>
      <c r="AF29" s="40">
        <f>VLOOKUP(B29,'Player Data'!$A1:$AE734,20,FALSE)*$Q29</f>
        <v>3.2478195297464363</v>
      </c>
      <c r="AG29" s="40">
        <f>VLOOKUP(B29,'Player Data'!$A1:$AE734,21,FALSE)*$Q29</f>
        <v>6.8807289998833232</v>
      </c>
      <c r="AH29" s="41">
        <f>VLOOKUP(B29,'Player Data'!$A1:$AE734,22,FALSE)</f>
        <v>0.320659916891879</v>
      </c>
      <c r="AI29" s="38"/>
      <c r="AJ29" s="42"/>
      <c r="AK29" s="40"/>
      <c r="AL29" s="40"/>
      <c r="AM29" s="40"/>
      <c r="AN29" s="40"/>
      <c r="AO29" s="40"/>
      <c r="AP29" s="40"/>
      <c r="AQ29" s="43"/>
      <c r="AR29" s="44"/>
      <c r="AS29" s="38"/>
    </row>
    <row r="30" spans="1:45" ht="21.2" customHeight="1">
      <c r="A30" s="181">
        <f t="shared" si="0"/>
        <v>29</v>
      </c>
      <c r="B30" s="8" t="s">
        <v>136</v>
      </c>
      <c r="C30" s="31" t="s">
        <v>104</v>
      </c>
      <c r="D30" s="32" t="str">
        <f>VLOOKUP(B30,'Player Data'!A1:D734,4,FALSE)</f>
        <v>LW</v>
      </c>
      <c r="E30" s="48">
        <f>VLOOKUP(B30,LW!A1:C227,3,FALSE)</f>
        <v>8</v>
      </c>
      <c r="F30" s="34" t="str">
        <f>VLOOKUP(B30,'Player Data'!A1:B734,2,FALSE)</f>
        <v>NYR</v>
      </c>
      <c r="G30" s="9">
        <f>VLOOKUP(B30,'Player Data'!A1:D734,3,FALSE)</f>
        <v>31</v>
      </c>
      <c r="H30" s="35">
        <f>IFERROR(VLOOKUP(B30,ADP!A1:G731,7,FALSE)/1000000,VLOOKUP(B30,ADP!A1:G731,7,FALSE))</f>
        <v>11.642856999999999</v>
      </c>
      <c r="I30" s="36">
        <f>IF(Settings!$E$15="POINTS",((R30*Q30)*Settings!$B$12)+(S30*Settings!$B$2)+(T30*Settings!$B$3)+(U30*Settings!$B$4)+(V30*Settings!$B$5)+(X30*Settings!$B$9)+(AA30*Settings!$B$6)+(W30*Settings!$B$8)+(AB30*Settings!$B$7)+(AC30*Settings!$B$14)+(AD30*Settings!$B$15)+(AE30*Settings!$B$16)+(AF30*Settings!$B$17)+(AG30*Settings!$B$18)+(Y30*Settings!$B$10)+(Z30*Settings!$B$11),VLOOKUP(B30,'Standard Deviations'!A1:C731,3,FALSE))</f>
        <v>10.796490301217734</v>
      </c>
      <c r="J30" s="37">
        <f t="shared" si="1"/>
        <v>0.13166451586850894</v>
      </c>
      <c r="K30" s="183">
        <f>IF(Settings!$E$18="C/LW/RW",VLOOKUP(B30,LW!A1:F227,6,FALSE),VLOOKUP(B30,F!A1:F431,6,FALSE))</f>
        <v>4.1418212570933326</v>
      </c>
      <c r="L30" s="36">
        <f t="shared" si="2"/>
        <v>0.35573925344039981</v>
      </c>
      <c r="M30" s="38">
        <f>IF(Settings!$E$9="YAHOO",VLOOKUP(B30,ADP!A1:E731,2,FALSE),IF(Settings!$E$9="ESPN",VLOOKUP(B30,ADP!A1:E731,3,FALSE),IF(Settings!$E$9="FANTRAX",VLOOKUP(B30,ADP!A1:E731,4,FALSE),VLOOKUP(B30,ADP!A1:E731,5,FALSE))))</f>
        <v>39.72</v>
      </c>
      <c r="N30" s="38">
        <f t="shared" si="3"/>
        <v>10.719999999999999</v>
      </c>
      <c r="O30" s="38"/>
      <c r="P30" s="39" t="str">
        <f>IF(Settings!$E$27="ON",_xlfn.XLOOKUP(B30,ADP!A2:A731,ADP!H2:H731)," ")</f>
        <v xml:space="preserve"> </v>
      </c>
      <c r="Q30" s="40">
        <f>IF(Settings!$E$12="YES",VLOOKUP(B30,'Player Data'!A1:E734,5,FALSE),82)</f>
        <v>82</v>
      </c>
      <c r="R30" s="38">
        <f>VLOOKUP(B30,'Player Data'!$A1:$AE734,6,FALSE)</f>
        <v>19.635147641958799</v>
      </c>
      <c r="S30" s="40">
        <f>VLOOKUP(B30,'Player Data'!$A1:$AE734,7,FALSE)*$Q30*IFERROR((VLOOKUP(P30,Settings!$E$28:$F$33,2,FALSE)+1),1)</f>
        <v>27.689901434414427</v>
      </c>
      <c r="T30" s="40">
        <f>VLOOKUP(B30,'Player Data'!$A1:$AE734,8,FALSE)*$Q30*IFERROR((VLOOKUP(P30,Settings!$E$28:$F$33,2,FALSE)+1),1)</f>
        <v>68.161520040879893</v>
      </c>
      <c r="U30" s="40">
        <f t="shared" si="4"/>
        <v>95.851421475294316</v>
      </c>
      <c r="V30" s="40">
        <f>VLOOKUP(B30,'Player Data'!$A1:$AE734,10,FALSE)*$Q30*IFERROR(((VLOOKUP(P30,Settings!$E$28:$F$33,2,FALSE)/2)+1),1)</f>
        <v>207.3507220121561</v>
      </c>
      <c r="W30" s="40">
        <f>VLOOKUP(B30,'Player Data'!$A1:$AE734,11,FALSE)*$Q30*IFERROR((VLOOKUP(P30,Settings!$E$28:$F$33,2,FALSE)+1),1)</f>
        <v>7.9796375165400892</v>
      </c>
      <c r="X30" s="40">
        <f>VLOOKUP(B30,'Player Data'!$A1:$AE734,12,FALSE)*$Q30*IFERROR((VLOOKUP(P30,Settings!$E$28:$F$33,2,FALSE)+1),1)</f>
        <v>35.981681812876332</v>
      </c>
      <c r="Y30" s="40">
        <f>VLOOKUP(B30,'Player Data'!$A1:$AE734,13,FALSE)*$Q30</f>
        <v>6.886536461043433E-3</v>
      </c>
      <c r="Z30" s="40">
        <f>VLOOKUP(B30,'Player Data'!$A1:$AE734,14,FALSE)*$Q30</f>
        <v>1.2059664914402605E-2</v>
      </c>
      <c r="AA30" s="40">
        <f>VLOOKUP(B30,'Player Data'!$A1:$AE734,15,FALSE)*$Q30</f>
        <v>14.822266368313199</v>
      </c>
      <c r="AB30" s="40">
        <f>VLOOKUP(B30,'Player Data'!$A1:$AE734,16,FALSE)*$Q30</f>
        <v>28.778634684822819</v>
      </c>
      <c r="AC30" s="40">
        <f>VLOOKUP(B30,'Player Data'!$A1:$AE734,17,FALSE)*$Q30*IFERROR((VLOOKUP(P30,Settings!$E$28:$F$33,2,FALSE)+1),1)</f>
        <v>5.8442168965279517</v>
      </c>
      <c r="AD30" s="40">
        <f>VLOOKUP(B30,'Player Data'!$A1:$AE734,18,FALSE)*$Q30</f>
        <v>25.913165383527517</v>
      </c>
      <c r="AE30" s="40">
        <f>VLOOKUP(B30,'Player Data'!$A1:$AE734,19,FALSE)*$Q30*IFERROR((VLOOKUP(P30,Settings!$E$28:$F$33,2,FALSE)+1),1)</f>
        <v>4.7183074970369088</v>
      </c>
      <c r="AF30" s="40">
        <f>VLOOKUP(B30,'Player Data'!$A1:$AE734,20,FALSE)*$Q30</f>
        <v>5.2256852327676571</v>
      </c>
      <c r="AG30" s="40">
        <f>VLOOKUP(B30,'Player Data'!$A1:$AE734,21,FALSE)*$Q30</f>
        <v>10.320191193401833</v>
      </c>
      <c r="AH30" s="41">
        <f>VLOOKUP(B30,'Player Data'!$A1:$AE734,22,FALSE)</f>
        <v>0.33614606790331197</v>
      </c>
      <c r="AI30" s="38"/>
      <c r="AJ30" s="42"/>
      <c r="AK30" s="40"/>
      <c r="AL30" s="40"/>
      <c r="AM30" s="40"/>
      <c r="AN30" s="40"/>
      <c r="AO30" s="40"/>
      <c r="AP30" s="40"/>
      <c r="AQ30" s="43"/>
      <c r="AR30" s="44"/>
      <c r="AS30" s="42"/>
    </row>
    <row r="31" spans="1:45" ht="21.2" customHeight="1">
      <c r="A31" s="181">
        <f t="shared" si="0"/>
        <v>30</v>
      </c>
      <c r="B31" s="8" t="s">
        <v>128</v>
      </c>
      <c r="C31" s="31" t="s">
        <v>104</v>
      </c>
      <c r="D31" s="32" t="str">
        <f>VLOOKUP(B31,'Player Data'!A1:D734,4,FALSE)</f>
        <v>C</v>
      </c>
      <c r="E31" s="33">
        <f>VLOOKUP(B31,'C'!A1:C208,3,FALSE)</f>
        <v>11</v>
      </c>
      <c r="F31" s="34" t="str">
        <f>VLOOKUP(B31,'Player Data'!A1:B734,2,FALSE)</f>
        <v>NYR</v>
      </c>
      <c r="G31" s="9">
        <f>VLOOKUP(B31,'Player Data'!A1:D734,3,FALSE)</f>
        <v>30</v>
      </c>
      <c r="H31" s="35">
        <f>IFERROR(VLOOKUP(B31,ADP!A1:G731,7,FALSE)/1000000,VLOOKUP(B31,ADP!A1:G731,7,FALSE))</f>
        <v>8.5</v>
      </c>
      <c r="I31" s="36">
        <f>IF(Settings!$E$15="POINTS",((R31*Q31)*Settings!$B$12)+(S31*Settings!$B$2)+(T31*Settings!$B$3)+(U31*Settings!$B$4)+(V31*Settings!$B$5)+(X31*Settings!$B$9)+(AA31*Settings!$B$6)+(W31*Settings!$B$8)+(AB31*Settings!$B$7)+(AC31*Settings!$B$14)+(AD31*Settings!$B$15)+(AE31*Settings!$B$16)+(AF31*Settings!$B$17)+(AG31*Settings!$B$18)+(Y31*Settings!$B$10)+(Z31*Settings!$B$11),VLOOKUP(B31,'Standard Deviations'!A1:C731,3,FALSE))</f>
        <v>10.395967367905438</v>
      </c>
      <c r="J31" s="37">
        <f t="shared" si="1"/>
        <v>0.12678008985250536</v>
      </c>
      <c r="K31" s="183">
        <f>IF(Settings!$E$18="C/LW/RW",VLOOKUP(B31,'C'!A1:F208,6,FALSE),VLOOKUP(B31,F!A1:F431,6,FALSE))</f>
        <v>4.0589166436988355</v>
      </c>
      <c r="L31" s="36">
        <f t="shared" si="2"/>
        <v>0.47751960514103947</v>
      </c>
      <c r="M31" s="38">
        <f>IF(Settings!$E$9="YAHOO",VLOOKUP(B31,ADP!A1:E731,2,FALSE),IF(Settings!$E$9="ESPN",VLOOKUP(B31,ADP!A1:E731,3,FALSE),IF(Settings!$E$9="FANTRAX",VLOOKUP(B31,ADP!A1:E731,4,FALSE),VLOOKUP(B31,ADP!A1:E731,5,FALSE))))</f>
        <v>26.47</v>
      </c>
      <c r="N31" s="38">
        <f t="shared" si="3"/>
        <v>-3.5300000000000011</v>
      </c>
      <c r="O31" s="38"/>
      <c r="P31" s="39" t="str">
        <f>IF(Settings!$E$27="ON",_xlfn.XLOOKUP(B31,ADP!A2:A731,ADP!H2:H731)," ")</f>
        <v xml:space="preserve"> </v>
      </c>
      <c r="Q31" s="40">
        <f>IF(Settings!$E$12="YES",VLOOKUP(B31,'Player Data'!A1:E734,5,FALSE),82)</f>
        <v>82</v>
      </c>
      <c r="R31" s="38">
        <f>VLOOKUP(B31,'Player Data'!$A1:$AE734,6,FALSE)</f>
        <v>20.7219889246484</v>
      </c>
      <c r="S31" s="40">
        <f>VLOOKUP(B31,'Player Data'!$A1:$AE734,7,FALSE)*$Q31*IFERROR((VLOOKUP(P31,Settings!$E$28:$F$33,2,FALSE)+1),1)</f>
        <v>35.480385414993101</v>
      </c>
      <c r="T31" s="40">
        <f>VLOOKUP(B31,'Player Data'!$A1:$AE734,8,FALSE)*$Q31*IFERROR((VLOOKUP(P31,Settings!$E$28:$F$33,2,FALSE)+1),1)</f>
        <v>51.002175394966031</v>
      </c>
      <c r="U31" s="40">
        <f t="shared" si="4"/>
        <v>86.482560809959125</v>
      </c>
      <c r="V31" s="40">
        <f>VLOOKUP(B31,'Player Data'!$A1:$AE734,10,FALSE)*$Q31*IFERROR(((VLOOKUP(P31,Settings!$E$28:$F$33,2,FALSE)/2)+1),1)</f>
        <v>254.84596585440971</v>
      </c>
      <c r="W31" s="40">
        <f>VLOOKUP(B31,'Player Data'!$A1:$AE734,11,FALSE)*$Q31*IFERROR((VLOOKUP(P31,Settings!$E$28:$F$33,2,FALSE)+1),1)</f>
        <v>17.128754782581019</v>
      </c>
      <c r="X31" s="40">
        <f>VLOOKUP(B31,'Player Data'!$A1:$AE734,12,FALSE)*$Q31*IFERROR((VLOOKUP(P31,Settings!$E$28:$F$33,2,FALSE)+1),1)</f>
        <v>33.129572653116284</v>
      </c>
      <c r="Y31" s="40">
        <f>VLOOKUP(B31,'Player Data'!$A1:$AE734,13,FALSE)*$Q31</f>
        <v>1.007973090388798</v>
      </c>
      <c r="Z31" s="40">
        <f>VLOOKUP(B31,'Player Data'!$A1:$AE734,14,FALSE)*$Q31</f>
        <v>3.0447881258573264</v>
      </c>
      <c r="AA31" s="40">
        <f>VLOOKUP(B31,'Player Data'!$A1:$AE734,15,FALSE)*$Q31</f>
        <v>50.404652722285888</v>
      </c>
      <c r="AB31" s="40">
        <f>VLOOKUP(B31,'Player Data'!$A1:$AE734,16,FALSE)*$Q31</f>
        <v>75.834291177679617</v>
      </c>
      <c r="AC31" s="40">
        <f>VLOOKUP(B31,'Player Data'!$A1:$AE734,17,FALSE)*$Q31*IFERROR((VLOOKUP(P31,Settings!$E$28:$F$33,2,FALSE)+1),1)</f>
        <v>5.9736310723331707</v>
      </c>
      <c r="AD31" s="40">
        <f>VLOOKUP(B31,'Player Data'!$A1:$AE734,18,FALSE)*$Q31</f>
        <v>22.610617184997736</v>
      </c>
      <c r="AE31" s="40">
        <f>VLOOKUP(B31,'Player Data'!$A1:$AE734,19,FALSE)*$Q31*IFERROR((VLOOKUP(P31,Settings!$E$28:$F$33,2,FALSE)+1),1)</f>
        <v>6.0457914195844173</v>
      </c>
      <c r="AF31" s="40">
        <f>VLOOKUP(B31,'Player Data'!$A1:$AE734,20,FALSE)*$Q31</f>
        <v>728.77515906271276</v>
      </c>
      <c r="AG31" s="40">
        <f>VLOOKUP(B31,'Player Data'!$A1:$AE734,21,FALSE)*$Q31</f>
        <v>730.35706866585463</v>
      </c>
      <c r="AH31" s="41">
        <f>VLOOKUP(B31,'Player Data'!$A1:$AE734,22,FALSE)</f>
        <v>0.499457927947488</v>
      </c>
      <c r="AI31" s="38"/>
      <c r="AJ31" s="42"/>
      <c r="AK31" s="40"/>
      <c r="AL31" s="40"/>
      <c r="AM31" s="40"/>
      <c r="AN31" s="40"/>
      <c r="AO31" s="40"/>
      <c r="AP31" s="40"/>
      <c r="AQ31" s="43"/>
      <c r="AR31" s="44"/>
      <c r="AS31" s="38"/>
    </row>
    <row r="32" spans="1:45" ht="21.2" customHeight="1">
      <c r="A32" s="181">
        <f t="shared" si="0"/>
        <v>31</v>
      </c>
      <c r="B32" s="8" t="s">
        <v>139</v>
      </c>
      <c r="C32" s="31" t="s">
        <v>104</v>
      </c>
      <c r="D32" s="32" t="str">
        <f>VLOOKUP(B32,'Player Data'!A1:D734,4,FALSE)</f>
        <v>C</v>
      </c>
      <c r="E32" s="33">
        <f>VLOOKUP(B32,'C'!A1:C208,3,FALSE)</f>
        <v>12</v>
      </c>
      <c r="F32" s="34" t="str">
        <f>VLOOKUP(B32,'Player Data'!A1:B734,2,FALSE)</f>
        <v>PIT</v>
      </c>
      <c r="G32" s="9">
        <f>VLOOKUP(B32,'Player Data'!A1:D734,3,FALSE)</f>
        <v>36</v>
      </c>
      <c r="H32" s="35">
        <f>IFERROR(VLOOKUP(B32,ADP!A1:G731,7,FALSE)/1000000,VLOOKUP(B32,ADP!A1:G731,7,FALSE))</f>
        <v>8.6999999999999993</v>
      </c>
      <c r="I32" s="36">
        <f>IF(Settings!$E$15="POINTS",((R32*Q32)*Settings!$B$12)+(S32*Settings!$B$2)+(T32*Settings!$B$3)+(U32*Settings!$B$4)+(V32*Settings!$B$5)+(X32*Settings!$B$9)+(AA32*Settings!$B$6)+(W32*Settings!$B$8)+(AB32*Settings!$B$7)+(AC32*Settings!$B$14)+(AD32*Settings!$B$15)+(AE32*Settings!$B$16)+(AF32*Settings!$B$17)+(AG32*Settings!$B$18)+(Y32*Settings!$B$10)+(Z32*Settings!$B$11),VLOOKUP(B32,'Standard Deviations'!A1:C731,3,FALSE))</f>
        <v>10.322588449458125</v>
      </c>
      <c r="J32" s="37">
        <f t="shared" si="1"/>
        <v>0.12588522499339178</v>
      </c>
      <c r="K32" s="183">
        <f>IF(Settings!$E$18="C/LW/RW",VLOOKUP(B32,'C'!A1:F208,6,FALSE),VLOOKUP(B32,F!A1:F431,6,FALSE))</f>
        <v>3.9855377252515227</v>
      </c>
      <c r="L32" s="36">
        <f t="shared" si="2"/>
        <v>0.45810778451166934</v>
      </c>
      <c r="M32" s="38">
        <f>IF(Settings!$E$9="YAHOO",VLOOKUP(B32,ADP!A1:E731,2,FALSE),IF(Settings!$E$9="ESPN",VLOOKUP(B32,ADP!A1:E731,3,FALSE),IF(Settings!$E$9="FANTRAX",VLOOKUP(B32,ADP!A1:E731,4,FALSE),VLOOKUP(B32,ADP!A1:E731,5,FALSE))))</f>
        <v>22.75</v>
      </c>
      <c r="N32" s="38">
        <f t="shared" si="3"/>
        <v>-8.25</v>
      </c>
      <c r="O32" s="38"/>
      <c r="P32" s="39" t="str">
        <f>IF(Settings!$E$27="ON",_xlfn.XLOOKUP(B32,ADP!A2:A731,ADP!H2:H731)," ")</f>
        <v xml:space="preserve"> </v>
      </c>
      <c r="Q32" s="40">
        <f>IF(Settings!$E$12="YES",VLOOKUP(B32,'Player Data'!A1:E734,5,FALSE),82)</f>
        <v>82</v>
      </c>
      <c r="R32" s="38">
        <f>VLOOKUP(B32,'Player Data'!$A1:$AE734,6,FALSE)</f>
        <v>20.013263798018301</v>
      </c>
      <c r="S32" s="40">
        <f>VLOOKUP(B32,'Player Data'!$A1:$AE734,7,FALSE)*$Q32*IFERROR((VLOOKUP(P32,Settings!$E$28:$F$33,2,FALSE)+1),1)</f>
        <v>31.944714623605712</v>
      </c>
      <c r="T32" s="40">
        <f>VLOOKUP(B32,'Player Data'!$A1:$AE734,8,FALSE)*$Q32*IFERROR((VLOOKUP(P32,Settings!$E$28:$F$33,2,FALSE)+1),1)</f>
        <v>57.399941238342521</v>
      </c>
      <c r="U32" s="40">
        <f t="shared" si="4"/>
        <v>89.34465586194824</v>
      </c>
      <c r="V32" s="40">
        <f>VLOOKUP(B32,'Player Data'!$A1:$AE734,10,FALSE)*$Q32*IFERROR(((VLOOKUP(P32,Settings!$E$28:$F$33,2,FALSE)/2)+1),1)</f>
        <v>250.90204845263904</v>
      </c>
      <c r="W32" s="40">
        <f>VLOOKUP(B32,'Player Data'!$A1:$AE734,11,FALSE)*$Q32*IFERROR((VLOOKUP(P32,Settings!$E$28:$F$33,2,FALSE)+1),1)</f>
        <v>8.9502368668302719</v>
      </c>
      <c r="X32" s="40">
        <f>VLOOKUP(B32,'Player Data'!$A1:$AE734,12,FALSE)*$Q32*IFERROR((VLOOKUP(P32,Settings!$E$28:$F$33,2,FALSE)+1),1)</f>
        <v>30.546018274671685</v>
      </c>
      <c r="Y32" s="40">
        <f>VLOOKUP(B32,'Player Data'!$A1:$AE734,13,FALSE)*$Q32</f>
        <v>1.5455893659926489E-2</v>
      </c>
      <c r="Z32" s="40">
        <f>VLOOKUP(B32,'Player Data'!$A1:$AE734,14,FALSE)*$Q32</f>
        <v>2.1447137708054977E-2</v>
      </c>
      <c r="AA32" s="40">
        <f>VLOOKUP(B32,'Player Data'!$A1:$AE734,15,FALSE)*$Q32</f>
        <v>44.983373623634257</v>
      </c>
      <c r="AB32" s="40">
        <f>VLOOKUP(B32,'Player Data'!$A1:$AE734,16,FALSE)*$Q32</f>
        <v>66.500231339385678</v>
      </c>
      <c r="AC32" s="40">
        <f>VLOOKUP(B32,'Player Data'!$A1:$AE734,17,FALSE)*$Q32*IFERROR((VLOOKUP(P32,Settings!$E$28:$F$33,2,FALSE)+1),1)</f>
        <v>5.3782998476469279</v>
      </c>
      <c r="AD32" s="40">
        <f>VLOOKUP(B32,'Player Data'!$A1:$AE734,18,FALSE)*$Q32</f>
        <v>36.490333676652128</v>
      </c>
      <c r="AE32" s="40">
        <f>VLOOKUP(B32,'Player Data'!$A1:$AE734,19,FALSE)*$Q32*IFERROR((VLOOKUP(P32,Settings!$E$28:$F$33,2,FALSE)+1),1)</f>
        <v>5.1277663398241806</v>
      </c>
      <c r="AF32" s="40">
        <f>VLOOKUP(B32,'Player Data'!$A1:$AE734,20,FALSE)*$Q32</f>
        <v>962.98883184913325</v>
      </c>
      <c r="AG32" s="40">
        <f>VLOOKUP(B32,'Player Data'!$A1:$AE734,21,FALSE)*$Q32</f>
        <v>857.68256629000302</v>
      </c>
      <c r="AH32" s="41">
        <f>VLOOKUP(B32,'Player Data'!$A1:$AE734,22,FALSE)</f>
        <v>0.52891962428441397</v>
      </c>
      <c r="AI32" s="38"/>
      <c r="AJ32" s="42"/>
      <c r="AK32" s="40"/>
      <c r="AL32" s="40"/>
      <c r="AM32" s="40"/>
      <c r="AN32" s="40"/>
      <c r="AO32" s="40"/>
      <c r="AP32" s="40"/>
      <c r="AQ32" s="43"/>
      <c r="AR32" s="44"/>
      <c r="AS32" s="38"/>
    </row>
    <row r="33" spans="1:45" ht="21.2" customHeight="1">
      <c r="A33" s="181">
        <f t="shared" si="0"/>
        <v>32</v>
      </c>
      <c r="B33" s="8" t="s">
        <v>133</v>
      </c>
      <c r="C33" s="31" t="s">
        <v>104</v>
      </c>
      <c r="D33" s="32" t="str">
        <f>VLOOKUP(B33,'Player Data'!A1:D734,4,FALSE)</f>
        <v>LW</v>
      </c>
      <c r="E33" s="48">
        <f>VLOOKUP(B33,LW!A1:C227,3,FALSE)</f>
        <v>9</v>
      </c>
      <c r="F33" s="34" t="str">
        <f>VLOOKUP(B33,'Player Data'!A1:B734,2,FALSE)</f>
        <v>WPG</v>
      </c>
      <c r="G33" s="9">
        <f>VLOOKUP(B33,'Player Data'!A1:D734,3,FALSE)</f>
        <v>26</v>
      </c>
      <c r="H33" s="35">
        <f>IFERROR(VLOOKUP(B33,ADP!A1:G731,7,FALSE)/1000000,VLOOKUP(B33,ADP!A1:G731,7,FALSE))</f>
        <v>7.1428570000000002</v>
      </c>
      <c r="I33" s="36">
        <f>IF(Settings!$E$15="POINTS",((R33*Q33)*Settings!$B$12)+(S33*Settings!$B$2)+(T33*Settings!$B$3)+(U33*Settings!$B$4)+(V33*Settings!$B$5)+(X33*Settings!$B$9)+(AA33*Settings!$B$6)+(W33*Settings!$B$8)+(AB33*Settings!$B$7)+(AC33*Settings!$B$14)+(AD33*Settings!$B$15)+(AE33*Settings!$B$16)+(AF33*Settings!$B$17)+(AG33*Settings!$B$18)+(Y33*Settings!$B$10)+(Z33*Settings!$B$11),VLOOKUP(B33,'Standard Deviations'!A1:C731,3,FALSE))</f>
        <v>10.06630112250282</v>
      </c>
      <c r="J33" s="37">
        <f t="shared" si="1"/>
        <v>0.12275976978661975</v>
      </c>
      <c r="K33" s="183">
        <f>IF(Settings!$E$18="C/LW/RW",VLOOKUP(B33,LW!A1:F227,6,FALSE),VLOOKUP(B33,F!A1:F431,6,FALSE))</f>
        <v>3.4116320783784184</v>
      </c>
      <c r="L33" s="36">
        <f t="shared" si="2"/>
        <v>0.47762850052554856</v>
      </c>
      <c r="M33" s="38">
        <f>IF(Settings!$E$9="YAHOO",VLOOKUP(B33,ADP!A1:E731,2,FALSE),IF(Settings!$E$9="ESPN",VLOOKUP(B33,ADP!A1:E731,3,FALSE),IF(Settings!$E$9="FANTRAX",VLOOKUP(B33,ADP!A1:E731,4,FALSE),VLOOKUP(B33,ADP!A1:E731,5,FALSE))))</f>
        <v>28.95</v>
      </c>
      <c r="N33" s="38">
        <f t="shared" si="3"/>
        <v>-3.0500000000000007</v>
      </c>
      <c r="O33" s="38"/>
      <c r="P33" s="39" t="str">
        <f>IF(Settings!$E$27="ON",_xlfn.XLOOKUP(B33,ADP!A2:A731,ADP!H2:H731)," ")</f>
        <v xml:space="preserve"> </v>
      </c>
      <c r="Q33" s="40">
        <f>IF(Settings!$E$12="YES",VLOOKUP(B33,'Player Data'!A1:E734,5,FALSE),82)</f>
        <v>82</v>
      </c>
      <c r="R33" s="38">
        <f>VLOOKUP(B33,'Player Data'!$A1:$AE734,6,FALSE)</f>
        <v>20.319192130335299</v>
      </c>
      <c r="S33" s="40">
        <f>VLOOKUP(B33,'Player Data'!$A1:$AE734,7,FALSE)*$Q33*IFERROR((VLOOKUP(P33,Settings!$E$28:$F$33,2,FALSE)+1),1)</f>
        <v>37.876643743265888</v>
      </c>
      <c r="T33" s="40">
        <f>VLOOKUP(B33,'Player Data'!$A1:$AE734,8,FALSE)*$Q33*IFERROR((VLOOKUP(P33,Settings!$E$28:$F$33,2,FALSE)+1),1)</f>
        <v>47.866183995547793</v>
      </c>
      <c r="U33" s="40">
        <f t="shared" si="4"/>
        <v>85.742827738813673</v>
      </c>
      <c r="V33" s="40">
        <f>VLOOKUP(B33,'Player Data'!$A1:$AE734,10,FALSE)*$Q33*IFERROR(((VLOOKUP(P33,Settings!$E$28:$F$33,2,FALSE)/2)+1),1)</f>
        <v>276.47164064752292</v>
      </c>
      <c r="W33" s="40">
        <f>VLOOKUP(B33,'Player Data'!$A1:$AE734,11,FALSE)*$Q33*IFERROR((VLOOKUP(P33,Settings!$E$28:$F$33,2,FALSE)+1),1)</f>
        <v>8.9848531758664265</v>
      </c>
      <c r="X33" s="40">
        <f>VLOOKUP(B33,'Player Data'!$A1:$AE734,12,FALSE)*$Q33*IFERROR((VLOOKUP(P33,Settings!$E$28:$F$33,2,FALSE)+1),1)</f>
        <v>26.522095774863814</v>
      </c>
      <c r="Y33" s="40">
        <f>VLOOKUP(B33,'Player Data'!$A1:$AE734,13,FALSE)*$Q33</f>
        <v>0.30807764808329163</v>
      </c>
      <c r="Z33" s="40">
        <f>VLOOKUP(B33,'Player Data'!$A1:$AE734,14,FALSE)*$Q33</f>
        <v>0.36584866795493037</v>
      </c>
      <c r="AA33" s="40">
        <f>VLOOKUP(B33,'Player Data'!$A1:$AE734,15,FALSE)*$Q33</f>
        <v>24.374699391248217</v>
      </c>
      <c r="AB33" s="40">
        <f>VLOOKUP(B33,'Player Data'!$A1:$AE734,16,FALSE)*$Q33</f>
        <v>41.361860503438891</v>
      </c>
      <c r="AC33" s="40">
        <f>VLOOKUP(B33,'Player Data'!$A1:$AE734,17,FALSE)*$Q33*IFERROR((VLOOKUP(P33,Settings!$E$28:$F$33,2,FALSE)+1),1)</f>
        <v>1.007708018540691</v>
      </c>
      <c r="AD33" s="40">
        <f>VLOOKUP(B33,'Player Data'!$A1:$AE734,18,FALSE)*$Q33</f>
        <v>17.881726408433334</v>
      </c>
      <c r="AE33" s="40">
        <f>VLOOKUP(B33,'Player Data'!$A1:$AE734,19,FALSE)*$Q33*IFERROR((VLOOKUP(P33,Settings!$E$28:$F$33,2,FALSE)+1),1)</f>
        <v>5.9088832039703592</v>
      </c>
      <c r="AF33" s="40">
        <f>VLOOKUP(B33,'Player Data'!$A1:$AE734,20,FALSE)*$Q33</f>
        <v>2.2696622501798123</v>
      </c>
      <c r="AG33" s="40">
        <f>VLOOKUP(B33,'Player Data'!$A1:$AE734,21,FALSE)*$Q33</f>
        <v>6.2326462577470592</v>
      </c>
      <c r="AH33" s="41">
        <f>VLOOKUP(B33,'Player Data'!$A1:$AE734,22,FALSE)</f>
        <v>0.26694658845462499</v>
      </c>
      <c r="AI33" s="38"/>
      <c r="AJ33" s="42"/>
      <c r="AK33" s="40"/>
      <c r="AL33" s="40"/>
      <c r="AM33" s="40"/>
      <c r="AN33" s="40"/>
      <c r="AO33" s="40"/>
      <c r="AP33" s="40"/>
      <c r="AQ33" s="43"/>
      <c r="AR33" s="44"/>
      <c r="AS33" s="38"/>
    </row>
    <row r="34" spans="1:45" ht="21.2" customHeight="1">
      <c r="A34" s="181">
        <f t="shared" si="0"/>
        <v>33</v>
      </c>
      <c r="B34" s="8" t="s">
        <v>137</v>
      </c>
      <c r="C34" s="31" t="s">
        <v>104</v>
      </c>
      <c r="D34" s="32" t="str">
        <f>VLOOKUP(B34,'Player Data'!A1:D734,4,FALSE)</f>
        <v>D</v>
      </c>
      <c r="E34" s="47">
        <f>VLOOKUP(B34,D!A1:C229,3,FALSE)</f>
        <v>11</v>
      </c>
      <c r="F34" s="34" t="str">
        <f>VLOOKUP(B34,'Player Data'!A1:B734,2,FALSE)</f>
        <v>TBL</v>
      </c>
      <c r="G34" s="9">
        <f>VLOOKUP(B34,'Player Data'!A1:D734,3,FALSE)</f>
        <v>32</v>
      </c>
      <c r="H34" s="35">
        <f>IFERROR(VLOOKUP(B34,ADP!A1:G731,7,FALSE)/1000000,VLOOKUP(B34,ADP!A1:G731,7,FALSE))</f>
        <v>7.875</v>
      </c>
      <c r="I34" s="36">
        <f>IF(Settings!$E$15="POINTS",((R34*Q34)*Settings!$B$12)+(S34*Settings!$B$2)+(T34*Settings!$B$3)+(U34*Settings!$B$4)+(V34*Settings!$B$5)+(X34*Settings!$B$9)+(AA34*Settings!$B$6)+(W34*Settings!$B$8)+(AB34*Settings!$B$7)+(AC34*Settings!$B$14)+(AD34*Settings!$B$15)+(AE34*Settings!$B$16)+(AF34*Settings!$B$17)+(AG34*Settings!$B$18)+(U34*Settings!$B$13)+(Y34*Settings!$B$10)+(Z34*Settings!$B$11),VLOOKUP(B34,'Standard Deviations'!A1:C731,3,FALSE))</f>
        <v>5.2490957276978873</v>
      </c>
      <c r="J34" s="37">
        <f t="shared" si="1"/>
        <v>6.4013362532901061E-2</v>
      </c>
      <c r="K34" s="183">
        <f>VLOOKUP(B34,D!A1:F229,6,FALSE)</f>
        <v>3.3073551840635766</v>
      </c>
      <c r="L34" s="36">
        <f t="shared" si="2"/>
        <v>0.41998161067473988</v>
      </c>
      <c r="M34" s="38">
        <f>IF(Settings!$E$9="YAHOO",VLOOKUP(B34,ADP!A1:E731,2,FALSE),IF(Settings!$E$9="ESPN",VLOOKUP(B34,ADP!A1:E731,3,FALSE),IF(Settings!$E$9="FANTRAX",VLOOKUP(B34,ADP!A1:E731,4,FALSE),VLOOKUP(B34,ADP!A1:E731,5,FALSE))))</f>
        <v>80.180000000000007</v>
      </c>
      <c r="N34" s="38">
        <f t="shared" si="3"/>
        <v>47.180000000000007</v>
      </c>
      <c r="O34" s="38"/>
      <c r="P34" s="39" t="str">
        <f>IF(Settings!$E$27="ON",_xlfn.XLOOKUP(B34,ADP!A2:A731,ADP!H2:H731)," ")</f>
        <v xml:space="preserve"> </v>
      </c>
      <c r="Q34" s="40">
        <f>IF(Settings!$E$12="YES",VLOOKUP(B34,'Player Data'!A1:E734,5,FALSE),82)</f>
        <v>82</v>
      </c>
      <c r="R34" s="38">
        <f>VLOOKUP(B34,'Player Data'!$A1:$AE734,6,FALSE)</f>
        <v>23.9259320894176</v>
      </c>
      <c r="S34" s="40">
        <f>VLOOKUP(B34,'Player Data'!$A1:$AE734,7,FALSE)*$Q34*IFERROR((VLOOKUP(P34,Settings!$E$28:$F$33,2,FALSE)+1),1)</f>
        <v>13.09252790431821</v>
      </c>
      <c r="T34" s="40">
        <f>VLOOKUP(B34,'Player Data'!$A1:$AE734,8,FALSE)*$Q34*IFERROR((VLOOKUP(P34,Settings!$E$28:$F$33,2,FALSE)+1),1)</f>
        <v>49.461481740957673</v>
      </c>
      <c r="U34" s="40">
        <f t="shared" ref="U34:U60" si="5">SUM(S34:T34)</f>
        <v>62.554009645275883</v>
      </c>
      <c r="V34" s="40">
        <f>VLOOKUP(B34,'Player Data'!$A1:$AE734,10,FALSE)*$Q34*IFERROR(((VLOOKUP(P34,Settings!$E$28:$F$33,2,FALSE)/2)+1),1)</f>
        <v>201.43415995336304</v>
      </c>
      <c r="W34" s="40">
        <f>VLOOKUP(B34,'Player Data'!$A1:$AE734,11,FALSE)*$Q34*IFERROR((VLOOKUP(P34,Settings!$E$28:$F$33,2,FALSE)+1),1)</f>
        <v>2.6396022633921814</v>
      </c>
      <c r="X34" s="40">
        <f>VLOOKUP(B34,'Player Data'!$A1:$AE734,12,FALSE)*$Q34*IFERROR((VLOOKUP(P34,Settings!$E$28:$F$33,2,FALSE)+1),1)</f>
        <v>23.766526898795007</v>
      </c>
      <c r="Y34" s="40">
        <f>VLOOKUP(B34,'Player Data'!$A1:$AE734,13,FALSE)*$Q34</f>
        <v>0.40569070693020381</v>
      </c>
      <c r="Z34" s="40">
        <f>VLOOKUP(B34,'Player Data'!$A1:$AE734,14,FALSE)*$Q34</f>
        <v>0.77930255983104391</v>
      </c>
      <c r="AA34" s="40">
        <f>VLOOKUP(B34,'Player Data'!$A1:$AE734,15,FALSE)*$Q34</f>
        <v>137.19648870702579</v>
      </c>
      <c r="AB34" s="40">
        <f>VLOOKUP(B34,'Player Data'!$A1:$AE734,16,FALSE)*$Q34</f>
        <v>97.69686269447412</v>
      </c>
      <c r="AC34" s="40">
        <f>VLOOKUP(B34,'Player Data'!$A1:$AE734,17,FALSE)*$Q34*IFERROR((VLOOKUP(P34,Settings!$E$28:$F$33,2,FALSE)+1),1)</f>
        <v>-1.8475416536444477E-2</v>
      </c>
      <c r="AD34" s="40">
        <f>VLOOKUP(B34,'Player Data'!$A1:$AE734,18,FALSE)*$Q34</f>
        <v>37.429126340413816</v>
      </c>
      <c r="AE34" s="40">
        <f>VLOOKUP(B34,'Player Data'!$A1:$AE734,19,FALSE)*$Q34*IFERROR((VLOOKUP(P34,Settings!$E$28:$F$33,2,FALSE)+1),1)</f>
        <v>2.0489853728947365</v>
      </c>
      <c r="AF34" s="40">
        <f>VLOOKUP(B34,'Player Data'!$A1:$AE734,20,FALSE)*$Q34</f>
        <v>0</v>
      </c>
      <c r="AG34" s="40">
        <f>VLOOKUP(B34,'Player Data'!$A1:$AE734,21,FALSE)*$Q34</f>
        <v>0</v>
      </c>
      <c r="AH34" s="41">
        <f>VLOOKUP(B34,'Player Data'!$A1:$AE734,22,FALSE)</f>
        <v>0</v>
      </c>
      <c r="AI34" s="38"/>
      <c r="AJ34" s="42"/>
      <c r="AK34" s="40"/>
      <c r="AL34" s="40"/>
      <c r="AM34" s="40"/>
      <c r="AN34" s="40"/>
      <c r="AO34" s="40"/>
      <c r="AP34" s="40"/>
      <c r="AQ34" s="43"/>
      <c r="AR34" s="44"/>
      <c r="AS34" s="38"/>
    </row>
    <row r="35" spans="1:45" ht="21.2" customHeight="1">
      <c r="A35" s="181">
        <f t="shared" si="0"/>
        <v>34</v>
      </c>
      <c r="B35" s="8" t="s">
        <v>159</v>
      </c>
      <c r="C35" s="31" t="s">
        <v>104</v>
      </c>
      <c r="D35" s="32" t="str">
        <f>VLOOKUP(B35,'Player Data'!A1:D734,4,FALSE)</f>
        <v>C</v>
      </c>
      <c r="E35" s="33">
        <f>VLOOKUP(B35,'C'!A1:C208,3,FALSE)</f>
        <v>16</v>
      </c>
      <c r="F35" s="34" t="str">
        <f>VLOOKUP(B35,'Player Data'!A1:B734,2,FALSE)</f>
        <v>DET</v>
      </c>
      <c r="G35" s="9">
        <f>VLOOKUP(B35,'Player Data'!A1:D734,3,FALSE)</f>
        <v>27</v>
      </c>
      <c r="H35" s="35">
        <f>IFERROR(VLOOKUP(B35,ADP!A1:G731,7,FALSE)/1000000,VLOOKUP(B35,ADP!A1:G731,7,FALSE))</f>
        <v>8.6999999999999993</v>
      </c>
      <c r="I35" s="36">
        <f>IF(Settings!$E$15="POINTS",((R35*Q35)*Settings!$B$12)+(S35*Settings!$B$2)+(T35*Settings!$B$3)+(U35*Settings!$B$4)+(V35*Settings!$B$5)+(X35*Settings!$B$9)+(AA35*Settings!$B$6)+(W35*Settings!$B$8)+(AB35*Settings!$B$7)+(AC35*Settings!$B$14)+(AD35*Settings!$B$15)+(AE35*Settings!$B$16)+(AF35*Settings!$B$17)+(AG35*Settings!$B$18)+(Y35*Settings!$B$10)+(Z35*Settings!$B$11),VLOOKUP(B35,'Standard Deviations'!A1:C731,3,FALSE))</f>
        <v>9.577719019407807</v>
      </c>
      <c r="J35" s="37">
        <f t="shared" si="1"/>
        <v>0.11680145145619276</v>
      </c>
      <c r="K35" s="183">
        <f>IF(Settings!$E$18="C/LW/RW",VLOOKUP(B35,'C'!A1:F208,6,FALSE),VLOOKUP(B35,F!A1:F431,6,FALSE))</f>
        <v>3.2406682952012043</v>
      </c>
      <c r="L35" s="36">
        <f t="shared" si="2"/>
        <v>0.37249060864381661</v>
      </c>
      <c r="M35" s="38">
        <f>IF(Settings!$E$9="YAHOO",VLOOKUP(B35,ADP!A1:E731,2,FALSE),IF(Settings!$E$9="ESPN",VLOOKUP(B35,ADP!A1:E731,3,FALSE),IF(Settings!$E$9="FANTRAX",VLOOKUP(B35,ADP!A1:E731,4,FALSE),VLOOKUP(B35,ADP!A1:E731,5,FALSE))))</f>
        <v>59.12</v>
      </c>
      <c r="N35" s="38">
        <f t="shared" si="3"/>
        <v>25.119999999999997</v>
      </c>
      <c r="O35" s="38"/>
      <c r="P35" s="39" t="str">
        <f>IF(Settings!$E$27="ON",_xlfn.XLOOKUP(B35,ADP!A2:A731,ADP!H2:H731)," ")</f>
        <v>+ +</v>
      </c>
      <c r="Q35" s="40">
        <f>IF(Settings!$E$12="YES",VLOOKUP(B35,'Player Data'!A1:E734,5,FALSE),82)</f>
        <v>82</v>
      </c>
      <c r="R35" s="38">
        <f>VLOOKUP(B35,'Player Data'!$A1:$AE734,6,FALSE)</f>
        <v>19.803300616979701</v>
      </c>
      <c r="S35" s="40">
        <f>VLOOKUP(B35,'Player Data'!$A1:$AE734,7,FALSE)*$Q35*IFERROR((VLOOKUP(P35,Settings!$E$28:$F$33,2,FALSE)+1),1)</f>
        <v>34.822709786592746</v>
      </c>
      <c r="T35" s="40">
        <f>VLOOKUP(B35,'Player Data'!$A1:$AE734,8,FALSE)*$Q35*IFERROR((VLOOKUP(P35,Settings!$E$28:$F$33,2,FALSE)+1),1)</f>
        <v>48.057880233678503</v>
      </c>
      <c r="U35" s="40">
        <f t="shared" si="5"/>
        <v>82.880590020271256</v>
      </c>
      <c r="V35" s="40">
        <f>VLOOKUP(B35,'Player Data'!$A1:$AE734,10,FALSE)*$Q35*IFERROR(((VLOOKUP(P35,Settings!$E$28:$F$33,2,FALSE)/2)+1),1)</f>
        <v>259.75974453906616</v>
      </c>
      <c r="W35" s="40">
        <f>VLOOKUP(B35,'Player Data'!$A1:$AE734,11,FALSE)*$Q35*IFERROR((VLOOKUP(P35,Settings!$E$28:$F$33,2,FALSE)+1),1)</f>
        <v>13.405206960868613</v>
      </c>
      <c r="X35" s="40">
        <f>VLOOKUP(B35,'Player Data'!$A1:$AE734,12,FALSE)*$Q35*IFERROR((VLOOKUP(P35,Settings!$E$28:$F$33,2,FALSE)+1),1)</f>
        <v>28.486656544044308</v>
      </c>
      <c r="Y35" s="40">
        <f>VLOOKUP(B35,'Player Data'!$A1:$AE734,13,FALSE)*$Q35</f>
        <v>0.87893094639841085</v>
      </c>
      <c r="Z35" s="40">
        <f>VLOOKUP(B35,'Player Data'!$A1:$AE734,14,FALSE)*$Q35</f>
        <v>1.450021409315811</v>
      </c>
      <c r="AA35" s="40">
        <f>VLOOKUP(B35,'Player Data'!$A1:$AE734,15,FALSE)*$Q35</f>
        <v>30.892515947152475</v>
      </c>
      <c r="AB35" s="40">
        <f>VLOOKUP(B35,'Player Data'!$A1:$AE734,16,FALSE)*$Q35</f>
        <v>61.698989865839707</v>
      </c>
      <c r="AC35" s="40">
        <f>VLOOKUP(B35,'Player Data'!$A1:$AE734,17,FALSE)*$Q35*IFERROR((VLOOKUP(P35,Settings!$E$28:$F$33,2,FALSE)+1),1)</f>
        <v>-3.2942556648934822</v>
      </c>
      <c r="AD35" s="40">
        <f>VLOOKUP(B35,'Player Data'!$A1:$AE734,18,FALSE)*$Q35</f>
        <v>43.393917782840511</v>
      </c>
      <c r="AE35" s="40">
        <f>VLOOKUP(B35,'Player Data'!$A1:$AE734,19,FALSE)*$Q35*IFERROR((VLOOKUP(P35,Settings!$E$28:$F$33,2,FALSE)+1),1)</f>
        <v>4.6082932397420686</v>
      </c>
      <c r="AF35" s="40">
        <f>VLOOKUP(B35,'Player Data'!$A1:$AE734,20,FALSE)*$Q35</f>
        <v>738.8254586052002</v>
      </c>
      <c r="AG35" s="40">
        <f>VLOOKUP(B35,'Player Data'!$A1:$AE734,21,FALSE)*$Q35</f>
        <v>659.06308636115239</v>
      </c>
      <c r="AH35" s="41">
        <f>VLOOKUP(B35,'Player Data'!$A1:$AE734,22,FALSE)</f>
        <v>0.52852958933359295</v>
      </c>
      <c r="AI35" s="38"/>
      <c r="AJ35" s="42"/>
      <c r="AK35" s="40"/>
      <c r="AL35" s="40"/>
      <c r="AM35" s="40"/>
      <c r="AN35" s="40"/>
      <c r="AO35" s="40"/>
      <c r="AP35" s="40"/>
      <c r="AQ35" s="43"/>
      <c r="AR35" s="44"/>
      <c r="AS35" s="38"/>
    </row>
    <row r="36" spans="1:45" ht="21.2" customHeight="1">
      <c r="A36" s="181">
        <f t="shared" si="0"/>
        <v>35</v>
      </c>
      <c r="B36" s="8" t="s">
        <v>135</v>
      </c>
      <c r="C36" s="31" t="s">
        <v>104</v>
      </c>
      <c r="D36" s="32" t="str">
        <f>VLOOKUP(B36,'Player Data'!A1:D734,4,FALSE)</f>
        <v>C,LW</v>
      </c>
      <c r="E36" s="45">
        <f>VLOOKUP(B36,LW!A1:C227,3,FALSE)</f>
        <v>10</v>
      </c>
      <c r="F36" s="34" t="str">
        <f>VLOOKUP(B36,'Player Data'!A1:B734,2,FALSE)</f>
        <v>OTT</v>
      </c>
      <c r="G36" s="9">
        <f>VLOOKUP(B36,'Player Data'!A1:D734,3,FALSE)</f>
        <v>21</v>
      </c>
      <c r="H36" s="35">
        <f>IFERROR(VLOOKUP(B36,ADP!A1:G731,7,FALSE)/1000000,VLOOKUP(B36,ADP!A1:G731,7,FALSE))</f>
        <v>8.35</v>
      </c>
      <c r="I36" s="36">
        <f>IF(Settings!$E$15="POINTS",((R36*Q36)*Settings!$B$12)+(S36*Settings!$B$2)+(T36*Settings!$B$3)+(U36*Settings!$B$4)+(V36*Settings!$B$5)+(X36*Settings!$B$9)+(AA36*Settings!$B$6)+(W36*Settings!$B$8)+(AB36*Settings!$B$7)+(AC36*Settings!$B$14)+(AD36*Settings!$B$15)+(AE36*Settings!$B$16)+(AF36*Settings!$B$17)+(AG36*Settings!$B$18)+(Y36*Settings!$B$10)+(Z36*Settings!$B$11),VLOOKUP(B36,'Standard Deviations'!A1:C731,3,FALSE))</f>
        <v>9.837350072092196</v>
      </c>
      <c r="J36" s="37">
        <f t="shared" si="1"/>
        <v>0.1199676838060024</v>
      </c>
      <c r="K36" s="183">
        <f>IF(Settings!$E$18="C/LW/RW",VLOOKUP(B36,LW!A1:F227,6,FALSE),VLOOKUP(B36,F!A1:F431,6,FALSE))</f>
        <v>3.1826810279677948</v>
      </c>
      <c r="L36" s="36">
        <f t="shared" si="2"/>
        <v>0.38115940454704134</v>
      </c>
      <c r="M36" s="38">
        <f>IF(Settings!$E$9="YAHOO",VLOOKUP(B36,ADP!A1:E731,2,FALSE),IF(Settings!$E$9="ESPN",VLOOKUP(B36,ADP!A1:E731,3,FALSE),IF(Settings!$E$9="FANTRAX",VLOOKUP(B36,ADP!A1:E731,4,FALSE),VLOOKUP(B36,ADP!A1:E731,5,FALSE))))</f>
        <v>18.13</v>
      </c>
      <c r="N36" s="38">
        <f t="shared" si="3"/>
        <v>-16.87</v>
      </c>
      <c r="O36" s="38"/>
      <c r="P36" s="39" t="str">
        <f>IF(Settings!$E$27="ON",_xlfn.XLOOKUP(B36,ADP!A2:A731,ADP!H2:H731)," ")</f>
        <v>+</v>
      </c>
      <c r="Q36" s="40">
        <f>IF(Settings!$E$12="YES",VLOOKUP(B36,'Player Data'!A1:E734,5,FALSE),82)</f>
        <v>82</v>
      </c>
      <c r="R36" s="38">
        <f>VLOOKUP(B36,'Player Data'!$A1:$AE734,6,FALSE)</f>
        <v>20.7365697379221</v>
      </c>
      <c r="S36" s="40">
        <f>VLOOKUP(B36,'Player Data'!$A1:$AE734,7,FALSE)*$Q36*IFERROR((VLOOKUP(P36,Settings!$E$28:$F$33,2,FALSE)+1),1)</f>
        <v>37.583706964693562</v>
      </c>
      <c r="T36" s="40">
        <f>VLOOKUP(B36,'Player Data'!$A1:$AE734,8,FALSE)*$Q36*IFERROR((VLOOKUP(P36,Settings!$E$28:$F$33,2,FALSE)+1),1)</f>
        <v>51.093129642403802</v>
      </c>
      <c r="U36" s="40">
        <f t="shared" si="5"/>
        <v>88.676836607097357</v>
      </c>
      <c r="V36" s="40">
        <f>VLOOKUP(B36,'Player Data'!$A1:$AE734,10,FALSE)*$Q36*IFERROR(((VLOOKUP(P36,Settings!$E$28:$F$33,2,FALSE)/2)+1),1)</f>
        <v>233.69050011316318</v>
      </c>
      <c r="W36" s="40">
        <f>VLOOKUP(B36,'Player Data'!$A1:$AE734,11,FALSE)*$Q36*IFERROR((VLOOKUP(P36,Settings!$E$28:$F$33,2,FALSE)+1),1)</f>
        <v>9.6117219871162298</v>
      </c>
      <c r="X36" s="40">
        <f>VLOOKUP(B36,'Player Data'!$A1:$AE734,12,FALSE)*$Q36*IFERROR((VLOOKUP(P36,Settings!$E$28:$F$33,2,FALSE)+1),1)</f>
        <v>28.053948052216626</v>
      </c>
      <c r="Y36" s="40">
        <f>VLOOKUP(B36,'Player Data'!$A1:$AE734,13,FALSE)*$Q36</f>
        <v>2.6608425694534175</v>
      </c>
      <c r="Z36" s="40">
        <f>VLOOKUP(B36,'Player Data'!$A1:$AE734,14,FALSE)*$Q36</f>
        <v>2.9503067869820989</v>
      </c>
      <c r="AA36" s="40">
        <f>VLOOKUP(B36,'Player Data'!$A1:$AE734,15,FALSE)*$Q36</f>
        <v>51.529260762253585</v>
      </c>
      <c r="AB36" s="40">
        <f>VLOOKUP(B36,'Player Data'!$A1:$AE734,16,FALSE)*$Q36</f>
        <v>117.28599307225282</v>
      </c>
      <c r="AC36" s="40">
        <f>VLOOKUP(B36,'Player Data'!$A1:$AE734,17,FALSE)*$Q36*IFERROR((VLOOKUP(P36,Settings!$E$28:$F$33,2,FALSE)+1),1)</f>
        <v>1.4002822809600426</v>
      </c>
      <c r="AD36" s="40">
        <f>VLOOKUP(B36,'Player Data'!$A1:$AE734,18,FALSE)*$Q36</f>
        <v>46.65148277175448</v>
      </c>
      <c r="AE36" s="40">
        <f>VLOOKUP(B36,'Player Data'!$A1:$AE734,19,FALSE)*$Q36*IFERROR((VLOOKUP(P36,Settings!$E$28:$F$33,2,FALSE)+1),1)</f>
        <v>5.6520599030598131</v>
      </c>
      <c r="AF36" s="40">
        <f>VLOOKUP(B36,'Player Data'!$A1:$AE734,20,FALSE)*$Q36</f>
        <v>181.30298116180614</v>
      </c>
      <c r="AG36" s="40">
        <f>VLOOKUP(B36,'Player Data'!$A1:$AE734,21,FALSE)*$Q36</f>
        <v>288.90858302826507</v>
      </c>
      <c r="AH36" s="41">
        <f>VLOOKUP(B36,'Player Data'!$A1:$AE734,22,FALSE)</f>
        <v>0.385577461230875</v>
      </c>
      <c r="AI36" s="38"/>
      <c r="AJ36" s="42"/>
      <c r="AK36" s="40"/>
      <c r="AL36" s="40"/>
      <c r="AM36" s="40"/>
      <c r="AN36" s="40"/>
      <c r="AO36" s="40"/>
      <c r="AP36" s="40"/>
      <c r="AQ36" s="43"/>
      <c r="AR36" s="44"/>
      <c r="AS36" s="38"/>
    </row>
    <row r="37" spans="1:45" ht="21.2" customHeight="1">
      <c r="A37" s="181">
        <f t="shared" si="0"/>
        <v>36</v>
      </c>
      <c r="B37" s="8" t="s">
        <v>145</v>
      </c>
      <c r="C37" s="31" t="s">
        <v>104</v>
      </c>
      <c r="D37" s="32" t="str">
        <f>VLOOKUP(B37,'Player Data'!A1:D734,4,FALSE)</f>
        <v>C,LW</v>
      </c>
      <c r="E37" s="45">
        <f>VLOOKUP(B37,LW!A1:C227,3,FALSE)</f>
        <v>11</v>
      </c>
      <c r="F37" s="34" t="str">
        <f>VLOOKUP(B37,'Player Data'!A1:B734,2,FALSE)</f>
        <v>TBL</v>
      </c>
      <c r="G37" s="9">
        <f>VLOOKUP(B37,'Player Data'!A1:D734,3,FALSE)</f>
        <v>33</v>
      </c>
      <c r="H37" s="35">
        <f>IFERROR(VLOOKUP(B37,ADP!A1:G731,7,FALSE)/1000000,VLOOKUP(B37,ADP!A1:G731,7,FALSE))</f>
        <v>8.5</v>
      </c>
      <c r="I37" s="36">
        <f>IF(Settings!$E$15="POINTS",((R37*Q37)*Settings!$B$12)+(S37*Settings!$B$2)+(T37*Settings!$B$3)+(U37*Settings!$B$4)+(V37*Settings!$B$5)+(X37*Settings!$B$9)+(AA37*Settings!$B$6)+(W37*Settings!$B$8)+(AB37*Settings!$B$7)+(AC37*Settings!$B$14)+(AD37*Settings!$B$15)+(AE37*Settings!$B$16)+(AF37*Settings!$B$17)+(AG37*Settings!$B$18)+(Y37*Settings!$B$10)+(Z37*Settings!$B$11),VLOOKUP(B37,'Standard Deviations'!A1:C731,3,FALSE))</f>
        <v>9.7577666144233852</v>
      </c>
      <c r="J37" s="37">
        <f t="shared" si="1"/>
        <v>0.11899715383443153</v>
      </c>
      <c r="K37" s="183">
        <f>IF(Settings!$E$18="C/LW/RW",VLOOKUP(B37,LW!A1:F227,6,FALSE),VLOOKUP(B37,F!A1:F431,6,FALSE))</f>
        <v>3.103097570298984</v>
      </c>
      <c r="L37" s="36">
        <f t="shared" si="2"/>
        <v>0.36507030238811577</v>
      </c>
      <c r="M37" s="38">
        <f>IF(Settings!$E$9="YAHOO",VLOOKUP(B37,ADP!A1:E731,2,FALSE),IF(Settings!$E$9="ESPN",VLOOKUP(B37,ADP!A1:E731,3,FALSE),IF(Settings!$E$9="FANTRAX",VLOOKUP(B37,ADP!A1:E731,4,FALSE),VLOOKUP(B37,ADP!A1:E731,5,FALSE))))</f>
        <v>29.4</v>
      </c>
      <c r="N37" s="38">
        <f t="shared" si="3"/>
        <v>-6.6000000000000014</v>
      </c>
      <c r="O37" s="38"/>
      <c r="P37" s="39" t="str">
        <f>IF(Settings!$E$27="ON",_xlfn.XLOOKUP(B37,ADP!A2:A731,ADP!H2:H731)," ")</f>
        <v>-</v>
      </c>
      <c r="Q37" s="40">
        <f>IF(Settings!$E$12="YES",VLOOKUP(B37,'Player Data'!A1:E734,5,FALSE),82)</f>
        <v>82</v>
      </c>
      <c r="R37" s="38">
        <f>VLOOKUP(B37,'Player Data'!$A1:$AE734,6,FALSE)</f>
        <v>18.999190690615599</v>
      </c>
      <c r="S37" s="40">
        <f>VLOOKUP(B37,'Player Data'!$A1:$AE734,7,FALSE)*$Q37*IFERROR((VLOOKUP(P37,Settings!$E$28:$F$33,2,FALSE)+1),1)</f>
        <v>33.594396988923286</v>
      </c>
      <c r="T37" s="40">
        <f>VLOOKUP(B37,'Player Data'!$A1:$AE734,8,FALSE)*$Q37*IFERROR((VLOOKUP(P37,Settings!$E$28:$F$33,2,FALSE)+1),1)</f>
        <v>50.915185791085577</v>
      </c>
      <c r="U37" s="40">
        <f t="shared" si="5"/>
        <v>84.509582780008856</v>
      </c>
      <c r="V37" s="40">
        <f>VLOOKUP(B37,'Player Data'!$A1:$AE734,10,FALSE)*$Q37*IFERROR(((VLOOKUP(P37,Settings!$E$28:$F$33,2,FALSE)/2)+1),1)</f>
        <v>236.42541724888449</v>
      </c>
      <c r="W37" s="40">
        <f>VLOOKUP(B37,'Player Data'!$A1:$AE734,11,FALSE)*$Q37*IFERROR((VLOOKUP(P37,Settings!$E$28:$F$33,2,FALSE)+1),1)</f>
        <v>13.503800496181352</v>
      </c>
      <c r="X37" s="40">
        <f>VLOOKUP(B37,'Player Data'!$A1:$AE734,12,FALSE)*$Q37*IFERROR((VLOOKUP(P37,Settings!$E$28:$F$33,2,FALSE)+1),1)</f>
        <v>32.580320034289834</v>
      </c>
      <c r="Y37" s="40">
        <f>VLOOKUP(B37,'Player Data'!$A1:$AE734,13,FALSE)*$Q37</f>
        <v>3.1292754290199787E-2</v>
      </c>
      <c r="Z37" s="40">
        <f>VLOOKUP(B37,'Player Data'!$A1:$AE734,14,FALSE)*$Q37</f>
        <v>0.1422542284155526</v>
      </c>
      <c r="AA37" s="40">
        <f>VLOOKUP(B37,'Player Data'!$A1:$AE734,15,FALSE)*$Q37</f>
        <v>44.254082249586567</v>
      </c>
      <c r="AB37" s="40">
        <f>VLOOKUP(B37,'Player Data'!$A1:$AE734,16,FALSE)*$Q37</f>
        <v>92.541543572573659</v>
      </c>
      <c r="AC37" s="40">
        <f>VLOOKUP(B37,'Player Data'!$A1:$AE734,17,FALSE)*$Q37*IFERROR((VLOOKUP(P37,Settings!$E$28:$F$33,2,FALSE)+1),1)</f>
        <v>1.2401465863449295</v>
      </c>
      <c r="AD37" s="40">
        <f>VLOOKUP(B37,'Player Data'!$A1:$AE734,18,FALSE)*$Q37</f>
        <v>41.470544258782766</v>
      </c>
      <c r="AE37" s="40">
        <f>VLOOKUP(B37,'Player Data'!$A1:$AE734,19,FALSE)*$Q37*IFERROR((VLOOKUP(P37,Settings!$E$28:$F$33,2,FALSE)+1),1)</f>
        <v>5.2575353319521927</v>
      </c>
      <c r="AF37" s="40">
        <f>VLOOKUP(B37,'Player Data'!$A1:$AE734,20,FALSE)*$Q37</f>
        <v>514.20084217732528</v>
      </c>
      <c r="AG37" s="40">
        <f>VLOOKUP(B37,'Player Data'!$A1:$AE734,21,FALSE)*$Q37</f>
        <v>452.98219164155819</v>
      </c>
      <c r="AH37" s="41">
        <f>VLOOKUP(B37,'Player Data'!$A1:$AE734,22,FALSE)</f>
        <v>0.53164791378424403</v>
      </c>
      <c r="AI37" s="38"/>
      <c r="AJ37" s="42"/>
      <c r="AK37" s="40"/>
      <c r="AL37" s="40"/>
      <c r="AM37" s="40"/>
      <c r="AN37" s="40"/>
      <c r="AO37" s="40"/>
      <c r="AP37" s="40"/>
      <c r="AQ37" s="43"/>
      <c r="AR37" s="44"/>
      <c r="AS37" s="38"/>
    </row>
    <row r="38" spans="1:45" ht="21.2" customHeight="1">
      <c r="A38" s="181">
        <f t="shared" si="0"/>
        <v>37</v>
      </c>
      <c r="B38" s="8" t="s">
        <v>141</v>
      </c>
      <c r="C38" s="31" t="s">
        <v>104</v>
      </c>
      <c r="D38" s="32" t="str">
        <f>VLOOKUP(B38,'Player Data'!A1:D734,4,FALSE)</f>
        <v>LW,RW</v>
      </c>
      <c r="E38" s="45">
        <f>VLOOKUP(B38,RW!A1:F189,3,FALSE)</f>
        <v>8</v>
      </c>
      <c r="F38" s="34" t="str">
        <f>VLOOKUP(B38,'Player Data'!A1:B734,2,FALSE)</f>
        <v>MIN</v>
      </c>
      <c r="G38" s="9">
        <f>VLOOKUP(B38,'Player Data'!A1:D734,3,FALSE)</f>
        <v>22</v>
      </c>
      <c r="H38" s="35">
        <f>IFERROR(VLOOKUP(B38,ADP!A1:G731,7,FALSE)/1000000,VLOOKUP(B38,ADP!A1:G731,7,FALSE))</f>
        <v>7</v>
      </c>
      <c r="I38" s="36">
        <f>IF(Settings!$E$15="POINTS",((R38*Q38)*Settings!$B$12)+(S38*Settings!$B$2)+(T38*Settings!$B$3)+(U38*Settings!$B$4)+(V38*Settings!$B$5)+(X38*Settings!$B$9)+(AA38*Settings!$B$6)+(W38*Settings!$B$8)+(AB38*Settings!$B$7)+(AC38*Settings!$B$14)+(AD38*Settings!$B$15)+(AE38*Settings!$B$16)+(AF38*Settings!$B$17)+(AG38*Settings!$B$18)+(Y38*Settings!$B$10)+(Z38*Settings!$B$11),VLOOKUP(B38,'Standard Deviations'!A1:C731,3,FALSE))</f>
        <v>9.3029657940042263</v>
      </c>
      <c r="J38" s="37">
        <f t="shared" si="1"/>
        <v>0.1134508023659052</v>
      </c>
      <c r="K38" s="183">
        <f>IF(Settings!$E$18="C/LW/RW",VLOOKUP(B38,RW!A1:F189,6,FALSE),VLOOKUP(B38,F!A1:F431,6,FALSE))</f>
        <v>3.0227070749931455</v>
      </c>
      <c r="L38" s="36">
        <f t="shared" si="2"/>
        <v>0.4318152964275922</v>
      </c>
      <c r="M38" s="38">
        <f>IF(Settings!$E$9="YAHOO",VLOOKUP(B38,ADP!A1:E731,2,FALSE),IF(Settings!$E$9="ESPN",VLOOKUP(B38,ADP!A1:E731,3,FALSE),IF(Settings!$E$9="FANTRAX",VLOOKUP(B38,ADP!A1:E731,4,FALSE),VLOOKUP(B38,ADP!A1:E731,5,FALSE))))</f>
        <v>82.92</v>
      </c>
      <c r="N38" s="38">
        <f t="shared" si="3"/>
        <v>45.92</v>
      </c>
      <c r="O38" s="38"/>
      <c r="P38" s="39" t="str">
        <f>IF(Settings!$E$27="ON",_xlfn.XLOOKUP(B38,ADP!A2:A731,ADP!H2:H731)," ")</f>
        <v>+</v>
      </c>
      <c r="Q38" s="40">
        <f>IF(Settings!$E$12="YES",VLOOKUP(B38,'Player Data'!A1:E734,5,FALSE),82)</f>
        <v>82</v>
      </c>
      <c r="R38" s="38">
        <f>VLOOKUP(B38,'Player Data'!$A1:$AE734,6,FALSE)</f>
        <v>19.0849791416092</v>
      </c>
      <c r="S38" s="40">
        <f>VLOOKUP(B38,'Player Data'!$A1:$AE734,7,FALSE)*$Q38*IFERROR((VLOOKUP(P38,Settings!$E$28:$F$33,2,FALSE)+1),1)</f>
        <v>35.527657785590897</v>
      </c>
      <c r="T38" s="40">
        <f>VLOOKUP(B38,'Player Data'!$A1:$AE734,8,FALSE)*$Q38*IFERROR((VLOOKUP(P38,Settings!$E$28:$F$33,2,FALSE)+1),1)</f>
        <v>43.937761967067708</v>
      </c>
      <c r="U38" s="40">
        <f t="shared" si="5"/>
        <v>79.465419752658605</v>
      </c>
      <c r="V38" s="40">
        <f>VLOOKUP(B38,'Player Data'!$A1:$AE734,10,FALSE)*$Q38*IFERROR(((VLOOKUP(P38,Settings!$E$28:$F$33,2,FALSE)/2)+1),1)</f>
        <v>267.91573768433955</v>
      </c>
      <c r="W38" s="40">
        <f>VLOOKUP(B38,'Player Data'!$A1:$AE734,11,FALSE)*$Q38*IFERROR((VLOOKUP(P38,Settings!$E$28:$F$33,2,FALSE)+1),1)</f>
        <v>9.1353481076346927</v>
      </c>
      <c r="X38" s="40">
        <f>VLOOKUP(B38,'Player Data'!$A1:$AE734,12,FALSE)*$Q38*IFERROR((VLOOKUP(P38,Settings!$E$28:$F$33,2,FALSE)+1),1)</f>
        <v>28.191357384659081</v>
      </c>
      <c r="Y38" s="40">
        <f>VLOOKUP(B38,'Player Data'!$A1:$AE734,13,FALSE)*$Q38</f>
        <v>7.3631519346345486E-2</v>
      </c>
      <c r="Z38" s="40">
        <f>VLOOKUP(B38,'Player Data'!$A1:$AE734,14,FALSE)*$Q38</f>
        <v>0.15346134097259534</v>
      </c>
      <c r="AA38" s="40">
        <f>VLOOKUP(B38,'Player Data'!$A1:$AE734,15,FALSE)*$Q38</f>
        <v>32.350850317633416</v>
      </c>
      <c r="AB38" s="40">
        <f>VLOOKUP(B38,'Player Data'!$A1:$AE734,16,FALSE)*$Q38</f>
        <v>67.176009690816997</v>
      </c>
      <c r="AC38" s="40">
        <f>VLOOKUP(B38,'Player Data'!$A1:$AE734,17,FALSE)*$Q38*IFERROR((VLOOKUP(P38,Settings!$E$28:$F$33,2,FALSE)+1),1)</f>
        <v>4.4844664337853146</v>
      </c>
      <c r="AD38" s="40">
        <f>VLOOKUP(B38,'Player Data'!$A1:$AE734,18,FALSE)*$Q38</f>
        <v>36.600490572839433</v>
      </c>
      <c r="AE38" s="40">
        <f>VLOOKUP(B38,'Player Data'!$A1:$AE734,19,FALSE)*$Q38*IFERROR((VLOOKUP(P38,Settings!$E$28:$F$33,2,FALSE)+1),1)</f>
        <v>5.7049039395515395</v>
      </c>
      <c r="AF38" s="40">
        <f>VLOOKUP(B38,'Player Data'!$A1:$AE734,20,FALSE)*$Q38</f>
        <v>68.932192396564304</v>
      </c>
      <c r="AG38" s="40">
        <f>VLOOKUP(B38,'Player Data'!$A1:$AE734,21,FALSE)*$Q38</f>
        <v>69.709903481067116</v>
      </c>
      <c r="AH38" s="41">
        <f>VLOOKUP(B38,'Player Data'!$A1:$AE734,22,FALSE)</f>
        <v>0.49719525631959099</v>
      </c>
      <c r="AI38" s="38"/>
      <c r="AJ38" s="42"/>
      <c r="AK38" s="40"/>
      <c r="AL38" s="40"/>
      <c r="AM38" s="40"/>
      <c r="AN38" s="40"/>
      <c r="AO38" s="40"/>
      <c r="AP38" s="40"/>
      <c r="AQ38" s="43"/>
      <c r="AR38" s="44"/>
      <c r="AS38" s="38"/>
    </row>
    <row r="39" spans="1:45" ht="21.2" customHeight="1">
      <c r="A39" s="181">
        <f t="shared" si="0"/>
        <v>38</v>
      </c>
      <c r="B39" s="8" t="s">
        <v>147</v>
      </c>
      <c r="C39" s="31" t="s">
        <v>104</v>
      </c>
      <c r="D39" s="32" t="str">
        <f>VLOOKUP(B39,'Player Data'!A1:D734,4,FALSE)</f>
        <v>C,LW</v>
      </c>
      <c r="E39" s="45">
        <f>VLOOKUP(B39,LW!A1:C227,3,FALSE)</f>
        <v>12</v>
      </c>
      <c r="F39" s="34" t="str">
        <f>VLOOKUP(B39,'Player Data'!A1:B734,2,FALSE)</f>
        <v>EDM</v>
      </c>
      <c r="G39" s="9">
        <f>VLOOKUP(B39,'Player Data'!A1:D734,3,FALSE)</f>
        <v>30</v>
      </c>
      <c r="H39" s="35">
        <f>IFERROR(VLOOKUP(B39,ADP!A1:G731,7,FALSE)/1000000,VLOOKUP(B39,ADP!A1:G731,7,FALSE))</f>
        <v>5.125</v>
      </c>
      <c r="I39" s="36">
        <f>IF(Settings!$E$15="POINTS",((R39*Q39)*Settings!$B$12)+(S39*Settings!$B$2)+(T39*Settings!$B$3)+(U39*Settings!$B$4)+(V39*Settings!$B$5)+(X39*Settings!$B$9)+(AA39*Settings!$B$6)+(W39*Settings!$B$8)+(AB39*Settings!$B$7)+(AC39*Settings!$B$14)+(AD39*Settings!$B$15)+(AE39*Settings!$B$16)+(AF39*Settings!$B$17)+(AG39*Settings!$B$18)+(Y39*Settings!$B$10)+(Z39*Settings!$B$11),VLOOKUP(B39,'Standard Deviations'!A1:C731,3,FALSE))</f>
        <v>9.6760867611712325</v>
      </c>
      <c r="J39" s="37">
        <f t="shared" si="1"/>
        <v>0.11800105806306381</v>
      </c>
      <c r="K39" s="183">
        <f>IF(Settings!$E$18="C/LW/RW",VLOOKUP(B39,LW!A1:F227,6,FALSE),VLOOKUP(B39,F!A1:F431,6,FALSE))</f>
        <v>3.0214177170468313</v>
      </c>
      <c r="L39" s="36">
        <f t="shared" si="2"/>
        <v>0.58954492039938167</v>
      </c>
      <c r="M39" s="38">
        <f>IF(Settings!$E$9="YAHOO",VLOOKUP(B39,ADP!A1:E731,2,FALSE),IF(Settings!$E$9="ESPN",VLOOKUP(B39,ADP!A1:E731,3,FALSE),IF(Settings!$E$9="FANTRAX",VLOOKUP(B39,ADP!A1:E731,4,FALSE),VLOOKUP(B39,ADP!A1:E731,5,FALSE))))</f>
        <v>43.43</v>
      </c>
      <c r="N39" s="38">
        <f t="shared" si="3"/>
        <v>5.43</v>
      </c>
      <c r="O39" s="38"/>
      <c r="P39" s="39" t="str">
        <f>IF(Settings!$E$27="ON",_xlfn.XLOOKUP(B39,ADP!A2:A731,ADP!H2:H731)," ")</f>
        <v xml:space="preserve"> </v>
      </c>
      <c r="Q39" s="40">
        <f>IF(Settings!$E$12="YES",VLOOKUP(B39,'Player Data'!A1:E734,5,FALSE),82)</f>
        <v>82</v>
      </c>
      <c r="R39" s="38">
        <f>VLOOKUP(B39,'Player Data'!$A1:$AE734,6,FALSE)</f>
        <v>19.651690682164698</v>
      </c>
      <c r="S39" s="40">
        <f>VLOOKUP(B39,'Player Data'!$A1:$AE734,7,FALSE)*$Q39*IFERROR((VLOOKUP(P39,Settings!$E$28:$F$33,2,FALSE)+1),1)</f>
        <v>27.721707338967779</v>
      </c>
      <c r="T39" s="40">
        <f>VLOOKUP(B39,'Player Data'!$A1:$AE734,8,FALSE)*$Q39*IFERROR((VLOOKUP(P39,Settings!$E$28:$F$33,2,FALSE)+1),1)</f>
        <v>54.608818642847183</v>
      </c>
      <c r="U39" s="40">
        <f t="shared" si="5"/>
        <v>82.330525981814958</v>
      </c>
      <c r="V39" s="40">
        <f>VLOOKUP(B39,'Player Data'!$A1:$AE734,10,FALSE)*$Q39*IFERROR(((VLOOKUP(P39,Settings!$E$28:$F$33,2,FALSE)/2)+1),1)</f>
        <v>201.90202974494716</v>
      </c>
      <c r="W39" s="40">
        <f>VLOOKUP(B39,'Player Data'!$A1:$AE734,11,FALSE)*$Q39*IFERROR((VLOOKUP(P39,Settings!$E$28:$F$33,2,FALSE)+1),1)</f>
        <v>10.637523837871209</v>
      </c>
      <c r="X39" s="40">
        <f>VLOOKUP(B39,'Player Data'!$A1:$AE734,12,FALSE)*$Q39*IFERROR((VLOOKUP(P39,Settings!$E$28:$F$33,2,FALSE)+1),1)</f>
        <v>41.448357310599768</v>
      </c>
      <c r="Y39" s="40">
        <f>VLOOKUP(B39,'Player Data'!$A1:$AE734,13,FALSE)*$Q39</f>
        <v>1.4375944157447917</v>
      </c>
      <c r="Z39" s="40">
        <f>VLOOKUP(B39,'Player Data'!$A1:$AE734,14,FALSE)*$Q39</f>
        <v>3.5802986535207615</v>
      </c>
      <c r="AA39" s="40">
        <f>VLOOKUP(B39,'Player Data'!$A1:$AE734,15,FALSE)*$Q39</f>
        <v>32.42732768391393</v>
      </c>
      <c r="AB39" s="40">
        <f>VLOOKUP(B39,'Player Data'!$A1:$AE734,16,FALSE)*$Q39</f>
        <v>53.037367646890921</v>
      </c>
      <c r="AC39" s="40">
        <f>VLOOKUP(B39,'Player Data'!$A1:$AE734,17,FALSE)*$Q39*IFERROR((VLOOKUP(P39,Settings!$E$28:$F$33,2,FALSE)+1),1)</f>
        <v>6.3355853731835117</v>
      </c>
      <c r="AD39" s="40">
        <f>VLOOKUP(B39,'Player Data'!$A1:$AE734,18,FALSE)*$Q39</f>
        <v>32.080390880377507</v>
      </c>
      <c r="AE39" s="40">
        <f>VLOOKUP(B39,'Player Data'!$A1:$AE734,19,FALSE)*$Q39*IFERROR((VLOOKUP(P39,Settings!$E$28:$F$33,2,FALSE)+1),1)</f>
        <v>4.3880486619613528</v>
      </c>
      <c r="AF39" s="40">
        <f>VLOOKUP(B39,'Player Data'!$A1:$AE734,20,FALSE)*$Q39</f>
        <v>271.95955506945563</v>
      </c>
      <c r="AG39" s="40">
        <f>VLOOKUP(B39,'Player Data'!$A1:$AE734,21,FALSE)*$Q39</f>
        <v>346.74503335955569</v>
      </c>
      <c r="AH39" s="41">
        <f>VLOOKUP(B39,'Player Data'!$A1:$AE734,22,FALSE)</f>
        <v>0.439562854641185</v>
      </c>
      <c r="AI39" s="38"/>
      <c r="AJ39" s="40"/>
      <c r="AK39" s="40"/>
      <c r="AL39" s="40"/>
      <c r="AM39" s="40"/>
      <c r="AN39" s="40"/>
      <c r="AO39" s="40"/>
      <c r="AP39" s="40"/>
      <c r="AQ39" s="43"/>
      <c r="AR39" s="44"/>
      <c r="AS39" s="38"/>
    </row>
    <row r="40" spans="1:45" ht="21.2" customHeight="1">
      <c r="A40" s="181">
        <f t="shared" si="0"/>
        <v>39</v>
      </c>
      <c r="B40" s="8" t="s">
        <v>138</v>
      </c>
      <c r="C40" s="31" t="s">
        <v>104</v>
      </c>
      <c r="D40" s="32" t="str">
        <f>VLOOKUP(B40,'Player Data'!A1:D734,4,FALSE)</f>
        <v>LW,RW</v>
      </c>
      <c r="E40" s="45">
        <f>VLOOKUP(B40,RW!A1:F189,3,FALSE)</f>
        <v>9</v>
      </c>
      <c r="F40" s="34" t="str">
        <f>VLOOKUP(B40,'Player Data'!A1:B734,2,FALSE)</f>
        <v>NJD</v>
      </c>
      <c r="G40" s="9">
        <f>VLOOKUP(B40,'Player Data'!A1:D734,3,FALSE)</f>
        <v>26</v>
      </c>
      <c r="H40" s="35">
        <f>IFERROR(VLOOKUP(B40,ADP!A1:G731,7,FALSE)/1000000,VLOOKUP(B40,ADP!A1:G731,7,FALSE))</f>
        <v>8.8000000000000007</v>
      </c>
      <c r="I40" s="36">
        <f>IF(Settings!$E$15="POINTS",((R40*Q40)*Settings!$B$12)+(S40*Settings!$B$2)+(T40*Settings!$B$3)+(U40*Settings!$B$4)+(V40*Settings!$B$5)+(X40*Settings!$B$9)+(AA40*Settings!$B$6)+(W40*Settings!$B$8)+(AB40*Settings!$B$7)+(AC40*Settings!$B$14)+(AD40*Settings!$B$15)+(AE40*Settings!$B$16)+(AF40*Settings!$B$17)+(AG40*Settings!$B$18)+(Y40*Settings!$B$10)+(Z40*Settings!$B$11),VLOOKUP(B40,'Standard Deviations'!A1:C731,3,FALSE))</f>
        <v>9.2215876069536442</v>
      </c>
      <c r="J40" s="37">
        <f t="shared" si="1"/>
        <v>0.1124583854506542</v>
      </c>
      <c r="K40" s="183">
        <f>IF(Settings!$E$18="C/LW/RW",VLOOKUP(B40,RW!A1:F189,6,FALSE),VLOOKUP(B40,F!A1:F431,6,FALSE))</f>
        <v>2.9413288879425634</v>
      </c>
      <c r="L40" s="36">
        <f t="shared" si="2"/>
        <v>0.33424191908438217</v>
      </c>
      <c r="M40" s="38">
        <f>IF(Settings!$E$9="YAHOO",VLOOKUP(B40,ADP!A1:E731,2,FALSE),IF(Settings!$E$9="ESPN",VLOOKUP(B40,ADP!A1:E731,3,FALSE),IF(Settings!$E$9="FANTRAX",VLOOKUP(B40,ADP!A1:E731,4,FALSE),VLOOKUP(B40,ADP!A1:E731,5,FALSE))))</f>
        <v>21.78</v>
      </c>
      <c r="N40" s="38">
        <f t="shared" si="3"/>
        <v>-17.22</v>
      </c>
      <c r="O40" s="38"/>
      <c r="P40" s="39" t="str">
        <f>IF(Settings!$E$27="ON",_xlfn.XLOOKUP(B40,ADP!A2:A731,ADP!H2:H731)," ")</f>
        <v xml:space="preserve"> </v>
      </c>
      <c r="Q40" s="40">
        <f>IF(Settings!$E$12="YES",VLOOKUP(B40,'Player Data'!A1:E734,5,FALSE),82)</f>
        <v>82</v>
      </c>
      <c r="R40" s="38">
        <f>VLOOKUP(B40,'Player Data'!$A1:$AE734,6,FALSE)</f>
        <v>18.546013432080802</v>
      </c>
      <c r="S40" s="40">
        <f>VLOOKUP(B40,'Player Data'!$A1:$AE734,7,FALSE)*$Q40*IFERROR((VLOOKUP(P40,Settings!$E$28:$F$33,2,FALSE)+1),1)</f>
        <v>38.162220563111198</v>
      </c>
      <c r="T40" s="40">
        <f>VLOOKUP(B40,'Player Data'!$A1:$AE734,8,FALSE)*$Q40*IFERROR((VLOOKUP(P40,Settings!$E$28:$F$33,2,FALSE)+1),1)</f>
        <v>35.006258587808659</v>
      </c>
      <c r="U40" s="40">
        <f t="shared" si="5"/>
        <v>73.168479150919865</v>
      </c>
      <c r="V40" s="40">
        <f>VLOOKUP(B40,'Player Data'!$A1:$AE734,10,FALSE)*$Q40*IFERROR(((VLOOKUP(P40,Settings!$E$28:$F$33,2,FALSE)/2)+1),1)</f>
        <v>322.12754867635675</v>
      </c>
      <c r="W40" s="40">
        <f>VLOOKUP(B40,'Player Data'!$A1:$AE734,11,FALSE)*$Q40*IFERROR((VLOOKUP(P40,Settings!$E$28:$F$33,2,FALSE)+1),1)</f>
        <v>15.771098823483676</v>
      </c>
      <c r="X40" s="40">
        <f>VLOOKUP(B40,'Player Data'!$A1:$AE734,12,FALSE)*$Q40*IFERROR((VLOOKUP(P40,Settings!$E$28:$F$33,2,FALSE)+1),1)</f>
        <v>25.019794474728076</v>
      </c>
      <c r="Y40" s="40">
        <f>VLOOKUP(B40,'Player Data'!$A1:$AE734,13,FALSE)*$Q40</f>
        <v>4.6629397749329018E-2</v>
      </c>
      <c r="Z40" s="40">
        <f>VLOOKUP(B40,'Player Data'!$A1:$AE734,14,FALSE)*$Q40</f>
        <v>9.1358792613273274E-2</v>
      </c>
      <c r="AA40" s="40">
        <f>VLOOKUP(B40,'Player Data'!$A1:$AE734,15,FALSE)*$Q40</f>
        <v>42.500237323287486</v>
      </c>
      <c r="AB40" s="40">
        <f>VLOOKUP(B40,'Player Data'!$A1:$AE734,16,FALSE)*$Q40</f>
        <v>145.09580106570513</v>
      </c>
      <c r="AC40" s="40">
        <f>VLOOKUP(B40,'Player Data'!$A1:$AE734,17,FALSE)*$Q40*IFERROR((VLOOKUP(P40,Settings!$E$28:$F$33,2,FALSE)+1),1)</f>
        <v>2.2311130164877464</v>
      </c>
      <c r="AD40" s="40">
        <f>VLOOKUP(B40,'Player Data'!$A1:$AE734,18,FALSE)*$Q40</f>
        <v>46.33398804723172</v>
      </c>
      <c r="AE40" s="40">
        <f>VLOOKUP(B40,'Player Data'!$A1:$AE734,19,FALSE)*$Q40*IFERROR((VLOOKUP(P40,Settings!$E$28:$F$33,2,FALSE)+1),1)</f>
        <v>5.6090061286970041</v>
      </c>
      <c r="AF40" s="40">
        <f>VLOOKUP(B40,'Player Data'!$A1:$AE734,20,FALSE)*$Q40</f>
        <v>21.171650047889102</v>
      </c>
      <c r="AG40" s="40">
        <f>VLOOKUP(B40,'Player Data'!$A1:$AE734,21,FALSE)*$Q40</f>
        <v>33.261335338586704</v>
      </c>
      <c r="AH40" s="41">
        <f>VLOOKUP(B40,'Player Data'!$A1:$AE734,22,FALSE)</f>
        <v>0.38894890474166999</v>
      </c>
      <c r="AI40" s="38"/>
      <c r="AJ40" s="42"/>
      <c r="AK40" s="40"/>
      <c r="AL40" s="40"/>
      <c r="AM40" s="40"/>
      <c r="AN40" s="40"/>
      <c r="AO40" s="40"/>
      <c r="AP40" s="40"/>
      <c r="AQ40" s="43"/>
      <c r="AR40" s="44"/>
      <c r="AS40" s="38"/>
    </row>
    <row r="41" spans="1:45" ht="21.2" customHeight="1">
      <c r="A41" s="181">
        <f t="shared" si="0"/>
        <v>40</v>
      </c>
      <c r="B41" s="8" t="s">
        <v>151</v>
      </c>
      <c r="C41" s="31" t="s">
        <v>104</v>
      </c>
      <c r="D41" s="32" t="str">
        <f>VLOOKUP(B41,'Player Data'!A1:D734,4,FALSE)</f>
        <v>D</v>
      </c>
      <c r="E41" s="47">
        <f>VLOOKUP(B41,D!A1:C229,3,FALSE)</f>
        <v>12</v>
      </c>
      <c r="F41" s="34" t="str">
        <f>VLOOKUP(B41,'Player Data'!A1:B734,2,FALSE)</f>
        <v>WPG</v>
      </c>
      <c r="G41" s="9">
        <f>VLOOKUP(B41,'Player Data'!A1:D734,3,FALSE)</f>
        <v>28</v>
      </c>
      <c r="H41" s="35">
        <f>IFERROR(VLOOKUP(B41,ADP!A1:G731,7,FALSE)/1000000,VLOOKUP(B41,ADP!A1:G731,7,FALSE))</f>
        <v>6.25</v>
      </c>
      <c r="I41" s="36">
        <f>IF(Settings!$E$15="POINTS",((R41*Q41)*Settings!$B$12)+(S41*Settings!$B$2)+(T41*Settings!$B$3)+(U41*Settings!$B$4)+(V41*Settings!$B$5)+(X41*Settings!$B$9)+(AA41*Settings!$B$6)+(W41*Settings!$B$8)+(AB41*Settings!$B$7)+(AC41*Settings!$B$14)+(AD41*Settings!$B$15)+(AE41*Settings!$B$16)+(AF41*Settings!$B$17)+(AG41*Settings!$B$18)+(U41*Settings!$B$13)+(Y41*Settings!$B$10)+(Z41*Settings!$B$11),VLOOKUP(B41,'Standard Deviations'!A1:C731,3,FALSE))</f>
        <v>4.8684555231433269</v>
      </c>
      <c r="J41" s="37">
        <f t="shared" si="1"/>
        <v>5.937140881882106E-2</v>
      </c>
      <c r="K41" s="183">
        <f>VLOOKUP(B41,D!A1:F229,6,FALSE)</f>
        <v>2.9267149795090162</v>
      </c>
      <c r="L41" s="36">
        <f t="shared" si="2"/>
        <v>0.46827439672144261</v>
      </c>
      <c r="M41" s="38">
        <f>IF(Settings!$E$9="YAHOO",VLOOKUP(B41,ADP!A1:E731,2,FALSE),IF(Settings!$E$9="ESPN",VLOOKUP(B41,ADP!A1:E731,3,FALSE),IF(Settings!$E$9="FANTRAX",VLOOKUP(B41,ADP!A1:E731,4,FALSE),VLOOKUP(B41,ADP!A1:E731,5,FALSE))))</f>
        <v>69.86</v>
      </c>
      <c r="N41" s="38">
        <f t="shared" si="3"/>
        <v>29.86</v>
      </c>
      <c r="O41" s="38"/>
      <c r="P41" s="39" t="str">
        <f>IF(Settings!$E$27="ON",_xlfn.XLOOKUP(B41,ADP!A2:A731,ADP!H2:H731)," ")</f>
        <v>+</v>
      </c>
      <c r="Q41" s="40">
        <f>IF(Settings!$E$12="YES",VLOOKUP(B41,'Player Data'!A1:E734,5,FALSE),82)</f>
        <v>82</v>
      </c>
      <c r="R41" s="38">
        <f>VLOOKUP(B41,'Player Data'!$A1:$AE734,6,FALSE)</f>
        <v>24.028812280166299</v>
      </c>
      <c r="S41" s="40">
        <f>VLOOKUP(B41,'Player Data'!$A1:$AE734,7,FALSE)*$Q41*IFERROR((VLOOKUP(P41,Settings!$E$28:$F$33,2,FALSE)+1),1)</f>
        <v>13.536053789888076</v>
      </c>
      <c r="T41" s="40">
        <f>VLOOKUP(B41,'Player Data'!$A1:$AE734,8,FALSE)*$Q41*IFERROR((VLOOKUP(P41,Settings!$E$28:$F$33,2,FALSE)+1),1)</f>
        <v>46.847664118889007</v>
      </c>
      <c r="U41" s="40">
        <f t="shared" si="5"/>
        <v>60.383717908777086</v>
      </c>
      <c r="V41" s="40">
        <f>VLOOKUP(B41,'Player Data'!$A1:$AE734,10,FALSE)*$Q41*IFERROR(((VLOOKUP(P41,Settings!$E$28:$F$33,2,FALSE)/2)+1),1)</f>
        <v>186.12738086328224</v>
      </c>
      <c r="W41" s="40">
        <f>VLOOKUP(B41,'Player Data'!$A1:$AE734,11,FALSE)*$Q41*IFERROR((VLOOKUP(P41,Settings!$E$28:$F$33,2,FALSE)+1),1)</f>
        <v>3.9244634825259288</v>
      </c>
      <c r="X41" s="40">
        <f>VLOOKUP(B41,'Player Data'!$A1:$AE734,12,FALSE)*$Q41*IFERROR((VLOOKUP(P41,Settings!$E$28:$F$33,2,FALSE)+1),1)</f>
        <v>24.955288791277429</v>
      </c>
      <c r="Y41" s="40">
        <f>VLOOKUP(B41,'Player Data'!$A1:$AE734,13,FALSE)*$Q41</f>
        <v>9.9309381052855392E-3</v>
      </c>
      <c r="Z41" s="40">
        <f>VLOOKUP(B41,'Player Data'!$A1:$AE734,14,FALSE)*$Q41</f>
        <v>4.5225838415925187E-2</v>
      </c>
      <c r="AA41" s="40">
        <f>VLOOKUP(B41,'Player Data'!$A1:$AE734,15,FALSE)*$Q41</f>
        <v>118.17998939475206</v>
      </c>
      <c r="AB41" s="40">
        <f>VLOOKUP(B41,'Player Data'!$A1:$AE734,16,FALSE)*$Q41</f>
        <v>110.00168034102617</v>
      </c>
      <c r="AC41" s="40">
        <f>VLOOKUP(B41,'Player Data'!$A1:$AE734,17,FALSE)*$Q41*IFERROR((VLOOKUP(P41,Settings!$E$28:$F$33,2,FALSE)+1),1)</f>
        <v>2.6450304098562927</v>
      </c>
      <c r="AD41" s="40">
        <f>VLOOKUP(B41,'Player Data'!$A1:$AE734,18,FALSE)*$Q41</f>
        <v>48.872472086617996</v>
      </c>
      <c r="AE41" s="40">
        <f>VLOOKUP(B41,'Player Data'!$A1:$AE734,19,FALSE)*$Q41*IFERROR((VLOOKUP(P41,Settings!$E$28:$F$33,2,FALSE)+1),1)</f>
        <v>2.1116696988584023</v>
      </c>
      <c r="AF41" s="40">
        <f>VLOOKUP(B41,'Player Data'!$A1:$AE734,20,FALSE)*$Q41</f>
        <v>0</v>
      </c>
      <c r="AG41" s="40">
        <f>VLOOKUP(B41,'Player Data'!$A1:$AE734,21,FALSE)*$Q41</f>
        <v>0</v>
      </c>
      <c r="AH41" s="41">
        <f>VLOOKUP(B41,'Player Data'!$A1:$AE734,22,FALSE)</f>
        <v>0</v>
      </c>
      <c r="AI41" s="38"/>
      <c r="AJ41" s="42"/>
      <c r="AK41" s="40"/>
      <c r="AL41" s="40"/>
      <c r="AM41" s="40"/>
      <c r="AN41" s="40"/>
      <c r="AO41" s="40"/>
      <c r="AP41" s="40"/>
      <c r="AQ41" s="43"/>
      <c r="AR41" s="44"/>
      <c r="AS41" s="38"/>
    </row>
    <row r="42" spans="1:45" ht="21.2" customHeight="1">
      <c r="A42" s="181">
        <f t="shared" si="0"/>
        <v>41</v>
      </c>
      <c r="B42" s="8" t="s">
        <v>203</v>
      </c>
      <c r="C42" s="31" t="s">
        <v>104</v>
      </c>
      <c r="D42" s="32" t="str">
        <f>VLOOKUP(B42,'Player Data'!A1:D734,4,FALSE)</f>
        <v>C</v>
      </c>
      <c r="E42" s="33">
        <f>VLOOKUP(B42,'C'!A1:C208,3,FALSE)</f>
        <v>17</v>
      </c>
      <c r="F42" s="34" t="str">
        <f>VLOOKUP(B42,'Player Data'!A1:B734,2,FALSE)</f>
        <v>PIT</v>
      </c>
      <c r="G42" s="9">
        <f>VLOOKUP(B42,'Player Data'!A1:D734,3,FALSE)</f>
        <v>37</v>
      </c>
      <c r="H42" s="35">
        <f>IFERROR(VLOOKUP(B42,ADP!A1:G731,7,FALSE)/1000000,VLOOKUP(B42,ADP!A1:G731,7,FALSE))</f>
        <v>6.1</v>
      </c>
      <c r="I42" s="36">
        <f>IF(Settings!$E$15="POINTS",((R42*Q42)*Settings!$B$12)+(S42*Settings!$B$2)+(T42*Settings!$B$3)+(U42*Settings!$B$4)+(V42*Settings!$B$5)+(X42*Settings!$B$9)+(AA42*Settings!$B$6)+(W42*Settings!$B$8)+(AB42*Settings!$B$7)+(AC42*Settings!$B$14)+(AD42*Settings!$B$15)+(AE42*Settings!$B$16)+(AF42*Settings!$B$17)+(AG42*Settings!$B$18)+(Y42*Settings!$B$10)+(Z42*Settings!$B$11),VLOOKUP(B42,'Standard Deviations'!A1:C731,3,FALSE))</f>
        <v>9.1129813337351067</v>
      </c>
      <c r="J42" s="37">
        <f t="shared" si="1"/>
        <v>0.11113391870408666</v>
      </c>
      <c r="K42" s="183">
        <f>IF(Settings!$E$18="C/LW/RW",VLOOKUP(B42,'C'!A1:F208,6,FALSE),VLOOKUP(B42,F!A1:F431,6,FALSE))</f>
        <v>2.7759306095285039</v>
      </c>
      <c r="L42" s="36">
        <f t="shared" si="2"/>
        <v>0.4550705917259843</v>
      </c>
      <c r="M42" s="38">
        <f>IF(Settings!$E$9="YAHOO",VLOOKUP(B42,ADP!A1:E731,2,FALSE),IF(Settings!$E$9="ESPN",VLOOKUP(B42,ADP!A1:E731,3,FALSE),IF(Settings!$E$9="FANTRAX",VLOOKUP(B42,ADP!A1:E731,4,FALSE),VLOOKUP(B42,ADP!A1:E731,5,FALSE))))</f>
        <v>70.81</v>
      </c>
      <c r="N42" s="38">
        <f t="shared" si="3"/>
        <v>29.810000000000002</v>
      </c>
      <c r="O42" s="38"/>
      <c r="P42" s="39" t="str">
        <f>IF(Settings!$E$27="ON",_xlfn.XLOOKUP(B42,ADP!A2:A731,ADP!H2:H731)," ")</f>
        <v>+</v>
      </c>
      <c r="Q42" s="40">
        <f>IF(Settings!$E$12="YES",VLOOKUP(B42,'Player Data'!A1:E734,5,FALSE),82)</f>
        <v>82</v>
      </c>
      <c r="R42" s="38">
        <f>VLOOKUP(B42,'Player Data'!$A1:$AE734,6,FALSE)</f>
        <v>18.329727075647899</v>
      </c>
      <c r="S42" s="40">
        <f>VLOOKUP(B42,'Player Data'!$A1:$AE734,7,FALSE)*$Q42*IFERROR((VLOOKUP(P42,Settings!$E$28:$F$33,2,FALSE)+1),1)</f>
        <v>27.659750898539322</v>
      </c>
      <c r="T42" s="40">
        <f>VLOOKUP(B42,'Player Data'!$A1:$AE734,8,FALSE)*$Q42*IFERROR((VLOOKUP(P42,Settings!$E$28:$F$33,2,FALSE)+1),1)</f>
        <v>50.318924854128383</v>
      </c>
      <c r="U42" s="40">
        <f t="shared" si="5"/>
        <v>77.978675752667698</v>
      </c>
      <c r="V42" s="40">
        <f>VLOOKUP(B42,'Player Data'!$A1:$AE734,10,FALSE)*$Q42*IFERROR(((VLOOKUP(P42,Settings!$E$28:$F$33,2,FALSE)/2)+1),1)</f>
        <v>238.41170410798611</v>
      </c>
      <c r="W42" s="40">
        <f>VLOOKUP(B42,'Player Data'!$A1:$AE734,11,FALSE)*$Q42*IFERROR((VLOOKUP(P42,Settings!$E$28:$F$33,2,FALSE)+1),1)</f>
        <v>11.928918317826994</v>
      </c>
      <c r="X42" s="40">
        <f>VLOOKUP(B42,'Player Data'!$A1:$AE734,12,FALSE)*$Q42*IFERROR((VLOOKUP(P42,Settings!$E$28:$F$33,2,FALSE)+1),1)</f>
        <v>34.794859858849307</v>
      </c>
      <c r="Y42" s="40">
        <f>VLOOKUP(B42,'Player Data'!$A1:$AE734,13,FALSE)*$Q42</f>
        <v>5.5103505758541966E-3</v>
      </c>
      <c r="Z42" s="40">
        <f>VLOOKUP(B42,'Player Data'!$A1:$AE734,14,FALSE)*$Q42</f>
        <v>8.289837821491685E-3</v>
      </c>
      <c r="AA42" s="40">
        <f>VLOOKUP(B42,'Player Data'!$A1:$AE734,15,FALSE)*$Q42</f>
        <v>33.778285889019998</v>
      </c>
      <c r="AB42" s="40">
        <f>VLOOKUP(B42,'Player Data'!$A1:$AE734,16,FALSE)*$Q42</f>
        <v>54.573701653456908</v>
      </c>
      <c r="AC42" s="40">
        <f>VLOOKUP(B42,'Player Data'!$A1:$AE734,17,FALSE)*$Q42*IFERROR((VLOOKUP(P42,Settings!$E$28:$F$33,2,FALSE)+1),1)</f>
        <v>3.1505190200054902</v>
      </c>
      <c r="AD42" s="40">
        <f>VLOOKUP(B42,'Player Data'!$A1:$AE734,18,FALSE)*$Q42</f>
        <v>51.488753010111296</v>
      </c>
      <c r="AE42" s="40">
        <f>VLOOKUP(B42,'Player Data'!$A1:$AE734,19,FALSE)*$Q42*IFERROR((VLOOKUP(P42,Settings!$E$28:$F$33,2,FALSE)+1),1)</f>
        <v>4.439943862282739</v>
      </c>
      <c r="AF42" s="40">
        <f>VLOOKUP(B42,'Player Data'!$A1:$AE734,20,FALSE)*$Q42</f>
        <v>394.92889320578377</v>
      </c>
      <c r="AG42" s="40">
        <f>VLOOKUP(B42,'Player Data'!$A1:$AE734,21,FALSE)*$Q42</f>
        <v>446.56737758778831</v>
      </c>
      <c r="AH42" s="41">
        <f>VLOOKUP(B42,'Player Data'!$A1:$AE734,22,FALSE)</f>
        <v>0.46931746094768401</v>
      </c>
      <c r="AI42" s="38"/>
      <c r="AJ42" s="42"/>
      <c r="AK42" s="40"/>
      <c r="AL42" s="40"/>
      <c r="AM42" s="40"/>
      <c r="AN42" s="40"/>
      <c r="AO42" s="40"/>
      <c r="AP42" s="40"/>
      <c r="AQ42" s="43"/>
      <c r="AR42" s="44"/>
      <c r="AS42" s="38"/>
    </row>
    <row r="43" spans="1:45" ht="21.2" customHeight="1">
      <c r="A43" s="181">
        <f t="shared" si="0"/>
        <v>42</v>
      </c>
      <c r="B43" s="8" t="s">
        <v>168</v>
      </c>
      <c r="C43" s="31" t="s">
        <v>104</v>
      </c>
      <c r="D43" s="32" t="str">
        <f>VLOOKUP(B43,'Player Data'!A1:D734,4,FALSE)</f>
        <v>D</v>
      </c>
      <c r="E43" s="47">
        <f>VLOOKUP(B43,D!A1:C229,3,FALSE)</f>
        <v>13</v>
      </c>
      <c r="F43" s="34" t="str">
        <f>VLOOKUP(B43,'Player Data'!A1:B734,2,FALSE)</f>
        <v>WSH</v>
      </c>
      <c r="G43" s="9">
        <f>VLOOKUP(B43,'Player Data'!A1:D734,3,FALSE)</f>
        <v>33</v>
      </c>
      <c r="H43" s="35">
        <f>IFERROR(VLOOKUP(B43,ADP!A1:G731,7,FALSE)/1000000,VLOOKUP(B43,ADP!A1:G731,7,FALSE))</f>
        <v>8</v>
      </c>
      <c r="I43" s="36">
        <f>IF(Settings!$E$15="POINTS",((R43*Q43)*Settings!$B$12)+(S43*Settings!$B$2)+(T43*Settings!$B$3)+(U43*Settings!$B$4)+(V43*Settings!$B$5)+(X43*Settings!$B$9)+(AA43*Settings!$B$6)+(W43*Settings!$B$8)+(AB43*Settings!$B$7)+(AC43*Settings!$B$14)+(AD43*Settings!$B$15)+(AE43*Settings!$B$16)+(AF43*Settings!$B$17)+(AG43*Settings!$B$18)+(U43*Settings!$B$13)+(Y43*Settings!$B$10)+(Z43*Settings!$B$11),VLOOKUP(B43,'Standard Deviations'!A1:C731,3,FALSE))</f>
        <v>4.6992128676319442</v>
      </c>
      <c r="J43" s="37">
        <f t="shared" si="1"/>
        <v>5.7307473995511518E-2</v>
      </c>
      <c r="K43" s="183">
        <f>VLOOKUP(B43,D!A1:F229,6,FALSE)</f>
        <v>2.7574723239976335</v>
      </c>
      <c r="L43" s="36">
        <f t="shared" si="2"/>
        <v>0.34468404049970419</v>
      </c>
      <c r="M43" s="38">
        <f>IF(Settings!$E$9="YAHOO",VLOOKUP(B43,ADP!A1:E731,2,FALSE),IF(Settings!$E$9="ESPN",VLOOKUP(B43,ADP!A1:E731,3,FALSE),IF(Settings!$E$9="FANTRAX",VLOOKUP(B43,ADP!A1:E731,4,FALSE),VLOOKUP(B43,ADP!A1:E731,5,FALSE))))</f>
        <v>46.84</v>
      </c>
      <c r="N43" s="38">
        <f t="shared" si="3"/>
        <v>4.8400000000000034</v>
      </c>
      <c r="O43" s="38"/>
      <c r="P43" s="39" t="str">
        <f>IF(Settings!$E$27="ON",_xlfn.XLOOKUP(B43,ADP!A2:A731,ADP!H2:H731)," ")</f>
        <v>-</v>
      </c>
      <c r="Q43" s="40">
        <f>IF(Settings!$E$12="YES",VLOOKUP(B43,'Player Data'!A1:E734,5,FALSE),82)</f>
        <v>82</v>
      </c>
      <c r="R43" s="38">
        <f>VLOOKUP(B43,'Player Data'!$A1:$AE734,6,FALSE)</f>
        <v>23.060303365091499</v>
      </c>
      <c r="S43" s="40">
        <f>VLOOKUP(B43,'Player Data'!$A1:$AE734,7,FALSE)*$Q43*IFERROR((VLOOKUP(P43,Settings!$E$28:$F$33,2,FALSE)+1),1)</f>
        <v>14.324326245770592</v>
      </c>
      <c r="T43" s="40">
        <f>VLOOKUP(B43,'Player Data'!$A1:$AE734,8,FALSE)*$Q43*IFERROR((VLOOKUP(P43,Settings!$E$28:$F$33,2,FALSE)+1),1)</f>
        <v>44.129703202066779</v>
      </c>
      <c r="U43" s="40">
        <f t="shared" si="5"/>
        <v>58.454029447837371</v>
      </c>
      <c r="V43" s="40">
        <f>VLOOKUP(B43,'Player Data'!$A1:$AE734,10,FALSE)*$Q43*IFERROR(((VLOOKUP(P43,Settings!$E$28:$F$33,2,FALSE)/2)+1),1)</f>
        <v>207.81733479113197</v>
      </c>
      <c r="W43" s="40">
        <f>VLOOKUP(B43,'Player Data'!$A1:$AE734,11,FALSE)*$Q43*IFERROR((VLOOKUP(P43,Settings!$E$28:$F$33,2,FALSE)+1),1)</f>
        <v>4.929209111051998</v>
      </c>
      <c r="X43" s="40">
        <f>VLOOKUP(B43,'Player Data'!$A1:$AE734,12,FALSE)*$Q43*IFERROR((VLOOKUP(P43,Settings!$E$28:$F$33,2,FALSE)+1),1)</f>
        <v>21.697197024608904</v>
      </c>
      <c r="Y43" s="40">
        <f>VLOOKUP(B43,'Player Data'!$A1:$AE734,13,FALSE)*$Q43</f>
        <v>0.53490326641243779</v>
      </c>
      <c r="Z43" s="40">
        <f>VLOOKUP(B43,'Player Data'!$A1:$AE734,14,FALSE)*$Q43</f>
        <v>1.4365858615345266</v>
      </c>
      <c r="AA43" s="40">
        <f>VLOOKUP(B43,'Player Data'!$A1:$AE734,15,FALSE)*$Q43</f>
        <v>143.71740691214777</v>
      </c>
      <c r="AB43" s="40">
        <f>VLOOKUP(B43,'Player Data'!$A1:$AE734,16,FALSE)*$Q43</f>
        <v>95.460164760318392</v>
      </c>
      <c r="AC43" s="40">
        <f>VLOOKUP(B43,'Player Data'!$A1:$AE734,17,FALSE)*$Q43*IFERROR((VLOOKUP(P43,Settings!$E$28:$F$33,2,FALSE)+1),1)</f>
        <v>-2.7293334834272795</v>
      </c>
      <c r="AD43" s="40">
        <f>VLOOKUP(B43,'Player Data'!$A1:$AE734,18,FALSE)*$Q43</f>
        <v>25.265427576209312</v>
      </c>
      <c r="AE43" s="40">
        <f>VLOOKUP(B43,'Player Data'!$A1:$AE734,19,FALSE)*$Q43*IFERROR((VLOOKUP(P43,Settings!$E$28:$F$33,2,FALSE)+1),1)</f>
        <v>1.7619764511323881</v>
      </c>
      <c r="AF43" s="40">
        <f>VLOOKUP(B43,'Player Data'!$A1:$AE734,20,FALSE)*$Q43</f>
        <v>0</v>
      </c>
      <c r="AG43" s="40">
        <f>VLOOKUP(B43,'Player Data'!$A1:$AE734,21,FALSE)*$Q43</f>
        <v>0</v>
      </c>
      <c r="AH43" s="41">
        <f>VLOOKUP(B43,'Player Data'!$A1:$AE734,22,FALSE)</f>
        <v>0</v>
      </c>
      <c r="AI43" s="38"/>
      <c r="AJ43" s="42"/>
      <c r="AK43" s="40"/>
      <c r="AL43" s="40"/>
      <c r="AM43" s="40"/>
      <c r="AN43" s="40"/>
      <c r="AO43" s="40"/>
      <c r="AP43" s="40"/>
      <c r="AQ43" s="43"/>
      <c r="AR43" s="44"/>
      <c r="AS43" s="38"/>
    </row>
    <row r="44" spans="1:45" ht="21.2" customHeight="1">
      <c r="A44" s="181">
        <f t="shared" si="0"/>
        <v>43</v>
      </c>
      <c r="B44" s="8" t="s">
        <v>195</v>
      </c>
      <c r="C44" s="31" t="s">
        <v>104</v>
      </c>
      <c r="D44" s="32" t="str">
        <f>VLOOKUP(B44,'Player Data'!A1:D734,4,FALSE)</f>
        <v>C</v>
      </c>
      <c r="E44" s="33">
        <f>VLOOKUP(B44,'C'!A1:C208,3,FALSE)</f>
        <v>19</v>
      </c>
      <c r="F44" s="34" t="str">
        <f>VLOOKUP(B44,'Player Data'!A1:B734,2,FALSE)</f>
        <v>VGK</v>
      </c>
      <c r="G44" s="9">
        <f>VLOOKUP(B44,'Player Data'!A1:D734,3,FALSE)</f>
        <v>26</v>
      </c>
      <c r="H44" s="35">
        <f>IFERROR(VLOOKUP(B44,ADP!A1:G731,7,FALSE)/1000000,VLOOKUP(B44,ADP!A1:G731,7,FALSE))</f>
        <v>10</v>
      </c>
      <c r="I44" s="36">
        <f>IF(Settings!$E$15="POINTS",((R44*Q44)*Settings!$B$12)+(S44*Settings!$B$2)+(T44*Settings!$B$3)+(U44*Settings!$B$4)+(V44*Settings!$B$5)+(X44*Settings!$B$9)+(AA44*Settings!$B$6)+(W44*Settings!$B$8)+(AB44*Settings!$B$7)+(AC44*Settings!$B$14)+(AD44*Settings!$B$15)+(AE44*Settings!$B$16)+(AF44*Settings!$B$17)+(AG44*Settings!$B$18)+(Y44*Settings!$B$10)+(Z44*Settings!$B$11),VLOOKUP(B44,'Standard Deviations'!A1:C731,3,FALSE))</f>
        <v>9.0706381514518206</v>
      </c>
      <c r="J44" s="37">
        <f t="shared" si="1"/>
        <v>0.11061753843233928</v>
      </c>
      <c r="K44" s="183">
        <f>IF(Settings!$E$18="C/LW/RW",VLOOKUP(B44,'C'!A1:F208,6,FALSE),VLOOKUP(B44,F!A1:F431,6,FALSE))</f>
        <v>2.7335874272452179</v>
      </c>
      <c r="L44" s="36">
        <f t="shared" si="2"/>
        <v>0.27335874272452176</v>
      </c>
      <c r="M44" s="38">
        <f>IF(Settings!$E$9="YAHOO",VLOOKUP(B44,ADP!A1:E731,2,FALSE),IF(Settings!$E$9="ESPN",VLOOKUP(B44,ADP!A1:E731,3,FALSE),IF(Settings!$E$9="FANTRAX",VLOOKUP(B44,ADP!A1:E731,4,FALSE),VLOOKUP(B44,ADP!A1:E731,5,FALSE))))</f>
        <v>29.21</v>
      </c>
      <c r="N44" s="38">
        <f t="shared" si="3"/>
        <v>-13.79</v>
      </c>
      <c r="O44" s="38"/>
      <c r="P44" s="39" t="str">
        <f>IF(Settings!$E$27="ON",_xlfn.XLOOKUP(B44,ADP!A2:A731,ADP!H2:H731)," ")</f>
        <v>+</v>
      </c>
      <c r="Q44" s="40">
        <f>IF(Settings!$E$12="YES",VLOOKUP(B44,'Player Data'!A1:E734,5,FALSE),82)</f>
        <v>82</v>
      </c>
      <c r="R44" s="38">
        <f>VLOOKUP(B44,'Player Data'!$A1:$AE734,6,FALSE)</f>
        <v>19.265506524987501</v>
      </c>
      <c r="S44" s="40">
        <f>VLOOKUP(B44,'Player Data'!$A1:$AE734,7,FALSE)*$Q44*IFERROR((VLOOKUP(P44,Settings!$E$28:$F$33,2,FALSE)+1),1)</f>
        <v>32.898890466425861</v>
      </c>
      <c r="T44" s="40">
        <f>VLOOKUP(B44,'Player Data'!$A1:$AE734,8,FALSE)*$Q44*IFERROR((VLOOKUP(P44,Settings!$E$28:$F$33,2,FALSE)+1),1)</f>
        <v>47.964483793785703</v>
      </c>
      <c r="U44" s="40">
        <f t="shared" si="5"/>
        <v>80.863374260211572</v>
      </c>
      <c r="V44" s="40">
        <f>VLOOKUP(B44,'Player Data'!$A1:$AE734,10,FALSE)*$Q44*IFERROR(((VLOOKUP(P44,Settings!$E$28:$F$33,2,FALSE)/2)+1),1)</f>
        <v>283.54803185391143</v>
      </c>
      <c r="W44" s="40">
        <f>VLOOKUP(B44,'Player Data'!$A1:$AE734,11,FALSE)*$Q44*IFERROR((VLOOKUP(P44,Settings!$E$28:$F$33,2,FALSE)+1),1)</f>
        <v>5.0407423338734558</v>
      </c>
      <c r="X44" s="40">
        <f>VLOOKUP(B44,'Player Data'!$A1:$AE734,12,FALSE)*$Q44*IFERROR((VLOOKUP(P44,Settings!$E$28:$F$33,2,FALSE)+1),1)</f>
        <v>22.23684248905213</v>
      </c>
      <c r="Y44" s="40">
        <f>VLOOKUP(B44,'Player Data'!$A1:$AE734,13,FALSE)*$Q44</f>
        <v>0.15203546170338303</v>
      </c>
      <c r="Z44" s="40">
        <f>VLOOKUP(B44,'Player Data'!$A1:$AE734,14,FALSE)*$Q44</f>
        <v>0.3045646481294203</v>
      </c>
      <c r="AA44" s="40">
        <f>VLOOKUP(B44,'Player Data'!$A1:$AE734,15,FALSE)*$Q44</f>
        <v>67.184548988118863</v>
      </c>
      <c r="AB44" s="40">
        <f>VLOOKUP(B44,'Player Data'!$A1:$AE734,16,FALSE)*$Q44</f>
        <v>79.094507951304195</v>
      </c>
      <c r="AC44" s="40">
        <f>VLOOKUP(B44,'Player Data'!$A1:$AE734,17,FALSE)*$Q44*IFERROR((VLOOKUP(P44,Settings!$E$28:$F$33,2,FALSE)+1),1)</f>
        <v>7.0531549069739405</v>
      </c>
      <c r="AD44" s="40">
        <f>VLOOKUP(B44,'Player Data'!$A1:$AE734,18,FALSE)*$Q44</f>
        <v>19.132157421267699</v>
      </c>
      <c r="AE44" s="40">
        <f>VLOOKUP(B44,'Player Data'!$A1:$AE734,19,FALSE)*$Q44*IFERROR((VLOOKUP(P44,Settings!$E$28:$F$33,2,FALSE)+1),1)</f>
        <v>5.3765763404760456</v>
      </c>
      <c r="AF44" s="40">
        <f>VLOOKUP(B44,'Player Data'!$A1:$AE734,20,FALSE)*$Q44</f>
        <v>473.79136091985498</v>
      </c>
      <c r="AG44" s="40">
        <f>VLOOKUP(B44,'Player Data'!$A1:$AE734,21,FALSE)*$Q44</f>
        <v>540.90538042067135</v>
      </c>
      <c r="AH44" s="41">
        <f>VLOOKUP(B44,'Player Data'!$A1:$AE734,22,FALSE)</f>
        <v>0.46692902580324103</v>
      </c>
      <c r="AI44" s="38"/>
      <c r="AJ44" s="40"/>
      <c r="AK44" s="40"/>
      <c r="AL44" s="40"/>
      <c r="AM44" s="40"/>
      <c r="AN44" s="40"/>
      <c r="AO44" s="40"/>
      <c r="AP44" s="40"/>
      <c r="AQ44" s="43"/>
      <c r="AR44" s="44"/>
      <c r="AS44" s="38"/>
    </row>
    <row r="45" spans="1:45" ht="21.2" customHeight="1">
      <c r="A45" s="181">
        <f t="shared" si="0"/>
        <v>44</v>
      </c>
      <c r="B45" s="8" t="s">
        <v>158</v>
      </c>
      <c r="C45" s="31" t="s">
        <v>104</v>
      </c>
      <c r="D45" s="32" t="str">
        <f>VLOOKUP(B45,'Player Data'!A1:D734,4,FALSE)</f>
        <v>C</v>
      </c>
      <c r="E45" s="33">
        <f>VLOOKUP(B45,'C'!A1:C208,3,FALSE)</f>
        <v>20</v>
      </c>
      <c r="F45" s="34" t="str">
        <f>VLOOKUP(B45,'Player Data'!A1:B734,2,FALSE)</f>
        <v>NJD</v>
      </c>
      <c r="G45" s="9">
        <f>VLOOKUP(B45,'Player Data'!A1:D734,3,FALSE)</f>
        <v>24</v>
      </c>
      <c r="H45" s="35">
        <f>IFERROR(VLOOKUP(B45,ADP!A1:G731,7,FALSE)/1000000,VLOOKUP(B45,ADP!A1:G731,7,FALSE))</f>
        <v>7.25</v>
      </c>
      <c r="I45" s="36">
        <f>IF(Settings!$E$15="POINTS",((R45*Q45)*Settings!$B$12)+(S45*Settings!$B$2)+(T45*Settings!$B$3)+(U45*Settings!$B$4)+(V45*Settings!$B$5)+(X45*Settings!$B$9)+(AA45*Settings!$B$6)+(W45*Settings!$B$8)+(AB45*Settings!$B$7)+(AC45*Settings!$B$14)+(AD45*Settings!$B$15)+(AE45*Settings!$B$16)+(AF45*Settings!$B$17)+(AG45*Settings!$B$18)+(Y45*Settings!$B$10)+(Z45*Settings!$B$11),VLOOKUP(B45,'Standard Deviations'!A1:C731,3,FALSE))</f>
        <v>9.0265837039570425</v>
      </c>
      <c r="J45" s="37">
        <f t="shared" si="1"/>
        <v>0.11008028907264686</v>
      </c>
      <c r="K45" s="183">
        <f>IF(Settings!$E$18="C/LW/RW",VLOOKUP(B45,'C'!A1:F208,6,FALSE),VLOOKUP(B45,F!A1:F431,6,FALSE))</f>
        <v>2.6895329797504397</v>
      </c>
      <c r="L45" s="36">
        <f t="shared" si="2"/>
        <v>0.37097006617247447</v>
      </c>
      <c r="M45" s="38">
        <f>IF(Settings!$E$9="YAHOO",VLOOKUP(B45,ADP!A1:E731,2,FALSE),IF(Settings!$E$9="ESPN",VLOOKUP(B45,ADP!A1:E731,3,FALSE),IF(Settings!$E$9="FANTRAX",VLOOKUP(B45,ADP!A1:E731,4,FALSE),VLOOKUP(B45,ADP!A1:E731,5,FALSE))))</f>
        <v>45.3</v>
      </c>
      <c r="N45" s="38">
        <f t="shared" si="3"/>
        <v>1.2999999999999972</v>
      </c>
      <c r="O45" s="38"/>
      <c r="P45" s="39" t="str">
        <f>IF(Settings!$E$27="ON",_xlfn.XLOOKUP(B45,ADP!A2:A731,ADP!H2:H731)," ")</f>
        <v>+</v>
      </c>
      <c r="Q45" s="40">
        <f>IF(Settings!$E$12="YES",VLOOKUP(B45,'Player Data'!A1:E734,5,FALSE),82)</f>
        <v>82</v>
      </c>
      <c r="R45" s="38">
        <f>VLOOKUP(B45,'Player Data'!$A1:$AE734,6,FALSE)</f>
        <v>20.2532768230359</v>
      </c>
      <c r="S45" s="40">
        <f>VLOOKUP(B45,'Player Data'!$A1:$AE734,7,FALSE)*$Q45*IFERROR((VLOOKUP(P45,Settings!$E$28:$F$33,2,FALSE)+1),1)</f>
        <v>32.764094011695512</v>
      </c>
      <c r="T45" s="40">
        <f>VLOOKUP(B45,'Player Data'!$A1:$AE734,8,FALSE)*$Q45*IFERROR((VLOOKUP(P45,Settings!$E$28:$F$33,2,FALSE)+1),1)</f>
        <v>51.864226555753625</v>
      </c>
      <c r="U45" s="40">
        <f t="shared" si="5"/>
        <v>84.628320567449137</v>
      </c>
      <c r="V45" s="40">
        <f>VLOOKUP(B45,'Player Data'!$A1:$AE734,10,FALSE)*$Q45*IFERROR(((VLOOKUP(P45,Settings!$E$28:$F$33,2,FALSE)/2)+1),1)</f>
        <v>255.9144159999278</v>
      </c>
      <c r="W45" s="40">
        <f>VLOOKUP(B45,'Player Data'!$A1:$AE734,11,FALSE)*$Q45*IFERROR((VLOOKUP(P45,Settings!$E$28:$F$33,2,FALSE)+1),1)</f>
        <v>8.4589823424983699</v>
      </c>
      <c r="X45" s="40">
        <f>VLOOKUP(B45,'Player Data'!$A1:$AE734,12,FALSE)*$Q45*IFERROR((VLOOKUP(P45,Settings!$E$28:$F$33,2,FALSE)+1),1)</f>
        <v>22.072786499473672</v>
      </c>
      <c r="Y45" s="40">
        <f>VLOOKUP(B45,'Player Data'!$A1:$AE734,13,FALSE)*$Q45</f>
        <v>2.3870186713144759</v>
      </c>
      <c r="Z45" s="40">
        <f>VLOOKUP(B45,'Player Data'!$A1:$AE734,14,FALSE)*$Q45</f>
        <v>4.1212497409049513</v>
      </c>
      <c r="AA45" s="40">
        <f>VLOOKUP(B45,'Player Data'!$A1:$AE734,15,FALSE)*$Q45</f>
        <v>61.355098436374284</v>
      </c>
      <c r="AB45" s="40">
        <f>VLOOKUP(B45,'Player Data'!$A1:$AE734,16,FALSE)*$Q45</f>
        <v>46.959629657464987</v>
      </c>
      <c r="AC45" s="40">
        <f>VLOOKUP(B45,'Player Data'!$A1:$AE734,17,FALSE)*$Q45*IFERROR((VLOOKUP(P45,Settings!$E$28:$F$33,2,FALSE)+1),1)</f>
        <v>2.0989765415299262</v>
      </c>
      <c r="AD45" s="40">
        <f>VLOOKUP(B45,'Player Data'!$A1:$AE734,18,FALSE)*$Q45</f>
        <v>19.322753238645692</v>
      </c>
      <c r="AE45" s="40">
        <f>VLOOKUP(B45,'Player Data'!$A1:$AE734,19,FALSE)*$Q45*IFERROR((VLOOKUP(P45,Settings!$E$28:$F$33,2,FALSE)+1),1)</f>
        <v>4.8156003870080424</v>
      </c>
      <c r="AF45" s="40">
        <f>VLOOKUP(B45,'Player Data'!$A1:$AE734,20,FALSE)*$Q45</f>
        <v>930.62043249993053</v>
      </c>
      <c r="AG45" s="40">
        <f>VLOOKUP(B45,'Player Data'!$A1:$AE734,21,FALSE)*$Q45</f>
        <v>813.39632300746803</v>
      </c>
      <c r="AH45" s="41">
        <f>VLOOKUP(B45,'Player Data'!$A1:$AE734,22,FALSE)</f>
        <v>0.533607506671678</v>
      </c>
      <c r="AI45" s="38"/>
      <c r="AJ45" s="42"/>
      <c r="AK45" s="40"/>
      <c r="AL45" s="40"/>
      <c r="AM45" s="40"/>
      <c r="AN45" s="40"/>
      <c r="AO45" s="40"/>
      <c r="AP45" s="40"/>
      <c r="AQ45" s="43"/>
      <c r="AR45" s="44"/>
      <c r="AS45" s="38"/>
    </row>
    <row r="46" spans="1:45" ht="21.2" customHeight="1">
      <c r="A46" s="181">
        <f t="shared" si="0"/>
        <v>45</v>
      </c>
      <c r="B46" s="8" t="s">
        <v>148</v>
      </c>
      <c r="C46" s="31" t="s">
        <v>104</v>
      </c>
      <c r="D46" s="32" t="str">
        <f>VLOOKUP(B46,'Player Data'!A1:D734,4,FALSE)</f>
        <v>LW,RW</v>
      </c>
      <c r="E46" s="45">
        <f>VLOOKUP(B46,RW!A1:F189,3,FALSE)</f>
        <v>10</v>
      </c>
      <c r="F46" s="34" t="str">
        <f>VLOOKUP(B46,'Player Data'!A1:B734,2,FALSE)</f>
        <v>LAK</v>
      </c>
      <c r="G46" s="9">
        <f>VLOOKUP(B46,'Player Data'!A1:D734,3,FALSE)</f>
        <v>27</v>
      </c>
      <c r="H46" s="35">
        <f>IFERROR(VLOOKUP(B46,ADP!A1:G731,7,FALSE)/1000000,VLOOKUP(B46,ADP!A1:G731,7,FALSE))</f>
        <v>7.875</v>
      </c>
      <c r="I46" s="36">
        <f>IF(Settings!$E$15="POINTS",((R46*Q46)*Settings!$B$12)+(S46*Settings!$B$2)+(T46*Settings!$B$3)+(U46*Settings!$B$4)+(V46*Settings!$B$5)+(X46*Settings!$B$9)+(AA46*Settings!$B$6)+(W46*Settings!$B$8)+(AB46*Settings!$B$7)+(AC46*Settings!$B$14)+(AD46*Settings!$B$15)+(AE46*Settings!$B$16)+(AF46*Settings!$B$17)+(AG46*Settings!$B$18)+(Y46*Settings!$B$10)+(Z46*Settings!$B$11),VLOOKUP(B46,'Standard Deviations'!A1:C731,3,FALSE))</f>
        <v>8.9300965081651817</v>
      </c>
      <c r="J46" s="37">
        <f t="shared" si="1"/>
        <v>0.10890361595323392</v>
      </c>
      <c r="K46" s="183">
        <f>IF(Settings!$E$18="C/LW/RW",VLOOKUP(B46,RW!A1:F189,6,FALSE),VLOOKUP(B46,F!A1:F431,6,FALSE))</f>
        <v>2.649837789154101</v>
      </c>
      <c r="L46" s="36">
        <f t="shared" si="2"/>
        <v>0.33648733830528266</v>
      </c>
      <c r="M46" s="38">
        <f>IF(Settings!$E$9="YAHOO",VLOOKUP(B46,ADP!A1:E731,2,FALSE),IF(Settings!$E$9="ESPN",VLOOKUP(B46,ADP!A1:E731,3,FALSE),IF(Settings!$E$9="FANTRAX",VLOOKUP(B46,ADP!A1:E731,4,FALSE),VLOOKUP(B46,ADP!A1:E731,5,FALSE))))</f>
        <v>47.7</v>
      </c>
      <c r="N46" s="38">
        <f t="shared" si="3"/>
        <v>2.7000000000000028</v>
      </c>
      <c r="O46" s="38"/>
      <c r="P46" s="39" t="str">
        <f>IF(Settings!$E$27="ON",_xlfn.XLOOKUP(B46,ADP!A2:A731,ADP!H2:H731)," ")</f>
        <v xml:space="preserve"> </v>
      </c>
      <c r="Q46" s="40">
        <f>IF(Settings!$E$12="YES",VLOOKUP(B46,'Player Data'!A1:E734,5,FALSE),82)</f>
        <v>82</v>
      </c>
      <c r="R46" s="38">
        <f>VLOOKUP(B46,'Player Data'!$A1:$AE734,6,FALSE)</f>
        <v>17.532561107430901</v>
      </c>
      <c r="S46" s="40">
        <f>VLOOKUP(B46,'Player Data'!$A1:$AE734,7,FALSE)*$Q46*IFERROR((VLOOKUP(P46,Settings!$E$28:$F$33,2,FALSE)+1),1)</f>
        <v>29.703311180001482</v>
      </c>
      <c r="T46" s="40">
        <f>VLOOKUP(B46,'Player Data'!$A1:$AE734,8,FALSE)*$Q46*IFERROR((VLOOKUP(P46,Settings!$E$28:$F$33,2,FALSE)+1),1)</f>
        <v>51.537420412352702</v>
      </c>
      <c r="U46" s="40">
        <f t="shared" si="5"/>
        <v>81.24073159235418</v>
      </c>
      <c r="V46" s="40">
        <f>VLOOKUP(B46,'Player Data'!$A1:$AE734,10,FALSE)*$Q46*IFERROR(((VLOOKUP(P46,Settings!$E$28:$F$33,2,FALSE)/2)+1),1)</f>
        <v>266.31584871778216</v>
      </c>
      <c r="W46" s="40">
        <f>VLOOKUP(B46,'Player Data'!$A1:$AE734,11,FALSE)*$Q46*IFERROR((VLOOKUP(P46,Settings!$E$28:$F$33,2,FALSE)+1),1)</f>
        <v>7.1839533261558719</v>
      </c>
      <c r="X46" s="40">
        <f>VLOOKUP(B46,'Player Data'!$A1:$AE734,12,FALSE)*$Q46*IFERROR((VLOOKUP(P46,Settings!$E$28:$F$33,2,FALSE)+1),1)</f>
        <v>24.022919527710322</v>
      </c>
      <c r="Y46" s="40">
        <f>VLOOKUP(B46,'Player Data'!$A1:$AE734,13,FALSE)*$Q46</f>
        <v>1.5584573245708168E-2</v>
      </c>
      <c r="Z46" s="40">
        <f>VLOOKUP(B46,'Player Data'!$A1:$AE734,14,FALSE)*$Q46</f>
        <v>1.9560194304362909E-2</v>
      </c>
      <c r="AA46" s="40">
        <f>VLOOKUP(B46,'Player Data'!$A1:$AE734,15,FALSE)*$Q46</f>
        <v>24.035599035521681</v>
      </c>
      <c r="AB46" s="40">
        <f>VLOOKUP(B46,'Player Data'!$A1:$AE734,16,FALSE)*$Q46</f>
        <v>64.659458729775309</v>
      </c>
      <c r="AC46" s="40">
        <f>VLOOKUP(B46,'Player Data'!$A1:$AE734,17,FALSE)*$Q46*IFERROR((VLOOKUP(P46,Settings!$E$28:$F$33,2,FALSE)+1),1)</f>
        <v>1.2789491022191464</v>
      </c>
      <c r="AD46" s="40">
        <f>VLOOKUP(B46,'Player Data'!$A1:$AE734,18,FALSE)*$Q46</f>
        <v>50.24648823538741</v>
      </c>
      <c r="AE46" s="40">
        <f>VLOOKUP(B46,'Player Data'!$A1:$AE734,19,FALSE)*$Q46*IFERROR((VLOOKUP(P46,Settings!$E$28:$F$33,2,FALSE)+1),1)</f>
        <v>4.3979036113448871</v>
      </c>
      <c r="AF46" s="40">
        <f>VLOOKUP(B46,'Player Data'!$A1:$AE734,20,FALSE)*$Q46</f>
        <v>7.0291966603489771</v>
      </c>
      <c r="AG46" s="40">
        <f>VLOOKUP(B46,'Player Data'!$A1:$AE734,21,FALSE)*$Q46</f>
        <v>11.029233855835836</v>
      </c>
      <c r="AH46" s="41">
        <f>VLOOKUP(B46,'Player Data'!$A1:$AE734,22,FALSE)</f>
        <v>0.38924737418620697</v>
      </c>
      <c r="AI46" s="38"/>
      <c r="AJ46" s="40"/>
      <c r="AK46" s="40"/>
      <c r="AL46" s="40"/>
      <c r="AM46" s="40"/>
      <c r="AN46" s="40"/>
      <c r="AO46" s="40"/>
      <c r="AP46" s="40"/>
      <c r="AQ46" s="43"/>
      <c r="AR46" s="44"/>
      <c r="AS46" s="38"/>
    </row>
    <row r="47" spans="1:45" ht="21.2" customHeight="1">
      <c r="A47" s="181">
        <f t="shared" si="0"/>
        <v>46</v>
      </c>
      <c r="B47" s="8" t="s">
        <v>180</v>
      </c>
      <c r="C47" s="31" t="s">
        <v>104</v>
      </c>
      <c r="D47" s="32" t="str">
        <f>VLOOKUP(B47,'Player Data'!A1:D734,4,FALSE)</f>
        <v>D</v>
      </c>
      <c r="E47" s="47">
        <f>VLOOKUP(B47,D!A1:C229,3,FALSE)</f>
        <v>14</v>
      </c>
      <c r="F47" s="34" t="str">
        <f>VLOOKUP(B47,'Player Data'!A1:B734,2,FALSE)</f>
        <v>CBJ</v>
      </c>
      <c r="G47" s="9">
        <f>VLOOKUP(B47,'Player Data'!A1:D734,3,FALSE)</f>
        <v>26</v>
      </c>
      <c r="H47" s="35">
        <f>IFERROR(VLOOKUP(B47,ADP!A1:G731,7,FALSE)/1000000,VLOOKUP(B47,ADP!A1:G731,7,FALSE))</f>
        <v>9.5833300000000001</v>
      </c>
      <c r="I47" s="36">
        <f>IF(Settings!$E$15="POINTS",((R47*Q47)*Settings!$B$12)+(S47*Settings!$B$2)+(T47*Settings!$B$3)+(U47*Settings!$B$4)+(V47*Settings!$B$5)+(X47*Settings!$B$9)+(AA47*Settings!$B$6)+(W47*Settings!$B$8)+(AB47*Settings!$B$7)+(AC47*Settings!$B$14)+(AD47*Settings!$B$15)+(AE47*Settings!$B$16)+(AF47*Settings!$B$17)+(AG47*Settings!$B$18)+(U47*Settings!$B$13)+(Y47*Settings!$B$10)+(Z47*Settings!$B$11),VLOOKUP(B47,'Standard Deviations'!A1:C731,3,FALSE))</f>
        <v>4.5400515332521438</v>
      </c>
      <c r="J47" s="37">
        <f t="shared" si="1"/>
        <v>5.5366482112831024E-2</v>
      </c>
      <c r="K47" s="183">
        <f>VLOOKUP(B47,D!A1:F229,6,FALSE)</f>
        <v>2.5983109896178331</v>
      </c>
      <c r="L47" s="36">
        <f t="shared" si="2"/>
        <v>0.27112819756992956</v>
      </c>
      <c r="M47" s="38">
        <f>IF(Settings!$E$9="YAHOO",VLOOKUP(B47,ADP!A1:E731,2,FALSE),IF(Settings!$E$9="ESPN",VLOOKUP(B47,ADP!A1:E731,3,FALSE),IF(Settings!$E$9="FANTRAX",VLOOKUP(B47,ADP!A1:E731,4,FALSE),VLOOKUP(B47,ADP!A1:E731,5,FALSE))))</f>
        <v>70.84</v>
      </c>
      <c r="N47" s="38">
        <f t="shared" si="3"/>
        <v>24.840000000000003</v>
      </c>
      <c r="O47" s="38"/>
      <c r="P47" s="39" t="str">
        <f>IF(Settings!$E$27="ON",_xlfn.XLOOKUP(B47,ADP!A2:A731,ADP!H2:H731)," ")</f>
        <v>+</v>
      </c>
      <c r="Q47" s="40">
        <f>IF(Settings!$E$12="YES",VLOOKUP(B47,'Player Data'!A1:E734,5,FALSE),82)</f>
        <v>82</v>
      </c>
      <c r="R47" s="38">
        <f>VLOOKUP(B47,'Player Data'!$A1:$AE734,6,FALSE)</f>
        <v>23.705320885905302</v>
      </c>
      <c r="S47" s="40">
        <f>VLOOKUP(B47,'Player Data'!$A1:$AE734,7,FALSE)*$Q47*IFERROR((VLOOKUP(P47,Settings!$E$28:$F$33,2,FALSE)+1),1)</f>
        <v>14.353826528135203</v>
      </c>
      <c r="T47" s="40">
        <f>VLOOKUP(B47,'Player Data'!$A1:$AE734,8,FALSE)*$Q47*IFERROR((VLOOKUP(P47,Settings!$E$28:$F$33,2,FALSE)+1),1)</f>
        <v>42.735162859935706</v>
      </c>
      <c r="U47" s="40">
        <f t="shared" si="5"/>
        <v>57.088989388070907</v>
      </c>
      <c r="V47" s="40">
        <f>VLOOKUP(B47,'Player Data'!$A1:$AE734,10,FALSE)*$Q47*IFERROR(((VLOOKUP(P47,Settings!$E$28:$F$33,2,FALSE)/2)+1),1)</f>
        <v>232.26192829178564</v>
      </c>
      <c r="W47" s="40">
        <f>VLOOKUP(B47,'Player Data'!$A1:$AE734,11,FALSE)*$Q47*IFERROR((VLOOKUP(P47,Settings!$E$28:$F$33,2,FALSE)+1),1)</f>
        <v>3.3997233034032734</v>
      </c>
      <c r="X47" s="40">
        <f>VLOOKUP(B47,'Player Data'!$A1:$AE734,12,FALSE)*$Q47*IFERROR((VLOOKUP(P47,Settings!$E$28:$F$33,2,FALSE)+1),1)</f>
        <v>17.597043403621853</v>
      </c>
      <c r="Y47" s="40">
        <f>VLOOKUP(B47,'Player Data'!$A1:$AE734,13,FALSE)*$Q47</f>
        <v>3.6893205681476214E-2</v>
      </c>
      <c r="Z47" s="40">
        <f>VLOOKUP(B47,'Player Data'!$A1:$AE734,14,FALSE)*$Q47</f>
        <v>0.46115738911185572</v>
      </c>
      <c r="AA47" s="40">
        <f>VLOOKUP(B47,'Player Data'!$A1:$AE734,15,FALSE)*$Q47</f>
        <v>116.59434534140939</v>
      </c>
      <c r="AB47" s="40">
        <f>VLOOKUP(B47,'Player Data'!$A1:$AE734,16,FALSE)*$Q47</f>
        <v>59.642742505668906</v>
      </c>
      <c r="AC47" s="40">
        <f>VLOOKUP(B47,'Player Data'!$A1:$AE734,17,FALSE)*$Q47*IFERROR((VLOOKUP(P47,Settings!$E$28:$F$33,2,FALSE)+1),1)</f>
        <v>-5.9851101333287149</v>
      </c>
      <c r="AD47" s="40">
        <f>VLOOKUP(B47,'Player Data'!$A1:$AE734,18,FALSE)*$Q47</f>
        <v>27.835023536425219</v>
      </c>
      <c r="AE47" s="40">
        <f>VLOOKUP(B47,'Player Data'!$A1:$AE734,19,FALSE)*$Q47*IFERROR((VLOOKUP(P47,Settings!$E$28:$F$33,2,FALSE)+1),1)</f>
        <v>1.5381113412733232</v>
      </c>
      <c r="AF47" s="40">
        <f>VLOOKUP(B47,'Player Data'!$A1:$AE734,20,FALSE)*$Q47</f>
        <v>0</v>
      </c>
      <c r="AG47" s="40">
        <f>VLOOKUP(B47,'Player Data'!$A1:$AE734,21,FALSE)*$Q47</f>
        <v>0</v>
      </c>
      <c r="AH47" s="41">
        <f>VLOOKUP(B47,'Player Data'!$A1:$AE734,22,FALSE)</f>
        <v>0</v>
      </c>
      <c r="AI47" s="38"/>
      <c r="AJ47" s="42"/>
      <c r="AK47" s="40"/>
      <c r="AL47" s="40"/>
      <c r="AM47" s="40"/>
      <c r="AN47" s="40"/>
      <c r="AO47" s="40"/>
      <c r="AP47" s="40"/>
      <c r="AQ47" s="43"/>
      <c r="AR47" s="44"/>
      <c r="AS47" s="38"/>
    </row>
    <row r="48" spans="1:45" ht="21.2" customHeight="1">
      <c r="A48" s="181">
        <f t="shared" si="0"/>
        <v>47</v>
      </c>
      <c r="B48" s="8" t="s">
        <v>149</v>
      </c>
      <c r="C48" s="31" t="s">
        <v>104</v>
      </c>
      <c r="D48" s="32" t="str">
        <f>VLOOKUP(B48,'Player Data'!A1:D734,4,FALSE)</f>
        <v>C,LW</v>
      </c>
      <c r="E48" s="45">
        <f>VLOOKUP(B48,LW!A1:C227,3,FALSE)</f>
        <v>15</v>
      </c>
      <c r="F48" s="34" t="str">
        <f>VLOOKUP(B48,'Player Data'!A1:B734,2,FALSE)</f>
        <v>TOR</v>
      </c>
      <c r="G48" s="9">
        <f>VLOOKUP(B48,'Player Data'!A1:D734,3,FALSE)</f>
        <v>32</v>
      </c>
      <c r="H48" s="35">
        <f>IFERROR(VLOOKUP(B48,ADP!A1:G731,7,FALSE)/1000000,VLOOKUP(B48,ADP!A1:G731,7,FALSE))</f>
        <v>11</v>
      </c>
      <c r="I48" s="36">
        <f>IF(Settings!$E$15="POINTS",((R48*Q48)*Settings!$B$12)+(S48*Settings!$B$2)+(T48*Settings!$B$3)+(U48*Settings!$B$4)+(V48*Settings!$B$5)+(X48*Settings!$B$9)+(AA48*Settings!$B$6)+(W48*Settings!$B$8)+(AB48*Settings!$B$7)+(AC48*Settings!$B$14)+(AD48*Settings!$B$15)+(AE48*Settings!$B$16)+(AF48*Settings!$B$17)+(AG48*Settings!$B$18)+(Y48*Settings!$B$10)+(Z48*Settings!$B$11),VLOOKUP(B48,'Standard Deviations'!A1:C731,3,FALSE))</f>
        <v>9.0998103631039911</v>
      </c>
      <c r="J48" s="37">
        <f t="shared" si="1"/>
        <v>0.11097329711102429</v>
      </c>
      <c r="K48" s="183">
        <f>IF(Settings!$E$18="C/LW/RW",VLOOKUP(B48,LW!A1:F227,6,FALSE),VLOOKUP(B48,F!A1:F431,6,FALSE))</f>
        <v>2.4451413189795899</v>
      </c>
      <c r="L48" s="36">
        <f t="shared" si="2"/>
        <v>0.22228557445268998</v>
      </c>
      <c r="M48" s="38">
        <f>IF(Settings!$E$9="YAHOO",VLOOKUP(B48,ADP!A1:E731,2,FALSE),IF(Settings!$E$9="ESPN",VLOOKUP(B48,ADP!A1:E731,3,FALSE),IF(Settings!$E$9="FANTRAX",VLOOKUP(B48,ADP!A1:E731,4,FALSE),VLOOKUP(B48,ADP!A1:E731,5,FALSE))))</f>
        <v>37.36</v>
      </c>
      <c r="N48" s="38">
        <f t="shared" si="3"/>
        <v>-9.64</v>
      </c>
      <c r="O48" s="38"/>
      <c r="P48" s="39" t="str">
        <f>IF(Settings!$E$27="ON",_xlfn.XLOOKUP(B48,ADP!A2:A731,ADP!H2:H731)," ")</f>
        <v xml:space="preserve"> </v>
      </c>
      <c r="Q48" s="40">
        <f>IF(Settings!$E$12="YES",VLOOKUP(B48,'Player Data'!A1:E734,5,FALSE),82)</f>
        <v>82</v>
      </c>
      <c r="R48" s="38">
        <f>VLOOKUP(B48,'Player Data'!$A1:$AE734,6,FALSE)</f>
        <v>17.589665453734799</v>
      </c>
      <c r="S48" s="40">
        <f>VLOOKUP(B48,'Player Data'!$A1:$AE734,7,FALSE)*$Q48*IFERROR((VLOOKUP(P48,Settings!$E$28:$F$33,2,FALSE)+1),1)</f>
        <v>30.81466014072431</v>
      </c>
      <c r="T48" s="40">
        <f>VLOOKUP(B48,'Player Data'!$A1:$AE734,8,FALSE)*$Q48*IFERROR((VLOOKUP(P48,Settings!$E$28:$F$33,2,FALSE)+1),1)</f>
        <v>44.903747053898492</v>
      </c>
      <c r="U48" s="40">
        <f t="shared" si="5"/>
        <v>75.718407194622799</v>
      </c>
      <c r="V48" s="40">
        <f>VLOOKUP(B48,'Player Data'!$A1:$AE734,10,FALSE)*$Q48*IFERROR(((VLOOKUP(P48,Settings!$E$28:$F$33,2,FALSE)/2)+1),1)</f>
        <v>256.5348654851789</v>
      </c>
      <c r="W48" s="40">
        <f>VLOOKUP(B48,'Player Data'!$A1:$AE734,11,FALSE)*$Q48*IFERROR((VLOOKUP(P48,Settings!$E$28:$F$33,2,FALSE)+1),1)</f>
        <v>14.457305454030998</v>
      </c>
      <c r="X48" s="40">
        <f>VLOOKUP(B48,'Player Data'!$A1:$AE734,12,FALSE)*$Q48*IFERROR((VLOOKUP(P48,Settings!$E$28:$F$33,2,FALSE)+1),1)</f>
        <v>33.527318846663931</v>
      </c>
      <c r="Y48" s="40">
        <f>VLOOKUP(B48,'Player Data'!$A1:$AE734,13,FALSE)*$Q48</f>
        <v>4.9766792672976739E-3</v>
      </c>
      <c r="Z48" s="40">
        <f>VLOOKUP(B48,'Player Data'!$A1:$AE734,14,FALSE)*$Q48</f>
        <v>8.2823928406033295E-3</v>
      </c>
      <c r="AA48" s="40">
        <f>VLOOKUP(B48,'Player Data'!$A1:$AE734,15,FALSE)*$Q48</f>
        <v>37.441952027731965</v>
      </c>
      <c r="AB48" s="40">
        <f>VLOOKUP(B48,'Player Data'!$A1:$AE734,16,FALSE)*$Q48</f>
        <v>99.686499716560121</v>
      </c>
      <c r="AC48" s="40">
        <f>VLOOKUP(B48,'Player Data'!$A1:$AE734,17,FALSE)*$Q48*IFERROR((VLOOKUP(P48,Settings!$E$28:$F$33,2,FALSE)+1),1)</f>
        <v>5.2437168209815495</v>
      </c>
      <c r="AD48" s="40">
        <f>VLOOKUP(B48,'Player Data'!$A1:$AE734,18,FALSE)*$Q48</f>
        <v>31.830475185898766</v>
      </c>
      <c r="AE48" s="40">
        <f>VLOOKUP(B48,'Player Data'!$A1:$AE734,19,FALSE)*$Q48*IFERROR((VLOOKUP(P48,Settings!$E$28:$F$33,2,FALSE)+1),1)</f>
        <v>4.9503669611948462</v>
      </c>
      <c r="AF48" s="40">
        <f>VLOOKUP(B48,'Player Data'!$A1:$AE734,20,FALSE)*$Q48</f>
        <v>748.63090009617213</v>
      </c>
      <c r="AG48" s="40">
        <f>VLOOKUP(B48,'Player Data'!$A1:$AE734,21,FALSE)*$Q48</f>
        <v>528.44813525709685</v>
      </c>
      <c r="AH48" s="41">
        <f>VLOOKUP(B48,'Player Data'!$A1:$AE734,22,FALSE)</f>
        <v>0.58620561403945004</v>
      </c>
      <c r="AI48" s="38"/>
      <c r="AJ48" s="40"/>
      <c r="AK48" s="40"/>
      <c r="AL48" s="40"/>
      <c r="AM48" s="40"/>
      <c r="AN48" s="40"/>
      <c r="AO48" s="40"/>
      <c r="AP48" s="40"/>
      <c r="AQ48" s="43"/>
      <c r="AR48" s="44"/>
      <c r="AS48" s="38"/>
    </row>
    <row r="49" spans="1:45" ht="21.2" customHeight="1">
      <c r="A49" s="181">
        <f t="shared" si="0"/>
        <v>48</v>
      </c>
      <c r="B49" s="8" t="s">
        <v>152</v>
      </c>
      <c r="C49" s="31" t="s">
        <v>104</v>
      </c>
      <c r="D49" s="32" t="str">
        <f>VLOOKUP(B49,'Player Data'!A1:D734,4,FALSE)</f>
        <v>LW</v>
      </c>
      <c r="E49" s="48">
        <f>VLOOKUP(B49,LW!A1:C227,3,FALSE)</f>
        <v>16</v>
      </c>
      <c r="F49" s="34" t="str">
        <f>VLOOKUP(B49,'Player Data'!A1:B734,2,FALSE)</f>
        <v>PIT</v>
      </c>
      <c r="G49" s="9">
        <f>VLOOKUP(B49,'Player Data'!A1:D734,3,FALSE)</f>
        <v>28</v>
      </c>
      <c r="H49" s="35">
        <f>IFERROR(VLOOKUP(B49,ADP!A1:G731,7,FALSE)/1000000,VLOOKUP(B49,ADP!A1:G731,7,FALSE))</f>
        <v>6</v>
      </c>
      <c r="I49" s="36">
        <f>IF(Settings!$E$15="POINTS",((R49*Q49)*Settings!$B$12)+(S49*Settings!$B$2)+(T49*Settings!$B$3)+(U49*Settings!$B$4)+(V49*Settings!$B$5)+(X49*Settings!$B$9)+(AA49*Settings!$B$6)+(W49*Settings!$B$8)+(AB49*Settings!$B$7)+(AC49*Settings!$B$14)+(AD49*Settings!$B$15)+(AE49*Settings!$B$16)+(AF49*Settings!$B$17)+(AG49*Settings!$B$18)+(Y49*Settings!$B$10)+(Z49*Settings!$B$11),VLOOKUP(B49,'Standard Deviations'!A1:C731,3,FALSE))</f>
        <v>9.0538933501089804</v>
      </c>
      <c r="J49" s="37">
        <f t="shared" si="1"/>
        <v>0.1104133335379144</v>
      </c>
      <c r="K49" s="183">
        <f>IF(Settings!$E$18="C/LW/RW",VLOOKUP(B49,LW!A1:F227,6,FALSE),VLOOKUP(B49,F!A1:F431,6,FALSE))</f>
        <v>2.3992243059845793</v>
      </c>
      <c r="L49" s="36">
        <f t="shared" si="2"/>
        <v>0.39987071766409654</v>
      </c>
      <c r="M49" s="38">
        <f>IF(Settings!$E$9="YAHOO",VLOOKUP(B49,ADP!A1:E731,2,FALSE),IF(Settings!$E$9="ESPN",VLOOKUP(B49,ADP!A1:E731,3,FALSE),IF(Settings!$E$9="FANTRAX",VLOOKUP(B49,ADP!A1:E731,4,FALSE),VLOOKUP(B49,ADP!A1:E731,5,FALSE))))</f>
        <v>38.200000000000003</v>
      </c>
      <c r="N49" s="38">
        <f t="shared" si="3"/>
        <v>-9.7999999999999972</v>
      </c>
      <c r="O49" s="38"/>
      <c r="P49" s="39" t="str">
        <f>IF(Settings!$E$27="ON",_xlfn.XLOOKUP(B49,ADP!A2:A731,ADP!H2:H731)," ")</f>
        <v xml:space="preserve"> </v>
      </c>
      <c r="Q49" s="40">
        <f>IF(Settings!$E$12="YES",VLOOKUP(B49,'Player Data'!A1:E734,5,FALSE),82)</f>
        <v>82</v>
      </c>
      <c r="R49" s="38">
        <f>VLOOKUP(B49,'Player Data'!$A1:$AE734,6,FALSE)</f>
        <v>19.958875669915798</v>
      </c>
      <c r="S49" s="40">
        <f>VLOOKUP(B49,'Player Data'!$A1:$AE734,7,FALSE)*$Q49*IFERROR((VLOOKUP(P49,Settings!$E$28:$F$33,2,FALSE)+1),1)</f>
        <v>38.034445343426313</v>
      </c>
      <c r="T49" s="40">
        <f>VLOOKUP(B49,'Player Data'!$A1:$AE734,8,FALSE)*$Q49*IFERROR((VLOOKUP(P49,Settings!$E$28:$F$33,2,FALSE)+1),1)</f>
        <v>43.887678058629781</v>
      </c>
      <c r="U49" s="40">
        <f t="shared" si="5"/>
        <v>81.922123402056087</v>
      </c>
      <c r="V49" s="40">
        <f>VLOOKUP(B49,'Player Data'!$A1:$AE734,10,FALSE)*$Q49*IFERROR(((VLOOKUP(P49,Settings!$E$28:$F$33,2,FALSE)/2)+1),1)</f>
        <v>253.41602254308296</v>
      </c>
      <c r="W49" s="40">
        <f>VLOOKUP(B49,'Player Data'!$A1:$AE734,11,FALSE)*$Q49*IFERROR((VLOOKUP(P49,Settings!$E$28:$F$33,2,FALSE)+1),1)</f>
        <v>10.100206926196394</v>
      </c>
      <c r="X49" s="40">
        <f>VLOOKUP(B49,'Player Data'!$A1:$AE734,12,FALSE)*$Q49*IFERROR((VLOOKUP(P49,Settings!$E$28:$F$33,2,FALSE)+1),1)</f>
        <v>24.69123455805407</v>
      </c>
      <c r="Y49" s="40">
        <f>VLOOKUP(B49,'Player Data'!$A1:$AE734,13,FALSE)*$Q49</f>
        <v>1.6643604826219627E-2</v>
      </c>
      <c r="Z49" s="40">
        <f>VLOOKUP(B49,'Player Data'!$A1:$AE734,14,FALSE)*$Q49</f>
        <v>3.1063741951749518E-2</v>
      </c>
      <c r="AA49" s="40">
        <f>VLOOKUP(B49,'Player Data'!$A1:$AE734,15,FALSE)*$Q49</f>
        <v>44.972418524845715</v>
      </c>
      <c r="AB49" s="40">
        <f>VLOOKUP(B49,'Player Data'!$A1:$AE734,16,FALSE)*$Q49</f>
        <v>80.369740526574731</v>
      </c>
      <c r="AC49" s="40">
        <f>VLOOKUP(B49,'Player Data'!$A1:$AE734,17,FALSE)*$Q49*IFERROR((VLOOKUP(P49,Settings!$E$28:$F$33,2,FALSE)+1),1)</f>
        <v>3.8422986883777304</v>
      </c>
      <c r="AD49" s="40">
        <f>VLOOKUP(B49,'Player Data'!$A1:$AE734,18,FALSE)*$Q49</f>
        <v>45.497743277953525</v>
      </c>
      <c r="AE49" s="40">
        <f>VLOOKUP(B49,'Player Data'!$A1:$AE734,19,FALSE)*$Q49*IFERROR((VLOOKUP(P49,Settings!$E$28:$F$33,2,FALSE)+1),1)</f>
        <v>6.1052900576480438</v>
      </c>
      <c r="AF49" s="40">
        <f>VLOOKUP(B49,'Player Data'!$A1:$AE734,20,FALSE)*$Q49</f>
        <v>8.3908765180740339</v>
      </c>
      <c r="AG49" s="40">
        <f>VLOOKUP(B49,'Player Data'!$A1:$AE734,21,FALSE)*$Q49</f>
        <v>9.8663247661242046</v>
      </c>
      <c r="AH49" s="41">
        <f>VLOOKUP(B49,'Player Data'!$A1:$AE734,22,FALSE)</f>
        <v>0.45959270467902602</v>
      </c>
      <c r="AI49" s="38"/>
      <c r="AJ49" s="42"/>
      <c r="AK49" s="40"/>
      <c r="AL49" s="40"/>
      <c r="AM49" s="40"/>
      <c r="AN49" s="40"/>
      <c r="AO49" s="40"/>
      <c r="AP49" s="40"/>
      <c r="AQ49" s="43"/>
      <c r="AR49" s="44"/>
      <c r="AS49" s="42"/>
    </row>
    <row r="50" spans="1:45" ht="21.2" customHeight="1">
      <c r="A50" s="181">
        <f t="shared" si="0"/>
        <v>49</v>
      </c>
      <c r="B50" s="8" t="s">
        <v>144</v>
      </c>
      <c r="C50" s="31" t="s">
        <v>104</v>
      </c>
      <c r="D50" s="32" t="str">
        <f>VLOOKUP(B50,'Player Data'!A1:D734,4,FALSE)</f>
        <v>LW</v>
      </c>
      <c r="E50" s="48">
        <f>VLOOKUP(B50,LW!A1:C227,3,FALSE)</f>
        <v>17</v>
      </c>
      <c r="F50" s="34" t="str">
        <f>VLOOKUP(B50,'Player Data'!A1:B734,2,FALSE)</f>
        <v>OTT</v>
      </c>
      <c r="G50" s="9">
        <f>VLOOKUP(B50,'Player Data'!A1:D734,3,FALSE)</f>
        <v>23</v>
      </c>
      <c r="H50" s="35">
        <f>IFERROR(VLOOKUP(B50,ADP!A1:G731,7,FALSE)/1000000,VLOOKUP(B50,ADP!A1:G731,7,FALSE))</f>
        <v>8.2057140000000004</v>
      </c>
      <c r="I50" s="36">
        <f>IF(Settings!$E$15="POINTS",((R50*Q50)*Settings!$B$12)+(S50*Settings!$B$2)+(T50*Settings!$B$3)+(U50*Settings!$B$4)+(V50*Settings!$B$5)+(X50*Settings!$B$9)+(AA50*Settings!$B$6)+(W50*Settings!$B$8)+(AB50*Settings!$B$7)+(AC50*Settings!$B$14)+(AD50*Settings!$B$15)+(AE50*Settings!$B$16)+(AF50*Settings!$B$17)+(AG50*Settings!$B$18)+(Y50*Settings!$B$10)+(Z50*Settings!$B$11),VLOOKUP(B50,'Standard Deviations'!A1:C731,3,FALSE))</f>
        <v>9.0165551983056726</v>
      </c>
      <c r="J50" s="37">
        <f t="shared" si="1"/>
        <v>0.1099579902232399</v>
      </c>
      <c r="K50" s="183">
        <f>IF(Settings!$E$18="C/LW/RW",VLOOKUP(B50,LW!A1:F227,6,FALSE),VLOOKUP(B50,F!A1:F431,6,FALSE))</f>
        <v>2.3618861541812715</v>
      </c>
      <c r="L50" s="36">
        <f t="shared" si="2"/>
        <v>0.28783432546896848</v>
      </c>
      <c r="M50" s="38">
        <f>IF(Settings!$E$9="YAHOO",VLOOKUP(B50,ADP!A1:E731,2,FALSE),IF(Settings!$E$9="ESPN",VLOOKUP(B50,ADP!A1:E731,3,FALSE),IF(Settings!$E$9="FANTRAX",VLOOKUP(B50,ADP!A1:E731,4,FALSE),VLOOKUP(B50,ADP!A1:E731,5,FALSE))))</f>
        <v>12.41</v>
      </c>
      <c r="N50" s="38">
        <f t="shared" si="3"/>
        <v>-36.590000000000003</v>
      </c>
      <c r="O50" s="38"/>
      <c r="P50" s="39" t="str">
        <f>IF(Settings!$E$27="ON",_xlfn.XLOOKUP(B50,ADP!A2:A731,ADP!H2:H731)," ")</f>
        <v xml:space="preserve"> </v>
      </c>
      <c r="Q50" s="40">
        <f>IF(Settings!$E$12="YES",VLOOKUP(B50,'Player Data'!A1:E734,5,FALSE),82)</f>
        <v>82</v>
      </c>
      <c r="R50" s="38">
        <f>VLOOKUP(B50,'Player Data'!$A1:$AE734,6,FALSE)</f>
        <v>18.1165430692073</v>
      </c>
      <c r="S50" s="40">
        <f>VLOOKUP(B50,'Player Data'!$A1:$AE734,7,FALSE)*$Q50*IFERROR((VLOOKUP(P50,Settings!$E$28:$F$33,2,FALSE)+1),1)</f>
        <v>32.112352625803766</v>
      </c>
      <c r="T50" s="40">
        <f>VLOOKUP(B50,'Player Data'!$A1:$AE734,8,FALSE)*$Q50*IFERROR((VLOOKUP(P50,Settings!$E$28:$F$33,2,FALSE)+1),1)</f>
        <v>42.670896236631101</v>
      </c>
      <c r="U50" s="40">
        <f t="shared" si="5"/>
        <v>74.783248862434874</v>
      </c>
      <c r="V50" s="40">
        <f>VLOOKUP(B50,'Player Data'!$A1:$AE734,10,FALSE)*$Q50*IFERROR(((VLOOKUP(P50,Settings!$E$28:$F$33,2,FALSE)/2)+1),1)</f>
        <v>327.13550256102639</v>
      </c>
      <c r="W50" s="40">
        <f>VLOOKUP(B50,'Player Data'!$A1:$AE734,11,FALSE)*$Q50*IFERROR((VLOOKUP(P50,Settings!$E$28:$F$33,2,FALSE)+1),1)</f>
        <v>9.0512060868232602</v>
      </c>
      <c r="X50" s="40">
        <f>VLOOKUP(B50,'Player Data'!$A1:$AE734,12,FALSE)*$Q50*IFERROR((VLOOKUP(P50,Settings!$E$28:$F$33,2,FALSE)+1),1)</f>
        <v>21.659075807728883</v>
      </c>
      <c r="Y50" s="40">
        <f>VLOOKUP(B50,'Player Data'!$A1:$AE734,13,FALSE)*$Q50</f>
        <v>2.5378740229100399E-2</v>
      </c>
      <c r="Z50" s="40">
        <f>VLOOKUP(B50,'Player Data'!$A1:$AE734,14,FALSE)*$Q50</f>
        <v>5.0839049392457793E-2</v>
      </c>
      <c r="AA50" s="40">
        <f>VLOOKUP(B50,'Player Data'!$A1:$AE734,15,FALSE)*$Q50</f>
        <v>16.917508532900396</v>
      </c>
      <c r="AB50" s="40">
        <f>VLOOKUP(B50,'Player Data'!$A1:$AE734,16,FALSE)*$Q50</f>
        <v>242.6736879897299</v>
      </c>
      <c r="AC50" s="40">
        <f>VLOOKUP(B50,'Player Data'!$A1:$AE734,17,FALSE)*$Q50*IFERROR((VLOOKUP(P50,Settings!$E$28:$F$33,2,FALSE)+1),1)</f>
        <v>2.6372390344799834</v>
      </c>
      <c r="AD50" s="40">
        <f>VLOOKUP(B50,'Player Data'!$A1:$AE734,18,FALSE)*$Q50</f>
        <v>87.236214808648498</v>
      </c>
      <c r="AE50" s="40">
        <f>VLOOKUP(B50,'Player Data'!$A1:$AE734,19,FALSE)*$Q50*IFERROR((VLOOKUP(P50,Settings!$E$28:$F$33,2,FALSE)+1),1)</f>
        <v>4.8292453120637209</v>
      </c>
      <c r="AF50" s="40">
        <f>VLOOKUP(B50,'Player Data'!$A1:$AE734,20,FALSE)*$Q50</f>
        <v>321.52685071352028</v>
      </c>
      <c r="AG50" s="40">
        <f>VLOOKUP(B50,'Player Data'!$A1:$AE734,21,FALSE)*$Q50</f>
        <v>336.89896649457017</v>
      </c>
      <c r="AH50" s="41">
        <f>VLOOKUP(B50,'Player Data'!$A1:$AE734,22,FALSE)</f>
        <v>0.48832661525467502</v>
      </c>
      <c r="AI50" s="38"/>
      <c r="AJ50" s="40"/>
      <c r="AK50" s="40"/>
      <c r="AL50" s="40"/>
      <c r="AM50" s="40"/>
      <c r="AN50" s="40"/>
      <c r="AO50" s="40"/>
      <c r="AP50" s="40"/>
      <c r="AQ50" s="43"/>
      <c r="AR50" s="44"/>
      <c r="AS50" s="38"/>
    </row>
    <row r="51" spans="1:45" ht="21.2" customHeight="1">
      <c r="A51" s="181">
        <f t="shared" si="0"/>
        <v>50</v>
      </c>
      <c r="B51" s="8" t="s">
        <v>157</v>
      </c>
      <c r="C51" s="31" t="s">
        <v>104</v>
      </c>
      <c r="D51" s="32" t="str">
        <f>VLOOKUP(B51,'Player Data'!A1:D734,4,FALSE)</f>
        <v>LW,RW</v>
      </c>
      <c r="E51" s="45">
        <f>VLOOKUP(B51,RW!A1:F189,3,FALSE)</f>
        <v>11</v>
      </c>
      <c r="F51" s="34" t="str">
        <f>VLOOKUP(B51,'Player Data'!A1:B734,2,FALSE)</f>
        <v>EDM</v>
      </c>
      <c r="G51" s="9">
        <f>VLOOKUP(B51,'Player Data'!A1:D734,3,FALSE)</f>
        <v>31</v>
      </c>
      <c r="H51" s="35">
        <f>IFERROR(VLOOKUP(B51,ADP!A1:G731,7,FALSE)/1000000,VLOOKUP(B51,ADP!A1:G731,7,FALSE))</f>
        <v>5.5</v>
      </c>
      <c r="I51" s="36">
        <f>IF(Settings!$E$15="POINTS",((R51*Q51)*Settings!$B$12)+(S51*Settings!$B$2)+(T51*Settings!$B$3)+(U51*Settings!$B$4)+(V51*Settings!$B$5)+(X51*Settings!$B$9)+(AA51*Settings!$B$6)+(W51*Settings!$B$8)+(AB51*Settings!$B$7)+(AC51*Settings!$B$14)+(AD51*Settings!$B$15)+(AE51*Settings!$B$16)+(AF51*Settings!$B$17)+(AG51*Settings!$B$18)+(Y51*Settings!$B$10)+(Z51*Settings!$B$11),VLOOKUP(B51,'Standard Deviations'!A1:C731,3,FALSE))</f>
        <v>8.6077746386592171</v>
      </c>
      <c r="J51" s="37">
        <f t="shared" si="1"/>
        <v>0.10497286144706362</v>
      </c>
      <c r="K51" s="183">
        <f>IF(Settings!$E$18="C/LW/RW",VLOOKUP(B51,RW!A1:F189,6,FALSE),VLOOKUP(B51,F!A1:F431,6,FALSE))</f>
        <v>2.3275159196481363</v>
      </c>
      <c r="L51" s="36">
        <f t="shared" si="2"/>
        <v>0.42318471266329749</v>
      </c>
      <c r="M51" s="38">
        <f>IF(Settings!$E$9="YAHOO",VLOOKUP(B51,ADP!A1:E731,2,FALSE),IF(Settings!$E$9="ESPN",VLOOKUP(B51,ADP!A1:E731,3,FALSE),IF(Settings!$E$9="FANTRAX",VLOOKUP(B51,ADP!A1:E731,4,FALSE),VLOOKUP(B51,ADP!A1:E731,5,FALSE))))</f>
        <v>45.18</v>
      </c>
      <c r="N51" s="38">
        <f t="shared" si="3"/>
        <v>-4.82</v>
      </c>
      <c r="O51" s="38"/>
      <c r="P51" s="39" t="str">
        <f>IF(Settings!$E$27="ON",_xlfn.XLOOKUP(B51,ADP!A2:A731,ADP!H2:H731)," ")</f>
        <v xml:space="preserve"> </v>
      </c>
      <c r="Q51" s="40">
        <f>IF(Settings!$E$12="YES",VLOOKUP(B51,'Player Data'!A1:E734,5,FALSE),82)</f>
        <v>82</v>
      </c>
      <c r="R51" s="38">
        <f>VLOOKUP(B51,'Player Data'!$A1:$AE734,6,FALSE)</f>
        <v>20.099493205368201</v>
      </c>
      <c r="S51" s="40">
        <f>VLOOKUP(B51,'Player Data'!$A1:$AE734,7,FALSE)*$Q51*IFERROR((VLOOKUP(P51,Settings!$E$28:$F$33,2,FALSE)+1),1)</f>
        <v>34.655054812072684</v>
      </c>
      <c r="T51" s="40">
        <f>VLOOKUP(B51,'Player Data'!$A1:$AE734,8,FALSE)*$Q51*IFERROR((VLOOKUP(P51,Settings!$E$28:$F$33,2,FALSE)+1),1)</f>
        <v>42.091996399928597</v>
      </c>
      <c r="U51" s="40">
        <f t="shared" si="5"/>
        <v>76.747051212001281</v>
      </c>
      <c r="V51" s="40">
        <f>VLOOKUP(B51,'Player Data'!$A1:$AE734,10,FALSE)*$Q51*IFERROR(((VLOOKUP(P51,Settings!$E$28:$F$33,2,FALSE)/2)+1),1)</f>
        <v>273.20104811355969</v>
      </c>
      <c r="W51" s="40">
        <f>VLOOKUP(B51,'Player Data'!$A1:$AE734,11,FALSE)*$Q51*IFERROR((VLOOKUP(P51,Settings!$E$28:$F$33,2,FALSE)+1),1)</f>
        <v>12.751147101773986</v>
      </c>
      <c r="X51" s="40">
        <f>VLOOKUP(B51,'Player Data'!$A1:$AE734,12,FALSE)*$Q51*IFERROR((VLOOKUP(P51,Settings!$E$28:$F$33,2,FALSE)+1),1)</f>
        <v>23.735449183919833</v>
      </c>
      <c r="Y51" s="40">
        <f>VLOOKUP(B51,'Player Data'!$A1:$AE734,13,FALSE)*$Q51</f>
        <v>0.14479433723701479</v>
      </c>
      <c r="Z51" s="40">
        <f>VLOOKUP(B51,'Player Data'!$A1:$AE734,14,FALSE)*$Q51</f>
        <v>0.54661064775380308</v>
      </c>
      <c r="AA51" s="40">
        <f>VLOOKUP(B51,'Player Data'!$A1:$AE734,15,FALSE)*$Q51</f>
        <v>24.449860494429835</v>
      </c>
      <c r="AB51" s="40">
        <f>VLOOKUP(B51,'Player Data'!$A1:$AE734,16,FALSE)*$Q51</f>
        <v>80.227012032029023</v>
      </c>
      <c r="AC51" s="40">
        <f>VLOOKUP(B51,'Player Data'!$A1:$AE734,17,FALSE)*$Q51*IFERROR((VLOOKUP(P51,Settings!$E$28:$F$33,2,FALSE)+1),1)</f>
        <v>8.3498288710706401</v>
      </c>
      <c r="AD51" s="40">
        <f>VLOOKUP(B51,'Player Data'!$A1:$AE734,18,FALSE)*$Q51</f>
        <v>42.461590657484699</v>
      </c>
      <c r="AE51" s="40">
        <f>VLOOKUP(B51,'Player Data'!$A1:$AE734,19,FALSE)*$Q51*IFERROR((VLOOKUP(P51,Settings!$E$28:$F$33,2,FALSE)+1),1)</f>
        <v>5.4855231331496714</v>
      </c>
      <c r="AF51" s="40">
        <f>VLOOKUP(B51,'Player Data'!$A1:$AE734,20,FALSE)*$Q51</f>
        <v>15.225236048119193</v>
      </c>
      <c r="AG51" s="40">
        <f>VLOOKUP(B51,'Player Data'!$A1:$AE734,21,FALSE)*$Q51</f>
        <v>17.315280750096377</v>
      </c>
      <c r="AH51" s="41">
        <f>VLOOKUP(B51,'Player Data'!$A1:$AE734,22,FALSE)</f>
        <v>0.46788550232718201</v>
      </c>
      <c r="AI51" s="38"/>
      <c r="AJ51" s="42"/>
      <c r="AK51" s="40"/>
      <c r="AL51" s="40"/>
      <c r="AM51" s="40"/>
      <c r="AN51" s="40"/>
      <c r="AO51" s="40"/>
      <c r="AP51" s="40"/>
      <c r="AQ51" s="43"/>
      <c r="AR51" s="44"/>
      <c r="AS51" s="42"/>
    </row>
    <row r="52" spans="1:45" ht="21.2" customHeight="1">
      <c r="A52" s="181">
        <f t="shared" si="0"/>
        <v>51</v>
      </c>
      <c r="B52" s="8" t="s">
        <v>176</v>
      </c>
      <c r="C52" s="31" t="s">
        <v>104</v>
      </c>
      <c r="D52" s="32" t="str">
        <f>VLOOKUP(B52,'Player Data'!A1:D734,4,FALSE)</f>
        <v>C</v>
      </c>
      <c r="E52" s="33">
        <f>VLOOKUP(B52,'C'!A1:C208,3,FALSE)</f>
        <v>21</v>
      </c>
      <c r="F52" s="34" t="str">
        <f>VLOOKUP(B52,'Player Data'!A1:B734,2,FALSE)</f>
        <v>DAL</v>
      </c>
      <c r="G52" s="9">
        <f>VLOOKUP(B52,'Player Data'!A1:D734,3,FALSE)</f>
        <v>26</v>
      </c>
      <c r="H52" s="35">
        <f>IFERROR(VLOOKUP(B52,ADP!A1:G731,7,FALSE)/1000000,VLOOKUP(B52,ADP!A1:G731,7,FALSE))</f>
        <v>8</v>
      </c>
      <c r="I52" s="36">
        <f>IF(Settings!$E$15="POINTS",((R52*Q52)*Settings!$B$12)+(S52*Settings!$B$2)+(T52*Settings!$B$3)+(U52*Settings!$B$4)+(V52*Settings!$B$5)+(X52*Settings!$B$9)+(AA52*Settings!$B$6)+(W52*Settings!$B$8)+(AB52*Settings!$B$7)+(AC52*Settings!$B$14)+(AD52*Settings!$B$15)+(AE52*Settings!$B$16)+(AF52*Settings!$B$17)+(AG52*Settings!$B$18)+(Y52*Settings!$B$10)+(Z52*Settings!$B$11),VLOOKUP(B52,'Standard Deviations'!A1:C731,3,FALSE))</f>
        <v>8.6525189060530554</v>
      </c>
      <c r="J52" s="37">
        <f t="shared" si="1"/>
        <v>0.10551852324454945</v>
      </c>
      <c r="K52" s="183">
        <f>IF(Settings!$E$18="C/LW/RW",VLOOKUP(B52,'C'!A1:F208,6,FALSE),VLOOKUP(B52,F!A1:F431,6,FALSE))</f>
        <v>2.3154681818464526</v>
      </c>
      <c r="L52" s="36">
        <f t="shared" si="2"/>
        <v>0.28943352273080658</v>
      </c>
      <c r="M52" s="38">
        <f>IF(Settings!$E$9="YAHOO",VLOOKUP(B52,ADP!A1:E731,2,FALSE),IF(Settings!$E$9="ESPN",VLOOKUP(B52,ADP!A1:E731,3,FALSE),IF(Settings!$E$9="FANTRAX",VLOOKUP(B52,ADP!A1:E731,4,FALSE),VLOOKUP(B52,ADP!A1:E731,5,FALSE))))</f>
        <v>39.11</v>
      </c>
      <c r="N52" s="38">
        <f t="shared" si="3"/>
        <v>-11.89</v>
      </c>
      <c r="O52" s="38"/>
      <c r="P52" s="39" t="str">
        <f>IF(Settings!$E$27="ON",_xlfn.XLOOKUP(B52,ADP!A2:A731,ADP!H2:H731)," ")</f>
        <v xml:space="preserve"> </v>
      </c>
      <c r="Q52" s="40">
        <f>IF(Settings!$E$12="YES",VLOOKUP(B52,'Player Data'!A1:E734,5,FALSE),82)</f>
        <v>82</v>
      </c>
      <c r="R52" s="38">
        <f>VLOOKUP(B52,'Player Data'!$A1:$AE734,6,FALSE)</f>
        <v>18.4257263157517</v>
      </c>
      <c r="S52" s="40">
        <f>VLOOKUP(B52,'Player Data'!$A1:$AE734,7,FALSE)*$Q52*IFERROR((VLOOKUP(P52,Settings!$E$28:$F$33,2,FALSE)+1),1)</f>
        <v>38.87500766496521</v>
      </c>
      <c r="T52" s="40">
        <f>VLOOKUP(B52,'Player Data'!$A1:$AE734,8,FALSE)*$Q52*IFERROR((VLOOKUP(P52,Settings!$E$28:$F$33,2,FALSE)+1),1)</f>
        <v>43.180899597029558</v>
      </c>
      <c r="U52" s="40">
        <f t="shared" si="5"/>
        <v>82.055907261994776</v>
      </c>
      <c r="V52" s="40">
        <f>VLOOKUP(B52,'Player Data'!$A1:$AE734,10,FALSE)*$Q52*IFERROR(((VLOOKUP(P52,Settings!$E$28:$F$33,2,FALSE)/2)+1),1)</f>
        <v>213.73119981973466</v>
      </c>
      <c r="W52" s="40">
        <f>VLOOKUP(B52,'Player Data'!$A1:$AE734,11,FALSE)*$Q52*IFERROR((VLOOKUP(P52,Settings!$E$28:$F$33,2,FALSE)+1),1)</f>
        <v>10.817825420557071</v>
      </c>
      <c r="X52" s="40">
        <f>VLOOKUP(B52,'Player Data'!$A1:$AE734,12,FALSE)*$Q52*IFERROR((VLOOKUP(P52,Settings!$E$28:$F$33,2,FALSE)+1),1)</f>
        <v>26.981008781124679</v>
      </c>
      <c r="Y52" s="40">
        <f>VLOOKUP(B52,'Player Data'!$A1:$AE734,13,FALSE)*$Q52</f>
        <v>3.1596305114481367</v>
      </c>
      <c r="Z52" s="40">
        <f>VLOOKUP(B52,'Player Data'!$A1:$AE734,14,FALSE)*$Q52</f>
        <v>3.6861039547525105</v>
      </c>
      <c r="AA52" s="40">
        <f>VLOOKUP(B52,'Player Data'!$A1:$AE734,15,FALSE)*$Q52</f>
        <v>51.142674832169334</v>
      </c>
      <c r="AB52" s="40">
        <f>VLOOKUP(B52,'Player Data'!$A1:$AE734,16,FALSE)*$Q52</f>
        <v>66.976742065119907</v>
      </c>
      <c r="AC52" s="40">
        <f>VLOOKUP(B52,'Player Data'!$A1:$AE734,17,FALSE)*$Q52*IFERROR((VLOOKUP(P52,Settings!$E$28:$F$33,2,FALSE)+1),1)</f>
        <v>9.0146787348007198</v>
      </c>
      <c r="AD52" s="40">
        <f>VLOOKUP(B52,'Player Data'!$A1:$AE734,18,FALSE)*$Q52</f>
        <v>30.347211582245489</v>
      </c>
      <c r="AE52" s="40">
        <f>VLOOKUP(B52,'Player Data'!$A1:$AE734,19,FALSE)*$Q52*IFERROR((VLOOKUP(P52,Settings!$E$28:$F$33,2,FALSE)+1),1)</f>
        <v>6.2197256393480238</v>
      </c>
      <c r="AF52" s="40">
        <f>VLOOKUP(B52,'Player Data'!$A1:$AE734,20,FALSE)*$Q52</f>
        <v>323.7654460456161</v>
      </c>
      <c r="AG52" s="40">
        <f>VLOOKUP(B52,'Player Data'!$A1:$AE734,21,FALSE)*$Q52</f>
        <v>299.15120223604174</v>
      </c>
      <c r="AH52" s="41">
        <f>VLOOKUP(B52,'Player Data'!$A1:$AE734,22,FALSE)</f>
        <v>0.51975725313930299</v>
      </c>
      <c r="AI52" s="38"/>
      <c r="AJ52" s="42"/>
      <c r="AK52" s="40"/>
      <c r="AL52" s="40"/>
      <c r="AM52" s="40"/>
      <c r="AN52" s="40"/>
      <c r="AO52" s="40"/>
      <c r="AP52" s="40"/>
      <c r="AQ52" s="43"/>
      <c r="AR52" s="44"/>
      <c r="AS52" s="38"/>
    </row>
    <row r="53" spans="1:45" ht="21.2" customHeight="1">
      <c r="A53" s="181">
        <f t="shared" si="0"/>
        <v>52</v>
      </c>
      <c r="B53" s="8" t="s">
        <v>160</v>
      </c>
      <c r="C53" s="31" t="s">
        <v>104</v>
      </c>
      <c r="D53" s="32" t="str">
        <f>VLOOKUP(B53,'Player Data'!A1:D734,4,FALSE)</f>
        <v>LW,RW</v>
      </c>
      <c r="E53" s="45">
        <f>VLOOKUP(B53,RW!A1:F189,3,FALSE)</f>
        <v>12</v>
      </c>
      <c r="F53" s="34" t="str">
        <f>VLOOKUP(B53,'Player Data'!A1:B734,2,FALSE)</f>
        <v>CAR</v>
      </c>
      <c r="G53" s="9">
        <f>VLOOKUP(B53,'Player Data'!A1:D734,3,FALSE)</f>
        <v>23</v>
      </c>
      <c r="H53" s="35">
        <f>IFERROR(VLOOKUP(B53,ADP!A1:G731,7,FALSE)/1000000,VLOOKUP(B53,ADP!A1:G731,7,FALSE))</f>
        <v>7.75</v>
      </c>
      <c r="I53" s="36">
        <f>IF(Settings!$E$15="POINTS",((R53*Q53)*Settings!$B$12)+(S53*Settings!$B$2)+(T53*Settings!$B$3)+(U53*Settings!$B$4)+(V53*Settings!$B$5)+(X53*Settings!$B$9)+(AA53*Settings!$B$6)+(W53*Settings!$B$8)+(AB53*Settings!$B$7)+(AC53*Settings!$B$14)+(AD53*Settings!$B$15)+(AE53*Settings!$B$16)+(AF53*Settings!$B$17)+(AG53*Settings!$B$18)+(Y53*Settings!$B$10)+(Z53*Settings!$B$11),VLOOKUP(B53,'Standard Deviations'!A1:C731,3,FALSE))</f>
        <v>8.4864292448964616</v>
      </c>
      <c r="J53" s="37">
        <f t="shared" si="1"/>
        <v>0.10349303957190807</v>
      </c>
      <c r="K53" s="183">
        <f>IF(Settings!$E$18="C/LW/RW",VLOOKUP(B53,RW!A1:F189,6,FALSE),VLOOKUP(B53,F!A1:F431,6,FALSE))</f>
        <v>2.2061705258853808</v>
      </c>
      <c r="L53" s="36">
        <f t="shared" si="2"/>
        <v>0.28466716463037173</v>
      </c>
      <c r="M53" s="38">
        <f>IF(Settings!$E$9="YAHOO",VLOOKUP(B53,ADP!A1:E731,2,FALSE),IF(Settings!$E$9="ESPN",VLOOKUP(B53,ADP!A1:E731,3,FALSE),IF(Settings!$E$9="FANTRAX",VLOOKUP(B53,ADP!A1:E731,4,FALSE),VLOOKUP(B53,ADP!A1:E731,5,FALSE))))</f>
        <v>51.24</v>
      </c>
      <c r="N53" s="38">
        <f t="shared" si="3"/>
        <v>-0.75999999999999801</v>
      </c>
      <c r="O53" s="38"/>
      <c r="P53" s="39" t="str">
        <f>IF(Settings!$E$27="ON",_xlfn.XLOOKUP(B53,ADP!A2:A731,ADP!H2:H731)," ")</f>
        <v>+</v>
      </c>
      <c r="Q53" s="40">
        <f>IF(Settings!$E$12="YES",VLOOKUP(B53,'Player Data'!A1:E734,5,FALSE),82)</f>
        <v>82</v>
      </c>
      <c r="R53" s="38">
        <f>VLOOKUP(B53,'Player Data'!$A1:$AE734,6,FALSE)</f>
        <v>17.9701293610518</v>
      </c>
      <c r="S53" s="40">
        <f>VLOOKUP(B53,'Player Data'!$A1:$AE734,7,FALSE)*$Q53*IFERROR((VLOOKUP(P53,Settings!$E$28:$F$33,2,FALSE)+1),1)</f>
        <v>32.609169723860965</v>
      </c>
      <c r="T53" s="40">
        <f>VLOOKUP(B53,'Player Data'!$A1:$AE734,8,FALSE)*$Q53*IFERROR((VLOOKUP(P53,Settings!$E$28:$F$33,2,FALSE)+1),1)</f>
        <v>45.609122231863907</v>
      </c>
      <c r="U53" s="40">
        <f t="shared" si="5"/>
        <v>78.218291955724879</v>
      </c>
      <c r="V53" s="40">
        <f>VLOOKUP(B53,'Player Data'!$A1:$AE734,10,FALSE)*$Q53*IFERROR(((VLOOKUP(P53,Settings!$E$28:$F$33,2,FALSE)/2)+1),1)</f>
        <v>262.1603375992932</v>
      </c>
      <c r="W53" s="40">
        <f>VLOOKUP(B53,'Player Data'!$A1:$AE734,11,FALSE)*$Q53*IFERROR((VLOOKUP(P53,Settings!$E$28:$F$33,2,FALSE)+1),1)</f>
        <v>7.5547337722195698</v>
      </c>
      <c r="X53" s="40">
        <f>VLOOKUP(B53,'Player Data'!$A1:$AE734,12,FALSE)*$Q53*IFERROR((VLOOKUP(P53,Settings!$E$28:$F$33,2,FALSE)+1),1)</f>
        <v>23.135413765547096</v>
      </c>
      <c r="Y53" s="40">
        <f>VLOOKUP(B53,'Player Data'!$A1:$AE734,13,FALSE)*$Q53</f>
        <v>1.6106290217374267E-2</v>
      </c>
      <c r="Z53" s="40">
        <f>VLOOKUP(B53,'Player Data'!$A1:$AE734,14,FALSE)*$Q53</f>
        <v>3.2225535892855879E-2</v>
      </c>
      <c r="AA53" s="40">
        <f>VLOOKUP(B53,'Player Data'!$A1:$AE734,15,FALSE)*$Q53</f>
        <v>22.547898234715692</v>
      </c>
      <c r="AB53" s="40">
        <f>VLOOKUP(B53,'Player Data'!$A1:$AE734,16,FALSE)*$Q53</f>
        <v>173.47684289500631</v>
      </c>
      <c r="AC53" s="40">
        <f>VLOOKUP(B53,'Player Data'!$A1:$AE734,17,FALSE)*$Q53*IFERROR((VLOOKUP(P53,Settings!$E$28:$F$33,2,FALSE)+1),1)</f>
        <v>9.7629704236367019</v>
      </c>
      <c r="AD53" s="40">
        <f>VLOOKUP(B53,'Player Data'!$A1:$AE734,18,FALSE)*$Q53</f>
        <v>72.127061295322193</v>
      </c>
      <c r="AE53" s="40">
        <f>VLOOKUP(B53,'Player Data'!$A1:$AE734,19,FALSE)*$Q53*IFERROR((VLOOKUP(P53,Settings!$E$28:$F$33,2,FALSE)+1),1)</f>
        <v>5.8508152229892829</v>
      </c>
      <c r="AF53" s="40">
        <f>VLOOKUP(B53,'Player Data'!$A1:$AE734,20,FALSE)*$Q53</f>
        <v>2.5640701642186685</v>
      </c>
      <c r="AG53" s="40">
        <f>VLOOKUP(B53,'Player Data'!$A1:$AE734,21,FALSE)*$Q53</f>
        <v>7.79717013638352</v>
      </c>
      <c r="AH53" s="41">
        <f>VLOOKUP(B53,'Player Data'!$A1:$AE734,22,FALSE)</f>
        <v>0.24746749325654099</v>
      </c>
      <c r="AI53" s="38"/>
      <c r="AJ53" s="42"/>
      <c r="AK53" s="40"/>
      <c r="AL53" s="40"/>
      <c r="AM53" s="40"/>
      <c r="AN53" s="40"/>
      <c r="AO53" s="40"/>
      <c r="AP53" s="40"/>
      <c r="AQ53" s="43"/>
      <c r="AR53" s="44"/>
      <c r="AS53" s="38"/>
    </row>
    <row r="54" spans="1:45" ht="21.2" customHeight="1">
      <c r="A54" s="181">
        <f t="shared" si="0"/>
        <v>53</v>
      </c>
      <c r="B54" s="8" t="s">
        <v>146</v>
      </c>
      <c r="C54" s="31" t="s">
        <v>104</v>
      </c>
      <c r="D54" s="32" t="str">
        <f>VLOOKUP(B54,'Player Data'!A1:D734,4,FALSE)</f>
        <v>C,LW,RW</v>
      </c>
      <c r="E54" s="45">
        <f>VLOOKUP(B54,RW!A1:F189,3,FALSE)</f>
        <v>13</v>
      </c>
      <c r="F54" s="34" t="str">
        <f>VLOOKUP(B54,'Player Data'!A1:B734,2,FALSE)</f>
        <v>VAN</v>
      </c>
      <c r="G54" s="9">
        <f>VLOOKUP(B54,'Player Data'!A1:D734,3,FALSE)</f>
        <v>30</v>
      </c>
      <c r="H54" s="35">
        <f>IFERROR(VLOOKUP(B54,ADP!A1:G731,7,FALSE)/1000000,VLOOKUP(B54,ADP!A1:G731,7,FALSE))</f>
        <v>8</v>
      </c>
      <c r="I54" s="36">
        <f>IF(Settings!$E$15="POINTS",((R54*Q54)*Settings!$B$12)+(S54*Settings!$B$2)+(T54*Settings!$B$3)+(U54*Settings!$B$4)+(V54*Settings!$B$5)+(X54*Settings!$B$9)+(AA54*Settings!$B$6)+(W54*Settings!$B$8)+(AB54*Settings!$B$7)+(AC54*Settings!$B$14)+(AD54*Settings!$B$15)+(AE54*Settings!$B$16)+(AF54*Settings!$B$17)+(AG54*Settings!$B$18)+(Y54*Settings!$B$10)+(Z54*Settings!$B$11),VLOOKUP(B54,'Standard Deviations'!A1:C731,3,FALSE))</f>
        <v>8.466166617614391</v>
      </c>
      <c r="J54" s="37">
        <f t="shared" si="1"/>
        <v>0.10324593436115111</v>
      </c>
      <c r="K54" s="183">
        <f>IF(Settings!$E$18="C/LW/RW",VLOOKUP(B54,RW!A1:F189,6,FALSE),VLOOKUP(B54,F!A1:F431,6,FALSE))</f>
        <v>2.1859078986033103</v>
      </c>
      <c r="L54" s="36">
        <f t="shared" si="2"/>
        <v>0.27323848732541378</v>
      </c>
      <c r="M54" s="38">
        <f>IF(Settings!$E$9="YAHOO",VLOOKUP(B54,ADP!A1:E731,2,FALSE),IF(Settings!$E$9="ESPN",VLOOKUP(B54,ADP!A1:E731,3,FALSE),IF(Settings!$E$9="FANTRAX",VLOOKUP(B54,ADP!A1:E731,4,FALSE),VLOOKUP(B54,ADP!A1:E731,5,FALSE))))</f>
        <v>24.28</v>
      </c>
      <c r="N54" s="38">
        <f t="shared" si="3"/>
        <v>-28.72</v>
      </c>
      <c r="O54" s="38"/>
      <c r="P54" s="39" t="str">
        <f>IF(Settings!$E$27="ON",_xlfn.XLOOKUP(B54,ADP!A2:A731,ADP!H2:H731)," ")</f>
        <v>-</v>
      </c>
      <c r="Q54" s="40">
        <f>IF(Settings!$E$12="YES",VLOOKUP(B54,'Player Data'!A1:E734,5,FALSE),82)</f>
        <v>82</v>
      </c>
      <c r="R54" s="38">
        <f>VLOOKUP(B54,'Player Data'!$A1:$AE734,6,FALSE)</f>
        <v>20.0875351690473</v>
      </c>
      <c r="S54" s="40">
        <f>VLOOKUP(B54,'Player Data'!$A1:$AE734,7,FALSE)*$Q54*IFERROR((VLOOKUP(P54,Settings!$E$28:$F$33,2,FALSE)+1),1)</f>
        <v>28.268853723777628</v>
      </c>
      <c r="T54" s="40">
        <f>VLOOKUP(B54,'Player Data'!$A1:$AE734,8,FALSE)*$Q54*IFERROR((VLOOKUP(P54,Settings!$E$28:$F$33,2,FALSE)+1),1)</f>
        <v>51.730029322038554</v>
      </c>
      <c r="U54" s="40">
        <f t="shared" si="5"/>
        <v>79.998883045816186</v>
      </c>
      <c r="V54" s="40">
        <f>VLOOKUP(B54,'Player Data'!$A1:$AE734,10,FALSE)*$Q54*IFERROR(((VLOOKUP(P54,Settings!$E$28:$F$33,2,FALSE)/2)+1),1)</f>
        <v>209.36903300270893</v>
      </c>
      <c r="W54" s="40">
        <f>VLOOKUP(B54,'Player Data'!$A1:$AE734,11,FALSE)*$Q54*IFERROR((VLOOKUP(P54,Settings!$E$28:$F$33,2,FALSE)+1),1)</f>
        <v>9.0884398467582876</v>
      </c>
      <c r="X54" s="40">
        <f>VLOOKUP(B54,'Player Data'!$A1:$AE734,12,FALSE)*$Q54*IFERROR((VLOOKUP(P54,Settings!$E$28:$F$33,2,FALSE)+1),1)</f>
        <v>30.709613004637333</v>
      </c>
      <c r="Y54" s="40">
        <f>VLOOKUP(B54,'Player Data'!$A1:$AE734,13,FALSE)*$Q54</f>
        <v>1.4653636461207566</v>
      </c>
      <c r="Z54" s="40">
        <f>VLOOKUP(B54,'Player Data'!$A1:$AE734,14,FALSE)*$Q54</f>
        <v>2.5183135301236481</v>
      </c>
      <c r="AA54" s="40">
        <f>VLOOKUP(B54,'Player Data'!$A1:$AE734,15,FALSE)*$Q54</f>
        <v>48.575019723319308</v>
      </c>
      <c r="AB54" s="40">
        <f>VLOOKUP(B54,'Player Data'!$A1:$AE734,16,FALSE)*$Q54</f>
        <v>176.90060096344405</v>
      </c>
      <c r="AC54" s="40">
        <f>VLOOKUP(B54,'Player Data'!$A1:$AE734,17,FALSE)*$Q54*IFERROR((VLOOKUP(P54,Settings!$E$28:$F$33,2,FALSE)+1),1)</f>
        <v>-0.57679538991203838</v>
      </c>
      <c r="AD54" s="40">
        <f>VLOOKUP(B54,'Player Data'!$A1:$AE734,18,FALSE)*$Q54</f>
        <v>53.51143215207906</v>
      </c>
      <c r="AE54" s="40">
        <f>VLOOKUP(B54,'Player Data'!$A1:$AE734,19,FALSE)*$Q54*IFERROR((VLOOKUP(P54,Settings!$E$28:$F$33,2,FALSE)+1),1)</f>
        <v>4.0017290094696758</v>
      </c>
      <c r="AF54" s="40">
        <f>VLOOKUP(B54,'Player Data'!$A1:$AE734,20,FALSE)*$Q54</f>
        <v>494.97905408521211</v>
      </c>
      <c r="AG54" s="40">
        <f>VLOOKUP(B54,'Player Data'!$A1:$AE734,21,FALSE)*$Q54</f>
        <v>417.78708039647222</v>
      </c>
      <c r="AH54" s="41">
        <f>VLOOKUP(B54,'Player Data'!$A1:$AE734,22,FALSE)</f>
        <v>0.54228463939044702</v>
      </c>
      <c r="AI54" s="38"/>
      <c r="AJ54" s="42"/>
      <c r="AK54" s="40"/>
      <c r="AL54" s="40"/>
      <c r="AM54" s="40"/>
      <c r="AN54" s="40"/>
      <c r="AO54" s="40"/>
      <c r="AP54" s="40"/>
      <c r="AQ54" s="43"/>
      <c r="AR54" s="44"/>
      <c r="AS54" s="38"/>
    </row>
    <row r="55" spans="1:45" ht="21.2" customHeight="1">
      <c r="A55" s="181">
        <f t="shared" si="0"/>
        <v>54</v>
      </c>
      <c r="B55" s="8" t="s">
        <v>155</v>
      </c>
      <c r="C55" s="31" t="s">
        <v>104</v>
      </c>
      <c r="D55" s="32" t="str">
        <f>VLOOKUP(B55,'Player Data'!A1:D734,4,FALSE)</f>
        <v>D</v>
      </c>
      <c r="E55" s="47">
        <f>VLOOKUP(B55,D!A1:C229,3,FALSE)</f>
        <v>15</v>
      </c>
      <c r="F55" s="34" t="str">
        <f>VLOOKUP(B55,'Player Data'!A1:B734,2,FALSE)</f>
        <v>TBL</v>
      </c>
      <c r="G55" s="9">
        <f>VLOOKUP(B55,'Player Data'!A1:D734,3,FALSE)</f>
        <v>25</v>
      </c>
      <c r="H55" s="35">
        <f>IFERROR(VLOOKUP(B55,ADP!A1:G731,7,FALSE)/1000000,VLOOKUP(B55,ADP!A1:G731,7,FALSE))</f>
        <v>8.0889000000000006</v>
      </c>
      <c r="I55" s="36">
        <f>IF(Settings!$E$15="POINTS",((R55*Q55)*Settings!$B$12)+(S55*Settings!$B$2)+(T55*Settings!$B$3)+(U55*Settings!$B$4)+(V55*Settings!$B$5)+(X55*Settings!$B$9)+(AA55*Settings!$B$6)+(W55*Settings!$B$8)+(AB55*Settings!$B$7)+(AC55*Settings!$B$14)+(AD55*Settings!$B$15)+(AE55*Settings!$B$16)+(AF55*Settings!$B$17)+(AG55*Settings!$B$18)+(U55*Settings!$B$13)+(Y55*Settings!$B$10)+(Z55*Settings!$B$11),VLOOKUP(B55,'Standard Deviations'!A1:C731,3,FALSE))</f>
        <v>4.1230926761332718</v>
      </c>
      <c r="J55" s="37">
        <f t="shared" si="1"/>
        <v>5.0281618001625263E-2</v>
      </c>
      <c r="K55" s="183">
        <f>VLOOKUP(B55,D!A1:F229,6,FALSE)</f>
        <v>2.1813521324989611</v>
      </c>
      <c r="L55" s="36">
        <f t="shared" si="2"/>
        <v>0.2696722833140428</v>
      </c>
      <c r="M55" s="38">
        <f>IF(Settings!$E$9="YAHOO",VLOOKUP(B55,ADP!A1:E731,2,FALSE),IF(Settings!$E$9="ESPN",VLOOKUP(B55,ADP!A1:E731,3,FALSE),IF(Settings!$E$9="FANTRAX",VLOOKUP(B55,ADP!A1:E731,4,FALSE),VLOOKUP(B55,ADP!A1:E731,5,FALSE))))</f>
        <v>67.55</v>
      </c>
      <c r="N55" s="38">
        <f t="shared" si="3"/>
        <v>13.549999999999997</v>
      </c>
      <c r="O55" s="38"/>
      <c r="P55" s="39" t="str">
        <f>IF(Settings!$E$27="ON",_xlfn.XLOOKUP(B55,ADP!A2:A731,ADP!H2:H731)," ")</f>
        <v xml:space="preserve"> </v>
      </c>
      <c r="Q55" s="40">
        <f>IF(Settings!$E$12="YES",VLOOKUP(B55,'Player Data'!A1:E734,5,FALSE),82)</f>
        <v>82</v>
      </c>
      <c r="R55" s="38">
        <f>VLOOKUP(B55,'Player Data'!$A1:$AE734,6,FALSE)</f>
        <v>24.086123848892399</v>
      </c>
      <c r="S55" s="40">
        <f>VLOOKUP(B55,'Player Data'!$A1:$AE734,7,FALSE)*$Q55*IFERROR((VLOOKUP(P55,Settings!$E$28:$F$33,2,FALSE)+1),1)</f>
        <v>9.6694500646425254</v>
      </c>
      <c r="T55" s="40">
        <f>VLOOKUP(B55,'Player Data'!$A1:$AE734,8,FALSE)*$Q55*IFERROR((VLOOKUP(P55,Settings!$E$28:$F$33,2,FALSE)+1),1)</f>
        <v>49.891829171235578</v>
      </c>
      <c r="U55" s="40">
        <f t="shared" si="5"/>
        <v>59.561279235878104</v>
      </c>
      <c r="V55" s="40">
        <f>VLOOKUP(B55,'Player Data'!$A1:$AE734,10,FALSE)*$Q55*IFERROR(((VLOOKUP(P55,Settings!$E$28:$F$33,2,FALSE)/2)+1),1)</f>
        <v>168.86017187564681</v>
      </c>
      <c r="W55" s="40">
        <f>VLOOKUP(B55,'Player Data'!$A1:$AE734,11,FALSE)*$Q55*IFERROR((VLOOKUP(P55,Settings!$E$28:$F$33,2,FALSE)+1),1)</f>
        <v>2.5816232351738622</v>
      </c>
      <c r="X55" s="40">
        <f>VLOOKUP(B55,'Player Data'!$A1:$AE734,12,FALSE)*$Q55*IFERROR((VLOOKUP(P55,Settings!$E$28:$F$33,2,FALSE)+1),1)</f>
        <v>22.263461238969935</v>
      </c>
      <c r="Y55" s="40">
        <f>VLOOKUP(B55,'Player Data'!$A1:$AE734,13,FALSE)*$Q55</f>
        <v>4.1439382341334208E-2</v>
      </c>
      <c r="Z55" s="40">
        <f>VLOOKUP(B55,'Player Data'!$A1:$AE734,14,FALSE)*$Q55</f>
        <v>1.0759546850088006</v>
      </c>
      <c r="AA55" s="40">
        <f>VLOOKUP(B55,'Player Data'!$A1:$AE734,15,FALSE)*$Q55</f>
        <v>145.51837325155068</v>
      </c>
      <c r="AB55" s="40">
        <f>VLOOKUP(B55,'Player Data'!$A1:$AE734,16,FALSE)*$Q55</f>
        <v>128.29659629586081</v>
      </c>
      <c r="AC55" s="40">
        <f>VLOOKUP(B55,'Player Data'!$A1:$AE734,17,FALSE)*$Q55*IFERROR((VLOOKUP(P55,Settings!$E$28:$F$33,2,FALSE)+1),1)</f>
        <v>1.0139284421912569</v>
      </c>
      <c r="AD55" s="40">
        <f>VLOOKUP(B55,'Player Data'!$A1:$AE734,18,FALSE)*$Q55</f>
        <v>56.808578602081489</v>
      </c>
      <c r="AE55" s="40">
        <f>VLOOKUP(B55,'Player Data'!$A1:$AE734,19,FALSE)*$Q55*IFERROR((VLOOKUP(P55,Settings!$E$28:$F$33,2,FALSE)+1),1)</f>
        <v>1.5132724475503376</v>
      </c>
      <c r="AF55" s="40">
        <f>VLOOKUP(B55,'Player Data'!$A1:$AE734,20,FALSE)*$Q55</f>
        <v>0</v>
      </c>
      <c r="AG55" s="40">
        <f>VLOOKUP(B55,'Player Data'!$A1:$AE734,21,FALSE)*$Q55</f>
        <v>0</v>
      </c>
      <c r="AH55" s="41">
        <f>VLOOKUP(B55,'Player Data'!$A1:$AE734,22,FALSE)</f>
        <v>0</v>
      </c>
      <c r="AI55" s="38"/>
      <c r="AJ55" s="42"/>
      <c r="AK55" s="40"/>
      <c r="AL55" s="40"/>
      <c r="AM55" s="40"/>
      <c r="AN55" s="40"/>
      <c r="AO55" s="40"/>
      <c r="AP55" s="40"/>
      <c r="AQ55" s="43"/>
      <c r="AR55" s="44"/>
      <c r="AS55" s="38"/>
    </row>
    <row r="56" spans="1:45" ht="21.2" customHeight="1">
      <c r="A56" s="181">
        <f t="shared" si="0"/>
        <v>55</v>
      </c>
      <c r="B56" s="8" t="s">
        <v>153</v>
      </c>
      <c r="C56" s="31" t="s">
        <v>104</v>
      </c>
      <c r="D56" s="32" t="str">
        <f>VLOOKUP(B56,'Player Data'!A1:D734,4,FALSE)</f>
        <v>LW,RW</v>
      </c>
      <c r="E56" s="45">
        <f>VLOOKUP(B56,RW!A1:F189,3,FALSE)</f>
        <v>14</v>
      </c>
      <c r="F56" s="34" t="str">
        <f>VLOOKUP(B56,'Player Data'!A1:B734,2,FALSE)</f>
        <v>ARI</v>
      </c>
      <c r="G56" s="9">
        <f>VLOOKUP(B56,'Player Data'!A1:D734,3,FALSE)</f>
        <v>25</v>
      </c>
      <c r="H56" s="35">
        <f>IFERROR(VLOOKUP(B56,ADP!A1:G731,7,FALSE)/1000000,VLOOKUP(B56,ADP!A1:G731,7,FALSE))</f>
        <v>7.15</v>
      </c>
      <c r="I56" s="36">
        <f>IF(Settings!$E$15="POINTS",((R56*Q56)*Settings!$B$12)+(S56*Settings!$B$2)+(T56*Settings!$B$3)+(U56*Settings!$B$4)+(V56*Settings!$B$5)+(X56*Settings!$B$9)+(AA56*Settings!$B$6)+(W56*Settings!$B$8)+(AB56*Settings!$B$7)+(AC56*Settings!$B$14)+(AD56*Settings!$B$15)+(AE56*Settings!$B$16)+(AF56*Settings!$B$17)+(AG56*Settings!$B$18)+(Y56*Settings!$B$10)+(Z56*Settings!$B$11),VLOOKUP(B56,'Standard Deviations'!A1:C731,3,FALSE))</f>
        <v>8.4498309474357942</v>
      </c>
      <c r="J56" s="37">
        <f t="shared" si="1"/>
        <v>0.10304671887116822</v>
      </c>
      <c r="K56" s="183">
        <f>IF(Settings!$E$18="C/LW/RW",VLOOKUP(B56,RW!A1:F189,6,FALSE),VLOOKUP(B56,F!A1:F431,6,FALSE))</f>
        <v>2.1695722284247134</v>
      </c>
      <c r="L56" s="36">
        <f t="shared" si="2"/>
        <v>0.30343667530415569</v>
      </c>
      <c r="M56" s="38">
        <f>IF(Settings!$E$9="YAHOO",VLOOKUP(B56,ADP!A1:E731,2,FALSE),IF(Settings!$E$9="ESPN",VLOOKUP(B56,ADP!A1:E731,3,FALSE),IF(Settings!$E$9="FANTRAX",VLOOKUP(B56,ADP!A1:E731,4,FALSE),VLOOKUP(B56,ADP!A1:E731,5,FALSE))))</f>
        <v>38.32</v>
      </c>
      <c r="N56" s="38">
        <f t="shared" si="3"/>
        <v>-16.68</v>
      </c>
      <c r="O56" s="38"/>
      <c r="P56" s="39" t="str">
        <f>IF(Settings!$E$27="ON",_xlfn.XLOOKUP(B56,ADP!A2:A731,ADP!H2:H731)," ")</f>
        <v xml:space="preserve"> </v>
      </c>
      <c r="Q56" s="40">
        <f>IF(Settings!$E$12="YES",VLOOKUP(B56,'Player Data'!A1:E734,5,FALSE),82)</f>
        <v>82</v>
      </c>
      <c r="R56" s="38">
        <f>VLOOKUP(B56,'Player Data'!$A1:$AE734,6,FALSE)</f>
        <v>20.752997566882598</v>
      </c>
      <c r="S56" s="40">
        <f>VLOOKUP(B56,'Player Data'!$A1:$AE734,7,FALSE)*$Q56*IFERROR((VLOOKUP(P56,Settings!$E$28:$F$33,2,FALSE)+1),1)</f>
        <v>36.223519948145579</v>
      </c>
      <c r="T56" s="40">
        <f>VLOOKUP(B56,'Player Data'!$A1:$AE734,8,FALSE)*$Q56*IFERROR((VLOOKUP(P56,Settings!$E$28:$F$33,2,FALSE)+1),1)</f>
        <v>48.680374401920083</v>
      </c>
      <c r="U56" s="40">
        <f t="shared" si="5"/>
        <v>84.903894350065656</v>
      </c>
      <c r="V56" s="40">
        <f>VLOOKUP(B56,'Player Data'!$A1:$AE734,10,FALSE)*$Q56*IFERROR(((VLOOKUP(P56,Settings!$E$28:$F$33,2,FALSE)/2)+1),1)</f>
        <v>227.33729202192188</v>
      </c>
      <c r="W56" s="40">
        <f>VLOOKUP(B56,'Player Data'!$A1:$AE734,11,FALSE)*$Q56*IFERROR((VLOOKUP(P56,Settings!$E$28:$F$33,2,FALSE)+1),1)</f>
        <v>7.2734982630040186</v>
      </c>
      <c r="X56" s="40">
        <f>VLOOKUP(B56,'Player Data'!$A1:$AE734,12,FALSE)*$Q56*IFERROR((VLOOKUP(P56,Settings!$E$28:$F$33,2,FALSE)+1),1)</f>
        <v>19.978512260992517</v>
      </c>
      <c r="Y56" s="40">
        <f>VLOOKUP(B56,'Player Data'!$A1:$AE734,13,FALSE)*$Q56</f>
        <v>0.62946868319857308</v>
      </c>
      <c r="Z56" s="40">
        <f>VLOOKUP(B56,'Player Data'!$A1:$AE734,14,FALSE)*$Q56</f>
        <v>0.92686264257586859</v>
      </c>
      <c r="AA56" s="40">
        <f>VLOOKUP(B56,'Player Data'!$A1:$AE734,15,FALSE)*$Q56</f>
        <v>35.028060496969026</v>
      </c>
      <c r="AB56" s="40">
        <f>VLOOKUP(B56,'Player Data'!$A1:$AE734,16,FALSE)*$Q56</f>
        <v>23.985041786161879</v>
      </c>
      <c r="AC56" s="40">
        <f>VLOOKUP(B56,'Player Data'!$A1:$AE734,17,FALSE)*$Q56*IFERROR((VLOOKUP(P56,Settings!$E$28:$F$33,2,FALSE)+1),1)</f>
        <v>-2.6427020540413366</v>
      </c>
      <c r="AD56" s="40">
        <f>VLOOKUP(B56,'Player Data'!$A1:$AE734,18,FALSE)*$Q56</f>
        <v>38.648767517232933</v>
      </c>
      <c r="AE56" s="40">
        <f>VLOOKUP(B56,'Player Data'!$A1:$AE734,19,FALSE)*$Q56*IFERROR((VLOOKUP(P56,Settings!$E$28:$F$33,2,FALSE)+1),1)</f>
        <v>4.5712849812302414</v>
      </c>
      <c r="AF56" s="40">
        <f>VLOOKUP(B56,'Player Data'!$A1:$AE734,20,FALSE)*$Q56</f>
        <v>26.347606276852996</v>
      </c>
      <c r="AG56" s="40">
        <f>VLOOKUP(B56,'Player Data'!$A1:$AE734,21,FALSE)*$Q56</f>
        <v>40.614593262894516</v>
      </c>
      <c r="AH56" s="41">
        <f>VLOOKUP(B56,'Player Data'!$A1:$AE734,22,FALSE)</f>
        <v>0.39346984504613702</v>
      </c>
      <c r="AI56" s="38"/>
      <c r="AJ56" s="42"/>
      <c r="AK56" s="40"/>
      <c r="AL56" s="40"/>
      <c r="AM56" s="40"/>
      <c r="AN56" s="40"/>
      <c r="AO56" s="40"/>
      <c r="AP56" s="40"/>
      <c r="AQ56" s="43"/>
      <c r="AR56" s="44"/>
      <c r="AS56" s="38"/>
    </row>
    <row r="57" spans="1:45" ht="21.2" customHeight="1">
      <c r="A57" s="181">
        <f t="shared" si="0"/>
        <v>56</v>
      </c>
      <c r="B57" s="8" t="s">
        <v>174</v>
      </c>
      <c r="C57" s="31" t="s">
        <v>104</v>
      </c>
      <c r="D57" s="32" t="str">
        <f>VLOOKUP(B57,'Player Data'!A1:D734,4,FALSE)</f>
        <v>LW,RW</v>
      </c>
      <c r="E57" s="45">
        <f>VLOOKUP(B57,RW!A1:F189,3,FALSE)</f>
        <v>15</v>
      </c>
      <c r="F57" s="34" t="str">
        <f>VLOOKUP(B57,'Player Data'!A1:B734,2,FALSE)</f>
        <v>CBJ</v>
      </c>
      <c r="G57" s="9">
        <f>VLOOKUP(B57,'Player Data'!A1:D734,3,FALSE)</f>
        <v>25</v>
      </c>
      <c r="H57" s="35">
        <f>IFERROR(VLOOKUP(B57,ADP!A1:G731,7,FALSE)/1000000,VLOOKUP(B57,ADP!A1:G731,7,FALSE))</f>
        <v>8.6999999999999993</v>
      </c>
      <c r="I57" s="36">
        <f>IF(Settings!$E$15="POINTS",((R57*Q57)*Settings!$B$12)+(S57*Settings!$B$2)+(T57*Settings!$B$3)+(U57*Settings!$B$4)+(V57*Settings!$B$5)+(X57*Settings!$B$9)+(AA57*Settings!$B$6)+(W57*Settings!$B$8)+(AB57*Settings!$B$7)+(AC57*Settings!$B$14)+(AD57*Settings!$B$15)+(AE57*Settings!$B$16)+(AF57*Settings!$B$17)+(AG57*Settings!$B$18)+(Y57*Settings!$B$10)+(Z57*Settings!$B$11),VLOOKUP(B57,'Standard Deviations'!A1:C731,3,FALSE))</f>
        <v>8.4488457205773173</v>
      </c>
      <c r="J57" s="37">
        <f t="shared" si="1"/>
        <v>0.10303470390947948</v>
      </c>
      <c r="K57" s="183">
        <f>IF(Settings!$E$18="C/LW/RW",VLOOKUP(B57,RW!A1:F189,6,FALSE),VLOOKUP(B57,F!A1:F431,6,FALSE))</f>
        <v>2.1685870015662365</v>
      </c>
      <c r="L57" s="36">
        <f t="shared" si="2"/>
        <v>0.2492628737432456</v>
      </c>
      <c r="M57" s="38">
        <f>IF(Settings!$E$9="YAHOO",VLOOKUP(B57,ADP!A1:E731,2,FALSE),IF(Settings!$E$9="ESPN",VLOOKUP(B57,ADP!A1:E731,3,FALSE),IF(Settings!$E$9="FANTRAX",VLOOKUP(B57,ADP!A1:E731,4,FALSE),VLOOKUP(B57,ADP!A1:E731,5,FALSE))))</f>
        <v>69.319999999999993</v>
      </c>
      <c r="N57" s="38">
        <f t="shared" si="3"/>
        <v>13.319999999999993</v>
      </c>
      <c r="O57" s="38"/>
      <c r="P57" s="39" t="str">
        <f>IF(Settings!$E$27="ON",_xlfn.XLOOKUP(B57,ADP!A2:A731,ADP!H2:H731)," ")</f>
        <v xml:space="preserve"> </v>
      </c>
      <c r="Q57" s="40">
        <f>IF(Settings!$E$12="YES",VLOOKUP(B57,'Player Data'!A1:E734,5,FALSE),82)</f>
        <v>82</v>
      </c>
      <c r="R57" s="38">
        <f>VLOOKUP(B57,'Player Data'!$A1:$AE734,6,FALSE)</f>
        <v>19.1773035172879</v>
      </c>
      <c r="S57" s="40">
        <f>VLOOKUP(B57,'Player Data'!$A1:$AE734,7,FALSE)*$Q57*IFERROR((VLOOKUP(P57,Settings!$E$28:$F$33,2,FALSE)+1),1)</f>
        <v>34.799383901161214</v>
      </c>
      <c r="T57" s="40">
        <f>VLOOKUP(B57,'Player Data'!$A1:$AE734,8,FALSE)*$Q57*IFERROR((VLOOKUP(P57,Settings!$E$28:$F$33,2,FALSE)+1),1)</f>
        <v>44.044906105455361</v>
      </c>
      <c r="U57" s="40">
        <f t="shared" si="5"/>
        <v>78.844290006616575</v>
      </c>
      <c r="V57" s="40">
        <f>VLOOKUP(B57,'Player Data'!$A1:$AE734,10,FALSE)*$Q57*IFERROR(((VLOOKUP(P57,Settings!$E$28:$F$33,2,FALSE)/2)+1),1)</f>
        <v>255.53624603140935</v>
      </c>
      <c r="W57" s="40">
        <f>VLOOKUP(B57,'Player Data'!$A1:$AE734,11,FALSE)*$Q57*IFERROR((VLOOKUP(P57,Settings!$E$28:$F$33,2,FALSE)+1),1)</f>
        <v>10.417503752129575</v>
      </c>
      <c r="X57" s="40">
        <f>VLOOKUP(B57,'Player Data'!$A1:$AE734,12,FALSE)*$Q57*IFERROR((VLOOKUP(P57,Settings!$E$28:$F$33,2,FALSE)+1),1)</f>
        <v>22.632279700254465</v>
      </c>
      <c r="Y57" s="40">
        <f>VLOOKUP(B57,'Player Data'!$A1:$AE734,13,FALSE)*$Q57</f>
        <v>3.8700961773999866E-3</v>
      </c>
      <c r="Z57" s="40">
        <f>VLOOKUP(B57,'Player Data'!$A1:$AE734,14,FALSE)*$Q57</f>
        <v>7.5324486988978569E-3</v>
      </c>
      <c r="AA57" s="40">
        <f>VLOOKUP(B57,'Player Data'!$A1:$AE734,15,FALSE)*$Q57</f>
        <v>34.693941837213309</v>
      </c>
      <c r="AB57" s="40">
        <f>VLOOKUP(B57,'Player Data'!$A1:$AE734,16,FALSE)*$Q57</f>
        <v>50.225450362684683</v>
      </c>
      <c r="AC57" s="40">
        <f>VLOOKUP(B57,'Player Data'!$A1:$AE734,17,FALSE)*$Q57*IFERROR((VLOOKUP(P57,Settings!$E$28:$F$33,2,FALSE)+1),1)</f>
        <v>-4.6698850816005262</v>
      </c>
      <c r="AD57" s="40">
        <f>VLOOKUP(B57,'Player Data'!$A1:$AE734,18,FALSE)*$Q57</f>
        <v>31.108610071509425</v>
      </c>
      <c r="AE57" s="40">
        <f>VLOOKUP(B57,'Player Data'!$A1:$AE734,19,FALSE)*$Q57*IFERROR((VLOOKUP(P57,Settings!$E$28:$F$33,2,FALSE)+1),1)</f>
        <v>3.7289935852843397</v>
      </c>
      <c r="AF57" s="40">
        <f>VLOOKUP(B57,'Player Data'!$A1:$AE734,20,FALSE)*$Q57</f>
        <v>34.163787755188366</v>
      </c>
      <c r="AG57" s="40">
        <f>VLOOKUP(B57,'Player Data'!$A1:$AE734,21,FALSE)*$Q57</f>
        <v>67.794966916722572</v>
      </c>
      <c r="AH57" s="41">
        <f>VLOOKUP(B57,'Player Data'!$A1:$AE734,22,FALSE)</f>
        <v>0.335074588397266</v>
      </c>
      <c r="AI57" s="38"/>
      <c r="AJ57" s="42"/>
      <c r="AK57" s="40"/>
      <c r="AL57" s="40"/>
      <c r="AM57" s="40"/>
      <c r="AN57" s="40"/>
      <c r="AO57" s="40"/>
      <c r="AP57" s="40"/>
      <c r="AQ57" s="43"/>
      <c r="AR57" s="44"/>
      <c r="AS57" s="38"/>
    </row>
    <row r="58" spans="1:45" ht="21.2" customHeight="1">
      <c r="A58" s="181">
        <f t="shared" si="0"/>
        <v>57</v>
      </c>
      <c r="B58" s="8" t="s">
        <v>164</v>
      </c>
      <c r="C58" s="31" t="s">
        <v>104</v>
      </c>
      <c r="D58" s="32" t="str">
        <f>VLOOKUP(B58,'Player Data'!A1:D734,4,FALSE)</f>
        <v>C</v>
      </c>
      <c r="E58" s="33">
        <f>VLOOKUP(B58,'C'!A1:C208,3,FALSE)</f>
        <v>22</v>
      </c>
      <c r="F58" s="34" t="str">
        <f>VLOOKUP(B58,'Player Data'!A1:B734,2,FALSE)</f>
        <v>CAR</v>
      </c>
      <c r="G58" s="9">
        <f>VLOOKUP(B58,'Player Data'!A1:D734,3,FALSE)</f>
        <v>26</v>
      </c>
      <c r="H58" s="35">
        <f>IFERROR(VLOOKUP(B58,ADP!A1:G731,7,FALSE)/1000000,VLOOKUP(B58,ADP!A1:G731,7,FALSE))</f>
        <v>9.6066000000000003</v>
      </c>
      <c r="I58" s="36">
        <f>IF(Settings!$E$15="POINTS",((R58*Q58)*Settings!$B$12)+(S58*Settings!$B$2)+(T58*Settings!$B$3)+(U58*Settings!$B$4)+(V58*Settings!$B$5)+(X58*Settings!$B$9)+(AA58*Settings!$B$6)+(W58*Settings!$B$8)+(AB58*Settings!$B$7)+(AC58*Settings!$B$14)+(AD58*Settings!$B$15)+(AE58*Settings!$B$16)+(AF58*Settings!$B$17)+(AG58*Settings!$B$18)+(Y58*Settings!$B$10)+(Z58*Settings!$B$11),VLOOKUP(B58,'Standard Deviations'!A1:C731,3,FALSE))</f>
        <v>8.4957451159382327</v>
      </c>
      <c r="J58" s="37">
        <f t="shared" si="1"/>
        <v>0.1036066477553443</v>
      </c>
      <c r="K58" s="183">
        <f>IF(Settings!$E$18="C/LW/RW",VLOOKUP(B58,'C'!A1:F208,6,FALSE),VLOOKUP(B58,F!A1:F431,6,FALSE))</f>
        <v>2.1586943917316299</v>
      </c>
      <c r="L58" s="36">
        <f t="shared" si="2"/>
        <v>0.22470951134965855</v>
      </c>
      <c r="M58" s="38">
        <f>IF(Settings!$E$9="YAHOO",VLOOKUP(B58,ADP!A1:E731,2,FALSE),IF(Settings!$E$9="ESPN",VLOOKUP(B58,ADP!A1:E731,3,FALSE),IF(Settings!$E$9="FANTRAX",VLOOKUP(B58,ADP!A1:E731,4,FALSE),VLOOKUP(B58,ADP!A1:E731,5,FALSE))))</f>
        <v>49.32</v>
      </c>
      <c r="N58" s="38">
        <f t="shared" si="3"/>
        <v>-7.68</v>
      </c>
      <c r="O58" s="38"/>
      <c r="P58" s="39" t="str">
        <f>IF(Settings!$E$27="ON",_xlfn.XLOOKUP(B58,ADP!A2:A731,ADP!H2:H731)," ")</f>
        <v xml:space="preserve"> </v>
      </c>
      <c r="Q58" s="40">
        <f>IF(Settings!$E$12="YES",VLOOKUP(B58,'Player Data'!A1:E734,5,FALSE),82)</f>
        <v>82</v>
      </c>
      <c r="R58" s="38">
        <f>VLOOKUP(B58,'Player Data'!$A1:$AE734,6,FALSE)</f>
        <v>19.979980394414699</v>
      </c>
      <c r="S58" s="40">
        <f>VLOOKUP(B58,'Player Data'!$A1:$AE734,7,FALSE)*$Q58*IFERROR((VLOOKUP(P58,Settings!$E$28:$F$33,2,FALSE)+1),1)</f>
        <v>38.813558687086967</v>
      </c>
      <c r="T58" s="40">
        <f>VLOOKUP(B58,'Player Data'!$A1:$AE734,8,FALSE)*$Q58*IFERROR((VLOOKUP(P58,Settings!$E$28:$F$33,2,FALSE)+1),1)</f>
        <v>42.281935993744497</v>
      </c>
      <c r="U58" s="40">
        <f t="shared" si="5"/>
        <v>81.095494680831465</v>
      </c>
      <c r="V58" s="40">
        <f>VLOOKUP(B58,'Player Data'!$A1:$AE734,10,FALSE)*$Q58*IFERROR(((VLOOKUP(P58,Settings!$E$28:$F$33,2,FALSE)/2)+1),1)</f>
        <v>241.22912159920207</v>
      </c>
      <c r="W58" s="40">
        <f>VLOOKUP(B58,'Player Data'!$A1:$AE734,11,FALSE)*$Q58*IFERROR((VLOOKUP(P58,Settings!$E$28:$F$33,2,FALSE)+1),1)</f>
        <v>9.7938253004583782</v>
      </c>
      <c r="X58" s="40">
        <f>VLOOKUP(B58,'Player Data'!$A1:$AE734,12,FALSE)*$Q58*IFERROR((VLOOKUP(P58,Settings!$E$28:$F$33,2,FALSE)+1),1)</f>
        <v>21.943242740318308</v>
      </c>
      <c r="Y58" s="40">
        <f>VLOOKUP(B58,'Player Data'!$A1:$AE734,13,FALSE)*$Q58</f>
        <v>2.2610862537411673</v>
      </c>
      <c r="Z58" s="40">
        <f>VLOOKUP(B58,'Player Data'!$A1:$AE734,14,FALSE)*$Q58</f>
        <v>3.4908372190466435</v>
      </c>
      <c r="AA58" s="40">
        <f>VLOOKUP(B58,'Player Data'!$A1:$AE734,15,FALSE)*$Q58</f>
        <v>26.978765474737962</v>
      </c>
      <c r="AB58" s="40">
        <f>VLOOKUP(B58,'Player Data'!$A1:$AE734,16,FALSE)*$Q58</f>
        <v>72.300137301598213</v>
      </c>
      <c r="AC58" s="40">
        <f>VLOOKUP(B58,'Player Data'!$A1:$AE734,17,FALSE)*$Q58*IFERROR((VLOOKUP(P58,Settings!$E$28:$F$33,2,FALSE)+1),1)</f>
        <v>8.7240615151164516</v>
      </c>
      <c r="AD58" s="40">
        <f>VLOOKUP(B58,'Player Data'!$A1:$AE734,18,FALSE)*$Q58</f>
        <v>44.799881966235361</v>
      </c>
      <c r="AE58" s="40">
        <f>VLOOKUP(B58,'Player Data'!$A1:$AE734,19,FALSE)*$Q58*IFERROR((VLOOKUP(P58,Settings!$E$28:$F$33,2,FALSE)+1),1)</f>
        <v>6.9640215297670878</v>
      </c>
      <c r="AF58" s="40">
        <f>VLOOKUP(B58,'Player Data'!$A1:$AE734,20,FALSE)*$Q58</f>
        <v>596.76641436341572</v>
      </c>
      <c r="AG58" s="40">
        <f>VLOOKUP(B58,'Player Data'!$A1:$AE734,21,FALSE)*$Q58</f>
        <v>549.2148238124438</v>
      </c>
      <c r="AH58" s="41">
        <f>VLOOKUP(B58,'Player Data'!$A1:$AE734,22,FALSE)</f>
        <v>0.52074710691889803</v>
      </c>
      <c r="AI58" s="38"/>
      <c r="AJ58" s="42"/>
      <c r="AK58" s="40"/>
      <c r="AL58" s="40"/>
      <c r="AM58" s="40"/>
      <c r="AN58" s="40"/>
      <c r="AO58" s="40"/>
      <c r="AP58" s="40"/>
      <c r="AQ58" s="43"/>
      <c r="AR58" s="44"/>
      <c r="AS58" s="38"/>
    </row>
    <row r="59" spans="1:45" ht="21.2" customHeight="1">
      <c r="A59" s="181">
        <f t="shared" si="0"/>
        <v>58</v>
      </c>
      <c r="B59" s="8" t="s">
        <v>143</v>
      </c>
      <c r="C59" s="31" t="s">
        <v>104</v>
      </c>
      <c r="D59" s="32" t="str">
        <f>VLOOKUP(B59,'Player Data'!A1:D734,4,FALSE)</f>
        <v>D</v>
      </c>
      <c r="E59" s="47">
        <f>VLOOKUP(B59,D!A1:C229,3,FALSE)</f>
        <v>16</v>
      </c>
      <c r="F59" s="34" t="str">
        <f>VLOOKUP(B59,'Player Data'!A1:B734,2,FALSE)</f>
        <v>DET</v>
      </c>
      <c r="G59" s="9">
        <f>VLOOKUP(B59,'Player Data'!A1:D734,3,FALSE)</f>
        <v>22</v>
      </c>
      <c r="H59" s="35">
        <f>IFERROR(VLOOKUP(B59,ADP!A1:G731,7,FALSE)/1000000,VLOOKUP(B59,ADP!A1:G731,7,FALSE))</f>
        <v>0.86299999999999999</v>
      </c>
      <c r="I59" s="36">
        <f>IF(Settings!$E$15="POINTS",((R59*Q59)*Settings!$B$12)+(S59*Settings!$B$2)+(T59*Settings!$B$3)+(U59*Settings!$B$4)+(V59*Settings!$B$5)+(X59*Settings!$B$9)+(AA59*Settings!$B$6)+(W59*Settings!$B$8)+(AB59*Settings!$B$7)+(AC59*Settings!$B$14)+(AD59*Settings!$B$15)+(AE59*Settings!$B$16)+(AF59*Settings!$B$17)+(AG59*Settings!$B$18)+(U59*Settings!$B$13)+(Y59*Settings!$B$10)+(Z59*Settings!$B$11),VLOOKUP(B59,'Standard Deviations'!A1:C731,3,FALSE))</f>
        <v>4.0366632536687916</v>
      </c>
      <c r="J59" s="37">
        <f t="shared" si="1"/>
        <v>4.922760065449746E-2</v>
      </c>
      <c r="K59" s="183">
        <f>VLOOKUP(B59,D!A1:F229,6,FALSE)</f>
        <v>2.0949227100344809</v>
      </c>
      <c r="L59" s="36">
        <f t="shared" si="2"/>
        <v>2.4274886558916351</v>
      </c>
      <c r="M59" s="38">
        <f>IF(Settings!$E$9="YAHOO",VLOOKUP(B59,ADP!A1:E731,2,FALSE),IF(Settings!$E$9="ESPN",VLOOKUP(B59,ADP!A1:E731,3,FALSE),IF(Settings!$E$9="FANTRAX",VLOOKUP(B59,ADP!A1:E731,4,FALSE),VLOOKUP(B59,ADP!A1:E731,5,FALSE))))</f>
        <v>77.17</v>
      </c>
      <c r="N59" s="38">
        <f t="shared" si="3"/>
        <v>19.170000000000002</v>
      </c>
      <c r="O59" s="38"/>
      <c r="P59" s="39" t="str">
        <f>IF(Settings!$E$27="ON",_xlfn.XLOOKUP(B59,ADP!A2:A731,ADP!H2:H731)," ")</f>
        <v>+ +</v>
      </c>
      <c r="Q59" s="40">
        <f>IF(Settings!$E$12="YES",VLOOKUP(B59,'Player Data'!A1:E734,5,FALSE),82)</f>
        <v>82</v>
      </c>
      <c r="R59" s="38">
        <f>VLOOKUP(B59,'Player Data'!$A1:$AE734,6,FALSE)</f>
        <v>25.530220788457001</v>
      </c>
      <c r="S59" s="40">
        <f>VLOOKUP(B59,'Player Data'!$A1:$AE734,7,FALSE)*$Q59*IFERROR((VLOOKUP(P59,Settings!$E$28:$F$33,2,FALSE)+1),1)</f>
        <v>8.3222863444256809</v>
      </c>
      <c r="T59" s="40">
        <f>VLOOKUP(B59,'Player Data'!$A1:$AE734,8,FALSE)*$Q59*IFERROR((VLOOKUP(P59,Settings!$E$28:$F$33,2,FALSE)+1),1)</f>
        <v>49.686299475301048</v>
      </c>
      <c r="U59" s="40">
        <f t="shared" si="5"/>
        <v>58.008585819726733</v>
      </c>
      <c r="V59" s="40">
        <f>VLOOKUP(B59,'Player Data'!$A1:$AE734,10,FALSE)*$Q59*IFERROR(((VLOOKUP(P59,Settings!$E$28:$F$33,2,FALSE)/2)+1),1)</f>
        <v>180.75115416040032</v>
      </c>
      <c r="W59" s="40">
        <f>VLOOKUP(B59,'Player Data'!$A1:$AE734,11,FALSE)*$Q59*IFERROR((VLOOKUP(P59,Settings!$E$28:$F$33,2,FALSE)+1),1)</f>
        <v>2.364675524560699</v>
      </c>
      <c r="X59" s="40">
        <f>VLOOKUP(B59,'Player Data'!$A1:$AE734,12,FALSE)*$Q59*IFERROR((VLOOKUP(P59,Settings!$E$28:$F$33,2,FALSE)+1),1)</f>
        <v>21.530001569614654</v>
      </c>
      <c r="Y59" s="40">
        <f>VLOOKUP(B59,'Player Data'!$A1:$AE734,13,FALSE)*$Q59</f>
        <v>0.62468728069532231</v>
      </c>
      <c r="Z59" s="40">
        <f>VLOOKUP(B59,'Player Data'!$A1:$AE734,14,FALSE)*$Q59</f>
        <v>2.1699391878764716</v>
      </c>
      <c r="AA59" s="40">
        <f>VLOOKUP(B59,'Player Data'!$A1:$AE734,15,FALSE)*$Q59</f>
        <v>187.4541194674037</v>
      </c>
      <c r="AB59" s="40">
        <f>VLOOKUP(B59,'Player Data'!$A1:$AE734,16,FALSE)*$Q59</f>
        <v>191.03374565107828</v>
      </c>
      <c r="AC59" s="40">
        <f>VLOOKUP(B59,'Player Data'!$A1:$AE734,17,FALSE)*$Q59*IFERROR((VLOOKUP(P59,Settings!$E$28:$F$33,2,FALSE)+1),1)</f>
        <v>-3.9582209425414665</v>
      </c>
      <c r="AD59" s="40">
        <f>VLOOKUP(B59,'Player Data'!$A1:$AE734,18,FALSE)*$Q59</f>
        <v>43.0878126572225</v>
      </c>
      <c r="AE59" s="40">
        <f>VLOOKUP(B59,'Player Data'!$A1:$AE734,19,FALSE)*$Q59*IFERROR((VLOOKUP(P59,Settings!$E$28:$F$33,2,FALSE)+1),1)</f>
        <v>1.1013369187879976</v>
      </c>
      <c r="AF59" s="40">
        <f>VLOOKUP(B59,'Player Data'!$A1:$AE734,20,FALSE)*$Q59</f>
        <v>0</v>
      </c>
      <c r="AG59" s="40">
        <f>VLOOKUP(B59,'Player Data'!$A1:$AE734,21,FALSE)*$Q59</f>
        <v>0</v>
      </c>
      <c r="AH59" s="41">
        <f>VLOOKUP(B59,'Player Data'!$A1:$AE734,22,FALSE)</f>
        <v>0</v>
      </c>
      <c r="AI59" s="38"/>
      <c r="AJ59" s="40"/>
      <c r="AK59" s="40"/>
      <c r="AL59" s="40"/>
      <c r="AM59" s="40"/>
      <c r="AN59" s="40"/>
      <c r="AO59" s="40"/>
      <c r="AP59" s="40"/>
      <c r="AQ59" s="43"/>
      <c r="AR59" s="44"/>
      <c r="AS59" s="38"/>
    </row>
    <row r="60" spans="1:45" ht="21.2" customHeight="1">
      <c r="A60" s="181">
        <f t="shared" si="0"/>
        <v>59</v>
      </c>
      <c r="B60" s="8" t="s">
        <v>154</v>
      </c>
      <c r="C60" s="31" t="s">
        <v>104</v>
      </c>
      <c r="D60" s="32" t="str">
        <f>VLOOKUP(B60,'Player Data'!A1:D734,4,FALSE)</f>
        <v>RW</v>
      </c>
      <c r="E60" s="46">
        <f>VLOOKUP(B60,RW!A1:F189,3,FALSE)</f>
        <v>16</v>
      </c>
      <c r="F60" s="34" t="str">
        <f>VLOOKUP(B60,'Player Data'!A1:B734,2,FALSE)</f>
        <v>STL</v>
      </c>
      <c r="G60" s="9">
        <f>VLOOKUP(B60,'Player Data'!A1:D734,3,FALSE)</f>
        <v>25</v>
      </c>
      <c r="H60" s="35">
        <f>IFERROR(VLOOKUP(B60,ADP!A1:G731,7,FALSE)/1000000,VLOOKUP(B60,ADP!A1:G731,7,FALSE))</f>
        <v>8.125</v>
      </c>
      <c r="I60" s="36">
        <f>IF(Settings!$E$15="POINTS",((R60*Q60)*Settings!$B$12)+(S60*Settings!$B$2)+(T60*Settings!$B$3)+(U60*Settings!$B$4)+(V60*Settings!$B$5)+(X60*Settings!$B$9)+(AA60*Settings!$B$6)+(W60*Settings!$B$8)+(AB60*Settings!$B$7)+(AC60*Settings!$B$14)+(AD60*Settings!$B$15)+(AE60*Settings!$B$16)+(AF60*Settings!$B$17)+(AG60*Settings!$B$18)+(Y60*Settings!$B$10)+(Z60*Settings!$B$11),VLOOKUP(B60,'Standard Deviations'!A1:C731,3,FALSE))</f>
        <v>8.3735546652097597</v>
      </c>
      <c r="J60" s="37">
        <f t="shared" si="1"/>
        <v>0.10211652030743609</v>
      </c>
      <c r="K60" s="183">
        <f>IF(Settings!$E$18="C/LW/RW",VLOOKUP(B60,RW!A1:F189,6,FALSE),VLOOKUP(B60,F!A1:F431,6,FALSE))</f>
        <v>2.0932959461986789</v>
      </c>
      <c r="L60" s="36">
        <f t="shared" si="2"/>
        <v>0.25763642414752969</v>
      </c>
      <c r="M60" s="38">
        <f>IF(Settings!$E$9="YAHOO",VLOOKUP(B60,ADP!A1:E731,2,FALSE),IF(Settings!$E$9="ESPN",VLOOKUP(B60,ADP!A1:E731,3,FALSE),IF(Settings!$E$9="FANTRAX",VLOOKUP(B60,ADP!A1:E731,4,FALSE),VLOOKUP(B60,ADP!A1:E731,5,FALSE))))</f>
        <v>62.27</v>
      </c>
      <c r="N60" s="38">
        <f t="shared" si="3"/>
        <v>3.2700000000000031</v>
      </c>
      <c r="O60" s="38"/>
      <c r="P60" s="39" t="str">
        <f>IF(Settings!$E$27="ON",_xlfn.XLOOKUP(B60,ADP!A2:A731,ADP!H2:H731)," ")</f>
        <v>-</v>
      </c>
      <c r="Q60" s="40">
        <f>IF(Settings!$E$12="YES",VLOOKUP(B60,'Player Data'!A1:E734,5,FALSE),82)</f>
        <v>82</v>
      </c>
      <c r="R60" s="38">
        <f>VLOOKUP(B60,'Player Data'!$A1:$AE734,6,FALSE)</f>
        <v>18.080849106690401</v>
      </c>
      <c r="S60" s="40">
        <f>VLOOKUP(B60,'Player Data'!$A1:$AE734,7,FALSE)*$Q60*IFERROR((VLOOKUP(P60,Settings!$E$28:$F$33,2,FALSE)+1),1)</f>
        <v>34.077718772488154</v>
      </c>
      <c r="T60" s="40">
        <f>VLOOKUP(B60,'Player Data'!$A1:$AE734,8,FALSE)*$Q60*IFERROR((VLOOKUP(P60,Settings!$E$28:$F$33,2,FALSE)+1),1)</f>
        <v>43.541877051951957</v>
      </c>
      <c r="U60" s="40">
        <f t="shared" si="5"/>
        <v>77.619595824440111</v>
      </c>
      <c r="V60" s="40">
        <f>VLOOKUP(B60,'Player Data'!$A1:$AE734,10,FALSE)*$Q60*IFERROR(((VLOOKUP(P60,Settings!$E$28:$F$33,2,FALSE)/2)+1),1)</f>
        <v>254.79983093246696</v>
      </c>
      <c r="W60" s="40">
        <f>VLOOKUP(B60,'Player Data'!$A1:$AE734,11,FALSE)*$Q60*IFERROR((VLOOKUP(P60,Settings!$E$28:$F$33,2,FALSE)+1),1)</f>
        <v>9.5149328485751905</v>
      </c>
      <c r="X60" s="40">
        <f>VLOOKUP(B60,'Player Data'!$A1:$AE734,12,FALSE)*$Q60*IFERROR((VLOOKUP(P60,Settings!$E$28:$F$33,2,FALSE)+1),1)</f>
        <v>23.597782869291617</v>
      </c>
      <c r="Y60" s="40">
        <f>VLOOKUP(B60,'Player Data'!$A1:$AE734,13,FALSE)*$Q60</f>
        <v>1.6232023958020925E-2</v>
      </c>
      <c r="Z60" s="40">
        <f>VLOOKUP(B60,'Player Data'!$A1:$AE734,14,FALSE)*$Q60</f>
        <v>3.1782597425473694E-2</v>
      </c>
      <c r="AA60" s="40">
        <f>VLOOKUP(B60,'Player Data'!$A1:$AE734,15,FALSE)*$Q60</f>
        <v>33.667566798375724</v>
      </c>
      <c r="AB60" s="40">
        <f>VLOOKUP(B60,'Player Data'!$A1:$AE734,16,FALSE)*$Q60</f>
        <v>20.086475639195168</v>
      </c>
      <c r="AC60" s="40">
        <f>VLOOKUP(B60,'Player Data'!$A1:$AE734,17,FALSE)*$Q60*IFERROR((VLOOKUP(P60,Settings!$E$28:$F$33,2,FALSE)+1),1)</f>
        <v>-5.3278601779364205</v>
      </c>
      <c r="AD60" s="40">
        <f>VLOOKUP(B60,'Player Data'!$A1:$AE734,18,FALSE)*$Q60</f>
        <v>26.510131528582423</v>
      </c>
      <c r="AE60" s="40">
        <f>VLOOKUP(B60,'Player Data'!$A1:$AE734,19,FALSE)*$Q60*IFERROR((VLOOKUP(P60,Settings!$E$28:$F$33,2,FALSE)+1),1)</f>
        <v>3.9214161880299603</v>
      </c>
      <c r="AF60" s="40">
        <f>VLOOKUP(B60,'Player Data'!$A1:$AE734,20,FALSE)*$Q60</f>
        <v>6.2327716419680375</v>
      </c>
      <c r="AG60" s="40">
        <f>VLOOKUP(B60,'Player Data'!$A1:$AE734,21,FALSE)*$Q60</f>
        <v>9.5430726135683379</v>
      </c>
      <c r="AH60" s="41">
        <f>VLOOKUP(B60,'Player Data'!$A1:$AE734,22,FALSE)</f>
        <v>0.39508323871673001</v>
      </c>
      <c r="AI60" s="38"/>
      <c r="AJ60" s="42"/>
      <c r="AK60" s="40"/>
      <c r="AL60" s="40"/>
      <c r="AM60" s="40"/>
      <c r="AN60" s="40"/>
      <c r="AO60" s="40"/>
      <c r="AP60" s="40"/>
      <c r="AQ60" s="43"/>
      <c r="AR60" s="44"/>
      <c r="AS60" s="38"/>
    </row>
    <row r="61" spans="1:45" ht="21.2" customHeight="1">
      <c r="A61" s="181">
        <f t="shared" si="0"/>
        <v>60</v>
      </c>
      <c r="B61" s="8" t="s">
        <v>134</v>
      </c>
      <c r="C61" s="31" t="s">
        <v>104</v>
      </c>
      <c r="D61" s="32" t="str">
        <f>VLOOKUP(B61,'Player Data'!A1:D734,4,FALSE)</f>
        <v>G</v>
      </c>
      <c r="E61" s="50">
        <f>VLOOKUP(B61,G!A1:D75,3,FALSE)</f>
        <v>1</v>
      </c>
      <c r="F61" s="34" t="str">
        <f>VLOOKUP(B61,'Player Data'!A1:B734,2,FALSE)</f>
        <v>DAL</v>
      </c>
      <c r="G61" s="9">
        <f>VLOOKUP(B61,'Player Data'!A1:D734,3,FALSE)</f>
        <v>24</v>
      </c>
      <c r="H61" s="35">
        <f>IFERROR(VLOOKUP(B61,ADP!A1:G731,7,FALSE)/1000000,VLOOKUP(B61,ADP!A1:G731,7,FALSE))</f>
        <v>4</v>
      </c>
      <c r="I61" s="36">
        <f>IF(Settings!$E$15="POINTS",(AJ61*Settings!$B$29)+(AK61*Settings!$B$21)+(AL61*Settings!$B$22)+(AN61*Settings!$B$24)+(AO61*Settings!$B$25)+(AP61*Settings!$B$27)+(AM61*Settings!$B$23),VLOOKUP(B61,'Standard Deviations'!A1:C731,3,FALSE))</f>
        <v>3.7400598115202563</v>
      </c>
      <c r="J61" s="37">
        <f t="shared" si="1"/>
        <v>6.032354534710091E-2</v>
      </c>
      <c r="K61" s="183">
        <f>VLOOKUP(B61,G!A1:F75,6,FALSE)</f>
        <v>2.035830760329965</v>
      </c>
      <c r="L61" s="36">
        <f t="shared" si="2"/>
        <v>0.50895769008249125</v>
      </c>
      <c r="M61" s="38">
        <f>IF(Settings!$E$9="YAHOO",VLOOKUP(B61,ADP!A1:E731,2,FALSE),IF(Settings!$E$9="ESPN",VLOOKUP(B61,ADP!A1:E731,3,FALSE),IF(Settings!$E$9="FANTRAX",VLOOKUP(B61,ADP!A1:E731,4,FALSE),VLOOKUP(B61,ADP!A1:E731,5,FALSE))))</f>
        <v>63.12</v>
      </c>
      <c r="N61" s="38">
        <f t="shared" si="3"/>
        <v>3.1199999999999974</v>
      </c>
      <c r="O61" s="38"/>
      <c r="P61" s="39" t="str">
        <f>IF(Settings!$E$27="ON",_xlfn.XLOOKUP(B61,ADP!A2:A731,ADP!H2:H731)," ")</f>
        <v xml:space="preserve"> </v>
      </c>
      <c r="Q61" s="40"/>
      <c r="R61" s="51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1"/>
      <c r="AI61" s="38"/>
      <c r="AJ61" s="42">
        <f>VLOOKUP(B61,'Player Data'!$A1:$AE734,24,FALSE)</f>
        <v>62</v>
      </c>
      <c r="AK61" s="40">
        <f>VLOOKUP(B61,'Player Data'!$A1:$AE734,25,FALSE)*$AJ61*IFERROR((VLOOKUP(P61,Settings!$E$28:$F$33,2,FALSE)+1),1)</f>
        <v>37.137947412994563</v>
      </c>
      <c r="AL61" s="40">
        <f>AJ61-AK61-AM61</f>
        <v>17.112052587005437</v>
      </c>
      <c r="AM61" s="40">
        <f>VLOOKUP(B61,'Player Data'!$A1:$AE734,27,FALSE)*$AJ61</f>
        <v>7.75</v>
      </c>
      <c r="AN61" s="40">
        <f>VLOOKUP(B61,'Player Data'!$A1:$AE734,28,FALSE)*AJ61</f>
        <v>5.2541448060053613</v>
      </c>
      <c r="AO61" s="40">
        <f>VLOOKUP(B61,'Player Data'!$A1:$AE734,29,FALSE)*$AJ61*IFERROR((VLOOKUP(P61,Settings!$E$28:$F$33,2,FALSE)/4)+1,1)</f>
        <v>1673.3206890082495</v>
      </c>
      <c r="AP61" s="40">
        <f>VLOOKUP(B61,'Player Data'!$A1:$AE734,31,FALSE)*$AJ61*(IFERROR(1-(VLOOKUP(P61,Settings!$E$28:$F$33,2,FALSE)/4),1))</f>
        <v>150.98763342924917</v>
      </c>
      <c r="AQ61" s="43">
        <f>1-(AP61/(AO61+AP61))</f>
        <v>0.91723568238316688</v>
      </c>
      <c r="AR61" s="44">
        <f>AP61/AJ61</f>
        <v>2.4352844101491802</v>
      </c>
      <c r="AS61" s="38"/>
    </row>
    <row r="62" spans="1:45" ht="21.2" customHeight="1">
      <c r="A62" s="181">
        <f t="shared" si="0"/>
        <v>61</v>
      </c>
      <c r="B62" s="8" t="s">
        <v>177</v>
      </c>
      <c r="C62" s="31" t="s">
        <v>104</v>
      </c>
      <c r="D62" s="32" t="str">
        <f>VLOOKUP(B62,'Player Data'!A1:D734,4,FALSE)</f>
        <v>D</v>
      </c>
      <c r="E62" s="47">
        <f>VLOOKUP(B62,D!A1:C229,3,FALSE)</f>
        <v>17</v>
      </c>
      <c r="F62" s="34" t="str">
        <f>VLOOKUP(B62,'Player Data'!A1:B734,2,FALSE)</f>
        <v>VGK</v>
      </c>
      <c r="G62" s="9">
        <f>VLOOKUP(B62,'Player Data'!A1:D734,3,FALSE)</f>
        <v>28</v>
      </c>
      <c r="H62" s="35">
        <f>IFERROR(VLOOKUP(B62,ADP!A1:G731,7,FALSE)/1000000,VLOOKUP(B62,ADP!A1:G731,7,FALSE))</f>
        <v>5.2</v>
      </c>
      <c r="I62" s="36">
        <f>IF(Settings!$E$15="POINTS",((R62*Q62)*Settings!$B$12)+(S62*Settings!$B$2)+(T62*Settings!$B$3)+(U62*Settings!$B$4)+(V62*Settings!$B$5)+(X62*Settings!$B$9)+(AA62*Settings!$B$6)+(W62*Settings!$B$8)+(AB62*Settings!$B$7)+(AC62*Settings!$B$14)+(AD62*Settings!$B$15)+(AE62*Settings!$B$16)+(AF62*Settings!$B$17)+(AG62*Settings!$B$18)+(U62*Settings!$B$13)+(Y62*Settings!$B$10)+(Z62*Settings!$B$11),VLOOKUP(B62,'Standard Deviations'!A1:C731,3,FALSE))</f>
        <v>3.9753189860102234</v>
      </c>
      <c r="J62" s="37">
        <f t="shared" si="1"/>
        <v>4.8479499829392966E-2</v>
      </c>
      <c r="K62" s="183">
        <f>VLOOKUP(B62,D!A1:F229,6,FALSE)</f>
        <v>2.0335784423759127</v>
      </c>
      <c r="L62" s="36">
        <f t="shared" si="2"/>
        <v>0.39107277737998319</v>
      </c>
      <c r="M62" s="38">
        <f>IF(Settings!$E$9="YAHOO",VLOOKUP(B62,ADP!A1:E731,2,FALSE),IF(Settings!$E$9="ESPN",VLOOKUP(B62,ADP!A1:E731,3,FALSE),IF(Settings!$E$9="FANTRAX",VLOOKUP(B62,ADP!A1:E731,4,FALSE),VLOOKUP(B62,ADP!A1:E731,5,FALSE))))</f>
        <v>106.95</v>
      </c>
      <c r="N62" s="38">
        <f t="shared" si="3"/>
        <v>45.95</v>
      </c>
      <c r="O62" s="38"/>
      <c r="P62" s="39" t="str">
        <f>IF(Settings!$E$27="ON",_xlfn.XLOOKUP(B62,ADP!A2:A731,ADP!H2:H731)," ")</f>
        <v xml:space="preserve"> </v>
      </c>
      <c r="Q62" s="40">
        <f>IF(Settings!$E$12="YES",VLOOKUP(B62,'Player Data'!A1:E734,5,FALSE),82)</f>
        <v>82</v>
      </c>
      <c r="R62" s="38">
        <f>VLOOKUP(B62,'Player Data'!$A1:$AE734,6,FALSE)</f>
        <v>21.820197713934299</v>
      </c>
      <c r="S62" s="40">
        <f>VLOOKUP(B62,'Player Data'!$A1:$AE734,7,FALSE)*$Q62*IFERROR((VLOOKUP(P62,Settings!$E$28:$F$33,2,FALSE)+1),1)</f>
        <v>12.5714453683605</v>
      </c>
      <c r="T62" s="40">
        <f>VLOOKUP(B62,'Player Data'!$A1:$AE734,8,FALSE)*$Q62*IFERROR((VLOOKUP(P62,Settings!$E$28:$F$33,2,FALSE)+1),1)</f>
        <v>44.659772409212266</v>
      </c>
      <c r="U62" s="40">
        <f t="shared" ref="U62:U68" si="6">SUM(S62:T62)</f>
        <v>57.231217777572766</v>
      </c>
      <c r="V62" s="40">
        <f>VLOOKUP(B62,'Player Data'!$A1:$AE734,10,FALSE)*$Q62*IFERROR(((VLOOKUP(P62,Settings!$E$28:$F$33,2,FALSE)/2)+1),1)</f>
        <v>206.88046019341502</v>
      </c>
      <c r="W62" s="40">
        <f>VLOOKUP(B62,'Player Data'!$A1:$AE734,11,FALSE)*$Q62*IFERROR((VLOOKUP(P62,Settings!$E$28:$F$33,2,FALSE)+1),1)</f>
        <v>1.8478821837738313</v>
      </c>
      <c r="X62" s="40">
        <f>VLOOKUP(B62,'Player Data'!$A1:$AE734,12,FALSE)*$Q62*IFERROR((VLOOKUP(P62,Settings!$E$28:$F$33,2,FALSE)+1),1)</f>
        <v>16.459893294453028</v>
      </c>
      <c r="Y62" s="40">
        <f>VLOOKUP(B62,'Player Data'!$A1:$AE734,13,FALSE)*$Q62</f>
        <v>2.7368676902180923E-3</v>
      </c>
      <c r="Z62" s="40">
        <f>VLOOKUP(B62,'Player Data'!$A1:$AE734,14,FALSE)*$Q62</f>
        <v>1.13141116542834E-2</v>
      </c>
      <c r="AA62" s="40">
        <f>VLOOKUP(B62,'Player Data'!$A1:$AE734,15,FALSE)*$Q62</f>
        <v>112.21410552707131</v>
      </c>
      <c r="AB62" s="40">
        <f>VLOOKUP(B62,'Player Data'!$A1:$AE734,16,FALSE)*$Q62</f>
        <v>41.21374400741982</v>
      </c>
      <c r="AC62" s="40">
        <f>VLOOKUP(B62,'Player Data'!$A1:$AE734,17,FALSE)*$Q62*IFERROR((VLOOKUP(P62,Settings!$E$28:$F$33,2,FALSE)+1),1)</f>
        <v>7.4789824992205665</v>
      </c>
      <c r="AD62" s="40">
        <f>VLOOKUP(B62,'Player Data'!$A1:$AE734,18,FALSE)*$Q62</f>
        <v>28.526407396261725</v>
      </c>
      <c r="AE62" s="40">
        <f>VLOOKUP(B62,'Player Data'!$A1:$AE734,19,FALSE)*$Q62*IFERROR((VLOOKUP(P62,Settings!$E$28:$F$33,2,FALSE)+1),1)</f>
        <v>2.0545171820336319</v>
      </c>
      <c r="AF62" s="40">
        <f>VLOOKUP(B62,'Player Data'!$A1:$AE734,20,FALSE)*$Q62</f>
        <v>0</v>
      </c>
      <c r="AG62" s="40">
        <f>VLOOKUP(B62,'Player Data'!$A1:$AE734,21,FALSE)*$Q62</f>
        <v>0</v>
      </c>
      <c r="AH62" s="41">
        <f>VLOOKUP(B62,'Player Data'!$A1:$AE734,22,FALSE)</f>
        <v>0</v>
      </c>
      <c r="AI62" s="38"/>
      <c r="AJ62" s="42"/>
      <c r="AK62" s="40"/>
      <c r="AL62" s="40"/>
      <c r="AM62" s="40"/>
      <c r="AN62" s="40"/>
      <c r="AO62" s="40"/>
      <c r="AP62" s="40"/>
      <c r="AQ62" s="43"/>
      <c r="AR62" s="44"/>
      <c r="AS62" s="38"/>
    </row>
    <row r="63" spans="1:45" ht="21.2" customHeight="1">
      <c r="A63" s="181">
        <f t="shared" si="0"/>
        <v>62</v>
      </c>
      <c r="B63" s="8" t="s">
        <v>162</v>
      </c>
      <c r="C63" s="31" t="s">
        <v>104</v>
      </c>
      <c r="D63" s="32" t="str">
        <f>VLOOKUP(B63,'Player Data'!A1:D734,4,FALSE)</f>
        <v>RW</v>
      </c>
      <c r="E63" s="46">
        <f>VLOOKUP(B63,RW!A1:F189,3,FALSE)</f>
        <v>17</v>
      </c>
      <c r="F63" s="34" t="str">
        <f>VLOOKUP(B63,'Player Data'!A1:B734,2,FALSE)</f>
        <v>BUF</v>
      </c>
      <c r="G63" s="9">
        <f>VLOOKUP(B63,'Player Data'!A1:D734,3,FALSE)</f>
        <v>27</v>
      </c>
      <c r="H63" s="35">
        <f>IFERROR(VLOOKUP(B63,ADP!A1:G731,7,FALSE)/1000000,VLOOKUP(B63,ADP!A1:G731,7,FALSE))</f>
        <v>4.75</v>
      </c>
      <c r="I63" s="36">
        <f>IF(Settings!$E$15="POINTS",((R63*Q63)*Settings!$B$12)+(S63*Settings!$B$2)+(T63*Settings!$B$3)+(U63*Settings!$B$4)+(V63*Settings!$B$5)+(X63*Settings!$B$9)+(AA63*Settings!$B$6)+(W63*Settings!$B$8)+(AB63*Settings!$B$7)+(AC63*Settings!$B$14)+(AD63*Settings!$B$15)+(AE63*Settings!$B$16)+(AF63*Settings!$B$17)+(AG63*Settings!$B$18)+(Y63*Settings!$B$10)+(Z63*Settings!$B$11),VLOOKUP(B63,'Standard Deviations'!A1:C731,3,FALSE))</f>
        <v>8.3103855162907294</v>
      </c>
      <c r="J63" s="37">
        <f t="shared" si="1"/>
        <v>0.10134616483281378</v>
      </c>
      <c r="K63" s="183">
        <f>IF(Settings!$E$18="C/LW/RW",VLOOKUP(B63,RW!A1:F189,6,FALSE),VLOOKUP(B63,F!A1:F431,6,FALSE))</f>
        <v>2.0301267972796486</v>
      </c>
      <c r="L63" s="36">
        <f t="shared" si="2"/>
        <v>0.42739511521676815</v>
      </c>
      <c r="M63" s="38">
        <f>IF(Settings!$E$9="YAHOO",VLOOKUP(B63,ADP!A1:E731,2,FALSE),IF(Settings!$E$9="ESPN",VLOOKUP(B63,ADP!A1:E731,3,FALSE),IF(Settings!$E$9="FANTRAX",VLOOKUP(B63,ADP!A1:E731,4,FALSE),VLOOKUP(B63,ADP!A1:E731,5,FALSE))))</f>
        <v>47.37</v>
      </c>
      <c r="N63" s="38">
        <f t="shared" si="3"/>
        <v>-14.630000000000003</v>
      </c>
      <c r="O63" s="38"/>
      <c r="P63" s="39" t="str">
        <f>IF(Settings!$E$27="ON",_xlfn.XLOOKUP(B63,ADP!A2:A731,ADP!H2:H731)," ")</f>
        <v xml:space="preserve"> </v>
      </c>
      <c r="Q63" s="40">
        <f>IF(Settings!$E$12="YES",VLOOKUP(B63,'Player Data'!A1:E734,5,FALSE),82)</f>
        <v>82</v>
      </c>
      <c r="R63" s="38">
        <f>VLOOKUP(B63,'Player Data'!$A1:$AE734,6,FALSE)</f>
        <v>19.9730849972836</v>
      </c>
      <c r="S63" s="40">
        <f>VLOOKUP(B63,'Player Data'!$A1:$AE734,7,FALSE)*$Q63*IFERROR((VLOOKUP(P63,Settings!$E$28:$F$33,2,FALSE)+1),1)</f>
        <v>34.567049737853594</v>
      </c>
      <c r="T63" s="40">
        <f>VLOOKUP(B63,'Player Data'!$A1:$AE734,8,FALSE)*$Q63*IFERROR((VLOOKUP(P63,Settings!$E$28:$F$33,2,FALSE)+1),1)</f>
        <v>45.696476375196532</v>
      </c>
      <c r="U63" s="40">
        <f t="shared" si="6"/>
        <v>80.263526113050119</v>
      </c>
      <c r="V63" s="40">
        <f>VLOOKUP(B63,'Player Data'!$A1:$AE734,10,FALSE)*$Q63*IFERROR(((VLOOKUP(P63,Settings!$E$28:$F$33,2,FALSE)/2)+1),1)</f>
        <v>249.99807240802821</v>
      </c>
      <c r="W63" s="40">
        <f>VLOOKUP(B63,'Player Data'!$A1:$AE734,11,FALSE)*$Q63*IFERROR((VLOOKUP(P63,Settings!$E$28:$F$33,2,FALSE)+1),1)</f>
        <v>7.8019673238067702</v>
      </c>
      <c r="X63" s="40">
        <f>VLOOKUP(B63,'Player Data'!$A1:$AE734,12,FALSE)*$Q63*IFERROR((VLOOKUP(P63,Settings!$E$28:$F$33,2,FALSE)+1),1)</f>
        <v>20.579262703508622</v>
      </c>
      <c r="Y63" s="40">
        <f>VLOOKUP(B63,'Player Data'!$A1:$AE734,13,FALSE)*$Q63</f>
        <v>1.1217185962150671</v>
      </c>
      <c r="Z63" s="40">
        <f>VLOOKUP(B63,'Player Data'!$A1:$AE734,14,FALSE)*$Q63</f>
        <v>1.2643638622144564</v>
      </c>
      <c r="AA63" s="40">
        <f>VLOOKUP(B63,'Player Data'!$A1:$AE734,15,FALSE)*$Q63</f>
        <v>57.986190377591278</v>
      </c>
      <c r="AB63" s="40">
        <f>VLOOKUP(B63,'Player Data'!$A1:$AE734,16,FALSE)*$Q63</f>
        <v>65.330959562968616</v>
      </c>
      <c r="AC63" s="40">
        <f>VLOOKUP(B63,'Player Data'!$A1:$AE734,17,FALSE)*$Q63*IFERROR((VLOOKUP(P63,Settings!$E$28:$F$33,2,FALSE)+1),1)</f>
        <v>1.7127986055755287</v>
      </c>
      <c r="AD63" s="40">
        <f>VLOOKUP(B63,'Player Data'!$A1:$AE734,18,FALSE)*$Q63</f>
        <v>31.190699601973279</v>
      </c>
      <c r="AE63" s="40">
        <f>VLOOKUP(B63,'Player Data'!$A1:$AE734,19,FALSE)*$Q63*IFERROR((VLOOKUP(P63,Settings!$E$28:$F$33,2,FALSE)+1),1)</f>
        <v>4.4252410936814668</v>
      </c>
      <c r="AF63" s="40">
        <f>VLOOKUP(B63,'Player Data'!$A1:$AE734,20,FALSE)*$Q63</f>
        <v>31.980950022352328</v>
      </c>
      <c r="AG63" s="40">
        <f>VLOOKUP(B63,'Player Data'!$A1:$AE734,21,FALSE)*$Q63</f>
        <v>46.702670876208622</v>
      </c>
      <c r="AH63" s="41">
        <f>VLOOKUP(B63,'Player Data'!$A1:$AE734,22,FALSE)</f>
        <v>0.40644990224308802</v>
      </c>
      <c r="AI63" s="38"/>
      <c r="AJ63" s="40"/>
      <c r="AK63" s="40"/>
      <c r="AL63" s="40"/>
      <c r="AM63" s="40"/>
      <c r="AN63" s="40"/>
      <c r="AO63" s="40"/>
      <c r="AP63" s="40"/>
      <c r="AQ63" s="43"/>
      <c r="AR63" s="44"/>
      <c r="AS63" s="38"/>
    </row>
    <row r="64" spans="1:45" ht="21.2" customHeight="1">
      <c r="A64" s="181">
        <f t="shared" si="0"/>
        <v>63</v>
      </c>
      <c r="B64" s="8" t="s">
        <v>156</v>
      </c>
      <c r="C64" s="31" t="s">
        <v>104</v>
      </c>
      <c r="D64" s="32" t="str">
        <f>VLOOKUP(B64,'Player Data'!A1:D734,4,FALSE)</f>
        <v>LW</v>
      </c>
      <c r="E64" s="48">
        <f>VLOOKUP(B64,LW!A1:C227,3,FALSE)</f>
        <v>19</v>
      </c>
      <c r="F64" s="34" t="str">
        <f>VLOOKUP(B64,'Player Data'!A1:B734,2,FALSE)</f>
        <v>CBJ</v>
      </c>
      <c r="G64" s="9">
        <f>VLOOKUP(B64,'Player Data'!A1:D734,3,FALSE)</f>
        <v>30</v>
      </c>
      <c r="H64" s="35">
        <f>IFERROR(VLOOKUP(B64,ADP!A1:G731,7,FALSE)/1000000,VLOOKUP(B64,ADP!A1:G731,7,FALSE))</f>
        <v>9.75</v>
      </c>
      <c r="I64" s="36">
        <f>IF(Settings!$E$15="POINTS",((R64*Q64)*Settings!$B$12)+(S64*Settings!$B$2)+(T64*Settings!$B$3)+(U64*Settings!$B$4)+(V64*Settings!$B$5)+(X64*Settings!$B$9)+(AA64*Settings!$B$6)+(W64*Settings!$B$8)+(AB64*Settings!$B$7)+(AC64*Settings!$B$14)+(AD64*Settings!$B$15)+(AE64*Settings!$B$16)+(AF64*Settings!$B$17)+(AG64*Settings!$B$18)+(Y64*Settings!$B$10)+(Z64*Settings!$B$11),VLOOKUP(B64,'Standard Deviations'!A1:C731,3,FALSE))</f>
        <v>8.6351776949320627</v>
      </c>
      <c r="J64" s="37">
        <f t="shared" si="1"/>
        <v>0.10530704506014711</v>
      </c>
      <c r="K64" s="183">
        <f>IF(Settings!$E$18="C/LW/RW",VLOOKUP(B64,LW!A1:F227,6,FALSE),VLOOKUP(B64,F!A1:F431,6,FALSE))</f>
        <v>1.9805086508076615</v>
      </c>
      <c r="L64" s="36">
        <f t="shared" si="2"/>
        <v>0.20312909239052937</v>
      </c>
      <c r="M64" s="38">
        <f>IF(Settings!$E$9="YAHOO",VLOOKUP(B64,ADP!A1:E731,2,FALSE),IF(Settings!$E$9="ESPN",VLOOKUP(B64,ADP!A1:E731,3,FALSE),IF(Settings!$E$9="FANTRAX",VLOOKUP(B64,ADP!A1:E731,4,FALSE),VLOOKUP(B64,ADP!A1:E731,5,FALSE))))</f>
        <v>59.74</v>
      </c>
      <c r="N64" s="38">
        <f t="shared" si="3"/>
        <v>-3.259999999999998</v>
      </c>
      <c r="O64" s="38"/>
      <c r="P64" s="39" t="str">
        <f>IF(Settings!$E$27="ON",_xlfn.XLOOKUP(B64,ADP!A2:A731,ADP!H2:H731)," ")</f>
        <v>-</v>
      </c>
      <c r="Q64" s="40">
        <f>IF(Settings!$E$12="YES",VLOOKUP(B64,'Player Data'!A1:E734,5,FALSE),82)</f>
        <v>82</v>
      </c>
      <c r="R64" s="38">
        <f>VLOOKUP(B64,'Player Data'!$A1:$AE734,6,FALSE)</f>
        <v>19.5911503528963</v>
      </c>
      <c r="S64" s="40">
        <f>VLOOKUP(B64,'Player Data'!$A1:$AE734,7,FALSE)*$Q64*IFERROR((VLOOKUP(P64,Settings!$E$28:$F$33,2,FALSE)+1),1)</f>
        <v>27.577981453855767</v>
      </c>
      <c r="T64" s="40">
        <f>VLOOKUP(B64,'Player Data'!$A1:$AE734,8,FALSE)*$Q64*IFERROR((VLOOKUP(P64,Settings!$E$28:$F$33,2,FALSE)+1),1)</f>
        <v>56.990544694345417</v>
      </c>
      <c r="U64" s="40">
        <f t="shared" si="6"/>
        <v>84.568526148201187</v>
      </c>
      <c r="V64" s="40">
        <f>VLOOKUP(B64,'Player Data'!$A1:$AE734,10,FALSE)*$Q64*IFERROR(((VLOOKUP(P64,Settings!$E$28:$F$33,2,FALSE)/2)+1),1)</f>
        <v>227.27366854916497</v>
      </c>
      <c r="W64" s="40">
        <f>VLOOKUP(B64,'Player Data'!$A1:$AE734,11,FALSE)*$Q64*IFERROR((VLOOKUP(P64,Settings!$E$28:$F$33,2,FALSE)+1),1)</f>
        <v>5.2911498134409554</v>
      </c>
      <c r="X64" s="40">
        <f>VLOOKUP(B64,'Player Data'!$A1:$AE734,12,FALSE)*$Q64*IFERROR((VLOOKUP(P64,Settings!$E$28:$F$33,2,FALSE)+1),1)</f>
        <v>24.237055018045353</v>
      </c>
      <c r="Y64" s="40">
        <f>VLOOKUP(B64,'Player Data'!$A1:$AE734,13,FALSE)*$Q64</f>
        <v>5.9006893592951437E-3</v>
      </c>
      <c r="Z64" s="40">
        <f>VLOOKUP(B64,'Player Data'!$A1:$AE734,14,FALSE)*$Q64</f>
        <v>1.0538052038366432E-2</v>
      </c>
      <c r="AA64" s="40">
        <f>VLOOKUP(B64,'Player Data'!$A1:$AE734,15,FALSE)*$Q64</f>
        <v>18.100832749489875</v>
      </c>
      <c r="AB64" s="40">
        <f>VLOOKUP(B64,'Player Data'!$A1:$AE734,16,FALSE)*$Q64</f>
        <v>12.092088414037267</v>
      </c>
      <c r="AC64" s="40">
        <f>VLOOKUP(B64,'Player Data'!$A1:$AE734,17,FALSE)*$Q64*IFERROR((VLOOKUP(P64,Settings!$E$28:$F$33,2,FALSE)+1),1)</f>
        <v>-2.5375592642186029</v>
      </c>
      <c r="AD64" s="40">
        <f>VLOOKUP(B64,'Player Data'!$A1:$AE734,18,FALSE)*$Q64</f>
        <v>21.541242696871283</v>
      </c>
      <c r="AE64" s="40">
        <f>VLOOKUP(B64,'Player Data'!$A1:$AE734,19,FALSE)*$Q64*IFERROR((VLOOKUP(P64,Settings!$E$28:$F$33,2,FALSE)+1),1)</f>
        <v>2.9551705923473843</v>
      </c>
      <c r="AF64" s="40">
        <f>VLOOKUP(B64,'Player Data'!$A1:$AE734,20,FALSE)*$Q64</f>
        <v>0.11741031706647237</v>
      </c>
      <c r="AG64" s="40">
        <f>VLOOKUP(B64,'Player Data'!$A1:$AE734,21,FALSE)*$Q64</f>
        <v>0.20074197395452306</v>
      </c>
      <c r="AH64" s="41">
        <f>VLOOKUP(B64,'Player Data'!$A1:$AE734,22,FALSE)</f>
        <v>0.36903810024339501</v>
      </c>
      <c r="AI64" s="38"/>
      <c r="AJ64" s="42"/>
      <c r="AK64" s="40"/>
      <c r="AL64" s="40"/>
      <c r="AM64" s="40"/>
      <c r="AN64" s="40"/>
      <c r="AO64" s="40"/>
      <c r="AP64" s="40"/>
      <c r="AQ64" s="43"/>
      <c r="AR64" s="44"/>
      <c r="AS64" s="38"/>
    </row>
    <row r="65" spans="1:45" ht="21.2" customHeight="1">
      <c r="A65" s="181">
        <f t="shared" si="0"/>
        <v>64</v>
      </c>
      <c r="B65" s="8" t="s">
        <v>167</v>
      </c>
      <c r="C65" s="31" t="s">
        <v>104</v>
      </c>
      <c r="D65" s="32" t="str">
        <f>VLOOKUP(B65,'Player Data'!A1:D734,4,FALSE)</f>
        <v>D</v>
      </c>
      <c r="E65" s="47">
        <f>VLOOKUP(B65,D!A1:C229,3,FALSE)</f>
        <v>18</v>
      </c>
      <c r="F65" s="34" t="str">
        <f>VLOOKUP(B65,'Player Data'!A1:B734,2,FALSE)</f>
        <v>BOS</v>
      </c>
      <c r="G65" s="9">
        <f>VLOOKUP(B65,'Player Data'!A1:D734,3,FALSE)</f>
        <v>25</v>
      </c>
      <c r="H65" s="35">
        <f>IFERROR(VLOOKUP(B65,ADP!A1:G731,7,FALSE)/1000000,VLOOKUP(B65,ADP!A1:G731,7,FALSE))</f>
        <v>9.5</v>
      </c>
      <c r="I65" s="36">
        <f>IF(Settings!$E$15="POINTS",((R65*Q65)*Settings!$B$12)+(S65*Settings!$B$2)+(T65*Settings!$B$3)+(U65*Settings!$B$4)+(V65*Settings!$B$5)+(X65*Settings!$B$9)+(AA65*Settings!$B$6)+(W65*Settings!$B$8)+(AB65*Settings!$B$7)+(AC65*Settings!$B$14)+(AD65*Settings!$B$15)+(AE65*Settings!$B$16)+(AF65*Settings!$B$17)+(AG65*Settings!$B$18)+(U65*Settings!$B$13)+(Y65*Settings!$B$10)+(Z65*Settings!$B$11),VLOOKUP(B65,'Standard Deviations'!A1:C731,3,FALSE))</f>
        <v>3.8650349353748927</v>
      </c>
      <c r="J65" s="37">
        <f t="shared" si="1"/>
        <v>4.7134572382620643E-2</v>
      </c>
      <c r="K65" s="183">
        <f>VLOOKUP(B65,D!A1:F229,6,FALSE)</f>
        <v>1.923294391740582</v>
      </c>
      <c r="L65" s="36">
        <f t="shared" si="2"/>
        <v>0.20245204123585073</v>
      </c>
      <c r="M65" s="38">
        <f>IF(Settings!$E$9="YAHOO",VLOOKUP(B65,ADP!A1:E731,2,FALSE),IF(Settings!$E$9="ESPN",VLOOKUP(B65,ADP!A1:E731,3,FALSE),IF(Settings!$E$9="FANTRAX",VLOOKUP(B65,ADP!A1:E731,4,FALSE),VLOOKUP(B65,ADP!A1:E731,5,FALSE))))</f>
        <v>94.55</v>
      </c>
      <c r="N65" s="38">
        <f t="shared" si="3"/>
        <v>30.549999999999997</v>
      </c>
      <c r="O65" s="38"/>
      <c r="P65" s="39" t="str">
        <f>IF(Settings!$E$27="ON",_xlfn.XLOOKUP(B65,ADP!A2:A731,ADP!H2:H731)," ")</f>
        <v xml:space="preserve"> </v>
      </c>
      <c r="Q65" s="40">
        <f>IF(Settings!$E$12="YES",VLOOKUP(B65,'Player Data'!A1:E734,5,FALSE),82)</f>
        <v>82</v>
      </c>
      <c r="R65" s="38">
        <f>VLOOKUP(B65,'Player Data'!$A1:$AE734,6,FALSE)</f>
        <v>23.335087774509699</v>
      </c>
      <c r="S65" s="40">
        <f>VLOOKUP(B65,'Player Data'!$A1:$AE734,7,FALSE)*$Q65*IFERROR((VLOOKUP(P65,Settings!$E$28:$F$33,2,FALSE)+1),1)</f>
        <v>9.661802410561652</v>
      </c>
      <c r="T65" s="40">
        <f>VLOOKUP(B65,'Player Data'!$A1:$AE734,8,FALSE)*$Q65*IFERROR((VLOOKUP(P65,Settings!$E$28:$F$33,2,FALSE)+1),1)</f>
        <v>50.034930062861804</v>
      </c>
      <c r="U65" s="40">
        <f t="shared" si="6"/>
        <v>59.696732473423452</v>
      </c>
      <c r="V65" s="40">
        <f>VLOOKUP(B65,'Player Data'!$A1:$AE734,10,FALSE)*$Q65*IFERROR(((VLOOKUP(P65,Settings!$E$28:$F$33,2,FALSE)/2)+1),1)</f>
        <v>150.73975776034376</v>
      </c>
      <c r="W65" s="40">
        <f>VLOOKUP(B65,'Player Data'!$A1:$AE734,11,FALSE)*$Q65*IFERROR((VLOOKUP(P65,Settings!$E$28:$F$33,2,FALSE)+1),1)</f>
        <v>3.2590841710442269</v>
      </c>
      <c r="X65" s="40">
        <f>VLOOKUP(B65,'Player Data'!$A1:$AE734,12,FALSE)*$Q65*IFERROR((VLOOKUP(P65,Settings!$E$28:$F$33,2,FALSE)+1),1)</f>
        <v>22.566850871789885</v>
      </c>
      <c r="Y65" s="40">
        <f>VLOOKUP(B65,'Player Data'!$A1:$AE734,13,FALSE)*$Q65</f>
        <v>4.1931698247331985E-2</v>
      </c>
      <c r="Z65" s="40">
        <f>VLOOKUP(B65,'Player Data'!$A1:$AE734,14,FALSE)*$Q65</f>
        <v>0.42186961476861695</v>
      </c>
      <c r="AA65" s="40">
        <f>VLOOKUP(B65,'Player Data'!$A1:$AE734,15,FALSE)*$Q65</f>
        <v>147.58193735662661</v>
      </c>
      <c r="AB65" s="40">
        <f>VLOOKUP(B65,'Player Data'!$A1:$AE734,16,FALSE)*$Q65</f>
        <v>116.48832666921884</v>
      </c>
      <c r="AC65" s="40">
        <f>VLOOKUP(B65,'Player Data'!$A1:$AE734,17,FALSE)*$Q65*IFERROR((VLOOKUP(P65,Settings!$E$28:$F$33,2,FALSE)+1),1)</f>
        <v>8.1544803067409024</v>
      </c>
      <c r="AD65" s="40">
        <f>VLOOKUP(B65,'Player Data'!$A1:$AE734,18,FALSE)*$Q65</f>
        <v>63.532805121880642</v>
      </c>
      <c r="AE65" s="40">
        <f>VLOOKUP(B65,'Player Data'!$A1:$AE734,19,FALSE)*$Q65*IFERROR((VLOOKUP(P65,Settings!$E$28:$F$33,2,FALSE)+1),1)</f>
        <v>1.6220264864482818</v>
      </c>
      <c r="AF65" s="40">
        <f>VLOOKUP(B65,'Player Data'!$A1:$AE734,20,FALSE)*$Q65</f>
        <v>0</v>
      </c>
      <c r="AG65" s="40">
        <f>VLOOKUP(B65,'Player Data'!$A1:$AE734,21,FALSE)*$Q65</f>
        <v>0</v>
      </c>
      <c r="AH65" s="41">
        <f>VLOOKUP(B65,'Player Data'!$A1:$AE734,22,FALSE)</f>
        <v>0</v>
      </c>
      <c r="AI65" s="38"/>
      <c r="AJ65" s="40"/>
      <c r="AK65" s="40"/>
      <c r="AL65" s="40"/>
      <c r="AM65" s="40"/>
      <c r="AN65" s="40"/>
      <c r="AO65" s="40"/>
      <c r="AP65" s="40"/>
      <c r="AQ65" s="43"/>
      <c r="AR65" s="44"/>
      <c r="AS65" s="38"/>
    </row>
    <row r="66" spans="1:45" ht="21.2" customHeight="1">
      <c r="A66" s="181">
        <f t="shared" ref="A66:A129" si="7">RANK(K66,K$2:K$730)</f>
        <v>65</v>
      </c>
      <c r="B66" s="8" t="s">
        <v>163</v>
      </c>
      <c r="C66" s="31" t="s">
        <v>104</v>
      </c>
      <c r="D66" s="32" t="str">
        <f>VLOOKUP(B66,'Player Data'!A1:D734,4,FALSE)</f>
        <v>LW,RW</v>
      </c>
      <c r="E66" s="45">
        <f>VLOOKUP(B66,RW!A1:F189,3,FALSE)</f>
        <v>18</v>
      </c>
      <c r="F66" s="34" t="str">
        <f>VLOOKUP(B66,'Player Data'!A1:B734,2,FALSE)</f>
        <v>STL</v>
      </c>
      <c r="G66" s="9">
        <f>VLOOKUP(B66,'Player Data'!A1:D734,3,FALSE)</f>
        <v>28</v>
      </c>
      <c r="H66" s="35">
        <f>IFERROR(VLOOKUP(B66,ADP!A1:G731,7,FALSE)/1000000,VLOOKUP(B66,ADP!A1:G731,7,FALSE))</f>
        <v>5.8</v>
      </c>
      <c r="I66" s="36">
        <f>IF(Settings!$E$15="POINTS",((R66*Q66)*Settings!$B$12)+(S66*Settings!$B$2)+(T66*Settings!$B$3)+(U66*Settings!$B$4)+(V66*Settings!$B$5)+(X66*Settings!$B$9)+(AA66*Settings!$B$6)+(W66*Settings!$B$8)+(AB66*Settings!$B$7)+(AC66*Settings!$B$14)+(AD66*Settings!$B$15)+(AE66*Settings!$B$16)+(AF66*Settings!$B$17)+(AG66*Settings!$B$18)+(Y66*Settings!$B$10)+(Z66*Settings!$B$11),VLOOKUP(B66,'Standard Deviations'!A1:C731,3,FALSE))</f>
        <v>8.1517737192623727</v>
      </c>
      <c r="J66" s="37">
        <f t="shared" ref="J66:J129" si="8">IF(D66="G",I66/AJ66,I66/Q66)</f>
        <v>9.9411874625150887E-2</v>
      </c>
      <c r="K66" s="183">
        <f>IF(Settings!$E$18="C/LW/RW",VLOOKUP(B66,RW!A1:F189,6,FALSE),VLOOKUP(B66,F!A1:F431,6,FALSE))</f>
        <v>1.8715150002512919</v>
      </c>
      <c r="L66" s="36">
        <f t="shared" ref="L66:L129" si="9">IFERROR(K66/H66,"N/A")</f>
        <v>0.32267500004332622</v>
      </c>
      <c r="M66" s="38">
        <f>IF(Settings!$E$9="YAHOO",VLOOKUP(B66,ADP!A1:E731,2,FALSE),IF(Settings!$E$9="ESPN",VLOOKUP(B66,ADP!A1:E731,3,FALSE),IF(Settings!$E$9="FANTRAX",VLOOKUP(B66,ADP!A1:E731,4,FALSE),VLOOKUP(B66,ADP!A1:E731,5,FALSE))))</f>
        <v>86.4</v>
      </c>
      <c r="N66" s="38">
        <f t="shared" ref="N66:N129" si="10">IFERROR(M66-A66,"N/A")</f>
        <v>21.400000000000006</v>
      </c>
      <c r="O66" s="38"/>
      <c r="P66" s="39" t="str">
        <f>IF(Settings!$E$27="ON",_xlfn.XLOOKUP(B66,ADP!A2:A731,ADP!H2:H731)," ")</f>
        <v>-</v>
      </c>
      <c r="Q66" s="40">
        <f>IF(Settings!$E$12="YES",VLOOKUP(B66,'Player Data'!A1:E734,5,FALSE),82)</f>
        <v>82</v>
      </c>
      <c r="R66" s="38">
        <f>VLOOKUP(B66,'Player Data'!$A1:$AE734,6,FALSE)</f>
        <v>20.309462079894299</v>
      </c>
      <c r="S66" s="40">
        <f>VLOOKUP(B66,'Player Data'!$A1:$AE734,7,FALSE)*$Q66*IFERROR((VLOOKUP(P66,Settings!$E$28:$F$33,2,FALSE)+1),1)</f>
        <v>33.184157139821018</v>
      </c>
      <c r="T66" s="40">
        <f>VLOOKUP(B66,'Player Data'!$A1:$AE734,8,FALSE)*$Q66*IFERROR((VLOOKUP(P66,Settings!$E$28:$F$33,2,FALSE)+1),1)</f>
        <v>51.119944990489621</v>
      </c>
      <c r="U66" s="40">
        <f t="shared" si="6"/>
        <v>84.304102130310639</v>
      </c>
      <c r="V66" s="40">
        <f>VLOOKUP(B66,'Player Data'!$A1:$AE734,10,FALSE)*$Q66*IFERROR(((VLOOKUP(P66,Settings!$E$28:$F$33,2,FALSE)/2)+1),1)</f>
        <v>189.86293818299515</v>
      </c>
      <c r="W66" s="40">
        <f>VLOOKUP(B66,'Player Data'!$A1:$AE734,11,FALSE)*$Q66*IFERROR((VLOOKUP(P66,Settings!$E$28:$F$33,2,FALSE)+1),1)</f>
        <v>9.2077384051413045</v>
      </c>
      <c r="X66" s="40">
        <f>VLOOKUP(B66,'Player Data'!$A1:$AE734,12,FALSE)*$Q66*IFERROR((VLOOKUP(P66,Settings!$E$28:$F$33,2,FALSE)+1),1)</f>
        <v>24.684346954462956</v>
      </c>
      <c r="Y66" s="40">
        <f>VLOOKUP(B66,'Player Data'!$A1:$AE734,13,FALSE)*$Q66</f>
        <v>0.68130338219554676</v>
      </c>
      <c r="Z66" s="40">
        <f>VLOOKUP(B66,'Player Data'!$A1:$AE734,14,FALSE)*$Q66</f>
        <v>2.7390825437349116</v>
      </c>
      <c r="AA66" s="40">
        <f>VLOOKUP(B66,'Player Data'!$A1:$AE734,15,FALSE)*$Q66</f>
        <v>30.84361580265951</v>
      </c>
      <c r="AB66" s="40">
        <f>VLOOKUP(B66,'Player Data'!$A1:$AE734,16,FALSE)*$Q66</f>
        <v>74.230102631443017</v>
      </c>
      <c r="AC66" s="40">
        <f>VLOOKUP(B66,'Player Data'!$A1:$AE734,17,FALSE)*$Q66*IFERROR((VLOOKUP(P66,Settings!$E$28:$F$33,2,FALSE)+1),1)</f>
        <v>-0.11501205502455603</v>
      </c>
      <c r="AD66" s="40">
        <f>VLOOKUP(B66,'Player Data'!$A1:$AE734,18,FALSE)*$Q66</f>
        <v>37.958227395474509</v>
      </c>
      <c r="AE66" s="40">
        <f>VLOOKUP(B66,'Player Data'!$A1:$AE734,19,FALSE)*$Q66*IFERROR((VLOOKUP(P66,Settings!$E$28:$F$33,2,FALSE)+1),1)</f>
        <v>3.818591610048752</v>
      </c>
      <c r="AF66" s="40">
        <f>VLOOKUP(B66,'Player Data'!$A1:$AE734,20,FALSE)*$Q66</f>
        <v>65.213901202483157</v>
      </c>
      <c r="AG66" s="40">
        <f>VLOOKUP(B66,'Player Data'!$A1:$AE734,21,FALSE)*$Q66</f>
        <v>154.78734031357391</v>
      </c>
      <c r="AH66" s="41">
        <f>VLOOKUP(B66,'Player Data'!$A1:$AE734,22,FALSE)</f>
        <v>0.29642515084499399</v>
      </c>
      <c r="AI66" s="38"/>
      <c r="AJ66" s="42"/>
      <c r="AK66" s="40"/>
      <c r="AL66" s="40"/>
      <c r="AM66" s="40"/>
      <c r="AN66" s="40"/>
      <c r="AO66" s="40"/>
      <c r="AP66" s="40"/>
      <c r="AQ66" s="43"/>
      <c r="AR66" s="44"/>
      <c r="AS66" s="38"/>
    </row>
    <row r="67" spans="1:45" ht="21.2" customHeight="1">
      <c r="A67" s="181">
        <f t="shared" si="7"/>
        <v>66</v>
      </c>
      <c r="B67" s="8" t="s">
        <v>205</v>
      </c>
      <c r="C67" s="31" t="s">
        <v>104</v>
      </c>
      <c r="D67" s="32" t="str">
        <f>VLOOKUP(B67,'Player Data'!A1:D734,4,FALSE)</f>
        <v>LW</v>
      </c>
      <c r="E67" s="48">
        <f>VLOOKUP(B67,LW!A1:C227,3,FALSE)</f>
        <v>21</v>
      </c>
      <c r="F67" s="34" t="str">
        <f>VLOOKUP(B67,'Player Data'!A1:B734,2,FALSE)</f>
        <v>NSH</v>
      </c>
      <c r="G67" s="9">
        <f>VLOOKUP(B67,'Player Data'!A1:D734,3,FALSE)</f>
        <v>29</v>
      </c>
      <c r="H67" s="35">
        <f>IFERROR(VLOOKUP(B67,ADP!A1:G731,7,FALSE)/1000000,VLOOKUP(B67,ADP!A1:G731,7,FALSE))</f>
        <v>8.5</v>
      </c>
      <c r="I67" s="36">
        <f>IF(Settings!$E$15="POINTS",((R67*Q67)*Settings!$B$12)+(S67*Settings!$B$2)+(T67*Settings!$B$3)+(U67*Settings!$B$4)+(V67*Settings!$B$5)+(X67*Settings!$B$9)+(AA67*Settings!$B$6)+(W67*Settings!$B$8)+(AB67*Settings!$B$7)+(AC67*Settings!$B$14)+(AD67*Settings!$B$15)+(AE67*Settings!$B$16)+(AF67*Settings!$B$17)+(AG67*Settings!$B$18)+(Y67*Settings!$B$10)+(Z67*Settings!$B$11),VLOOKUP(B67,'Standard Deviations'!A1:C731,3,FALSE))</f>
        <v>8.4953956584473396</v>
      </c>
      <c r="J67" s="37">
        <f t="shared" si="8"/>
        <v>0.1036023860786261</v>
      </c>
      <c r="K67" s="183">
        <f>IF(Settings!$E$18="C/LW/RW",VLOOKUP(B67,LW!A1:F227,6,FALSE),VLOOKUP(B67,F!A1:F431,6,FALSE))</f>
        <v>1.8407266143229384</v>
      </c>
      <c r="L67" s="36">
        <f t="shared" si="9"/>
        <v>0.21655607227328688</v>
      </c>
      <c r="M67" s="38">
        <f>IF(Settings!$E$9="YAHOO",VLOOKUP(B67,ADP!A1:E731,2,FALSE),IF(Settings!$E$9="ESPN",VLOOKUP(B67,ADP!A1:E731,3,FALSE),IF(Settings!$E$9="FANTRAX",VLOOKUP(B67,ADP!A1:E731,4,FALSE),VLOOKUP(B67,ADP!A1:E731,5,FALSE))))</f>
        <v>64.88</v>
      </c>
      <c r="N67" s="38">
        <f t="shared" si="10"/>
        <v>-1.1200000000000045</v>
      </c>
      <c r="O67" s="38"/>
      <c r="P67" s="39" t="str">
        <f>IF(Settings!$E$27="ON",_xlfn.XLOOKUP(B67,ADP!A2:A731,ADP!H2:H731)," ")</f>
        <v>+</v>
      </c>
      <c r="Q67" s="40">
        <f>IF(Settings!$E$12="YES",VLOOKUP(B67,'Player Data'!A1:E734,5,FALSE),82)</f>
        <v>82</v>
      </c>
      <c r="R67" s="38">
        <f>VLOOKUP(B67,'Player Data'!$A1:$AE734,6,FALSE)</f>
        <v>17.382366269817101</v>
      </c>
      <c r="S67" s="40">
        <f>VLOOKUP(B67,'Player Data'!$A1:$AE734,7,FALSE)*$Q67*IFERROR((VLOOKUP(P67,Settings!$E$28:$F$33,2,FALSE)+1),1)</f>
        <v>35.776409490961782</v>
      </c>
      <c r="T67" s="40">
        <f>VLOOKUP(B67,'Player Data'!$A1:$AE734,8,FALSE)*$Q67*IFERROR((VLOOKUP(P67,Settings!$E$28:$F$33,2,FALSE)+1),1)</f>
        <v>42.596768735169846</v>
      </c>
      <c r="U67" s="40">
        <f t="shared" si="6"/>
        <v>78.373178226131628</v>
      </c>
      <c r="V67" s="40">
        <f>VLOOKUP(B67,'Player Data'!$A1:$AE734,10,FALSE)*$Q67*IFERROR(((VLOOKUP(P67,Settings!$E$28:$F$33,2,FALSE)/2)+1),1)</f>
        <v>256.09813965186783</v>
      </c>
      <c r="W67" s="40">
        <f>VLOOKUP(B67,'Player Data'!$A1:$AE734,11,FALSE)*$Q67*IFERROR((VLOOKUP(P67,Settings!$E$28:$F$33,2,FALSE)+1),1)</f>
        <v>7.8130001036708769</v>
      </c>
      <c r="X67" s="40">
        <f>VLOOKUP(B67,'Player Data'!$A1:$AE734,12,FALSE)*$Q67*IFERROR((VLOOKUP(P67,Settings!$E$28:$F$33,2,FALSE)+1),1)</f>
        <v>23.324492522494086</v>
      </c>
      <c r="Y67" s="40">
        <f>VLOOKUP(B67,'Player Data'!$A1:$AE734,13,FALSE)*$Q67</f>
        <v>1.0474529185508487E-2</v>
      </c>
      <c r="Z67" s="40">
        <f>VLOOKUP(B67,'Player Data'!$A1:$AE734,14,FALSE)*$Q67</f>
        <v>1.9147315608714896E-2</v>
      </c>
      <c r="AA67" s="40">
        <f>VLOOKUP(B67,'Player Data'!$A1:$AE734,15,FALSE)*$Q67</f>
        <v>39.762840344000885</v>
      </c>
      <c r="AB67" s="40">
        <f>VLOOKUP(B67,'Player Data'!$A1:$AE734,16,FALSE)*$Q67</f>
        <v>126.0823690333651</v>
      </c>
      <c r="AC67" s="40">
        <f>VLOOKUP(B67,'Player Data'!$A1:$AE734,17,FALSE)*$Q67*IFERROR((VLOOKUP(P67,Settings!$E$28:$F$33,2,FALSE)+1),1)</f>
        <v>0.27561653691209753</v>
      </c>
      <c r="AD67" s="40">
        <f>VLOOKUP(B67,'Player Data'!$A1:$AE734,18,FALSE)*$Q67</f>
        <v>30.751407670220821</v>
      </c>
      <c r="AE67" s="40">
        <f>VLOOKUP(B67,'Player Data'!$A1:$AE734,19,FALSE)*$Q67*IFERROR((VLOOKUP(P67,Settings!$E$28:$F$33,2,FALSE)+1),1)</f>
        <v>5.2242914846601796</v>
      </c>
      <c r="AF67" s="40">
        <f>VLOOKUP(B67,'Player Data'!$A1:$AE734,20,FALSE)*$Q67</f>
        <v>1.6320075551270603</v>
      </c>
      <c r="AG67" s="40">
        <f>VLOOKUP(B67,'Player Data'!$A1:$AE734,21,FALSE)*$Q67</f>
        <v>1.5526919847937866</v>
      </c>
      <c r="AH67" s="41">
        <f>VLOOKUP(B67,'Player Data'!$A1:$AE734,22,FALSE)</f>
        <v>0.51245259864220005</v>
      </c>
      <c r="AI67" s="38"/>
      <c r="AJ67" s="42"/>
      <c r="AK67" s="40"/>
      <c r="AL67" s="40"/>
      <c r="AM67" s="40"/>
      <c r="AN67" s="40"/>
      <c r="AO67" s="40"/>
      <c r="AP67" s="40"/>
      <c r="AQ67" s="43"/>
      <c r="AR67" s="44"/>
      <c r="AS67" s="38"/>
    </row>
    <row r="68" spans="1:45" ht="21.2" customHeight="1">
      <c r="A68" s="181">
        <f t="shared" si="7"/>
        <v>67</v>
      </c>
      <c r="B68" s="8" t="s">
        <v>169</v>
      </c>
      <c r="C68" s="31" t="s">
        <v>104</v>
      </c>
      <c r="D68" s="32" t="str">
        <f>VLOOKUP(B68,'Player Data'!A1:D734,4,FALSE)</f>
        <v>D</v>
      </c>
      <c r="E68" s="47">
        <f>VLOOKUP(B68,D!A1:C229,3,FALSE)</f>
        <v>19</v>
      </c>
      <c r="F68" s="34" t="str">
        <f>VLOOKUP(B68,'Player Data'!A1:B734,2,FALSE)</f>
        <v>NYI</v>
      </c>
      <c r="G68" s="9">
        <f>VLOOKUP(B68,'Player Data'!A1:D734,3,FALSE)</f>
        <v>23</v>
      </c>
      <c r="H68" s="35">
        <f>IFERROR(VLOOKUP(B68,ADP!A1:G731,7,FALSE)/1000000,VLOOKUP(B68,ADP!A1:G731,7,FALSE))</f>
        <v>4</v>
      </c>
      <c r="I68" s="36">
        <f>IF(Settings!$E$15="POINTS",((R68*Q68)*Settings!$B$12)+(S68*Settings!$B$2)+(T68*Settings!$B$3)+(U68*Settings!$B$4)+(V68*Settings!$B$5)+(X68*Settings!$B$9)+(AA68*Settings!$B$6)+(W68*Settings!$B$8)+(AB68*Settings!$B$7)+(AC68*Settings!$B$14)+(AD68*Settings!$B$15)+(AE68*Settings!$B$16)+(AF68*Settings!$B$17)+(AG68*Settings!$B$18)+(U68*Settings!$B$13)+(Y68*Settings!$B$10)+(Z68*Settings!$B$11),VLOOKUP(B68,'Standard Deviations'!A1:C731,3,FALSE))</f>
        <v>3.7172860755612769</v>
      </c>
      <c r="J68" s="37">
        <f t="shared" si="8"/>
        <v>4.5332757019039965E-2</v>
      </c>
      <c r="K68" s="183">
        <f>VLOOKUP(B68,D!A1:F229,6,FALSE)</f>
        <v>1.7755455319269662</v>
      </c>
      <c r="L68" s="36">
        <f t="shared" si="9"/>
        <v>0.44388638298174155</v>
      </c>
      <c r="M68" s="38">
        <f>IF(Settings!$E$9="YAHOO",VLOOKUP(B68,ADP!A1:E731,2,FALSE),IF(Settings!$E$9="ESPN",VLOOKUP(B68,ADP!A1:E731,3,FALSE),IF(Settings!$E$9="FANTRAX",VLOOKUP(B68,ADP!A1:E731,4,FALSE),VLOOKUP(B68,ADP!A1:E731,5,FALSE))))</f>
        <v>93.98</v>
      </c>
      <c r="N68" s="38">
        <f t="shared" si="10"/>
        <v>26.980000000000004</v>
      </c>
      <c r="O68" s="38"/>
      <c r="P68" s="39" t="str">
        <f>IF(Settings!$E$27="ON",_xlfn.XLOOKUP(B68,ADP!A2:A731,ADP!H2:H731)," ")</f>
        <v xml:space="preserve"> </v>
      </c>
      <c r="Q68" s="40">
        <f>IF(Settings!$E$12="YES",VLOOKUP(B68,'Player Data'!A1:E734,5,FALSE),82)</f>
        <v>82</v>
      </c>
      <c r="R68" s="38">
        <f>VLOOKUP(B68,'Player Data'!$A1:$AE734,6,FALSE)</f>
        <v>20.527266647634299</v>
      </c>
      <c r="S68" s="40">
        <f>VLOOKUP(B68,'Player Data'!$A1:$AE734,7,FALSE)*$Q68*IFERROR((VLOOKUP(P68,Settings!$E$28:$F$33,2,FALSE)+1),1)</f>
        <v>12.362651766569467</v>
      </c>
      <c r="T68" s="40">
        <f>VLOOKUP(B68,'Player Data'!$A1:$AE734,8,FALSE)*$Q68*IFERROR((VLOOKUP(P68,Settings!$E$28:$F$33,2,FALSE)+1),1)</f>
        <v>38.92887462815677</v>
      </c>
      <c r="U68" s="40">
        <f t="shared" si="6"/>
        <v>51.291526394726233</v>
      </c>
      <c r="V68" s="40">
        <f>VLOOKUP(B68,'Player Data'!$A1:$AE734,10,FALSE)*$Q68*IFERROR(((VLOOKUP(P68,Settings!$E$28:$F$33,2,FALSE)/2)+1),1)</f>
        <v>200.42605369646901</v>
      </c>
      <c r="W68" s="40">
        <f>VLOOKUP(B68,'Player Data'!$A1:$AE734,11,FALSE)*$Q68*IFERROR((VLOOKUP(P68,Settings!$E$28:$F$33,2,FALSE)+1),1)</f>
        <v>3.8300984660732604</v>
      </c>
      <c r="X68" s="40">
        <f>VLOOKUP(B68,'Player Data'!$A1:$AE734,12,FALSE)*$Q68*IFERROR((VLOOKUP(P68,Settings!$E$28:$F$33,2,FALSE)+1),1)</f>
        <v>21.930355260555196</v>
      </c>
      <c r="Y68" s="40">
        <f>VLOOKUP(B68,'Player Data'!$A1:$AE734,13,FALSE)*$Q68</f>
        <v>2.6387334213451165E-2</v>
      </c>
      <c r="Z68" s="40">
        <f>VLOOKUP(B68,'Player Data'!$A1:$AE734,14,FALSE)*$Q68</f>
        <v>0.12852350741687205</v>
      </c>
      <c r="AA68" s="40">
        <f>VLOOKUP(B68,'Player Data'!$A1:$AE734,15,FALSE)*$Q68</f>
        <v>117.75897917902013</v>
      </c>
      <c r="AB68" s="40">
        <f>VLOOKUP(B68,'Player Data'!$A1:$AE734,16,FALSE)*$Q68</f>
        <v>77.339294673201181</v>
      </c>
      <c r="AC68" s="40">
        <f>VLOOKUP(B68,'Player Data'!$A1:$AE734,17,FALSE)*$Q68*IFERROR((VLOOKUP(P68,Settings!$E$28:$F$33,2,FALSE)+1),1)</f>
        <v>1.0502577543626284</v>
      </c>
      <c r="AD68" s="40">
        <f>VLOOKUP(B68,'Player Data'!$A1:$AE734,18,FALSE)*$Q68</f>
        <v>22.753189928738369</v>
      </c>
      <c r="AE68" s="40">
        <f>VLOOKUP(B68,'Player Data'!$A1:$AE734,19,FALSE)*$Q68*IFERROR((VLOOKUP(P68,Settings!$E$28:$F$33,2,FALSE)+1),1)</f>
        <v>1.9102999126499483</v>
      </c>
      <c r="AF68" s="40">
        <f>VLOOKUP(B68,'Player Data'!$A1:$AE734,20,FALSE)*$Q68</f>
        <v>0</v>
      </c>
      <c r="AG68" s="40">
        <f>VLOOKUP(B68,'Player Data'!$A1:$AE734,21,FALSE)*$Q68</f>
        <v>0</v>
      </c>
      <c r="AH68" s="41">
        <f>VLOOKUP(B68,'Player Data'!$A1:$AE734,22,FALSE)</f>
        <v>0</v>
      </c>
      <c r="AI68" s="38"/>
      <c r="AJ68" s="42"/>
      <c r="AK68" s="40"/>
      <c r="AL68" s="40"/>
      <c r="AM68" s="40"/>
      <c r="AN68" s="40"/>
      <c r="AO68" s="40"/>
      <c r="AP68" s="40"/>
      <c r="AQ68" s="43"/>
      <c r="AR68" s="44"/>
      <c r="AS68" s="38"/>
    </row>
    <row r="69" spans="1:45" ht="21.2" customHeight="1">
      <c r="A69" s="181">
        <f t="shared" si="7"/>
        <v>68</v>
      </c>
      <c r="B69" s="8" t="s">
        <v>130</v>
      </c>
      <c r="C69" s="31" t="s">
        <v>104</v>
      </c>
      <c r="D69" s="32" t="str">
        <f>VLOOKUP(B69,'Player Data'!A1:D734,4,FALSE)</f>
        <v>G</v>
      </c>
      <c r="E69" s="50">
        <f>VLOOKUP(B69,G!A1:D75,3,FALSE)</f>
        <v>2</v>
      </c>
      <c r="F69" s="34" t="str">
        <f>VLOOKUP(B69,'Player Data'!A1:B734,2,FALSE)</f>
        <v>NYR</v>
      </c>
      <c r="G69" s="9">
        <f>VLOOKUP(B69,'Player Data'!A1:D734,3,FALSE)</f>
        <v>27</v>
      </c>
      <c r="H69" s="35">
        <f>IFERROR(VLOOKUP(B69,ADP!A1:G731,7,FALSE)/1000000,VLOOKUP(B69,ADP!A1:G731,7,FALSE))</f>
        <v>5.6666670000000003</v>
      </c>
      <c r="I69" s="36">
        <f>IF(Settings!$E$15="POINTS",(AJ69*Settings!$B$29)+(AK69*Settings!$B$21)+(AL69*Settings!$B$22)+(AN69*Settings!$B$24)+(AO69*Settings!$B$25)+(AP69*Settings!$B$27)+(AM69*Settings!$B$23),VLOOKUP(B69,'Standard Deviations'!A1:C731,3,FALSE))</f>
        <v>3.464178384051916</v>
      </c>
      <c r="J69" s="37">
        <f t="shared" si="8"/>
        <v>6.1860328286641356E-2</v>
      </c>
      <c r="K69" s="183">
        <f>VLOOKUP(B69,G!A1:F75,6,FALSE)</f>
        <v>1.7599493328616245</v>
      </c>
      <c r="L69" s="36">
        <f t="shared" si="9"/>
        <v>0.31057927576503513</v>
      </c>
      <c r="M69" s="38">
        <f>IF(Settings!$E$9="YAHOO",VLOOKUP(B69,ADP!A1:E731,2,FALSE),IF(Settings!$E$9="ESPN",VLOOKUP(B69,ADP!A1:E731,3,FALSE),IF(Settings!$E$9="FANTRAX",VLOOKUP(B69,ADP!A1:E731,4,FALSE),VLOOKUP(B69,ADP!A1:E731,5,FALSE))))</f>
        <v>51.33</v>
      </c>
      <c r="N69" s="38">
        <f t="shared" si="10"/>
        <v>-16.670000000000002</v>
      </c>
      <c r="O69" s="38"/>
      <c r="P69" s="39" t="str">
        <f>IF(Settings!$E$27="ON",_xlfn.XLOOKUP(B69,ADP!A2:A731,ADP!H2:H731)," ")</f>
        <v>+</v>
      </c>
      <c r="Q69" s="40"/>
      <c r="R69" s="51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1"/>
      <c r="AI69" s="38"/>
      <c r="AJ69" s="42">
        <f>VLOOKUP(B69,'Player Data'!$A1:$AE734,24,FALSE)</f>
        <v>56</v>
      </c>
      <c r="AK69" s="40">
        <f>VLOOKUP(B69,'Player Data'!$A1:$AE734,25,FALSE)*$AJ69*IFERROR((VLOOKUP(P69,Settings!$E$28:$F$33,2,FALSE)+1),1)</f>
        <v>36.177237554253487</v>
      </c>
      <c r="AL69" s="40">
        <f>AJ69-AK69-AM69</f>
        <v>12.822762445746513</v>
      </c>
      <c r="AM69" s="40">
        <f>VLOOKUP(B69,'Player Data'!$A1:$AE734,27,FALSE)*$AJ69</f>
        <v>7</v>
      </c>
      <c r="AN69" s="40">
        <f>VLOOKUP(B69,'Player Data'!$A1:$AE734,28,FALSE)*AJ69</f>
        <v>4.6618403945318798</v>
      </c>
      <c r="AO69" s="40">
        <f>VLOOKUP(B69,'Player Data'!$A1:$AE734,29,FALSE)*$AJ69*IFERROR((VLOOKUP(P69,Settings!$E$28:$F$33,2,FALSE)/4)+1,1)</f>
        <v>1596.8696813957674</v>
      </c>
      <c r="AP69" s="40">
        <f>VLOOKUP(B69,'Player Data'!$A1:$AE734,31,FALSE)*$AJ69*(IFERROR(1-(VLOOKUP(P69,Settings!$E$28:$F$33,2,FALSE)/4),1))</f>
        <v>135.75487709947339</v>
      </c>
      <c r="AQ69" s="43">
        <f>1-(AP69/(AO69+AP69))</f>
        <v>0.92164783972739339</v>
      </c>
      <c r="AR69" s="44">
        <f>AP69/AJ69</f>
        <v>2.4241942339191676</v>
      </c>
      <c r="AS69" s="38"/>
    </row>
    <row r="70" spans="1:45" ht="21.2" customHeight="1">
      <c r="A70" s="181">
        <f t="shared" si="7"/>
        <v>69</v>
      </c>
      <c r="B70" s="8" t="s">
        <v>142</v>
      </c>
      <c r="C70" s="31" t="s">
        <v>104</v>
      </c>
      <c r="D70" s="32" t="str">
        <f>VLOOKUP(B70,'Player Data'!A1:D734,4,FALSE)</f>
        <v>G</v>
      </c>
      <c r="E70" s="50">
        <f>VLOOKUP(B70,G!A1:D75,3,FALSE)</f>
        <v>3</v>
      </c>
      <c r="F70" s="34" t="str">
        <f>VLOOKUP(B70,'Player Data'!A1:B734,2,FALSE)</f>
        <v>WPG</v>
      </c>
      <c r="G70" s="9">
        <f>VLOOKUP(B70,'Player Data'!A1:D734,3,FALSE)</f>
        <v>30</v>
      </c>
      <c r="H70" s="35">
        <f>IFERROR(VLOOKUP(B70,ADP!A1:G731,7,FALSE)/1000000,VLOOKUP(B70,ADP!A1:G731,7,FALSE))</f>
        <v>6.1666660000000002</v>
      </c>
      <c r="I70" s="36">
        <f>IF(Settings!$E$15="POINTS",(AJ70*Settings!$B$29)+(AK70*Settings!$B$21)+(AL70*Settings!$B$22)+(AN70*Settings!$B$24)+(AO70*Settings!$B$25)+(AP70*Settings!$B$27)+(AM70*Settings!$B$23),VLOOKUP(B70,'Standard Deviations'!A1:C731,3,FALSE))</f>
        <v>3.3844555754589498</v>
      </c>
      <c r="J70" s="37">
        <f t="shared" si="8"/>
        <v>5.4587993152563706E-2</v>
      </c>
      <c r="K70" s="183">
        <f>VLOOKUP(B70,G!A1:F75,6,FALSE)</f>
        <v>1.6802265242686583</v>
      </c>
      <c r="L70" s="36">
        <f t="shared" si="9"/>
        <v>0.27246919555374949</v>
      </c>
      <c r="M70" s="38">
        <f>IF(Settings!$E$9="YAHOO",VLOOKUP(B70,ADP!A1:E731,2,FALSE),IF(Settings!$E$9="ESPN",VLOOKUP(B70,ADP!A1:E731,3,FALSE),IF(Settings!$E$9="FANTRAX",VLOOKUP(B70,ADP!A1:E731,4,FALSE),VLOOKUP(B70,ADP!A1:E731,5,FALSE))))</f>
        <v>73.819999999999993</v>
      </c>
      <c r="N70" s="38">
        <f t="shared" si="10"/>
        <v>4.8199999999999932</v>
      </c>
      <c r="O70" s="38"/>
      <c r="P70" s="39" t="str">
        <f>IF(Settings!$E$27="ON",_xlfn.XLOOKUP(B70,ADP!A2:A731,ADP!H2:H731)," ")</f>
        <v xml:space="preserve"> </v>
      </c>
      <c r="Q70" s="40"/>
      <c r="R70" s="51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1"/>
      <c r="AI70" s="38"/>
      <c r="AJ70" s="42">
        <f>VLOOKUP(B70,'Player Data'!$A1:$AE734,24,FALSE)</f>
        <v>62</v>
      </c>
      <c r="AK70" s="40">
        <f>VLOOKUP(B70,'Player Data'!$A1:$AE734,25,FALSE)*$AJ70*IFERROR((VLOOKUP(P70,Settings!$E$28:$F$33,2,FALSE)+1),1)</f>
        <v>33.535639160088564</v>
      </c>
      <c r="AL70" s="40">
        <f>AJ70-AK70-AM70</f>
        <v>20.714360839911436</v>
      </c>
      <c r="AM70" s="40">
        <f>VLOOKUP(B70,'Player Data'!$A1:$AE734,27,FALSE)*$AJ70</f>
        <v>7.75</v>
      </c>
      <c r="AN70" s="40">
        <f>VLOOKUP(B70,'Player Data'!$A1:$AE734,28,FALSE)*AJ70</f>
        <v>4.9462610634239139</v>
      </c>
      <c r="AO70" s="40">
        <f>VLOOKUP(B70,'Player Data'!$A1:$AE734,29,FALSE)*$AJ70*IFERROR((VLOOKUP(P70,Settings!$E$28:$F$33,2,FALSE)/4)+1,1)</f>
        <v>1690.5869166896441</v>
      </c>
      <c r="AP70" s="40">
        <f>VLOOKUP(B70,'Player Data'!$A1:$AE734,31,FALSE)*$AJ70*(IFERROR(1-(VLOOKUP(P70,Settings!$E$28:$F$33,2,FALSE)/4),1))</f>
        <v>155.01752534785456</v>
      </c>
      <c r="AQ70" s="43">
        <f>1-(AP70/(AO70+AP70))</f>
        <v>0.91600717801875287</v>
      </c>
      <c r="AR70" s="44">
        <f>AP70/AJ70</f>
        <v>2.5002826669008802</v>
      </c>
      <c r="AS70" s="38"/>
    </row>
    <row r="71" spans="1:45" ht="21.2" customHeight="1">
      <c r="A71" s="181">
        <f t="shared" si="7"/>
        <v>70</v>
      </c>
      <c r="B71" s="8" t="s">
        <v>172</v>
      </c>
      <c r="C71" s="31" t="s">
        <v>104</v>
      </c>
      <c r="D71" s="32" t="str">
        <f>VLOOKUP(B71,'Player Data'!A1:D734,4,FALSE)</f>
        <v>C</v>
      </c>
      <c r="E71" s="33">
        <f>VLOOKUP(B71,'C'!A1:C208,3,FALSE)</f>
        <v>24</v>
      </c>
      <c r="F71" s="34" t="str">
        <f>VLOOKUP(B71,'Player Data'!A1:B734,2,FALSE)</f>
        <v>BUF</v>
      </c>
      <c r="G71" s="9">
        <f>VLOOKUP(B71,'Player Data'!A1:D734,3,FALSE)</f>
        <v>22</v>
      </c>
      <c r="H71" s="35">
        <f>IFERROR(VLOOKUP(B71,ADP!A1:G731,7,FALSE)/1000000,VLOOKUP(B71,ADP!A1:G731,7,FALSE))</f>
        <v>7.1</v>
      </c>
      <c r="I71" s="36">
        <f>IF(Settings!$E$15="POINTS",((R71*Q71)*Settings!$B$12)+(S71*Settings!$B$2)+(T71*Settings!$B$3)+(U71*Settings!$B$4)+(V71*Settings!$B$5)+(X71*Settings!$B$9)+(AA71*Settings!$B$6)+(W71*Settings!$B$8)+(AB71*Settings!$B$7)+(AC71*Settings!$B$14)+(AD71*Settings!$B$15)+(AE71*Settings!$B$16)+(AF71*Settings!$B$17)+(AG71*Settings!$B$18)+(Y71*Settings!$B$10)+(Z71*Settings!$B$11),VLOOKUP(B71,'Standard Deviations'!A1:C731,3,FALSE))</f>
        <v>7.9993564400938268</v>
      </c>
      <c r="J71" s="37">
        <f t="shared" si="8"/>
        <v>9.75531273182174E-2</v>
      </c>
      <c r="K71" s="183">
        <f>IF(Settings!$E$18="C/LW/RW",VLOOKUP(B71,'C'!A1:F208,6,FALSE),VLOOKUP(B71,F!A1:F431,6,FALSE))</f>
        <v>1.6623057158872241</v>
      </c>
      <c r="L71" s="36">
        <f t="shared" si="9"/>
        <v>0.23412756561791889</v>
      </c>
      <c r="M71" s="38">
        <f>IF(Settings!$E$9="YAHOO",VLOOKUP(B71,ADP!A1:E731,2,FALSE),IF(Settings!$E$9="ESPN",VLOOKUP(B71,ADP!A1:E731,3,FALSE),IF(Settings!$E$9="FANTRAX",VLOOKUP(B71,ADP!A1:E731,4,FALSE),VLOOKUP(B71,ADP!A1:E731,5,FALSE))))</f>
        <v>118.7</v>
      </c>
      <c r="N71" s="38">
        <f t="shared" si="10"/>
        <v>48.7</v>
      </c>
      <c r="O71" s="38"/>
      <c r="P71" s="39" t="str">
        <f>IF(Settings!$E$27="ON",_xlfn.XLOOKUP(B71,ADP!A2:A731,ADP!H2:H731)," ")</f>
        <v>+ +</v>
      </c>
      <c r="Q71" s="40">
        <f>IF(Settings!$E$12="YES",VLOOKUP(B71,'Player Data'!A1:E734,5,FALSE),82)</f>
        <v>82</v>
      </c>
      <c r="R71" s="38">
        <f>VLOOKUP(B71,'Player Data'!$A1:$AE734,6,FALSE)</f>
        <v>18.9416748033175</v>
      </c>
      <c r="S71" s="40">
        <f>VLOOKUP(B71,'Player Data'!$A1:$AE734,7,FALSE)*$Q71*IFERROR((VLOOKUP(P71,Settings!$E$28:$F$33,2,FALSE)+1),1)</f>
        <v>31.327545359561221</v>
      </c>
      <c r="T71" s="40">
        <f>VLOOKUP(B71,'Player Data'!$A1:$AE734,8,FALSE)*$Q71*IFERROR((VLOOKUP(P71,Settings!$E$28:$F$33,2,FALSE)+1),1)</f>
        <v>45.233017905868408</v>
      </c>
      <c r="U71" s="40">
        <f>SUM(S71:T71)</f>
        <v>76.560563265429636</v>
      </c>
      <c r="V71" s="40">
        <f>VLOOKUP(B71,'Player Data'!$A1:$AE734,10,FALSE)*$Q71*IFERROR(((VLOOKUP(P71,Settings!$E$28:$F$33,2,FALSE)/2)+1),1)</f>
        <v>239.92057660811247</v>
      </c>
      <c r="W71" s="40">
        <f>VLOOKUP(B71,'Player Data'!$A1:$AE734,11,FALSE)*$Q71*IFERROR((VLOOKUP(P71,Settings!$E$28:$F$33,2,FALSE)+1),1)</f>
        <v>7.3559624305731131</v>
      </c>
      <c r="X71" s="40">
        <f>VLOOKUP(B71,'Player Data'!$A1:$AE734,12,FALSE)*$Q71*IFERROR((VLOOKUP(P71,Settings!$E$28:$F$33,2,FALSE)+1),1)</f>
        <v>24.226816808390442</v>
      </c>
      <c r="Y71" s="40">
        <f>VLOOKUP(B71,'Player Data'!$A1:$AE734,13,FALSE)*$Q71</f>
        <v>0.85666393649281125</v>
      </c>
      <c r="Z71" s="40">
        <f>VLOOKUP(B71,'Player Data'!$A1:$AE734,14,FALSE)*$Q71</f>
        <v>2.150920676623822</v>
      </c>
      <c r="AA71" s="40">
        <f>VLOOKUP(B71,'Player Data'!$A1:$AE734,15,FALSE)*$Q71</f>
        <v>32.823141023574003</v>
      </c>
      <c r="AB71" s="40">
        <f>VLOOKUP(B71,'Player Data'!$A1:$AE734,16,FALSE)*$Q71</f>
        <v>59.653610324378896</v>
      </c>
      <c r="AC71" s="40">
        <f>VLOOKUP(B71,'Player Data'!$A1:$AE734,17,FALSE)*$Q71*IFERROR((VLOOKUP(P71,Settings!$E$28:$F$33,2,FALSE)+1),1)</f>
        <v>-2.8680389525892438</v>
      </c>
      <c r="AD71" s="40">
        <f>VLOOKUP(B71,'Player Data'!$A1:$AE734,18,FALSE)*$Q71</f>
        <v>45.024964433190803</v>
      </c>
      <c r="AE71" s="40">
        <f>VLOOKUP(B71,'Player Data'!$A1:$AE734,19,FALSE)*$Q71*IFERROR((VLOOKUP(P71,Settings!$E$28:$F$33,2,FALSE)+1),1)</f>
        <v>4.0105227996211648</v>
      </c>
      <c r="AF71" s="40">
        <f>VLOOKUP(B71,'Player Data'!$A1:$AE734,20,FALSE)*$Q71</f>
        <v>592.98141230957287</v>
      </c>
      <c r="AG71" s="40">
        <f>VLOOKUP(B71,'Player Data'!$A1:$AE734,21,FALSE)*$Q71</f>
        <v>664.78819271539078</v>
      </c>
      <c r="AH71" s="41">
        <f>VLOOKUP(B71,'Player Data'!$A1:$AE734,22,FALSE)</f>
        <v>0.47145471630140401</v>
      </c>
      <c r="AI71" s="38"/>
      <c r="AJ71" s="40"/>
      <c r="AK71" s="40"/>
      <c r="AL71" s="40"/>
      <c r="AM71" s="40"/>
      <c r="AN71" s="40"/>
      <c r="AO71" s="40"/>
      <c r="AP71" s="40"/>
      <c r="AQ71" s="43"/>
      <c r="AR71" s="44"/>
      <c r="AS71" s="38"/>
    </row>
    <row r="72" spans="1:45" ht="21.2" customHeight="1">
      <c r="A72" s="181">
        <f t="shared" si="7"/>
        <v>71</v>
      </c>
      <c r="B72" s="8" t="s">
        <v>165</v>
      </c>
      <c r="C72" s="31" t="s">
        <v>104</v>
      </c>
      <c r="D72" s="32" t="str">
        <f>VLOOKUP(B72,'Player Data'!A1:D734,4,FALSE)</f>
        <v>D</v>
      </c>
      <c r="E72" s="47">
        <f>VLOOKUP(B72,D!A1:C229,3,FALSE)</f>
        <v>20</v>
      </c>
      <c r="F72" s="34" t="str">
        <f>VLOOKUP(B72,'Player Data'!A1:B734,2,FALSE)</f>
        <v>CAR</v>
      </c>
      <c r="G72" s="9">
        <f>VLOOKUP(B72,'Player Data'!A1:D734,3,FALSE)</f>
        <v>38</v>
      </c>
      <c r="H72" s="35">
        <f>IFERROR(VLOOKUP(B72,ADP!A1:G731,7,FALSE)/1000000,VLOOKUP(B72,ADP!A1:G731,7,FALSE))</f>
        <v>5.28</v>
      </c>
      <c r="I72" s="36">
        <f>IF(Settings!$E$15="POINTS",((R72*Q72)*Settings!$B$12)+(S72*Settings!$B$2)+(T72*Settings!$B$3)+(U72*Settings!$B$4)+(V72*Settings!$B$5)+(X72*Settings!$B$9)+(AA72*Settings!$B$6)+(W72*Settings!$B$8)+(AB72*Settings!$B$7)+(AC72*Settings!$B$14)+(AD72*Settings!$B$15)+(AE72*Settings!$B$16)+(AF72*Settings!$B$17)+(AG72*Settings!$B$18)+(U72*Settings!$B$13)+(Y72*Settings!$B$10)+(Z72*Settings!$B$11),VLOOKUP(B72,'Standard Deviations'!A1:C731,3,FALSE))</f>
        <v>3.5395878426656182</v>
      </c>
      <c r="J72" s="37">
        <f t="shared" si="8"/>
        <v>4.3165705398361197E-2</v>
      </c>
      <c r="K72" s="183">
        <f>VLOOKUP(B72,D!A1:F229,6,FALSE)</f>
        <v>1.5978472990313075</v>
      </c>
      <c r="L72" s="36">
        <f t="shared" si="9"/>
        <v>0.30262259451350521</v>
      </c>
      <c r="M72" s="38">
        <f>IF(Settings!$E$9="YAHOO",VLOOKUP(B72,ADP!A1:E731,2,FALSE),IF(Settings!$E$9="ESPN",VLOOKUP(B72,ADP!A1:E731,3,FALSE),IF(Settings!$E$9="FANTRAX",VLOOKUP(B72,ADP!A1:E731,4,FALSE),VLOOKUP(B72,ADP!A1:E731,5,FALSE))))</f>
        <v>73.680000000000007</v>
      </c>
      <c r="N72" s="38">
        <f t="shared" si="10"/>
        <v>2.6800000000000068</v>
      </c>
      <c r="O72" s="38"/>
      <c r="P72" s="39" t="str">
        <f>IF(Settings!$E$27="ON",_xlfn.XLOOKUP(B72,ADP!A2:A731,ADP!H2:H731)," ")</f>
        <v>+</v>
      </c>
      <c r="Q72" s="40">
        <f>IF(Settings!$E$12="YES",VLOOKUP(B72,'Player Data'!A1:E734,5,FALSE),82)</f>
        <v>82</v>
      </c>
      <c r="R72" s="38">
        <f>VLOOKUP(B72,'Player Data'!$A1:$AE734,6,FALSE)</f>
        <v>21.3844034327164</v>
      </c>
      <c r="S72" s="40">
        <f>VLOOKUP(B72,'Player Data'!$A1:$AE734,7,FALSE)*$Q72*IFERROR((VLOOKUP(P72,Settings!$E$28:$F$33,2,FALSE)+1),1)</f>
        <v>11.215199012069457</v>
      </c>
      <c r="T72" s="40">
        <f>VLOOKUP(B72,'Player Data'!$A1:$AE734,8,FALSE)*$Q72*IFERROR((VLOOKUP(P72,Settings!$E$28:$F$33,2,FALSE)+1),1)</f>
        <v>38.025252129072584</v>
      </c>
      <c r="U72" s="40">
        <f>SUM(S72:T72)</f>
        <v>49.240451141142039</v>
      </c>
      <c r="V72" s="40">
        <f>VLOOKUP(B72,'Player Data'!$A1:$AE734,10,FALSE)*$Q72*IFERROR(((VLOOKUP(P72,Settings!$E$28:$F$33,2,FALSE)/2)+1),1)</f>
        <v>214.27537808291274</v>
      </c>
      <c r="W72" s="40">
        <f>VLOOKUP(B72,'Player Data'!$A1:$AE734,11,FALSE)*$Q72*IFERROR((VLOOKUP(P72,Settings!$E$28:$F$33,2,FALSE)+1),1)</f>
        <v>3.9584567478088508</v>
      </c>
      <c r="X72" s="40">
        <f>VLOOKUP(B72,'Player Data'!$A1:$AE734,12,FALSE)*$Q72*IFERROR((VLOOKUP(P72,Settings!$E$28:$F$33,2,FALSE)+1),1)</f>
        <v>20.491906325420807</v>
      </c>
      <c r="Y72" s="40">
        <f>VLOOKUP(B72,'Player Data'!$A1:$AE734,13,FALSE)*$Q72</f>
        <v>-5.5440533333469176E-2</v>
      </c>
      <c r="Z72" s="40">
        <f>VLOOKUP(B72,'Player Data'!$A1:$AE734,14,FALSE)*$Q72</f>
        <v>-2.1695634051590924E-2</v>
      </c>
      <c r="AA72" s="40">
        <f>VLOOKUP(B72,'Player Data'!$A1:$AE734,15,FALSE)*$Q72</f>
        <v>97.986296343101714</v>
      </c>
      <c r="AB72" s="40">
        <f>VLOOKUP(B72,'Player Data'!$A1:$AE734,16,FALSE)*$Q72</f>
        <v>53.993058980901033</v>
      </c>
      <c r="AC72" s="40">
        <f>VLOOKUP(B72,'Player Data'!$A1:$AE734,17,FALSE)*$Q72*IFERROR((VLOOKUP(P72,Settings!$E$28:$F$33,2,FALSE)+1),1)</f>
        <v>8.6968926563444526</v>
      </c>
      <c r="AD72" s="40">
        <f>VLOOKUP(B72,'Player Data'!$A1:$AE734,18,FALSE)*$Q72</f>
        <v>39.96309004146314</v>
      </c>
      <c r="AE72" s="40">
        <f>VLOOKUP(B72,'Player Data'!$A1:$AE734,19,FALSE)*$Q72*IFERROR((VLOOKUP(P72,Settings!$E$28:$F$33,2,FALSE)+1),1)</f>
        <v>2.0122578300623215</v>
      </c>
      <c r="AF72" s="40">
        <f>VLOOKUP(B72,'Player Data'!$A1:$AE734,20,FALSE)*$Q72</f>
        <v>0.33478693468991616</v>
      </c>
      <c r="AG72" s="40">
        <f>VLOOKUP(B72,'Player Data'!$A1:$AE734,21,FALSE)*$Q72</f>
        <v>0.46408936700471187</v>
      </c>
      <c r="AH72" s="41">
        <f>VLOOKUP(B72,'Player Data'!$A1:$AE734,22,FALSE)</f>
        <v>0.419072306913779</v>
      </c>
      <c r="AI72" s="38"/>
      <c r="AJ72" s="42"/>
      <c r="AK72" s="40"/>
      <c r="AL72" s="40"/>
      <c r="AM72" s="40"/>
      <c r="AN72" s="40"/>
      <c r="AO72" s="40"/>
      <c r="AP72" s="40"/>
      <c r="AQ72" s="43"/>
      <c r="AR72" s="44"/>
      <c r="AS72" s="42"/>
    </row>
    <row r="73" spans="1:45" ht="21.2" customHeight="1">
      <c r="A73" s="181">
        <f t="shared" si="7"/>
        <v>72</v>
      </c>
      <c r="B73" s="8" t="s">
        <v>198</v>
      </c>
      <c r="C73" s="31" t="s">
        <v>104</v>
      </c>
      <c r="D73" s="32" t="str">
        <f>VLOOKUP(B73,'Player Data'!A1:D734,4,FALSE)</f>
        <v>C</v>
      </c>
      <c r="E73" s="33">
        <f>VLOOKUP(B73,'C'!A1:C208,3,FALSE)</f>
        <v>25</v>
      </c>
      <c r="F73" s="34" t="str">
        <f>VLOOKUP(B73,'Player Data'!A1:B734,2,FALSE)</f>
        <v>WPG</v>
      </c>
      <c r="G73" s="9">
        <f>VLOOKUP(B73,'Player Data'!A1:D734,3,FALSE)</f>
        <v>30</v>
      </c>
      <c r="H73" s="35">
        <f>IFERROR(VLOOKUP(B73,ADP!A1:G731,7,FALSE)/1000000,VLOOKUP(B73,ADP!A1:G731,7,FALSE))</f>
        <v>6.125</v>
      </c>
      <c r="I73" s="36">
        <f>IF(Settings!$E$15="POINTS",((R73*Q73)*Settings!$B$12)+(S73*Settings!$B$2)+(T73*Settings!$B$3)+(U73*Settings!$B$4)+(V73*Settings!$B$5)+(X73*Settings!$B$9)+(AA73*Settings!$B$6)+(W73*Settings!$B$8)+(AB73*Settings!$B$7)+(AC73*Settings!$B$14)+(AD73*Settings!$B$15)+(AE73*Settings!$B$16)+(AF73*Settings!$B$17)+(AG73*Settings!$B$18)+(Y73*Settings!$B$10)+(Z73*Settings!$B$11),VLOOKUP(B73,'Standard Deviations'!A1:C731,3,FALSE))</f>
        <v>7.8859465772544128</v>
      </c>
      <c r="J73" s="37">
        <f t="shared" si="8"/>
        <v>9.6170080210419673E-2</v>
      </c>
      <c r="K73" s="183">
        <f>IF(Settings!$E$18="C/LW/RW",VLOOKUP(B73,'C'!A1:F208,6,FALSE),VLOOKUP(B73,F!A1:F431,6,FALSE))</f>
        <v>1.5488958530478101</v>
      </c>
      <c r="L73" s="36">
        <f t="shared" si="9"/>
        <v>0.25288095559964247</v>
      </c>
      <c r="M73" s="38">
        <f>IF(Settings!$E$9="YAHOO",VLOOKUP(B73,ADP!A1:E731,2,FALSE),IF(Settings!$E$9="ESPN",VLOOKUP(B73,ADP!A1:E731,3,FALSE),IF(Settings!$E$9="FANTRAX",VLOOKUP(B73,ADP!A1:E731,4,FALSE),VLOOKUP(B73,ADP!A1:E731,5,FALSE))))</f>
        <v>95.68</v>
      </c>
      <c r="N73" s="38">
        <f t="shared" si="10"/>
        <v>23.680000000000007</v>
      </c>
      <c r="O73" s="38"/>
      <c r="P73" s="39" t="str">
        <f>IF(Settings!$E$27="ON",_xlfn.XLOOKUP(B73,ADP!A2:A731,ADP!H2:H731)," ")</f>
        <v>+</v>
      </c>
      <c r="Q73" s="40">
        <f>IF(Settings!$E$12="YES",VLOOKUP(B73,'Player Data'!A1:E734,5,FALSE),82)</f>
        <v>82</v>
      </c>
      <c r="R73" s="38">
        <f>VLOOKUP(B73,'Player Data'!$A1:$AE734,6,FALSE)</f>
        <v>20.337313943889701</v>
      </c>
      <c r="S73" s="40">
        <f>VLOOKUP(B73,'Player Data'!$A1:$AE734,7,FALSE)*$Q73*IFERROR((VLOOKUP(P73,Settings!$E$28:$F$33,2,FALSE)+1),1)</f>
        <v>38.547933240062939</v>
      </c>
      <c r="T73" s="40">
        <f>VLOOKUP(B73,'Player Data'!$A1:$AE734,8,FALSE)*$Q73*IFERROR((VLOOKUP(P73,Settings!$E$28:$F$33,2,FALSE)+1),1)</f>
        <v>40.41178780216206</v>
      </c>
      <c r="U73" s="40">
        <f>SUM(S73:T73)</f>
        <v>78.959721042224999</v>
      </c>
      <c r="V73" s="40">
        <f>VLOOKUP(B73,'Player Data'!$A1:$AE734,10,FALSE)*$Q73*IFERROR(((VLOOKUP(P73,Settings!$E$28:$F$33,2,FALSE)/2)+1),1)</f>
        <v>209.20933278206277</v>
      </c>
      <c r="W73" s="40">
        <f>VLOOKUP(B73,'Player Data'!$A1:$AE734,11,FALSE)*$Q73*IFERROR((VLOOKUP(P73,Settings!$E$28:$F$33,2,FALSE)+1),1)</f>
        <v>10.470482993892535</v>
      </c>
      <c r="X73" s="40">
        <f>VLOOKUP(B73,'Player Data'!$A1:$AE734,12,FALSE)*$Q73*IFERROR((VLOOKUP(P73,Settings!$E$28:$F$33,2,FALSE)+1),1)</f>
        <v>23.76852719757024</v>
      </c>
      <c r="Y73" s="40">
        <f>VLOOKUP(B73,'Player Data'!$A1:$AE734,13,FALSE)*$Q73</f>
        <v>3.5456593975022141E-2</v>
      </c>
      <c r="Z73" s="40">
        <f>VLOOKUP(B73,'Player Data'!$A1:$AE734,14,FALSE)*$Q73</f>
        <v>6.2904385451706887E-2</v>
      </c>
      <c r="AA73" s="40">
        <f>VLOOKUP(B73,'Player Data'!$A1:$AE734,15,FALSE)*$Q73</f>
        <v>42.975023936048089</v>
      </c>
      <c r="AB73" s="40">
        <f>VLOOKUP(B73,'Player Data'!$A1:$AE734,16,FALSE)*$Q73</f>
        <v>48.961473010560503</v>
      </c>
      <c r="AC73" s="40">
        <f>VLOOKUP(B73,'Player Data'!$A1:$AE734,17,FALSE)*$Q73*IFERROR((VLOOKUP(P73,Settings!$E$28:$F$33,2,FALSE)+1),1)</f>
        <v>1.0506244065672139</v>
      </c>
      <c r="AD73" s="40">
        <f>VLOOKUP(B73,'Player Data'!$A1:$AE734,18,FALSE)*$Q73</f>
        <v>25.785486481632134</v>
      </c>
      <c r="AE73" s="40">
        <f>VLOOKUP(B73,'Player Data'!$A1:$AE734,19,FALSE)*$Q73*IFERROR((VLOOKUP(P73,Settings!$E$28:$F$33,2,FALSE)+1),1)</f>
        <v>6.0136066123988314</v>
      </c>
      <c r="AF73" s="40">
        <f>VLOOKUP(B73,'Player Data'!$A1:$AE734,20,FALSE)*$Q73</f>
        <v>572.35329768515169</v>
      </c>
      <c r="AG73" s="40">
        <f>VLOOKUP(B73,'Player Data'!$A1:$AE734,21,FALSE)*$Q73</f>
        <v>589.13695295837044</v>
      </c>
      <c r="AH73" s="41">
        <f>VLOOKUP(B73,'Player Data'!$A1:$AE734,22,FALSE)</f>
        <v>0.49277494784656201</v>
      </c>
      <c r="AI73" s="38"/>
      <c r="AJ73" s="42"/>
      <c r="AK73" s="40"/>
      <c r="AL73" s="40"/>
      <c r="AM73" s="40"/>
      <c r="AN73" s="40"/>
      <c r="AO73" s="40"/>
      <c r="AP73" s="40"/>
      <c r="AQ73" s="43"/>
      <c r="AR73" s="44"/>
      <c r="AS73" s="38"/>
    </row>
    <row r="74" spans="1:45" ht="21.2" customHeight="1">
      <c r="A74" s="181">
        <f t="shared" si="7"/>
        <v>73</v>
      </c>
      <c r="B74" s="8" t="s">
        <v>204</v>
      </c>
      <c r="C74" s="31" t="s">
        <v>104</v>
      </c>
      <c r="D74" s="32" t="str">
        <f>VLOOKUP(B74,'Player Data'!A1:D734,4,FALSE)</f>
        <v>C</v>
      </c>
      <c r="E74" s="33">
        <f>VLOOKUP(B74,'C'!A1:C208,3,FALSE)</f>
        <v>26</v>
      </c>
      <c r="F74" s="34" t="str">
        <f>VLOOKUP(B74,'Player Data'!A1:B734,2,FALSE)</f>
        <v>CHI</v>
      </c>
      <c r="G74" s="9">
        <f>VLOOKUP(B74,'Player Data'!A1:D734,3,FALSE)</f>
        <v>18</v>
      </c>
      <c r="H74" s="35">
        <f>IFERROR(VLOOKUP(B74,ADP!A1:G731,7,FALSE)/1000000,VLOOKUP(B74,ADP!A1:G731,7,FALSE))</f>
        <v>0</v>
      </c>
      <c r="I74" s="36">
        <f>IF(Settings!$E$15="POINTS",((R74*Q74)*Settings!$B$12)+(S74*Settings!$B$2)+(T74*Settings!$B$3)+(U74*Settings!$B$4)+(V74*Settings!$B$5)+(X74*Settings!$B$9)+(AA74*Settings!$B$6)+(W74*Settings!$B$8)+(AB74*Settings!$B$7)+(AC74*Settings!$B$14)+(AD74*Settings!$B$15)+(AE74*Settings!$B$16)+(AF74*Settings!$B$17)+(AG74*Settings!$B$18)+(Y74*Settings!$B$10)+(Z74*Settings!$B$11),VLOOKUP(B74,'Standard Deviations'!A1:C731,3,FALSE))</f>
        <v>7.8748236583444715</v>
      </c>
      <c r="J74" s="37">
        <f t="shared" si="8"/>
        <v>9.603443485785941E-2</v>
      </c>
      <c r="K74" s="183">
        <f>IF(Settings!$E$18="C/LW/RW",VLOOKUP(B74,'C'!A1:F208,6,FALSE),VLOOKUP(B74,F!A1:F431,6,FALSE))</f>
        <v>1.5377729341378688</v>
      </c>
      <c r="L74" s="49" t="str">
        <f t="shared" si="9"/>
        <v>N/A</v>
      </c>
      <c r="M74" s="38">
        <f>IF(Settings!$E$9="YAHOO",VLOOKUP(B74,ADP!A1:E731,2,FALSE),IF(Settings!$E$9="ESPN",VLOOKUP(B74,ADP!A1:E731,3,FALSE),IF(Settings!$E$9="FANTRAX",VLOOKUP(B74,ADP!A1:E731,4,FALSE),VLOOKUP(B74,ADP!A1:E731,5,FALSE))))</f>
        <v>50.17</v>
      </c>
      <c r="N74" s="38">
        <f t="shared" si="10"/>
        <v>-22.83</v>
      </c>
      <c r="O74" s="38"/>
      <c r="P74" s="39" t="str">
        <f>IF(Settings!$E$27="ON",_xlfn.XLOOKUP(B74,ADP!A2:A731,ADP!H2:H731)," ")</f>
        <v>-</v>
      </c>
      <c r="Q74" s="40">
        <f>IF(Settings!$E$12="YES",VLOOKUP(B74,'Player Data'!A1:E734,5,FALSE),82)</f>
        <v>82</v>
      </c>
      <c r="R74" s="38">
        <f>VLOOKUP(B74,'Player Data'!$A1:$AE734,6,FALSE)</f>
        <v>19</v>
      </c>
      <c r="S74" s="40">
        <f>VLOOKUP(B74,'Player Data'!$A1:$AE734,7,FALSE)*$Q74*IFERROR((VLOOKUP(P74,Settings!$E$28:$F$33,2,FALSE)+1),1)</f>
        <v>32.870134199153632</v>
      </c>
      <c r="T74" s="40">
        <f>VLOOKUP(B74,'Player Data'!$A1:$AE734,8,FALSE)*$Q74*IFERROR((VLOOKUP(P74,Settings!$E$28:$F$33,2,FALSE)+1),1)</f>
        <v>44.963280023981909</v>
      </c>
      <c r="U74" s="40">
        <f>SUM(S74:T74)</f>
        <v>77.833414223135549</v>
      </c>
      <c r="V74" s="40">
        <f>VLOOKUP(B74,'Player Data'!$A1:$AE734,10,FALSE)*$Q74*IFERROR(((VLOOKUP(P74,Settings!$E$28:$F$33,2,FALSE)/2)+1),1)</f>
        <v>219.98014733433854</v>
      </c>
      <c r="W74" s="40">
        <f>VLOOKUP(B74,'Player Data'!$A1:$AE734,11,FALSE)*$Q74*IFERROR((VLOOKUP(P74,Settings!$E$28:$F$33,2,FALSE)+1),1)</f>
        <v>10.339666117505642</v>
      </c>
      <c r="X74" s="40">
        <f>VLOOKUP(B74,'Player Data'!$A1:$AE734,12,FALSE)*$Q74*IFERROR((VLOOKUP(P74,Settings!$E$28:$F$33,2,FALSE)+1),1)</f>
        <v>24.483365689254242</v>
      </c>
      <c r="Y74" s="40">
        <f>VLOOKUP(B74,'Player Data'!$A1:$AE734,13,FALSE)*$Q74</f>
        <v>0</v>
      </c>
      <c r="Z74" s="40">
        <f>VLOOKUP(B74,'Player Data'!$A1:$AE734,14,FALSE)*$Q74</f>
        <v>0</v>
      </c>
      <c r="AA74" s="40">
        <f>VLOOKUP(B74,'Player Data'!$A1:$AE734,15,FALSE)*$Q74</f>
        <v>37.40000000000002</v>
      </c>
      <c r="AB74" s="40">
        <f>VLOOKUP(B74,'Player Data'!$A1:$AE734,16,FALSE)*$Q74</f>
        <v>44.999999999999993</v>
      </c>
      <c r="AC74" s="40">
        <f>VLOOKUP(B74,'Player Data'!$A1:$AE734,17,FALSE)*$Q74*IFERROR((VLOOKUP(P74,Settings!$E$28:$F$33,2,FALSE)+1),1)</f>
        <v>0.61749999999999972</v>
      </c>
      <c r="AD74" s="40">
        <f>VLOOKUP(B74,'Player Data'!$A1:$AE734,18,FALSE)*$Q74</f>
        <v>23.999999999999975</v>
      </c>
      <c r="AE74" s="40">
        <f>VLOOKUP(B74,'Player Data'!$A1:$AE734,19,FALSE)*$Q74*IFERROR((VLOOKUP(P74,Settings!$E$28:$F$33,2,FALSE)+1),1)</f>
        <v>3.851773338326963</v>
      </c>
      <c r="AF74" s="40">
        <f>VLOOKUP(B74,'Player Data'!$A1:$AE734,20,FALSE)*$Q74</f>
        <v>269.84079370615939</v>
      </c>
      <c r="AG74" s="40">
        <f>VLOOKUP(B74,'Player Data'!$A1:$AE734,21,FALSE)*$Q74</f>
        <v>388.30748362593573</v>
      </c>
      <c r="AH74" s="41">
        <f>VLOOKUP(B74,'Player Data'!$A1:$AE734,22,FALSE)</f>
        <v>0.41</v>
      </c>
      <c r="AI74" s="38"/>
      <c r="AJ74" s="42"/>
      <c r="AK74" s="40"/>
      <c r="AL74" s="40"/>
      <c r="AM74" s="40"/>
      <c r="AN74" s="40"/>
      <c r="AO74" s="40"/>
      <c r="AP74" s="40"/>
      <c r="AQ74" s="43"/>
      <c r="AR74" s="44"/>
      <c r="AS74" s="38"/>
    </row>
    <row r="75" spans="1:45" ht="21.2" customHeight="1">
      <c r="A75" s="181">
        <f t="shared" si="7"/>
        <v>74</v>
      </c>
      <c r="B75" s="8" t="s">
        <v>179</v>
      </c>
      <c r="C75" s="31" t="s">
        <v>104</v>
      </c>
      <c r="D75" s="32" t="str">
        <f>VLOOKUP(B75,'Player Data'!A1:D734,4,FALSE)</f>
        <v>LW</v>
      </c>
      <c r="E75" s="48">
        <f>VLOOKUP(B75,LW!A1:C227,3,FALSE)</f>
        <v>27</v>
      </c>
      <c r="F75" s="34" t="str">
        <f>VLOOKUP(B75,'Player Data'!A1:B734,2,FALSE)</f>
        <v>BOS</v>
      </c>
      <c r="G75" s="9">
        <f>VLOOKUP(B75,'Player Data'!A1:D734,3,FALSE)</f>
        <v>35</v>
      </c>
      <c r="H75" s="35">
        <f>IFERROR(VLOOKUP(B75,ADP!A1:G731,7,FALSE)/1000000,VLOOKUP(B75,ADP!A1:G731,7,FALSE))</f>
        <v>6.125</v>
      </c>
      <c r="I75" s="36">
        <f>IF(Settings!$E$15="POINTS",((R75*Q75)*Settings!$B$12)+(S75*Settings!$B$2)+(T75*Settings!$B$3)+(U75*Settings!$B$4)+(V75*Settings!$B$5)+(X75*Settings!$B$9)+(AA75*Settings!$B$6)+(W75*Settings!$B$8)+(AB75*Settings!$B$7)+(AC75*Settings!$B$14)+(AD75*Settings!$B$15)+(AE75*Settings!$B$16)+(AF75*Settings!$B$17)+(AG75*Settings!$B$18)+(Y75*Settings!$B$10)+(Z75*Settings!$B$11),VLOOKUP(B75,'Standard Deviations'!A1:C731,3,FALSE))</f>
        <v>8.1381961935848466</v>
      </c>
      <c r="J75" s="37">
        <f t="shared" si="8"/>
        <v>9.9246295043717639E-2</v>
      </c>
      <c r="K75" s="183">
        <f>IF(Settings!$E$18="C/LW/RW",VLOOKUP(B75,LW!A1:F227,6,FALSE),VLOOKUP(B75,F!A1:F431,6,FALSE))</f>
        <v>1.4835271494604454</v>
      </c>
      <c r="L75" s="36">
        <f t="shared" si="9"/>
        <v>0.24220851419762374</v>
      </c>
      <c r="M75" s="38">
        <f>IF(Settings!$E$9="YAHOO",VLOOKUP(B75,ADP!A1:E731,2,FALSE),IF(Settings!$E$9="ESPN",VLOOKUP(B75,ADP!A1:E731,3,FALSE),IF(Settings!$E$9="FANTRAX",VLOOKUP(B75,ADP!A1:E731,4,FALSE),VLOOKUP(B75,ADP!A1:E731,5,FALSE))))</f>
        <v>58.89</v>
      </c>
      <c r="N75" s="38">
        <f t="shared" si="10"/>
        <v>-15.11</v>
      </c>
      <c r="O75" s="38"/>
      <c r="P75" s="39" t="str">
        <f>IF(Settings!$E$27="ON",_xlfn.XLOOKUP(B75,ADP!A2:A731,ADP!H2:H731)," ")</f>
        <v xml:space="preserve"> </v>
      </c>
      <c r="Q75" s="40">
        <f>IF(Settings!$E$12="YES",VLOOKUP(B75,'Player Data'!A1:E734,5,FALSE),82)</f>
        <v>82</v>
      </c>
      <c r="R75" s="38">
        <f>VLOOKUP(B75,'Player Data'!$A1:$AE734,6,FALSE)</f>
        <v>18.701640587913499</v>
      </c>
      <c r="S75" s="40">
        <f>VLOOKUP(B75,'Player Data'!$A1:$AE734,7,FALSE)*$Q75*IFERROR((VLOOKUP(P75,Settings!$E$28:$F$33,2,FALSE)+1),1)</f>
        <v>27.36042731536601</v>
      </c>
      <c r="T75" s="40">
        <f>VLOOKUP(B75,'Player Data'!$A1:$AE734,8,FALSE)*$Q75*IFERROR((VLOOKUP(P75,Settings!$E$28:$F$33,2,FALSE)+1),1)</f>
        <v>49.687482900299699</v>
      </c>
      <c r="U75" s="40">
        <f>SUM(S75:T75)</f>
        <v>77.047910215665709</v>
      </c>
      <c r="V75" s="40">
        <f>VLOOKUP(B75,'Player Data'!$A1:$AE734,10,FALSE)*$Q75*IFERROR(((VLOOKUP(P75,Settings!$E$28:$F$33,2,FALSE)/2)+1),1)</f>
        <v>221.81683147333936</v>
      </c>
      <c r="W75" s="40">
        <f>VLOOKUP(B75,'Player Data'!$A1:$AE734,11,FALSE)*$Q75*IFERROR((VLOOKUP(P75,Settings!$E$28:$F$33,2,FALSE)+1),1)</f>
        <v>7.8711032555043943</v>
      </c>
      <c r="X75" s="40">
        <f>VLOOKUP(B75,'Player Data'!$A1:$AE734,12,FALSE)*$Q75*IFERROR((VLOOKUP(P75,Settings!$E$28:$F$33,2,FALSE)+1),1)</f>
        <v>28.998418862808098</v>
      </c>
      <c r="Y75" s="40">
        <f>VLOOKUP(B75,'Player Data'!$A1:$AE734,13,FALSE)*$Q75</f>
        <v>1.0032876292932091</v>
      </c>
      <c r="Z75" s="40">
        <f>VLOOKUP(B75,'Player Data'!$A1:$AE734,14,FALSE)*$Q75</f>
        <v>1.8320042580557998</v>
      </c>
      <c r="AA75" s="40">
        <f>VLOOKUP(B75,'Player Data'!$A1:$AE734,15,FALSE)*$Q75</f>
        <v>25.988073195497996</v>
      </c>
      <c r="AB75" s="40">
        <f>VLOOKUP(B75,'Player Data'!$A1:$AE734,16,FALSE)*$Q75</f>
        <v>90.565769442556814</v>
      </c>
      <c r="AC75" s="40">
        <f>VLOOKUP(B75,'Player Data'!$A1:$AE734,17,FALSE)*$Q75*IFERROR((VLOOKUP(P75,Settings!$E$28:$F$33,2,FALSE)+1),1)</f>
        <v>7.7548674721299067</v>
      </c>
      <c r="AD75" s="40">
        <f>VLOOKUP(B75,'Player Data'!$A1:$AE734,18,FALSE)*$Q75</f>
        <v>72.212825082771033</v>
      </c>
      <c r="AE75" s="40">
        <f>VLOOKUP(B75,'Player Data'!$A1:$AE734,19,FALSE)*$Q75*IFERROR((VLOOKUP(P75,Settings!$E$28:$F$33,2,FALSE)+1),1)</f>
        <v>4.5932773099928239</v>
      </c>
      <c r="AF75" s="40">
        <f>VLOOKUP(B75,'Player Data'!$A1:$AE734,20,FALSE)*$Q75</f>
        <v>21.587151269771127</v>
      </c>
      <c r="AG75" s="40">
        <f>VLOOKUP(B75,'Player Data'!$A1:$AE734,21,FALSE)*$Q75</f>
        <v>39.067437060218225</v>
      </c>
      <c r="AH75" s="41">
        <f>VLOOKUP(B75,'Player Data'!$A1:$AE734,22,FALSE)</f>
        <v>0.355903021752071</v>
      </c>
      <c r="AI75" s="38"/>
      <c r="AJ75" s="42"/>
      <c r="AK75" s="40"/>
      <c r="AL75" s="40"/>
      <c r="AM75" s="40"/>
      <c r="AN75" s="40"/>
      <c r="AO75" s="40"/>
      <c r="AP75" s="40"/>
      <c r="AQ75" s="43"/>
      <c r="AR75" s="44"/>
      <c r="AS75" s="38"/>
    </row>
    <row r="76" spans="1:45" ht="21.2" customHeight="1">
      <c r="A76" s="181">
        <f t="shared" si="7"/>
        <v>75</v>
      </c>
      <c r="B76" s="8" t="s">
        <v>129</v>
      </c>
      <c r="C76" s="31" t="s">
        <v>104</v>
      </c>
      <c r="D76" s="32" t="str">
        <f>VLOOKUP(B76,'Player Data'!A1:D734,4,FALSE)</f>
        <v>G</v>
      </c>
      <c r="E76" s="50">
        <f>VLOOKUP(B76,G!A1:D75,3,FALSE)</f>
        <v>4</v>
      </c>
      <c r="F76" s="34" t="str">
        <f>VLOOKUP(B76,'Player Data'!A1:B734,2,FALSE)</f>
        <v>NYI</v>
      </c>
      <c r="G76" s="9">
        <f>VLOOKUP(B76,'Player Data'!A1:D734,3,FALSE)</f>
        <v>28</v>
      </c>
      <c r="H76" s="35">
        <f>IFERROR(VLOOKUP(B76,ADP!A1:G731,7,FALSE)/1000000,VLOOKUP(B76,ADP!A1:G731,7,FALSE))</f>
        <v>4</v>
      </c>
      <c r="I76" s="36">
        <f>IF(Settings!$E$15="POINTS",(AJ76*Settings!$B$29)+(AK76*Settings!$B$21)+(AL76*Settings!$B$22)+(AN76*Settings!$B$24)+(AO76*Settings!$B$25)+(AP76*Settings!$B$27)+(AM76*Settings!$B$23),VLOOKUP(B76,'Standard Deviations'!A1:C731,3,FALSE))</f>
        <v>3.1640175721886212</v>
      </c>
      <c r="J76" s="37">
        <f t="shared" si="8"/>
        <v>5.2733626203143688E-2</v>
      </c>
      <c r="K76" s="183">
        <f>VLOOKUP(B76,G!A1:F75,6,FALSE)</f>
        <v>1.4597885209983297</v>
      </c>
      <c r="L76" s="36">
        <f t="shared" si="9"/>
        <v>0.36494713024958242</v>
      </c>
      <c r="M76" s="38">
        <f>IF(Settings!$E$9="YAHOO",VLOOKUP(B76,ADP!A1:E731,2,FALSE),IF(Settings!$E$9="ESPN",VLOOKUP(B76,ADP!A1:E731,3,FALSE),IF(Settings!$E$9="FANTRAX",VLOOKUP(B76,ADP!A1:E731,4,FALSE),VLOOKUP(B76,ADP!A1:E731,5,FALSE))))</f>
        <v>65.900000000000006</v>
      </c>
      <c r="N76" s="38">
        <f t="shared" si="10"/>
        <v>-9.0999999999999943</v>
      </c>
      <c r="O76" s="38"/>
      <c r="P76" s="39" t="str">
        <f>IF(Settings!$E$27="ON",_xlfn.XLOOKUP(B76,ADP!A2:A731,ADP!H2:H731)," ")</f>
        <v xml:space="preserve"> </v>
      </c>
      <c r="Q76" s="40"/>
      <c r="R76" s="51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1"/>
      <c r="AI76" s="38"/>
      <c r="AJ76" s="42">
        <f>VLOOKUP(B76,'Player Data'!$A1:$AE734,24,FALSE)</f>
        <v>60</v>
      </c>
      <c r="AK76" s="40">
        <f>VLOOKUP(B76,'Player Data'!$A1:$AE734,25,FALSE)*$AJ76*IFERROR((VLOOKUP(P76,Settings!$E$28:$F$33,2,FALSE)+1),1)</f>
        <v>31.429602707203919</v>
      </c>
      <c r="AL76" s="40">
        <f>AJ76-AK76-AM76</f>
        <v>21.070397292796081</v>
      </c>
      <c r="AM76" s="40">
        <f>VLOOKUP(B76,'Player Data'!$A1:$AE734,27,FALSE)*$AJ76</f>
        <v>7.5</v>
      </c>
      <c r="AN76" s="40">
        <f>VLOOKUP(B76,'Player Data'!$A1:$AE734,28,FALSE)*AJ76</f>
        <v>5.040228552580782</v>
      </c>
      <c r="AO76" s="40">
        <f>VLOOKUP(B76,'Player Data'!$A1:$AE734,29,FALSE)*$AJ76*IFERROR((VLOOKUP(P76,Settings!$E$28:$F$33,2,FALSE)/4)+1,1)</f>
        <v>1695.0673957202998</v>
      </c>
      <c r="AP76" s="40">
        <f>VLOOKUP(B76,'Player Data'!$A1:$AE734,31,FALSE)*$AJ76*(IFERROR(1-(VLOOKUP(P76,Settings!$E$28:$F$33,2,FALSE)/4),1))</f>
        <v>146.6985791547018</v>
      </c>
      <c r="AQ76" s="43">
        <f>1-(AP76/(AO76+AP76))</f>
        <v>0.92034895792628701</v>
      </c>
      <c r="AR76" s="44">
        <f>AP76/AJ76</f>
        <v>2.44497631924503</v>
      </c>
      <c r="AS76" s="38"/>
    </row>
    <row r="77" spans="1:45" ht="21.2" customHeight="1">
      <c r="A77" s="181">
        <f t="shared" si="7"/>
        <v>76</v>
      </c>
      <c r="B77" s="8" t="s">
        <v>192</v>
      </c>
      <c r="C77" s="31" t="s">
        <v>104</v>
      </c>
      <c r="D77" s="32" t="str">
        <f>VLOOKUP(B77,'Player Data'!A1:D734,4,FALSE)</f>
        <v>D</v>
      </c>
      <c r="E77" s="47">
        <f>VLOOKUP(B77,D!A1:C229,3,FALSE)</f>
        <v>21</v>
      </c>
      <c r="F77" s="34" t="str">
        <f>VLOOKUP(B77,'Player Data'!A1:B734,2,FALSE)</f>
        <v>SEA</v>
      </c>
      <c r="G77" s="9">
        <f>VLOOKUP(B77,'Player Data'!A1:D734,3,FALSE)</f>
        <v>26</v>
      </c>
      <c r="H77" s="35">
        <f>IFERROR(VLOOKUP(B77,ADP!A1:G731,7,FALSE)/1000000,VLOOKUP(B77,ADP!A1:G731,7,FALSE))</f>
        <v>7.35</v>
      </c>
      <c r="I77" s="36">
        <f>IF(Settings!$E$15="POINTS",((R77*Q77)*Settings!$B$12)+(S77*Settings!$B$2)+(T77*Settings!$B$3)+(U77*Settings!$B$4)+(V77*Settings!$B$5)+(X77*Settings!$B$9)+(AA77*Settings!$B$6)+(W77*Settings!$B$8)+(AB77*Settings!$B$7)+(AC77*Settings!$B$14)+(AD77*Settings!$B$15)+(AE77*Settings!$B$16)+(AF77*Settings!$B$17)+(AG77*Settings!$B$18)+(U77*Settings!$B$13)+(Y77*Settings!$B$10)+(Z77*Settings!$B$11),VLOOKUP(B77,'Standard Deviations'!A1:C731,3,FALSE))</f>
        <v>3.3848675562621415</v>
      </c>
      <c r="J77" s="37">
        <f t="shared" si="8"/>
        <v>4.1278872637343186E-2</v>
      </c>
      <c r="K77" s="183">
        <f>VLOOKUP(B77,D!A1:F229,6,FALSE)</f>
        <v>1.4431270126278308</v>
      </c>
      <c r="L77" s="36">
        <f t="shared" si="9"/>
        <v>0.19634381124188174</v>
      </c>
      <c r="M77" s="38">
        <f>IF(Settings!$E$9="YAHOO",VLOOKUP(B77,ADP!A1:E731,2,FALSE),IF(Settings!$E$9="ESPN",VLOOKUP(B77,ADP!A1:E731,3,FALSE),IF(Settings!$E$9="FANTRAX",VLOOKUP(B77,ADP!A1:E731,4,FALSE),VLOOKUP(B77,ADP!A1:E731,5,FALSE))))</f>
        <v>101.25</v>
      </c>
      <c r="N77" s="38">
        <f t="shared" si="10"/>
        <v>25.25</v>
      </c>
      <c r="O77" s="38"/>
      <c r="P77" s="39" t="str">
        <f>IF(Settings!$E$27="ON",_xlfn.XLOOKUP(B77,ADP!A2:A731,ADP!H2:H731)," ")</f>
        <v>+</v>
      </c>
      <c r="Q77" s="40">
        <f>IF(Settings!$E$12="YES",VLOOKUP(B77,'Player Data'!A1:E734,5,FALSE),82)</f>
        <v>82</v>
      </c>
      <c r="R77" s="38">
        <f>VLOOKUP(B77,'Player Data'!$A1:$AE734,6,FALSE)</f>
        <v>23.553831382584299</v>
      </c>
      <c r="S77" s="40">
        <f>VLOOKUP(B77,'Player Data'!$A1:$AE734,7,FALSE)*$Q77*IFERROR((VLOOKUP(P77,Settings!$E$28:$F$33,2,FALSE)+1),1)</f>
        <v>12.407027877668824</v>
      </c>
      <c r="T77" s="40">
        <f>VLOOKUP(B77,'Player Data'!$A1:$AE734,8,FALSE)*$Q77*IFERROR((VLOOKUP(P77,Settings!$E$28:$F$33,2,FALSE)+1),1)</f>
        <v>46.107348653350137</v>
      </c>
      <c r="U77" s="40">
        <f>SUM(S77:T77)</f>
        <v>58.514376531018961</v>
      </c>
      <c r="V77" s="40">
        <f>VLOOKUP(B77,'Player Data'!$A1:$AE734,10,FALSE)*$Q77*IFERROR(((VLOOKUP(P77,Settings!$E$28:$F$33,2,FALSE)/2)+1),1)</f>
        <v>159.18700503634693</v>
      </c>
      <c r="W77" s="40">
        <f>VLOOKUP(B77,'Player Data'!$A1:$AE734,11,FALSE)*$Q77*IFERROR((VLOOKUP(P77,Settings!$E$28:$F$33,2,FALSE)+1),1)</f>
        <v>1.702656695712051</v>
      </c>
      <c r="X77" s="40">
        <f>VLOOKUP(B77,'Player Data'!$A1:$AE734,12,FALSE)*$Q77*IFERROR((VLOOKUP(P77,Settings!$E$28:$F$33,2,FALSE)+1),1)</f>
        <v>17.098864531444804</v>
      </c>
      <c r="Y77" s="40">
        <f>VLOOKUP(B77,'Player Data'!$A1:$AE734,13,FALSE)*$Q77</f>
        <v>2.5092529761782608E-2</v>
      </c>
      <c r="Z77" s="40">
        <f>VLOOKUP(B77,'Player Data'!$A1:$AE734,14,FALSE)*$Q77</f>
        <v>0.11490148360897419</v>
      </c>
      <c r="AA77" s="40">
        <f>VLOOKUP(B77,'Player Data'!$A1:$AE734,15,FALSE)*$Q77</f>
        <v>92.938759838588581</v>
      </c>
      <c r="AB77" s="40">
        <f>VLOOKUP(B77,'Player Data'!$A1:$AE734,16,FALSE)*$Q77</f>
        <v>108.29157971390414</v>
      </c>
      <c r="AC77" s="40">
        <f>VLOOKUP(B77,'Player Data'!$A1:$AE734,17,FALSE)*$Q77*IFERROR((VLOOKUP(P77,Settings!$E$28:$F$33,2,FALSE)+1),1)</f>
        <v>2.338817541516653</v>
      </c>
      <c r="AD77" s="40">
        <f>VLOOKUP(B77,'Player Data'!$A1:$AE734,18,FALSE)*$Q77</f>
        <v>60.643909123520004</v>
      </c>
      <c r="AE77" s="40">
        <f>VLOOKUP(B77,'Player Data'!$A1:$AE734,19,FALSE)*$Q77*IFERROR((VLOOKUP(P77,Settings!$E$28:$F$33,2,FALSE)+1),1)</f>
        <v>1.7439439498180589</v>
      </c>
      <c r="AF77" s="40">
        <f>VLOOKUP(B77,'Player Data'!$A1:$AE734,20,FALSE)*$Q77</f>
        <v>0</v>
      </c>
      <c r="AG77" s="40">
        <f>VLOOKUP(B77,'Player Data'!$A1:$AE734,21,FALSE)*$Q77</f>
        <v>0</v>
      </c>
      <c r="AH77" s="41">
        <f>VLOOKUP(B77,'Player Data'!$A1:$AE734,22,FALSE)</f>
        <v>0</v>
      </c>
      <c r="AI77" s="38"/>
      <c r="AJ77" s="42"/>
      <c r="AK77" s="40"/>
      <c r="AL77" s="40"/>
      <c r="AM77" s="40"/>
      <c r="AN77" s="40"/>
      <c r="AO77" s="40"/>
      <c r="AP77" s="40"/>
      <c r="AQ77" s="43"/>
      <c r="AR77" s="44"/>
      <c r="AS77" s="42"/>
    </row>
    <row r="78" spans="1:45" ht="21.2" customHeight="1">
      <c r="A78" s="181">
        <f t="shared" si="7"/>
        <v>77</v>
      </c>
      <c r="B78" s="8" t="s">
        <v>211</v>
      </c>
      <c r="C78" s="31" t="s">
        <v>104</v>
      </c>
      <c r="D78" s="32" t="str">
        <f>VLOOKUP(B78,'Player Data'!A1:D734,4,FALSE)</f>
        <v>LW,RW</v>
      </c>
      <c r="E78" s="45">
        <f>VLOOKUP(B78,RW!A1:F189,3,FALSE)</f>
        <v>19</v>
      </c>
      <c r="F78" s="34" t="str">
        <f>VLOOKUP(B78,'Player Data'!A1:B734,2,FALSE)</f>
        <v>WPG</v>
      </c>
      <c r="G78" s="9">
        <f>VLOOKUP(B78,'Player Data'!A1:D734,3,FALSE)</f>
        <v>27</v>
      </c>
      <c r="H78" s="35">
        <f>IFERROR(VLOOKUP(B78,ADP!A1:G731,7,FALSE)/1000000,VLOOKUP(B78,ADP!A1:G731,7,FALSE))</f>
        <v>6</v>
      </c>
      <c r="I78" s="36">
        <f>IF(Settings!$E$15="POINTS",((R78*Q78)*Settings!$B$12)+(S78*Settings!$B$2)+(T78*Settings!$B$3)+(U78*Settings!$B$4)+(V78*Settings!$B$5)+(X78*Settings!$B$9)+(AA78*Settings!$B$6)+(W78*Settings!$B$8)+(AB78*Settings!$B$7)+(AC78*Settings!$B$14)+(AD78*Settings!$B$15)+(AE78*Settings!$B$16)+(AF78*Settings!$B$17)+(AG78*Settings!$B$18)+(Y78*Settings!$B$10)+(Z78*Settings!$B$11),VLOOKUP(B78,'Standard Deviations'!A1:C731,3,FALSE))</f>
        <v>7.7011674187222674</v>
      </c>
      <c r="J78" s="37">
        <f t="shared" si="8"/>
        <v>9.3916675838076433E-2</v>
      </c>
      <c r="K78" s="183">
        <f>IF(Settings!$E$18="C/LW/RW",VLOOKUP(B78,RW!A1:F189,6,FALSE),VLOOKUP(B78,F!A1:F431,6,FALSE))</f>
        <v>1.4209086997111866</v>
      </c>
      <c r="L78" s="36">
        <f t="shared" si="9"/>
        <v>0.23681811661853111</v>
      </c>
      <c r="M78" s="38">
        <f>IF(Settings!$E$9="YAHOO",VLOOKUP(B78,ADP!A1:E731,2,FALSE),IF(Settings!$E$9="ESPN",VLOOKUP(B78,ADP!A1:E731,3,FALSE),IF(Settings!$E$9="FANTRAX",VLOOKUP(B78,ADP!A1:E731,4,FALSE),VLOOKUP(B78,ADP!A1:E731,5,FALSE))))</f>
        <v>85.81</v>
      </c>
      <c r="N78" s="38">
        <f t="shared" si="10"/>
        <v>8.8100000000000023</v>
      </c>
      <c r="O78" s="38"/>
      <c r="P78" s="39" t="str">
        <f>IF(Settings!$E$27="ON",_xlfn.XLOOKUP(B78,ADP!A2:A731,ADP!H2:H731)," ")</f>
        <v xml:space="preserve"> </v>
      </c>
      <c r="Q78" s="40">
        <f>IF(Settings!$E$12="YES",VLOOKUP(B78,'Player Data'!A1:E734,5,FALSE),82)</f>
        <v>82</v>
      </c>
      <c r="R78" s="38">
        <f>VLOOKUP(B78,'Player Data'!$A1:$AE734,6,FALSE)</f>
        <v>16.809844609935499</v>
      </c>
      <c r="S78" s="40">
        <f>VLOOKUP(B78,'Player Data'!$A1:$AE734,7,FALSE)*$Q78*IFERROR((VLOOKUP(P78,Settings!$E$28:$F$33,2,FALSE)+1),1)</f>
        <v>29.678338216044892</v>
      </c>
      <c r="T78" s="40">
        <f>VLOOKUP(B78,'Player Data'!$A1:$AE734,8,FALSE)*$Q78*IFERROR((VLOOKUP(P78,Settings!$E$28:$F$33,2,FALSE)+1),1)</f>
        <v>43.008575396289373</v>
      </c>
      <c r="U78" s="40">
        <f>SUM(S78:T78)</f>
        <v>72.686913612334266</v>
      </c>
      <c r="V78" s="40">
        <f>VLOOKUP(B78,'Player Data'!$A1:$AE734,10,FALSE)*$Q78*IFERROR(((VLOOKUP(P78,Settings!$E$28:$F$33,2,FALSE)/2)+1),1)</f>
        <v>262.55344732693982</v>
      </c>
      <c r="W78" s="40">
        <f>VLOOKUP(B78,'Player Data'!$A1:$AE734,11,FALSE)*$Q78*IFERROR((VLOOKUP(P78,Settings!$E$28:$F$33,2,FALSE)+1),1)</f>
        <v>7.778577450368557</v>
      </c>
      <c r="X78" s="40">
        <f>VLOOKUP(B78,'Player Data'!$A1:$AE734,12,FALSE)*$Q78*IFERROR((VLOOKUP(P78,Settings!$E$28:$F$33,2,FALSE)+1),1)</f>
        <v>22.353366117556522</v>
      </c>
      <c r="Y78" s="40">
        <f>VLOOKUP(B78,'Player Data'!$A1:$AE734,13,FALSE)*$Q78</f>
        <v>0</v>
      </c>
      <c r="Z78" s="40">
        <f>VLOOKUP(B78,'Player Data'!$A1:$AE734,14,FALSE)*$Q78</f>
        <v>0</v>
      </c>
      <c r="AA78" s="40">
        <f>VLOOKUP(B78,'Player Data'!$A1:$AE734,15,FALSE)*$Q78</f>
        <v>25.625092201668874</v>
      </c>
      <c r="AB78" s="40">
        <f>VLOOKUP(B78,'Player Data'!$A1:$AE734,16,FALSE)*$Q78</f>
        <v>59.175738462363263</v>
      </c>
      <c r="AC78" s="40">
        <f>VLOOKUP(B78,'Player Data'!$A1:$AE734,17,FALSE)*$Q78*IFERROR((VLOOKUP(P78,Settings!$E$28:$F$33,2,FALSE)+1),1)</f>
        <v>4.6078228640279484</v>
      </c>
      <c r="AD78" s="40">
        <f>VLOOKUP(B78,'Player Data'!$A1:$AE734,18,FALSE)*$Q78</f>
        <v>26.23753820884604</v>
      </c>
      <c r="AE78" s="40">
        <f>VLOOKUP(B78,'Player Data'!$A1:$AE734,19,FALSE)*$Q78*IFERROR((VLOOKUP(P78,Settings!$E$28:$F$33,2,FALSE)+1),1)</f>
        <v>4.6299201005030417</v>
      </c>
      <c r="AF78" s="40">
        <f>VLOOKUP(B78,'Player Data'!$A1:$AE734,20,FALSE)*$Q78</f>
        <v>2.4245130602463285</v>
      </c>
      <c r="AG78" s="40">
        <f>VLOOKUP(B78,'Player Data'!$A1:$AE734,21,FALSE)*$Q78</f>
        <v>1.1152471350334503</v>
      </c>
      <c r="AH78" s="41">
        <f>VLOOKUP(B78,'Player Data'!$A1:$AE734,22,FALSE)</f>
        <v>0.68493709361424604</v>
      </c>
      <c r="AI78" s="38"/>
      <c r="AJ78" s="42"/>
      <c r="AK78" s="40"/>
      <c r="AL78" s="40"/>
      <c r="AM78" s="40"/>
      <c r="AN78" s="40"/>
      <c r="AO78" s="40"/>
      <c r="AP78" s="40"/>
      <c r="AQ78" s="43"/>
      <c r="AR78" s="44"/>
      <c r="AS78" s="38"/>
    </row>
    <row r="79" spans="1:45" ht="21.2" customHeight="1">
      <c r="A79" s="181">
        <f t="shared" si="7"/>
        <v>78</v>
      </c>
      <c r="B79" s="8" t="s">
        <v>208</v>
      </c>
      <c r="C79" s="31" t="s">
        <v>104</v>
      </c>
      <c r="D79" s="32" t="str">
        <f>VLOOKUP(B79,'Player Data'!A1:D734,4,FALSE)</f>
        <v>LW,RW</v>
      </c>
      <c r="E79" s="45">
        <f>VLOOKUP(B79,RW!A1:F189,3,FALSE)</f>
        <v>20</v>
      </c>
      <c r="F79" s="34" t="str">
        <f>VLOOKUP(B79,'Player Data'!A1:B734,2,FALSE)</f>
        <v>MTL</v>
      </c>
      <c r="G79" s="9">
        <f>VLOOKUP(B79,'Player Data'!A1:D734,3,FALSE)</f>
        <v>22</v>
      </c>
      <c r="H79" s="35">
        <f>IFERROR(VLOOKUP(B79,ADP!A1:G731,7,FALSE)/1000000,VLOOKUP(B79,ADP!A1:G731,7,FALSE))</f>
        <v>7.85</v>
      </c>
      <c r="I79" s="36">
        <f>IF(Settings!$E$15="POINTS",((R79*Q79)*Settings!$B$12)+(S79*Settings!$B$2)+(T79*Settings!$B$3)+(U79*Settings!$B$4)+(V79*Settings!$B$5)+(X79*Settings!$B$9)+(AA79*Settings!$B$6)+(W79*Settings!$B$8)+(AB79*Settings!$B$7)+(AC79*Settings!$B$14)+(AD79*Settings!$B$15)+(AE79*Settings!$B$16)+(AF79*Settings!$B$17)+(AG79*Settings!$B$18)+(Y79*Settings!$B$10)+(Z79*Settings!$B$11),VLOOKUP(B79,'Standard Deviations'!A1:C731,3,FALSE))</f>
        <v>7.6906294626593015</v>
      </c>
      <c r="J79" s="37">
        <f t="shared" si="8"/>
        <v>9.3788164178771963E-2</v>
      </c>
      <c r="K79" s="183">
        <f>IF(Settings!$E$18="C/LW/RW",VLOOKUP(B79,RW!A1:F189,6,FALSE),VLOOKUP(B79,F!A1:F431,6,FALSE))</f>
        <v>1.4103707436482207</v>
      </c>
      <c r="L79" s="36">
        <f t="shared" si="9"/>
        <v>0.17966506288512366</v>
      </c>
      <c r="M79" s="38">
        <f>IF(Settings!$E$9="YAHOO",VLOOKUP(B79,ADP!A1:E731,2,FALSE),IF(Settings!$E$9="ESPN",VLOOKUP(B79,ADP!A1:E731,3,FALSE),IF(Settings!$E$9="FANTRAX",VLOOKUP(B79,ADP!A1:E731,4,FALSE),VLOOKUP(B79,ADP!A1:E731,5,FALSE))))</f>
        <v>72.33</v>
      </c>
      <c r="N79" s="38">
        <f t="shared" si="10"/>
        <v>-5.6700000000000017</v>
      </c>
      <c r="O79" s="38"/>
      <c r="P79" s="39" t="str">
        <f>IF(Settings!$E$27="ON",_xlfn.XLOOKUP(B79,ADP!A2:A731,ADP!H2:H731)," ")</f>
        <v>+</v>
      </c>
      <c r="Q79" s="40">
        <f>IF(Settings!$E$12="YES",VLOOKUP(B79,'Player Data'!A1:E734,5,FALSE),82)</f>
        <v>82</v>
      </c>
      <c r="R79" s="38">
        <f>VLOOKUP(B79,'Player Data'!$A1:$AE734,6,FALSE)</f>
        <v>18.109720833755301</v>
      </c>
      <c r="S79" s="40">
        <f>VLOOKUP(B79,'Player Data'!$A1:$AE734,7,FALSE)*$Q79*IFERROR((VLOOKUP(P79,Settings!$E$28:$F$33,2,FALSE)+1),1)</f>
        <v>40.847832066670442</v>
      </c>
      <c r="T79" s="40">
        <f>VLOOKUP(B79,'Player Data'!$A1:$AE734,8,FALSE)*$Q79*IFERROR((VLOOKUP(P79,Settings!$E$28:$F$33,2,FALSE)+1),1)</f>
        <v>29.078162746888189</v>
      </c>
      <c r="U79" s="40">
        <f>SUM(S79:T79)</f>
        <v>69.925994813558631</v>
      </c>
      <c r="V79" s="40">
        <f>VLOOKUP(B79,'Player Data'!$A1:$AE734,10,FALSE)*$Q79*IFERROR(((VLOOKUP(P79,Settings!$E$28:$F$33,2,FALSE)/2)+1),1)</f>
        <v>276.36757868999689</v>
      </c>
      <c r="W79" s="40">
        <f>VLOOKUP(B79,'Player Data'!$A1:$AE734,11,FALSE)*$Q79*IFERROR((VLOOKUP(P79,Settings!$E$28:$F$33,2,FALSE)+1),1)</f>
        <v>10.844829417057609</v>
      </c>
      <c r="X79" s="40">
        <f>VLOOKUP(B79,'Player Data'!$A1:$AE734,12,FALSE)*$Q79*IFERROR((VLOOKUP(P79,Settings!$E$28:$F$33,2,FALSE)+1),1)</f>
        <v>20.555848351137961</v>
      </c>
      <c r="Y79" s="40">
        <f>VLOOKUP(B79,'Player Data'!$A1:$AE734,13,FALSE)*$Q79</f>
        <v>3.9891181222436005E-3</v>
      </c>
      <c r="Z79" s="40">
        <f>VLOOKUP(B79,'Player Data'!$A1:$AE734,14,FALSE)*$Q79</f>
        <v>7.9786856607268926E-3</v>
      </c>
      <c r="AA79" s="40">
        <f>VLOOKUP(B79,'Player Data'!$A1:$AE734,15,FALSE)*$Q79</f>
        <v>20.102996417195659</v>
      </c>
      <c r="AB79" s="40">
        <f>VLOOKUP(B79,'Player Data'!$A1:$AE734,16,FALSE)*$Q79</f>
        <v>37.346204765925187</v>
      </c>
      <c r="AC79" s="40">
        <f>VLOOKUP(B79,'Player Data'!$A1:$AE734,17,FALSE)*$Q79*IFERROR((VLOOKUP(P79,Settings!$E$28:$F$33,2,FALSE)+1),1)</f>
        <v>-8.2801206958852909</v>
      </c>
      <c r="AD79" s="40">
        <f>VLOOKUP(B79,'Player Data'!$A1:$AE734,18,FALSE)*$Q79</f>
        <v>15.951969003602409</v>
      </c>
      <c r="AE79" s="40">
        <f>VLOOKUP(B79,'Player Data'!$A1:$AE734,19,FALSE)*$Q79*IFERROR((VLOOKUP(P79,Settings!$E$28:$F$33,2,FALSE)+1),1)</f>
        <v>4.1845382930554154</v>
      </c>
      <c r="AF79" s="40">
        <f>VLOOKUP(B79,'Player Data'!$A1:$AE734,20,FALSE)*$Q79</f>
        <v>0.70747649362351273</v>
      </c>
      <c r="AG79" s="40">
        <f>VLOOKUP(B79,'Player Data'!$A1:$AE734,21,FALSE)*$Q79</f>
        <v>2.1001925190003359</v>
      </c>
      <c r="AH79" s="41">
        <f>VLOOKUP(B79,'Player Data'!$A1:$AE734,22,FALSE)</f>
        <v>0.251980019882171</v>
      </c>
      <c r="AI79" s="38"/>
      <c r="AJ79" s="42"/>
      <c r="AK79" s="40"/>
      <c r="AL79" s="40"/>
      <c r="AM79" s="40"/>
      <c r="AN79" s="40"/>
      <c r="AO79" s="40"/>
      <c r="AP79" s="40"/>
      <c r="AQ79" s="43"/>
      <c r="AR79" s="44"/>
      <c r="AS79" s="38"/>
    </row>
    <row r="80" spans="1:45" ht="21.2" customHeight="1">
      <c r="A80" s="181">
        <f t="shared" si="7"/>
        <v>79</v>
      </c>
      <c r="B80" s="8" t="s">
        <v>184</v>
      </c>
      <c r="C80" s="31" t="s">
        <v>104</v>
      </c>
      <c r="D80" s="32" t="str">
        <f>VLOOKUP(B80,'Player Data'!A1:D734,4,FALSE)</f>
        <v>D</v>
      </c>
      <c r="E80" s="47">
        <f>VLOOKUP(B80,D!A1:C229,3,FALSE)</f>
        <v>22</v>
      </c>
      <c r="F80" s="34" t="str">
        <f>VLOOKUP(B80,'Player Data'!A1:B734,2,FALSE)</f>
        <v>TOR</v>
      </c>
      <c r="G80" s="9">
        <f>VLOOKUP(B80,'Player Data'!A1:D734,3,FALSE)</f>
        <v>29</v>
      </c>
      <c r="H80" s="35">
        <f>IFERROR(VLOOKUP(B80,ADP!A1:G731,7,FALSE)/1000000,VLOOKUP(B80,ADP!A1:G731,7,FALSE))</f>
        <v>7.5</v>
      </c>
      <c r="I80" s="36">
        <f>IF(Settings!$E$15="POINTS",((R80*Q80)*Settings!$B$12)+(S80*Settings!$B$2)+(T80*Settings!$B$3)+(U80*Settings!$B$4)+(V80*Settings!$B$5)+(X80*Settings!$B$9)+(AA80*Settings!$B$6)+(W80*Settings!$B$8)+(AB80*Settings!$B$7)+(AC80*Settings!$B$14)+(AD80*Settings!$B$15)+(AE80*Settings!$B$16)+(AF80*Settings!$B$17)+(AG80*Settings!$B$18)+(U80*Settings!$B$13)+(Y80*Settings!$B$10)+(Z80*Settings!$B$11),VLOOKUP(B80,'Standard Deviations'!A1:C731,3,FALSE))</f>
        <v>3.3250194656346799</v>
      </c>
      <c r="J80" s="37">
        <f t="shared" si="8"/>
        <v>4.0549017873593655E-2</v>
      </c>
      <c r="K80" s="183">
        <f>VLOOKUP(B80,D!A1:F229,6,FALSE)</f>
        <v>1.3832789220003692</v>
      </c>
      <c r="L80" s="36">
        <f t="shared" si="9"/>
        <v>0.18443718960004923</v>
      </c>
      <c r="M80" s="38">
        <f>IF(Settings!$E$9="YAHOO",VLOOKUP(B80,ADP!A1:E731,2,FALSE),IF(Settings!$E$9="ESPN",VLOOKUP(B80,ADP!A1:E731,3,FALSE),IF(Settings!$E$9="FANTRAX",VLOOKUP(B80,ADP!A1:E731,4,FALSE),VLOOKUP(B80,ADP!A1:E731,5,FALSE))))</f>
        <v>114.63</v>
      </c>
      <c r="N80" s="38">
        <f t="shared" si="10"/>
        <v>35.629999999999995</v>
      </c>
      <c r="O80" s="38"/>
      <c r="P80" s="39" t="str">
        <f>IF(Settings!$E$27="ON",_xlfn.XLOOKUP(B80,ADP!A2:A731,ADP!H2:H731)," ")</f>
        <v>+</v>
      </c>
      <c r="Q80" s="40">
        <f>IF(Settings!$E$12="YES",VLOOKUP(B80,'Player Data'!A1:E734,5,FALSE),82)</f>
        <v>82</v>
      </c>
      <c r="R80" s="38">
        <f>VLOOKUP(B80,'Player Data'!$A1:$AE734,6,FALSE)</f>
        <v>21.730165249765498</v>
      </c>
      <c r="S80" s="40">
        <f>VLOOKUP(B80,'Player Data'!$A1:$AE734,7,FALSE)*$Q80*IFERROR((VLOOKUP(P80,Settings!$E$28:$F$33,2,FALSE)+1),1)</f>
        <v>7.6371739494745956</v>
      </c>
      <c r="T80" s="40">
        <f>VLOOKUP(B80,'Player Data'!$A1:$AE734,8,FALSE)*$Q80*IFERROR((VLOOKUP(P80,Settings!$E$28:$F$33,2,FALSE)+1),1)</f>
        <v>49.595087974138472</v>
      </c>
      <c r="U80" s="40">
        <f>SUM(S80:T80)</f>
        <v>57.232261923613066</v>
      </c>
      <c r="V80" s="40">
        <f>VLOOKUP(B80,'Player Data'!$A1:$AE734,10,FALSE)*$Q80*IFERROR(((VLOOKUP(P80,Settings!$E$28:$F$33,2,FALSE)/2)+1),1)</f>
        <v>165.66676706884539</v>
      </c>
      <c r="W80" s="40">
        <f>VLOOKUP(B80,'Player Data'!$A1:$AE734,11,FALSE)*$Q80*IFERROR((VLOOKUP(P80,Settings!$E$28:$F$33,2,FALSE)+1),1)</f>
        <v>1.4317131739927382</v>
      </c>
      <c r="X80" s="40">
        <f>VLOOKUP(B80,'Player Data'!$A1:$AE734,12,FALSE)*$Q80*IFERROR((VLOOKUP(P80,Settings!$E$28:$F$33,2,FALSE)+1),1)</f>
        <v>18.01669654893713</v>
      </c>
      <c r="Y80" s="40">
        <f>VLOOKUP(B80,'Player Data'!$A1:$AE734,13,FALSE)*$Q80</f>
        <v>1.7819457885552833E-2</v>
      </c>
      <c r="Z80" s="40">
        <f>VLOOKUP(B80,'Player Data'!$A1:$AE734,14,FALSE)*$Q80</f>
        <v>0.9893572674977773</v>
      </c>
      <c r="AA80" s="40">
        <f>VLOOKUP(B80,'Player Data'!$A1:$AE734,15,FALSE)*$Q80</f>
        <v>101.52900539549374</v>
      </c>
      <c r="AB80" s="40">
        <f>VLOOKUP(B80,'Player Data'!$A1:$AE734,16,FALSE)*$Q80</f>
        <v>94.674903052249732</v>
      </c>
      <c r="AC80" s="40">
        <f>VLOOKUP(B80,'Player Data'!$A1:$AE734,17,FALSE)*$Q80*IFERROR((VLOOKUP(P80,Settings!$E$28:$F$33,2,FALSE)+1),1)</f>
        <v>5.2746432223465387</v>
      </c>
      <c r="AD80" s="40">
        <f>VLOOKUP(B80,'Player Data'!$A1:$AE734,18,FALSE)*$Q80</f>
        <v>31.105622159088316</v>
      </c>
      <c r="AE80" s="40">
        <f>VLOOKUP(B80,'Player Data'!$A1:$AE734,19,FALSE)*$Q80*IFERROR((VLOOKUP(P80,Settings!$E$28:$F$33,2,FALSE)+1),1)</f>
        <v>1.226909965053024</v>
      </c>
      <c r="AF80" s="40">
        <f>VLOOKUP(B80,'Player Data'!$A1:$AE734,20,FALSE)*$Q80</f>
        <v>0</v>
      </c>
      <c r="AG80" s="40">
        <f>VLOOKUP(B80,'Player Data'!$A1:$AE734,21,FALSE)*$Q80</f>
        <v>0</v>
      </c>
      <c r="AH80" s="41">
        <f>VLOOKUP(B80,'Player Data'!$A1:$AE734,22,FALSE)</f>
        <v>0</v>
      </c>
      <c r="AI80" s="38"/>
      <c r="AJ80" s="40"/>
      <c r="AK80" s="40"/>
      <c r="AL80" s="40"/>
      <c r="AM80" s="40"/>
      <c r="AN80" s="40"/>
      <c r="AO80" s="40"/>
      <c r="AP80" s="40"/>
      <c r="AQ80" s="43"/>
      <c r="AR80" s="44"/>
      <c r="AS80" s="38"/>
    </row>
    <row r="81" spans="1:45" ht="21.2" customHeight="1">
      <c r="A81" s="181">
        <f t="shared" si="7"/>
        <v>80</v>
      </c>
      <c r="B81" s="8" t="s">
        <v>190</v>
      </c>
      <c r="C81" s="31" t="s">
        <v>104</v>
      </c>
      <c r="D81" s="32" t="str">
        <f>VLOOKUP(B81,'Player Data'!A1:D734,4,FALSE)</f>
        <v>C</v>
      </c>
      <c r="E81" s="33">
        <f>VLOOKUP(B81,'C'!A1:C208,3,FALSE)</f>
        <v>27</v>
      </c>
      <c r="F81" s="34" t="str">
        <f>VLOOKUP(B81,'Player Data'!A1:B734,2,FALSE)</f>
        <v>NYI</v>
      </c>
      <c r="G81" s="9">
        <f>VLOOKUP(B81,'Player Data'!A1:D734,3,FALSE)</f>
        <v>28</v>
      </c>
      <c r="H81" s="35">
        <f>IFERROR(VLOOKUP(B81,ADP!A1:G731,7,FALSE)/1000000,VLOOKUP(B81,ADP!A1:G731,7,FALSE))</f>
        <v>8.5</v>
      </c>
      <c r="I81" s="36">
        <f>IF(Settings!$E$15="POINTS",((R81*Q81)*Settings!$B$12)+(S81*Settings!$B$2)+(T81*Settings!$B$3)+(U81*Settings!$B$4)+(V81*Settings!$B$5)+(X81*Settings!$B$9)+(AA81*Settings!$B$6)+(W81*Settings!$B$8)+(AB81*Settings!$B$7)+(AC81*Settings!$B$14)+(AD81*Settings!$B$15)+(AE81*Settings!$B$16)+(AF81*Settings!$B$17)+(AG81*Settings!$B$18)+(Y81*Settings!$B$10)+(Z81*Settings!$B$11),VLOOKUP(B81,'Standard Deviations'!A1:C731,3,FALSE))</f>
        <v>7.6940355983686546</v>
      </c>
      <c r="J81" s="37">
        <f t="shared" si="8"/>
        <v>9.382970241912994E-2</v>
      </c>
      <c r="K81" s="183">
        <f>IF(Settings!$E$18="C/LW/RW",VLOOKUP(B81,'C'!A1:F208,6,FALSE),VLOOKUP(B81,F!A1:F431,6,FALSE))</f>
        <v>1.3569848741620518</v>
      </c>
      <c r="L81" s="36">
        <f t="shared" si="9"/>
        <v>0.15964527931318256</v>
      </c>
      <c r="M81" s="38">
        <f>IF(Settings!$E$9="YAHOO",VLOOKUP(B81,ADP!A1:E731,2,FALSE),IF(Settings!$E$9="ESPN",VLOOKUP(B81,ADP!A1:E731,3,FALSE),IF(Settings!$E$9="FANTRAX",VLOOKUP(B81,ADP!A1:E731,4,FALSE),VLOOKUP(B81,ADP!A1:E731,5,FALSE))))</f>
        <v>108.2</v>
      </c>
      <c r="N81" s="38">
        <f t="shared" si="10"/>
        <v>28.200000000000003</v>
      </c>
      <c r="O81" s="38"/>
      <c r="P81" s="39" t="str">
        <f>IF(Settings!$E$27="ON",_xlfn.XLOOKUP(B81,ADP!A2:A731,ADP!H2:H731)," ")</f>
        <v>+</v>
      </c>
      <c r="Q81" s="40">
        <f>IF(Settings!$E$12="YES",VLOOKUP(B81,'Player Data'!A1:E734,5,FALSE),82)</f>
        <v>82</v>
      </c>
      <c r="R81" s="38">
        <f>VLOOKUP(B81,'Player Data'!$A1:$AE734,6,FALSE)</f>
        <v>21.007786944391601</v>
      </c>
      <c r="S81" s="40">
        <f>VLOOKUP(B81,'Player Data'!$A1:$AE734,7,FALSE)*$Q81*IFERROR((VLOOKUP(P81,Settings!$E$28:$F$33,2,FALSE)+1),1)</f>
        <v>38.916593629363362</v>
      </c>
      <c r="T81" s="40">
        <f>VLOOKUP(B81,'Player Data'!$A1:$AE734,8,FALSE)*$Q81*IFERROR((VLOOKUP(P81,Settings!$E$28:$F$33,2,FALSE)+1),1)</f>
        <v>34.346874232187375</v>
      </c>
      <c r="U81" s="40">
        <f>SUM(S81:T81)</f>
        <v>73.263467861550737</v>
      </c>
      <c r="V81" s="40">
        <f>VLOOKUP(B81,'Player Data'!$A1:$AE734,10,FALSE)*$Q81*IFERROR(((VLOOKUP(P81,Settings!$E$28:$F$33,2,FALSE)/2)+1),1)</f>
        <v>243.12971269819894</v>
      </c>
      <c r="W81" s="40">
        <f>VLOOKUP(B81,'Player Data'!$A1:$AE734,11,FALSE)*$Q81*IFERROR((VLOOKUP(P81,Settings!$E$28:$F$33,2,FALSE)+1),1)</f>
        <v>12.997227345754716</v>
      </c>
      <c r="X81" s="40">
        <f>VLOOKUP(B81,'Player Data'!$A1:$AE734,12,FALSE)*$Q81*IFERROR((VLOOKUP(P81,Settings!$E$28:$F$33,2,FALSE)+1),1)</f>
        <v>22.719031625540012</v>
      </c>
      <c r="Y81" s="40">
        <f>VLOOKUP(B81,'Player Data'!$A1:$AE734,13,FALSE)*$Q81</f>
        <v>2.2174150872465392</v>
      </c>
      <c r="Z81" s="40">
        <f>VLOOKUP(B81,'Player Data'!$A1:$AE734,14,FALSE)*$Q81</f>
        <v>3.0416339354046875</v>
      </c>
      <c r="AA81" s="40">
        <f>VLOOKUP(B81,'Player Data'!$A1:$AE734,15,FALSE)*$Q81</f>
        <v>56.768994349409319</v>
      </c>
      <c r="AB81" s="40">
        <f>VLOOKUP(B81,'Player Data'!$A1:$AE734,16,FALSE)*$Q81</f>
        <v>76.52945718785152</v>
      </c>
      <c r="AC81" s="40">
        <f>VLOOKUP(B81,'Player Data'!$A1:$AE734,17,FALSE)*$Q81*IFERROR((VLOOKUP(P81,Settings!$E$28:$F$33,2,FALSE)+1),1)</f>
        <v>0.35859274938178576</v>
      </c>
      <c r="AD81" s="40">
        <f>VLOOKUP(B81,'Player Data'!$A1:$AE734,18,FALSE)*$Q81</f>
        <v>33.502990627076073</v>
      </c>
      <c r="AE81" s="40">
        <f>VLOOKUP(B81,'Player Data'!$A1:$AE734,19,FALSE)*$Q81*IFERROR((VLOOKUP(P81,Settings!$E$28:$F$33,2,FALSE)+1),1)</f>
        <v>6.0134643290559735</v>
      </c>
      <c r="AF81" s="40">
        <f>VLOOKUP(B81,'Player Data'!$A1:$AE734,20,FALSE)*$Q81</f>
        <v>1012.4515148073532</v>
      </c>
      <c r="AG81" s="40">
        <f>VLOOKUP(B81,'Player Data'!$A1:$AE734,21,FALSE)*$Q81</f>
        <v>789.75836510448175</v>
      </c>
      <c r="AH81" s="41">
        <f>VLOOKUP(B81,'Player Data'!$A1:$AE734,22,FALSE)</f>
        <v>0.56178335614100705</v>
      </c>
      <c r="AI81" s="38"/>
      <c r="AJ81" s="42"/>
      <c r="AK81" s="40"/>
      <c r="AL81" s="40"/>
      <c r="AM81" s="40"/>
      <c r="AN81" s="40"/>
      <c r="AO81" s="40"/>
      <c r="AP81" s="40"/>
      <c r="AQ81" s="43"/>
      <c r="AR81" s="44"/>
      <c r="AS81" s="38"/>
    </row>
    <row r="82" spans="1:45" ht="21.2" customHeight="1">
      <c r="A82" s="181">
        <f t="shared" si="7"/>
        <v>81</v>
      </c>
      <c r="B82" s="8" t="s">
        <v>181</v>
      </c>
      <c r="C82" s="31" t="s">
        <v>104</v>
      </c>
      <c r="D82" s="32" t="str">
        <f>VLOOKUP(B82,'Player Data'!A1:D734,4,FALSE)</f>
        <v>G</v>
      </c>
      <c r="E82" s="50">
        <f>VLOOKUP(B82,G!A1:D75,3,FALSE)</f>
        <v>5</v>
      </c>
      <c r="F82" s="34" t="str">
        <f>VLOOKUP(B82,'Player Data'!A1:B734,2,FALSE)</f>
        <v>COL</v>
      </c>
      <c r="G82" s="9">
        <f>VLOOKUP(B82,'Player Data'!A1:D734,3,FALSE)</f>
        <v>27</v>
      </c>
      <c r="H82" s="35">
        <f>IFERROR(VLOOKUP(B82,ADP!A1:G731,7,FALSE)/1000000,VLOOKUP(B82,ADP!A1:G731,7,FALSE))</f>
        <v>3.4</v>
      </c>
      <c r="I82" s="36">
        <f>IF(Settings!$E$15="POINTS",(AJ82*Settings!$B$29)+(AK82*Settings!$B$21)+(AL82*Settings!$B$22)+(AN82*Settings!$B$24)+(AO82*Settings!$B$25)+(AP82*Settings!$B$27)+(AM82*Settings!$B$23),VLOOKUP(B82,'Standard Deviations'!A1:C731,3,FALSE))</f>
        <v>3.025853558987643</v>
      </c>
      <c r="J82" s="37">
        <f t="shared" si="8"/>
        <v>5.4033099267636484E-2</v>
      </c>
      <c r="K82" s="183">
        <f>VLOOKUP(B82,G!A1:F75,6,FALSE)</f>
        <v>1.3216245077973514</v>
      </c>
      <c r="L82" s="36">
        <f t="shared" si="9"/>
        <v>0.38871309052863279</v>
      </c>
      <c r="M82" s="38">
        <f>IF(Settings!$E$9="YAHOO",VLOOKUP(B82,ADP!A1:E731,2,FALSE),IF(Settings!$E$9="ESPN",VLOOKUP(B82,ADP!A1:E731,3,FALSE),IF(Settings!$E$9="FANTRAX",VLOOKUP(B82,ADP!A1:E731,4,FALSE),VLOOKUP(B82,ADP!A1:E731,5,FALSE))))</f>
        <v>69.03</v>
      </c>
      <c r="N82" s="38">
        <f t="shared" si="10"/>
        <v>-11.969999999999999</v>
      </c>
      <c r="O82" s="38"/>
      <c r="P82" s="39" t="str">
        <f>IF(Settings!$E$27="ON",_xlfn.XLOOKUP(B82,ADP!A2:A731,ADP!H2:H731)," ")</f>
        <v xml:space="preserve"> </v>
      </c>
      <c r="Q82" s="40"/>
      <c r="R82" s="51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1"/>
      <c r="AI82" s="38"/>
      <c r="AJ82" s="42">
        <f>VLOOKUP(B82,'Player Data'!$A1:$AE734,24,FALSE)</f>
        <v>56</v>
      </c>
      <c r="AK82" s="40">
        <f>VLOOKUP(B82,'Player Data'!$A1:$AE734,25,FALSE)*$AJ82*IFERROR((VLOOKUP(P82,Settings!$E$28:$F$33,2,FALSE)+1),1)</f>
        <v>33.00466042460608</v>
      </c>
      <c r="AL82" s="40">
        <f>AJ82-AK82-AM82</f>
        <v>15.99533957539392</v>
      </c>
      <c r="AM82" s="40">
        <f>VLOOKUP(B82,'Player Data'!$A1:$AE734,27,FALSE)*$AJ82</f>
        <v>7</v>
      </c>
      <c r="AN82" s="40">
        <f>VLOOKUP(B82,'Player Data'!$A1:$AE734,28,FALSE)*AJ82</f>
        <v>3.9740870240115633</v>
      </c>
      <c r="AO82" s="40">
        <f>VLOOKUP(B82,'Player Data'!$A1:$AE734,29,FALSE)*$AJ82*IFERROR((VLOOKUP(P82,Settings!$E$28:$F$33,2,FALSE)/4)+1,1)</f>
        <v>1556.0486374171649</v>
      </c>
      <c r="AP82" s="40">
        <f>VLOOKUP(B82,'Player Data'!$A1:$AE734,31,FALSE)*$AJ82*(IFERROR(1-(VLOOKUP(P82,Settings!$E$28:$F$33,2,FALSE)/4),1))</f>
        <v>146.47530073283298</v>
      </c>
      <c r="AQ82" s="43">
        <f>1-(AP82/(AO82+AP82))</f>
        <v>0.91396579075886797</v>
      </c>
      <c r="AR82" s="44">
        <f>AP82/AJ82</f>
        <v>2.6156303702291601</v>
      </c>
      <c r="AS82" s="38"/>
    </row>
    <row r="83" spans="1:45" ht="21.2" customHeight="1">
      <c r="A83" s="181">
        <f t="shared" si="7"/>
        <v>82</v>
      </c>
      <c r="B83" s="8" t="s">
        <v>171</v>
      </c>
      <c r="C83" s="31" t="s">
        <v>104</v>
      </c>
      <c r="D83" s="32" t="str">
        <f>VLOOKUP(B83,'Player Data'!A1:D734,4,FALSE)</f>
        <v>D</v>
      </c>
      <c r="E83" s="47">
        <f>VLOOKUP(B83,D!A1:C229,3,FALSE)</f>
        <v>23</v>
      </c>
      <c r="F83" s="34" t="str">
        <f>VLOOKUP(B83,'Player Data'!A1:B734,2,FALSE)</f>
        <v>CHI</v>
      </c>
      <c r="G83" s="9">
        <f>VLOOKUP(B83,'Player Data'!A1:D734,3,FALSE)</f>
        <v>28</v>
      </c>
      <c r="H83" s="35">
        <f>IFERROR(VLOOKUP(B83,ADP!A1:G731,7,FALSE)/1000000,VLOOKUP(B83,ADP!A1:G731,7,FALSE))</f>
        <v>9.5</v>
      </c>
      <c r="I83" s="36">
        <f>IF(Settings!$E$15="POINTS",((R83*Q83)*Settings!$B$12)+(S83*Settings!$B$2)+(T83*Settings!$B$3)+(U83*Settings!$B$4)+(V83*Settings!$B$5)+(X83*Settings!$B$9)+(AA83*Settings!$B$6)+(W83*Settings!$B$8)+(AB83*Settings!$B$7)+(AC83*Settings!$B$14)+(AD83*Settings!$B$15)+(AE83*Settings!$B$16)+(AF83*Settings!$B$17)+(AG83*Settings!$B$18)+(U83*Settings!$B$13)+(Y83*Settings!$B$10)+(Z83*Settings!$B$11),VLOOKUP(B83,'Standard Deviations'!A1:C731,3,FALSE))</f>
        <v>3.1780942166383763</v>
      </c>
      <c r="J83" s="37">
        <f t="shared" si="8"/>
        <v>3.875724654437044E-2</v>
      </c>
      <c r="K83" s="183">
        <f>VLOOKUP(B83,D!A1:F229,6,FALSE)</f>
        <v>1.2363536730040656</v>
      </c>
      <c r="L83" s="36">
        <f t="shared" si="9"/>
        <v>0.1301424918951648</v>
      </c>
      <c r="M83" s="38">
        <f>IF(Settings!$E$9="YAHOO",VLOOKUP(B83,ADP!A1:E731,2,FALSE),IF(Settings!$E$9="ESPN",VLOOKUP(B83,ADP!A1:E731,3,FALSE),IF(Settings!$E$9="FANTRAX",VLOOKUP(B83,ADP!A1:E731,4,FALSE),VLOOKUP(B83,ADP!A1:E731,5,FALSE))))</f>
        <v>116.71</v>
      </c>
      <c r="N83" s="38">
        <f t="shared" si="10"/>
        <v>34.709999999999994</v>
      </c>
      <c r="O83" s="38"/>
      <c r="P83" s="39" t="str">
        <f>IF(Settings!$E$27="ON",_xlfn.XLOOKUP(B83,ADP!A2:A731,ADP!H2:H731)," ")</f>
        <v>+</v>
      </c>
      <c r="Q83" s="40">
        <f>IF(Settings!$E$12="YES",VLOOKUP(B83,'Player Data'!A1:E734,5,FALSE),82)</f>
        <v>82</v>
      </c>
      <c r="R83" s="38">
        <f>VLOOKUP(B83,'Player Data'!$A1:$AE734,6,FALSE)</f>
        <v>24.778621880504801</v>
      </c>
      <c r="S83" s="40">
        <f>VLOOKUP(B83,'Player Data'!$A1:$AE734,7,FALSE)*$Q83*IFERROR((VLOOKUP(P83,Settings!$E$28:$F$33,2,FALSE)+1),1)</f>
        <v>9.4326459816570321</v>
      </c>
      <c r="T83" s="40">
        <f>VLOOKUP(B83,'Player Data'!$A1:$AE734,8,FALSE)*$Q83*IFERROR((VLOOKUP(P83,Settings!$E$28:$F$33,2,FALSE)+1),1)</f>
        <v>40.252797954296099</v>
      </c>
      <c r="U83" s="40">
        <f>SUM(S83:T83)</f>
        <v>49.685443935953131</v>
      </c>
      <c r="V83" s="40">
        <f>VLOOKUP(B83,'Player Data'!$A1:$AE734,10,FALSE)*$Q83*IFERROR(((VLOOKUP(P83,Settings!$E$28:$F$33,2,FALSE)/2)+1),1)</f>
        <v>205.23908931970482</v>
      </c>
      <c r="W83" s="40">
        <f>VLOOKUP(B83,'Player Data'!$A1:$AE734,11,FALSE)*$Q83*IFERROR((VLOOKUP(P83,Settings!$E$28:$F$33,2,FALSE)+1),1)</f>
        <v>1.9697031676532786</v>
      </c>
      <c r="X83" s="40">
        <f>VLOOKUP(B83,'Player Data'!$A1:$AE734,12,FALSE)*$Q83*IFERROR((VLOOKUP(P83,Settings!$E$28:$F$33,2,FALSE)+1),1)</f>
        <v>18.293103375220451</v>
      </c>
      <c r="Y83" s="40">
        <f>VLOOKUP(B83,'Player Data'!$A1:$AE734,13,FALSE)*$Q83</f>
        <v>1.8413790405174272E-2</v>
      </c>
      <c r="Z83" s="40">
        <f>VLOOKUP(B83,'Player Data'!$A1:$AE734,14,FALSE)*$Q83</f>
        <v>1.0275523261915382</v>
      </c>
      <c r="AA83" s="40">
        <f>VLOOKUP(B83,'Player Data'!$A1:$AE734,15,FALSE)*$Q83</f>
        <v>145.77616100859527</v>
      </c>
      <c r="AB83" s="40">
        <f>VLOOKUP(B83,'Player Data'!$A1:$AE734,16,FALSE)*$Q83</f>
        <v>111.7126032181921</v>
      </c>
      <c r="AC83" s="40">
        <f>VLOOKUP(B83,'Player Data'!$A1:$AE734,17,FALSE)*$Q83*IFERROR((VLOOKUP(P83,Settings!$E$28:$F$33,2,FALSE)+1),1)</f>
        <v>-9.4112900350175899</v>
      </c>
      <c r="AD83" s="40">
        <f>VLOOKUP(B83,'Player Data'!$A1:$AE734,18,FALSE)*$Q83</f>
        <v>34.95241732062803</v>
      </c>
      <c r="AE83" s="40">
        <f>VLOOKUP(B83,'Player Data'!$A1:$AE734,19,FALSE)*$Q83*IFERROR((VLOOKUP(P83,Settings!$E$28:$F$33,2,FALSE)+1),1)</f>
        <v>1.1053320951442536</v>
      </c>
      <c r="AF83" s="40">
        <f>VLOOKUP(B83,'Player Data'!$A1:$AE734,20,FALSE)*$Q83</f>
        <v>0</v>
      </c>
      <c r="AG83" s="40">
        <f>VLOOKUP(B83,'Player Data'!$A1:$AE734,21,FALSE)*$Q83</f>
        <v>0</v>
      </c>
      <c r="AH83" s="41">
        <f>VLOOKUP(B83,'Player Data'!$A1:$AE734,22,FALSE)</f>
        <v>0</v>
      </c>
      <c r="AI83" s="38"/>
      <c r="AJ83" s="42"/>
      <c r="AK83" s="40"/>
      <c r="AL83" s="40"/>
      <c r="AM83" s="40"/>
      <c r="AN83" s="40"/>
      <c r="AO83" s="40"/>
      <c r="AP83" s="40"/>
      <c r="AQ83" s="43"/>
      <c r="AR83" s="44"/>
      <c r="AS83" s="38"/>
    </row>
    <row r="84" spans="1:45" ht="21.2" customHeight="1">
      <c r="A84" s="181">
        <f t="shared" si="7"/>
        <v>83</v>
      </c>
      <c r="B84" s="8" t="s">
        <v>188</v>
      </c>
      <c r="C84" s="31" t="s">
        <v>104</v>
      </c>
      <c r="D84" s="32" t="str">
        <f>VLOOKUP(B84,'Player Data'!A1:D734,4,FALSE)</f>
        <v>C,RW</v>
      </c>
      <c r="E84" s="45">
        <f>VLOOKUP(B84,RW!A1:F189,3,FALSE)</f>
        <v>21</v>
      </c>
      <c r="F84" s="34" t="str">
        <f>VLOOKUP(B84,'Player Data'!A1:B734,2,FALSE)</f>
        <v>NYI</v>
      </c>
      <c r="G84" s="9">
        <f>VLOOKUP(B84,'Player Data'!A1:D734,3,FALSE)</f>
        <v>26</v>
      </c>
      <c r="H84" s="35">
        <f>IFERROR(VLOOKUP(B84,ADP!A1:G731,7,FALSE)/1000000,VLOOKUP(B84,ADP!A1:G731,7,FALSE))</f>
        <v>9.15</v>
      </c>
      <c r="I84" s="36">
        <f>IF(Settings!$E$15="POINTS",((R84*Q84)*Settings!$B$12)+(S84*Settings!$B$2)+(T84*Settings!$B$3)+(U84*Settings!$B$4)+(V84*Settings!$B$5)+(X84*Settings!$B$9)+(AA84*Settings!$B$6)+(W84*Settings!$B$8)+(AB84*Settings!$B$7)+(AC84*Settings!$B$14)+(AD84*Settings!$B$15)+(AE84*Settings!$B$16)+(AF84*Settings!$B$17)+(AG84*Settings!$B$18)+(Y84*Settings!$B$10)+(Z84*Settings!$B$11),VLOOKUP(B84,'Standard Deviations'!A1:C731,3,FALSE))</f>
        <v>7.4930103346588677</v>
      </c>
      <c r="J84" s="37">
        <f t="shared" si="8"/>
        <v>9.1378174812913021E-2</v>
      </c>
      <c r="K84" s="183">
        <f>IF(Settings!$E$18="C/LW/RW",VLOOKUP(B84,RW!A1:F189,6,FALSE),VLOOKUP(B84,F!A1:F431,6,FALSE))</f>
        <v>1.2127516156477869</v>
      </c>
      <c r="L84" s="36">
        <f t="shared" si="9"/>
        <v>0.13254116018008599</v>
      </c>
      <c r="M84" s="38">
        <f>IF(Settings!$E$9="YAHOO",VLOOKUP(B84,ADP!A1:E731,2,FALSE),IF(Settings!$E$9="ESPN",VLOOKUP(B84,ADP!A1:E731,3,FALSE),IF(Settings!$E$9="FANTRAX",VLOOKUP(B84,ADP!A1:E731,4,FALSE),VLOOKUP(B84,ADP!A1:E731,5,FALSE))))</f>
        <v>141.65</v>
      </c>
      <c r="N84" s="38">
        <f t="shared" si="10"/>
        <v>58.650000000000006</v>
      </c>
      <c r="O84" s="38"/>
      <c r="P84" s="39" t="str">
        <f>IF(Settings!$E$27="ON",_xlfn.XLOOKUP(B84,ADP!A2:A731,ADP!H2:H731)," ")</f>
        <v>+</v>
      </c>
      <c r="Q84" s="40">
        <f>IF(Settings!$E$12="YES",VLOOKUP(B84,'Player Data'!A1:E734,5,FALSE),82)</f>
        <v>82</v>
      </c>
      <c r="R84" s="38">
        <f>VLOOKUP(B84,'Player Data'!$A1:$AE734,6,FALSE)</f>
        <v>18.742091984614198</v>
      </c>
      <c r="S84" s="40">
        <f>VLOOKUP(B84,'Player Data'!$A1:$AE734,7,FALSE)*$Q84*IFERROR((VLOOKUP(P84,Settings!$E$28:$F$33,2,FALSE)+1),1)</f>
        <v>22.907090079936118</v>
      </c>
      <c r="T84" s="40">
        <f>VLOOKUP(B84,'Player Data'!$A1:$AE734,8,FALSE)*$Q84*IFERROR((VLOOKUP(P84,Settings!$E$28:$F$33,2,FALSE)+1),1)</f>
        <v>54.134911750504024</v>
      </c>
      <c r="U84" s="40">
        <f>SUM(S84:T84)</f>
        <v>77.042001830440142</v>
      </c>
      <c r="V84" s="40">
        <f>VLOOKUP(B84,'Player Data'!$A1:$AE734,10,FALSE)*$Q84*IFERROR(((VLOOKUP(P84,Settings!$E$28:$F$33,2,FALSE)/2)+1),1)</f>
        <v>206.39159043088014</v>
      </c>
      <c r="W84" s="40">
        <f>VLOOKUP(B84,'Player Data'!$A1:$AE734,11,FALSE)*$Q84*IFERROR((VLOOKUP(P84,Settings!$E$28:$F$33,2,FALSE)+1),1)</f>
        <v>4.2872258949958928</v>
      </c>
      <c r="X84" s="40">
        <f>VLOOKUP(B84,'Player Data'!$A1:$AE734,12,FALSE)*$Q84*IFERROR((VLOOKUP(P84,Settings!$E$28:$F$33,2,FALSE)+1),1)</f>
        <v>26.183383170137464</v>
      </c>
      <c r="Y84" s="40">
        <f>VLOOKUP(B84,'Player Data'!$A1:$AE734,13,FALSE)*$Q84</f>
        <v>7.2898195708838301E-3</v>
      </c>
      <c r="Z84" s="40">
        <f>VLOOKUP(B84,'Player Data'!$A1:$AE734,14,FALSE)*$Q84</f>
        <v>1.4013265874221015E-2</v>
      </c>
      <c r="AA84" s="40">
        <f>VLOOKUP(B84,'Player Data'!$A1:$AE734,15,FALSE)*$Q84</f>
        <v>37.166592765233879</v>
      </c>
      <c r="AB84" s="40">
        <f>VLOOKUP(B84,'Player Data'!$A1:$AE734,16,FALSE)*$Q84</f>
        <v>42.540167476015419</v>
      </c>
      <c r="AC84" s="40">
        <f>VLOOKUP(B84,'Player Data'!$A1:$AE734,17,FALSE)*$Q84*IFERROR((VLOOKUP(P84,Settings!$E$28:$F$33,2,FALSE)+1),1)</f>
        <v>3.468546515415011</v>
      </c>
      <c r="AD84" s="40">
        <f>VLOOKUP(B84,'Player Data'!$A1:$AE734,18,FALSE)*$Q84</f>
        <v>34.279693860290713</v>
      </c>
      <c r="AE84" s="40">
        <f>VLOOKUP(B84,'Player Data'!$A1:$AE734,19,FALSE)*$Q84*IFERROR((VLOOKUP(P84,Settings!$E$28:$F$33,2,FALSE)+1),1)</f>
        <v>3.5396461054657089</v>
      </c>
      <c r="AF84" s="40">
        <f>VLOOKUP(B84,'Player Data'!$A1:$AE734,20,FALSE)*$Q84</f>
        <v>190.4119879944202</v>
      </c>
      <c r="AG84" s="40">
        <f>VLOOKUP(B84,'Player Data'!$A1:$AE734,21,FALSE)*$Q84</f>
        <v>268.18230567596322</v>
      </c>
      <c r="AH84" s="41">
        <f>VLOOKUP(B84,'Player Data'!$A1:$AE734,22,FALSE)</f>
        <v>0.41520793132955902</v>
      </c>
      <c r="AI84" s="38"/>
      <c r="AJ84" s="40"/>
      <c r="AK84" s="40"/>
      <c r="AL84" s="40"/>
      <c r="AM84" s="40"/>
      <c r="AN84" s="40"/>
      <c r="AO84" s="40"/>
      <c r="AP84" s="40"/>
      <c r="AQ84" s="43"/>
      <c r="AR84" s="44"/>
      <c r="AS84" s="38"/>
    </row>
    <row r="85" spans="1:45" ht="21.2" customHeight="1">
      <c r="A85" s="181">
        <f t="shared" si="7"/>
        <v>84</v>
      </c>
      <c r="B85" s="8" t="s">
        <v>209</v>
      </c>
      <c r="C85" s="31" t="s">
        <v>104</v>
      </c>
      <c r="D85" s="32" t="str">
        <f>VLOOKUP(B85,'Player Data'!A1:D734,4,FALSE)</f>
        <v>D</v>
      </c>
      <c r="E85" s="47">
        <f>VLOOKUP(B85,D!A1:C229,3,FALSE)</f>
        <v>24</v>
      </c>
      <c r="F85" s="34" t="str">
        <f>VLOOKUP(B85,'Player Data'!A1:B734,2,FALSE)</f>
        <v>LAK</v>
      </c>
      <c r="G85" s="9">
        <f>VLOOKUP(B85,'Player Data'!A1:D734,3,FALSE)</f>
        <v>33</v>
      </c>
      <c r="H85" s="35">
        <f>IFERROR(VLOOKUP(B85,ADP!A1:G731,7,FALSE)/1000000,VLOOKUP(B85,ADP!A1:G731,7,FALSE))</f>
        <v>11</v>
      </c>
      <c r="I85" s="36">
        <f>IF(Settings!$E$15="POINTS",((R85*Q85)*Settings!$B$12)+(S85*Settings!$B$2)+(T85*Settings!$B$3)+(U85*Settings!$B$4)+(V85*Settings!$B$5)+(X85*Settings!$B$9)+(AA85*Settings!$B$6)+(W85*Settings!$B$8)+(AB85*Settings!$B$7)+(AC85*Settings!$B$14)+(AD85*Settings!$B$15)+(AE85*Settings!$B$16)+(AF85*Settings!$B$17)+(AG85*Settings!$B$18)+(U85*Settings!$B$13)+(Y85*Settings!$B$10)+(Z85*Settings!$B$11),VLOOKUP(B85,'Standard Deviations'!A1:C731,3,FALSE))</f>
        <v>3.136423936035897</v>
      </c>
      <c r="J85" s="37">
        <f t="shared" si="8"/>
        <v>3.824907239068167E-2</v>
      </c>
      <c r="K85" s="183">
        <f>VLOOKUP(B85,D!A1:F229,6,FALSE)</f>
        <v>1.1946833924015863</v>
      </c>
      <c r="L85" s="36">
        <f t="shared" si="9"/>
        <v>0.10860758112741693</v>
      </c>
      <c r="M85" s="38">
        <f>IF(Settings!$E$9="YAHOO",VLOOKUP(B85,ADP!A1:E731,2,FALSE),IF(Settings!$E$9="ESPN",VLOOKUP(B85,ADP!A1:E731,3,FALSE),IF(Settings!$E$9="FANTRAX",VLOOKUP(B85,ADP!A1:E731,4,FALSE),VLOOKUP(B85,ADP!A1:E731,5,FALSE))))</f>
        <v>120.39</v>
      </c>
      <c r="N85" s="38">
        <f t="shared" si="10"/>
        <v>36.39</v>
      </c>
      <c r="O85" s="38"/>
      <c r="P85" s="39" t="str">
        <f>IF(Settings!$E$27="ON",_xlfn.XLOOKUP(B85,ADP!A2:A731,ADP!H2:H731)," ")</f>
        <v>-</v>
      </c>
      <c r="Q85" s="40">
        <f>IF(Settings!$E$12="YES",VLOOKUP(B85,'Player Data'!A1:E734,5,FALSE),82)</f>
        <v>82</v>
      </c>
      <c r="R85" s="38">
        <f>VLOOKUP(B85,'Player Data'!$A1:$AE734,6,FALSE)</f>
        <v>26.167847642057701</v>
      </c>
      <c r="S85" s="40">
        <f>VLOOKUP(B85,'Player Data'!$A1:$AE734,7,FALSE)*$Q85*IFERROR((VLOOKUP(P85,Settings!$E$28:$F$33,2,FALSE)+1),1)</f>
        <v>9.759120617571428</v>
      </c>
      <c r="T85" s="40">
        <f>VLOOKUP(B85,'Player Data'!$A1:$AE734,8,FALSE)*$Q85*IFERROR((VLOOKUP(P85,Settings!$E$28:$F$33,2,FALSE)+1),1)</f>
        <v>40.960218547535256</v>
      </c>
      <c r="U85" s="40">
        <f>SUM(S85:T85)</f>
        <v>50.719339165106682</v>
      </c>
      <c r="V85" s="40">
        <f>VLOOKUP(B85,'Player Data'!$A1:$AE734,10,FALSE)*$Q85*IFERROR(((VLOOKUP(P85,Settings!$E$28:$F$33,2,FALSE)/2)+1),1)</f>
        <v>155.59752408630857</v>
      </c>
      <c r="W85" s="40">
        <f>VLOOKUP(B85,'Player Data'!$A1:$AE734,11,FALSE)*$Q85*IFERROR((VLOOKUP(P85,Settings!$E$28:$F$33,2,FALSE)+1),1)</f>
        <v>5.1525375584320452</v>
      </c>
      <c r="X85" s="40">
        <f>VLOOKUP(B85,'Player Data'!$A1:$AE734,12,FALSE)*$Q85*IFERROR((VLOOKUP(P85,Settings!$E$28:$F$33,2,FALSE)+1),1)</f>
        <v>24.911953238482575</v>
      </c>
      <c r="Y85" s="40">
        <f>VLOOKUP(B85,'Player Data'!$A1:$AE734,13,FALSE)*$Q85</f>
        <v>-3.9886335183041702E-2</v>
      </c>
      <c r="Z85" s="40">
        <f>VLOOKUP(B85,'Player Data'!$A1:$AE734,14,FALSE)*$Q85</f>
        <v>4.8513465370672679E-2</v>
      </c>
      <c r="AA85" s="40">
        <f>VLOOKUP(B85,'Player Data'!$A1:$AE734,15,FALSE)*$Q85</f>
        <v>114.12909645255726</v>
      </c>
      <c r="AB85" s="40">
        <f>VLOOKUP(B85,'Player Data'!$A1:$AE734,16,FALSE)*$Q85</f>
        <v>117.92739190147222</v>
      </c>
      <c r="AC85" s="40">
        <f>VLOOKUP(B85,'Player Data'!$A1:$AE734,17,FALSE)*$Q85*IFERROR((VLOOKUP(P85,Settings!$E$28:$F$33,2,FALSE)+1),1)</f>
        <v>0.13658027535020276</v>
      </c>
      <c r="AD85" s="40">
        <f>VLOOKUP(B85,'Player Data'!$A1:$AE734,18,FALSE)*$Q85</f>
        <v>43.410275363624194</v>
      </c>
      <c r="AE85" s="40">
        <f>VLOOKUP(B85,'Player Data'!$A1:$AE734,19,FALSE)*$Q85*IFERROR((VLOOKUP(P85,Settings!$E$28:$F$33,2,FALSE)+1),1)</f>
        <v>1.4449457014228251</v>
      </c>
      <c r="AF85" s="40">
        <f>VLOOKUP(B85,'Player Data'!$A1:$AE734,20,FALSE)*$Q85</f>
        <v>0</v>
      </c>
      <c r="AG85" s="40">
        <f>VLOOKUP(B85,'Player Data'!$A1:$AE734,21,FALSE)*$Q85</f>
        <v>0</v>
      </c>
      <c r="AH85" s="41">
        <f>VLOOKUP(B85,'Player Data'!$A1:$AE734,22,FALSE)</f>
        <v>0</v>
      </c>
      <c r="AI85" s="38"/>
      <c r="AJ85" s="42"/>
      <c r="AK85" s="40"/>
      <c r="AL85" s="40"/>
      <c r="AM85" s="40"/>
      <c r="AN85" s="40"/>
      <c r="AO85" s="40"/>
      <c r="AP85" s="40"/>
      <c r="AQ85" s="43"/>
      <c r="AR85" s="44"/>
      <c r="AS85" s="42"/>
    </row>
    <row r="86" spans="1:45" ht="21.2" customHeight="1">
      <c r="A86" s="181">
        <f t="shared" si="7"/>
        <v>85</v>
      </c>
      <c r="B86" s="8" t="s">
        <v>150</v>
      </c>
      <c r="C86" s="31" t="s">
        <v>104</v>
      </c>
      <c r="D86" s="32" t="str">
        <f>VLOOKUP(B86,'Player Data'!A1:D734,4,FALSE)</f>
        <v>G</v>
      </c>
      <c r="E86" s="50">
        <f>VLOOKUP(B86,G!A1:D75,3,FALSE)</f>
        <v>6</v>
      </c>
      <c r="F86" s="34" t="str">
        <f>VLOOKUP(B86,'Player Data'!A1:B734,2,FALSE)</f>
        <v>NSH</v>
      </c>
      <c r="G86" s="9">
        <f>VLOOKUP(B86,'Player Data'!A1:D734,3,FALSE)</f>
        <v>28</v>
      </c>
      <c r="H86" s="35">
        <f>IFERROR(VLOOKUP(B86,ADP!A1:G731,7,FALSE)/1000000,VLOOKUP(B86,ADP!A1:G731,7,FALSE))</f>
        <v>5</v>
      </c>
      <c r="I86" s="36">
        <f>IF(Settings!$E$15="POINTS",(AJ86*Settings!$B$29)+(AK86*Settings!$B$21)+(AL86*Settings!$B$22)+(AN86*Settings!$B$24)+(AO86*Settings!$B$25)+(AP86*Settings!$B$27)+(AM86*Settings!$B$23),VLOOKUP(B86,'Standard Deviations'!A1:C731,3,FALSE))</f>
        <v>2.885503156000083</v>
      </c>
      <c r="J86" s="37">
        <f t="shared" si="8"/>
        <v>4.8091719266668047E-2</v>
      </c>
      <c r="K86" s="183">
        <f>VLOOKUP(B86,G!A1:F75,6,FALSE)</f>
        <v>1.1812741048097914</v>
      </c>
      <c r="L86" s="36">
        <f t="shared" si="9"/>
        <v>0.2362548209619583</v>
      </c>
      <c r="M86" s="38">
        <f>IF(Settings!$E$9="YAHOO",VLOOKUP(B86,ADP!A1:E731,2,FALSE),IF(Settings!$E$9="ESPN",VLOOKUP(B86,ADP!A1:E731,3,FALSE),IF(Settings!$E$9="FANTRAX",VLOOKUP(B86,ADP!A1:E731,4,FALSE),VLOOKUP(B86,ADP!A1:E731,5,FALSE))))</f>
        <v>59.21</v>
      </c>
      <c r="N86" s="38">
        <f t="shared" si="10"/>
        <v>-25.79</v>
      </c>
      <c r="O86" s="38"/>
      <c r="P86" s="39" t="str">
        <f>IF(Settings!$E$27="ON",_xlfn.XLOOKUP(B86,ADP!A2:A731,ADP!H2:H731)," ")</f>
        <v>-</v>
      </c>
      <c r="Q86" s="40"/>
      <c r="R86" s="51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1"/>
      <c r="AI86" s="38"/>
      <c r="AJ86" s="42">
        <f>VLOOKUP(B86,'Player Data'!$A1:$AE734,24,FALSE)</f>
        <v>60</v>
      </c>
      <c r="AK86" s="40">
        <f>VLOOKUP(B86,'Player Data'!$A1:$AE734,25,FALSE)*$AJ86*IFERROR((VLOOKUP(P86,Settings!$E$28:$F$33,2,FALSE)+1),1)</f>
        <v>28.341838843010706</v>
      </c>
      <c r="AL86" s="40">
        <f>AJ86-AK86-AM86</f>
        <v>24.158161156989294</v>
      </c>
      <c r="AM86" s="40">
        <f>VLOOKUP(B86,'Player Data'!$A1:$AE734,27,FALSE)*$AJ86</f>
        <v>7.5</v>
      </c>
      <c r="AN86" s="40">
        <f>VLOOKUP(B86,'Player Data'!$A1:$AE734,28,FALSE)*AJ86</f>
        <v>4.3796155509991319</v>
      </c>
      <c r="AO86" s="40">
        <f>VLOOKUP(B86,'Player Data'!$A1:$AE734,29,FALSE)*$AJ86*IFERROR((VLOOKUP(P86,Settings!$E$28:$F$33,2,FALSE)/4)+1,1)</f>
        <v>1721.6405088503395</v>
      </c>
      <c r="AP86" s="40">
        <f>VLOOKUP(B86,'Player Data'!$A1:$AE734,31,FALSE)*$AJ86*(IFERROR(1-(VLOOKUP(P86,Settings!$E$28:$F$33,2,FALSE)/4),1))</f>
        <v>157.28716301849968</v>
      </c>
      <c r="AQ86" s="43">
        <f>1-(AP86/(AO86+AP86))</f>
        <v>0.91628886764861095</v>
      </c>
      <c r="AR86" s="44">
        <f>AP86/AJ86</f>
        <v>2.6214527169749946</v>
      </c>
      <c r="AS86" s="38"/>
    </row>
    <row r="87" spans="1:45" ht="21.2" customHeight="1">
      <c r="A87" s="181">
        <f t="shared" si="7"/>
        <v>86</v>
      </c>
      <c r="B87" s="8" t="s">
        <v>178</v>
      </c>
      <c r="C87" s="31" t="s">
        <v>104</v>
      </c>
      <c r="D87" s="32" t="str">
        <f>VLOOKUP(B87,'Player Data'!A1:D734,4,FALSE)</f>
        <v>G</v>
      </c>
      <c r="E87" s="50">
        <f>VLOOKUP(B87,G!A1:D75,3,FALSE)</f>
        <v>7</v>
      </c>
      <c r="F87" s="34" t="str">
        <f>VLOOKUP(B87,'Player Data'!A1:B734,2,FALSE)</f>
        <v>VAN</v>
      </c>
      <c r="G87" s="9">
        <f>VLOOKUP(B87,'Player Data'!A1:D734,3,FALSE)</f>
        <v>27</v>
      </c>
      <c r="H87" s="35">
        <f>IFERROR(VLOOKUP(B87,ADP!A1:G731,7,FALSE)/1000000,VLOOKUP(B87,ADP!A1:G731,7,FALSE))</f>
        <v>5</v>
      </c>
      <c r="I87" s="36">
        <f>IF(Settings!$E$15="POINTS",(AJ87*Settings!$B$29)+(AK87*Settings!$B$21)+(AL87*Settings!$B$22)+(AN87*Settings!$B$24)+(AO87*Settings!$B$25)+(AP87*Settings!$B$27)+(AM87*Settings!$B$23),VLOOKUP(B87,'Standard Deviations'!A1:C731,3,FALSE))</f>
        <v>2.7933322148167123</v>
      </c>
      <c r="J87" s="37">
        <f t="shared" si="8"/>
        <v>4.9880932407441292E-2</v>
      </c>
      <c r="K87" s="183">
        <f>VLOOKUP(B87,G!A1:F75,6,FALSE)</f>
        <v>1.0891031636264208</v>
      </c>
      <c r="L87" s="36">
        <f t="shared" si="9"/>
        <v>0.21782063272528415</v>
      </c>
      <c r="M87" s="38">
        <f>IF(Settings!$E$9="YAHOO",VLOOKUP(B87,ADP!A1:E731,2,FALSE),IF(Settings!$E$9="ESPN",VLOOKUP(B87,ADP!A1:E731,3,FALSE),IF(Settings!$E$9="FANTRAX",VLOOKUP(B87,ADP!A1:E731,4,FALSE),VLOOKUP(B87,ADP!A1:E731,5,FALSE))))</f>
        <v>120.87</v>
      </c>
      <c r="N87" s="38">
        <f t="shared" si="10"/>
        <v>34.870000000000005</v>
      </c>
      <c r="O87" s="38"/>
      <c r="P87" s="39" t="str">
        <f>IF(Settings!$E$27="ON",_xlfn.XLOOKUP(B87,ADP!A2:A731,ADP!H2:H731)," ")</f>
        <v>+</v>
      </c>
      <c r="Q87" s="40"/>
      <c r="R87" s="51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1"/>
      <c r="AI87" s="38"/>
      <c r="AJ87" s="42">
        <f>VLOOKUP(B87,'Player Data'!$A1:$AE734,24,FALSE)</f>
        <v>56</v>
      </c>
      <c r="AK87" s="40">
        <f>VLOOKUP(B87,'Player Data'!$A1:$AE734,25,FALSE)*$AJ87*IFERROR((VLOOKUP(P87,Settings!$E$28:$F$33,2,FALSE)+1),1)</f>
        <v>30.245820095442806</v>
      </c>
      <c r="AL87" s="40">
        <f>AJ87-AK87-AM87</f>
        <v>18.754179904557194</v>
      </c>
      <c r="AM87" s="40">
        <f>VLOOKUP(B87,'Player Data'!$A1:$AE734,27,FALSE)*$AJ87</f>
        <v>7</v>
      </c>
      <c r="AN87" s="40">
        <f>VLOOKUP(B87,'Player Data'!$A1:$AE734,28,FALSE)*AJ87</f>
        <v>3.7248481834810794</v>
      </c>
      <c r="AO87" s="40">
        <f>VLOOKUP(B87,'Player Data'!$A1:$AE734,29,FALSE)*$AJ87*IFERROR((VLOOKUP(P87,Settings!$E$28:$F$33,2,FALSE)/4)+1,1)</f>
        <v>1587.0996769001572</v>
      </c>
      <c r="AP87" s="40">
        <f>VLOOKUP(B87,'Player Data'!$A1:$AE734,31,FALSE)*$AJ87*(IFERROR(1-(VLOOKUP(P87,Settings!$E$28:$F$33,2,FALSE)/4),1))</f>
        <v>147.86586935618368</v>
      </c>
      <c r="AQ87" s="43">
        <f>1-(AP87/(AO87+AP87))</f>
        <v>0.91477302262558213</v>
      </c>
      <c r="AR87" s="44">
        <f>AP87/AJ87</f>
        <v>2.6404619527889941</v>
      </c>
      <c r="AS87" s="42"/>
    </row>
    <row r="88" spans="1:45" ht="21.2" customHeight="1">
      <c r="A88" s="181">
        <f t="shared" si="7"/>
        <v>87</v>
      </c>
      <c r="B88" s="8" t="s">
        <v>193</v>
      </c>
      <c r="C88" s="31" t="s">
        <v>104</v>
      </c>
      <c r="D88" s="32" t="str">
        <f>VLOOKUP(B88,'Player Data'!A1:D734,4,FALSE)</f>
        <v>D</v>
      </c>
      <c r="E88" s="47">
        <f>VLOOKUP(B88,D!A1:C229,3,FALSE)</f>
        <v>25</v>
      </c>
      <c r="F88" s="34" t="str">
        <f>VLOOKUP(B88,'Player Data'!A1:B734,2,FALSE)</f>
        <v>PIT</v>
      </c>
      <c r="G88" s="9">
        <f>VLOOKUP(B88,'Player Data'!A1:D734,3,FALSE)</f>
        <v>36</v>
      </c>
      <c r="H88" s="35">
        <f>IFERROR(VLOOKUP(B88,ADP!A1:G731,7,FALSE)/1000000,VLOOKUP(B88,ADP!A1:G731,7,FALSE))</f>
        <v>6.1</v>
      </c>
      <c r="I88" s="36">
        <f>IF(Settings!$E$15="POINTS",((R88*Q88)*Settings!$B$12)+(S88*Settings!$B$2)+(T88*Settings!$B$3)+(U88*Settings!$B$4)+(V88*Settings!$B$5)+(X88*Settings!$B$9)+(AA88*Settings!$B$6)+(W88*Settings!$B$8)+(AB88*Settings!$B$7)+(AC88*Settings!$B$14)+(AD88*Settings!$B$15)+(AE88*Settings!$B$16)+(AF88*Settings!$B$17)+(AG88*Settings!$B$18)+(U88*Settings!$B$13)+(Y88*Settings!$B$10)+(Z88*Settings!$B$11),VLOOKUP(B88,'Standard Deviations'!A1:C731,3,FALSE))</f>
        <v>3.0143248864281311</v>
      </c>
      <c r="J88" s="37">
        <f t="shared" si="8"/>
        <v>3.6760059590586966E-2</v>
      </c>
      <c r="K88" s="183">
        <f>VLOOKUP(B88,D!A1:F229,6,FALSE)</f>
        <v>1.0725843427938204</v>
      </c>
      <c r="L88" s="36">
        <f t="shared" si="9"/>
        <v>0.17583349881865909</v>
      </c>
      <c r="M88" s="38">
        <f>IF(Settings!$E$9="YAHOO",VLOOKUP(B88,ADP!A1:E731,2,FALSE),IF(Settings!$E$9="ESPN",VLOOKUP(B88,ADP!A1:E731,3,FALSE),IF(Settings!$E$9="FANTRAX",VLOOKUP(B88,ADP!A1:E731,4,FALSE),VLOOKUP(B88,ADP!A1:E731,5,FALSE))))</f>
        <v>92.49</v>
      </c>
      <c r="N88" s="38">
        <f t="shared" si="10"/>
        <v>5.4899999999999949</v>
      </c>
      <c r="O88" s="38"/>
      <c r="P88" s="39" t="str">
        <f>IF(Settings!$E$27="ON",_xlfn.XLOOKUP(B88,ADP!A2:A731,ADP!H2:H731)," ")</f>
        <v>-</v>
      </c>
      <c r="Q88" s="40">
        <f>IF(Settings!$E$12="YES",VLOOKUP(B88,'Player Data'!A1:E734,5,FALSE),82)</f>
        <v>82</v>
      </c>
      <c r="R88" s="38">
        <f>VLOOKUP(B88,'Player Data'!$A1:$AE734,6,FALSE)</f>
        <v>23.7331719893293</v>
      </c>
      <c r="S88" s="40">
        <f>VLOOKUP(B88,'Player Data'!$A1:$AE734,7,FALSE)*$Q88*IFERROR((VLOOKUP(P88,Settings!$E$28:$F$33,2,FALSE)+1),1)</f>
        <v>9.6372129034039293</v>
      </c>
      <c r="T88" s="40">
        <f>VLOOKUP(B88,'Player Data'!$A1:$AE734,8,FALSE)*$Q88*IFERROR((VLOOKUP(P88,Settings!$E$28:$F$33,2,FALSE)+1),1)</f>
        <v>40.008419962080957</v>
      </c>
      <c r="U88" s="40">
        <f>SUM(S88:T88)</f>
        <v>49.645632865484885</v>
      </c>
      <c r="V88" s="40">
        <f>VLOOKUP(B88,'Player Data'!$A1:$AE734,10,FALSE)*$Q88*IFERROR(((VLOOKUP(P88,Settings!$E$28:$F$33,2,FALSE)/2)+1),1)</f>
        <v>195.47861491417936</v>
      </c>
      <c r="W88" s="40">
        <f>VLOOKUP(B88,'Player Data'!$A1:$AE734,11,FALSE)*$Q88*IFERROR((VLOOKUP(P88,Settings!$E$28:$F$33,2,FALSE)+1),1)</f>
        <v>3.1932740785129661</v>
      </c>
      <c r="X88" s="40">
        <f>VLOOKUP(B88,'Player Data'!$A1:$AE734,12,FALSE)*$Q88*IFERROR((VLOOKUP(P88,Settings!$E$28:$F$33,2,FALSE)+1),1)</f>
        <v>18.29217759768315</v>
      </c>
      <c r="Y88" s="40">
        <f>VLOOKUP(B88,'Player Data'!$A1:$AE734,13,FALSE)*$Q88</f>
        <v>0.34694836381267613</v>
      </c>
      <c r="Z88" s="40">
        <f>VLOOKUP(B88,'Player Data'!$A1:$AE734,14,FALSE)*$Q88</f>
        <v>0.39741161917658413</v>
      </c>
      <c r="AA88" s="40">
        <f>VLOOKUP(B88,'Player Data'!$A1:$AE734,15,FALSE)*$Q88</f>
        <v>129.16546475215372</v>
      </c>
      <c r="AB88" s="40">
        <f>VLOOKUP(B88,'Player Data'!$A1:$AE734,16,FALSE)*$Q88</f>
        <v>173.75350342239139</v>
      </c>
      <c r="AC88" s="40">
        <f>VLOOKUP(B88,'Player Data'!$A1:$AE734,17,FALSE)*$Q88*IFERROR((VLOOKUP(P88,Settings!$E$28:$F$33,2,FALSE)+1),1)</f>
        <v>2.2704302518164563</v>
      </c>
      <c r="AD88" s="40">
        <f>VLOOKUP(B88,'Player Data'!$A1:$AE734,18,FALSE)*$Q88</f>
        <v>43.488377697774432</v>
      </c>
      <c r="AE88" s="40">
        <f>VLOOKUP(B88,'Player Data'!$A1:$AE734,19,FALSE)*$Q88*IFERROR((VLOOKUP(P88,Settings!$E$28:$F$33,2,FALSE)+1),1)</f>
        <v>1.5469656410477604</v>
      </c>
      <c r="AF88" s="40">
        <f>VLOOKUP(B88,'Player Data'!$A1:$AE734,20,FALSE)*$Q88</f>
        <v>0</v>
      </c>
      <c r="AG88" s="40">
        <f>VLOOKUP(B88,'Player Data'!$A1:$AE734,21,FALSE)*$Q88</f>
        <v>0.17542313527808709</v>
      </c>
      <c r="AH88" s="41">
        <f>VLOOKUP(B88,'Player Data'!$A1:$AE734,22,FALSE)</f>
        <v>0</v>
      </c>
      <c r="AI88" s="38"/>
      <c r="AJ88" s="42"/>
      <c r="AK88" s="40"/>
      <c r="AL88" s="40"/>
      <c r="AM88" s="40"/>
      <c r="AN88" s="40"/>
      <c r="AO88" s="40"/>
      <c r="AP88" s="40"/>
      <c r="AQ88" s="43"/>
      <c r="AR88" s="44"/>
      <c r="AS88" s="38"/>
    </row>
    <row r="89" spans="1:45" ht="21.2" customHeight="1">
      <c r="A89" s="181">
        <f t="shared" si="7"/>
        <v>88</v>
      </c>
      <c r="B89" s="8" t="s">
        <v>166</v>
      </c>
      <c r="C89" s="31" t="s">
        <v>104</v>
      </c>
      <c r="D89" s="32" t="str">
        <f>VLOOKUP(B89,'Player Data'!A1:D734,4,FALSE)</f>
        <v>LW,RW</v>
      </c>
      <c r="E89" s="45">
        <f>VLOOKUP(B89,RW!A1:F189,3,FALSE)</f>
        <v>22</v>
      </c>
      <c r="F89" s="34" t="str">
        <f>VLOOKUP(B89,'Player Data'!A1:B734,2,FALSE)</f>
        <v>DET</v>
      </c>
      <c r="G89" s="9">
        <f>VLOOKUP(B89,'Player Data'!A1:D734,3,FALSE)</f>
        <v>25</v>
      </c>
      <c r="H89" s="35">
        <f>IFERROR(VLOOKUP(B89,ADP!A1:G731,7,FALSE)/1000000,VLOOKUP(B89,ADP!A1:G731,7,FALSE))</f>
        <v>7.875</v>
      </c>
      <c r="I89" s="36">
        <f>IF(Settings!$E$15="POINTS",((R89*Q89)*Settings!$B$12)+(S89*Settings!$B$2)+(T89*Settings!$B$3)+(U89*Settings!$B$4)+(V89*Settings!$B$5)+(X89*Settings!$B$9)+(AA89*Settings!$B$6)+(W89*Settings!$B$8)+(AB89*Settings!$B$7)+(AC89*Settings!$B$14)+(AD89*Settings!$B$15)+(AE89*Settings!$B$16)+(AF89*Settings!$B$17)+(AG89*Settings!$B$18)+(Y89*Settings!$B$10)+(Z89*Settings!$B$11),VLOOKUP(B89,'Standard Deviations'!A1:C731,3,FALSE))</f>
        <v>7.3446174527156405</v>
      </c>
      <c r="J89" s="37">
        <f t="shared" si="8"/>
        <v>8.9568505520922451E-2</v>
      </c>
      <c r="K89" s="183">
        <f>IF(Settings!$E$18="C/LW/RW",VLOOKUP(B89,RW!A1:F189,6,FALSE),VLOOKUP(B89,F!A1:F431,6,FALSE))</f>
        <v>1.0643587337045597</v>
      </c>
      <c r="L89" s="36">
        <f t="shared" si="9"/>
        <v>0.13515666459740441</v>
      </c>
      <c r="M89" s="38">
        <f>IF(Settings!$E$9="YAHOO",VLOOKUP(B89,ADP!A1:E731,2,FALSE),IF(Settings!$E$9="ESPN",VLOOKUP(B89,ADP!A1:E731,3,FALSE),IF(Settings!$E$9="FANTRAX",VLOOKUP(B89,ADP!A1:E731,4,FALSE),VLOOKUP(B89,ADP!A1:E731,5,FALSE))))</f>
        <v>44.14</v>
      </c>
      <c r="N89" s="38">
        <f t="shared" si="10"/>
        <v>-43.86</v>
      </c>
      <c r="O89" s="38"/>
      <c r="P89" s="39" t="str">
        <f>IF(Settings!$E$27="ON",_xlfn.XLOOKUP(B89,ADP!A2:A731,ADP!H2:H731)," ")</f>
        <v xml:space="preserve"> </v>
      </c>
      <c r="Q89" s="40">
        <f>IF(Settings!$E$12="YES",VLOOKUP(B89,'Player Data'!A1:E734,5,FALSE),82)</f>
        <v>82</v>
      </c>
      <c r="R89" s="38">
        <f>VLOOKUP(B89,'Player Data'!$A1:$AE734,6,FALSE)</f>
        <v>18.349452822980201</v>
      </c>
      <c r="S89" s="40">
        <f>VLOOKUP(B89,'Player Data'!$A1:$AE734,7,FALSE)*$Q89*IFERROR((VLOOKUP(P89,Settings!$E$28:$F$33,2,FALSE)+1),1)</f>
        <v>32.074759610487078</v>
      </c>
      <c r="T89" s="40">
        <f>VLOOKUP(B89,'Player Data'!$A1:$AE734,8,FALSE)*$Q89*IFERROR((VLOOKUP(P89,Settings!$E$28:$F$33,2,FALSE)+1),1)</f>
        <v>36.96463186704559</v>
      </c>
      <c r="U89" s="40">
        <f>SUM(S89:T89)</f>
        <v>69.039391477532661</v>
      </c>
      <c r="V89" s="40">
        <f>VLOOKUP(B89,'Player Data'!$A1:$AE734,10,FALSE)*$Q89*IFERROR(((VLOOKUP(P89,Settings!$E$28:$F$33,2,FALSE)/2)+1),1)</f>
        <v>243.38937876644468</v>
      </c>
      <c r="W89" s="40">
        <f>VLOOKUP(B89,'Player Data'!$A1:$AE734,11,FALSE)*$Q89*IFERROR((VLOOKUP(P89,Settings!$E$28:$F$33,2,FALSE)+1),1)</f>
        <v>10.745519593413963</v>
      </c>
      <c r="X89" s="40">
        <f>VLOOKUP(B89,'Player Data'!$A1:$AE734,12,FALSE)*$Q89*IFERROR((VLOOKUP(P89,Settings!$E$28:$F$33,2,FALSE)+1),1)</f>
        <v>25.695300012892883</v>
      </c>
      <c r="Y89" s="40">
        <f>VLOOKUP(B89,'Player Data'!$A1:$AE734,13,FALSE)*$Q89</f>
        <v>2.1371326906020026E-2</v>
      </c>
      <c r="Z89" s="40">
        <f>VLOOKUP(B89,'Player Data'!$A1:$AE734,14,FALSE)*$Q89</f>
        <v>3.0541322599015378E-2</v>
      </c>
      <c r="AA89" s="40">
        <f>VLOOKUP(B89,'Player Data'!$A1:$AE734,15,FALSE)*$Q89</f>
        <v>35.35285141075984</v>
      </c>
      <c r="AB89" s="40">
        <f>VLOOKUP(B89,'Player Data'!$A1:$AE734,16,FALSE)*$Q89</f>
        <v>100.03375156011603</v>
      </c>
      <c r="AC89" s="40">
        <f>VLOOKUP(B89,'Player Data'!$A1:$AE734,17,FALSE)*$Q89*IFERROR((VLOOKUP(P89,Settings!$E$28:$F$33,2,FALSE)+1),1)</f>
        <v>-2.4766595779919185</v>
      </c>
      <c r="AD89" s="40">
        <f>VLOOKUP(B89,'Player Data'!$A1:$AE734,18,FALSE)*$Q89</f>
        <v>23.397408624998011</v>
      </c>
      <c r="AE89" s="40">
        <f>VLOOKUP(B89,'Player Data'!$A1:$AE734,19,FALSE)*$Q89*IFERROR((VLOOKUP(P89,Settings!$E$28:$F$33,2,FALSE)+1),1)</f>
        <v>4.2446408905337032</v>
      </c>
      <c r="AF89" s="40">
        <f>VLOOKUP(B89,'Player Data'!$A1:$AE734,20,FALSE)*$Q89</f>
        <v>12.695694479190465</v>
      </c>
      <c r="AG89" s="40">
        <f>VLOOKUP(B89,'Player Data'!$A1:$AE734,21,FALSE)*$Q89</f>
        <v>15.848377125090963</v>
      </c>
      <c r="AH89" s="41">
        <f>VLOOKUP(B89,'Player Data'!$A1:$AE734,22,FALSE)</f>
        <v>0.44477517626764101</v>
      </c>
      <c r="AI89" s="38"/>
      <c r="AJ89" s="42"/>
      <c r="AK89" s="40"/>
      <c r="AL89" s="40"/>
      <c r="AM89" s="40"/>
      <c r="AN89" s="40"/>
      <c r="AO89" s="40"/>
      <c r="AP89" s="40"/>
      <c r="AQ89" s="43"/>
      <c r="AR89" s="44"/>
      <c r="AS89" s="38"/>
    </row>
    <row r="90" spans="1:45" ht="21.2" customHeight="1">
      <c r="A90" s="181">
        <f t="shared" si="7"/>
        <v>89</v>
      </c>
      <c r="B90" s="8" t="s">
        <v>173</v>
      </c>
      <c r="C90" s="31" t="s">
        <v>104</v>
      </c>
      <c r="D90" s="32" t="str">
        <f>VLOOKUP(B90,'Player Data'!A1:D734,4,FALSE)</f>
        <v>LW,RW</v>
      </c>
      <c r="E90" s="45">
        <f>VLOOKUP(B90,RW!A1:F189,3,FALSE)</f>
        <v>23</v>
      </c>
      <c r="F90" s="34" t="str">
        <f>VLOOKUP(B90,'Player Data'!A1:B734,2,FALSE)</f>
        <v>NJD</v>
      </c>
      <c r="G90" s="9">
        <f>VLOOKUP(B90,'Player Data'!A1:D734,3,FALSE)</f>
        <v>25</v>
      </c>
      <c r="H90" s="35">
        <f>IFERROR(VLOOKUP(B90,ADP!A1:G731,7,FALSE)/1000000,VLOOKUP(B90,ADP!A1:G731,7,FALSE))</f>
        <v>7.85</v>
      </c>
      <c r="I90" s="36">
        <f>IF(Settings!$E$15="POINTS",((R90*Q90)*Settings!$B$12)+(S90*Settings!$B$2)+(T90*Settings!$B$3)+(U90*Settings!$B$4)+(V90*Settings!$B$5)+(X90*Settings!$B$9)+(AA90*Settings!$B$6)+(W90*Settings!$B$8)+(AB90*Settings!$B$7)+(AC90*Settings!$B$14)+(AD90*Settings!$B$15)+(AE90*Settings!$B$16)+(AF90*Settings!$B$17)+(AG90*Settings!$B$18)+(Y90*Settings!$B$10)+(Z90*Settings!$B$11),VLOOKUP(B90,'Standard Deviations'!A1:C731,3,FALSE))</f>
        <v>7.3232050734584915</v>
      </c>
      <c r="J90" s="37">
        <f t="shared" si="8"/>
        <v>8.9307378944615753E-2</v>
      </c>
      <c r="K90" s="183">
        <f>IF(Settings!$E$18="C/LW/RW",VLOOKUP(B90,RW!A1:F189,6,FALSE),VLOOKUP(B90,F!A1:F431,6,FALSE))</f>
        <v>1.0429463544474107</v>
      </c>
      <c r="L90" s="36">
        <f t="shared" si="9"/>
        <v>0.13285940820986125</v>
      </c>
      <c r="M90" s="38">
        <f>IF(Settings!$E$9="YAHOO",VLOOKUP(B90,ADP!A1:E731,2,FALSE),IF(Settings!$E$9="ESPN",VLOOKUP(B90,ADP!A1:E731,3,FALSE),IF(Settings!$E$9="FANTRAX",VLOOKUP(B90,ADP!A1:E731,4,FALSE),VLOOKUP(B90,ADP!A1:E731,5,FALSE))))</f>
        <v>76.760000000000005</v>
      </c>
      <c r="N90" s="38">
        <f t="shared" si="10"/>
        <v>-12.239999999999995</v>
      </c>
      <c r="O90" s="38"/>
      <c r="P90" s="39" t="str">
        <f>IF(Settings!$E$27="ON",_xlfn.XLOOKUP(B90,ADP!A2:A731,ADP!H2:H731)," ")</f>
        <v xml:space="preserve"> </v>
      </c>
      <c r="Q90" s="40">
        <f>IF(Settings!$E$12="YES",VLOOKUP(B90,'Player Data'!A1:E734,5,FALSE),82)</f>
        <v>82</v>
      </c>
      <c r="R90" s="38">
        <f>VLOOKUP(B90,'Player Data'!$A1:$AE734,6,FALSE)</f>
        <v>17.6488646323171</v>
      </c>
      <c r="S90" s="40">
        <f>VLOOKUP(B90,'Player Data'!$A1:$AE734,7,FALSE)*$Q90*IFERROR((VLOOKUP(P90,Settings!$E$28:$F$33,2,FALSE)+1),1)</f>
        <v>29.980906742805711</v>
      </c>
      <c r="T90" s="40">
        <f>VLOOKUP(B90,'Player Data'!$A1:$AE734,8,FALSE)*$Q90*IFERROR((VLOOKUP(P90,Settings!$E$28:$F$33,2,FALSE)+1),1)</f>
        <v>45.970594451758906</v>
      </c>
      <c r="U90" s="40">
        <f>SUM(S90:T90)</f>
        <v>75.951501194564614</v>
      </c>
      <c r="V90" s="40">
        <f>VLOOKUP(B90,'Player Data'!$A1:$AE734,10,FALSE)*$Q90*IFERROR(((VLOOKUP(P90,Settings!$E$28:$F$33,2,FALSE)/2)+1),1)</f>
        <v>213.30836289513019</v>
      </c>
      <c r="W90" s="40">
        <f>VLOOKUP(B90,'Player Data'!$A1:$AE734,11,FALSE)*$Q90*IFERROR((VLOOKUP(P90,Settings!$E$28:$F$33,2,FALSE)+1),1)</f>
        <v>7.1930089783811999</v>
      </c>
      <c r="X90" s="40">
        <f>VLOOKUP(B90,'Player Data'!$A1:$AE734,12,FALSE)*$Q90*IFERROR((VLOOKUP(P90,Settings!$E$28:$F$33,2,FALSE)+1),1)</f>
        <v>22.957390224688339</v>
      </c>
      <c r="Y90" s="40">
        <f>VLOOKUP(B90,'Player Data'!$A1:$AE734,13,FALSE)*$Q90</f>
        <v>1.5883948169100787E-2</v>
      </c>
      <c r="Z90" s="40">
        <f>VLOOKUP(B90,'Player Data'!$A1:$AE734,14,FALSE)*$Q90</f>
        <v>5.6398116778800127E-2</v>
      </c>
      <c r="AA90" s="40">
        <f>VLOOKUP(B90,'Player Data'!$A1:$AE734,15,FALSE)*$Q90</f>
        <v>27.126224903714572</v>
      </c>
      <c r="AB90" s="40">
        <f>VLOOKUP(B90,'Player Data'!$A1:$AE734,16,FALSE)*$Q90</f>
        <v>32.64611388839409</v>
      </c>
      <c r="AC90" s="40">
        <f>VLOOKUP(B90,'Player Data'!$A1:$AE734,17,FALSE)*$Q90*IFERROR((VLOOKUP(P90,Settings!$E$28:$F$33,2,FALSE)+1),1)</f>
        <v>2.0036783903104296</v>
      </c>
      <c r="AD90" s="40">
        <f>VLOOKUP(B90,'Player Data'!$A1:$AE734,18,FALSE)*$Q90</f>
        <v>15.583964876479991</v>
      </c>
      <c r="AE90" s="40">
        <f>VLOOKUP(B90,'Player Data'!$A1:$AE734,19,FALSE)*$Q90*IFERROR((VLOOKUP(P90,Settings!$E$28:$F$33,2,FALSE)+1),1)</f>
        <v>4.4065331414923472</v>
      </c>
      <c r="AF90" s="40">
        <f>VLOOKUP(B90,'Player Data'!$A1:$AE734,20,FALSE)*$Q90</f>
        <v>9.4790925734274528E-2</v>
      </c>
      <c r="AG90" s="40">
        <f>VLOOKUP(B90,'Player Data'!$A1:$AE734,21,FALSE)*$Q90</f>
        <v>1.8388605548249468</v>
      </c>
      <c r="AH90" s="41">
        <f>VLOOKUP(B90,'Player Data'!$A1:$AE734,22,FALSE)</f>
        <v>4.9021722211729797E-2</v>
      </c>
      <c r="AI90" s="38"/>
      <c r="AJ90" s="42"/>
      <c r="AK90" s="40"/>
      <c r="AL90" s="40"/>
      <c r="AM90" s="40"/>
      <c r="AN90" s="40"/>
      <c r="AO90" s="40"/>
      <c r="AP90" s="40"/>
      <c r="AQ90" s="43"/>
      <c r="AR90" s="44"/>
      <c r="AS90" s="42"/>
    </row>
    <row r="91" spans="1:45" ht="21.2" customHeight="1">
      <c r="A91" s="181">
        <f t="shared" si="7"/>
        <v>90</v>
      </c>
      <c r="B91" s="8" t="s">
        <v>170</v>
      </c>
      <c r="C91" s="31" t="s">
        <v>104</v>
      </c>
      <c r="D91" s="32" t="str">
        <f>VLOOKUP(B91,'Player Data'!A1:D734,4,FALSE)</f>
        <v>RW</v>
      </c>
      <c r="E91" s="46">
        <f>VLOOKUP(B91,RW!A1:F189,3,FALSE)</f>
        <v>24</v>
      </c>
      <c r="F91" s="34" t="str">
        <f>VLOOKUP(B91,'Player Data'!A1:B734,2,FALSE)</f>
        <v>PHI</v>
      </c>
      <c r="G91" s="9">
        <f>VLOOKUP(B91,'Player Data'!A1:D734,3,FALSE)</f>
        <v>26</v>
      </c>
      <c r="H91" s="35">
        <f>IFERROR(VLOOKUP(B91,ADP!A1:G731,7,FALSE)/1000000,VLOOKUP(B91,ADP!A1:G731,7,FALSE))</f>
        <v>5.5</v>
      </c>
      <c r="I91" s="36">
        <f>IF(Settings!$E$15="POINTS",((R91*Q91)*Settings!$B$12)+(S91*Settings!$B$2)+(T91*Settings!$B$3)+(U91*Settings!$B$4)+(V91*Settings!$B$5)+(X91*Settings!$B$9)+(AA91*Settings!$B$6)+(W91*Settings!$B$8)+(AB91*Settings!$B$7)+(AC91*Settings!$B$14)+(AD91*Settings!$B$15)+(AE91*Settings!$B$16)+(AF91*Settings!$B$17)+(AG91*Settings!$B$18)+(Y91*Settings!$B$10)+(Z91*Settings!$B$11),VLOOKUP(B91,'Standard Deviations'!A1:C731,3,FALSE))</f>
        <v>7.3121074765195431</v>
      </c>
      <c r="J91" s="37">
        <f t="shared" si="8"/>
        <v>8.917204239657979E-2</v>
      </c>
      <c r="K91" s="183">
        <f>IF(Settings!$E$18="C/LW/RW",VLOOKUP(B91,RW!A1:F189,6,FALSE),VLOOKUP(B91,F!A1:F431,6,FALSE))</f>
        <v>1.0318487575084623</v>
      </c>
      <c r="L91" s="36">
        <f t="shared" si="9"/>
        <v>0.18760886500153859</v>
      </c>
      <c r="M91" s="38">
        <f>IF(Settings!$E$9="YAHOO",VLOOKUP(B91,ADP!A1:E731,2,FALSE),IF(Settings!$E$9="ESPN",VLOOKUP(B91,ADP!A1:E731,3,FALSE),IF(Settings!$E$9="FANTRAX",VLOOKUP(B91,ADP!A1:E731,4,FALSE),VLOOKUP(B91,ADP!A1:E731,5,FALSE))))</f>
        <v>61.81</v>
      </c>
      <c r="N91" s="38">
        <f t="shared" si="10"/>
        <v>-28.189999999999998</v>
      </c>
      <c r="O91" s="38"/>
      <c r="P91" s="39" t="str">
        <f>IF(Settings!$E$27="ON",_xlfn.XLOOKUP(B91,ADP!A2:A731,ADP!H2:H731)," ")</f>
        <v xml:space="preserve"> </v>
      </c>
      <c r="Q91" s="40">
        <f>IF(Settings!$E$12="YES",VLOOKUP(B91,'Player Data'!A1:E734,5,FALSE),82)</f>
        <v>82</v>
      </c>
      <c r="R91" s="38">
        <f>VLOOKUP(B91,'Player Data'!$A1:$AE734,6,FALSE)</f>
        <v>20.043401772103699</v>
      </c>
      <c r="S91" s="40">
        <f>VLOOKUP(B91,'Player Data'!$A1:$AE734,7,FALSE)*$Q91*IFERROR((VLOOKUP(P91,Settings!$E$28:$F$33,2,FALSE)+1),1)</f>
        <v>31.691634444961878</v>
      </c>
      <c r="T91" s="40">
        <f>VLOOKUP(B91,'Player Data'!$A1:$AE734,8,FALSE)*$Q91*IFERROR((VLOOKUP(P91,Settings!$E$28:$F$33,2,FALSE)+1),1)</f>
        <v>43.264421489913396</v>
      </c>
      <c r="U91" s="40">
        <f>SUM(S91:T91)</f>
        <v>74.95605593487528</v>
      </c>
      <c r="V91" s="40">
        <f>VLOOKUP(B91,'Player Data'!$A1:$AE734,10,FALSE)*$Q91*IFERROR(((VLOOKUP(P91,Settings!$E$28:$F$33,2,FALSE)/2)+1),1)</f>
        <v>251.50351699338427</v>
      </c>
      <c r="W91" s="40">
        <f>VLOOKUP(B91,'Player Data'!$A1:$AE734,11,FALSE)*$Q91*IFERROR((VLOOKUP(P91,Settings!$E$28:$F$33,2,FALSE)+1),1)</f>
        <v>5.2291366874909526</v>
      </c>
      <c r="X91" s="40">
        <f>VLOOKUP(B91,'Player Data'!$A1:$AE734,12,FALSE)*$Q91*IFERROR((VLOOKUP(P91,Settings!$E$28:$F$33,2,FALSE)+1),1)</f>
        <v>17.211227250729191</v>
      </c>
      <c r="Y91" s="40">
        <f>VLOOKUP(B91,'Player Data'!$A1:$AE734,13,FALSE)*$Q91</f>
        <v>3.1371320053489362</v>
      </c>
      <c r="Z91" s="40">
        <f>VLOOKUP(B91,'Player Data'!$A1:$AE734,14,FALSE)*$Q91</f>
        <v>6.233838292914017</v>
      </c>
      <c r="AA91" s="40">
        <f>VLOOKUP(B91,'Player Data'!$A1:$AE734,15,FALSE)*$Q91</f>
        <v>48.066361731980173</v>
      </c>
      <c r="AB91" s="40">
        <f>VLOOKUP(B91,'Player Data'!$A1:$AE734,16,FALSE)*$Q91</f>
        <v>83.604104763832538</v>
      </c>
      <c r="AC91" s="40">
        <f>VLOOKUP(B91,'Player Data'!$A1:$AE734,17,FALSE)*$Q91*IFERROR((VLOOKUP(P91,Settings!$E$28:$F$33,2,FALSE)+1),1)</f>
        <v>-6.0071764096597384</v>
      </c>
      <c r="AD91" s="40">
        <f>VLOOKUP(B91,'Player Data'!$A1:$AE734,18,FALSE)*$Q91</f>
        <v>61.112156625925657</v>
      </c>
      <c r="AE91" s="40">
        <f>VLOOKUP(B91,'Player Data'!$A1:$AE734,19,FALSE)*$Q91*IFERROR((VLOOKUP(P91,Settings!$E$28:$F$33,2,FALSE)+1),1)</f>
        <v>3.7252135296262989</v>
      </c>
      <c r="AF91" s="40">
        <f>VLOOKUP(B91,'Player Data'!$A1:$AE734,20,FALSE)*$Q91</f>
        <v>29.574288676775375</v>
      </c>
      <c r="AG91" s="40">
        <f>VLOOKUP(B91,'Player Data'!$A1:$AE734,21,FALSE)*$Q91</f>
        <v>39.960288146913605</v>
      </c>
      <c r="AH91" s="41">
        <f>VLOOKUP(B91,'Player Data'!$A1:$AE734,22,FALSE)</f>
        <v>0.42531773439512799</v>
      </c>
      <c r="AI91" s="38"/>
      <c r="AJ91" s="42"/>
      <c r="AK91" s="40"/>
      <c r="AL91" s="40"/>
      <c r="AM91" s="40"/>
      <c r="AN91" s="40"/>
      <c r="AO91" s="40"/>
      <c r="AP91" s="40"/>
      <c r="AQ91" s="43"/>
      <c r="AR91" s="44"/>
      <c r="AS91" s="38"/>
    </row>
    <row r="92" spans="1:45" ht="21.2" customHeight="1">
      <c r="A92" s="181">
        <f t="shared" si="7"/>
        <v>91</v>
      </c>
      <c r="B92" s="8" t="s">
        <v>233</v>
      </c>
      <c r="C92" s="31" t="s">
        <v>104</v>
      </c>
      <c r="D92" s="32" t="str">
        <f>VLOOKUP(B92,'Player Data'!A1:D734,4,FALSE)</f>
        <v>G</v>
      </c>
      <c r="E92" s="50">
        <f>VLOOKUP(B92,G!A1:D75,3,FALSE)</f>
        <v>8</v>
      </c>
      <c r="F92" s="34" t="str">
        <f>VLOOKUP(B92,'Player Data'!A1:B734,2,FALSE)</f>
        <v>CGY</v>
      </c>
      <c r="G92" s="9">
        <f>VLOOKUP(B92,'Player Data'!A1:D734,3,FALSE)</f>
        <v>33</v>
      </c>
      <c r="H92" s="35">
        <f>IFERROR(VLOOKUP(B92,ADP!A1:G731,7,FALSE)/1000000,VLOOKUP(B92,ADP!A1:G731,7,FALSE))</f>
        <v>6</v>
      </c>
      <c r="I92" s="36">
        <f>IF(Settings!$E$15="POINTS",(AJ92*Settings!$B$29)+(AK92*Settings!$B$21)+(AL92*Settings!$B$22)+(AN92*Settings!$B$24)+(AO92*Settings!$B$25)+(AP92*Settings!$B$27)+(AM92*Settings!$B$23),VLOOKUP(B92,'Standard Deviations'!A1:C731,3,FALSE))</f>
        <v>2.6927710949822523</v>
      </c>
      <c r="J92" s="37">
        <f t="shared" si="8"/>
        <v>4.8085198124683079E-2</v>
      </c>
      <c r="K92" s="183">
        <f>VLOOKUP(B92,G!A1:F75,6,FALSE)</f>
        <v>0.98854204379196076</v>
      </c>
      <c r="L92" s="36">
        <f t="shared" si="9"/>
        <v>0.16475700729866014</v>
      </c>
      <c r="M92" s="38">
        <f>IF(Settings!$E$9="YAHOO",VLOOKUP(B92,ADP!A1:E731,2,FALSE),IF(Settings!$E$9="ESPN",VLOOKUP(B92,ADP!A1:E731,3,FALSE),IF(Settings!$E$9="FANTRAX",VLOOKUP(B92,ADP!A1:E731,4,FALSE),VLOOKUP(B92,ADP!A1:E731,5,FALSE))))</f>
        <v>175.08</v>
      </c>
      <c r="N92" s="38">
        <f t="shared" si="10"/>
        <v>84.080000000000013</v>
      </c>
      <c r="O92" s="38"/>
      <c r="P92" s="39" t="str">
        <f>IF(Settings!$E$27="ON",_xlfn.XLOOKUP(B92,ADP!A2:A731,ADP!H2:H731)," ")</f>
        <v xml:space="preserve"> </v>
      </c>
      <c r="Q92" s="40"/>
      <c r="R92" s="51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1"/>
      <c r="AI92" s="38"/>
      <c r="AJ92" s="42">
        <f>VLOOKUP(B92,'Player Data'!$A1:$AE734,24,FALSE)</f>
        <v>56</v>
      </c>
      <c r="AK92" s="40">
        <f>VLOOKUP(B92,'Player Data'!$A1:$AE734,25,FALSE)*$AJ92*IFERROR((VLOOKUP(P92,Settings!$E$28:$F$33,2,FALSE)+1),1)</f>
        <v>30.888589727949125</v>
      </c>
      <c r="AL92" s="40">
        <f>AJ92-AK92-AM92</f>
        <v>18.111410272050875</v>
      </c>
      <c r="AM92" s="40">
        <f>VLOOKUP(B92,'Player Data'!$A1:$AE734,27,FALSE)*$AJ92</f>
        <v>7</v>
      </c>
      <c r="AN92" s="40">
        <f>VLOOKUP(B92,'Player Data'!$A1:$AE734,28,FALSE)*AJ92</f>
        <v>3.5094499050566927</v>
      </c>
      <c r="AO92" s="40">
        <f>VLOOKUP(B92,'Player Data'!$A1:$AE734,29,FALSE)*$AJ92*IFERROR((VLOOKUP(P92,Settings!$E$28:$F$33,2,FALSE)/4)+1,1)</f>
        <v>1510.5883653345129</v>
      </c>
      <c r="AP92" s="40">
        <f>VLOOKUP(B92,'Player Data'!$A1:$AE734,31,FALSE)*$AJ92*(IFERROR(1-(VLOOKUP(P92,Settings!$E$28:$F$33,2,FALSE)/4),1))</f>
        <v>152.55693841548833</v>
      </c>
      <c r="AQ92" s="43">
        <f>1-(AP92/(AO92+AP92))</f>
        <v>0.90827203247274402</v>
      </c>
      <c r="AR92" s="44">
        <f>AP92/AJ92</f>
        <v>2.7242310431337202</v>
      </c>
      <c r="AS92" s="38"/>
    </row>
    <row r="93" spans="1:45" ht="21.2" customHeight="1">
      <c r="A93" s="181">
        <f t="shared" si="7"/>
        <v>92</v>
      </c>
      <c r="B93" s="8" t="s">
        <v>182</v>
      </c>
      <c r="C93" s="31" t="s">
        <v>104</v>
      </c>
      <c r="D93" s="32" t="str">
        <f>VLOOKUP(B93,'Player Data'!A1:D734,4,FALSE)</f>
        <v>D</v>
      </c>
      <c r="E93" s="47">
        <f>VLOOKUP(B93,D!A1:C229,3,FALSE)</f>
        <v>26</v>
      </c>
      <c r="F93" s="34" t="str">
        <f>VLOOKUP(B93,'Player Data'!A1:B734,2,FALSE)</f>
        <v>CGY</v>
      </c>
      <c r="G93" s="9">
        <f>VLOOKUP(B93,'Player Data'!A1:D734,3,FALSE)</f>
        <v>26</v>
      </c>
      <c r="H93" s="35">
        <f>IFERROR(VLOOKUP(B93,ADP!A1:G731,7,FALSE)/1000000,VLOOKUP(B93,ADP!A1:G731,7,FALSE))</f>
        <v>4.55</v>
      </c>
      <c r="I93" s="36">
        <f>IF(Settings!$E$15="POINTS",((R93*Q93)*Settings!$B$12)+(S93*Settings!$B$2)+(T93*Settings!$B$3)+(U93*Settings!$B$4)+(V93*Settings!$B$5)+(X93*Settings!$B$9)+(AA93*Settings!$B$6)+(W93*Settings!$B$8)+(AB93*Settings!$B$7)+(AC93*Settings!$B$14)+(AD93*Settings!$B$15)+(AE93*Settings!$B$16)+(AF93*Settings!$B$17)+(AG93*Settings!$B$18)+(U93*Settings!$B$13)+(Y93*Settings!$B$10)+(Z93*Settings!$B$11),VLOOKUP(B93,'Standard Deviations'!A1:C731,3,FALSE))</f>
        <v>2.9187384347788039</v>
      </c>
      <c r="J93" s="37">
        <f t="shared" si="8"/>
        <v>3.559437115583907E-2</v>
      </c>
      <c r="K93" s="183">
        <f>VLOOKUP(B93,D!A1:F229,6,FALSE)</f>
        <v>0.9769978911444932</v>
      </c>
      <c r="L93" s="36">
        <f t="shared" si="9"/>
        <v>0.21472481124054796</v>
      </c>
      <c r="M93" s="38">
        <f>IF(Settings!$E$9="YAHOO",VLOOKUP(B93,ADP!A1:E731,2,FALSE),IF(Settings!$E$9="ESPN",VLOOKUP(B93,ADP!A1:E731,3,FALSE),IF(Settings!$E$9="FANTRAX",VLOOKUP(B93,ADP!A1:E731,4,FALSE),VLOOKUP(B93,ADP!A1:E731,5,FALSE))))</f>
        <v>131.84</v>
      </c>
      <c r="N93" s="38">
        <f t="shared" si="10"/>
        <v>39.840000000000003</v>
      </c>
      <c r="O93" s="38"/>
      <c r="P93" s="39" t="str">
        <f>IF(Settings!$E$27="ON",_xlfn.XLOOKUP(B93,ADP!A2:A731,ADP!H2:H731)," ")</f>
        <v xml:space="preserve"> </v>
      </c>
      <c r="Q93" s="40">
        <f>IF(Settings!$E$12="YES",VLOOKUP(B93,'Player Data'!A1:E734,5,FALSE),82)</f>
        <v>82</v>
      </c>
      <c r="R93" s="38">
        <f>VLOOKUP(B93,'Player Data'!$A1:$AE734,6,FALSE)</f>
        <v>24.048825563445501</v>
      </c>
      <c r="S93" s="40">
        <f>VLOOKUP(B93,'Player Data'!$A1:$AE734,7,FALSE)*$Q93*IFERROR((VLOOKUP(P93,Settings!$E$28:$F$33,2,FALSE)+1),1)</f>
        <v>8.4661901714941337</v>
      </c>
      <c r="T93" s="40">
        <f>VLOOKUP(B93,'Player Data'!$A1:$AE734,8,FALSE)*$Q93*IFERROR((VLOOKUP(P93,Settings!$E$28:$F$33,2,FALSE)+1),1)</f>
        <v>42.872109321042004</v>
      </c>
      <c r="U93" s="40">
        <f>SUM(S93:T93)</f>
        <v>51.338299492536137</v>
      </c>
      <c r="V93" s="40">
        <f>VLOOKUP(B93,'Player Data'!$A1:$AE734,10,FALSE)*$Q93*IFERROR(((VLOOKUP(P93,Settings!$E$28:$F$33,2,FALSE)/2)+1),1)</f>
        <v>166.38094412078561</v>
      </c>
      <c r="W93" s="40">
        <f>VLOOKUP(B93,'Player Data'!$A1:$AE734,11,FALSE)*$Q93*IFERROR((VLOOKUP(P93,Settings!$E$28:$F$33,2,FALSE)+1),1)</f>
        <v>1.6975568964464933</v>
      </c>
      <c r="X93" s="40">
        <f>VLOOKUP(B93,'Player Data'!$A1:$AE734,12,FALSE)*$Q93*IFERROR((VLOOKUP(P93,Settings!$E$28:$F$33,2,FALSE)+1),1)</f>
        <v>20.512623646963583</v>
      </c>
      <c r="Y93" s="40">
        <f>VLOOKUP(B93,'Player Data'!$A1:$AE734,13,FALSE)*$Q93</f>
        <v>0.52713039957200414</v>
      </c>
      <c r="Z93" s="40">
        <f>VLOOKUP(B93,'Player Data'!$A1:$AE734,14,FALSE)*$Q93</f>
        <v>1.5141249526263414</v>
      </c>
      <c r="AA93" s="40">
        <f>VLOOKUP(B93,'Player Data'!$A1:$AE734,15,FALSE)*$Q93</f>
        <v>136.64585404270179</v>
      </c>
      <c r="AB93" s="40">
        <f>VLOOKUP(B93,'Player Data'!$A1:$AE734,16,FALSE)*$Q93</f>
        <v>64.185058719197926</v>
      </c>
      <c r="AC93" s="40">
        <f>VLOOKUP(B93,'Player Data'!$A1:$AE734,17,FALSE)*$Q93*IFERROR((VLOOKUP(P93,Settings!$E$28:$F$33,2,FALSE)+1),1)</f>
        <v>3.4004507949428016</v>
      </c>
      <c r="AD93" s="40">
        <f>VLOOKUP(B93,'Player Data'!$A1:$AE734,18,FALSE)*$Q93</f>
        <v>36.917450789220503</v>
      </c>
      <c r="AE93" s="40">
        <f>VLOOKUP(B93,'Player Data'!$A1:$AE734,19,FALSE)*$Q93*IFERROR((VLOOKUP(P93,Settings!$E$28:$F$33,2,FALSE)+1),1)</f>
        <v>1.414685562337183</v>
      </c>
      <c r="AF93" s="40">
        <f>VLOOKUP(B93,'Player Data'!$A1:$AE734,20,FALSE)*$Q93</f>
        <v>0</v>
      </c>
      <c r="AG93" s="40">
        <f>VLOOKUP(B93,'Player Data'!$A1:$AE734,21,FALSE)*$Q93</f>
        <v>0</v>
      </c>
      <c r="AH93" s="41">
        <f>VLOOKUP(B93,'Player Data'!$A1:$AE734,22,FALSE)</f>
        <v>0</v>
      </c>
      <c r="AI93" s="38"/>
      <c r="AJ93" s="42"/>
      <c r="AK93" s="40"/>
      <c r="AL93" s="40"/>
      <c r="AM93" s="40"/>
      <c r="AN93" s="40"/>
      <c r="AO93" s="40"/>
      <c r="AP93" s="40"/>
      <c r="AQ93" s="43"/>
      <c r="AR93" s="44"/>
      <c r="AS93" s="38"/>
    </row>
    <row r="94" spans="1:45" ht="21.2" customHeight="1">
      <c r="A94" s="181">
        <f t="shared" si="7"/>
        <v>93</v>
      </c>
      <c r="B94" s="8" t="s">
        <v>187</v>
      </c>
      <c r="C94" s="31" t="s">
        <v>104</v>
      </c>
      <c r="D94" s="32" t="str">
        <f>VLOOKUP(B94,'Player Data'!A1:D734,4,FALSE)</f>
        <v>RW</v>
      </c>
      <c r="E94" s="46">
        <f>VLOOKUP(B94,RW!A1:F189,3,FALSE)</f>
        <v>25</v>
      </c>
      <c r="F94" s="34" t="str">
        <f>VLOOKUP(B94,'Player Data'!A1:B734,2,FALSE)</f>
        <v>ANA</v>
      </c>
      <c r="G94" s="9">
        <f>VLOOKUP(B94,'Player Data'!A1:D734,3,FALSE)</f>
        <v>25</v>
      </c>
      <c r="H94" s="35">
        <f>IFERROR(VLOOKUP(B94,ADP!A1:G731,7,FALSE)/1000000,VLOOKUP(B94,ADP!A1:G731,7,FALSE))</f>
        <v>7</v>
      </c>
      <c r="I94" s="36">
        <f>IF(Settings!$E$15="POINTS",((R94*Q94)*Settings!$B$12)+(S94*Settings!$B$2)+(T94*Settings!$B$3)+(U94*Settings!$B$4)+(V94*Settings!$B$5)+(X94*Settings!$B$9)+(AA94*Settings!$B$6)+(W94*Settings!$B$8)+(AB94*Settings!$B$7)+(AC94*Settings!$B$14)+(AD94*Settings!$B$15)+(AE94*Settings!$B$16)+(AF94*Settings!$B$17)+(AG94*Settings!$B$18)+(Y94*Settings!$B$10)+(Z94*Settings!$B$11),VLOOKUP(B94,'Standard Deviations'!A1:C731,3,FALSE))</f>
        <v>7.1688647251580715</v>
      </c>
      <c r="J94" s="37">
        <f t="shared" si="8"/>
        <v>8.7425179575098433E-2</v>
      </c>
      <c r="K94" s="183">
        <f>IF(Settings!$E$18="C/LW/RW",VLOOKUP(B94,RW!A1:F189,6,FALSE),VLOOKUP(B94,F!A1:F431,6,FALSE))</f>
        <v>0.8886060061469907</v>
      </c>
      <c r="L94" s="36">
        <f t="shared" si="9"/>
        <v>0.1269437151638558</v>
      </c>
      <c r="M94" s="38">
        <f>IF(Settings!$E$9="YAHOO",VLOOKUP(B94,ADP!A1:E731,2,FALSE),IF(Settings!$E$9="ESPN",VLOOKUP(B94,ADP!A1:E731,3,FALSE),IF(Settings!$E$9="FANTRAX",VLOOKUP(B94,ADP!A1:E731,4,FALSE),VLOOKUP(B94,ADP!A1:E731,5,FALSE))))</f>
        <v>117.35</v>
      </c>
      <c r="N94" s="38">
        <f t="shared" si="10"/>
        <v>24.349999999999994</v>
      </c>
      <c r="O94" s="38"/>
      <c r="P94" s="39" t="str">
        <f>IF(Settings!$E$27="ON",_xlfn.XLOOKUP(B94,ADP!A2:A731,ADP!H2:H731)," ")</f>
        <v xml:space="preserve"> </v>
      </c>
      <c r="Q94" s="40">
        <f>IF(Settings!$E$12="YES",VLOOKUP(B94,'Player Data'!A1:E734,5,FALSE),82)</f>
        <v>82</v>
      </c>
      <c r="R94" s="38">
        <f>VLOOKUP(B94,'Player Data'!$A1:$AE734,6,FALSE)</f>
        <v>19.746723321483</v>
      </c>
      <c r="S94" s="40">
        <f>VLOOKUP(B94,'Player Data'!$A1:$AE734,7,FALSE)*$Q94*IFERROR((VLOOKUP(P94,Settings!$E$28:$F$33,2,FALSE)+1),1)</f>
        <v>34.021690742100134</v>
      </c>
      <c r="T94" s="40">
        <f>VLOOKUP(B94,'Player Data'!$A1:$AE734,8,FALSE)*$Q94*IFERROR((VLOOKUP(P94,Settings!$E$28:$F$33,2,FALSE)+1),1)</f>
        <v>42.750511698253192</v>
      </c>
      <c r="U94" s="40">
        <f>SUM(S94:T94)</f>
        <v>76.772202440353325</v>
      </c>
      <c r="V94" s="40">
        <f>VLOOKUP(B94,'Player Data'!$A1:$AE734,10,FALSE)*$Q94*IFERROR(((VLOOKUP(P94,Settings!$E$28:$F$33,2,FALSE)/2)+1),1)</f>
        <v>224.14706019015412</v>
      </c>
      <c r="W94" s="40">
        <f>VLOOKUP(B94,'Player Data'!$A1:$AE734,11,FALSE)*$Q94*IFERROR((VLOOKUP(P94,Settings!$E$28:$F$33,2,FALSE)+1),1)</f>
        <v>8.0307232616445496</v>
      </c>
      <c r="X94" s="40">
        <f>VLOOKUP(B94,'Player Data'!$A1:$AE734,12,FALSE)*$Q94*IFERROR((VLOOKUP(P94,Settings!$E$28:$F$33,2,FALSE)+1),1)</f>
        <v>17.707669672764304</v>
      </c>
      <c r="Y94" s="40">
        <f>VLOOKUP(B94,'Player Data'!$A1:$AE734,13,FALSE)*$Q94</f>
        <v>7.6577157147622477E-2</v>
      </c>
      <c r="Z94" s="40">
        <f>VLOOKUP(B94,'Player Data'!$A1:$AE734,14,FALSE)*$Q94</f>
        <v>0.14835075523614707</v>
      </c>
      <c r="AA94" s="40">
        <f>VLOOKUP(B94,'Player Data'!$A1:$AE734,15,FALSE)*$Q94</f>
        <v>29.461087800449331</v>
      </c>
      <c r="AB94" s="40">
        <f>VLOOKUP(B94,'Player Data'!$A1:$AE734,16,FALSE)*$Q94</f>
        <v>17.784720523746735</v>
      </c>
      <c r="AC94" s="40">
        <f>VLOOKUP(B94,'Player Data'!$A1:$AE734,17,FALSE)*$Q94*IFERROR((VLOOKUP(P94,Settings!$E$28:$F$33,2,FALSE)+1),1)</f>
        <v>-6.9286139592212175</v>
      </c>
      <c r="AD94" s="40">
        <f>VLOOKUP(B94,'Player Data'!$A1:$AE734,18,FALSE)*$Q94</f>
        <v>31.940006965831675</v>
      </c>
      <c r="AE94" s="40">
        <f>VLOOKUP(B94,'Player Data'!$A1:$AE734,19,FALSE)*$Q94*IFERROR((VLOOKUP(P94,Settings!$E$28:$F$33,2,FALSE)+1),1)</f>
        <v>3.261422212880221</v>
      </c>
      <c r="AF94" s="40">
        <f>VLOOKUP(B94,'Player Data'!$A1:$AE734,20,FALSE)*$Q94</f>
        <v>2.4699319598178504</v>
      </c>
      <c r="AG94" s="40">
        <f>VLOOKUP(B94,'Player Data'!$A1:$AE734,21,FALSE)*$Q94</f>
        <v>1.7773607226203088</v>
      </c>
      <c r="AH94" s="41">
        <f>VLOOKUP(B94,'Player Data'!$A1:$AE734,22,FALSE)</f>
        <v>0.58153090556499798</v>
      </c>
      <c r="AI94" s="38"/>
      <c r="AJ94" s="42"/>
      <c r="AK94" s="40"/>
      <c r="AL94" s="40"/>
      <c r="AM94" s="40"/>
      <c r="AN94" s="40"/>
      <c r="AO94" s="40"/>
      <c r="AP94" s="40"/>
      <c r="AQ94" s="43"/>
      <c r="AR94" s="44"/>
      <c r="AS94" s="38"/>
    </row>
    <row r="95" spans="1:45" ht="21.2" customHeight="1">
      <c r="A95" s="181">
        <f t="shared" si="7"/>
        <v>94</v>
      </c>
      <c r="B95" s="8" t="s">
        <v>250</v>
      </c>
      <c r="C95" s="31" t="s">
        <v>104</v>
      </c>
      <c r="D95" s="32" t="str">
        <f>VLOOKUP(B95,'Player Data'!A1:D734,4,FALSE)</f>
        <v>G</v>
      </c>
      <c r="E95" s="50">
        <f>VLOOKUP(B95,G!A1:D75,3,FALSE)</f>
        <v>9</v>
      </c>
      <c r="F95" s="34" t="str">
        <f>VLOOKUP(B95,'Player Data'!A1:B734,2,FALSE)</f>
        <v>FLA</v>
      </c>
      <c r="G95" s="9">
        <f>VLOOKUP(B95,'Player Data'!A1:D734,3,FALSE)</f>
        <v>34</v>
      </c>
      <c r="H95" s="35">
        <f>IFERROR(VLOOKUP(B95,ADP!A1:G731,7,FALSE)/1000000,VLOOKUP(B95,ADP!A1:G731,7,FALSE))</f>
        <v>10</v>
      </c>
      <c r="I95" s="36">
        <f>IF(Settings!$E$15="POINTS",(AJ95*Settings!$B$29)+(AK95*Settings!$B$21)+(AL95*Settings!$B$22)+(AN95*Settings!$B$24)+(AO95*Settings!$B$25)+(AP95*Settings!$B$27)+(AM95*Settings!$B$23),VLOOKUP(B95,'Standard Deviations'!A1:C731,3,FALSE))</f>
        <v>2.5823115211006948</v>
      </c>
      <c r="J95" s="37">
        <f t="shared" si="8"/>
        <v>4.9659836944244133E-2</v>
      </c>
      <c r="K95" s="183">
        <f>VLOOKUP(B95,G!A1:F75,6,FALSE)</f>
        <v>0.87808246991040328</v>
      </c>
      <c r="L95" s="36">
        <f t="shared" si="9"/>
        <v>8.7808246991040326E-2</v>
      </c>
      <c r="M95" s="38">
        <f>IF(Settings!$E$9="YAHOO",VLOOKUP(B95,ADP!A1:E731,2,FALSE),IF(Settings!$E$9="ESPN",VLOOKUP(B95,ADP!A1:E731,3,FALSE),IF(Settings!$E$9="FANTRAX",VLOOKUP(B95,ADP!A1:E731,4,FALSE),VLOOKUP(B95,ADP!A1:E731,5,FALSE))))</f>
        <v>167.92</v>
      </c>
      <c r="N95" s="38">
        <f t="shared" si="10"/>
        <v>73.919999999999987</v>
      </c>
      <c r="O95" s="38"/>
      <c r="P95" s="39" t="str">
        <f>IF(Settings!$E$27="ON",_xlfn.XLOOKUP(B95,ADP!A2:A731,ADP!H2:H731)," ")</f>
        <v xml:space="preserve"> </v>
      </c>
      <c r="Q95" s="40"/>
      <c r="R95" s="51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1"/>
      <c r="AI95" s="38"/>
      <c r="AJ95" s="42">
        <f>VLOOKUP(B95,'Player Data'!$A1:$AE734,24,FALSE)</f>
        <v>52</v>
      </c>
      <c r="AK95" s="40">
        <f>VLOOKUP(B95,'Player Data'!$A1:$AE734,25,FALSE)*$AJ95*IFERROR((VLOOKUP(P95,Settings!$E$28:$F$33,2,FALSE)+1),1)</f>
        <v>30.284836564871458</v>
      </c>
      <c r="AL95" s="40">
        <f>AJ95-AK95-AM95</f>
        <v>15.215163435128542</v>
      </c>
      <c r="AM95" s="40">
        <f>VLOOKUP(B95,'Player Data'!$A1:$AE734,27,FALSE)*$AJ95</f>
        <v>6.5</v>
      </c>
      <c r="AN95" s="40">
        <f>VLOOKUP(B95,'Player Data'!$A1:$AE734,28,FALSE)*AJ95</f>
        <v>2.4424155597255077</v>
      </c>
      <c r="AO95" s="40">
        <f>VLOOKUP(B95,'Player Data'!$A1:$AE734,29,FALSE)*$AJ95*IFERROR((VLOOKUP(P95,Settings!$E$28:$F$33,2,FALSE)/4)+1,1)</f>
        <v>1490.7117049481071</v>
      </c>
      <c r="AP95" s="40">
        <f>VLOOKUP(B95,'Player Data'!$A1:$AE734,31,FALSE)*$AJ95*(IFERROR(1-(VLOOKUP(P95,Settings!$E$28:$F$33,2,FALSE)/4),1))</f>
        <v>152.34534607689125</v>
      </c>
      <c r="AQ95" s="43">
        <f>1-(AP95/(AO95+AP95))</f>
        <v>0.90727933276458494</v>
      </c>
      <c r="AR95" s="44">
        <f>AP95/AJ95</f>
        <v>2.9297181937863703</v>
      </c>
      <c r="AS95" s="42"/>
    </row>
    <row r="96" spans="1:45" ht="21.2" customHeight="1">
      <c r="A96" s="181">
        <f t="shared" si="7"/>
        <v>95</v>
      </c>
      <c r="B96" s="8" t="s">
        <v>200</v>
      </c>
      <c r="C96" s="31" t="s">
        <v>104</v>
      </c>
      <c r="D96" s="32" t="str">
        <f>VLOOKUP(B96,'Player Data'!A1:D734,4,FALSE)</f>
        <v>G</v>
      </c>
      <c r="E96" s="50">
        <f>VLOOKUP(B96,G!A1:D75,3,FALSE)</f>
        <v>10</v>
      </c>
      <c r="F96" s="34" t="str">
        <f>VLOOKUP(B96,'Player Data'!A1:B734,2,FALSE)</f>
        <v>PIT</v>
      </c>
      <c r="G96" s="9">
        <f>VLOOKUP(B96,'Player Data'!A1:D734,3,FALSE)</f>
        <v>28</v>
      </c>
      <c r="H96" s="35">
        <f>IFERROR(VLOOKUP(B96,ADP!A1:G731,7,FALSE)/1000000,VLOOKUP(B96,ADP!A1:G731,7,FALSE))</f>
        <v>0</v>
      </c>
      <c r="I96" s="36">
        <f>IF(Settings!$E$15="POINTS",(AJ96*Settings!$B$29)+(AK96*Settings!$B$21)+(AL96*Settings!$B$22)+(AN96*Settings!$B$24)+(AO96*Settings!$B$25)+(AP96*Settings!$B$27)+(AM96*Settings!$B$23),VLOOKUP(B96,'Standard Deviations'!A1:C731,3,FALSE))</f>
        <v>2.5292196067867474</v>
      </c>
      <c r="J96" s="37">
        <f t="shared" si="8"/>
        <v>4.6837400125680509E-2</v>
      </c>
      <c r="K96" s="183">
        <f>VLOOKUP(B96,G!A1:F75,6,FALSE)</f>
        <v>0.82499055559645584</v>
      </c>
      <c r="L96" s="49" t="str">
        <f t="shared" si="9"/>
        <v>N/A</v>
      </c>
      <c r="M96" s="38">
        <f>IF(Settings!$E$9="YAHOO",VLOOKUP(B96,ADP!A1:E731,2,FALSE),IF(Settings!$E$9="ESPN",VLOOKUP(B96,ADP!A1:E731,3,FALSE),IF(Settings!$E$9="FANTRAX",VLOOKUP(B96,ADP!A1:E731,4,FALSE),VLOOKUP(B96,ADP!A1:E731,5,FALSE))))</f>
        <v>139.96</v>
      </c>
      <c r="N96" s="38">
        <f t="shared" si="10"/>
        <v>44.960000000000008</v>
      </c>
      <c r="O96" s="38"/>
      <c r="P96" s="39" t="str">
        <f>IF(Settings!$E$27="ON",_xlfn.XLOOKUP(B96,ADP!A2:A731,ADP!H2:H731)," ")</f>
        <v xml:space="preserve"> </v>
      </c>
      <c r="Q96" s="40"/>
      <c r="R96" s="51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1"/>
      <c r="AI96" s="38"/>
      <c r="AJ96" s="42">
        <f>VLOOKUP(B96,'Player Data'!$A1:$AE734,24,FALSE)</f>
        <v>54</v>
      </c>
      <c r="AK96" s="40">
        <f>VLOOKUP(B96,'Player Data'!$A1:$AE734,25,FALSE)*$AJ96*IFERROR((VLOOKUP(P96,Settings!$E$28:$F$33,2,FALSE)+1),1)</f>
        <v>29.303443465175935</v>
      </c>
      <c r="AL96" s="40">
        <f>AJ96-AK96-AM96</f>
        <v>17.946556534824065</v>
      </c>
      <c r="AM96" s="40">
        <f>VLOOKUP(B96,'Player Data'!$A1:$AE734,27,FALSE)*$AJ96</f>
        <v>6.75</v>
      </c>
      <c r="AN96" s="40">
        <f>VLOOKUP(B96,'Player Data'!$A1:$AE734,28,FALSE)*AJ96</f>
        <v>3.7961549302784472</v>
      </c>
      <c r="AO96" s="40">
        <f>VLOOKUP(B96,'Player Data'!$A1:$AE734,29,FALSE)*$AJ96*IFERROR((VLOOKUP(P96,Settings!$E$28:$F$33,2,FALSE)/4)+1,1)</f>
        <v>1515.0195831838157</v>
      </c>
      <c r="AP96" s="40">
        <f>VLOOKUP(B96,'Player Data'!$A1:$AE734,31,FALSE)*$AJ96*(IFERROR(1-(VLOOKUP(P96,Settings!$E$28:$F$33,2,FALSE)/4),1))</f>
        <v>141.71524960368529</v>
      </c>
      <c r="AQ96" s="43">
        <f>1-(AP96/(AO96+AP96))</f>
        <v>0.91446111544281017</v>
      </c>
      <c r="AR96" s="44">
        <f>AP96/AJ96</f>
        <v>2.6243564741423202</v>
      </c>
      <c r="AS96" s="38"/>
    </row>
    <row r="97" spans="1:45" ht="21.2" customHeight="1">
      <c r="A97" s="181">
        <f t="shared" si="7"/>
        <v>96</v>
      </c>
      <c r="B97" s="8" t="s">
        <v>213</v>
      </c>
      <c r="C97" s="31" t="s">
        <v>104</v>
      </c>
      <c r="D97" s="32" t="str">
        <f>VLOOKUP(B97,'Player Data'!A1:D734,4,FALSE)</f>
        <v>D</v>
      </c>
      <c r="E97" s="47">
        <f>VLOOKUP(B97,D!A1:C229,3,FALSE)</f>
        <v>27</v>
      </c>
      <c r="F97" s="34" t="str">
        <f>VLOOKUP(B97,'Player Data'!A1:B734,2,FALSE)</f>
        <v>OTT</v>
      </c>
      <c r="G97" s="9">
        <f>VLOOKUP(B97,'Player Data'!A1:D734,3,FALSE)</f>
        <v>26</v>
      </c>
      <c r="H97" s="35">
        <f>IFERROR(VLOOKUP(B97,ADP!A1:G731,7,FALSE)/1000000,VLOOKUP(B97,ADP!A1:G731,7,FALSE))</f>
        <v>8</v>
      </c>
      <c r="I97" s="36">
        <f>IF(Settings!$E$15="POINTS",((R97*Q97)*Settings!$B$12)+(S97*Settings!$B$2)+(T97*Settings!$B$3)+(U97*Settings!$B$4)+(V97*Settings!$B$5)+(X97*Settings!$B$9)+(AA97*Settings!$B$6)+(W97*Settings!$B$8)+(AB97*Settings!$B$7)+(AC97*Settings!$B$14)+(AD97*Settings!$B$15)+(AE97*Settings!$B$16)+(AF97*Settings!$B$17)+(AG97*Settings!$B$18)+(U97*Settings!$B$13)+(Y97*Settings!$B$10)+(Z97*Settings!$B$11),VLOOKUP(B97,'Standard Deviations'!A1:C731,3,FALSE))</f>
        <v>2.7360670159639824</v>
      </c>
      <c r="J97" s="37">
        <f t="shared" si="8"/>
        <v>3.3366670926390028E-2</v>
      </c>
      <c r="K97" s="183">
        <f>VLOOKUP(B97,D!A1:F229,6,FALSE)</f>
        <v>0.79432647232967168</v>
      </c>
      <c r="L97" s="36">
        <f t="shared" si="9"/>
        <v>9.9290809041208961E-2</v>
      </c>
      <c r="M97" s="38">
        <f>IF(Settings!$E$9="YAHOO",VLOOKUP(B97,ADP!A1:E731,2,FALSE),IF(Settings!$E$9="ESPN",VLOOKUP(B97,ADP!A1:E731,3,FALSE),IF(Settings!$E$9="FANTRAX",VLOOKUP(B97,ADP!A1:E731,4,FALSE),VLOOKUP(B97,ADP!A1:E731,5,FALSE))))</f>
        <v>120.32</v>
      </c>
      <c r="N97" s="38">
        <f t="shared" si="10"/>
        <v>24.319999999999993</v>
      </c>
      <c r="O97" s="38"/>
      <c r="P97" s="39" t="str">
        <f>IF(Settings!$E$27="ON",_xlfn.XLOOKUP(B97,ADP!A2:A731,ADP!H2:H731)," ")</f>
        <v xml:space="preserve"> </v>
      </c>
      <c r="Q97" s="40">
        <f>IF(Settings!$E$12="YES",VLOOKUP(B97,'Player Data'!A1:E734,5,FALSE),82)</f>
        <v>82</v>
      </c>
      <c r="R97" s="38">
        <f>VLOOKUP(B97,'Player Data'!$A1:$AE734,6,FALSE)</f>
        <v>23.191991085681899</v>
      </c>
      <c r="S97" s="40">
        <f>VLOOKUP(B97,'Player Data'!$A1:$AE734,7,FALSE)*$Q97*IFERROR((VLOOKUP(P97,Settings!$E$28:$F$33,2,FALSE)+1),1)</f>
        <v>10.821501849504672</v>
      </c>
      <c r="T97" s="40">
        <f>VLOOKUP(B97,'Player Data'!$A1:$AE734,8,FALSE)*$Q97*IFERROR((VLOOKUP(P97,Settings!$E$28:$F$33,2,FALSE)+1),1)</f>
        <v>38.097285969885519</v>
      </c>
      <c r="U97" s="40">
        <f>SUM(S97:T97)</f>
        <v>48.918787819390189</v>
      </c>
      <c r="V97" s="40">
        <f>VLOOKUP(B97,'Player Data'!$A1:$AE734,10,FALSE)*$Q97*IFERROR(((VLOOKUP(P97,Settings!$E$28:$F$33,2,FALSE)/2)+1),1)</f>
        <v>186.97255133602863</v>
      </c>
      <c r="W97" s="40">
        <f>VLOOKUP(B97,'Player Data'!$A1:$AE734,11,FALSE)*$Q97*IFERROR((VLOOKUP(P97,Settings!$E$28:$F$33,2,FALSE)+1),1)</f>
        <v>3.4210636219170381</v>
      </c>
      <c r="X97" s="40">
        <f>VLOOKUP(B97,'Player Data'!$A1:$AE734,12,FALSE)*$Q97*IFERROR((VLOOKUP(P97,Settings!$E$28:$F$33,2,FALSE)+1),1)</f>
        <v>17.510967235254927</v>
      </c>
      <c r="Y97" s="40">
        <f>VLOOKUP(B97,'Player Data'!$A1:$AE734,13,FALSE)*$Q97</f>
        <v>1.1506365956418324E-2</v>
      </c>
      <c r="Z97" s="40">
        <f>VLOOKUP(B97,'Player Data'!$A1:$AE734,14,FALSE)*$Q97</f>
        <v>4.9760812392815067E-2</v>
      </c>
      <c r="AA97" s="40">
        <f>VLOOKUP(B97,'Player Data'!$A1:$AE734,15,FALSE)*$Q97</f>
        <v>126.40209308636402</v>
      </c>
      <c r="AB97" s="40">
        <f>VLOOKUP(B97,'Player Data'!$A1:$AE734,16,FALSE)*$Q97</f>
        <v>91.243608937683263</v>
      </c>
      <c r="AC97" s="40">
        <f>VLOOKUP(B97,'Player Data'!$A1:$AE734,17,FALSE)*$Q97*IFERROR((VLOOKUP(P97,Settings!$E$28:$F$33,2,FALSE)+1),1)</f>
        <v>1.2821651886995016</v>
      </c>
      <c r="AD97" s="40">
        <f>VLOOKUP(B97,'Player Data'!$A1:$AE734,18,FALSE)*$Q97</f>
        <v>48.832162253504045</v>
      </c>
      <c r="AE97" s="40">
        <f>VLOOKUP(B97,'Player Data'!$A1:$AE734,19,FALSE)*$Q97*IFERROR((VLOOKUP(P97,Settings!$E$28:$F$33,2,FALSE)+1),1)</f>
        <v>1.6274013830496024</v>
      </c>
      <c r="AF97" s="40">
        <f>VLOOKUP(B97,'Player Data'!$A1:$AE734,20,FALSE)*$Q97</f>
        <v>0</v>
      </c>
      <c r="AG97" s="40">
        <f>VLOOKUP(B97,'Player Data'!$A1:$AE734,21,FALSE)*$Q97</f>
        <v>0</v>
      </c>
      <c r="AH97" s="41">
        <f>VLOOKUP(B97,'Player Data'!$A1:$AE734,22,FALSE)</f>
        <v>0</v>
      </c>
      <c r="AI97" s="38"/>
      <c r="AJ97" s="42"/>
      <c r="AK97" s="40"/>
      <c r="AL97" s="40"/>
      <c r="AM97" s="40"/>
      <c r="AN97" s="40"/>
      <c r="AO97" s="40"/>
      <c r="AP97" s="40"/>
      <c r="AQ97" s="43"/>
      <c r="AR97" s="44"/>
      <c r="AS97" s="38"/>
    </row>
    <row r="98" spans="1:45" ht="21.2" customHeight="1">
      <c r="A98" s="181">
        <f t="shared" si="7"/>
        <v>97</v>
      </c>
      <c r="B98" s="8" t="s">
        <v>199</v>
      </c>
      <c r="C98" s="31" t="s">
        <v>104</v>
      </c>
      <c r="D98" s="32" t="str">
        <f>VLOOKUP(B98,'Player Data'!A1:D734,4,FALSE)</f>
        <v>G</v>
      </c>
      <c r="E98" s="50">
        <f>VLOOKUP(B98,G!A1:D75,3,FALSE)</f>
        <v>11</v>
      </c>
      <c r="F98" s="34" t="str">
        <f>VLOOKUP(B98,'Player Data'!A1:B734,2,FALSE)</f>
        <v>MIN</v>
      </c>
      <c r="G98" s="9">
        <f>VLOOKUP(B98,'Player Data'!A1:D734,3,FALSE)</f>
        <v>25</v>
      </c>
      <c r="H98" s="35">
        <f>IFERROR(VLOOKUP(B98,ADP!A1:G731,7,FALSE)/1000000,VLOOKUP(B98,ADP!A1:G731,7,FALSE))</f>
        <v>0</v>
      </c>
      <c r="I98" s="36">
        <f>IF(Settings!$E$15="POINTS",(AJ98*Settings!$B$29)+(AK98*Settings!$B$21)+(AL98*Settings!$B$22)+(AN98*Settings!$B$24)+(AO98*Settings!$B$25)+(AP98*Settings!$B$27)+(AM98*Settings!$B$23),VLOOKUP(B98,'Standard Deviations'!A1:C731,3,FALSE))</f>
        <v>2.465804343501782</v>
      </c>
      <c r="J98" s="37">
        <f t="shared" si="8"/>
        <v>4.7419314298111193E-2</v>
      </c>
      <c r="K98" s="183">
        <f>VLOOKUP(B98,G!A1:F75,6,FALSE)</f>
        <v>0.76157529231149046</v>
      </c>
      <c r="L98" s="49" t="str">
        <f t="shared" si="9"/>
        <v>N/A</v>
      </c>
      <c r="M98" s="38">
        <f>IF(Settings!$E$9="YAHOO",VLOOKUP(B98,ADP!A1:E731,2,FALSE),IF(Settings!$E$9="ESPN",VLOOKUP(B98,ADP!A1:E731,3,FALSE),IF(Settings!$E$9="FANTRAX",VLOOKUP(B98,ADP!A1:E731,4,FALSE),VLOOKUP(B98,ADP!A1:E731,5,FALSE))))</f>
        <v>145.76</v>
      </c>
      <c r="N98" s="38">
        <f t="shared" si="10"/>
        <v>48.759999999999991</v>
      </c>
      <c r="O98" s="38"/>
      <c r="P98" s="39" t="str">
        <f>IF(Settings!$E$27="ON",_xlfn.XLOOKUP(B98,ADP!A2:A731,ADP!H2:H731)," ")</f>
        <v xml:space="preserve"> </v>
      </c>
      <c r="Q98" s="40"/>
      <c r="R98" s="51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1"/>
      <c r="AI98" s="38"/>
      <c r="AJ98" s="42">
        <f>VLOOKUP(B98,'Player Data'!$A1:$AE734,24,FALSE)</f>
        <v>52</v>
      </c>
      <c r="AK98" s="40">
        <f>VLOOKUP(B98,'Player Data'!$A1:$AE734,25,FALSE)*$AJ98*IFERROR((VLOOKUP(P98,Settings!$E$28:$F$33,2,FALSE)+1),1)</f>
        <v>28.534541524134255</v>
      </c>
      <c r="AL98" s="40">
        <f>AJ98-AK98-AM98</f>
        <v>16.965458475865745</v>
      </c>
      <c r="AM98" s="40">
        <f>VLOOKUP(B98,'Player Data'!$A1:$AE734,27,FALSE)*$AJ98</f>
        <v>6.5</v>
      </c>
      <c r="AN98" s="40">
        <f>VLOOKUP(B98,'Player Data'!$A1:$AE734,28,FALSE)*AJ98</f>
        <v>3.2434124156317989</v>
      </c>
      <c r="AO98" s="40">
        <f>VLOOKUP(B98,'Player Data'!$A1:$AE734,29,FALSE)*$AJ98*IFERROR((VLOOKUP(P98,Settings!$E$28:$F$33,2,FALSE)/4)+1,1)</f>
        <v>1524.2957713887695</v>
      </c>
      <c r="AP98" s="40">
        <f>VLOOKUP(B98,'Player Data'!$A1:$AE734,31,FALSE)*$AJ98*(IFERROR(1-(VLOOKUP(P98,Settings!$E$28:$F$33,2,FALSE)/4),1))</f>
        <v>141.861094036233</v>
      </c>
      <c r="AQ98" s="43">
        <f>1-(AP98/(AO98+AP98))</f>
        <v>0.91485730006577315</v>
      </c>
      <c r="AR98" s="44">
        <f>AP98/AJ98</f>
        <v>2.7280979622352501</v>
      </c>
      <c r="AS98" s="38"/>
    </row>
    <row r="99" spans="1:45" ht="21.2" customHeight="1">
      <c r="A99" s="181">
        <f t="shared" si="7"/>
        <v>98</v>
      </c>
      <c r="B99" s="8" t="s">
        <v>238</v>
      </c>
      <c r="C99" s="31" t="s">
        <v>104</v>
      </c>
      <c r="D99" s="32" t="str">
        <f>VLOOKUP(B99,'Player Data'!A1:D734,4,FALSE)</f>
        <v>G</v>
      </c>
      <c r="E99" s="50">
        <f>VLOOKUP(B99,G!A1:D75,3,FALSE)</f>
        <v>12</v>
      </c>
      <c r="F99" s="34" t="str">
        <f>VLOOKUP(B99,'Player Data'!A1:B734,2,FALSE)</f>
        <v>TOR</v>
      </c>
      <c r="G99" s="9">
        <f>VLOOKUP(B99,'Player Data'!A1:D734,3,FALSE)</f>
        <v>26</v>
      </c>
      <c r="H99" s="35">
        <f>IFERROR(VLOOKUP(B99,ADP!A1:G731,7,FALSE)/1000000,VLOOKUP(B99,ADP!A1:G731,7,FALSE))</f>
        <v>0</v>
      </c>
      <c r="I99" s="36">
        <f>IF(Settings!$E$15="POINTS",(AJ99*Settings!$B$29)+(AK99*Settings!$B$21)+(AL99*Settings!$B$22)+(AN99*Settings!$B$24)+(AO99*Settings!$B$25)+(AP99*Settings!$B$27)+(AM99*Settings!$B$23),VLOOKUP(B99,'Standard Deviations'!A1:C731,3,FALSE))</f>
        <v>2.4376092606347135</v>
      </c>
      <c r="J99" s="37">
        <f t="shared" si="8"/>
        <v>4.8752185212694268E-2</v>
      </c>
      <c r="K99" s="183">
        <f>VLOOKUP(B99,G!A1:F75,6,FALSE)</f>
        <v>0.73338020944442195</v>
      </c>
      <c r="L99" s="49" t="str">
        <f t="shared" si="9"/>
        <v>N/A</v>
      </c>
      <c r="M99" s="38">
        <f>IF(Settings!$E$9="YAHOO",VLOOKUP(B99,ADP!A1:E731,2,FALSE),IF(Settings!$E$9="ESPN",VLOOKUP(B99,ADP!A1:E731,3,FALSE),IF(Settings!$E$9="FANTRAX",VLOOKUP(B99,ADP!A1:E731,4,FALSE),VLOOKUP(B99,ADP!A1:E731,5,FALSE))))</f>
        <v>133.76</v>
      </c>
      <c r="N99" s="38">
        <f t="shared" si="10"/>
        <v>35.759999999999991</v>
      </c>
      <c r="O99" s="38"/>
      <c r="P99" s="39" t="str">
        <f>IF(Settings!$E$27="ON",_xlfn.XLOOKUP(B99,ADP!A2:A731,ADP!H2:H731)," ")</f>
        <v xml:space="preserve"> </v>
      </c>
      <c r="Q99" s="40"/>
      <c r="R99" s="51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1"/>
      <c r="AI99" s="38"/>
      <c r="AJ99" s="42">
        <f>VLOOKUP(B99,'Player Data'!$A1:$AE734,24,FALSE)</f>
        <v>50</v>
      </c>
      <c r="AK99" s="40">
        <f>VLOOKUP(B99,'Player Data'!$A1:$AE734,25,FALSE)*$AJ99*IFERROR((VLOOKUP(P99,Settings!$E$28:$F$33,2,FALSE)+1),1)</f>
        <v>30.28648096143035</v>
      </c>
      <c r="AL99" s="40">
        <f>AJ99-AK99-AM99</f>
        <v>13.46351903856965</v>
      </c>
      <c r="AM99" s="40">
        <f>VLOOKUP(B99,'Player Data'!$A1:$AE734,27,FALSE)*$AJ99</f>
        <v>6.25</v>
      </c>
      <c r="AN99" s="40">
        <f>VLOOKUP(B99,'Player Data'!$A1:$AE734,28,FALSE)*AJ99</f>
        <v>2.89886716191358</v>
      </c>
      <c r="AO99" s="40">
        <f>VLOOKUP(B99,'Player Data'!$A1:$AE734,29,FALSE)*$AJ99*IFERROR((VLOOKUP(P99,Settings!$E$28:$F$33,2,FALSE)/4)+1,1)</f>
        <v>1425.84615063205</v>
      </c>
      <c r="AP99" s="40">
        <f>VLOOKUP(B99,'Player Data'!$A1:$AE734,31,FALSE)*$AJ99*(IFERROR(1-(VLOOKUP(P99,Settings!$E$28:$F$33,2,FALSE)/4),1))</f>
        <v>139.28184343045049</v>
      </c>
      <c r="AQ99" s="43">
        <f>1-(AP99/(AO99+AP99))</f>
        <v>0.91100929511271111</v>
      </c>
      <c r="AR99" s="44">
        <f>AP99/AJ99</f>
        <v>2.7856368686090098</v>
      </c>
      <c r="AS99" s="38"/>
    </row>
    <row r="100" spans="1:45" ht="21.2" customHeight="1">
      <c r="A100" s="181">
        <f t="shared" si="7"/>
        <v>99</v>
      </c>
      <c r="B100" s="8" t="s">
        <v>183</v>
      </c>
      <c r="C100" s="31" t="s">
        <v>104</v>
      </c>
      <c r="D100" s="32" t="str">
        <f>VLOOKUP(B100,'Player Data'!A1:D734,4,FALSE)</f>
        <v>D</v>
      </c>
      <c r="E100" s="47">
        <f>VLOOKUP(B100,D!A1:C229,3,FALSE)</f>
        <v>28</v>
      </c>
      <c r="F100" s="34" t="str">
        <f>VLOOKUP(B100,'Player Data'!A1:B734,2,FALSE)</f>
        <v>VGK</v>
      </c>
      <c r="G100" s="9">
        <f>VLOOKUP(B100,'Player Data'!A1:D734,3,FALSE)</f>
        <v>33</v>
      </c>
      <c r="H100" s="35">
        <f>IFERROR(VLOOKUP(B100,ADP!A1:G731,7,FALSE)/1000000,VLOOKUP(B100,ADP!A1:G731,7,FALSE))</f>
        <v>8.8000000000000007</v>
      </c>
      <c r="I100" s="36">
        <f>IF(Settings!$E$15="POINTS",((R100*Q100)*Settings!$B$12)+(S100*Settings!$B$2)+(T100*Settings!$B$3)+(U100*Settings!$B$4)+(V100*Settings!$B$5)+(X100*Settings!$B$9)+(AA100*Settings!$B$6)+(W100*Settings!$B$8)+(AB100*Settings!$B$7)+(AC100*Settings!$B$14)+(AD100*Settings!$B$15)+(AE100*Settings!$B$16)+(AF100*Settings!$B$17)+(AG100*Settings!$B$18)+(U100*Settings!$B$13)+(Y100*Settings!$B$10)+(Z100*Settings!$B$11),VLOOKUP(B100,'Standard Deviations'!A1:C731,3,FALSE))</f>
        <v>2.6590856762594255</v>
      </c>
      <c r="J100" s="37">
        <f t="shared" si="8"/>
        <v>3.2427874100724702E-2</v>
      </c>
      <c r="K100" s="183">
        <f>VLOOKUP(B100,D!A1:F229,6,FALSE)</f>
        <v>0.71734513262511479</v>
      </c>
      <c r="L100" s="36">
        <f t="shared" si="9"/>
        <v>8.1516492343763042E-2</v>
      </c>
      <c r="M100" s="38">
        <f>IF(Settings!$E$9="YAHOO",VLOOKUP(B100,ADP!A1:E731,2,FALSE),IF(Settings!$E$9="ESPN",VLOOKUP(B100,ADP!A1:E731,3,FALSE),IF(Settings!$E$9="FANTRAX",VLOOKUP(B100,ADP!A1:E731,4,FALSE),VLOOKUP(B100,ADP!A1:E731,5,FALSE))))</f>
        <v>78.569999999999993</v>
      </c>
      <c r="N100" s="38">
        <f t="shared" si="10"/>
        <v>-20.430000000000007</v>
      </c>
      <c r="O100" s="38"/>
      <c r="P100" s="39" t="str">
        <f>IF(Settings!$E$27="ON",_xlfn.XLOOKUP(B100,ADP!A2:A731,ADP!H2:H731)," ")</f>
        <v xml:space="preserve"> </v>
      </c>
      <c r="Q100" s="40">
        <f>IF(Settings!$E$12="YES",VLOOKUP(B100,'Player Data'!A1:E734,5,FALSE),82)</f>
        <v>82</v>
      </c>
      <c r="R100" s="38">
        <f>VLOOKUP(B100,'Player Data'!$A1:$AE734,6,FALSE)</f>
        <v>24.516015218530701</v>
      </c>
      <c r="S100" s="40">
        <f>VLOOKUP(B100,'Player Data'!$A1:$AE734,7,FALSE)*$Q100*IFERROR((VLOOKUP(P100,Settings!$E$28:$F$33,2,FALSE)+1),1)</f>
        <v>11.606239203331791</v>
      </c>
      <c r="T100" s="40">
        <f>VLOOKUP(B100,'Player Data'!$A1:$AE734,8,FALSE)*$Q100*IFERROR((VLOOKUP(P100,Settings!$E$28:$F$33,2,FALSE)+1),1)</f>
        <v>37.747166443134574</v>
      </c>
      <c r="U100" s="40">
        <f>SUM(S100:T100)</f>
        <v>49.353405646466364</v>
      </c>
      <c r="V100" s="40">
        <f>VLOOKUP(B100,'Player Data'!$A1:$AE734,10,FALSE)*$Q100*IFERROR(((VLOOKUP(P100,Settings!$E$28:$F$33,2,FALSE)/2)+1),1)</f>
        <v>205.5524823627423</v>
      </c>
      <c r="W100" s="40">
        <f>VLOOKUP(B100,'Player Data'!$A1:$AE734,11,FALSE)*$Q100*IFERROR((VLOOKUP(P100,Settings!$E$28:$F$33,2,FALSE)+1),1)</f>
        <v>1.7313207435088038</v>
      </c>
      <c r="X100" s="40">
        <f>VLOOKUP(B100,'Player Data'!$A1:$AE734,12,FALSE)*$Q100*IFERROR((VLOOKUP(P100,Settings!$E$28:$F$33,2,FALSE)+1),1)</f>
        <v>12.942383477973468</v>
      </c>
      <c r="Y100" s="40">
        <f>VLOOKUP(B100,'Player Data'!$A1:$AE734,13,FALSE)*$Q100</f>
        <v>0.29294320160825715</v>
      </c>
      <c r="Z100" s="40">
        <f>VLOOKUP(B100,'Player Data'!$A1:$AE734,14,FALSE)*$Q100</f>
        <v>2.3114199559326338</v>
      </c>
      <c r="AA100" s="40">
        <f>VLOOKUP(B100,'Player Data'!$A1:$AE734,15,FALSE)*$Q100</f>
        <v>182.71120566020426</v>
      </c>
      <c r="AB100" s="40">
        <f>VLOOKUP(B100,'Player Data'!$A1:$AE734,16,FALSE)*$Q100</f>
        <v>76.461864378592523</v>
      </c>
      <c r="AC100" s="40">
        <f>VLOOKUP(B100,'Player Data'!$A1:$AE734,17,FALSE)*$Q100*IFERROR((VLOOKUP(P100,Settings!$E$28:$F$33,2,FALSE)+1),1)</f>
        <v>5.7222743628130432</v>
      </c>
      <c r="AD100" s="40">
        <f>VLOOKUP(B100,'Player Data'!$A1:$AE734,18,FALSE)*$Q100</f>
        <v>29.112478635594371</v>
      </c>
      <c r="AE100" s="40">
        <f>VLOOKUP(B100,'Player Data'!$A1:$AE734,19,FALSE)*$Q100*IFERROR((VLOOKUP(P100,Settings!$E$28:$F$33,2,FALSE)+1),1)</f>
        <v>1.8967761592513932</v>
      </c>
      <c r="AF100" s="40">
        <f>VLOOKUP(B100,'Player Data'!$A1:$AE734,20,FALSE)*$Q100</f>
        <v>0.37464454870908009</v>
      </c>
      <c r="AG100" s="40">
        <f>VLOOKUP(B100,'Player Data'!$A1:$AE734,21,FALSE)*$Q100</f>
        <v>0.47612506692494616</v>
      </c>
      <c r="AH100" s="41">
        <f>VLOOKUP(B100,'Player Data'!$A1:$AE734,22,FALSE)</f>
        <v>0.44035957775699403</v>
      </c>
      <c r="AI100" s="38"/>
      <c r="AJ100" s="42"/>
      <c r="AK100" s="40"/>
      <c r="AL100" s="40"/>
      <c r="AM100" s="40"/>
      <c r="AN100" s="40"/>
      <c r="AO100" s="40"/>
      <c r="AP100" s="40"/>
      <c r="AQ100" s="43"/>
      <c r="AR100" s="44"/>
      <c r="AS100" s="38"/>
    </row>
    <row r="101" spans="1:45" ht="21.2" customHeight="1">
      <c r="A101" s="181">
        <f t="shared" si="7"/>
        <v>100</v>
      </c>
      <c r="B101" s="8" t="s">
        <v>241</v>
      </c>
      <c r="C101" s="31" t="s">
        <v>104</v>
      </c>
      <c r="D101" s="32" t="str">
        <f>VLOOKUP(B101,'Player Data'!A1:D734,4,FALSE)</f>
        <v>G</v>
      </c>
      <c r="E101" s="50">
        <f>VLOOKUP(B101,G!A1:D75,3,FALSE)</f>
        <v>13</v>
      </c>
      <c r="F101" s="34" t="str">
        <f>VLOOKUP(B101,'Player Data'!A1:B734,2,FALSE)</f>
        <v>STL</v>
      </c>
      <c r="G101" s="9">
        <f>VLOOKUP(B101,'Player Data'!A1:D734,3,FALSE)</f>
        <v>30</v>
      </c>
      <c r="H101" s="35">
        <f>IFERROR(VLOOKUP(B101,ADP!A1:G731,7,FALSE)/1000000,VLOOKUP(B101,ADP!A1:G731,7,FALSE))</f>
        <v>6</v>
      </c>
      <c r="I101" s="36">
        <f>IF(Settings!$E$15="POINTS",(AJ101*Settings!$B$29)+(AK101*Settings!$B$21)+(AL101*Settings!$B$22)+(AN101*Settings!$B$24)+(AO101*Settings!$B$25)+(AP101*Settings!$B$27)+(AM101*Settings!$B$23),VLOOKUP(B101,'Standard Deviations'!A1:C731,3,FALSE))</f>
        <v>2.4214631416697765</v>
      </c>
      <c r="J101" s="37">
        <f t="shared" si="8"/>
        <v>4.0357719027829607E-2</v>
      </c>
      <c r="K101" s="183">
        <f>VLOOKUP(B101,G!A1:F75,6,FALSE)</f>
        <v>0.71723409047948494</v>
      </c>
      <c r="L101" s="36">
        <f t="shared" si="9"/>
        <v>0.11953901507991416</v>
      </c>
      <c r="M101" s="38">
        <f>IF(Settings!$E$9="YAHOO",VLOOKUP(B101,ADP!A1:E731,2,FALSE),IF(Settings!$E$9="ESPN",VLOOKUP(B101,ADP!A1:E731,3,FALSE),IF(Settings!$E$9="FANTRAX",VLOOKUP(B101,ADP!A1:E731,4,FALSE),VLOOKUP(B101,ADP!A1:E731,5,FALSE))))</f>
        <v>217.81</v>
      </c>
      <c r="N101" s="38">
        <f t="shared" si="10"/>
        <v>117.81</v>
      </c>
      <c r="O101" s="38"/>
      <c r="P101" s="39" t="str">
        <f>IF(Settings!$E$27="ON",_xlfn.XLOOKUP(B101,ADP!A2:A731,ADP!H2:H731)," ")</f>
        <v>-</v>
      </c>
      <c r="Q101" s="40"/>
      <c r="R101" s="51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1"/>
      <c r="AI101" s="38"/>
      <c r="AJ101" s="42">
        <f>VLOOKUP(B101,'Player Data'!$A1:$AE734,24,FALSE)</f>
        <v>60</v>
      </c>
      <c r="AK101" s="40">
        <f>VLOOKUP(B101,'Player Data'!$A1:$AE734,25,FALSE)*$AJ101*IFERROR((VLOOKUP(P101,Settings!$E$28:$F$33,2,FALSE)+1),1)</f>
        <v>24.745631204682812</v>
      </c>
      <c r="AL101" s="40">
        <f>AJ101-AK101-AM101</f>
        <v>27.754368795317191</v>
      </c>
      <c r="AM101" s="40">
        <f>VLOOKUP(B101,'Player Data'!$A1:$AE734,27,FALSE)*$AJ101</f>
        <v>7.5</v>
      </c>
      <c r="AN101" s="40">
        <f>VLOOKUP(B101,'Player Data'!$A1:$AE734,28,FALSE)*AJ101</f>
        <v>2.8080266478612117</v>
      </c>
      <c r="AO101" s="40">
        <f>VLOOKUP(B101,'Player Data'!$A1:$AE734,29,FALSE)*$AJ101*IFERROR((VLOOKUP(P101,Settings!$E$28:$F$33,2,FALSE)/4)+1,1)</f>
        <v>1690.0598289112227</v>
      </c>
      <c r="AP101" s="40">
        <f>VLOOKUP(B101,'Player Data'!$A1:$AE734,31,FALSE)*$AJ101*(IFERROR(1-(VLOOKUP(P101,Settings!$E$28:$F$33,2,FALSE)/4),1))</f>
        <v>178.1148300921534</v>
      </c>
      <c r="AQ101" s="43">
        <f>1-(AP101/(AO101+AP101))</f>
        <v>0.90465836305307068</v>
      </c>
      <c r="AR101" s="44">
        <f>AP101/AJ101</f>
        <v>2.9685805015358899</v>
      </c>
      <c r="AS101" s="42"/>
    </row>
    <row r="102" spans="1:45" ht="21.2" customHeight="1">
      <c r="A102" s="181">
        <f t="shared" si="7"/>
        <v>101</v>
      </c>
      <c r="B102" s="8" t="s">
        <v>226</v>
      </c>
      <c r="C102" s="31" t="s">
        <v>104</v>
      </c>
      <c r="D102" s="32" t="str">
        <f>VLOOKUP(B102,'Player Data'!A1:D734,4,FALSE)</f>
        <v>D</v>
      </c>
      <c r="E102" s="47">
        <f>VLOOKUP(B102,D!A1:C229,3,FALSE)</f>
        <v>29</v>
      </c>
      <c r="F102" s="34" t="str">
        <f>VLOOKUP(B102,'Player Data'!A1:B734,2,FALSE)</f>
        <v>OTT</v>
      </c>
      <c r="G102" s="9">
        <f>VLOOKUP(B102,'Player Data'!A1:D734,3,FALSE)</f>
        <v>25</v>
      </c>
      <c r="H102" s="35">
        <f>IFERROR(VLOOKUP(B102,ADP!A1:G731,7,FALSE)/1000000,VLOOKUP(B102,ADP!A1:G731,7,FALSE))</f>
        <v>4.5999999999999996</v>
      </c>
      <c r="I102" s="36">
        <f>IF(Settings!$E$15="POINTS",((R102*Q102)*Settings!$B$12)+(S102*Settings!$B$2)+(T102*Settings!$B$3)+(U102*Settings!$B$4)+(V102*Settings!$B$5)+(X102*Settings!$B$9)+(AA102*Settings!$B$6)+(W102*Settings!$B$8)+(AB102*Settings!$B$7)+(AC102*Settings!$B$14)+(AD102*Settings!$B$15)+(AE102*Settings!$B$16)+(AF102*Settings!$B$17)+(AG102*Settings!$B$18)+(U102*Settings!$B$13)+(Y102*Settings!$B$10)+(Z102*Settings!$B$11),VLOOKUP(B102,'Standard Deviations'!A1:C731,3,FALSE))</f>
        <v>2.5990839610045353</v>
      </c>
      <c r="J102" s="37">
        <f t="shared" si="8"/>
        <v>3.1696145865908965E-2</v>
      </c>
      <c r="K102" s="183">
        <f>VLOOKUP(B102,D!A1:F229,6,FALSE)</f>
        <v>0.65734341737022461</v>
      </c>
      <c r="L102" s="36">
        <f t="shared" si="9"/>
        <v>0.14290074290657057</v>
      </c>
      <c r="M102" s="38">
        <f>IF(Settings!$E$9="YAHOO",VLOOKUP(B102,ADP!A1:E731,2,FALSE),IF(Settings!$E$9="ESPN",VLOOKUP(B102,ADP!A1:E731,3,FALSE),IF(Settings!$E$9="FANTRAX",VLOOKUP(B102,ADP!A1:E731,4,FALSE),VLOOKUP(B102,ADP!A1:E731,5,FALSE))))</f>
        <v>103.76</v>
      </c>
      <c r="N102" s="38">
        <f t="shared" si="10"/>
        <v>2.7600000000000051</v>
      </c>
      <c r="O102" s="38"/>
      <c r="P102" s="39" t="str">
        <f>IF(Settings!$E$27="ON",_xlfn.XLOOKUP(B102,ADP!A2:A731,ADP!H2:H731)," ")</f>
        <v xml:space="preserve"> </v>
      </c>
      <c r="Q102" s="40">
        <f>IF(Settings!$E$12="YES",VLOOKUP(B102,'Player Data'!A1:E734,5,FALSE),82)</f>
        <v>82</v>
      </c>
      <c r="R102" s="38">
        <f>VLOOKUP(B102,'Player Data'!$A1:$AE734,6,FALSE)</f>
        <v>22.2429457520326</v>
      </c>
      <c r="S102" s="40">
        <f>VLOOKUP(B102,'Player Data'!$A1:$AE734,7,FALSE)*$Q102*IFERROR((VLOOKUP(P102,Settings!$E$28:$F$33,2,FALSE)+1),1)</f>
        <v>15.238180322567569</v>
      </c>
      <c r="T102" s="40">
        <f>VLOOKUP(B102,'Player Data'!$A1:$AE734,8,FALSE)*$Q102*IFERROR((VLOOKUP(P102,Settings!$E$28:$F$33,2,FALSE)+1),1)</f>
        <v>33.762905815874007</v>
      </c>
      <c r="U102" s="40">
        <f t="shared" ref="U102:U110" si="11">SUM(S102:T102)</f>
        <v>49.001086138441579</v>
      </c>
      <c r="V102" s="40">
        <f>VLOOKUP(B102,'Player Data'!$A1:$AE734,10,FALSE)*$Q102*IFERROR(((VLOOKUP(P102,Settings!$E$28:$F$33,2,FALSE)/2)+1),1)</f>
        <v>222.12006951911962</v>
      </c>
      <c r="W102" s="40">
        <f>VLOOKUP(B102,'Player Data'!$A1:$AE734,11,FALSE)*$Q102*IFERROR((VLOOKUP(P102,Settings!$E$28:$F$33,2,FALSE)+1),1)</f>
        <v>3.753396076445803</v>
      </c>
      <c r="X102" s="40">
        <f>VLOOKUP(B102,'Player Data'!$A1:$AE734,12,FALSE)*$Q102*IFERROR((VLOOKUP(P102,Settings!$E$28:$F$33,2,FALSE)+1),1)</f>
        <v>9.1355428309890812</v>
      </c>
      <c r="Y102" s="40">
        <f>VLOOKUP(B102,'Player Data'!$A1:$AE734,13,FALSE)*$Q102</f>
        <v>4.380141739433533E-2</v>
      </c>
      <c r="Z102" s="40">
        <f>VLOOKUP(B102,'Player Data'!$A1:$AE734,14,FALSE)*$Q102</f>
        <v>0.21891871389801199</v>
      </c>
      <c r="AA102" s="40">
        <f>VLOOKUP(B102,'Player Data'!$A1:$AE734,15,FALSE)*$Q102</f>
        <v>128.86391809648273</v>
      </c>
      <c r="AB102" s="40">
        <f>VLOOKUP(B102,'Player Data'!$A1:$AE734,16,FALSE)*$Q102</f>
        <v>90.453582771370378</v>
      </c>
      <c r="AC102" s="40">
        <f>VLOOKUP(B102,'Player Data'!$A1:$AE734,17,FALSE)*$Q102*IFERROR((VLOOKUP(P102,Settings!$E$28:$F$33,2,FALSE)+1),1)</f>
        <v>1.6286740147700212</v>
      </c>
      <c r="AD102" s="40">
        <f>VLOOKUP(B102,'Player Data'!$A1:$AE734,18,FALSE)*$Q102</f>
        <v>54.45853556639252</v>
      </c>
      <c r="AE102" s="40">
        <f>VLOOKUP(B102,'Player Data'!$A1:$AE734,19,FALSE)*$Q102*IFERROR((VLOOKUP(P102,Settings!$E$28:$F$33,2,FALSE)+1),1)</f>
        <v>2.2916075861725891</v>
      </c>
      <c r="AF102" s="40">
        <f>VLOOKUP(B102,'Player Data'!$A1:$AE734,20,FALSE)*$Q102</f>
        <v>0</v>
      </c>
      <c r="AG102" s="40">
        <f>VLOOKUP(B102,'Player Data'!$A1:$AE734,21,FALSE)*$Q102</f>
        <v>0</v>
      </c>
      <c r="AH102" s="41">
        <f>VLOOKUP(B102,'Player Data'!$A1:$AE734,22,FALSE)</f>
        <v>0</v>
      </c>
      <c r="AI102" s="38"/>
      <c r="AJ102" s="42"/>
      <c r="AK102" s="40"/>
      <c r="AL102" s="40"/>
      <c r="AM102" s="40"/>
      <c r="AN102" s="40"/>
      <c r="AO102" s="40"/>
      <c r="AP102" s="40"/>
      <c r="AQ102" s="43"/>
      <c r="AR102" s="44"/>
      <c r="AS102" s="42"/>
    </row>
    <row r="103" spans="1:45" ht="21.2" customHeight="1">
      <c r="A103" s="181">
        <f t="shared" si="7"/>
        <v>102</v>
      </c>
      <c r="B103" s="8" t="s">
        <v>197</v>
      </c>
      <c r="C103" s="31" t="s">
        <v>104</v>
      </c>
      <c r="D103" s="32" t="str">
        <f>VLOOKUP(B103,'Player Data'!A1:D734,4,FALSE)</f>
        <v>LW</v>
      </c>
      <c r="E103" s="48">
        <f>VLOOKUP(B103,LW!A1:C227,3,FALSE)</f>
        <v>32</v>
      </c>
      <c r="F103" s="34" t="str">
        <f>VLOOKUP(B103,'Player Data'!A1:B734,2,FALSE)</f>
        <v>FLA</v>
      </c>
      <c r="G103" s="9">
        <f>VLOOKUP(B103,'Player Data'!A1:D734,3,FALSE)</f>
        <v>28</v>
      </c>
      <c r="H103" s="35">
        <f>IFERROR(VLOOKUP(B103,ADP!A1:G731,7,FALSE)/1000000,VLOOKUP(B103,ADP!A1:G731,7,FALSE))</f>
        <v>4.1666999999999996</v>
      </c>
      <c r="I103" s="36">
        <f>IF(Settings!$E$15="POINTS",((R103*Q103)*Settings!$B$12)+(S103*Settings!$B$2)+(T103*Settings!$B$3)+(U103*Settings!$B$4)+(V103*Settings!$B$5)+(X103*Settings!$B$9)+(AA103*Settings!$B$6)+(W103*Settings!$B$8)+(AB103*Settings!$B$7)+(AC103*Settings!$B$14)+(AD103*Settings!$B$15)+(AE103*Settings!$B$16)+(AF103*Settings!$B$17)+(AG103*Settings!$B$18)+(Y103*Settings!$B$10)+(Z103*Settings!$B$11),VLOOKUP(B103,'Standard Deviations'!A1:C731,3,FALSE))</f>
        <v>7.311458974838196</v>
      </c>
      <c r="J103" s="37">
        <f t="shared" si="8"/>
        <v>8.9164133839490192E-2</v>
      </c>
      <c r="K103" s="183">
        <f>IF(Settings!$E$18="C/LW/RW",VLOOKUP(B103,LW!A1:F227,6,FALSE),VLOOKUP(B103,F!A1:F431,6,FALSE))</f>
        <v>0.65678993071379477</v>
      </c>
      <c r="L103" s="36">
        <f t="shared" si="9"/>
        <v>0.15762832234473201</v>
      </c>
      <c r="M103" s="38">
        <f>IF(Settings!$E$9="YAHOO",VLOOKUP(B103,ADP!A1:E731,2,FALSE),IF(Settings!$E$9="ESPN",VLOOKUP(B103,ADP!A1:E731,3,FALSE),IF(Settings!$E$9="FANTRAX",VLOOKUP(B103,ADP!A1:E731,4,FALSE),VLOOKUP(B103,ADP!A1:E731,5,FALSE))))</f>
        <v>60.18</v>
      </c>
      <c r="N103" s="38">
        <f t="shared" si="10"/>
        <v>-41.82</v>
      </c>
      <c r="O103" s="38"/>
      <c r="P103" s="39" t="str">
        <f>IF(Settings!$E$27="ON",_xlfn.XLOOKUP(B103,ADP!A2:A731,ADP!H2:H731)," ")</f>
        <v xml:space="preserve"> </v>
      </c>
      <c r="Q103" s="40">
        <f>IF(Settings!$E$12="YES",VLOOKUP(B103,'Player Data'!A1:E734,5,FALSE),82)</f>
        <v>82</v>
      </c>
      <c r="R103" s="38">
        <f>VLOOKUP(B103,'Player Data'!$A1:$AE734,6,FALSE)</f>
        <v>18.2777310597683</v>
      </c>
      <c r="S103" s="40">
        <f>VLOOKUP(B103,'Player Data'!$A1:$AE734,7,FALSE)*$Q103*IFERROR((VLOOKUP(P103,Settings!$E$28:$F$33,2,FALSE)+1),1)</f>
        <v>37.441533082712432</v>
      </c>
      <c r="T103" s="40">
        <f>VLOOKUP(B103,'Player Data'!$A1:$AE734,8,FALSE)*$Q103*IFERROR((VLOOKUP(P103,Settings!$E$28:$F$33,2,FALSE)+1),1)</f>
        <v>36.523572420926229</v>
      </c>
      <c r="U103" s="40">
        <f t="shared" si="11"/>
        <v>73.965105503638654</v>
      </c>
      <c r="V103" s="40">
        <f>VLOOKUP(B103,'Player Data'!$A1:$AE734,10,FALSE)*$Q103*IFERROR(((VLOOKUP(P103,Settings!$E$28:$F$33,2,FALSE)/2)+1),1)</f>
        <v>267.22740159981288</v>
      </c>
      <c r="W103" s="40">
        <f>VLOOKUP(B103,'Player Data'!$A1:$AE734,11,FALSE)*$Q103*IFERROR((VLOOKUP(P103,Settings!$E$28:$F$33,2,FALSE)+1),1)</f>
        <v>6.8349640845084521</v>
      </c>
      <c r="X103" s="40">
        <f>VLOOKUP(B103,'Player Data'!$A1:$AE734,12,FALSE)*$Q103*IFERROR((VLOOKUP(P103,Settings!$E$28:$F$33,2,FALSE)+1),1)</f>
        <v>14.38995566340739</v>
      </c>
      <c r="Y103" s="40">
        <f>VLOOKUP(B103,'Player Data'!$A1:$AE734,13,FALSE)*$Q103</f>
        <v>1.8755533407960583E-2</v>
      </c>
      <c r="Z103" s="40">
        <f>VLOOKUP(B103,'Player Data'!$A1:$AE734,14,FALSE)*$Q103</f>
        <v>2.4624182401188906E-2</v>
      </c>
      <c r="AA103" s="40">
        <f>VLOOKUP(B103,'Player Data'!$A1:$AE734,15,FALSE)*$Q103</f>
        <v>29.567164663885993</v>
      </c>
      <c r="AB103" s="40">
        <f>VLOOKUP(B103,'Player Data'!$A1:$AE734,16,FALSE)*$Q103</f>
        <v>42.384159616255666</v>
      </c>
      <c r="AC103" s="40">
        <f>VLOOKUP(B103,'Player Data'!$A1:$AE734,17,FALSE)*$Q103*IFERROR((VLOOKUP(P103,Settings!$E$28:$F$33,2,FALSE)+1),1)</f>
        <v>7.7092619787750598</v>
      </c>
      <c r="AD103" s="40">
        <f>VLOOKUP(B103,'Player Data'!$A1:$AE734,18,FALSE)*$Q103</f>
        <v>50.87651631657792</v>
      </c>
      <c r="AE103" s="40">
        <f>VLOOKUP(B103,'Player Data'!$A1:$AE734,19,FALSE)*$Q103*IFERROR((VLOOKUP(P103,Settings!$E$28:$F$33,2,FALSE)+1),1)</f>
        <v>5.371073324206586</v>
      </c>
      <c r="AF103" s="40">
        <f>VLOOKUP(B103,'Player Data'!$A1:$AE734,20,FALSE)*$Q103</f>
        <v>25.43001180590251</v>
      </c>
      <c r="AG103" s="40">
        <f>VLOOKUP(B103,'Player Data'!$A1:$AE734,21,FALSE)*$Q103</f>
        <v>21.247032652298078</v>
      </c>
      <c r="AH103" s="41">
        <f>VLOOKUP(B103,'Player Data'!$A1:$AE734,22,FALSE)</f>
        <v>0.54480766940321501</v>
      </c>
      <c r="AI103" s="38"/>
      <c r="AJ103" s="42"/>
      <c r="AK103" s="40"/>
      <c r="AL103" s="40"/>
      <c r="AM103" s="40"/>
      <c r="AN103" s="40"/>
      <c r="AO103" s="40"/>
      <c r="AP103" s="40"/>
      <c r="AQ103" s="43"/>
      <c r="AR103" s="44"/>
      <c r="AS103" s="42"/>
    </row>
    <row r="104" spans="1:45" ht="21.2" customHeight="1">
      <c r="A104" s="181">
        <f t="shared" si="7"/>
        <v>103</v>
      </c>
      <c r="B104" s="8" t="s">
        <v>201</v>
      </c>
      <c r="C104" s="31" t="s">
        <v>104</v>
      </c>
      <c r="D104" s="32" t="str">
        <f>VLOOKUP(B104,'Player Data'!A1:D734,4,FALSE)</f>
        <v>C</v>
      </c>
      <c r="E104" s="33">
        <f>VLOOKUP(B104,'C'!A1:C208,3,FALSE)</f>
        <v>30</v>
      </c>
      <c r="F104" s="34" t="str">
        <f>VLOOKUP(B104,'Player Data'!A1:B734,2,FALSE)</f>
        <v>MIN</v>
      </c>
      <c r="G104" s="9">
        <f>VLOOKUP(B104,'Player Data'!A1:D734,3,FALSE)</f>
        <v>26</v>
      </c>
      <c r="H104" s="35">
        <f>IFERROR(VLOOKUP(B104,ADP!A1:G731,7,FALSE)/1000000,VLOOKUP(B104,ADP!A1:G731,7,FALSE))</f>
        <v>5.25</v>
      </c>
      <c r="I104" s="36">
        <f>IF(Settings!$E$15="POINTS",((R104*Q104)*Settings!$B$12)+(S104*Settings!$B$2)+(T104*Settings!$B$3)+(U104*Settings!$B$4)+(V104*Settings!$B$5)+(X104*Settings!$B$9)+(AA104*Settings!$B$6)+(W104*Settings!$B$8)+(AB104*Settings!$B$7)+(AC104*Settings!$B$14)+(AD104*Settings!$B$15)+(AE104*Settings!$B$16)+(AF104*Settings!$B$17)+(AG104*Settings!$B$18)+(Y104*Settings!$B$10)+(Z104*Settings!$B$11),VLOOKUP(B104,'Standard Deviations'!A1:C731,3,FALSE))</f>
        <v>6.9679984875936958</v>
      </c>
      <c r="J104" s="37">
        <f t="shared" si="8"/>
        <v>8.4975591312118237E-2</v>
      </c>
      <c r="K104" s="183">
        <f>IF(Settings!$E$18="C/LW/RW",VLOOKUP(B104,'C'!A1:F208,6,FALSE),VLOOKUP(B104,F!A1:F431,6,FALSE))</f>
        <v>0.63094776338709302</v>
      </c>
      <c r="L104" s="36">
        <f t="shared" si="9"/>
        <v>0.12018052635944629</v>
      </c>
      <c r="M104" s="38">
        <f>IF(Settings!$E$9="YAHOO",VLOOKUP(B104,ADP!A1:E731,2,FALSE),IF(Settings!$E$9="ESPN",VLOOKUP(B104,ADP!A1:E731,3,FALSE),IF(Settings!$E$9="FANTRAX",VLOOKUP(B104,ADP!A1:E731,4,FALSE),VLOOKUP(B104,ADP!A1:E731,5,FALSE))))</f>
        <v>115.45</v>
      </c>
      <c r="N104" s="38">
        <f t="shared" si="10"/>
        <v>12.450000000000003</v>
      </c>
      <c r="O104" s="38"/>
      <c r="P104" s="39" t="str">
        <f>IF(Settings!$E$27="ON",_xlfn.XLOOKUP(B104,ADP!A2:A731,ADP!H2:H731)," ")</f>
        <v>+</v>
      </c>
      <c r="Q104" s="40">
        <f>IF(Settings!$E$12="YES",VLOOKUP(B104,'Player Data'!A1:E734,5,FALSE),82)</f>
        <v>82</v>
      </c>
      <c r="R104" s="38">
        <f>VLOOKUP(B104,'Player Data'!$A1:$AE734,6,FALSE)</f>
        <v>19.401363434911801</v>
      </c>
      <c r="S104" s="40">
        <f>VLOOKUP(B104,'Player Data'!$A1:$AE734,7,FALSE)*$Q104*IFERROR((VLOOKUP(P104,Settings!$E$28:$F$33,2,FALSE)+1),1)</f>
        <v>29.578518172672421</v>
      </c>
      <c r="T104" s="40">
        <f>VLOOKUP(B104,'Player Data'!$A1:$AE734,8,FALSE)*$Q104*IFERROR((VLOOKUP(P104,Settings!$E$28:$F$33,2,FALSE)+1),1)</f>
        <v>36.458506712256963</v>
      </c>
      <c r="U104" s="40">
        <f t="shared" si="11"/>
        <v>66.03702488492938</v>
      </c>
      <c r="V104" s="40">
        <f>VLOOKUP(B104,'Player Data'!$A1:$AE734,10,FALSE)*$Q104*IFERROR(((VLOOKUP(P104,Settings!$E$28:$F$33,2,FALSE)/2)+1),1)</f>
        <v>259.22091019670722</v>
      </c>
      <c r="W104" s="40">
        <f>VLOOKUP(B104,'Player Data'!$A1:$AE734,11,FALSE)*$Q104*IFERROR((VLOOKUP(P104,Settings!$E$28:$F$33,2,FALSE)+1),1)</f>
        <v>12.849732249848751</v>
      </c>
      <c r="X104" s="40">
        <f>VLOOKUP(B104,'Player Data'!$A1:$AE734,12,FALSE)*$Q104*IFERROR((VLOOKUP(P104,Settings!$E$28:$F$33,2,FALSE)+1),1)</f>
        <v>23.360336115754759</v>
      </c>
      <c r="Y104" s="40">
        <f>VLOOKUP(B104,'Player Data'!$A1:$AE734,13,FALSE)*$Q104</f>
        <v>1.1529386957807894</v>
      </c>
      <c r="Z104" s="40">
        <f>VLOOKUP(B104,'Player Data'!$A1:$AE734,14,FALSE)*$Q104</f>
        <v>1.873438949859884</v>
      </c>
      <c r="AA104" s="40">
        <f>VLOOKUP(B104,'Player Data'!$A1:$AE734,15,FALSE)*$Q104</f>
        <v>54.707408307575768</v>
      </c>
      <c r="AB104" s="40">
        <f>VLOOKUP(B104,'Player Data'!$A1:$AE734,16,FALSE)*$Q104</f>
        <v>130.06915363077439</v>
      </c>
      <c r="AC104" s="40">
        <f>VLOOKUP(B104,'Player Data'!$A1:$AE734,17,FALSE)*$Q104*IFERROR((VLOOKUP(P104,Settings!$E$28:$F$33,2,FALSE)+1),1)</f>
        <v>4.1966109010194357</v>
      </c>
      <c r="AD104" s="40">
        <f>VLOOKUP(B104,'Player Data'!$A1:$AE734,18,FALSE)*$Q104</f>
        <v>39.427049489967196</v>
      </c>
      <c r="AE104" s="40">
        <f>VLOOKUP(B104,'Player Data'!$A1:$AE734,19,FALSE)*$Q104*IFERROR((VLOOKUP(P104,Settings!$E$28:$F$33,2,FALSE)+1),1)</f>
        <v>4.7496124249939573</v>
      </c>
      <c r="AF104" s="40">
        <f>VLOOKUP(B104,'Player Data'!$A1:$AE734,20,FALSE)*$Q104</f>
        <v>724.44290756669011</v>
      </c>
      <c r="AG104" s="40">
        <f>VLOOKUP(B104,'Player Data'!$A1:$AE734,21,FALSE)*$Q104</f>
        <v>775.3081415751011</v>
      </c>
      <c r="AH104" s="41">
        <f>VLOOKUP(B104,'Player Data'!$A1:$AE734,22,FALSE)</f>
        <v>0.48304210754260901</v>
      </c>
      <c r="AI104" s="38"/>
      <c r="AJ104" s="42"/>
      <c r="AK104" s="40"/>
      <c r="AL104" s="40"/>
      <c r="AM104" s="40"/>
      <c r="AN104" s="40"/>
      <c r="AO104" s="40"/>
      <c r="AP104" s="40"/>
      <c r="AQ104" s="43"/>
      <c r="AR104" s="44"/>
      <c r="AS104" s="38"/>
    </row>
    <row r="105" spans="1:45" ht="21.2" customHeight="1">
      <c r="A105" s="181">
        <f t="shared" si="7"/>
        <v>104</v>
      </c>
      <c r="B105" s="8" t="s">
        <v>207</v>
      </c>
      <c r="C105" s="31" t="s">
        <v>104</v>
      </c>
      <c r="D105" s="32" t="str">
        <f>VLOOKUP(B105,'Player Data'!A1:D734,4,FALSE)</f>
        <v>RW</v>
      </c>
      <c r="E105" s="46">
        <f>VLOOKUP(B105,RW!A1:F189,3,FALSE)</f>
        <v>26</v>
      </c>
      <c r="F105" s="34" t="str">
        <f>VLOOKUP(B105,'Player Data'!A1:B734,2,FALSE)</f>
        <v>COL</v>
      </c>
      <c r="G105" s="9">
        <f>VLOOKUP(B105,'Player Data'!A1:D734,3,FALSE)</f>
        <v>28</v>
      </c>
      <c r="H105" s="35">
        <f>IFERROR(VLOOKUP(B105,ADP!A1:G731,7,FALSE)/1000000,VLOOKUP(B105,ADP!A1:G731,7,FALSE))</f>
        <v>6.125</v>
      </c>
      <c r="I105" s="36">
        <f>IF(Settings!$E$15="POINTS",((R105*Q105)*Settings!$B$12)+(S105*Settings!$B$2)+(T105*Settings!$B$3)+(U105*Settings!$B$4)+(V105*Settings!$B$5)+(X105*Settings!$B$9)+(AA105*Settings!$B$6)+(W105*Settings!$B$8)+(AB105*Settings!$B$7)+(AC105*Settings!$B$14)+(AD105*Settings!$B$15)+(AE105*Settings!$B$16)+(AF105*Settings!$B$17)+(AG105*Settings!$B$18)+(Y105*Settings!$B$10)+(Z105*Settings!$B$11),VLOOKUP(B105,'Standard Deviations'!A1:C731,3,FALSE))</f>
        <v>6.9041112406426972</v>
      </c>
      <c r="J105" s="37">
        <f t="shared" si="8"/>
        <v>8.4196478544423137E-2</v>
      </c>
      <c r="K105" s="183">
        <f>IF(Settings!$E$18="C/LW/RW",VLOOKUP(B105,RW!A1:F189,6,FALSE),VLOOKUP(B105,F!A1:F431,6,FALSE))</f>
        <v>0.62385252163161642</v>
      </c>
      <c r="L105" s="36">
        <f t="shared" si="9"/>
        <v>0.10185347291944757</v>
      </c>
      <c r="M105" s="38">
        <f>IF(Settings!$E$9="YAHOO",VLOOKUP(B105,ADP!A1:E731,2,FALSE),IF(Settings!$E$9="ESPN",VLOOKUP(B105,ADP!A1:E731,3,FALSE),IF(Settings!$E$9="FANTRAX",VLOOKUP(B105,ADP!A1:E731,4,FALSE),VLOOKUP(B105,ADP!A1:E731,5,FALSE))))</f>
        <v>90.47</v>
      </c>
      <c r="N105" s="38">
        <f t="shared" si="10"/>
        <v>-13.530000000000001</v>
      </c>
      <c r="O105" s="38"/>
      <c r="P105" s="39" t="str">
        <f>IF(Settings!$E$27="ON",_xlfn.XLOOKUP(B105,ADP!A2:A731,ADP!H2:H731)," ")</f>
        <v xml:space="preserve"> </v>
      </c>
      <c r="Q105" s="40">
        <f>IF(Settings!$E$12="YES",VLOOKUP(B105,'Player Data'!A1:E734,5,FALSE),82)</f>
        <v>82</v>
      </c>
      <c r="R105" s="38">
        <f>VLOOKUP(B105,'Player Data'!$A1:$AE734,6,FALSE)</f>
        <v>20.4072528168251</v>
      </c>
      <c r="S105" s="40">
        <f>VLOOKUP(B105,'Player Data'!$A1:$AE734,7,FALSE)*$Q105*IFERROR((VLOOKUP(P105,Settings!$E$28:$F$33,2,FALSE)+1),1)</f>
        <v>30.793734490188566</v>
      </c>
      <c r="T105" s="40">
        <f>VLOOKUP(B105,'Player Data'!$A1:$AE734,8,FALSE)*$Q105*IFERROR((VLOOKUP(P105,Settings!$E$28:$F$33,2,FALSE)+1),1)</f>
        <v>41.634153323369489</v>
      </c>
      <c r="U105" s="40">
        <f t="shared" si="11"/>
        <v>72.427887813558058</v>
      </c>
      <c r="V105" s="40">
        <f>VLOOKUP(B105,'Player Data'!$A1:$AE734,10,FALSE)*$Q105*IFERROR(((VLOOKUP(P105,Settings!$E$28:$F$33,2,FALSE)/2)+1),1)</f>
        <v>234.64495175614604</v>
      </c>
      <c r="W105" s="40">
        <f>VLOOKUP(B105,'Player Data'!$A1:$AE734,11,FALSE)*$Q105*IFERROR((VLOOKUP(P105,Settings!$E$28:$F$33,2,FALSE)+1),1)</f>
        <v>10.864913479276204</v>
      </c>
      <c r="X105" s="40">
        <f>VLOOKUP(B105,'Player Data'!$A1:$AE734,12,FALSE)*$Q105*IFERROR((VLOOKUP(P105,Settings!$E$28:$F$33,2,FALSE)+1),1)</f>
        <v>19.115052807311613</v>
      </c>
      <c r="Y105" s="40">
        <f>VLOOKUP(B105,'Player Data'!$A1:$AE734,13,FALSE)*$Q105</f>
        <v>1.3338611130198283</v>
      </c>
      <c r="Z105" s="40">
        <f>VLOOKUP(B105,'Player Data'!$A1:$AE734,14,FALSE)*$Q105</f>
        <v>2.9820965006987401</v>
      </c>
      <c r="AA105" s="40">
        <f>VLOOKUP(B105,'Player Data'!$A1:$AE734,15,FALSE)*$Q105</f>
        <v>50.476159537694798</v>
      </c>
      <c r="AB105" s="40">
        <f>VLOOKUP(B105,'Player Data'!$A1:$AE734,16,FALSE)*$Q105</f>
        <v>93.68455490311112</v>
      </c>
      <c r="AC105" s="40">
        <f>VLOOKUP(B105,'Player Data'!$A1:$AE734,17,FALSE)*$Q105*IFERROR((VLOOKUP(P105,Settings!$E$28:$F$33,2,FALSE)+1),1)</f>
        <v>6.8109398975651878</v>
      </c>
      <c r="AD105" s="40">
        <f>VLOOKUP(B105,'Player Data'!$A1:$AE734,18,FALSE)*$Q105</f>
        <v>16.255388538957117</v>
      </c>
      <c r="AE105" s="40">
        <f>VLOOKUP(B105,'Player Data'!$A1:$AE734,19,FALSE)*$Q105*IFERROR((VLOOKUP(P105,Settings!$E$28:$F$33,2,FALSE)+1),1)</f>
        <v>4.8720327575354911</v>
      </c>
      <c r="AF105" s="40">
        <f>VLOOKUP(B105,'Player Data'!$A1:$AE734,20,FALSE)*$Q105</f>
        <v>0.3874289463183479</v>
      </c>
      <c r="AG105" s="40">
        <f>VLOOKUP(B105,'Player Data'!$A1:$AE734,21,FALSE)*$Q105</f>
        <v>6.0146003839077089</v>
      </c>
      <c r="AH105" s="41">
        <f>VLOOKUP(B105,'Player Data'!$A1:$AE734,22,FALSE)</f>
        <v>6.0516584091417698E-2</v>
      </c>
      <c r="AI105" s="38"/>
      <c r="AJ105" s="40"/>
      <c r="AK105" s="40"/>
      <c r="AL105" s="40"/>
      <c r="AM105" s="40"/>
      <c r="AN105" s="40"/>
      <c r="AO105" s="40"/>
      <c r="AP105" s="40"/>
      <c r="AQ105" s="43"/>
      <c r="AR105" s="44"/>
      <c r="AS105" s="38"/>
    </row>
    <row r="106" spans="1:45" ht="21.2" customHeight="1">
      <c r="A106" s="181">
        <f t="shared" si="7"/>
        <v>105</v>
      </c>
      <c r="B106" s="8" t="s">
        <v>191</v>
      </c>
      <c r="C106" s="31" t="s">
        <v>104</v>
      </c>
      <c r="D106" s="32" t="str">
        <f>VLOOKUP(B106,'Player Data'!A1:D734,4,FALSE)</f>
        <v>LW</v>
      </c>
      <c r="E106" s="48">
        <f>VLOOKUP(B106,LW!A1:C227,3,FALSE)</f>
        <v>33</v>
      </c>
      <c r="F106" s="34" t="str">
        <f>VLOOKUP(B106,'Player Data'!A1:B734,2,FALSE)</f>
        <v>BUF</v>
      </c>
      <c r="G106" s="9">
        <f>VLOOKUP(B106,'Player Data'!A1:D734,3,FALSE)</f>
        <v>31</v>
      </c>
      <c r="H106" s="35">
        <f>IFERROR(VLOOKUP(B106,ADP!A1:G731,7,FALSE)/1000000,VLOOKUP(B106,ADP!A1:G731,7,FALSE))</f>
        <v>9</v>
      </c>
      <c r="I106" s="36">
        <f>IF(Settings!$E$15="POINTS",((R106*Q106)*Settings!$B$12)+(S106*Settings!$B$2)+(T106*Settings!$B$3)+(U106*Settings!$B$4)+(V106*Settings!$B$5)+(X106*Settings!$B$9)+(AA106*Settings!$B$6)+(W106*Settings!$B$8)+(AB106*Settings!$B$7)+(AC106*Settings!$B$14)+(AD106*Settings!$B$15)+(AE106*Settings!$B$16)+(AF106*Settings!$B$17)+(AG106*Settings!$B$18)+(Y106*Settings!$B$10)+(Z106*Settings!$B$11),VLOOKUP(B106,'Standard Deviations'!A1:C731,3,FALSE))</f>
        <v>7.2723688109085423</v>
      </c>
      <c r="J106" s="37">
        <f t="shared" si="8"/>
        <v>8.868742452327491E-2</v>
      </c>
      <c r="K106" s="183">
        <f>IF(Settings!$E$18="C/LW/RW",VLOOKUP(B106,LW!A1:F227,6,FALSE),VLOOKUP(B106,F!A1:F431,6,FALSE))</f>
        <v>0.61769976678414107</v>
      </c>
      <c r="L106" s="36">
        <f t="shared" si="9"/>
        <v>6.8633307420460116E-2</v>
      </c>
      <c r="M106" s="38">
        <f>IF(Settings!$E$9="YAHOO",VLOOKUP(B106,ADP!A1:E731,2,FALSE),IF(Settings!$E$9="ESPN",VLOOKUP(B106,ADP!A1:E731,3,FALSE),IF(Settings!$E$9="FANTRAX",VLOOKUP(B106,ADP!A1:E731,4,FALSE),VLOOKUP(B106,ADP!A1:E731,5,FALSE))))</f>
        <v>79.48</v>
      </c>
      <c r="N106" s="38">
        <f t="shared" si="10"/>
        <v>-25.519999999999996</v>
      </c>
      <c r="O106" s="38"/>
      <c r="P106" s="39" t="str">
        <f>IF(Settings!$E$27="ON",_xlfn.XLOOKUP(B106,ADP!A2:A731,ADP!H2:H731)," ")</f>
        <v xml:space="preserve"> </v>
      </c>
      <c r="Q106" s="40">
        <f>IF(Settings!$E$12="YES",VLOOKUP(B106,'Player Data'!A1:E734,5,FALSE),82)</f>
        <v>82</v>
      </c>
      <c r="R106" s="38">
        <f>VLOOKUP(B106,'Player Data'!$A1:$AE734,6,FALSE)</f>
        <v>18.052546359164801</v>
      </c>
      <c r="S106" s="40">
        <f>VLOOKUP(B106,'Player Data'!$A1:$AE734,7,FALSE)*$Q106*IFERROR((VLOOKUP(P106,Settings!$E$28:$F$33,2,FALSE)+1),1)</f>
        <v>32.076168187318189</v>
      </c>
      <c r="T106" s="40">
        <f>VLOOKUP(B106,'Player Data'!$A1:$AE734,8,FALSE)*$Q106*IFERROR((VLOOKUP(P106,Settings!$E$28:$F$33,2,FALSE)+1),1)</f>
        <v>39.607224136645925</v>
      </c>
      <c r="U106" s="40">
        <f t="shared" si="11"/>
        <v>71.683392323964114</v>
      </c>
      <c r="V106" s="40">
        <f>VLOOKUP(B106,'Player Data'!$A1:$AE734,10,FALSE)*$Q106*IFERROR(((VLOOKUP(P106,Settings!$E$28:$F$33,2,FALSE)/2)+1),1)</f>
        <v>256.96355885686978</v>
      </c>
      <c r="W106" s="40">
        <f>VLOOKUP(B106,'Player Data'!$A1:$AE734,11,FALSE)*$Q106*IFERROR((VLOOKUP(P106,Settings!$E$28:$F$33,2,FALSE)+1),1)</f>
        <v>7.789783847228076</v>
      </c>
      <c r="X106" s="40">
        <f>VLOOKUP(B106,'Player Data'!$A1:$AE734,12,FALSE)*$Q106*IFERROR((VLOOKUP(P106,Settings!$E$28:$F$33,2,FALSE)+1),1)</f>
        <v>19.621586776229265</v>
      </c>
      <c r="Y106" s="40">
        <f>VLOOKUP(B106,'Player Data'!$A1:$AE734,13,FALSE)*$Q106</f>
        <v>1.2598012718927305E-2</v>
      </c>
      <c r="Z106" s="40">
        <f>VLOOKUP(B106,'Player Data'!$A1:$AE734,14,FALSE)*$Q106</f>
        <v>2.2064078116882182E-2</v>
      </c>
      <c r="AA106" s="40">
        <f>VLOOKUP(B106,'Player Data'!$A1:$AE734,15,FALSE)*$Q106</f>
        <v>19.060442111572698</v>
      </c>
      <c r="AB106" s="40">
        <f>VLOOKUP(B106,'Player Data'!$A1:$AE734,16,FALSE)*$Q106</f>
        <v>31.715158143308685</v>
      </c>
      <c r="AC106" s="40">
        <f>VLOOKUP(B106,'Player Data'!$A1:$AE734,17,FALSE)*$Q106*IFERROR((VLOOKUP(P106,Settings!$E$28:$F$33,2,FALSE)+1),1)</f>
        <v>0.95427976048923757</v>
      </c>
      <c r="AD106" s="40">
        <f>VLOOKUP(B106,'Player Data'!$A1:$AE734,18,FALSE)*$Q106</f>
        <v>32.696429905436027</v>
      </c>
      <c r="AE106" s="40">
        <f>VLOOKUP(B106,'Player Data'!$A1:$AE734,19,FALSE)*$Q106*IFERROR((VLOOKUP(P106,Settings!$E$28:$F$33,2,FALSE)+1),1)</f>
        <v>4.1063607877104538</v>
      </c>
      <c r="AF106" s="40">
        <f>VLOOKUP(B106,'Player Data'!$A1:$AE734,20,FALSE)*$Q106</f>
        <v>130.67621820076664</v>
      </c>
      <c r="AG106" s="40">
        <f>VLOOKUP(B106,'Player Data'!$A1:$AE734,21,FALSE)*$Q106</f>
        <v>161.90890079386867</v>
      </c>
      <c r="AH106" s="41">
        <f>VLOOKUP(B106,'Player Data'!$A1:$AE734,22,FALSE)</f>
        <v>0.44662633099656301</v>
      </c>
      <c r="AI106" s="38"/>
      <c r="AJ106" s="40"/>
      <c r="AK106" s="40"/>
      <c r="AL106" s="40"/>
      <c r="AM106" s="40"/>
      <c r="AN106" s="40"/>
      <c r="AO106" s="40"/>
      <c r="AP106" s="40"/>
      <c r="AQ106" s="43"/>
      <c r="AR106" s="44"/>
      <c r="AS106" s="38"/>
    </row>
    <row r="107" spans="1:45" ht="21.2" customHeight="1">
      <c r="A107" s="181">
        <f t="shared" si="7"/>
        <v>106</v>
      </c>
      <c r="B107" s="8" t="s">
        <v>220</v>
      </c>
      <c r="C107" s="31" t="s">
        <v>104</v>
      </c>
      <c r="D107" s="32" t="str">
        <f>VLOOKUP(B107,'Player Data'!A1:D734,4,FALSE)</f>
        <v>D</v>
      </c>
      <c r="E107" s="47">
        <f>VLOOKUP(B107,D!A1:C229,3,FALSE)</f>
        <v>30</v>
      </c>
      <c r="F107" s="34" t="str">
        <f>VLOOKUP(B107,'Player Data'!A1:B734,2,FALSE)</f>
        <v>MTL</v>
      </c>
      <c r="G107" s="9">
        <f>VLOOKUP(B107,'Player Data'!A1:D734,3,FALSE)</f>
        <v>29</v>
      </c>
      <c r="H107" s="35">
        <f>IFERROR(VLOOKUP(B107,ADP!A1:G731,7,FALSE)/1000000,VLOOKUP(B107,ADP!A1:G731,7,FALSE))</f>
        <v>4.875</v>
      </c>
      <c r="I107" s="36">
        <f>IF(Settings!$E$15="POINTS",((R107*Q107)*Settings!$B$12)+(S107*Settings!$B$2)+(T107*Settings!$B$3)+(U107*Settings!$B$4)+(V107*Settings!$B$5)+(X107*Settings!$B$9)+(AA107*Settings!$B$6)+(W107*Settings!$B$8)+(AB107*Settings!$B$7)+(AC107*Settings!$B$14)+(AD107*Settings!$B$15)+(AE107*Settings!$B$16)+(AF107*Settings!$B$17)+(AG107*Settings!$B$18)+(U107*Settings!$B$13)+(Y107*Settings!$B$10)+(Z107*Settings!$B$11),VLOOKUP(B107,'Standard Deviations'!A1:C731,3,FALSE))</f>
        <v>2.5247274265116011</v>
      </c>
      <c r="J107" s="37">
        <f t="shared" si="8"/>
        <v>3.0789358859897573E-2</v>
      </c>
      <c r="K107" s="183">
        <f>VLOOKUP(B107,D!A1:F229,6,FALSE)</f>
        <v>0.58298688287729039</v>
      </c>
      <c r="L107" s="36">
        <f t="shared" si="9"/>
        <v>0.11958705289790572</v>
      </c>
      <c r="M107" s="38">
        <f>IF(Settings!$E$9="YAHOO",VLOOKUP(B107,ADP!A1:E731,2,FALSE),IF(Settings!$E$9="ESPN",VLOOKUP(B107,ADP!A1:E731,3,FALSE),IF(Settings!$E$9="FANTRAX",VLOOKUP(B107,ADP!A1:E731,4,FALSE),VLOOKUP(B107,ADP!A1:E731,5,FALSE))))</f>
        <v>118.67</v>
      </c>
      <c r="N107" s="38">
        <f t="shared" si="10"/>
        <v>12.670000000000002</v>
      </c>
      <c r="O107" s="38"/>
      <c r="P107" s="39" t="str">
        <f>IF(Settings!$E$27="ON",_xlfn.XLOOKUP(B107,ADP!A2:A731,ADP!H2:H731)," ")</f>
        <v>-</v>
      </c>
      <c r="Q107" s="40">
        <f>IF(Settings!$E$12="YES",VLOOKUP(B107,'Player Data'!A1:E734,5,FALSE),82)</f>
        <v>82</v>
      </c>
      <c r="R107" s="38">
        <f>VLOOKUP(B107,'Player Data'!$A1:$AE734,6,FALSE)</f>
        <v>24.572124104420698</v>
      </c>
      <c r="S107" s="40">
        <f>VLOOKUP(B107,'Player Data'!$A1:$AE734,7,FALSE)*$Q107*IFERROR((VLOOKUP(P107,Settings!$E$28:$F$33,2,FALSE)+1),1)</f>
        <v>11.462884187355339</v>
      </c>
      <c r="T107" s="40">
        <f>VLOOKUP(B107,'Player Data'!$A1:$AE734,8,FALSE)*$Q107*IFERROR((VLOOKUP(P107,Settings!$E$28:$F$33,2,FALSE)+1),1)</f>
        <v>36.758511790909033</v>
      </c>
      <c r="U107" s="40">
        <f t="shared" si="11"/>
        <v>48.221395978264368</v>
      </c>
      <c r="V107" s="40">
        <f>VLOOKUP(B107,'Player Data'!$A1:$AE734,10,FALSE)*$Q107*IFERROR(((VLOOKUP(P107,Settings!$E$28:$F$33,2,FALSE)/2)+1),1)</f>
        <v>202.80919506123118</v>
      </c>
      <c r="W107" s="40">
        <f>VLOOKUP(B107,'Player Data'!$A1:$AE734,11,FALSE)*$Q107*IFERROR((VLOOKUP(P107,Settings!$E$28:$F$33,2,FALSE)+1),1)</f>
        <v>0.50868527260032548</v>
      </c>
      <c r="X107" s="40">
        <f>VLOOKUP(B107,'Player Data'!$A1:$AE734,12,FALSE)*$Q107*IFERROR((VLOOKUP(P107,Settings!$E$28:$F$33,2,FALSE)+1),1)</f>
        <v>13.412269287200914</v>
      </c>
      <c r="Y107" s="40">
        <f>VLOOKUP(B107,'Player Data'!$A1:$AE734,13,FALSE)*$Q107</f>
        <v>3.2179327449554776E-2</v>
      </c>
      <c r="Z107" s="40">
        <f>VLOOKUP(B107,'Player Data'!$A1:$AE734,14,FALSE)*$Q107</f>
        <v>2.3274928179657435</v>
      </c>
      <c r="AA107" s="40">
        <f>VLOOKUP(B107,'Player Data'!$A1:$AE734,15,FALSE)*$Q107</f>
        <v>131.01953528298094</v>
      </c>
      <c r="AB107" s="40">
        <f>VLOOKUP(B107,'Player Data'!$A1:$AE734,16,FALSE)*$Q107</f>
        <v>101.5677709501246</v>
      </c>
      <c r="AC107" s="40">
        <f>VLOOKUP(B107,'Player Data'!$A1:$AE734,17,FALSE)*$Q107*IFERROR((VLOOKUP(P107,Settings!$E$28:$F$33,2,FALSE)+1),1)</f>
        <v>-5.8285897337127786</v>
      </c>
      <c r="AD107" s="40">
        <f>VLOOKUP(B107,'Player Data'!$A1:$AE734,18,FALSE)*$Q107</f>
        <v>55.421722486964676</v>
      </c>
      <c r="AE107" s="40">
        <f>VLOOKUP(B107,'Player Data'!$A1:$AE734,19,FALSE)*$Q107*IFERROR((VLOOKUP(P107,Settings!$E$28:$F$33,2,FALSE)+1),1)</f>
        <v>1.1742820953767665</v>
      </c>
      <c r="AF107" s="40">
        <f>VLOOKUP(B107,'Player Data'!$A1:$AE734,20,FALSE)*$Q107</f>
        <v>0</v>
      </c>
      <c r="AG107" s="40">
        <f>VLOOKUP(B107,'Player Data'!$A1:$AE734,21,FALSE)*$Q107</f>
        <v>0</v>
      </c>
      <c r="AH107" s="41">
        <f>VLOOKUP(B107,'Player Data'!$A1:$AE734,22,FALSE)</f>
        <v>0</v>
      </c>
      <c r="AI107" s="38"/>
      <c r="AJ107" s="42"/>
      <c r="AK107" s="40"/>
      <c r="AL107" s="40"/>
      <c r="AM107" s="40"/>
      <c r="AN107" s="40"/>
      <c r="AO107" s="40"/>
      <c r="AP107" s="40"/>
      <c r="AQ107" s="43"/>
      <c r="AR107" s="44"/>
      <c r="AS107" s="38"/>
    </row>
    <row r="108" spans="1:45" ht="21.2" customHeight="1">
      <c r="A108" s="181">
        <f t="shared" si="7"/>
        <v>107</v>
      </c>
      <c r="B108" s="8" t="s">
        <v>175</v>
      </c>
      <c r="C108" s="31" t="s">
        <v>104</v>
      </c>
      <c r="D108" s="32" t="str">
        <f>VLOOKUP(B108,'Player Data'!A1:D734,4,FALSE)</f>
        <v>RW</v>
      </c>
      <c r="E108" s="46">
        <f>VLOOKUP(B108,RW!A1:F189,3,FALSE)</f>
        <v>27</v>
      </c>
      <c r="F108" s="34" t="str">
        <f>VLOOKUP(B108,'Player Data'!A1:B734,2,FALSE)</f>
        <v>FLA</v>
      </c>
      <c r="G108" s="9">
        <f>VLOOKUP(B108,'Player Data'!A1:D734,3,FALSE)</f>
        <v>27</v>
      </c>
      <c r="H108" s="35">
        <f>IFERROR(VLOOKUP(B108,ADP!A1:G731,7,FALSE)/1000000,VLOOKUP(B108,ADP!A1:G731,7,FALSE))</f>
        <v>6.5</v>
      </c>
      <c r="I108" s="36">
        <f>IF(Settings!$E$15="POINTS",((R108*Q108)*Settings!$B$12)+(S108*Settings!$B$2)+(T108*Settings!$B$3)+(U108*Settings!$B$4)+(V108*Settings!$B$5)+(X108*Settings!$B$9)+(AA108*Settings!$B$6)+(W108*Settings!$B$8)+(AB108*Settings!$B$7)+(AC108*Settings!$B$14)+(AD108*Settings!$B$15)+(AE108*Settings!$B$16)+(AF108*Settings!$B$17)+(AG108*Settings!$B$18)+(Y108*Settings!$B$10)+(Z108*Settings!$B$11),VLOOKUP(B108,'Standard Deviations'!A1:C731,3,FALSE))</f>
        <v>6.8556134373671789</v>
      </c>
      <c r="J108" s="37">
        <f t="shared" si="8"/>
        <v>8.3605041919111944E-2</v>
      </c>
      <c r="K108" s="183">
        <f>IF(Settings!$E$18="C/LW/RW",VLOOKUP(B108,RW!A1:F189,6,FALSE),VLOOKUP(B108,F!A1:F431,6,FALSE))</f>
        <v>0.57535471835609808</v>
      </c>
      <c r="L108" s="36">
        <f t="shared" si="9"/>
        <v>8.8516110516322785E-2</v>
      </c>
      <c r="M108" s="38">
        <f>IF(Settings!$E$9="YAHOO",VLOOKUP(B108,ADP!A1:E731,2,FALSE),IF(Settings!$E$9="ESPN",VLOOKUP(B108,ADP!A1:E731,3,FALSE),IF(Settings!$E$9="FANTRAX",VLOOKUP(B108,ADP!A1:E731,4,FALSE),VLOOKUP(B108,ADP!A1:E731,5,FALSE))))</f>
        <v>88.6</v>
      </c>
      <c r="N108" s="38">
        <f t="shared" si="10"/>
        <v>-18.400000000000006</v>
      </c>
      <c r="O108" s="38"/>
      <c r="P108" s="39" t="str">
        <f>IF(Settings!$E$27="ON",_xlfn.XLOOKUP(B108,ADP!A2:A731,ADP!H2:H731)," ")</f>
        <v>-</v>
      </c>
      <c r="Q108" s="40">
        <f>IF(Settings!$E$12="YES",VLOOKUP(B108,'Player Data'!A1:E734,5,FALSE),82)</f>
        <v>82</v>
      </c>
      <c r="R108" s="38">
        <f>VLOOKUP(B108,'Player Data'!$A1:$AE734,6,FALSE)</f>
        <v>19.4591950002287</v>
      </c>
      <c r="S108" s="40">
        <f>VLOOKUP(B108,'Player Data'!$A1:$AE734,7,FALSE)*$Q108*IFERROR((VLOOKUP(P108,Settings!$E$28:$F$33,2,FALSE)+1),1)</f>
        <v>31.050504865209756</v>
      </c>
      <c r="T108" s="40">
        <f>VLOOKUP(B108,'Player Data'!$A1:$AE734,8,FALSE)*$Q108*IFERROR((VLOOKUP(P108,Settings!$E$28:$F$33,2,FALSE)+1),1)</f>
        <v>38.292778007497667</v>
      </c>
      <c r="U108" s="40">
        <f t="shared" si="11"/>
        <v>69.34328287270742</v>
      </c>
      <c r="V108" s="40">
        <f>VLOOKUP(B108,'Player Data'!$A1:$AE734,10,FALSE)*$Q108*IFERROR(((VLOOKUP(P108,Settings!$E$28:$F$33,2,FALSE)/2)+1),1)</f>
        <v>212.4765082324713</v>
      </c>
      <c r="W108" s="40">
        <f>VLOOKUP(B108,'Player Data'!$A1:$AE734,11,FALSE)*$Q108*IFERROR((VLOOKUP(P108,Settings!$E$28:$F$33,2,FALSE)+1),1)</f>
        <v>13.621040916225144</v>
      </c>
      <c r="X108" s="40">
        <f>VLOOKUP(B108,'Player Data'!$A1:$AE734,12,FALSE)*$Q108*IFERROR((VLOOKUP(P108,Settings!$E$28:$F$33,2,FALSE)+1),1)</f>
        <v>25.876163861025429</v>
      </c>
      <c r="Y108" s="40">
        <f>VLOOKUP(B108,'Player Data'!$A1:$AE734,13,FALSE)*$Q108</f>
        <v>0.11302051719049189</v>
      </c>
      <c r="Z108" s="40">
        <f>VLOOKUP(B108,'Player Data'!$A1:$AE734,14,FALSE)*$Q108</f>
        <v>2.8221164123281928</v>
      </c>
      <c r="AA108" s="40">
        <f>VLOOKUP(B108,'Player Data'!$A1:$AE734,15,FALSE)*$Q108</f>
        <v>44.787745948735825</v>
      </c>
      <c r="AB108" s="40">
        <f>VLOOKUP(B108,'Player Data'!$A1:$AE734,16,FALSE)*$Q108</f>
        <v>58.642627015263315</v>
      </c>
      <c r="AC108" s="40">
        <f>VLOOKUP(B108,'Player Data'!$A1:$AE734,17,FALSE)*$Q108*IFERROR((VLOOKUP(P108,Settings!$E$28:$F$33,2,FALSE)+1),1)</f>
        <v>3.5875266106672905</v>
      </c>
      <c r="AD108" s="40">
        <f>VLOOKUP(B108,'Player Data'!$A1:$AE734,18,FALSE)*$Q108</f>
        <v>17.35712174981602</v>
      </c>
      <c r="AE108" s="40">
        <f>VLOOKUP(B108,'Player Data'!$A1:$AE734,19,FALSE)*$Q108*IFERROR((VLOOKUP(P108,Settings!$E$28:$F$33,2,FALSE)+1),1)</f>
        <v>4.4542657485806476</v>
      </c>
      <c r="AF108" s="40">
        <f>VLOOKUP(B108,'Player Data'!$A1:$AE734,20,FALSE)*$Q108</f>
        <v>219.58387214987667</v>
      </c>
      <c r="AG108" s="40">
        <f>VLOOKUP(B108,'Player Data'!$A1:$AE734,21,FALSE)*$Q108</f>
        <v>228.60784749237129</v>
      </c>
      <c r="AH108" s="41">
        <f>VLOOKUP(B108,'Player Data'!$A1:$AE734,22,FALSE)</f>
        <v>0.48993290711651599</v>
      </c>
      <c r="AI108" s="38"/>
      <c r="AJ108" s="42"/>
      <c r="AK108" s="40"/>
      <c r="AL108" s="40"/>
      <c r="AM108" s="40"/>
      <c r="AN108" s="40"/>
      <c r="AO108" s="40"/>
      <c r="AP108" s="40"/>
      <c r="AQ108" s="43"/>
      <c r="AR108" s="44"/>
      <c r="AS108" s="42"/>
    </row>
    <row r="109" spans="1:45" ht="21.2" customHeight="1">
      <c r="A109" s="181">
        <f t="shared" si="7"/>
        <v>108</v>
      </c>
      <c r="B109" s="8" t="s">
        <v>186</v>
      </c>
      <c r="C109" s="31" t="s">
        <v>104</v>
      </c>
      <c r="D109" s="32" t="str">
        <f>VLOOKUP(B109,'Player Data'!A1:D734,4,FALSE)</f>
        <v>C,LW</v>
      </c>
      <c r="E109" s="45">
        <f>VLOOKUP(B109,LW!A1:C227,3,FALSE)</f>
        <v>34</v>
      </c>
      <c r="F109" s="34" t="str">
        <f>VLOOKUP(B109,'Player Data'!A1:B734,2,FALSE)</f>
        <v>ANA</v>
      </c>
      <c r="G109" s="9">
        <f>VLOOKUP(B109,'Player Data'!A1:D734,3,FALSE)</f>
        <v>22</v>
      </c>
      <c r="H109" s="35">
        <f>IFERROR(VLOOKUP(B109,ADP!A1:G731,7,FALSE)/1000000,VLOOKUP(B109,ADP!A1:G731,7,FALSE))</f>
        <v>0</v>
      </c>
      <c r="I109" s="36">
        <f>IF(Settings!$E$15="POINTS",((R109*Q109)*Settings!$B$12)+(S109*Settings!$B$2)+(T109*Settings!$B$3)+(U109*Settings!$B$4)+(V109*Settings!$B$5)+(X109*Settings!$B$9)+(AA109*Settings!$B$6)+(W109*Settings!$B$8)+(AB109*Settings!$B$7)+(AC109*Settings!$B$14)+(AD109*Settings!$B$15)+(AE109*Settings!$B$16)+(AF109*Settings!$B$17)+(AG109*Settings!$B$18)+(Y109*Settings!$B$10)+(Z109*Settings!$B$11),VLOOKUP(B109,'Standard Deviations'!A1:C731,3,FALSE))</f>
        <v>7.2104285715631136</v>
      </c>
      <c r="J109" s="37">
        <f t="shared" si="8"/>
        <v>8.7932055750769678E-2</v>
      </c>
      <c r="K109" s="183">
        <f>IF(Settings!$E$18="C/LW/RW",VLOOKUP(B109,LW!A1:F227,6,FALSE),VLOOKUP(B109,F!A1:F431,6,FALSE))</f>
        <v>0.55575952743871238</v>
      </c>
      <c r="L109" s="49" t="str">
        <f t="shared" si="9"/>
        <v>N/A</v>
      </c>
      <c r="M109" s="38">
        <f>IF(Settings!$E$9="YAHOO",VLOOKUP(B109,ADP!A1:E731,2,FALSE),IF(Settings!$E$9="ESPN",VLOOKUP(B109,ADP!A1:E731,3,FALSE),IF(Settings!$E$9="FANTRAX",VLOOKUP(B109,ADP!A1:E731,4,FALSE),VLOOKUP(B109,ADP!A1:E731,5,FALSE))))</f>
        <v>111.33</v>
      </c>
      <c r="N109" s="38">
        <f t="shared" si="10"/>
        <v>3.3299999999999983</v>
      </c>
      <c r="O109" s="38"/>
      <c r="P109" s="39" t="str">
        <f>IF(Settings!$E$27="ON",_xlfn.XLOOKUP(B109,ADP!A2:A731,ADP!H2:H731)," ")</f>
        <v>+</v>
      </c>
      <c r="Q109" s="40">
        <f>IF(Settings!$E$12="YES",VLOOKUP(B109,'Player Data'!A1:E734,5,FALSE),82)</f>
        <v>82</v>
      </c>
      <c r="R109" s="38">
        <f>VLOOKUP(B109,'Player Data'!$A1:$AE734,6,FALSE)</f>
        <v>19.251722162930999</v>
      </c>
      <c r="S109" s="40">
        <f>VLOOKUP(B109,'Player Data'!$A1:$AE734,7,FALSE)*$Q109*IFERROR((VLOOKUP(P109,Settings!$E$28:$F$33,2,FALSE)+1),1)</f>
        <v>28.385362497562845</v>
      </c>
      <c r="T109" s="40">
        <f>VLOOKUP(B109,'Player Data'!$A1:$AE734,8,FALSE)*$Q109*IFERROR((VLOOKUP(P109,Settings!$E$28:$F$33,2,FALSE)+1),1)</f>
        <v>49.122430002500629</v>
      </c>
      <c r="U109" s="40">
        <f t="shared" si="11"/>
        <v>77.507792500063474</v>
      </c>
      <c r="V109" s="40">
        <f>VLOOKUP(B109,'Player Data'!$A1:$AE734,10,FALSE)*$Q109*IFERROR(((VLOOKUP(P109,Settings!$E$28:$F$33,2,FALSE)/2)+1),1)</f>
        <v>207.05367925651672</v>
      </c>
      <c r="W109" s="40">
        <f>VLOOKUP(B109,'Player Data'!$A1:$AE734,11,FALSE)*$Q109*IFERROR((VLOOKUP(P109,Settings!$E$28:$F$33,2,FALSE)+1),1)</f>
        <v>7.3674990575824699</v>
      </c>
      <c r="X109" s="40">
        <f>VLOOKUP(B109,'Player Data'!$A1:$AE734,12,FALSE)*$Q109*IFERROR((VLOOKUP(P109,Settings!$E$28:$F$33,2,FALSE)+1),1)</f>
        <v>21.437667277240219</v>
      </c>
      <c r="Y109" s="40">
        <f>VLOOKUP(B109,'Player Data'!$A1:$AE734,13,FALSE)*$Q109</f>
        <v>2.7016717312142894E-2</v>
      </c>
      <c r="Z109" s="40">
        <f>VLOOKUP(B109,'Player Data'!$A1:$AE734,14,FALSE)*$Q109</f>
        <v>5.485062694392441E-2</v>
      </c>
      <c r="AA109" s="40">
        <f>VLOOKUP(B109,'Player Data'!$A1:$AE734,15,FALSE)*$Q109</f>
        <v>30.73681095917922</v>
      </c>
      <c r="AB109" s="40">
        <f>VLOOKUP(B109,'Player Data'!$A1:$AE734,16,FALSE)*$Q109</f>
        <v>55.250877737076905</v>
      </c>
      <c r="AC109" s="40">
        <f>VLOOKUP(B109,'Player Data'!$A1:$AE734,17,FALSE)*$Q109*IFERROR((VLOOKUP(P109,Settings!$E$28:$F$33,2,FALSE)+1),1)</f>
        <v>-9.8459708981910357</v>
      </c>
      <c r="AD109" s="40">
        <f>VLOOKUP(B109,'Player Data'!$A1:$AE734,18,FALSE)*$Q109</f>
        <v>52.146151576212333</v>
      </c>
      <c r="AE109" s="40">
        <f>VLOOKUP(B109,'Player Data'!$A1:$AE734,19,FALSE)*$Q109*IFERROR((VLOOKUP(P109,Settings!$E$28:$F$33,2,FALSE)+1),1)</f>
        <v>2.7211067337006187</v>
      </c>
      <c r="AF109" s="40">
        <f>VLOOKUP(B109,'Player Data'!$A1:$AE734,20,FALSE)*$Q109</f>
        <v>243.35183236200024</v>
      </c>
      <c r="AG109" s="40">
        <f>VLOOKUP(B109,'Player Data'!$A1:$AE734,21,FALSE)*$Q109</f>
        <v>349.84515027196994</v>
      </c>
      <c r="AH109" s="41">
        <f>VLOOKUP(B109,'Player Data'!$A1:$AE734,22,FALSE)</f>
        <v>0.41023781220438099</v>
      </c>
      <c r="AI109" s="38"/>
      <c r="AJ109" s="42"/>
      <c r="AK109" s="40"/>
      <c r="AL109" s="40"/>
      <c r="AM109" s="40"/>
      <c r="AN109" s="40"/>
      <c r="AO109" s="40"/>
      <c r="AP109" s="40"/>
      <c r="AQ109" s="43"/>
      <c r="AR109" s="44"/>
      <c r="AS109" s="38"/>
    </row>
    <row r="110" spans="1:45" ht="21.2" customHeight="1">
      <c r="A110" s="181">
        <f t="shared" si="7"/>
        <v>109</v>
      </c>
      <c r="B110" s="8" t="s">
        <v>189</v>
      </c>
      <c r="C110" s="31" t="s">
        <v>104</v>
      </c>
      <c r="D110" s="32" t="str">
        <f>VLOOKUP(B110,'Player Data'!A1:D734,4,FALSE)</f>
        <v>LW,RW</v>
      </c>
      <c r="E110" s="45">
        <f>VLOOKUP(B110,RW!A1:F189,3,FALSE)</f>
        <v>28</v>
      </c>
      <c r="F110" s="34" t="str">
        <f>VLOOKUP(B110,'Player Data'!A1:B734,2,FALSE)</f>
        <v>VGK</v>
      </c>
      <c r="G110" s="9">
        <f>VLOOKUP(B110,'Player Data'!A1:D734,3,FALSE)</f>
        <v>32</v>
      </c>
      <c r="H110" s="35">
        <f>IFERROR(VLOOKUP(B110,ADP!A1:G731,7,FALSE)/1000000,VLOOKUP(B110,ADP!A1:G731,7,FALSE))</f>
        <v>5</v>
      </c>
      <c r="I110" s="36">
        <f>IF(Settings!$E$15="POINTS",((R110*Q110)*Settings!$B$12)+(S110*Settings!$B$2)+(T110*Settings!$B$3)+(U110*Settings!$B$4)+(V110*Settings!$B$5)+(X110*Settings!$B$9)+(AA110*Settings!$B$6)+(W110*Settings!$B$8)+(AB110*Settings!$B$7)+(AC110*Settings!$B$14)+(AD110*Settings!$B$15)+(AE110*Settings!$B$16)+(AF110*Settings!$B$17)+(AG110*Settings!$B$18)+(Y110*Settings!$B$10)+(Z110*Settings!$B$11),VLOOKUP(B110,'Standard Deviations'!A1:C731,3,FALSE))</f>
        <v>6.8198689629503599</v>
      </c>
      <c r="J110" s="37">
        <f t="shared" si="8"/>
        <v>8.3169133694516589E-2</v>
      </c>
      <c r="K110" s="183">
        <f>IF(Settings!$E$18="C/LW/RW",VLOOKUP(B110,RW!A1:F189,6,FALSE),VLOOKUP(B110,F!A1:F431,6,FALSE))</f>
        <v>0.53961024393927914</v>
      </c>
      <c r="L110" s="36">
        <f t="shared" si="9"/>
        <v>0.10792204878785583</v>
      </c>
      <c r="M110" s="38">
        <f>IF(Settings!$E$9="YAHOO",VLOOKUP(B110,ADP!A1:E731,2,FALSE),IF(Settings!$E$9="ESPN",VLOOKUP(B110,ADP!A1:E731,3,FALSE),IF(Settings!$E$9="FANTRAX",VLOOKUP(B110,ADP!A1:E731,4,FALSE),VLOOKUP(B110,ADP!A1:E731,5,FALSE))))</f>
        <v>100.74</v>
      </c>
      <c r="N110" s="38">
        <f t="shared" si="10"/>
        <v>-8.2600000000000051</v>
      </c>
      <c r="O110" s="38"/>
      <c r="P110" s="39" t="str">
        <f>IF(Settings!$E$27="ON",_xlfn.XLOOKUP(B110,ADP!A2:A731,ADP!H2:H731)," ")</f>
        <v xml:space="preserve"> </v>
      </c>
      <c r="Q110" s="40">
        <f>IF(Settings!$E$12="YES",VLOOKUP(B110,'Player Data'!A1:E734,5,FALSE),82)</f>
        <v>82</v>
      </c>
      <c r="R110" s="38">
        <f>VLOOKUP(B110,'Player Data'!$A1:$AE734,6,FALSE)</f>
        <v>17.643185033847399</v>
      </c>
      <c r="S110" s="40">
        <f>VLOOKUP(B110,'Player Data'!$A1:$AE734,7,FALSE)*$Q110*IFERROR((VLOOKUP(P110,Settings!$E$28:$F$33,2,FALSE)+1),1)</f>
        <v>30.07318001134178</v>
      </c>
      <c r="T110" s="40">
        <f>VLOOKUP(B110,'Player Data'!$A1:$AE734,8,FALSE)*$Q110*IFERROR((VLOOKUP(P110,Settings!$E$28:$F$33,2,FALSE)+1),1)</f>
        <v>35.388664160974223</v>
      </c>
      <c r="U110" s="40">
        <f t="shared" si="11"/>
        <v>65.461844172316006</v>
      </c>
      <c r="V110" s="40">
        <f>VLOOKUP(B110,'Player Data'!$A1:$AE734,10,FALSE)*$Q110*IFERROR(((VLOOKUP(P110,Settings!$E$28:$F$33,2,FALSE)/2)+1),1)</f>
        <v>267.11075431366186</v>
      </c>
      <c r="W110" s="40">
        <f>VLOOKUP(B110,'Player Data'!$A1:$AE734,11,FALSE)*$Q110*IFERROR((VLOOKUP(P110,Settings!$E$28:$F$33,2,FALSE)+1),1)</f>
        <v>8.9238668921770188</v>
      </c>
      <c r="X110" s="40">
        <f>VLOOKUP(B110,'Player Data'!$A1:$AE734,12,FALSE)*$Q110*IFERROR((VLOOKUP(P110,Settings!$E$28:$F$33,2,FALSE)+1),1)</f>
        <v>21.115300729406698</v>
      </c>
      <c r="Y110" s="40">
        <f>VLOOKUP(B110,'Player Data'!$A1:$AE734,13,FALSE)*$Q110</f>
        <v>6.2202599832691398E-4</v>
      </c>
      <c r="Z110" s="40">
        <f>VLOOKUP(B110,'Player Data'!$A1:$AE734,14,FALSE)*$Q110</f>
        <v>1.0731496823202231E-3</v>
      </c>
      <c r="AA110" s="40">
        <f>VLOOKUP(B110,'Player Data'!$A1:$AE734,15,FALSE)*$Q110</f>
        <v>20.368515655265206</v>
      </c>
      <c r="AB110" s="40">
        <f>VLOOKUP(B110,'Player Data'!$A1:$AE734,16,FALSE)*$Q110</f>
        <v>77.295579693684587</v>
      </c>
      <c r="AC110" s="40">
        <f>VLOOKUP(B110,'Player Data'!$A1:$AE734,17,FALSE)*$Q110*IFERROR((VLOOKUP(P110,Settings!$E$28:$F$33,2,FALSE)+1),1)</f>
        <v>5.1163759772122672</v>
      </c>
      <c r="AD110" s="40">
        <f>VLOOKUP(B110,'Player Data'!$A1:$AE734,18,FALSE)*$Q110</f>
        <v>30.261440983775223</v>
      </c>
      <c r="AE110" s="40">
        <f>VLOOKUP(B110,'Player Data'!$A1:$AE734,19,FALSE)*$Q110*IFERROR((VLOOKUP(P110,Settings!$E$28:$F$33,2,FALSE)+1),1)</f>
        <v>4.9147781532895998</v>
      </c>
      <c r="AF110" s="40">
        <f>VLOOKUP(B110,'Player Data'!$A1:$AE734,20,FALSE)*$Q110</f>
        <v>31.862189118284764</v>
      </c>
      <c r="AG110" s="40">
        <f>VLOOKUP(B110,'Player Data'!$A1:$AE734,21,FALSE)*$Q110</f>
        <v>45.339689194368141</v>
      </c>
      <c r="AH110" s="41">
        <f>VLOOKUP(B110,'Player Data'!$A1:$AE734,22,FALSE)</f>
        <v>0.41271261547871901</v>
      </c>
      <c r="AI110" s="38"/>
      <c r="AJ110" s="42"/>
      <c r="AK110" s="40"/>
      <c r="AL110" s="40"/>
      <c r="AM110" s="40"/>
      <c r="AN110" s="40"/>
      <c r="AO110" s="40"/>
      <c r="AP110" s="40"/>
      <c r="AQ110" s="43"/>
      <c r="AR110" s="44"/>
      <c r="AS110" s="38"/>
    </row>
    <row r="111" spans="1:45" ht="21.2" customHeight="1">
      <c r="A111" s="181">
        <f t="shared" si="7"/>
        <v>110</v>
      </c>
      <c r="B111" s="8" t="s">
        <v>249</v>
      </c>
      <c r="C111" s="31" t="s">
        <v>104</v>
      </c>
      <c r="D111" s="32" t="str">
        <f>VLOOKUP(B111,'Player Data'!A1:D734,4,FALSE)</f>
        <v>G</v>
      </c>
      <c r="E111" s="50">
        <f>VLOOKUP(B111,G!A1:D75,3,FALSE)</f>
        <v>14</v>
      </c>
      <c r="F111" s="34" t="str">
        <f>VLOOKUP(B111,'Player Data'!A1:B734,2,FALSE)</f>
        <v>VGK</v>
      </c>
      <c r="G111" s="9">
        <f>VLOOKUP(B111,'Player Data'!A1:D734,3,FALSE)</f>
        <v>27</v>
      </c>
      <c r="H111" s="35">
        <f>IFERROR(VLOOKUP(B111,ADP!A1:G731,7,FALSE)/1000000,VLOOKUP(B111,ADP!A1:G731,7,FALSE))</f>
        <v>0</v>
      </c>
      <c r="I111" s="36">
        <f>IF(Settings!$E$15="POINTS",(AJ111*Settings!$B$29)+(AK111*Settings!$B$21)+(AL111*Settings!$B$22)+(AN111*Settings!$B$24)+(AO111*Settings!$B$25)+(AP111*Settings!$B$27)+(AM111*Settings!$B$23),VLOOKUP(B111,'Standard Deviations'!A1:C731,3,FALSE))</f>
        <v>2.2068464689607268</v>
      </c>
      <c r="J111" s="37">
        <f t="shared" si="8"/>
        <v>4.5975968103348475E-2</v>
      </c>
      <c r="K111" s="183">
        <f>VLOOKUP(B111,G!A1:F75,6,FALSE)</f>
        <v>0.50261741777043523</v>
      </c>
      <c r="L111" s="49" t="str">
        <f t="shared" si="9"/>
        <v>N/A</v>
      </c>
      <c r="M111" s="38">
        <f>IF(Settings!$E$9="YAHOO",VLOOKUP(B111,ADP!A1:E731,2,FALSE),IF(Settings!$E$9="ESPN",VLOOKUP(B111,ADP!A1:E731,3,FALSE),IF(Settings!$E$9="FANTRAX",VLOOKUP(B111,ADP!A1:E731,4,FALSE),VLOOKUP(B111,ADP!A1:E731,5,FALSE))))</f>
        <v>196.77</v>
      </c>
      <c r="N111" s="38">
        <f t="shared" si="10"/>
        <v>86.77000000000001</v>
      </c>
      <c r="O111" s="38"/>
      <c r="P111" s="39" t="str">
        <f>IF(Settings!$E$27="ON",_xlfn.XLOOKUP(B111,ADP!A2:A731,ADP!H2:H731)," ")</f>
        <v>+</v>
      </c>
      <c r="Q111" s="40"/>
      <c r="R111" s="51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1"/>
      <c r="AI111" s="38"/>
      <c r="AJ111" s="42">
        <f>VLOOKUP(B111,'Player Data'!$A1:$AE734,24,FALSE)</f>
        <v>48</v>
      </c>
      <c r="AK111" s="40">
        <f>VLOOKUP(B111,'Player Data'!$A1:$AE734,25,FALSE)*$AJ111*IFERROR((VLOOKUP(P111,Settings!$E$28:$F$33,2,FALSE)+1),1)</f>
        <v>29.368333631696068</v>
      </c>
      <c r="AL111" s="40">
        <f>AJ111-AK111-AM111</f>
        <v>12.631666368303932</v>
      </c>
      <c r="AM111" s="40">
        <f>VLOOKUP(B111,'Player Data'!$A1:$AE734,27,FALSE)*$AJ111</f>
        <v>6</v>
      </c>
      <c r="AN111" s="40">
        <f>VLOOKUP(B111,'Player Data'!$A1:$AE734,28,FALSE)*AJ111</f>
        <v>2.8838678249685361</v>
      </c>
      <c r="AO111" s="40">
        <f>VLOOKUP(B111,'Player Data'!$A1:$AE734,29,FALSE)*$AJ111*IFERROR((VLOOKUP(P111,Settings!$E$28:$F$33,2,FALSE)/4)+1,1)</f>
        <v>1367.5102061566656</v>
      </c>
      <c r="AP111" s="40">
        <f>VLOOKUP(B111,'Player Data'!$A1:$AE734,31,FALSE)*$AJ111*(IFERROR(1-(VLOOKUP(P111,Settings!$E$28:$F$33,2,FALSE)/4),1))</f>
        <v>130.7343000372195</v>
      </c>
      <c r="AQ111" s="43">
        <f>1-(AP111/(AO111+AP111))</f>
        <v>0.91274167901383818</v>
      </c>
      <c r="AR111" s="44">
        <f>AP111/AJ111</f>
        <v>2.7236312507754064</v>
      </c>
      <c r="AS111" s="38"/>
    </row>
    <row r="112" spans="1:45" ht="21.2" customHeight="1">
      <c r="A112" s="181">
        <f t="shared" si="7"/>
        <v>111</v>
      </c>
      <c r="B112" s="8" t="s">
        <v>255</v>
      </c>
      <c r="C112" s="31" t="s">
        <v>104</v>
      </c>
      <c r="D112" s="32" t="str">
        <f>VLOOKUP(B112,'Player Data'!A1:D734,4,FALSE)</f>
        <v>G</v>
      </c>
      <c r="E112" s="50">
        <f>VLOOKUP(B112,G!A1:D75,3,FALSE)</f>
        <v>15</v>
      </c>
      <c r="F112" s="34" t="str">
        <f>VLOOKUP(B112,'Player Data'!A1:B734,2,FALSE)</f>
        <v>EDM</v>
      </c>
      <c r="G112" s="9">
        <f>VLOOKUP(B112,'Player Data'!A1:D734,3,FALSE)</f>
        <v>24</v>
      </c>
      <c r="H112" s="35">
        <f>IFERROR(VLOOKUP(B112,ADP!A1:G731,7,FALSE)/1000000,VLOOKUP(B112,ADP!A1:G731,7,FALSE))</f>
        <v>0</v>
      </c>
      <c r="I112" s="36">
        <f>IF(Settings!$E$15="POINTS",(AJ112*Settings!$B$29)+(AK112*Settings!$B$21)+(AL112*Settings!$B$22)+(AN112*Settings!$B$24)+(AO112*Settings!$B$25)+(AP112*Settings!$B$27)+(AM112*Settings!$B$23),VLOOKUP(B112,'Standard Deviations'!A1:C731,3,FALSE))</f>
        <v>2.2002690990200922</v>
      </c>
      <c r="J112" s="37">
        <f t="shared" si="8"/>
        <v>4.5838939562918589E-2</v>
      </c>
      <c r="K112" s="183">
        <f>VLOOKUP(B112,G!A1:F75,6,FALSE)</f>
        <v>0.4960400478298006</v>
      </c>
      <c r="L112" s="49" t="str">
        <f t="shared" si="9"/>
        <v>N/A</v>
      </c>
      <c r="M112" s="38">
        <f>IF(Settings!$E$9="YAHOO",VLOOKUP(B112,ADP!A1:E731,2,FALSE),IF(Settings!$E$9="ESPN",VLOOKUP(B112,ADP!A1:E731,3,FALSE),IF(Settings!$E$9="FANTRAX",VLOOKUP(B112,ADP!A1:E731,4,FALSE),VLOOKUP(B112,ADP!A1:E731,5,FALSE))))</f>
        <v>119.5</v>
      </c>
      <c r="N112" s="38">
        <f t="shared" si="10"/>
        <v>8.5</v>
      </c>
      <c r="O112" s="38"/>
      <c r="P112" s="39" t="str">
        <f>IF(Settings!$E$27="ON",_xlfn.XLOOKUP(B112,ADP!A2:A731,ADP!H2:H731)," ")</f>
        <v xml:space="preserve"> </v>
      </c>
      <c r="Q112" s="40"/>
      <c r="R112" s="51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1"/>
      <c r="AI112" s="38"/>
      <c r="AJ112" s="42">
        <f>VLOOKUP(B112,'Player Data'!$A1:$AE734,24,FALSE)</f>
        <v>48</v>
      </c>
      <c r="AK112" s="40">
        <f>VLOOKUP(B112,'Player Data'!$A1:$AE734,25,FALSE)*$AJ112*IFERROR((VLOOKUP(P112,Settings!$E$28:$F$33,2,FALSE)+1),1)</f>
        <v>29.786288337262754</v>
      </c>
      <c r="AL112" s="40">
        <f>AJ112-AK112-AM112</f>
        <v>12.213711662737246</v>
      </c>
      <c r="AM112" s="40">
        <f>VLOOKUP(B112,'Player Data'!$A1:$AE734,27,FALSE)*$AJ112</f>
        <v>6</v>
      </c>
      <c r="AN112" s="40">
        <f>VLOOKUP(B112,'Player Data'!$A1:$AE734,28,FALSE)*AJ112</f>
        <v>3.1200969130670835</v>
      </c>
      <c r="AO112" s="40">
        <f>VLOOKUP(B112,'Player Data'!$A1:$AE734,29,FALSE)*$AJ112*IFERROR((VLOOKUP(P112,Settings!$E$28:$F$33,2,FALSE)/4)+1,1)</f>
        <v>1344.0901166762687</v>
      </c>
      <c r="AP112" s="40">
        <f>VLOOKUP(B112,'Player Data'!$A1:$AE734,31,FALSE)*$AJ112*(IFERROR(1-(VLOOKUP(P112,Settings!$E$28:$F$33,2,FALSE)/4),1))</f>
        <v>129.29716082372929</v>
      </c>
      <c r="AQ112" s="43">
        <f>1-(AP112/(AO112+AP112))</f>
        <v>0.91224495908291192</v>
      </c>
      <c r="AR112" s="44">
        <f>AP112/AJ112</f>
        <v>2.69369085049436</v>
      </c>
      <c r="AS112" s="38"/>
    </row>
    <row r="113" spans="1:45" ht="21.2" customHeight="1">
      <c r="A113" s="181">
        <f t="shared" si="7"/>
        <v>112</v>
      </c>
      <c r="B113" s="8" t="s">
        <v>202</v>
      </c>
      <c r="C113" s="31" t="s">
        <v>104</v>
      </c>
      <c r="D113" s="32" t="str">
        <f>VLOOKUP(B113,'Player Data'!A1:D734,4,FALSE)</f>
        <v>RW</v>
      </c>
      <c r="E113" s="46">
        <f>VLOOKUP(B113,RW!A1:F189,3,FALSE)</f>
        <v>29</v>
      </c>
      <c r="F113" s="34" t="str">
        <f>VLOOKUP(B113,'Player Data'!A1:B734,2,FALSE)</f>
        <v>MIN</v>
      </c>
      <c r="G113" s="9">
        <f>VLOOKUP(B113,'Player Data'!A1:D734,3,FALSE)</f>
        <v>35</v>
      </c>
      <c r="H113" s="35">
        <f>IFERROR(VLOOKUP(B113,ADP!A1:G731,7,FALSE)/1000000,VLOOKUP(B113,ADP!A1:G731,7,FALSE))</f>
        <v>6</v>
      </c>
      <c r="I113" s="36">
        <f>IF(Settings!$E$15="POINTS",((R113*Q113)*Settings!$B$12)+(S113*Settings!$B$2)+(T113*Settings!$B$3)+(U113*Settings!$B$4)+(V113*Settings!$B$5)+(X113*Settings!$B$9)+(AA113*Settings!$B$6)+(W113*Settings!$B$8)+(AB113*Settings!$B$7)+(AC113*Settings!$B$14)+(AD113*Settings!$B$15)+(AE113*Settings!$B$16)+(AF113*Settings!$B$17)+(AG113*Settings!$B$18)+(Y113*Settings!$B$10)+(Z113*Settings!$B$11),VLOOKUP(B113,'Standard Deviations'!A1:C731,3,FALSE))</f>
        <v>6.6879968532464398</v>
      </c>
      <c r="J113" s="37">
        <f t="shared" si="8"/>
        <v>8.156093723471268E-2</v>
      </c>
      <c r="K113" s="183">
        <f>IF(Settings!$E$18="C/LW/RW",VLOOKUP(B113,RW!A1:F189,6,FALSE),VLOOKUP(B113,F!A1:F431,6,FALSE))</f>
        <v>0.40773813423535898</v>
      </c>
      <c r="L113" s="36">
        <f t="shared" si="9"/>
        <v>6.7956355705893159E-2</v>
      </c>
      <c r="M113" s="38">
        <f>IF(Settings!$E$9="YAHOO",VLOOKUP(B113,ADP!A1:E731,2,FALSE),IF(Settings!$E$9="ESPN",VLOOKUP(B113,ADP!A1:E731,3,FALSE),IF(Settings!$E$9="FANTRAX",VLOOKUP(B113,ADP!A1:E731,4,FALSE),VLOOKUP(B113,ADP!A1:E731,5,FALSE))))</f>
        <v>119.24</v>
      </c>
      <c r="N113" s="38">
        <f t="shared" si="10"/>
        <v>7.2399999999999949</v>
      </c>
      <c r="O113" s="38"/>
      <c r="P113" s="39" t="str">
        <f>IF(Settings!$E$27="ON",_xlfn.XLOOKUP(B113,ADP!A2:A731,ADP!H2:H731)," ")</f>
        <v>-</v>
      </c>
      <c r="Q113" s="40">
        <f>IF(Settings!$E$12="YES",VLOOKUP(B113,'Player Data'!A1:E734,5,FALSE),82)</f>
        <v>82</v>
      </c>
      <c r="R113" s="38">
        <f>VLOOKUP(B113,'Player Data'!$A1:$AE734,6,FALSE)</f>
        <v>18.960344154642801</v>
      </c>
      <c r="S113" s="40">
        <f>VLOOKUP(B113,'Player Data'!$A1:$AE734,7,FALSE)*$Q113*IFERROR((VLOOKUP(P113,Settings!$E$28:$F$33,2,FALSE)+1),1)</f>
        <v>22.159269551783488</v>
      </c>
      <c r="T113" s="40">
        <f>VLOOKUP(B113,'Player Data'!$A1:$AE734,8,FALSE)*$Q113*IFERROR((VLOOKUP(P113,Settings!$E$28:$F$33,2,FALSE)+1),1)</f>
        <v>47.458391438673615</v>
      </c>
      <c r="U113" s="40">
        <f>SUM(S113:T113)</f>
        <v>69.617660990457097</v>
      </c>
      <c r="V113" s="40">
        <f>VLOOKUP(B113,'Player Data'!$A1:$AE734,10,FALSE)*$Q113*IFERROR(((VLOOKUP(P113,Settings!$E$28:$F$33,2,FALSE)/2)+1),1)</f>
        <v>192.80235763408143</v>
      </c>
      <c r="W113" s="40">
        <f>VLOOKUP(B113,'Player Data'!$A1:$AE734,11,FALSE)*$Q113*IFERROR((VLOOKUP(P113,Settings!$E$28:$F$33,2,FALSE)+1),1)</f>
        <v>8.4036112100557503</v>
      </c>
      <c r="X113" s="40">
        <f>VLOOKUP(B113,'Player Data'!$A1:$AE734,12,FALSE)*$Q113*IFERROR((VLOOKUP(P113,Settings!$E$28:$F$33,2,FALSE)+1),1)</f>
        <v>29.243427395489626</v>
      </c>
      <c r="Y113" s="40">
        <f>VLOOKUP(B113,'Player Data'!$A1:$AE734,13,FALSE)*$Q113</f>
        <v>3.1361865590171713E-2</v>
      </c>
      <c r="Z113" s="40">
        <f>VLOOKUP(B113,'Player Data'!$A1:$AE734,14,FALSE)*$Q113</f>
        <v>4.3035422759355332E-2</v>
      </c>
      <c r="AA113" s="40">
        <f>VLOOKUP(B113,'Player Data'!$A1:$AE734,15,FALSE)*$Q113</f>
        <v>45.942598394957294</v>
      </c>
      <c r="AB113" s="40">
        <f>VLOOKUP(B113,'Player Data'!$A1:$AE734,16,FALSE)*$Q113</f>
        <v>50.897961445491596</v>
      </c>
      <c r="AC113" s="40">
        <f>VLOOKUP(B113,'Player Data'!$A1:$AE734,17,FALSE)*$Q113*IFERROR((VLOOKUP(P113,Settings!$E$28:$F$33,2,FALSE)+1),1)</f>
        <v>2.2723438178250639</v>
      </c>
      <c r="AD113" s="40">
        <f>VLOOKUP(B113,'Player Data'!$A1:$AE734,18,FALSE)*$Q113</f>
        <v>27.727021278398169</v>
      </c>
      <c r="AE113" s="40">
        <f>VLOOKUP(B113,'Player Data'!$A1:$AE734,19,FALSE)*$Q113*IFERROR((VLOOKUP(P113,Settings!$E$28:$F$33,2,FALSE)+1),1)</f>
        <v>3.5582560754912844</v>
      </c>
      <c r="AF113" s="40">
        <f>VLOOKUP(B113,'Player Data'!$A1:$AE734,20,FALSE)*$Q113</f>
        <v>23.538506886659174</v>
      </c>
      <c r="AG113" s="40">
        <f>VLOOKUP(B113,'Player Data'!$A1:$AE734,21,FALSE)*$Q113</f>
        <v>37.436084157663323</v>
      </c>
      <c r="AH113" s="41">
        <f>VLOOKUP(B113,'Player Data'!$A1:$AE734,22,FALSE)</f>
        <v>0.386037962428465</v>
      </c>
      <c r="AI113" s="38"/>
      <c r="AJ113" s="42"/>
      <c r="AK113" s="40"/>
      <c r="AL113" s="40"/>
      <c r="AM113" s="40"/>
      <c r="AN113" s="40"/>
      <c r="AO113" s="40"/>
      <c r="AP113" s="40"/>
      <c r="AQ113" s="43"/>
      <c r="AR113" s="44"/>
      <c r="AS113" s="38"/>
    </row>
    <row r="114" spans="1:45" ht="21.2" customHeight="1">
      <c r="A114" s="181">
        <f t="shared" si="7"/>
        <v>113</v>
      </c>
      <c r="B114" s="8" t="s">
        <v>194</v>
      </c>
      <c r="C114" s="31" t="s">
        <v>104</v>
      </c>
      <c r="D114" s="32" t="str">
        <f>VLOOKUP(B114,'Player Data'!A1:D734,4,FALSE)</f>
        <v>LW,RW</v>
      </c>
      <c r="E114" s="45">
        <f>VLOOKUP(B114,RW!A1:F189,3,FALSE)</f>
        <v>30</v>
      </c>
      <c r="F114" s="34" t="str">
        <f>VLOOKUP(B114,'Player Data'!A1:B734,2,FALSE)</f>
        <v>CGY</v>
      </c>
      <c r="G114" s="9">
        <f>VLOOKUP(B114,'Player Data'!A1:D734,3,FALSE)</f>
        <v>30</v>
      </c>
      <c r="H114" s="35">
        <f>IFERROR(VLOOKUP(B114,ADP!A1:G731,7,FALSE)/1000000,VLOOKUP(B114,ADP!A1:G731,7,FALSE))</f>
        <v>10.5</v>
      </c>
      <c r="I114" s="36">
        <f>IF(Settings!$E$15="POINTS",((R114*Q114)*Settings!$B$12)+(S114*Settings!$B$2)+(T114*Settings!$B$3)+(U114*Settings!$B$4)+(V114*Settings!$B$5)+(X114*Settings!$B$9)+(AA114*Settings!$B$6)+(W114*Settings!$B$8)+(AB114*Settings!$B$7)+(AC114*Settings!$B$14)+(AD114*Settings!$B$15)+(AE114*Settings!$B$16)+(AF114*Settings!$B$17)+(AG114*Settings!$B$18)+(Y114*Settings!$B$10)+(Z114*Settings!$B$11),VLOOKUP(B114,'Standard Deviations'!A1:C731,3,FALSE))</f>
        <v>6.6546690441244012</v>
      </c>
      <c r="J114" s="37">
        <f t="shared" si="8"/>
        <v>8.1154500538102456E-2</v>
      </c>
      <c r="K114" s="183">
        <f>IF(Settings!$E$18="C/LW/RW",VLOOKUP(B114,RW!A1:F189,6,FALSE),VLOOKUP(B114,F!A1:F431,6,FALSE))</f>
        <v>0.3744103251133204</v>
      </c>
      <c r="L114" s="36">
        <f t="shared" si="9"/>
        <v>3.5658126201268611E-2</v>
      </c>
      <c r="M114" s="38">
        <f>IF(Settings!$E$9="YAHOO",VLOOKUP(B114,ADP!A1:E731,2,FALSE),IF(Settings!$E$9="ESPN",VLOOKUP(B114,ADP!A1:E731,3,FALSE),IF(Settings!$E$9="FANTRAX",VLOOKUP(B114,ADP!A1:E731,4,FALSE),VLOOKUP(B114,ADP!A1:E731,5,FALSE))))</f>
        <v>79.75</v>
      </c>
      <c r="N114" s="38">
        <f t="shared" si="10"/>
        <v>-33.25</v>
      </c>
      <c r="O114" s="38"/>
      <c r="P114" s="39" t="str">
        <f>IF(Settings!$E$27="ON",_xlfn.XLOOKUP(B114,ADP!A2:A731,ADP!H2:H731)," ")</f>
        <v xml:space="preserve"> </v>
      </c>
      <c r="Q114" s="40">
        <f>IF(Settings!$E$12="YES",VLOOKUP(B114,'Player Data'!A1:E734,5,FALSE),82)</f>
        <v>82</v>
      </c>
      <c r="R114" s="38">
        <f>VLOOKUP(B114,'Player Data'!$A1:$AE734,6,FALSE)</f>
        <v>18.0033008230162</v>
      </c>
      <c r="S114" s="40">
        <f>VLOOKUP(B114,'Player Data'!$A1:$AE734,7,FALSE)*$Q114*IFERROR((VLOOKUP(P114,Settings!$E$28:$F$33,2,FALSE)+1),1)</f>
        <v>21.908392763687321</v>
      </c>
      <c r="T114" s="40">
        <f>VLOOKUP(B114,'Player Data'!$A1:$AE734,8,FALSE)*$Q114*IFERROR((VLOOKUP(P114,Settings!$E$28:$F$33,2,FALSE)+1),1)</f>
        <v>55.94267378207622</v>
      </c>
      <c r="U114" s="40">
        <f>SUM(S114:T114)</f>
        <v>77.851066545763544</v>
      </c>
      <c r="V114" s="40">
        <f>VLOOKUP(B114,'Player Data'!$A1:$AE734,10,FALSE)*$Q114*IFERROR(((VLOOKUP(P114,Settings!$E$28:$F$33,2,FALSE)/2)+1),1)</f>
        <v>165.31527600219334</v>
      </c>
      <c r="W114" s="40">
        <f>VLOOKUP(B114,'Player Data'!$A1:$AE734,11,FALSE)*$Q114*IFERROR((VLOOKUP(P114,Settings!$E$28:$F$33,2,FALSE)+1),1)</f>
        <v>5.0564516546333103</v>
      </c>
      <c r="X114" s="40">
        <f>VLOOKUP(B114,'Player Data'!$A1:$AE734,12,FALSE)*$Q114*IFERROR((VLOOKUP(P114,Settings!$E$28:$F$33,2,FALSE)+1),1)</f>
        <v>23.985652515036492</v>
      </c>
      <c r="Y114" s="40">
        <f>VLOOKUP(B114,'Player Data'!$A1:$AE734,13,FALSE)*$Q114</f>
        <v>0.18146789101230579</v>
      </c>
      <c r="Z114" s="40">
        <f>VLOOKUP(B114,'Player Data'!$A1:$AE734,14,FALSE)*$Q114</f>
        <v>0.30276009173480389</v>
      </c>
      <c r="AA114" s="40">
        <f>VLOOKUP(B114,'Player Data'!$A1:$AE734,15,FALSE)*$Q114</f>
        <v>28.520290070210176</v>
      </c>
      <c r="AB114" s="40">
        <f>VLOOKUP(B114,'Player Data'!$A1:$AE734,16,FALSE)*$Q114</f>
        <v>79.8560480263899</v>
      </c>
      <c r="AC114" s="40">
        <f>VLOOKUP(B114,'Player Data'!$A1:$AE734,17,FALSE)*$Q114*IFERROR((VLOOKUP(P114,Settings!$E$28:$F$33,2,FALSE)+1),1)</f>
        <v>3.7337861766044989</v>
      </c>
      <c r="AD114" s="40">
        <f>VLOOKUP(B114,'Player Data'!$A1:$AE734,18,FALSE)*$Q114</f>
        <v>36.795711079303572</v>
      </c>
      <c r="AE114" s="40">
        <f>VLOOKUP(B114,'Player Data'!$A1:$AE734,19,FALSE)*$Q114*IFERROR((VLOOKUP(P114,Settings!$E$28:$F$33,2,FALSE)+1),1)</f>
        <v>3.6608540924531177</v>
      </c>
      <c r="AF114" s="40">
        <f>VLOOKUP(B114,'Player Data'!$A1:$AE734,20,FALSE)*$Q114</f>
        <v>9.5456367001304141</v>
      </c>
      <c r="AG114" s="40">
        <f>VLOOKUP(B114,'Player Data'!$A1:$AE734,21,FALSE)*$Q114</f>
        <v>17.547701527871837</v>
      </c>
      <c r="AH114" s="41">
        <f>VLOOKUP(B114,'Player Data'!$A1:$AE734,22,FALSE)</f>
        <v>0.35232412557654302</v>
      </c>
      <c r="AI114" s="38"/>
      <c r="AJ114" s="42"/>
      <c r="AK114" s="40"/>
      <c r="AL114" s="40"/>
      <c r="AM114" s="40"/>
      <c r="AN114" s="40"/>
      <c r="AO114" s="40"/>
      <c r="AP114" s="40"/>
      <c r="AQ114" s="43"/>
      <c r="AR114" s="44"/>
      <c r="AS114" s="38"/>
    </row>
    <row r="115" spans="1:45" ht="21.2" customHeight="1">
      <c r="A115" s="181">
        <f t="shared" si="7"/>
        <v>114</v>
      </c>
      <c r="B115" s="8" t="s">
        <v>215</v>
      </c>
      <c r="C115" s="31" t="s">
        <v>104</v>
      </c>
      <c r="D115" s="32" t="str">
        <f>VLOOKUP(B115,'Player Data'!A1:D734,4,FALSE)</f>
        <v>C,RW</v>
      </c>
      <c r="E115" s="45">
        <f>VLOOKUP(B115,RW!A1:F189,3,FALSE)</f>
        <v>31</v>
      </c>
      <c r="F115" s="34" t="str">
        <f>VLOOKUP(B115,'Player Data'!A1:B734,2,FALSE)</f>
        <v>STL</v>
      </c>
      <c r="G115" s="9">
        <f>VLOOKUP(B115,'Player Data'!A1:D734,3,FALSE)</f>
        <v>24</v>
      </c>
      <c r="H115" s="35">
        <f>IFERROR(VLOOKUP(B115,ADP!A1:G731,7,FALSE)/1000000,VLOOKUP(B115,ADP!A1:G731,7,FALSE))</f>
        <v>8.125</v>
      </c>
      <c r="I115" s="36">
        <f>IF(Settings!$E$15="POINTS",((R115*Q115)*Settings!$B$12)+(S115*Settings!$B$2)+(T115*Settings!$B$3)+(U115*Settings!$B$4)+(V115*Settings!$B$5)+(X115*Settings!$B$9)+(AA115*Settings!$B$6)+(W115*Settings!$B$8)+(AB115*Settings!$B$7)+(AC115*Settings!$B$14)+(AD115*Settings!$B$15)+(AE115*Settings!$B$16)+(AF115*Settings!$B$17)+(AG115*Settings!$B$18)+(Y115*Settings!$B$10)+(Z115*Settings!$B$11),VLOOKUP(B115,'Standard Deviations'!A1:C731,3,FALSE))</f>
        <v>6.6371557313535909</v>
      </c>
      <c r="J115" s="37">
        <f t="shared" si="8"/>
        <v>8.094092355309257E-2</v>
      </c>
      <c r="K115" s="183">
        <f>IF(Settings!$E$18="C/LW/RW",VLOOKUP(B115,RW!A1:F189,6,FALSE),VLOOKUP(B115,F!A1:F431,6,FALSE))</f>
        <v>0.35689701234251014</v>
      </c>
      <c r="L115" s="36">
        <f t="shared" si="9"/>
        <v>4.392578613446279E-2</v>
      </c>
      <c r="M115" s="38">
        <f>IF(Settings!$E$9="YAHOO",VLOOKUP(B115,ADP!A1:E731,2,FALSE),IF(Settings!$E$9="ESPN",VLOOKUP(B115,ADP!A1:E731,3,FALSE),IF(Settings!$E$9="FANTRAX",VLOOKUP(B115,ADP!A1:E731,4,FALSE),VLOOKUP(B115,ADP!A1:E731,5,FALSE))))</f>
        <v>161.27000000000001</v>
      </c>
      <c r="N115" s="38">
        <f t="shared" si="10"/>
        <v>47.27000000000001</v>
      </c>
      <c r="O115" s="38"/>
      <c r="P115" s="39" t="str">
        <f>IF(Settings!$E$27="ON",_xlfn.XLOOKUP(B115,ADP!A2:A731,ADP!H2:H731)," ")</f>
        <v xml:space="preserve"> </v>
      </c>
      <c r="Q115" s="40">
        <f>IF(Settings!$E$12="YES",VLOOKUP(B115,'Player Data'!A1:E734,5,FALSE),82)</f>
        <v>82</v>
      </c>
      <c r="R115" s="38">
        <f>VLOOKUP(B115,'Player Data'!$A1:$AE734,6,FALSE)</f>
        <v>19.425171168090099</v>
      </c>
      <c r="S115" s="40">
        <f>VLOOKUP(B115,'Player Data'!$A1:$AE734,7,FALSE)*$Q115*IFERROR((VLOOKUP(P115,Settings!$E$28:$F$33,2,FALSE)+1),1)</f>
        <v>23.673382507620026</v>
      </c>
      <c r="T115" s="40">
        <f>VLOOKUP(B115,'Player Data'!$A1:$AE734,8,FALSE)*$Q115*IFERROR((VLOOKUP(P115,Settings!$E$28:$F$33,2,FALSE)+1),1)</f>
        <v>58.400540155826469</v>
      </c>
      <c r="U115" s="40">
        <f>SUM(S115:T115)</f>
        <v>82.073922663446496</v>
      </c>
      <c r="V115" s="40">
        <f>VLOOKUP(B115,'Player Data'!$A1:$AE734,10,FALSE)*$Q115*IFERROR(((VLOOKUP(P115,Settings!$E$28:$F$33,2,FALSE)/2)+1),1)</f>
        <v>133.18016168211381</v>
      </c>
      <c r="W115" s="40">
        <f>VLOOKUP(B115,'Player Data'!$A1:$AE734,11,FALSE)*$Q115*IFERROR((VLOOKUP(P115,Settings!$E$28:$F$33,2,FALSE)+1),1)</f>
        <v>6.0093229426428536</v>
      </c>
      <c r="X115" s="40">
        <f>VLOOKUP(B115,'Player Data'!$A1:$AE734,12,FALSE)*$Q115*IFERROR((VLOOKUP(P115,Settings!$E$28:$F$33,2,FALSE)+1),1)</f>
        <v>23.866133053103987</v>
      </c>
      <c r="Y115" s="40">
        <f>VLOOKUP(B115,'Player Data'!$A1:$AE734,13,FALSE)*$Q115</f>
        <v>1.2812666770540559</v>
      </c>
      <c r="Z115" s="40">
        <f>VLOOKUP(B115,'Player Data'!$A1:$AE734,14,FALSE)*$Q115</f>
        <v>1.5042958015316521</v>
      </c>
      <c r="AA115" s="40">
        <f>VLOOKUP(B115,'Player Data'!$A1:$AE734,15,FALSE)*$Q115</f>
        <v>32.513677066169571</v>
      </c>
      <c r="AB115" s="40">
        <f>VLOOKUP(B115,'Player Data'!$A1:$AE734,16,FALSE)*$Q115</f>
        <v>24.407038813824105</v>
      </c>
      <c r="AC115" s="40">
        <f>VLOOKUP(B115,'Player Data'!$A1:$AE734,17,FALSE)*$Q115*IFERROR((VLOOKUP(P115,Settings!$E$28:$F$33,2,FALSE)+1),1)</f>
        <v>-2.8830278112281373</v>
      </c>
      <c r="AD115" s="40">
        <f>VLOOKUP(B115,'Player Data'!$A1:$AE734,18,FALSE)*$Q115</f>
        <v>26.546242029713078</v>
      </c>
      <c r="AE115" s="40">
        <f>VLOOKUP(B115,'Player Data'!$A1:$AE734,19,FALSE)*$Q115*IFERROR((VLOOKUP(P115,Settings!$E$28:$F$33,2,FALSE)+1),1)</f>
        <v>2.7241607928801033</v>
      </c>
      <c r="AF115" s="40">
        <f>VLOOKUP(B115,'Player Data'!$A1:$AE734,20,FALSE)*$Q115</f>
        <v>681.50053057158084</v>
      </c>
      <c r="AG115" s="40">
        <f>VLOOKUP(B115,'Player Data'!$A1:$AE734,21,FALSE)*$Q115</f>
        <v>663.33373587600465</v>
      </c>
      <c r="AH115" s="41">
        <f>VLOOKUP(B115,'Player Data'!$A1:$AE734,22,FALSE)</f>
        <v>0.50675428755379803</v>
      </c>
      <c r="AI115" s="38"/>
      <c r="AJ115" s="40"/>
      <c r="AK115" s="40"/>
      <c r="AL115" s="40"/>
      <c r="AM115" s="40"/>
      <c r="AN115" s="40"/>
      <c r="AO115" s="40"/>
      <c r="AP115" s="40"/>
      <c r="AQ115" s="43"/>
      <c r="AR115" s="44"/>
      <c r="AS115" s="42"/>
    </row>
    <row r="116" spans="1:45" ht="21.2" customHeight="1">
      <c r="A116" s="181">
        <f t="shared" si="7"/>
        <v>115</v>
      </c>
      <c r="B116" s="8" t="s">
        <v>219</v>
      </c>
      <c r="C116" s="31" t="s">
        <v>104</v>
      </c>
      <c r="D116" s="32" t="str">
        <f>VLOOKUP(B116,'Player Data'!A1:D734,4,FALSE)</f>
        <v>D</v>
      </c>
      <c r="E116" s="47">
        <f>VLOOKUP(B116,D!A1:C229,3,FALSE)</f>
        <v>31</v>
      </c>
      <c r="F116" s="34" t="str">
        <f>VLOOKUP(B116,'Player Data'!A1:B734,2,FALSE)</f>
        <v>ARI</v>
      </c>
      <c r="G116" s="9">
        <f>VLOOKUP(B116,'Player Data'!A1:D734,3,FALSE)</f>
        <v>24</v>
      </c>
      <c r="H116" s="35">
        <f>IFERROR(VLOOKUP(B116,ADP!A1:G731,7,FALSE)/1000000,VLOOKUP(B116,ADP!A1:G731,7,FALSE))</f>
        <v>1.7</v>
      </c>
      <c r="I116" s="36">
        <f>IF(Settings!$E$15="POINTS",((R116*Q116)*Settings!$B$12)+(S116*Settings!$B$2)+(T116*Settings!$B$3)+(U116*Settings!$B$4)+(V116*Settings!$B$5)+(X116*Settings!$B$9)+(AA116*Settings!$B$6)+(W116*Settings!$B$8)+(AB116*Settings!$B$7)+(AC116*Settings!$B$14)+(AD116*Settings!$B$15)+(AE116*Settings!$B$16)+(AF116*Settings!$B$17)+(AG116*Settings!$B$18)+(U116*Settings!$B$13)+(Y116*Settings!$B$10)+(Z116*Settings!$B$11),VLOOKUP(B116,'Standard Deviations'!A1:C731,3,FALSE))</f>
        <v>2.2981287010375118</v>
      </c>
      <c r="J116" s="37">
        <f t="shared" si="8"/>
        <v>2.8025959768750143E-2</v>
      </c>
      <c r="K116" s="183">
        <f>VLOOKUP(B116,D!A1:F229,6,FALSE)</f>
        <v>0.35638815740320107</v>
      </c>
      <c r="L116" s="36">
        <f t="shared" si="9"/>
        <v>0.20964009259011829</v>
      </c>
      <c r="M116" s="38">
        <f>IF(Settings!$E$9="YAHOO",VLOOKUP(B116,ADP!A1:E731,2,FALSE),IF(Settings!$E$9="ESPN",VLOOKUP(B116,ADP!A1:E731,3,FALSE),IF(Settings!$E$9="FANTRAX",VLOOKUP(B116,ADP!A1:E731,4,FALSE),VLOOKUP(B116,ADP!A1:E731,5,FALSE))))</f>
        <v>164.8</v>
      </c>
      <c r="N116" s="38">
        <f t="shared" si="10"/>
        <v>49.800000000000011</v>
      </c>
      <c r="O116" s="38"/>
      <c r="P116" s="39" t="str">
        <f>IF(Settings!$E$27="ON",_xlfn.XLOOKUP(B116,ADP!A2:A731,ADP!H2:H731)," ")</f>
        <v xml:space="preserve"> </v>
      </c>
      <c r="Q116" s="40">
        <f>IF(Settings!$E$12="YES",VLOOKUP(B116,'Player Data'!A1:E734,5,FALSE),82)</f>
        <v>82</v>
      </c>
      <c r="R116" s="38">
        <f>VLOOKUP(B116,'Player Data'!$A1:$AE734,6,FALSE)</f>
        <v>21.479553404335601</v>
      </c>
      <c r="S116" s="40">
        <f>VLOOKUP(B116,'Player Data'!$A1:$AE734,7,FALSE)*$Q116*IFERROR((VLOOKUP(P116,Settings!$E$28:$F$33,2,FALSE)+1),1)</f>
        <v>8.8399298569814295</v>
      </c>
      <c r="T116" s="40">
        <f>VLOOKUP(B116,'Player Data'!$A1:$AE734,8,FALSE)*$Q116*IFERROR((VLOOKUP(P116,Settings!$E$28:$F$33,2,FALSE)+1),1)</f>
        <v>37.735183918245568</v>
      </c>
      <c r="U116" s="40">
        <f>SUM(S116:T116)</f>
        <v>46.575113775226995</v>
      </c>
      <c r="V116" s="40">
        <f>VLOOKUP(B116,'Player Data'!$A1:$AE734,10,FALSE)*$Q116*IFERROR(((VLOOKUP(P116,Settings!$E$28:$F$33,2,FALSE)/2)+1),1)</f>
        <v>149.54835906012516</v>
      </c>
      <c r="W116" s="40">
        <f>VLOOKUP(B116,'Player Data'!$A1:$AE734,11,FALSE)*$Q116*IFERROR((VLOOKUP(P116,Settings!$E$28:$F$33,2,FALSE)+1),1)</f>
        <v>2.3578801305317274</v>
      </c>
      <c r="X116" s="40">
        <f>VLOOKUP(B116,'Player Data'!$A1:$AE734,12,FALSE)*$Q116*IFERROR((VLOOKUP(P116,Settings!$E$28:$F$33,2,FALSE)+1),1)</f>
        <v>22.597270683538376</v>
      </c>
      <c r="Y116" s="40">
        <f>VLOOKUP(B116,'Player Data'!$A1:$AE734,13,FALSE)*$Q116</f>
        <v>5.1391044929183512E-2</v>
      </c>
      <c r="Z116" s="40">
        <f>VLOOKUP(B116,'Player Data'!$A1:$AE734,14,FALSE)*$Q116</f>
        <v>0.60423866279387006</v>
      </c>
      <c r="AA116" s="40">
        <f>VLOOKUP(B116,'Player Data'!$A1:$AE734,15,FALSE)*$Q116</f>
        <v>161.60058377260231</v>
      </c>
      <c r="AB116" s="40">
        <f>VLOOKUP(B116,'Player Data'!$A1:$AE734,16,FALSE)*$Q116</f>
        <v>98.427610973211827</v>
      </c>
      <c r="AC116" s="40">
        <f>VLOOKUP(B116,'Player Data'!$A1:$AE734,17,FALSE)*$Q116*IFERROR((VLOOKUP(P116,Settings!$E$28:$F$33,2,FALSE)+1),1)</f>
        <v>-3.8794319994638991</v>
      </c>
      <c r="AD116" s="40">
        <f>VLOOKUP(B116,'Player Data'!$A1:$AE734,18,FALSE)*$Q116</f>
        <v>63.308697539869556</v>
      </c>
      <c r="AE116" s="40">
        <f>VLOOKUP(B116,'Player Data'!$A1:$AE734,19,FALSE)*$Q116*IFERROR((VLOOKUP(P116,Settings!$E$28:$F$33,2,FALSE)+1),1)</f>
        <v>1.1155690735796824</v>
      </c>
      <c r="AF116" s="40">
        <f>VLOOKUP(B116,'Player Data'!$A1:$AE734,20,FALSE)*$Q116</f>
        <v>0</v>
      </c>
      <c r="AG116" s="40">
        <f>VLOOKUP(B116,'Player Data'!$A1:$AE734,21,FALSE)*$Q116</f>
        <v>0</v>
      </c>
      <c r="AH116" s="41">
        <f>VLOOKUP(B116,'Player Data'!$A1:$AE734,22,FALSE)</f>
        <v>0</v>
      </c>
      <c r="AI116" s="38"/>
      <c r="AJ116" s="42"/>
      <c r="AK116" s="40"/>
      <c r="AL116" s="40"/>
      <c r="AM116" s="40"/>
      <c r="AN116" s="40"/>
      <c r="AO116" s="40"/>
      <c r="AP116" s="40"/>
      <c r="AQ116" s="43"/>
      <c r="AR116" s="44"/>
      <c r="AS116" s="38"/>
    </row>
    <row r="117" spans="1:45" ht="21.2" customHeight="1">
      <c r="A117" s="181">
        <f t="shared" si="7"/>
        <v>116</v>
      </c>
      <c r="B117" s="8" t="s">
        <v>244</v>
      </c>
      <c r="C117" s="31" t="s">
        <v>104</v>
      </c>
      <c r="D117" s="32" t="str">
        <f>VLOOKUP(B117,'Player Data'!A1:D734,4,FALSE)</f>
        <v>RW</v>
      </c>
      <c r="E117" s="46">
        <f>VLOOKUP(B117,RW!A1:F189,3,FALSE)</f>
        <v>32</v>
      </c>
      <c r="F117" s="34" t="str">
        <f>VLOOKUP(B117,'Player Data'!A1:B734,2,FALSE)</f>
        <v>VGK</v>
      </c>
      <c r="G117" s="9">
        <f>VLOOKUP(B117,'Player Data'!A1:D734,3,FALSE)</f>
        <v>31</v>
      </c>
      <c r="H117" s="35">
        <f>IFERROR(VLOOKUP(B117,ADP!A1:G731,7,FALSE)/1000000,VLOOKUP(B117,ADP!A1:G731,7,FALSE))</f>
        <v>9.5</v>
      </c>
      <c r="I117" s="36">
        <f>IF(Settings!$E$15="POINTS",((R117*Q117)*Settings!$B$12)+(S117*Settings!$B$2)+(T117*Settings!$B$3)+(U117*Settings!$B$4)+(V117*Settings!$B$5)+(X117*Settings!$B$9)+(AA117*Settings!$B$6)+(W117*Settings!$B$8)+(AB117*Settings!$B$7)+(AC117*Settings!$B$14)+(AD117*Settings!$B$15)+(AE117*Settings!$B$16)+(AF117*Settings!$B$17)+(AG117*Settings!$B$18)+(Y117*Settings!$B$10)+(Z117*Settings!$B$11),VLOOKUP(B117,'Standard Deviations'!A1:C731,3,FALSE))</f>
        <v>6.6284226913136504</v>
      </c>
      <c r="J117" s="37">
        <f t="shared" si="8"/>
        <v>8.0834423064800612E-2</v>
      </c>
      <c r="K117" s="183">
        <f>IF(Settings!$E$18="C/LW/RW",VLOOKUP(B117,RW!A1:F189,6,FALSE),VLOOKUP(B117,F!A1:F431,6,FALSE))</f>
        <v>0.34816397230256957</v>
      </c>
      <c r="L117" s="36">
        <f t="shared" si="9"/>
        <v>3.6648839189744167E-2</v>
      </c>
      <c r="M117" s="38">
        <f>IF(Settings!$E$9="YAHOO",VLOOKUP(B117,ADP!A1:E731,2,FALSE),IF(Settings!$E$9="ESPN",VLOOKUP(B117,ADP!A1:E731,3,FALSE),IF(Settings!$E$9="FANTRAX",VLOOKUP(B117,ADP!A1:E731,4,FALSE),VLOOKUP(B117,ADP!A1:E731,5,FALSE))))</f>
        <v>111</v>
      </c>
      <c r="N117" s="38">
        <f t="shared" si="10"/>
        <v>-5</v>
      </c>
      <c r="O117" s="38"/>
      <c r="P117" s="39" t="str">
        <f>IF(Settings!$E$27="ON",_xlfn.XLOOKUP(B117,ADP!A2:A731,ADP!H2:H731)," ")</f>
        <v xml:space="preserve"> </v>
      </c>
      <c r="Q117" s="40">
        <f>IF(Settings!$E$12="YES",VLOOKUP(B117,'Player Data'!A1:E734,5,FALSE),82)</f>
        <v>82</v>
      </c>
      <c r="R117" s="38">
        <f>VLOOKUP(B117,'Player Data'!$A1:$AE734,6,FALSE)</f>
        <v>19.699941070972699</v>
      </c>
      <c r="S117" s="40">
        <f>VLOOKUP(B117,'Player Data'!$A1:$AE734,7,FALSE)*$Q117*IFERROR((VLOOKUP(P117,Settings!$E$28:$F$33,2,FALSE)+1),1)</f>
        <v>28.750019134936078</v>
      </c>
      <c r="T117" s="40">
        <f>VLOOKUP(B117,'Player Data'!$A1:$AE734,8,FALSE)*$Q117*IFERROR((VLOOKUP(P117,Settings!$E$28:$F$33,2,FALSE)+1),1)</f>
        <v>45.963991651996508</v>
      </c>
      <c r="U117" s="40">
        <f>SUM(S117:T117)</f>
        <v>74.71401078693259</v>
      </c>
      <c r="V117" s="40">
        <f>VLOOKUP(B117,'Player Data'!$A1:$AE734,10,FALSE)*$Q117*IFERROR(((VLOOKUP(P117,Settings!$E$28:$F$33,2,FALSE)/2)+1),1)</f>
        <v>203.14133700659934</v>
      </c>
      <c r="W117" s="40">
        <f>VLOOKUP(B117,'Player Data'!$A1:$AE734,11,FALSE)*$Q117*IFERROR((VLOOKUP(P117,Settings!$E$28:$F$33,2,FALSE)+1),1)</f>
        <v>7.1615935150398924</v>
      </c>
      <c r="X117" s="40">
        <f>VLOOKUP(B117,'Player Data'!$A1:$AE734,12,FALSE)*$Q117*IFERROR((VLOOKUP(P117,Settings!$E$28:$F$33,2,FALSE)+1),1)</f>
        <v>19.452489624687306</v>
      </c>
      <c r="Y117" s="40">
        <f>VLOOKUP(B117,'Player Data'!$A1:$AE734,13,FALSE)*$Q117</f>
        <v>2.1078399066223414</v>
      </c>
      <c r="Z117" s="40">
        <f>VLOOKUP(B117,'Player Data'!$A1:$AE734,14,FALSE)*$Q117</f>
        <v>2.6460016340389418</v>
      </c>
      <c r="AA117" s="40">
        <f>VLOOKUP(B117,'Player Data'!$A1:$AE734,15,FALSE)*$Q117</f>
        <v>47.014427135115724</v>
      </c>
      <c r="AB117" s="40">
        <f>VLOOKUP(B117,'Player Data'!$A1:$AE734,16,FALSE)*$Q117</f>
        <v>60.649829954807771</v>
      </c>
      <c r="AC117" s="40">
        <f>VLOOKUP(B117,'Player Data'!$A1:$AE734,17,FALSE)*$Q117*IFERROR((VLOOKUP(P117,Settings!$E$28:$F$33,2,FALSE)+1),1)</f>
        <v>8.5664813471763654</v>
      </c>
      <c r="AD117" s="40">
        <f>VLOOKUP(B117,'Player Data'!$A1:$AE734,18,FALSE)*$Q117</f>
        <v>29.931391988947126</v>
      </c>
      <c r="AE117" s="40">
        <f>VLOOKUP(B117,'Player Data'!$A1:$AE734,19,FALSE)*$Q117*IFERROR((VLOOKUP(P117,Settings!$E$28:$F$33,2,FALSE)+1),1)</f>
        <v>4.6985375639607092</v>
      </c>
      <c r="AF117" s="40">
        <f>VLOOKUP(B117,'Player Data'!$A1:$AE734,20,FALSE)*$Q117</f>
        <v>5.1033091019317487</v>
      </c>
      <c r="AG117" s="40">
        <f>VLOOKUP(B117,'Player Data'!$A1:$AE734,21,FALSE)*$Q117</f>
        <v>15.480953792538482</v>
      </c>
      <c r="AH117" s="41">
        <f>VLOOKUP(B117,'Player Data'!$A1:$AE734,22,FALSE)</f>
        <v>0.247922849027676</v>
      </c>
      <c r="AI117" s="38"/>
      <c r="AJ117" s="40"/>
      <c r="AK117" s="40"/>
      <c r="AL117" s="40"/>
      <c r="AM117" s="40"/>
      <c r="AN117" s="40"/>
      <c r="AO117" s="40"/>
      <c r="AP117" s="40"/>
      <c r="AQ117" s="43"/>
      <c r="AR117" s="44"/>
      <c r="AS117" s="38"/>
    </row>
    <row r="118" spans="1:45" ht="21.2" customHeight="1">
      <c r="A118" s="181">
        <f t="shared" si="7"/>
        <v>117</v>
      </c>
      <c r="B118" s="8" t="s">
        <v>234</v>
      </c>
      <c r="C118" s="31" t="s">
        <v>104</v>
      </c>
      <c r="D118" s="32" t="str">
        <f>VLOOKUP(B118,'Player Data'!A1:D734,4,FALSE)</f>
        <v>G</v>
      </c>
      <c r="E118" s="50">
        <f>VLOOKUP(B118,G!A1:D75,3,FALSE)</f>
        <v>16</v>
      </c>
      <c r="F118" s="34" t="str">
        <f>VLOOKUP(B118,'Player Data'!A1:B734,2,FALSE)</f>
        <v>ANA</v>
      </c>
      <c r="G118" s="9">
        <f>VLOOKUP(B118,'Player Data'!A1:D734,3,FALSE)</f>
        <v>30</v>
      </c>
      <c r="H118" s="35">
        <f>IFERROR(VLOOKUP(B118,ADP!A1:G731,7,FALSE)/1000000,VLOOKUP(B118,ADP!A1:G731,7,FALSE))</f>
        <v>6.4</v>
      </c>
      <c r="I118" s="36">
        <f>IF(Settings!$E$15="POINTS",(AJ118*Settings!$B$29)+(AK118*Settings!$B$21)+(AL118*Settings!$B$22)+(AN118*Settings!$B$24)+(AO118*Settings!$B$25)+(AP118*Settings!$B$27)+(AM118*Settings!$B$23),VLOOKUP(B118,'Standard Deviations'!A1:C731,3,FALSE))</f>
        <v>1.9847474227843245</v>
      </c>
      <c r="J118" s="37">
        <f t="shared" si="8"/>
        <v>3.6754581903413415E-2</v>
      </c>
      <c r="K118" s="183">
        <f>VLOOKUP(B118,G!A1:F75,6,FALSE)</f>
        <v>0.28051837159403292</v>
      </c>
      <c r="L118" s="36">
        <f t="shared" si="9"/>
        <v>4.3830995561567644E-2</v>
      </c>
      <c r="M118" s="38">
        <f>IF(Settings!$E$9="YAHOO",VLOOKUP(B118,ADP!A1:E731,2,FALSE),IF(Settings!$E$9="ESPN",VLOOKUP(B118,ADP!A1:E731,3,FALSE),IF(Settings!$E$9="FANTRAX",VLOOKUP(B118,ADP!A1:E731,4,FALSE),VLOOKUP(B118,ADP!A1:E731,5,FALSE))))</f>
        <v>201.52</v>
      </c>
      <c r="N118" s="38">
        <f t="shared" si="10"/>
        <v>84.52000000000001</v>
      </c>
      <c r="O118" s="38"/>
      <c r="P118" s="39" t="str">
        <f>IF(Settings!$E$27="ON",_xlfn.XLOOKUP(B118,ADP!A2:A731,ADP!H2:H731)," ")</f>
        <v xml:space="preserve"> </v>
      </c>
      <c r="Q118" s="40"/>
      <c r="R118" s="51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1"/>
      <c r="AI118" s="38"/>
      <c r="AJ118" s="42">
        <f>VLOOKUP(B118,'Player Data'!$A1:$AE734,24,FALSE)</f>
        <v>54</v>
      </c>
      <c r="AK118" s="40">
        <f>VLOOKUP(B118,'Player Data'!$A1:$AE734,25,FALSE)*$AJ118*IFERROR((VLOOKUP(P118,Settings!$E$28:$F$33,2,FALSE)+1),1)</f>
        <v>21.061258714252421</v>
      </c>
      <c r="AL118" s="40">
        <f>AJ118-AK118-AM118</f>
        <v>26.188741285747582</v>
      </c>
      <c r="AM118" s="40">
        <f>VLOOKUP(B118,'Player Data'!$A1:$AE734,27,FALSE)*$AJ118</f>
        <v>6.75</v>
      </c>
      <c r="AN118" s="40">
        <f>VLOOKUP(B118,'Player Data'!$A1:$AE734,28,FALSE)*AJ118</f>
        <v>1.6796039851996973</v>
      </c>
      <c r="AO118" s="40">
        <f>VLOOKUP(B118,'Player Data'!$A1:$AE734,29,FALSE)*$AJ118*IFERROR((VLOOKUP(P118,Settings!$E$28:$F$33,2,FALSE)/4)+1,1)</f>
        <v>1675.0317115822627</v>
      </c>
      <c r="AP118" s="40">
        <f>VLOOKUP(B118,'Player Data'!$A1:$AE734,31,FALSE)*$AJ118*(IFERROR(1-(VLOOKUP(P118,Settings!$E$28:$F$33,2,FALSE)/4),1))</f>
        <v>169.41879600523956</v>
      </c>
      <c r="AQ118" s="43">
        <f>1-(AP118/(AO118+AP118))</f>
        <v>0.90814673784506406</v>
      </c>
      <c r="AR118" s="44">
        <f>AP118/AJ118</f>
        <v>3.1373851112081401</v>
      </c>
      <c r="AS118" s="38"/>
    </row>
    <row r="119" spans="1:45" ht="21.2" customHeight="1">
      <c r="A119" s="181">
        <f t="shared" si="7"/>
        <v>118</v>
      </c>
      <c r="B119" s="8" t="s">
        <v>212</v>
      </c>
      <c r="C119" s="31" t="s">
        <v>104</v>
      </c>
      <c r="D119" s="32" t="str">
        <f>VLOOKUP(B119,'Player Data'!A1:D734,4,FALSE)</f>
        <v>C</v>
      </c>
      <c r="E119" s="33">
        <f>VLOOKUP(B119,'C'!A1:C208,3,FALSE)</f>
        <v>32</v>
      </c>
      <c r="F119" s="34" t="str">
        <f>VLOOKUP(B119,'Player Data'!A1:B734,2,FALSE)</f>
        <v>CGY</v>
      </c>
      <c r="G119" s="9">
        <f>VLOOKUP(B119,'Player Data'!A1:D734,3,FALSE)</f>
        <v>28</v>
      </c>
      <c r="H119" s="35">
        <f>IFERROR(VLOOKUP(B119,ADP!A1:G731,7,FALSE)/1000000,VLOOKUP(B119,ADP!A1:G731,7,FALSE))</f>
        <v>4.8499999999999996</v>
      </c>
      <c r="I119" s="36">
        <f>IF(Settings!$E$15="POINTS",((R119*Q119)*Settings!$B$12)+(S119*Settings!$B$2)+(T119*Settings!$B$3)+(U119*Settings!$B$4)+(V119*Settings!$B$5)+(X119*Settings!$B$9)+(AA119*Settings!$B$6)+(W119*Settings!$B$8)+(AB119*Settings!$B$7)+(AC119*Settings!$B$14)+(AD119*Settings!$B$15)+(AE119*Settings!$B$16)+(AF119*Settings!$B$17)+(AG119*Settings!$B$18)+(Y119*Settings!$B$10)+(Z119*Settings!$B$11),VLOOKUP(B119,'Standard Deviations'!A1:C731,3,FALSE))</f>
        <v>6.5910859387786429</v>
      </c>
      <c r="J119" s="37">
        <f t="shared" si="8"/>
        <v>8.0379096814373691E-2</v>
      </c>
      <c r="K119" s="183">
        <f>IF(Settings!$E$18="C/LW/RW",VLOOKUP(B119,'C'!A1:F208,6,FALSE),VLOOKUP(B119,F!A1:F431,6,FALSE))</f>
        <v>0.25403521457204015</v>
      </c>
      <c r="L119" s="36">
        <f t="shared" si="9"/>
        <v>5.2378394757121687E-2</v>
      </c>
      <c r="M119" s="38">
        <f>IF(Settings!$E$9="YAHOO",VLOOKUP(B119,ADP!A1:E731,2,FALSE),IF(Settings!$E$9="ESPN",VLOOKUP(B119,ADP!A1:E731,3,FALSE),IF(Settings!$E$9="FANTRAX",VLOOKUP(B119,ADP!A1:E731,4,FALSE),VLOOKUP(B119,ADP!A1:E731,5,FALSE))))</f>
        <v>108.84</v>
      </c>
      <c r="N119" s="38">
        <f t="shared" si="10"/>
        <v>-9.1599999999999966</v>
      </c>
      <c r="O119" s="38"/>
      <c r="P119" s="39" t="str">
        <f>IF(Settings!$E$27="ON",_xlfn.XLOOKUP(B119,ADP!A2:A731,ADP!H2:H731)," ")</f>
        <v xml:space="preserve"> </v>
      </c>
      <c r="Q119" s="40">
        <f>IF(Settings!$E$12="YES",VLOOKUP(B119,'Player Data'!A1:E734,5,FALSE),82)</f>
        <v>82</v>
      </c>
      <c r="R119" s="38">
        <f>VLOOKUP(B119,'Player Data'!$A1:$AE734,6,FALSE)</f>
        <v>19.3996199273993</v>
      </c>
      <c r="S119" s="40">
        <f>VLOOKUP(B119,'Player Data'!$A1:$AE734,7,FALSE)*$Q119*IFERROR((VLOOKUP(P119,Settings!$E$28:$F$33,2,FALSE)+1),1)</f>
        <v>30.053491452215319</v>
      </c>
      <c r="T119" s="40">
        <f>VLOOKUP(B119,'Player Data'!$A1:$AE734,8,FALSE)*$Q119*IFERROR((VLOOKUP(P119,Settings!$E$28:$F$33,2,FALSE)+1),1)</f>
        <v>41.272389883103699</v>
      </c>
      <c r="U119" s="40">
        <f>SUM(S119:T119)</f>
        <v>71.325881335319025</v>
      </c>
      <c r="V119" s="40">
        <f>VLOOKUP(B119,'Player Data'!$A1:$AE734,10,FALSE)*$Q119*IFERROR(((VLOOKUP(P119,Settings!$E$28:$F$33,2,FALSE)/2)+1),1)</f>
        <v>207.13703391460419</v>
      </c>
      <c r="W119" s="40">
        <f>VLOOKUP(B119,'Player Data'!$A1:$AE734,11,FALSE)*$Q119*IFERROR((VLOOKUP(P119,Settings!$E$28:$F$33,2,FALSE)+1),1)</f>
        <v>10.738432886084617</v>
      </c>
      <c r="X119" s="40">
        <f>VLOOKUP(B119,'Player Data'!$A1:$AE734,12,FALSE)*$Q119*IFERROR((VLOOKUP(P119,Settings!$E$28:$F$33,2,FALSE)+1),1)</f>
        <v>22.05316386017418</v>
      </c>
      <c r="Y119" s="40">
        <f>VLOOKUP(B119,'Player Data'!$A1:$AE734,13,FALSE)*$Q119</f>
        <v>0.77617498252412764</v>
      </c>
      <c r="Z119" s="40">
        <f>VLOOKUP(B119,'Player Data'!$A1:$AE734,14,FALSE)*$Q119</f>
        <v>2.2543822041080905</v>
      </c>
      <c r="AA119" s="40">
        <f>VLOOKUP(B119,'Player Data'!$A1:$AE734,15,FALSE)*$Q119</f>
        <v>51.177788070257066</v>
      </c>
      <c r="AB119" s="40">
        <f>VLOOKUP(B119,'Player Data'!$A1:$AE734,16,FALSE)*$Q119</f>
        <v>90.326777405552349</v>
      </c>
      <c r="AC119" s="40">
        <f>VLOOKUP(B119,'Player Data'!$A1:$AE734,17,FALSE)*$Q119*IFERROR((VLOOKUP(P119,Settings!$E$28:$F$33,2,FALSE)+1),1)</f>
        <v>4.8988932287533897</v>
      </c>
      <c r="AD119" s="40">
        <f>VLOOKUP(B119,'Player Data'!$A1:$AE734,18,FALSE)*$Q119</f>
        <v>23.276925938552218</v>
      </c>
      <c r="AE119" s="40">
        <f>VLOOKUP(B119,'Player Data'!$A1:$AE734,19,FALSE)*$Q119*IFERROR((VLOOKUP(P119,Settings!$E$28:$F$33,2,FALSE)+1),1)</f>
        <v>5.0218858298772773</v>
      </c>
      <c r="AF119" s="40">
        <f>VLOOKUP(B119,'Player Data'!$A1:$AE734,20,FALSE)*$Q119</f>
        <v>860.66443823449492</v>
      </c>
      <c r="AG119" s="40">
        <f>VLOOKUP(B119,'Player Data'!$A1:$AE734,21,FALSE)*$Q119</f>
        <v>738.78386423082497</v>
      </c>
      <c r="AH119" s="41">
        <f>VLOOKUP(B119,'Player Data'!$A1:$AE734,22,FALSE)</f>
        <v>0.53810081695538603</v>
      </c>
      <c r="AI119" s="38"/>
      <c r="AJ119" s="42"/>
      <c r="AK119" s="40"/>
      <c r="AL119" s="40"/>
      <c r="AM119" s="40"/>
      <c r="AN119" s="40"/>
      <c r="AO119" s="40"/>
      <c r="AP119" s="40"/>
      <c r="AQ119" s="43"/>
      <c r="AR119" s="44"/>
      <c r="AS119" s="38"/>
    </row>
    <row r="120" spans="1:45" ht="21.2" customHeight="1">
      <c r="A120" s="181">
        <f t="shared" si="7"/>
        <v>119</v>
      </c>
      <c r="B120" s="8" t="s">
        <v>224</v>
      </c>
      <c r="C120" s="31" t="s">
        <v>104</v>
      </c>
      <c r="D120" s="32" t="str">
        <f>VLOOKUP(B120,'Player Data'!A1:D734,4,FALSE)</f>
        <v>C</v>
      </c>
      <c r="E120" s="33">
        <f>VLOOKUP(B120,'C'!A1:C208,3,FALSE)</f>
        <v>33</v>
      </c>
      <c r="F120" s="34" t="str">
        <f>VLOOKUP(B120,'Player Data'!A1:B734,2,FALSE)</f>
        <v>NYI</v>
      </c>
      <c r="G120" s="9">
        <f>VLOOKUP(B120,'Player Data'!A1:D734,3,FALSE)</f>
        <v>31</v>
      </c>
      <c r="H120" s="35">
        <f>IFERROR(VLOOKUP(B120,ADP!A1:G731,7,FALSE)/1000000,VLOOKUP(B120,ADP!A1:G731,7,FALSE))</f>
        <v>6</v>
      </c>
      <c r="I120" s="36">
        <f>IF(Settings!$E$15="POINTS",((R120*Q120)*Settings!$B$12)+(S120*Settings!$B$2)+(T120*Settings!$B$3)+(U120*Settings!$B$4)+(V120*Settings!$B$5)+(X120*Settings!$B$9)+(AA120*Settings!$B$6)+(W120*Settings!$B$8)+(AB120*Settings!$B$7)+(AC120*Settings!$B$14)+(AD120*Settings!$B$15)+(AE120*Settings!$B$16)+(AF120*Settings!$B$17)+(AG120*Settings!$B$18)+(Y120*Settings!$B$10)+(Z120*Settings!$B$11),VLOOKUP(B120,'Standard Deviations'!A1:C731,3,FALSE))</f>
        <v>6.547987422203728</v>
      </c>
      <c r="J120" s="37">
        <f t="shared" si="8"/>
        <v>7.9853505148825957E-2</v>
      </c>
      <c r="K120" s="183">
        <f>IF(Settings!$E$18="C/LW/RW",VLOOKUP(B120,'C'!A1:F208,6,FALSE),VLOOKUP(B120,F!A1:F431,6,FALSE))</f>
        <v>0.21093669799712522</v>
      </c>
      <c r="L120" s="36">
        <f t="shared" si="9"/>
        <v>3.5156116332854204E-2</v>
      </c>
      <c r="M120" s="38">
        <f>IF(Settings!$E$9="YAHOO",VLOOKUP(B120,ADP!A1:E731,2,FALSE),IF(Settings!$E$9="ESPN",VLOOKUP(B120,ADP!A1:E731,3,FALSE),IF(Settings!$E$9="FANTRAX",VLOOKUP(B120,ADP!A1:E731,4,FALSE),VLOOKUP(B120,ADP!A1:E731,5,FALSE))))</f>
        <v>131.49</v>
      </c>
      <c r="N120" s="38">
        <f t="shared" si="10"/>
        <v>12.490000000000009</v>
      </c>
      <c r="O120" s="38"/>
      <c r="P120" s="39" t="str">
        <f>IF(Settings!$E$27="ON",_xlfn.XLOOKUP(B120,ADP!A2:A731,ADP!H2:H731)," ")</f>
        <v xml:space="preserve"> </v>
      </c>
      <c r="Q120" s="40">
        <f>IF(Settings!$E$12="YES",VLOOKUP(B120,'Player Data'!A1:E734,5,FALSE),82)</f>
        <v>82</v>
      </c>
      <c r="R120" s="38">
        <f>VLOOKUP(B120,'Player Data'!$A1:$AE734,6,FALSE)</f>
        <v>18.674372043902402</v>
      </c>
      <c r="S120" s="40">
        <f>VLOOKUP(B120,'Player Data'!$A1:$AE734,7,FALSE)*$Q120*IFERROR((VLOOKUP(P120,Settings!$E$28:$F$33,2,FALSE)+1),1)</f>
        <v>35.704649279514236</v>
      </c>
      <c r="T120" s="40">
        <f>VLOOKUP(B120,'Player Data'!$A1:$AE734,8,FALSE)*$Q120*IFERROR((VLOOKUP(P120,Settings!$E$28:$F$33,2,FALSE)+1),1)</f>
        <v>34.226132146445472</v>
      </c>
      <c r="U120" s="40">
        <f>SUM(S120:T120)</f>
        <v>69.930781425959708</v>
      </c>
      <c r="V120" s="40">
        <f>VLOOKUP(B120,'Player Data'!$A1:$AE734,10,FALSE)*$Q120*IFERROR(((VLOOKUP(P120,Settings!$E$28:$F$33,2,FALSE)/2)+1),1)</f>
        <v>221.25245764646084</v>
      </c>
      <c r="W120" s="40">
        <f>VLOOKUP(B120,'Player Data'!$A1:$AE734,11,FALSE)*$Q120*IFERROR((VLOOKUP(P120,Settings!$E$28:$F$33,2,FALSE)+1),1)</f>
        <v>9.7384204788213591</v>
      </c>
      <c r="X120" s="40">
        <f>VLOOKUP(B120,'Player Data'!$A1:$AE734,12,FALSE)*$Q120*IFERROR((VLOOKUP(P120,Settings!$E$28:$F$33,2,FALSE)+1),1)</f>
        <v>19.57113351148832</v>
      </c>
      <c r="Y120" s="40">
        <f>VLOOKUP(B120,'Player Data'!$A1:$AE734,13,FALSE)*$Q120</f>
        <v>3.3099103162980363E-2</v>
      </c>
      <c r="Z120" s="40">
        <f>VLOOKUP(B120,'Player Data'!$A1:$AE734,14,FALSE)*$Q120</f>
        <v>2.9344821802562839E-2</v>
      </c>
      <c r="AA120" s="40">
        <f>VLOOKUP(B120,'Player Data'!$A1:$AE734,15,FALSE)*$Q120</f>
        <v>43.999597985238587</v>
      </c>
      <c r="AB120" s="40">
        <f>VLOOKUP(B120,'Player Data'!$A1:$AE734,16,FALSE)*$Q120</f>
        <v>50.877805618742819</v>
      </c>
      <c r="AC120" s="40">
        <f>VLOOKUP(B120,'Player Data'!$A1:$AE734,17,FALSE)*$Q120*IFERROR((VLOOKUP(P120,Settings!$E$28:$F$33,2,FALSE)+1),1)</f>
        <v>2.2321205542836497</v>
      </c>
      <c r="AD120" s="40">
        <f>VLOOKUP(B120,'Player Data'!$A1:$AE734,18,FALSE)*$Q120</f>
        <v>30.047434346159761</v>
      </c>
      <c r="AE120" s="40">
        <f>VLOOKUP(B120,'Player Data'!$A1:$AE734,19,FALSE)*$Q120*IFERROR((VLOOKUP(P120,Settings!$E$28:$F$33,2,FALSE)+1),1)</f>
        <v>5.5171487224362421</v>
      </c>
      <c r="AF120" s="40">
        <f>VLOOKUP(B120,'Player Data'!$A1:$AE734,20,FALSE)*$Q120</f>
        <v>516.64193247503931</v>
      </c>
      <c r="AG120" s="40">
        <f>VLOOKUP(B120,'Player Data'!$A1:$AE734,21,FALSE)*$Q120</f>
        <v>551.76459776293973</v>
      </c>
      <c r="AH120" s="41">
        <f>VLOOKUP(B120,'Player Data'!$A1:$AE734,22,FALSE)</f>
        <v>0.48356306130023502</v>
      </c>
      <c r="AI120" s="38"/>
      <c r="AJ120" s="42"/>
      <c r="AK120" s="40"/>
      <c r="AL120" s="40"/>
      <c r="AM120" s="40"/>
      <c r="AN120" s="40"/>
      <c r="AO120" s="40"/>
      <c r="AP120" s="40"/>
      <c r="AQ120" s="43"/>
      <c r="AR120" s="44"/>
      <c r="AS120" s="38"/>
    </row>
    <row r="121" spans="1:45" ht="21.2" customHeight="1">
      <c r="A121" s="181">
        <f t="shared" si="7"/>
        <v>120</v>
      </c>
      <c r="B121" s="8" t="s">
        <v>185</v>
      </c>
      <c r="C121" s="31" t="s">
        <v>104</v>
      </c>
      <c r="D121" s="32" t="str">
        <f>VLOOKUP(B121,'Player Data'!A1:D734,4,FALSE)</f>
        <v>C,RW</v>
      </c>
      <c r="E121" s="45">
        <f>VLOOKUP(B121,RW!A1:F189,3,FALSE)</f>
        <v>33</v>
      </c>
      <c r="F121" s="34" t="str">
        <f>VLOOKUP(B121,'Player Data'!A1:B734,2,FALSE)</f>
        <v>DAL</v>
      </c>
      <c r="G121" s="9">
        <f>VLOOKUP(B121,'Player Data'!A1:D734,3,FALSE)</f>
        <v>39</v>
      </c>
      <c r="H121" s="35">
        <f>IFERROR(VLOOKUP(B121,ADP!A1:G731,7,FALSE)/1000000,VLOOKUP(B121,ADP!A1:G731,7,FALSE))</f>
        <v>3.5</v>
      </c>
      <c r="I121" s="36">
        <f>IF(Settings!$E$15="POINTS",((R121*Q121)*Settings!$B$12)+(S121*Settings!$B$2)+(T121*Settings!$B$3)+(U121*Settings!$B$4)+(V121*Settings!$B$5)+(X121*Settings!$B$9)+(AA121*Settings!$B$6)+(W121*Settings!$B$8)+(AB121*Settings!$B$7)+(AC121*Settings!$B$14)+(AD121*Settings!$B$15)+(AE121*Settings!$B$16)+(AF121*Settings!$B$17)+(AG121*Settings!$B$18)+(Y121*Settings!$B$10)+(Z121*Settings!$B$11),VLOOKUP(B121,'Standard Deviations'!A1:C731,3,FALSE))</f>
        <v>6.4454207757164905</v>
      </c>
      <c r="J121" s="37">
        <f t="shared" si="8"/>
        <v>7.8602692386786466E-2</v>
      </c>
      <c r="K121" s="183">
        <f>IF(Settings!$E$18="C/LW/RW",VLOOKUP(B121,RW!A1:F189,6,FALSE),VLOOKUP(B121,F!A1:F431,6,FALSE))</f>
        <v>0.16516205670540973</v>
      </c>
      <c r="L121" s="36">
        <f t="shared" si="9"/>
        <v>4.7189159058688493E-2</v>
      </c>
      <c r="M121" s="38">
        <f>IF(Settings!$E$9="YAHOO",VLOOKUP(B121,ADP!A1:E731,2,FALSE),IF(Settings!$E$9="ESPN",VLOOKUP(B121,ADP!A1:E731,3,FALSE),IF(Settings!$E$9="FANTRAX",VLOOKUP(B121,ADP!A1:E731,4,FALSE),VLOOKUP(B121,ADP!A1:E731,5,FALSE))))</f>
        <v>84.37</v>
      </c>
      <c r="N121" s="38">
        <f t="shared" si="10"/>
        <v>-35.629999999999995</v>
      </c>
      <c r="O121" s="38"/>
      <c r="P121" s="39" t="str">
        <f>IF(Settings!$E$27="ON",_xlfn.XLOOKUP(B121,ADP!A2:A731,ADP!H2:H731)," ")</f>
        <v xml:space="preserve"> </v>
      </c>
      <c r="Q121" s="40">
        <f>IF(Settings!$E$12="YES",VLOOKUP(B121,'Player Data'!A1:E734,5,FALSE),82)</f>
        <v>82</v>
      </c>
      <c r="R121" s="38">
        <f>VLOOKUP(B121,'Player Data'!$A1:$AE734,6,FALSE)</f>
        <v>17.418828209239699</v>
      </c>
      <c r="S121" s="40">
        <f>VLOOKUP(B121,'Player Data'!$A1:$AE734,7,FALSE)*$Q121*IFERROR((VLOOKUP(P121,Settings!$E$28:$F$33,2,FALSE)+1),1)</f>
        <v>25.511973609838794</v>
      </c>
      <c r="T121" s="40">
        <f>VLOOKUP(B121,'Player Data'!$A1:$AE734,8,FALSE)*$Q121*IFERROR((VLOOKUP(P121,Settings!$E$28:$F$33,2,FALSE)+1),1)</f>
        <v>44.25955353328672</v>
      </c>
      <c r="U121" s="40">
        <f>SUM(S121:T121)</f>
        <v>69.77152714312551</v>
      </c>
      <c r="V121" s="40">
        <f>VLOOKUP(B121,'Player Data'!$A1:$AE734,10,FALSE)*$Q121*IFERROR(((VLOOKUP(P121,Settings!$E$28:$F$33,2,FALSE)/2)+1),1)</f>
        <v>189.63028648751671</v>
      </c>
      <c r="W121" s="40">
        <f>VLOOKUP(B121,'Player Data'!$A1:$AE734,11,FALSE)*$Q121*IFERROR((VLOOKUP(P121,Settings!$E$28:$F$33,2,FALSE)+1),1)</f>
        <v>12.453801706952296</v>
      </c>
      <c r="X121" s="40">
        <f>VLOOKUP(B121,'Player Data'!$A1:$AE734,12,FALSE)*$Q121*IFERROR((VLOOKUP(P121,Settings!$E$28:$F$33,2,FALSE)+1),1)</f>
        <v>26.39594567063963</v>
      </c>
      <c r="Y121" s="40">
        <f>VLOOKUP(B121,'Player Data'!$A1:$AE734,13,FALSE)*$Q121</f>
        <v>1.8610732307434614E-2</v>
      </c>
      <c r="Z121" s="40">
        <f>VLOOKUP(B121,'Player Data'!$A1:$AE734,14,FALSE)*$Q121</f>
        <v>0.27563775282031572</v>
      </c>
      <c r="AA121" s="40">
        <f>VLOOKUP(B121,'Player Data'!$A1:$AE734,15,FALSE)*$Q121</f>
        <v>59.682121274410285</v>
      </c>
      <c r="AB121" s="40">
        <f>VLOOKUP(B121,'Player Data'!$A1:$AE734,16,FALSE)*$Q121</f>
        <v>90.602113767924195</v>
      </c>
      <c r="AC121" s="40">
        <f>VLOOKUP(B121,'Player Data'!$A1:$AE734,17,FALSE)*$Q121*IFERROR((VLOOKUP(P121,Settings!$E$28:$F$33,2,FALSE)+1),1)</f>
        <v>9.4796648273042834</v>
      </c>
      <c r="AD121" s="40">
        <f>VLOOKUP(B121,'Player Data'!$A1:$AE734,18,FALSE)*$Q121</f>
        <v>15.911181749437702</v>
      </c>
      <c r="AE121" s="40">
        <f>VLOOKUP(B121,'Player Data'!$A1:$AE734,19,FALSE)*$Q121*IFERROR((VLOOKUP(P121,Settings!$E$28:$F$33,2,FALSE)+1),1)</f>
        <v>4.0817349218039496</v>
      </c>
      <c r="AF121" s="40">
        <f>VLOOKUP(B121,'Player Data'!$A1:$AE734,20,FALSE)*$Q121</f>
        <v>374.99755555561916</v>
      </c>
      <c r="AG121" s="40">
        <f>VLOOKUP(B121,'Player Data'!$A1:$AE734,21,FALSE)*$Q121</f>
        <v>335.34392185589616</v>
      </c>
      <c r="AH121" s="41">
        <f>VLOOKUP(B121,'Player Data'!$A1:$AE734,22,FALSE)</f>
        <v>0.52791166992262695</v>
      </c>
      <c r="AI121" s="38"/>
      <c r="AJ121" s="42"/>
      <c r="AK121" s="40"/>
      <c r="AL121" s="40"/>
      <c r="AM121" s="40"/>
      <c r="AN121" s="40"/>
      <c r="AO121" s="40"/>
      <c r="AP121" s="40"/>
      <c r="AQ121" s="43"/>
      <c r="AR121" s="44"/>
      <c r="AS121" s="38"/>
    </row>
    <row r="122" spans="1:45" ht="21.2" customHeight="1">
      <c r="A122" s="181">
        <f t="shared" si="7"/>
        <v>121</v>
      </c>
      <c r="B122" s="8" t="s">
        <v>196</v>
      </c>
      <c r="C122" s="31" t="s">
        <v>104</v>
      </c>
      <c r="D122" s="32" t="str">
        <f>VLOOKUP(B122,'Player Data'!A1:D734,4,FALSE)</f>
        <v>RW</v>
      </c>
      <c r="E122" s="46">
        <f>VLOOKUP(B122,RW!A1:F189,3,FALSE)</f>
        <v>34</v>
      </c>
      <c r="F122" s="34" t="str">
        <f>VLOOKUP(B122,'Player Data'!A1:B734,2,FALSE)</f>
        <v>CAR</v>
      </c>
      <c r="G122" s="9">
        <f>VLOOKUP(B122,'Player Data'!A1:D734,3,FALSE)</f>
        <v>24</v>
      </c>
      <c r="H122" s="35">
        <f>IFERROR(VLOOKUP(B122,ADP!A1:G731,7,FALSE)/1000000,VLOOKUP(B122,ADP!A1:G731,7,FALSE))</f>
        <v>3</v>
      </c>
      <c r="I122" s="36">
        <f>IF(Settings!$E$15="POINTS",((R122*Q122)*Settings!$B$12)+(S122*Settings!$B$2)+(T122*Settings!$B$3)+(U122*Settings!$B$4)+(V122*Settings!$B$5)+(X122*Settings!$B$9)+(AA122*Settings!$B$6)+(W122*Settings!$B$8)+(AB122*Settings!$B$7)+(AC122*Settings!$B$14)+(AD122*Settings!$B$15)+(AE122*Settings!$B$16)+(AF122*Settings!$B$17)+(AG122*Settings!$B$18)+(Y122*Settings!$B$10)+(Z122*Settings!$B$11),VLOOKUP(B122,'Standard Deviations'!A1:C731,3,FALSE))</f>
        <v>6.4441422120163754</v>
      </c>
      <c r="J122" s="37">
        <f t="shared" si="8"/>
        <v>7.8587100146541161E-2</v>
      </c>
      <c r="K122" s="183">
        <f>IF(Settings!$E$18="C/LW/RW",VLOOKUP(B122,RW!A1:F189,6,FALSE),VLOOKUP(B122,F!A1:F431,6,FALSE))</f>
        <v>0.16388349300529459</v>
      </c>
      <c r="L122" s="36">
        <f t="shared" si="9"/>
        <v>5.4627831001764861E-2</v>
      </c>
      <c r="M122" s="38">
        <f>IF(Settings!$E$9="YAHOO",VLOOKUP(B122,ADP!A1:E731,2,FALSE),IF(Settings!$E$9="ESPN",VLOOKUP(B122,ADP!A1:E731,3,FALSE),IF(Settings!$E$9="FANTRAX",VLOOKUP(B122,ADP!A1:E731,4,FALSE),VLOOKUP(B122,ADP!A1:E731,5,FALSE))))</f>
        <v>91.31</v>
      </c>
      <c r="N122" s="38">
        <f t="shared" si="10"/>
        <v>-29.689999999999998</v>
      </c>
      <c r="O122" s="38"/>
      <c r="P122" s="39" t="str">
        <f>IF(Settings!$E$27="ON",_xlfn.XLOOKUP(B122,ADP!A2:A731,ADP!H2:H731)," ")</f>
        <v xml:space="preserve"> </v>
      </c>
      <c r="Q122" s="40">
        <f>IF(Settings!$E$12="YES",VLOOKUP(B122,'Player Data'!A1:E734,5,FALSE),82)</f>
        <v>82</v>
      </c>
      <c r="R122" s="38">
        <f>VLOOKUP(B122,'Player Data'!$A1:$AE734,6,FALSE)</f>
        <v>18.356554917454201</v>
      </c>
      <c r="S122" s="40">
        <f>VLOOKUP(B122,'Player Data'!$A1:$AE734,7,FALSE)*$Q122*IFERROR((VLOOKUP(P122,Settings!$E$28:$F$33,2,FALSE)+1),1)</f>
        <v>26.039418764699569</v>
      </c>
      <c r="T122" s="40">
        <f>VLOOKUP(B122,'Player Data'!$A1:$AE734,8,FALSE)*$Q122*IFERROR((VLOOKUP(P122,Settings!$E$28:$F$33,2,FALSE)+1),1)</f>
        <v>42.679287348208689</v>
      </c>
      <c r="U122" s="40">
        <f>SUM(S122:T122)</f>
        <v>68.718706112908251</v>
      </c>
      <c r="V122" s="40">
        <f>VLOOKUP(B122,'Player Data'!$A1:$AE734,10,FALSE)*$Q122*IFERROR(((VLOOKUP(P122,Settings!$E$28:$F$33,2,FALSE)/2)+1),1)</f>
        <v>227.04361717099826</v>
      </c>
      <c r="W122" s="40">
        <f>VLOOKUP(B122,'Player Data'!$A1:$AE734,11,FALSE)*$Q122*IFERROR((VLOOKUP(P122,Settings!$E$28:$F$33,2,FALSE)+1),1)</f>
        <v>6.9541057991453776</v>
      </c>
      <c r="X122" s="40">
        <f>VLOOKUP(B122,'Player Data'!$A1:$AE734,12,FALSE)*$Q122*IFERROR((VLOOKUP(P122,Settings!$E$28:$F$33,2,FALSE)+1),1)</f>
        <v>21.220294818038994</v>
      </c>
      <c r="Y122" s="40">
        <f>VLOOKUP(B122,'Player Data'!$A1:$AE734,13,FALSE)*$Q122</f>
        <v>0.30280957848007989</v>
      </c>
      <c r="Z122" s="40">
        <f>VLOOKUP(B122,'Player Data'!$A1:$AE734,14,FALSE)*$Q122</f>
        <v>0.73310546417803379</v>
      </c>
      <c r="AA122" s="40">
        <f>VLOOKUP(B122,'Player Data'!$A1:$AE734,15,FALSE)*$Q122</f>
        <v>24.175543810395734</v>
      </c>
      <c r="AB122" s="40">
        <f>VLOOKUP(B122,'Player Data'!$A1:$AE734,16,FALSE)*$Q122</f>
        <v>61.84289037329691</v>
      </c>
      <c r="AC122" s="40">
        <f>VLOOKUP(B122,'Player Data'!$A1:$AE734,17,FALSE)*$Q122*IFERROR((VLOOKUP(P122,Settings!$E$28:$F$33,2,FALSE)+1),1)</f>
        <v>6.163466066157393</v>
      </c>
      <c r="AD122" s="40">
        <f>VLOOKUP(B122,'Player Data'!$A1:$AE734,18,FALSE)*$Q122</f>
        <v>32.135521397114964</v>
      </c>
      <c r="AE122" s="40">
        <f>VLOOKUP(B122,'Player Data'!$A1:$AE734,19,FALSE)*$Q122*IFERROR((VLOOKUP(P122,Settings!$E$28:$F$33,2,FALSE)+1),1)</f>
        <v>4.6720547930669341</v>
      </c>
      <c r="AF122" s="40">
        <f>VLOOKUP(B122,'Player Data'!$A1:$AE734,20,FALSE)*$Q122</f>
        <v>156.89163618826367</v>
      </c>
      <c r="AG122" s="40">
        <f>VLOOKUP(B122,'Player Data'!$A1:$AE734,21,FALSE)*$Q122</f>
        <v>190.16457743359197</v>
      </c>
      <c r="AH122" s="41">
        <f>VLOOKUP(B122,'Player Data'!$A1:$AE734,22,FALSE)</f>
        <v>0.45206404619860502</v>
      </c>
      <c r="AI122" s="38"/>
      <c r="AJ122" s="42"/>
      <c r="AK122" s="40"/>
      <c r="AL122" s="40"/>
      <c r="AM122" s="40"/>
      <c r="AN122" s="40"/>
      <c r="AO122" s="40"/>
      <c r="AP122" s="40"/>
      <c r="AQ122" s="43"/>
      <c r="AR122" s="44"/>
      <c r="AS122" s="38"/>
    </row>
    <row r="123" spans="1:45" ht="21.2" customHeight="1">
      <c r="A123" s="181">
        <f t="shared" si="7"/>
        <v>122</v>
      </c>
      <c r="B123" s="8" t="s">
        <v>216</v>
      </c>
      <c r="C123" s="31" t="s">
        <v>104</v>
      </c>
      <c r="D123" s="32" t="str">
        <f>VLOOKUP(B123,'Player Data'!A1:D734,4,FALSE)</f>
        <v>D</v>
      </c>
      <c r="E123" s="47">
        <f>VLOOKUP(B123,D!A1:C229,3,FALSE)</f>
        <v>32</v>
      </c>
      <c r="F123" s="34" t="str">
        <f>VLOOKUP(B123,'Player Data'!A1:B734,2,FALSE)</f>
        <v>ANA</v>
      </c>
      <c r="G123" s="9">
        <f>VLOOKUP(B123,'Player Data'!A1:D734,3,FALSE)</f>
        <v>31</v>
      </c>
      <c r="H123" s="35">
        <f>IFERROR(VLOOKUP(B123,ADP!A1:G731,7,FALSE)/1000000,VLOOKUP(B123,ADP!A1:G731,7,FALSE))</f>
        <v>6.5</v>
      </c>
      <c r="I123" s="36">
        <f>IF(Settings!$E$15="POINTS",((R123*Q123)*Settings!$B$12)+(S123*Settings!$B$2)+(T123*Settings!$B$3)+(U123*Settings!$B$4)+(V123*Settings!$B$5)+(X123*Settings!$B$9)+(AA123*Settings!$B$6)+(W123*Settings!$B$8)+(AB123*Settings!$B$7)+(AC123*Settings!$B$14)+(AD123*Settings!$B$15)+(AE123*Settings!$B$16)+(AF123*Settings!$B$17)+(AG123*Settings!$B$18)+(U123*Settings!$B$13)+(Y123*Settings!$B$10)+(Z123*Settings!$B$11),VLOOKUP(B123,'Standard Deviations'!A1:C731,3,FALSE))</f>
        <v>2.1004180628144611</v>
      </c>
      <c r="J123" s="37">
        <f t="shared" si="8"/>
        <v>2.56148544245666E-2</v>
      </c>
      <c r="K123" s="183">
        <f>VLOOKUP(B123,D!A1:F229,6,FALSE)</f>
        <v>0.15867751918015038</v>
      </c>
      <c r="L123" s="36">
        <f t="shared" si="9"/>
        <v>2.4411926027715445E-2</v>
      </c>
      <c r="M123" s="38">
        <f>IF(Settings!$E$9="YAHOO",VLOOKUP(B123,ADP!A1:E731,2,FALSE),IF(Settings!$E$9="ESPN",VLOOKUP(B123,ADP!A1:E731,3,FALSE),IF(Settings!$E$9="FANTRAX",VLOOKUP(B123,ADP!A1:E731,4,FALSE),VLOOKUP(B123,ADP!A1:E731,5,FALSE))))</f>
        <v>208.79</v>
      </c>
      <c r="N123" s="38">
        <f t="shared" si="10"/>
        <v>86.789999999999992</v>
      </c>
      <c r="O123" s="38"/>
      <c r="P123" s="39" t="str">
        <f>IF(Settings!$E$27="ON",_xlfn.XLOOKUP(B123,ADP!A2:A731,ADP!H2:H731)," ")</f>
        <v xml:space="preserve"> </v>
      </c>
      <c r="Q123" s="40">
        <f>IF(Settings!$E$12="YES",VLOOKUP(B123,'Player Data'!A1:E734,5,FALSE),82)</f>
        <v>82</v>
      </c>
      <c r="R123" s="38">
        <f>VLOOKUP(B123,'Player Data'!$A1:$AE734,6,FALSE)</f>
        <v>24.527451575266799</v>
      </c>
      <c r="S123" s="40">
        <f>VLOOKUP(B123,'Player Data'!$A1:$AE734,7,FALSE)*$Q123*IFERROR((VLOOKUP(P123,Settings!$E$28:$F$33,2,FALSE)+1),1)</f>
        <v>10.39089590376488</v>
      </c>
      <c r="T123" s="40">
        <f>VLOOKUP(B123,'Player Data'!$A1:$AE734,8,FALSE)*$Q123*IFERROR((VLOOKUP(P123,Settings!$E$28:$F$33,2,FALSE)+1),1)</f>
        <v>38.399153254772308</v>
      </c>
      <c r="U123" s="40">
        <f>SUM(S123:T123)</f>
        <v>48.790049158537187</v>
      </c>
      <c r="V123" s="40">
        <f>VLOOKUP(B123,'Player Data'!$A1:$AE734,10,FALSE)*$Q123*IFERROR(((VLOOKUP(P123,Settings!$E$28:$F$33,2,FALSE)/2)+1),1)</f>
        <v>141.84456816000261</v>
      </c>
      <c r="W123" s="40">
        <f>VLOOKUP(B123,'Player Data'!$A1:$AE734,11,FALSE)*$Q123*IFERROR((VLOOKUP(P123,Settings!$E$28:$F$33,2,FALSE)+1),1)</f>
        <v>5.0613790585022471</v>
      </c>
      <c r="X123" s="40">
        <f>VLOOKUP(B123,'Player Data'!$A1:$AE734,12,FALSE)*$Q123*IFERROR((VLOOKUP(P123,Settings!$E$28:$F$33,2,FALSE)+1),1)</f>
        <v>18.974994364123827</v>
      </c>
      <c r="Y123" s="40">
        <f>VLOOKUP(B123,'Player Data'!$A1:$AE734,13,FALSE)*$Q123</f>
        <v>-1.3112113848060176E-2</v>
      </c>
      <c r="Z123" s="40">
        <f>VLOOKUP(B123,'Player Data'!$A1:$AE734,14,FALSE)*$Q123</f>
        <v>-4.8613674677609763E-2</v>
      </c>
      <c r="AA123" s="40">
        <f>VLOOKUP(B123,'Player Data'!$A1:$AE734,15,FALSE)*$Q123</f>
        <v>110.53687164208137</v>
      </c>
      <c r="AB123" s="40">
        <f>VLOOKUP(B123,'Player Data'!$A1:$AE734,16,FALSE)*$Q123</f>
        <v>39.360414615087102</v>
      </c>
      <c r="AC123" s="40">
        <f>VLOOKUP(B123,'Player Data'!$A1:$AE734,17,FALSE)*$Q123*IFERROR((VLOOKUP(P123,Settings!$E$28:$F$33,2,FALSE)+1),1)</f>
        <v>-8.5897757096950276</v>
      </c>
      <c r="AD123" s="40">
        <f>VLOOKUP(B123,'Player Data'!$A1:$AE734,18,FALSE)*$Q123</f>
        <v>23.710651788801634</v>
      </c>
      <c r="AE123" s="40">
        <f>VLOOKUP(B123,'Player Data'!$A1:$AE734,19,FALSE)*$Q123*IFERROR((VLOOKUP(P123,Settings!$E$28:$F$33,2,FALSE)+1),1)</f>
        <v>0.99610272073659256</v>
      </c>
      <c r="AF123" s="40">
        <f>VLOOKUP(B123,'Player Data'!$A1:$AE734,20,FALSE)*$Q123</f>
        <v>0</v>
      </c>
      <c r="AG123" s="40">
        <f>VLOOKUP(B123,'Player Data'!$A1:$AE734,21,FALSE)*$Q123</f>
        <v>0</v>
      </c>
      <c r="AH123" s="41">
        <f>VLOOKUP(B123,'Player Data'!$A1:$AE734,22,FALSE)</f>
        <v>0</v>
      </c>
      <c r="AI123" s="38"/>
      <c r="AJ123" s="42"/>
      <c r="AK123" s="40"/>
      <c r="AL123" s="40"/>
      <c r="AM123" s="40"/>
      <c r="AN123" s="40"/>
      <c r="AO123" s="40"/>
      <c r="AP123" s="40"/>
      <c r="AQ123" s="43"/>
      <c r="AR123" s="44"/>
      <c r="AS123" s="38"/>
    </row>
    <row r="124" spans="1:45" ht="21.2" customHeight="1">
      <c r="A124" s="181">
        <f t="shared" si="7"/>
        <v>123</v>
      </c>
      <c r="B124" s="8" t="s">
        <v>252</v>
      </c>
      <c r="C124" s="31" t="s">
        <v>104</v>
      </c>
      <c r="D124" s="32" t="str">
        <f>VLOOKUP(B124,'Player Data'!A1:D734,4,FALSE)</f>
        <v>G</v>
      </c>
      <c r="E124" s="50">
        <f>VLOOKUP(B124,G!A1:D75,3,FALSE)</f>
        <v>17</v>
      </c>
      <c r="F124" s="34" t="str">
        <f>VLOOKUP(B124,'Player Data'!A1:B734,2,FALSE)</f>
        <v>WSH</v>
      </c>
      <c r="G124" s="9">
        <f>VLOOKUP(B124,'Player Data'!A1:D734,3,FALSE)</f>
        <v>33</v>
      </c>
      <c r="H124" s="35">
        <f>IFERROR(VLOOKUP(B124,ADP!A1:G731,7,FALSE)/1000000,VLOOKUP(B124,ADP!A1:G731,7,FALSE))</f>
        <v>5.25</v>
      </c>
      <c r="I124" s="36">
        <f>IF(Settings!$E$15="POINTS",(AJ124*Settings!$B$29)+(AK124*Settings!$B$21)+(AL124*Settings!$B$22)+(AN124*Settings!$B$24)+(AO124*Settings!$B$25)+(AP124*Settings!$B$27)+(AM124*Settings!$B$23),VLOOKUP(B124,'Standard Deviations'!A1:C731,3,FALSE))</f>
        <v>1.7864887701213337</v>
      </c>
      <c r="J124" s="37">
        <f t="shared" si="8"/>
        <v>3.4355553271564108E-2</v>
      </c>
      <c r="K124" s="183">
        <f>VLOOKUP(B124,G!A1:F75,6,FALSE)</f>
        <v>8.2259718931042114E-2</v>
      </c>
      <c r="L124" s="36">
        <f t="shared" si="9"/>
        <v>1.5668517891627071E-2</v>
      </c>
      <c r="M124" s="38">
        <f>IF(Settings!$E$9="YAHOO",VLOOKUP(B124,ADP!A1:E731,2,FALSE),IF(Settings!$E$9="ESPN",VLOOKUP(B124,ADP!A1:E731,3,FALSE),IF(Settings!$E$9="FANTRAX",VLOOKUP(B124,ADP!A1:E731,4,FALSE),VLOOKUP(B124,ADP!A1:E731,5,FALSE))))</f>
        <v>137.25</v>
      </c>
      <c r="N124" s="38">
        <f t="shared" si="10"/>
        <v>14.25</v>
      </c>
      <c r="O124" s="38"/>
      <c r="P124" s="39" t="str">
        <f>IF(Settings!$E$27="ON",_xlfn.XLOOKUP(B124,ADP!A2:A731,ADP!H2:H731)," ")</f>
        <v>-</v>
      </c>
      <c r="Q124" s="40"/>
      <c r="R124" s="51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1"/>
      <c r="AI124" s="38"/>
      <c r="AJ124" s="42">
        <f>VLOOKUP(B124,'Player Data'!$A1:$AE734,24,FALSE)</f>
        <v>52</v>
      </c>
      <c r="AK124" s="40">
        <f>VLOOKUP(B124,'Player Data'!$A1:$AE734,25,FALSE)*$AJ124*IFERROR((VLOOKUP(P124,Settings!$E$28:$F$33,2,FALSE)+1),1)</f>
        <v>22.631286564852651</v>
      </c>
      <c r="AL124" s="40">
        <f>AJ124-AK124-AM124</f>
        <v>22.868713435147349</v>
      </c>
      <c r="AM124" s="40">
        <f>VLOOKUP(B124,'Player Data'!$A1:$AE734,27,FALSE)*$AJ124</f>
        <v>6.5</v>
      </c>
      <c r="AN124" s="40">
        <f>VLOOKUP(B124,'Player Data'!$A1:$AE734,28,FALSE)*AJ124</f>
        <v>2.880119225902225</v>
      </c>
      <c r="AO124" s="40">
        <f>VLOOKUP(B124,'Player Data'!$A1:$AE734,29,FALSE)*$AJ124*IFERROR((VLOOKUP(P124,Settings!$E$28:$F$33,2,FALSE)/4)+1,1)</f>
        <v>1509.3542477547603</v>
      </c>
      <c r="AP124" s="40">
        <f>VLOOKUP(B124,'Player Data'!$A1:$AE734,31,FALSE)*$AJ124*(IFERROR(1-(VLOOKUP(P124,Settings!$E$28:$F$33,2,FALSE)/4),1))</f>
        <v>148.4489435048952</v>
      </c>
      <c r="AQ124" s="43">
        <f>1-(AP124/(AO124+AP124))</f>
        <v>0.91045442288472211</v>
      </c>
      <c r="AR124" s="44">
        <f>AP124/AJ124</f>
        <v>2.8547873750941384</v>
      </c>
      <c r="AS124" s="38"/>
    </row>
    <row r="125" spans="1:45" ht="21.2" customHeight="1">
      <c r="A125" s="181">
        <f t="shared" si="7"/>
        <v>124</v>
      </c>
      <c r="B125" s="8" t="s">
        <v>273</v>
      </c>
      <c r="C125" s="31" t="s">
        <v>104</v>
      </c>
      <c r="D125" s="32" t="str">
        <f>VLOOKUP(B125,'Player Data'!A1:D734,4,FALSE)</f>
        <v>D</v>
      </c>
      <c r="E125" s="47">
        <f>VLOOKUP(B125,D!A1:C229,3,FALSE)</f>
        <v>33</v>
      </c>
      <c r="F125" s="34" t="str">
        <f>VLOOKUP(B125,'Player Data'!A1:B734,2,FALSE)</f>
        <v>FLA</v>
      </c>
      <c r="G125" s="9">
        <f>VLOOKUP(B125,'Player Data'!A1:D734,3,FALSE)</f>
        <v>27</v>
      </c>
      <c r="H125" s="35">
        <f>IFERROR(VLOOKUP(B125,ADP!A1:G731,7,FALSE)/1000000,VLOOKUP(B125,ADP!A1:G731,7,FALSE))</f>
        <v>7.5</v>
      </c>
      <c r="I125" s="36">
        <f>IF(Settings!$E$15="POINTS",((R125*Q125)*Settings!$B$12)+(S125*Settings!$B$2)+(T125*Settings!$B$3)+(U125*Settings!$B$4)+(V125*Settings!$B$5)+(X125*Settings!$B$9)+(AA125*Settings!$B$6)+(W125*Settings!$B$8)+(AB125*Settings!$B$7)+(AC125*Settings!$B$14)+(AD125*Settings!$B$15)+(AE125*Settings!$B$16)+(AF125*Settings!$B$17)+(AG125*Settings!$B$18)+(U125*Settings!$B$13)+(Y125*Settings!$B$10)+(Z125*Settings!$B$11),VLOOKUP(B125,'Standard Deviations'!A1:C731,3,FALSE))</f>
        <v>1.9666695015994498</v>
      </c>
      <c r="J125" s="37">
        <f t="shared" si="8"/>
        <v>2.3983774409749387E-2</v>
      </c>
      <c r="K125" s="183">
        <f>VLOOKUP(B125,D!A1:F229,6,FALSE)</f>
        <v>2.4928957965139054E-2</v>
      </c>
      <c r="L125" s="36">
        <f t="shared" si="9"/>
        <v>3.3238610620185405E-3</v>
      </c>
      <c r="M125" s="38">
        <f>IF(Settings!$E$9="YAHOO",VLOOKUP(B125,ADP!A1:E731,2,FALSE),IF(Settings!$E$9="ESPN",VLOOKUP(B125,ADP!A1:E731,3,FALSE),IF(Settings!$E$9="FANTRAX",VLOOKUP(B125,ADP!A1:E731,4,FALSE),VLOOKUP(B125,ADP!A1:E731,5,FALSE))))</f>
        <v>134.65</v>
      </c>
      <c r="N125" s="38">
        <f t="shared" si="10"/>
        <v>10.650000000000006</v>
      </c>
      <c r="O125" s="38"/>
      <c r="P125" s="39" t="str">
        <f>IF(Settings!$E$27="ON",_xlfn.XLOOKUP(B125,ADP!A2:A731,ADP!H2:H731)," ")</f>
        <v xml:space="preserve"> </v>
      </c>
      <c r="Q125" s="40">
        <f>IF(Settings!$E$12="YES",VLOOKUP(B125,'Player Data'!A1:E734,5,FALSE),82)</f>
        <v>82</v>
      </c>
      <c r="R125" s="38">
        <f>VLOOKUP(B125,'Player Data'!$A1:$AE734,6,FALSE)</f>
        <v>21.598563653759399</v>
      </c>
      <c r="S125" s="40">
        <f>VLOOKUP(B125,'Player Data'!$A1:$AE734,7,FALSE)*$Q125*IFERROR((VLOOKUP(P125,Settings!$E$28:$F$33,2,FALSE)+1),1)</f>
        <v>14.130641032273523</v>
      </c>
      <c r="T125" s="40">
        <f>VLOOKUP(B125,'Player Data'!$A1:$AE734,8,FALSE)*$Q125*IFERROR((VLOOKUP(P125,Settings!$E$28:$F$33,2,FALSE)+1),1)</f>
        <v>29.47182169372277</v>
      </c>
      <c r="U125" s="40">
        <f>SUM(S125:T125)</f>
        <v>43.60246272599629</v>
      </c>
      <c r="V125" s="40">
        <f>VLOOKUP(B125,'Player Data'!$A1:$AE734,10,FALSE)*$Q125*IFERROR(((VLOOKUP(P125,Settings!$E$28:$F$33,2,FALSE)/2)+1),1)</f>
        <v>203.37869466996409</v>
      </c>
      <c r="W125" s="40">
        <f>VLOOKUP(B125,'Player Data'!$A1:$AE734,11,FALSE)*$Q125*IFERROR((VLOOKUP(P125,Settings!$E$28:$F$33,2,FALSE)+1),1)</f>
        <v>4.2561646284993371</v>
      </c>
      <c r="X125" s="40">
        <f>VLOOKUP(B125,'Player Data'!$A1:$AE734,12,FALSE)*$Q125*IFERROR((VLOOKUP(P125,Settings!$E$28:$F$33,2,FALSE)+1),1)</f>
        <v>12.50593667348754</v>
      </c>
      <c r="Y125" s="40">
        <f>VLOOKUP(B125,'Player Data'!$A1:$AE734,13,FALSE)*$Q125</f>
        <v>0.5362316943881934</v>
      </c>
      <c r="Z125" s="40">
        <f>VLOOKUP(B125,'Player Data'!$A1:$AE734,14,FALSE)*$Q125</f>
        <v>1.5912656668542566</v>
      </c>
      <c r="AA125" s="40">
        <f>VLOOKUP(B125,'Player Data'!$A1:$AE734,15,FALSE)*$Q125</f>
        <v>97.996258298846485</v>
      </c>
      <c r="AB125" s="40">
        <f>VLOOKUP(B125,'Player Data'!$A1:$AE734,16,FALSE)*$Q125</f>
        <v>91.415420321816271</v>
      </c>
      <c r="AC125" s="40">
        <f>VLOOKUP(B125,'Player Data'!$A1:$AE734,17,FALSE)*$Q125*IFERROR((VLOOKUP(P125,Settings!$E$28:$F$33,2,FALSE)+1),1)</f>
        <v>2.6197738979397132</v>
      </c>
      <c r="AD125" s="40">
        <f>VLOOKUP(B125,'Player Data'!$A1:$AE734,18,FALSE)*$Q125</f>
        <v>50.933504351348695</v>
      </c>
      <c r="AE125" s="40">
        <f>VLOOKUP(B125,'Player Data'!$A1:$AE734,19,FALSE)*$Q125*IFERROR((VLOOKUP(P125,Settings!$E$28:$F$33,2,FALSE)+1),1)</f>
        <v>2.0270726878282312</v>
      </c>
      <c r="AF125" s="40">
        <f>VLOOKUP(B125,'Player Data'!$A1:$AE734,20,FALSE)*$Q125</f>
        <v>0</v>
      </c>
      <c r="AG125" s="40">
        <f>VLOOKUP(B125,'Player Data'!$A1:$AE734,21,FALSE)*$Q125</f>
        <v>0</v>
      </c>
      <c r="AH125" s="41">
        <f>VLOOKUP(B125,'Player Data'!$A1:$AE734,22,FALSE)</f>
        <v>0</v>
      </c>
      <c r="AI125" s="38"/>
      <c r="AJ125" s="40"/>
      <c r="AK125" s="40"/>
      <c r="AL125" s="40"/>
      <c r="AM125" s="40"/>
      <c r="AN125" s="40"/>
      <c r="AO125" s="40"/>
      <c r="AP125" s="40"/>
      <c r="AQ125" s="43"/>
      <c r="AR125" s="44"/>
      <c r="AS125" s="38"/>
    </row>
    <row r="126" spans="1:45" ht="21.2" customHeight="1">
      <c r="A126" s="181">
        <f t="shared" si="7"/>
        <v>125</v>
      </c>
      <c r="B126" s="8" t="s">
        <v>292</v>
      </c>
      <c r="C126" s="31" t="s">
        <v>104</v>
      </c>
      <c r="D126" s="32" t="str">
        <f>VLOOKUP(B126,'Player Data'!A1:D734,4,FALSE)</f>
        <v>G</v>
      </c>
      <c r="E126" s="50">
        <f>VLOOKUP(B126,G!A1:D75,3,FALSE)</f>
        <v>18</v>
      </c>
      <c r="F126" s="34" t="str">
        <f>VLOOKUP(B126,'Player Data'!A1:B734,2,FALSE)</f>
        <v>NJD</v>
      </c>
      <c r="G126" s="9">
        <f>VLOOKUP(B126,'Player Data'!A1:D734,3,FALSE)</f>
        <v>27</v>
      </c>
      <c r="H126" s="35">
        <f>IFERROR(VLOOKUP(B126,ADP!A1:G731,7,FALSE)/1000000,VLOOKUP(B126,ADP!A1:G731,7,FALSE))</f>
        <v>3.4</v>
      </c>
      <c r="I126" s="36">
        <f>IF(Settings!$E$15="POINTS",(AJ126*Settings!$B$29)+(AK126*Settings!$B$21)+(AL126*Settings!$B$22)+(AN126*Settings!$B$24)+(AO126*Settings!$B$25)+(AP126*Settings!$B$27)+(AM126*Settings!$B$23),VLOOKUP(B126,'Standard Deviations'!A1:C731,3,FALSE))</f>
        <v>1.7042290511902916</v>
      </c>
      <c r="J126" s="37">
        <f t="shared" si="8"/>
        <v>3.7048457634571555E-2</v>
      </c>
      <c r="K126" s="183">
        <f>VLOOKUP(B126,G!A1:F75,6,FALSE)</f>
        <v>0</v>
      </c>
      <c r="L126" s="36">
        <f t="shared" si="9"/>
        <v>0</v>
      </c>
      <c r="M126" s="38">
        <f>IF(Settings!$E$9="YAHOO",VLOOKUP(B126,ADP!A1:E731,2,FALSE),IF(Settings!$E$9="ESPN",VLOOKUP(B126,ADP!A1:E731,3,FALSE),IF(Settings!$E$9="FANTRAX",VLOOKUP(B126,ADP!A1:E731,4,FALSE),VLOOKUP(B126,ADP!A1:E731,5,FALSE))))</f>
        <v>144.84</v>
      </c>
      <c r="N126" s="38">
        <f t="shared" si="10"/>
        <v>19.840000000000003</v>
      </c>
      <c r="O126" s="38"/>
      <c r="P126" s="39" t="str">
        <f>IF(Settings!$E$27="ON",_xlfn.XLOOKUP(B126,ADP!A2:A731,ADP!H2:H731)," ")</f>
        <v xml:space="preserve"> </v>
      </c>
      <c r="Q126" s="40"/>
      <c r="R126" s="51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1"/>
      <c r="AI126" s="38"/>
      <c r="AJ126" s="42">
        <f>VLOOKUP(B126,'Player Data'!$A1:$AE734,24,FALSE)</f>
        <v>46</v>
      </c>
      <c r="AK126" s="40">
        <f>VLOOKUP(B126,'Player Data'!$A1:$AE734,25,FALSE)*$AJ126*IFERROR((VLOOKUP(P126,Settings!$E$28:$F$33,2,FALSE)+1),1)</f>
        <v>27.109659735318957</v>
      </c>
      <c r="AL126" s="40">
        <f>AJ126-AK126-AM126</f>
        <v>13.140340264681043</v>
      </c>
      <c r="AM126" s="40">
        <f>VLOOKUP(B126,'Player Data'!$A1:$AE734,27,FALSE)*$AJ126</f>
        <v>5.75</v>
      </c>
      <c r="AN126" s="40">
        <f>VLOOKUP(B126,'Player Data'!$A1:$AE734,28,FALSE)*AJ126</f>
        <v>3.0321215044173018</v>
      </c>
      <c r="AO126" s="40">
        <f>VLOOKUP(B126,'Player Data'!$A1:$AE734,29,FALSE)*$AJ126*IFERROR((VLOOKUP(P126,Settings!$E$28:$F$33,2,FALSE)/4)+1,1)</f>
        <v>1253.1330675649501</v>
      </c>
      <c r="AP126" s="40">
        <f>VLOOKUP(B126,'Player Data'!$A1:$AE734,31,FALSE)*$AJ126*(IFERROR(1-(VLOOKUP(P126,Settings!$E$28:$F$33,2,FALSE)/4),1))</f>
        <v>123.35966617254843</v>
      </c>
      <c r="AQ126" s="43">
        <f>1-(AP126/(AO126+AP126))</f>
        <v>0.91038117154632692</v>
      </c>
      <c r="AR126" s="44">
        <f>AP126/AJ126</f>
        <v>2.6817318733162701</v>
      </c>
      <c r="AS126" s="38"/>
    </row>
    <row r="127" spans="1:45" ht="21.2" customHeight="1">
      <c r="A127" s="181">
        <f t="shared" si="7"/>
        <v>125</v>
      </c>
      <c r="B127" s="8" t="s">
        <v>235</v>
      </c>
      <c r="C127" s="31" t="s">
        <v>104</v>
      </c>
      <c r="D127" s="32" t="str">
        <f>VLOOKUP(B127,'Player Data'!A1:D734,4,FALSE)</f>
        <v>D</v>
      </c>
      <c r="E127" s="47">
        <f>VLOOKUP(B127,D!A1:C229,3,FALSE)</f>
        <v>34</v>
      </c>
      <c r="F127" s="34" t="str">
        <f>VLOOKUP(B127,'Player Data'!A1:B734,2,FALSE)</f>
        <v>STL</v>
      </c>
      <c r="G127" s="9">
        <f>VLOOKUP(B127,'Player Data'!A1:D734,3,FALSE)</f>
        <v>32</v>
      </c>
      <c r="H127" s="35">
        <f>IFERROR(VLOOKUP(B127,ADP!A1:G731,7,FALSE)/1000000,VLOOKUP(B127,ADP!A1:G731,7,FALSE))</f>
        <v>6.5</v>
      </c>
      <c r="I127" s="36">
        <f>IF(Settings!$E$15="POINTS",((R127*Q127)*Settings!$B$12)+(S127*Settings!$B$2)+(T127*Settings!$B$3)+(U127*Settings!$B$4)+(V127*Settings!$B$5)+(X127*Settings!$B$9)+(AA127*Settings!$B$6)+(W127*Settings!$B$8)+(AB127*Settings!$B$7)+(AC127*Settings!$B$14)+(AD127*Settings!$B$15)+(AE127*Settings!$B$16)+(AF127*Settings!$B$17)+(AG127*Settings!$B$18)+(U127*Settings!$B$13)+(Y127*Settings!$B$10)+(Z127*Settings!$B$11),VLOOKUP(B127,'Standard Deviations'!A1:C731,3,FALSE))</f>
        <v>1.9417405436343107</v>
      </c>
      <c r="J127" s="37">
        <f t="shared" si="8"/>
        <v>2.3679762727247693E-2</v>
      </c>
      <c r="K127" s="183">
        <f>VLOOKUP(B127,D!A1:F229,6,FALSE)</f>
        <v>0</v>
      </c>
      <c r="L127" s="36">
        <f t="shared" si="9"/>
        <v>0</v>
      </c>
      <c r="M127" s="38">
        <f>IF(Settings!$E$9="YAHOO",VLOOKUP(B127,ADP!A1:E731,2,FALSE),IF(Settings!$E$9="ESPN",VLOOKUP(B127,ADP!A1:E731,3,FALSE),IF(Settings!$E$9="FANTRAX",VLOOKUP(B127,ADP!A1:E731,4,FALSE),VLOOKUP(B127,ADP!A1:E731,5,FALSE))))</f>
        <v>214.3</v>
      </c>
      <c r="N127" s="38">
        <f t="shared" si="10"/>
        <v>89.300000000000011</v>
      </c>
      <c r="O127" s="38"/>
      <c r="P127" s="39" t="str">
        <f>IF(Settings!$E$27="ON",_xlfn.XLOOKUP(B127,ADP!A2:A731,ADP!H2:H731)," ")</f>
        <v xml:space="preserve"> </v>
      </c>
      <c r="Q127" s="40">
        <f>IF(Settings!$E$12="YES",VLOOKUP(B127,'Player Data'!A1:E734,5,FALSE),82)</f>
        <v>82</v>
      </c>
      <c r="R127" s="38">
        <f>VLOOKUP(B127,'Player Data'!$A1:$AE734,6,FALSE)</f>
        <v>19.467656438497599</v>
      </c>
      <c r="S127" s="40">
        <f>VLOOKUP(B127,'Player Data'!$A1:$AE734,7,FALSE)*$Q127*IFERROR((VLOOKUP(P127,Settings!$E$28:$F$33,2,FALSE)+1),1)</f>
        <v>8.1009253176636609</v>
      </c>
      <c r="T127" s="40">
        <f>VLOOKUP(B127,'Player Data'!$A1:$AE734,8,FALSE)*$Q127*IFERROR((VLOOKUP(P127,Settings!$E$28:$F$33,2,FALSE)+1),1)</f>
        <v>36.578240785463599</v>
      </c>
      <c r="U127" s="40">
        <f>SUM(S127:T127)</f>
        <v>44.679166103127258</v>
      </c>
      <c r="V127" s="40">
        <f>VLOOKUP(B127,'Player Data'!$A1:$AE734,10,FALSE)*$Q127*IFERROR(((VLOOKUP(P127,Settings!$E$28:$F$33,2,FALSE)/2)+1),1)</f>
        <v>157.51067796712715</v>
      </c>
      <c r="W127" s="40">
        <f>VLOOKUP(B127,'Player Data'!$A1:$AE734,11,FALSE)*$Q127*IFERROR((VLOOKUP(P127,Settings!$E$28:$F$33,2,FALSE)+1),1)</f>
        <v>3.8136667782532578</v>
      </c>
      <c r="X127" s="40">
        <f>VLOOKUP(B127,'Player Data'!$A1:$AE734,12,FALSE)*$Q127*IFERROR((VLOOKUP(P127,Settings!$E$28:$F$33,2,FALSE)+1),1)</f>
        <v>20.085876735242572</v>
      </c>
      <c r="Y127" s="40">
        <f>VLOOKUP(B127,'Player Data'!$A1:$AE734,13,FALSE)*$Q127</f>
        <v>2.3718723860033293E-3</v>
      </c>
      <c r="Z127" s="40">
        <f>VLOOKUP(B127,'Player Data'!$A1:$AE734,14,FALSE)*$Q127</f>
        <v>8.3115675857359447E-3</v>
      </c>
      <c r="AA127" s="40">
        <f>VLOOKUP(B127,'Player Data'!$A1:$AE734,15,FALSE)*$Q127</f>
        <v>105.42690507500835</v>
      </c>
      <c r="AB127" s="40">
        <f>VLOOKUP(B127,'Player Data'!$A1:$AE734,16,FALSE)*$Q127</f>
        <v>72.949276099519324</v>
      </c>
      <c r="AC127" s="40">
        <f>VLOOKUP(B127,'Player Data'!$A1:$AE734,17,FALSE)*$Q127*IFERROR((VLOOKUP(P127,Settings!$E$28:$F$33,2,FALSE)+1),1)</f>
        <v>-4.3092377092776211</v>
      </c>
      <c r="AD127" s="40">
        <f>VLOOKUP(B127,'Player Data'!$A1:$AE734,18,FALSE)*$Q127</f>
        <v>44.014422359170496</v>
      </c>
      <c r="AE127" s="40">
        <f>VLOOKUP(B127,'Player Data'!$A1:$AE734,19,FALSE)*$Q127*IFERROR((VLOOKUP(P127,Settings!$E$28:$F$33,2,FALSE)+1),1)</f>
        <v>0.9321956053101278</v>
      </c>
      <c r="AF127" s="40">
        <f>VLOOKUP(B127,'Player Data'!$A1:$AE734,20,FALSE)*$Q127</f>
        <v>0</v>
      </c>
      <c r="AG127" s="40">
        <f>VLOOKUP(B127,'Player Data'!$A1:$AE734,21,FALSE)*$Q127</f>
        <v>0</v>
      </c>
      <c r="AH127" s="41">
        <f>VLOOKUP(B127,'Player Data'!$A1:$AE734,22,FALSE)</f>
        <v>0</v>
      </c>
      <c r="AI127" s="38"/>
      <c r="AJ127" s="42"/>
      <c r="AK127" s="40"/>
      <c r="AL127" s="40"/>
      <c r="AM127" s="40"/>
      <c r="AN127" s="40"/>
      <c r="AO127" s="40"/>
      <c r="AP127" s="40"/>
      <c r="AQ127" s="43"/>
      <c r="AR127" s="44"/>
      <c r="AS127" s="38"/>
    </row>
    <row r="128" spans="1:45" ht="21.2" customHeight="1">
      <c r="A128" s="181">
        <f t="shared" si="7"/>
        <v>125</v>
      </c>
      <c r="B128" s="8" t="s">
        <v>223</v>
      </c>
      <c r="C128" s="31" t="s">
        <v>104</v>
      </c>
      <c r="D128" s="32" t="str">
        <f>VLOOKUP(B128,'Player Data'!A1:D734,4,FALSE)</f>
        <v>C,LW,RW</v>
      </c>
      <c r="E128" s="45">
        <f>VLOOKUP(B128,RW!A1:F189,3,FALSE)</f>
        <v>35</v>
      </c>
      <c r="F128" s="34" t="str">
        <f>VLOOKUP(B128,'Player Data'!A1:B734,2,FALSE)</f>
        <v>ARI</v>
      </c>
      <c r="G128" s="9">
        <f>VLOOKUP(B128,'Player Data'!A1:D734,3,FALSE)</f>
        <v>27</v>
      </c>
      <c r="H128" s="35">
        <f>IFERROR(VLOOKUP(B128,ADP!A1:G731,7,FALSE)/1000000,VLOOKUP(B128,ADP!A1:G731,7,FALSE))</f>
        <v>5.85</v>
      </c>
      <c r="I128" s="36">
        <f>IF(Settings!$E$15="POINTS",((R128*Q128)*Settings!$B$12)+(S128*Settings!$B$2)+(T128*Settings!$B$3)+(U128*Settings!$B$4)+(V128*Settings!$B$5)+(X128*Settings!$B$9)+(AA128*Settings!$B$6)+(W128*Settings!$B$8)+(AB128*Settings!$B$7)+(AC128*Settings!$B$14)+(AD128*Settings!$B$15)+(AE128*Settings!$B$16)+(AF128*Settings!$B$17)+(AG128*Settings!$B$18)+(Y128*Settings!$B$10)+(Z128*Settings!$B$11),VLOOKUP(B128,'Standard Deviations'!A1:C731,3,FALSE))</f>
        <v>6.2802587190110808</v>
      </c>
      <c r="J128" s="37">
        <f t="shared" si="8"/>
        <v>7.6588520963549761E-2</v>
      </c>
      <c r="K128" s="183">
        <f>IF(Settings!$E$18="C/LW/RW",VLOOKUP(B128,RW!A1:F189,6,FALSE),VLOOKUP(B128,F!A1:F431,6,FALSE))</f>
        <v>0</v>
      </c>
      <c r="L128" s="36">
        <f t="shared" si="9"/>
        <v>0</v>
      </c>
      <c r="M128" s="38">
        <f>IF(Settings!$E$9="YAHOO",VLOOKUP(B128,ADP!A1:E731,2,FALSE),IF(Settings!$E$9="ESPN",VLOOKUP(B128,ADP!A1:E731,3,FALSE),IF(Settings!$E$9="FANTRAX",VLOOKUP(B128,ADP!A1:E731,4,FALSE),VLOOKUP(B128,ADP!A1:E731,5,FALSE))))</f>
        <v>133.25</v>
      </c>
      <c r="N128" s="38">
        <f t="shared" si="10"/>
        <v>8.25</v>
      </c>
      <c r="O128" s="38"/>
      <c r="P128" s="39" t="str">
        <f>IF(Settings!$E$27="ON",_xlfn.XLOOKUP(B128,ADP!A2:A731,ADP!H2:H731)," ")</f>
        <v xml:space="preserve"> </v>
      </c>
      <c r="Q128" s="40">
        <f>IF(Settings!$E$12="YES",VLOOKUP(B128,'Player Data'!A1:E734,5,FALSE),82)</f>
        <v>82</v>
      </c>
      <c r="R128" s="38">
        <f>VLOOKUP(B128,'Player Data'!$A1:$AE734,6,FALSE)</f>
        <v>19.793446718269099</v>
      </c>
      <c r="S128" s="40">
        <f>VLOOKUP(B128,'Player Data'!$A1:$AE734,7,FALSE)*$Q128*IFERROR((VLOOKUP(P128,Settings!$E$28:$F$33,2,FALSE)+1),1)</f>
        <v>29.508115557876362</v>
      </c>
      <c r="T128" s="40">
        <f>VLOOKUP(B128,'Player Data'!$A1:$AE734,8,FALSE)*$Q128*IFERROR((VLOOKUP(P128,Settings!$E$28:$F$33,2,FALSE)+1),1)</f>
        <v>47.575814455982595</v>
      </c>
      <c r="U128" s="40">
        <f>SUM(S128:T128)</f>
        <v>77.083930013858961</v>
      </c>
      <c r="V128" s="40">
        <f>VLOOKUP(B128,'Player Data'!$A1:$AE734,10,FALSE)*$Q128*IFERROR(((VLOOKUP(P128,Settings!$E$28:$F$33,2,FALSE)/2)+1),1)</f>
        <v>183.54123912878617</v>
      </c>
      <c r="W128" s="40">
        <f>VLOOKUP(B128,'Player Data'!$A1:$AE734,11,FALSE)*$Q128*IFERROR((VLOOKUP(P128,Settings!$E$28:$F$33,2,FALSE)+1),1)</f>
        <v>7.6319228855023198</v>
      </c>
      <c r="X128" s="40">
        <f>VLOOKUP(B128,'Player Data'!$A1:$AE734,12,FALSE)*$Q128*IFERROR((VLOOKUP(P128,Settings!$E$28:$F$33,2,FALSE)+1),1)</f>
        <v>16.324698578705874</v>
      </c>
      <c r="Y128" s="40">
        <f>VLOOKUP(B128,'Player Data'!$A1:$AE734,13,FALSE)*$Q128</f>
        <v>0.10724372947845717</v>
      </c>
      <c r="Z128" s="40">
        <f>VLOOKUP(B128,'Player Data'!$A1:$AE734,14,FALSE)*$Q128</f>
        <v>0.76757188263806719</v>
      </c>
      <c r="AA128" s="40">
        <f>VLOOKUP(B128,'Player Data'!$A1:$AE734,15,FALSE)*$Q128</f>
        <v>37.640215899536067</v>
      </c>
      <c r="AB128" s="40">
        <f>VLOOKUP(B128,'Player Data'!$A1:$AE734,16,FALSE)*$Q128</f>
        <v>22.896989537284934</v>
      </c>
      <c r="AC128" s="40">
        <f>VLOOKUP(B128,'Player Data'!$A1:$AE734,17,FALSE)*$Q128*IFERROR((VLOOKUP(P128,Settings!$E$28:$F$33,2,FALSE)+1),1)</f>
        <v>-1.1914349450281414</v>
      </c>
      <c r="AD128" s="40">
        <f>VLOOKUP(B128,'Player Data'!$A1:$AE734,18,FALSE)*$Q128</f>
        <v>27.607382969192571</v>
      </c>
      <c r="AE128" s="40">
        <f>VLOOKUP(B128,'Player Data'!$A1:$AE734,19,FALSE)*$Q128*IFERROR((VLOOKUP(P128,Settings!$E$28:$F$33,2,FALSE)+1),1)</f>
        <v>3.7238237936904888</v>
      </c>
      <c r="AF128" s="40">
        <f>VLOOKUP(B128,'Player Data'!$A1:$AE734,20,FALSE)*$Q128</f>
        <v>110.9671715750882</v>
      </c>
      <c r="AG128" s="40">
        <f>VLOOKUP(B128,'Player Data'!$A1:$AE734,21,FALSE)*$Q128</f>
        <v>142.94531561142824</v>
      </c>
      <c r="AH128" s="41">
        <f>VLOOKUP(B128,'Player Data'!$A1:$AE734,22,FALSE)</f>
        <v>0.43702920169331799</v>
      </c>
      <c r="AI128" s="38"/>
      <c r="AJ128" s="42"/>
      <c r="AK128" s="40"/>
      <c r="AL128" s="40"/>
      <c r="AM128" s="40"/>
      <c r="AN128" s="40"/>
      <c r="AO128" s="40"/>
      <c r="AP128" s="40"/>
      <c r="AQ128" s="43"/>
      <c r="AR128" s="44"/>
      <c r="AS128" s="38"/>
    </row>
    <row r="129" spans="1:45" ht="21.2" customHeight="1">
      <c r="A129" s="181">
        <f t="shared" si="7"/>
        <v>128</v>
      </c>
      <c r="B129" s="8" t="s">
        <v>214</v>
      </c>
      <c r="C129" s="31" t="s">
        <v>104</v>
      </c>
      <c r="D129" s="32" t="str">
        <f>VLOOKUP(B129,'Player Data'!A1:D734,4,FALSE)</f>
        <v>D</v>
      </c>
      <c r="E129" s="47">
        <f>VLOOKUP(B129,D!A1:C229,3,FALSE)</f>
        <v>35</v>
      </c>
      <c r="F129" s="34" t="str">
        <f>VLOOKUP(B129,'Player Data'!A1:B734,2,FALSE)</f>
        <v>COL</v>
      </c>
      <c r="G129" s="9">
        <f>VLOOKUP(B129,'Player Data'!A1:D734,3,FALSE)</f>
        <v>29</v>
      </c>
      <c r="H129" s="35">
        <f>IFERROR(VLOOKUP(B129,ADP!A1:G731,7,FALSE)/1000000,VLOOKUP(B129,ADP!A1:G731,7,FALSE))</f>
        <v>4.0999999999999996</v>
      </c>
      <c r="I129" s="36">
        <f>IF(Settings!$E$15="POINTS",((R129*Q129)*Settings!$B$12)+(S129*Settings!$B$2)+(T129*Settings!$B$3)+(U129*Settings!$B$4)+(V129*Settings!$B$5)+(X129*Settings!$B$9)+(AA129*Settings!$B$6)+(W129*Settings!$B$8)+(AB129*Settings!$B$7)+(AC129*Settings!$B$14)+(AD129*Settings!$B$15)+(AE129*Settings!$B$16)+(AF129*Settings!$B$17)+(AG129*Settings!$B$18)+(U129*Settings!$B$13)+(Y129*Settings!$B$10)+(Z129*Settings!$B$11),VLOOKUP(B129,'Standard Deviations'!A1:C731,3,FALSE))</f>
        <v>1.9397036480731769</v>
      </c>
      <c r="J129" s="37">
        <f t="shared" si="8"/>
        <v>2.3654922537477766E-2</v>
      </c>
      <c r="K129" s="183">
        <f>VLOOKUP(B129,D!A1:F229,6,FALSE)</f>
        <v>-2.0368955611338446E-3</v>
      </c>
      <c r="L129" s="36">
        <f t="shared" si="9"/>
        <v>-4.9680379539849878E-4</v>
      </c>
      <c r="M129" s="38">
        <f>IF(Settings!$E$9="YAHOO",VLOOKUP(B129,ADP!A1:E731,2,FALSE),IF(Settings!$E$9="ESPN",VLOOKUP(B129,ADP!A1:E731,3,FALSE),IF(Settings!$E$9="FANTRAX",VLOOKUP(B129,ADP!A1:E731,4,FALSE),VLOOKUP(B129,ADP!A1:E731,5,FALSE))))</f>
        <v>130.36000000000001</v>
      </c>
      <c r="N129" s="38">
        <f t="shared" si="10"/>
        <v>2.3600000000000136</v>
      </c>
      <c r="O129" s="38"/>
      <c r="P129" s="39" t="str">
        <f>IF(Settings!$E$27="ON",_xlfn.XLOOKUP(B129,ADP!A2:A731,ADP!H2:H731)," ")</f>
        <v xml:space="preserve"> </v>
      </c>
      <c r="Q129" s="40">
        <f>IF(Settings!$E$12="YES",VLOOKUP(B129,'Player Data'!A1:E734,5,FALSE),82)</f>
        <v>82</v>
      </c>
      <c r="R129" s="38">
        <f>VLOOKUP(B129,'Player Data'!$A1:$AE734,6,FALSE)</f>
        <v>24.638047309832299</v>
      </c>
      <c r="S129" s="40">
        <f>VLOOKUP(B129,'Player Data'!$A1:$AE734,7,FALSE)*$Q129*IFERROR((VLOOKUP(P129,Settings!$E$28:$F$33,2,FALSE)+1),1)</f>
        <v>10.650030559408894</v>
      </c>
      <c r="T129" s="40">
        <f>VLOOKUP(B129,'Player Data'!$A1:$AE734,8,FALSE)*$Q129*IFERROR((VLOOKUP(P129,Settings!$E$28:$F$33,2,FALSE)+1),1)</f>
        <v>41.876218071096076</v>
      </c>
      <c r="U129" s="40">
        <f>SUM(S129:T129)</f>
        <v>52.526248630504966</v>
      </c>
      <c r="V129" s="40">
        <f>VLOOKUP(B129,'Player Data'!$A1:$AE734,10,FALSE)*$Q129*IFERROR(((VLOOKUP(P129,Settings!$E$28:$F$33,2,FALSE)/2)+1),1)</f>
        <v>170.80708050556873</v>
      </c>
      <c r="W129" s="40">
        <f>VLOOKUP(B129,'Player Data'!$A1:$AE734,11,FALSE)*$Q129*IFERROR((VLOOKUP(P129,Settings!$E$28:$F$33,2,FALSE)+1),1)</f>
        <v>1.4795572921371698</v>
      </c>
      <c r="X129" s="40">
        <f>VLOOKUP(B129,'Player Data'!$A1:$AE734,12,FALSE)*$Q129*IFERROR((VLOOKUP(P129,Settings!$E$28:$F$33,2,FALSE)+1),1)</f>
        <v>8.1092978823793889</v>
      </c>
      <c r="Y129" s="40">
        <f>VLOOKUP(B129,'Player Data'!$A1:$AE734,13,FALSE)*$Q129</f>
        <v>-1.0671072752501134E-3</v>
      </c>
      <c r="Z129" s="40">
        <f>VLOOKUP(B129,'Player Data'!$A1:$AE734,14,FALSE)*$Q129</f>
        <v>9.4627084485115059E-2</v>
      </c>
      <c r="AA129" s="40">
        <f>VLOOKUP(B129,'Player Data'!$A1:$AE734,15,FALSE)*$Q129</f>
        <v>134.39967695730815</v>
      </c>
      <c r="AB129" s="40">
        <f>VLOOKUP(B129,'Player Data'!$A1:$AE734,16,FALSE)*$Q129</f>
        <v>90.987151658212014</v>
      </c>
      <c r="AC129" s="40">
        <f>VLOOKUP(B129,'Player Data'!$A1:$AE734,17,FALSE)*$Q129*IFERROR((VLOOKUP(P129,Settings!$E$28:$F$33,2,FALSE)+1),1)</f>
        <v>9.5421740505547135</v>
      </c>
      <c r="AD129" s="40">
        <f>VLOOKUP(B129,'Player Data'!$A1:$AE734,18,FALSE)*$Q129</f>
        <v>28.405936582476127</v>
      </c>
      <c r="AE129" s="40">
        <f>VLOOKUP(B129,'Player Data'!$A1:$AE734,19,FALSE)*$Q129*IFERROR((VLOOKUP(P129,Settings!$E$28:$F$33,2,FALSE)+1),1)</f>
        <v>1.6849952957386889</v>
      </c>
      <c r="AF129" s="40">
        <f>VLOOKUP(B129,'Player Data'!$A1:$AE734,20,FALSE)*$Q129</f>
        <v>0</v>
      </c>
      <c r="AG129" s="40">
        <f>VLOOKUP(B129,'Player Data'!$A1:$AE734,21,FALSE)*$Q129</f>
        <v>0</v>
      </c>
      <c r="AH129" s="41">
        <f>VLOOKUP(B129,'Player Data'!$A1:$AE734,22,FALSE)</f>
        <v>0</v>
      </c>
      <c r="AI129" s="38"/>
      <c r="AJ129" s="42"/>
      <c r="AK129" s="40"/>
      <c r="AL129" s="40"/>
      <c r="AM129" s="40"/>
      <c r="AN129" s="40"/>
      <c r="AO129" s="40"/>
      <c r="AP129" s="40"/>
      <c r="AQ129" s="43"/>
      <c r="AR129" s="44"/>
      <c r="AS129" s="38"/>
    </row>
    <row r="130" spans="1:45" ht="21.2" customHeight="1">
      <c r="A130" s="181">
        <f t="shared" ref="A130:A193" si="12">RANK(K130,K$2:K$730)</f>
        <v>129</v>
      </c>
      <c r="B130" s="8" t="s">
        <v>243</v>
      </c>
      <c r="C130" s="31" t="s">
        <v>104</v>
      </c>
      <c r="D130" s="32" t="str">
        <f>VLOOKUP(B130,'Player Data'!A1:D734,4,FALSE)</f>
        <v>D</v>
      </c>
      <c r="E130" s="47">
        <f>VLOOKUP(B130,D!A1:C229,3,FALSE)</f>
        <v>36</v>
      </c>
      <c r="F130" s="34" t="str">
        <f>VLOOKUP(B130,'Player Data'!A1:B734,2,FALSE)</f>
        <v>LAK</v>
      </c>
      <c r="G130" s="9">
        <f>VLOOKUP(B130,'Player Data'!A1:D734,3,FALSE)</f>
        <v>20</v>
      </c>
      <c r="H130" s="35">
        <f>IFERROR(VLOOKUP(B130,ADP!A1:G731,7,FALSE)/1000000,VLOOKUP(B130,ADP!A1:G731,7,FALSE))</f>
        <v>0.86299999999999999</v>
      </c>
      <c r="I130" s="36">
        <f>IF(Settings!$E$15="POINTS",((R130*Q130)*Settings!$B$12)+(S130*Settings!$B$2)+(T130*Settings!$B$3)+(U130*Settings!$B$4)+(V130*Settings!$B$5)+(X130*Settings!$B$9)+(AA130*Settings!$B$6)+(W130*Settings!$B$8)+(AB130*Settings!$B$7)+(AC130*Settings!$B$14)+(AD130*Settings!$B$15)+(AE130*Settings!$B$16)+(AF130*Settings!$B$17)+(AG130*Settings!$B$18)+(U130*Settings!$B$13)+(Y130*Settings!$B$10)+(Z130*Settings!$B$11),VLOOKUP(B130,'Standard Deviations'!A1:C731,3,FALSE))</f>
        <v>1.8670483878314061</v>
      </c>
      <c r="J130" s="37">
        <f t="shared" ref="J130:J193" si="13">IF(D130="G",I130/AJ130,I130/Q130)</f>
        <v>2.2768882778431782E-2</v>
      </c>
      <c r="K130" s="183">
        <f>VLOOKUP(B130,D!A1:F229,6,FALSE)</f>
        <v>-7.4692155802904558E-2</v>
      </c>
      <c r="L130" s="36">
        <f t="shared" ref="L130:L193" si="14">IFERROR(K130/H130,"N/A")</f>
        <v>-8.6549427349831468E-2</v>
      </c>
      <c r="M130" s="38">
        <f>IF(Settings!$E$9="YAHOO",VLOOKUP(B130,ADP!A1:E731,2,FALSE),IF(Settings!$E$9="ESPN",VLOOKUP(B130,ADP!A1:E731,3,FALSE),IF(Settings!$E$9="FANTRAX",VLOOKUP(B130,ADP!A1:E731,4,FALSE),VLOOKUP(B130,ADP!A1:E731,5,FALSE))))</f>
        <v>243.34</v>
      </c>
      <c r="N130" s="38">
        <f t="shared" ref="N130:N193" si="15">IFERROR(M130-A130,"N/A")</f>
        <v>114.34</v>
      </c>
      <c r="O130" s="38"/>
      <c r="P130" s="39" t="str">
        <f>IF(Settings!$E$27="ON",_xlfn.XLOOKUP(B130,ADP!A2:A731,ADP!H2:H731)," ")</f>
        <v xml:space="preserve"> </v>
      </c>
      <c r="Q130" s="40">
        <f>IF(Settings!$E$12="YES",VLOOKUP(B130,'Player Data'!A1:E734,5,FALSE),82)</f>
        <v>82</v>
      </c>
      <c r="R130" s="38">
        <f>VLOOKUP(B130,'Player Data'!$A1:$AE734,6,FALSE)</f>
        <v>19</v>
      </c>
      <c r="S130" s="40">
        <f>VLOOKUP(B130,'Player Data'!$A1:$AE734,7,FALSE)*$Q130*IFERROR((VLOOKUP(P130,Settings!$E$28:$F$33,2,FALSE)+1),1)</f>
        <v>13.228456288201262</v>
      </c>
      <c r="T130" s="40">
        <f>VLOOKUP(B130,'Player Data'!$A1:$AE734,8,FALSE)*$Q130*IFERROR((VLOOKUP(P130,Settings!$E$28:$F$33,2,FALSE)+1),1)</f>
        <v>32.055480482351136</v>
      </c>
      <c r="U130" s="40">
        <f>SUM(S130:T130)</f>
        <v>45.283936770552401</v>
      </c>
      <c r="V130" s="40">
        <f>VLOOKUP(B130,'Player Data'!$A1:$AE734,10,FALSE)*$Q130*IFERROR(((VLOOKUP(P130,Settings!$E$28:$F$33,2,FALSE)/2)+1),1)</f>
        <v>195.31602599555305</v>
      </c>
      <c r="W130" s="40">
        <f>VLOOKUP(B130,'Player Data'!$A1:$AE734,11,FALSE)*$Q130*IFERROR((VLOOKUP(P130,Settings!$E$28:$F$33,2,FALSE)+1),1)</f>
        <v>3.2465250973709958</v>
      </c>
      <c r="X130" s="40">
        <f>VLOOKUP(B130,'Player Data'!$A1:$AE734,12,FALSE)*$Q130*IFERROR((VLOOKUP(P130,Settings!$E$28:$F$33,2,FALSE)+1),1)</f>
        <v>11.113574708220927</v>
      </c>
      <c r="Y130" s="40">
        <f>VLOOKUP(B130,'Player Data'!$A1:$AE734,13,FALSE)*$Q130</f>
        <v>0</v>
      </c>
      <c r="Z130" s="40">
        <f>VLOOKUP(B130,'Player Data'!$A1:$AE734,14,FALSE)*$Q130</f>
        <v>0</v>
      </c>
      <c r="AA130" s="40">
        <f>VLOOKUP(B130,'Player Data'!$A1:$AE734,15,FALSE)*$Q130</f>
        <v>102.09999999999982</v>
      </c>
      <c r="AB130" s="40">
        <f>VLOOKUP(B130,'Player Data'!$A1:$AE734,16,FALSE)*$Q130</f>
        <v>118.38115806551509</v>
      </c>
      <c r="AC130" s="40">
        <f>VLOOKUP(B130,'Player Data'!$A1:$AE734,17,FALSE)*$Q130*IFERROR((VLOOKUP(P130,Settings!$E$28:$F$33,2,FALSE)+1),1)</f>
        <v>0.64999999999999969</v>
      </c>
      <c r="AD130" s="40">
        <f>VLOOKUP(B130,'Player Data'!$A1:$AE734,18,FALSE)*$Q130</f>
        <v>45.986541475367773</v>
      </c>
      <c r="AE130" s="40">
        <f>VLOOKUP(B130,'Player Data'!$A1:$AE734,19,FALSE)*$Q130*IFERROR((VLOOKUP(P130,Settings!$E$28:$F$33,2,FALSE)+1),1)</f>
        <v>1.9586192034229506</v>
      </c>
      <c r="AF130" s="40">
        <f>VLOOKUP(B130,'Player Data'!$A1:$AE734,20,FALSE)*$Q130</f>
        <v>0</v>
      </c>
      <c r="AG130" s="40">
        <f>VLOOKUP(B130,'Player Data'!$A1:$AE734,21,FALSE)*$Q130</f>
        <v>0</v>
      </c>
      <c r="AH130" s="41">
        <f>VLOOKUP(B130,'Player Data'!$A1:$AE734,22,FALSE)</f>
        <v>0</v>
      </c>
      <c r="AI130" s="38"/>
      <c r="AJ130" s="42"/>
      <c r="AK130" s="40"/>
      <c r="AL130" s="40"/>
      <c r="AM130" s="40"/>
      <c r="AN130" s="40"/>
      <c r="AO130" s="40"/>
      <c r="AP130" s="40"/>
      <c r="AQ130" s="43"/>
      <c r="AR130" s="44"/>
      <c r="AS130" s="38"/>
    </row>
    <row r="131" spans="1:45" ht="21.2" customHeight="1">
      <c r="A131" s="181">
        <f t="shared" si="12"/>
        <v>130</v>
      </c>
      <c r="B131" s="8" t="s">
        <v>210</v>
      </c>
      <c r="C131" s="31" t="s">
        <v>104</v>
      </c>
      <c r="D131" s="32" t="str">
        <f>VLOOKUP(B131,'Player Data'!A1:D734,4,FALSE)</f>
        <v>D</v>
      </c>
      <c r="E131" s="47">
        <f>VLOOKUP(B131,D!A1:C229,3,FALSE)</f>
        <v>37</v>
      </c>
      <c r="F131" s="34" t="str">
        <f>VLOOKUP(B131,'Player Data'!A1:B734,2,FALSE)</f>
        <v>STL</v>
      </c>
      <c r="G131" s="9">
        <f>VLOOKUP(B131,'Player Data'!A1:D734,3,FALSE)</f>
        <v>31</v>
      </c>
      <c r="H131" s="35">
        <f>IFERROR(VLOOKUP(B131,ADP!A1:G731,7,FALSE)/1000000,VLOOKUP(B131,ADP!A1:G731,7,FALSE))</f>
        <v>6.5</v>
      </c>
      <c r="I131" s="36">
        <f>IF(Settings!$E$15="POINTS",((R131*Q131)*Settings!$B$12)+(S131*Settings!$B$2)+(T131*Settings!$B$3)+(U131*Settings!$B$4)+(V131*Settings!$B$5)+(X131*Settings!$B$9)+(AA131*Settings!$B$6)+(W131*Settings!$B$8)+(AB131*Settings!$B$7)+(AC131*Settings!$B$14)+(AD131*Settings!$B$15)+(AE131*Settings!$B$16)+(AF131*Settings!$B$17)+(AG131*Settings!$B$18)+(U131*Settings!$B$13)+(Y131*Settings!$B$10)+(Z131*Settings!$B$11),VLOOKUP(B131,'Standard Deviations'!A1:C731,3,FALSE))</f>
        <v>1.8653500083398147</v>
      </c>
      <c r="J131" s="37">
        <f t="shared" si="13"/>
        <v>2.2748170833412375E-2</v>
      </c>
      <c r="K131" s="183">
        <f>VLOOKUP(B131,D!A1:F229,6,FALSE)</f>
        <v>-7.639053529449602E-2</v>
      </c>
      <c r="L131" s="36">
        <f t="shared" si="14"/>
        <v>-1.1752390045307081E-2</v>
      </c>
      <c r="M131" s="38">
        <f>IF(Settings!$E$9="YAHOO",VLOOKUP(B131,ADP!A1:E731,2,FALSE),IF(Settings!$E$9="ESPN",VLOOKUP(B131,ADP!A1:E731,3,FALSE),IF(Settings!$E$9="FANTRAX",VLOOKUP(B131,ADP!A1:E731,4,FALSE),VLOOKUP(B131,ADP!A1:E731,5,FALSE))))</f>
        <v>134.16999999999999</v>
      </c>
      <c r="N131" s="38">
        <f t="shared" si="15"/>
        <v>4.1699999999999875</v>
      </c>
      <c r="O131" s="38"/>
      <c r="P131" s="39" t="str">
        <f>IF(Settings!$E$27="ON",_xlfn.XLOOKUP(B131,ADP!A2:A731,ADP!H2:H731)," ")</f>
        <v xml:space="preserve"> </v>
      </c>
      <c r="Q131" s="40">
        <f>IF(Settings!$E$12="YES",VLOOKUP(B131,'Player Data'!A1:E734,5,FALSE),82)</f>
        <v>82</v>
      </c>
      <c r="R131" s="38">
        <f>VLOOKUP(B131,'Player Data'!$A1:$AE734,6,FALSE)</f>
        <v>23.5112300495427</v>
      </c>
      <c r="S131" s="40">
        <f>VLOOKUP(B131,'Player Data'!$A1:$AE734,7,FALSE)*$Q131*IFERROR((VLOOKUP(P131,Settings!$E$28:$F$33,2,FALSE)+1),1)</f>
        <v>12.345763244201112</v>
      </c>
      <c r="T131" s="40">
        <f>VLOOKUP(B131,'Player Data'!$A1:$AE734,8,FALSE)*$Q131*IFERROR((VLOOKUP(P131,Settings!$E$28:$F$33,2,FALSE)+1),1)</f>
        <v>34.460234933529904</v>
      </c>
      <c r="U131" s="40">
        <f>SUM(S131:T131)</f>
        <v>46.805998177731013</v>
      </c>
      <c r="V131" s="40">
        <f>VLOOKUP(B131,'Player Data'!$A1:$AE734,10,FALSE)*$Q131*IFERROR(((VLOOKUP(P131,Settings!$E$28:$F$33,2,FALSE)/2)+1),1)</f>
        <v>187.63255083911315</v>
      </c>
      <c r="W131" s="40">
        <f>VLOOKUP(B131,'Player Data'!$A1:$AE734,11,FALSE)*$Q131*IFERROR((VLOOKUP(P131,Settings!$E$28:$F$33,2,FALSE)+1),1)</f>
        <v>1.9334752506293225</v>
      </c>
      <c r="X131" s="40">
        <f>VLOOKUP(B131,'Player Data'!$A1:$AE734,12,FALSE)*$Q131*IFERROR((VLOOKUP(P131,Settings!$E$28:$F$33,2,FALSE)+1),1)</f>
        <v>10.81615598910879</v>
      </c>
      <c r="Y131" s="40">
        <f>VLOOKUP(B131,'Player Data'!$A1:$AE734,13,FALSE)*$Q131</f>
        <v>-1.4657213465828798E-2</v>
      </c>
      <c r="Z131" s="40">
        <f>VLOOKUP(B131,'Player Data'!$A1:$AE734,14,FALSE)*$Q131</f>
        <v>0.15988208766584674</v>
      </c>
      <c r="AA131" s="40">
        <f>VLOOKUP(B131,'Player Data'!$A1:$AE734,15,FALSE)*$Q131</f>
        <v>132.89113632796412</v>
      </c>
      <c r="AB131" s="40">
        <f>VLOOKUP(B131,'Player Data'!$A1:$AE734,16,FALSE)*$Q131</f>
        <v>121.14705301075072</v>
      </c>
      <c r="AC131" s="40">
        <f>VLOOKUP(B131,'Player Data'!$A1:$AE734,17,FALSE)*$Q131*IFERROR((VLOOKUP(P131,Settings!$E$28:$F$33,2,FALSE)+1),1)</f>
        <v>-4.2064971100464001</v>
      </c>
      <c r="AD131" s="40">
        <f>VLOOKUP(B131,'Player Data'!$A1:$AE734,18,FALSE)*$Q131</f>
        <v>39.205138849724896</v>
      </c>
      <c r="AE131" s="40">
        <f>VLOOKUP(B131,'Player Data'!$A1:$AE734,19,FALSE)*$Q131*IFERROR((VLOOKUP(P131,Settings!$E$28:$F$33,2,FALSE)+1),1)</f>
        <v>1.4206607009880114</v>
      </c>
      <c r="AF131" s="40">
        <f>VLOOKUP(B131,'Player Data'!$A1:$AE734,20,FALSE)*$Q131</f>
        <v>0</v>
      </c>
      <c r="AG131" s="40">
        <f>VLOOKUP(B131,'Player Data'!$A1:$AE734,21,FALSE)*$Q131</f>
        <v>0</v>
      </c>
      <c r="AH131" s="41">
        <f>VLOOKUP(B131,'Player Data'!$A1:$AE734,22,FALSE)</f>
        <v>0</v>
      </c>
      <c r="AI131" s="38"/>
      <c r="AJ131" s="42"/>
      <c r="AK131" s="40"/>
      <c r="AL131" s="40"/>
      <c r="AM131" s="40"/>
      <c r="AN131" s="40"/>
      <c r="AO131" s="40"/>
      <c r="AP131" s="40"/>
      <c r="AQ131" s="43"/>
      <c r="AR131" s="44"/>
      <c r="AS131" s="38"/>
    </row>
    <row r="132" spans="1:45" ht="21.2" customHeight="1">
      <c r="A132" s="181">
        <f t="shared" si="12"/>
        <v>131</v>
      </c>
      <c r="B132" s="8" t="s">
        <v>265</v>
      </c>
      <c r="C132" s="31" t="s">
        <v>104</v>
      </c>
      <c r="D132" s="32" t="str">
        <f>VLOOKUP(B132,'Player Data'!A1:D734,4,FALSE)</f>
        <v>G</v>
      </c>
      <c r="E132" s="50">
        <f>VLOOKUP(B132,G!A1:D75,3,FALSE)</f>
        <v>19</v>
      </c>
      <c r="F132" s="34" t="str">
        <f>VLOOKUP(B132,'Player Data'!A1:B734,2,FALSE)</f>
        <v>BOS</v>
      </c>
      <c r="G132" s="9">
        <f>VLOOKUP(B132,'Player Data'!A1:D734,3,FALSE)</f>
        <v>30</v>
      </c>
      <c r="H132" s="35">
        <f>IFERROR(VLOOKUP(B132,ADP!A1:G731,7,FALSE)/1000000,VLOOKUP(B132,ADP!A1:G731,7,FALSE))</f>
        <v>5</v>
      </c>
      <c r="I132" s="36">
        <f>IF(Settings!$E$15="POINTS",(AJ132*Settings!$B$29)+(AK132*Settings!$B$21)+(AL132*Settings!$B$22)+(AN132*Settings!$B$24)+(AO132*Settings!$B$25)+(AP132*Settings!$B$27)+(AM132*Settings!$B$23),VLOOKUP(B132,'Standard Deviations'!A1:C731,3,FALSE))</f>
        <v>1.5914839465715365</v>
      </c>
      <c r="J132" s="37">
        <f t="shared" si="13"/>
        <v>3.6170089694807644E-2</v>
      </c>
      <c r="K132" s="183">
        <f>VLOOKUP(B132,G!A1:F75,6,FALSE)</f>
        <v>-0.11274510461875509</v>
      </c>
      <c r="L132" s="36">
        <f t="shared" si="14"/>
        <v>-2.2549020923751016E-2</v>
      </c>
      <c r="M132" s="38">
        <f>IF(Settings!$E$9="YAHOO",VLOOKUP(B132,ADP!A1:E731,2,FALSE),IF(Settings!$E$9="ESPN",VLOOKUP(B132,ADP!A1:E731,3,FALSE),IF(Settings!$E$9="FANTRAX",VLOOKUP(B132,ADP!A1:E731,4,FALSE),VLOOKUP(B132,ADP!A1:E731,5,FALSE))))</f>
        <v>109.23</v>
      </c>
      <c r="N132" s="38">
        <f t="shared" si="15"/>
        <v>-21.769999999999996</v>
      </c>
      <c r="O132" s="38"/>
      <c r="P132" s="39" t="str">
        <f>IF(Settings!$E$27="ON",_xlfn.XLOOKUP(B132,ADP!A2:A731,ADP!H2:H731)," ")</f>
        <v xml:space="preserve"> </v>
      </c>
      <c r="Q132" s="40"/>
      <c r="R132" s="51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1"/>
      <c r="AI132" s="38"/>
      <c r="AJ132" s="42">
        <f>VLOOKUP(B132,'Player Data'!$A1:$AE734,24,FALSE)</f>
        <v>44</v>
      </c>
      <c r="AK132" s="40">
        <f>VLOOKUP(B132,'Player Data'!$A1:$AE734,25,FALSE)*$AJ132*IFERROR((VLOOKUP(P132,Settings!$E$28:$F$33,2,FALSE)+1),1)</f>
        <v>25.959763604660822</v>
      </c>
      <c r="AL132" s="40">
        <f>AJ132-AK132-AM132</f>
        <v>12.540236395339178</v>
      </c>
      <c r="AM132" s="40">
        <f>VLOOKUP(B132,'Player Data'!$A1:$AE734,27,FALSE)*$AJ132</f>
        <v>5.5</v>
      </c>
      <c r="AN132" s="40">
        <f>VLOOKUP(B132,'Player Data'!$A1:$AE734,28,FALSE)*AJ132</f>
        <v>3.2373825162504319</v>
      </c>
      <c r="AO132" s="40">
        <f>VLOOKUP(B132,'Player Data'!$A1:$AE734,29,FALSE)*$AJ132*IFERROR((VLOOKUP(P132,Settings!$E$28:$F$33,2,FALSE)/4)+1,1)</f>
        <v>1258.9883226966012</v>
      </c>
      <c r="AP132" s="40">
        <f>VLOOKUP(B132,'Player Data'!$A1:$AE734,31,FALSE)*$AJ132*(IFERROR(1-(VLOOKUP(P132,Settings!$E$28:$F$33,2,FALSE)/4),1))</f>
        <v>113.58399847839748</v>
      </c>
      <c r="AQ132" s="43">
        <f>1-(AP132/(AO132+AP132))</f>
        <v>0.91724734884558712</v>
      </c>
      <c r="AR132" s="44">
        <f>AP132/AJ132</f>
        <v>2.5814545108726699</v>
      </c>
      <c r="AS132" s="38"/>
    </row>
    <row r="133" spans="1:45" ht="21.2" customHeight="1">
      <c r="A133" s="181">
        <f t="shared" si="12"/>
        <v>132</v>
      </c>
      <c r="B133" s="8" t="s">
        <v>305</v>
      </c>
      <c r="C133" s="31" t="s">
        <v>104</v>
      </c>
      <c r="D133" s="32" t="str">
        <f>VLOOKUP(B133,'Player Data'!A1:D734,4,FALSE)</f>
        <v>G</v>
      </c>
      <c r="E133" s="50">
        <f>VLOOKUP(B133,G!A1:D75,3,FALSE)</f>
        <v>20</v>
      </c>
      <c r="F133" s="34" t="str">
        <f>VLOOKUP(B133,'Player Data'!A1:B734,2,FALSE)</f>
        <v>BUF</v>
      </c>
      <c r="G133" s="9">
        <f>VLOOKUP(B133,'Player Data'!A1:D734,3,FALSE)</f>
        <v>21</v>
      </c>
      <c r="H133" s="35">
        <f>IFERROR(VLOOKUP(B133,ADP!A1:G731,7,FALSE)/1000000,VLOOKUP(B133,ADP!A1:G731,7,FALSE))</f>
        <v>0</v>
      </c>
      <c r="I133" s="36">
        <f>IF(Settings!$E$15="POINTS",(AJ133*Settings!$B$29)+(AK133*Settings!$B$21)+(AL133*Settings!$B$22)+(AN133*Settings!$B$24)+(AO133*Settings!$B$25)+(AP133*Settings!$B$27)+(AM133*Settings!$B$23),VLOOKUP(B133,'Standard Deviations'!A1:C731,3,FALSE))</f>
        <v>1.5123765898805908</v>
      </c>
      <c r="J133" s="37">
        <f t="shared" si="13"/>
        <v>3.1507845622512305E-2</v>
      </c>
      <c r="K133" s="183">
        <f>VLOOKUP(B133,G!A1:F75,6,FALSE)</f>
        <v>-0.19185246130970079</v>
      </c>
      <c r="L133" s="49" t="str">
        <f t="shared" si="14"/>
        <v>N/A</v>
      </c>
      <c r="M133" s="38">
        <f>IF(Settings!$E$9="YAHOO",VLOOKUP(B133,ADP!A1:E731,2,FALSE),IF(Settings!$E$9="ESPN",VLOOKUP(B133,ADP!A1:E731,3,FALSE),IF(Settings!$E$9="FANTRAX",VLOOKUP(B133,ADP!A1:E731,4,FALSE),VLOOKUP(B133,ADP!A1:E731,5,FALSE))))</f>
        <v>191.9</v>
      </c>
      <c r="N133" s="38">
        <f t="shared" si="15"/>
        <v>59.900000000000006</v>
      </c>
      <c r="O133" s="38"/>
      <c r="P133" s="39" t="str">
        <f>IF(Settings!$E$27="ON",_xlfn.XLOOKUP(B133,ADP!A2:A731,ADP!H2:H731)," ")</f>
        <v xml:space="preserve"> </v>
      </c>
      <c r="Q133" s="40"/>
      <c r="R133" s="51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1"/>
      <c r="AI133" s="38"/>
      <c r="AJ133" s="42">
        <f>VLOOKUP(B133,'Player Data'!$A1:$AE734,24,FALSE)</f>
        <v>48</v>
      </c>
      <c r="AK133" s="40">
        <f>VLOOKUP(B133,'Player Data'!$A1:$AE734,25,FALSE)*$AJ133*IFERROR((VLOOKUP(P133,Settings!$E$28:$F$33,2,FALSE)+1),1)</f>
        <v>23.176054119255792</v>
      </c>
      <c r="AL133" s="40">
        <f>AJ133-AK133-AM133</f>
        <v>18.823945880744208</v>
      </c>
      <c r="AM133" s="40">
        <f>VLOOKUP(B133,'Player Data'!$A1:$AE734,27,FALSE)*$AJ133</f>
        <v>6</v>
      </c>
      <c r="AN133" s="40">
        <f>VLOOKUP(B133,'Player Data'!$A1:$AE734,28,FALSE)*AJ133</f>
        <v>2.2254876111417601</v>
      </c>
      <c r="AO133" s="40">
        <f>VLOOKUP(B133,'Player Data'!$A1:$AE734,29,FALSE)*$AJ133*IFERROR((VLOOKUP(P133,Settings!$E$28:$F$33,2,FALSE)/4)+1,1)</f>
        <v>1359.9430300395504</v>
      </c>
      <c r="AP133" s="40">
        <f>VLOOKUP(B133,'Player Data'!$A1:$AE734,31,FALSE)*$AJ133*(IFERROR(1-(VLOOKUP(P133,Settings!$E$28:$F$33,2,FALSE)/4),1))</f>
        <v>141.00670666044817</v>
      </c>
      <c r="AQ133" s="43">
        <f>1-(AP133/(AO133+AP133))</f>
        <v>0.90605501089565676</v>
      </c>
      <c r="AR133" s="44">
        <f>AP133/AJ133</f>
        <v>2.9376397220926704</v>
      </c>
      <c r="AS133" s="38"/>
    </row>
    <row r="134" spans="1:45" ht="21.2" customHeight="1">
      <c r="A134" s="181">
        <f t="shared" si="12"/>
        <v>133</v>
      </c>
      <c r="B134" s="8" t="s">
        <v>222</v>
      </c>
      <c r="C134" s="31" t="s">
        <v>104</v>
      </c>
      <c r="D134" s="32" t="str">
        <f>VLOOKUP(B134,'Player Data'!A1:D734,4,FALSE)</f>
        <v>RW</v>
      </c>
      <c r="E134" s="46">
        <f>VLOOKUP(B134,RW!A1:F189,3,FALSE)</f>
        <v>36</v>
      </c>
      <c r="F134" s="34" t="str">
        <f>VLOOKUP(B134,'Player Data'!A1:B734,2,FALSE)</f>
        <v>OTT</v>
      </c>
      <c r="G134" s="9">
        <f>VLOOKUP(B134,'Player Data'!A1:D734,3,FALSE)</f>
        <v>25</v>
      </c>
      <c r="H134" s="35">
        <f>IFERROR(VLOOKUP(B134,ADP!A1:G731,7,FALSE)/1000000,VLOOKUP(B134,ADP!A1:G731,7,FALSE))</f>
        <v>4.9749999999999996</v>
      </c>
      <c r="I134" s="36">
        <f>IF(Settings!$E$15="POINTS",((R134*Q134)*Settings!$B$12)+(S134*Settings!$B$2)+(T134*Settings!$B$3)+(U134*Settings!$B$4)+(V134*Settings!$B$5)+(X134*Settings!$B$9)+(AA134*Settings!$B$6)+(W134*Settings!$B$8)+(AB134*Settings!$B$7)+(AC134*Settings!$B$14)+(AD134*Settings!$B$15)+(AE134*Settings!$B$16)+(AF134*Settings!$B$17)+(AG134*Settings!$B$18)+(Y134*Settings!$B$10)+(Z134*Settings!$B$11),VLOOKUP(B134,'Standard Deviations'!A1:C731,3,FALSE))</f>
        <v>6.0082347341506273</v>
      </c>
      <c r="J134" s="37">
        <f t="shared" si="13"/>
        <v>7.3271155294519844E-2</v>
      </c>
      <c r="K134" s="183">
        <f>IF(Settings!$E$18="C/LW/RW",VLOOKUP(B134,RW!A1:F189,6,FALSE),VLOOKUP(B134,F!A1:F431,6,FALSE))</f>
        <v>-0.27202398486045354</v>
      </c>
      <c r="L134" s="36">
        <f t="shared" si="14"/>
        <v>-5.4678187911648954E-2</v>
      </c>
      <c r="M134" s="38">
        <f>IF(Settings!$E$9="YAHOO",VLOOKUP(B134,ADP!A1:E731,2,FALSE),IF(Settings!$E$9="ESPN",VLOOKUP(B134,ADP!A1:E731,3,FALSE),IF(Settings!$E$9="FANTRAX",VLOOKUP(B134,ADP!A1:E731,4,FALSE),VLOOKUP(B134,ADP!A1:E731,5,FALSE))))</f>
        <v>99.59</v>
      </c>
      <c r="N134" s="38">
        <f t="shared" si="15"/>
        <v>-33.409999999999997</v>
      </c>
      <c r="O134" s="38"/>
      <c r="P134" s="39" t="str">
        <f>IF(Settings!$E$27="ON",_xlfn.XLOOKUP(B134,ADP!A2:A731,ADP!H2:H731)," ")</f>
        <v xml:space="preserve"> </v>
      </c>
      <c r="Q134" s="40">
        <f>IF(Settings!$E$12="YES",VLOOKUP(B134,'Player Data'!A1:E734,5,FALSE),82)</f>
        <v>82</v>
      </c>
      <c r="R134" s="38">
        <f>VLOOKUP(B134,'Player Data'!$A1:$AE734,6,FALSE)</f>
        <v>18.2517564047637</v>
      </c>
      <c r="S134" s="40">
        <f>VLOOKUP(B134,'Player Data'!$A1:$AE734,7,FALSE)*$Q134*IFERROR((VLOOKUP(P134,Settings!$E$28:$F$33,2,FALSE)+1),1)</f>
        <v>25.696621571185325</v>
      </c>
      <c r="T134" s="40">
        <f>VLOOKUP(B134,'Player Data'!$A1:$AE734,8,FALSE)*$Q134*IFERROR((VLOOKUP(P134,Settings!$E$28:$F$33,2,FALSE)+1),1)</f>
        <v>40.872744226607118</v>
      </c>
      <c r="U134" s="40">
        <f>SUM(S134:T134)</f>
        <v>66.569365797792443</v>
      </c>
      <c r="V134" s="40">
        <f>VLOOKUP(B134,'Player Data'!$A1:$AE734,10,FALSE)*$Q134*IFERROR(((VLOOKUP(P134,Settings!$E$28:$F$33,2,FALSE)/2)+1),1)</f>
        <v>216.97867591021523</v>
      </c>
      <c r="W134" s="40">
        <f>VLOOKUP(B134,'Player Data'!$A1:$AE734,11,FALSE)*$Q134*IFERROR((VLOOKUP(P134,Settings!$E$28:$F$33,2,FALSE)+1),1)</f>
        <v>8.5580214508208652</v>
      </c>
      <c r="X134" s="40">
        <f>VLOOKUP(B134,'Player Data'!$A1:$AE734,12,FALSE)*$Q134*IFERROR((VLOOKUP(P134,Settings!$E$28:$F$33,2,FALSE)+1),1)</f>
        <v>21.137669542586195</v>
      </c>
      <c r="Y134" s="40">
        <f>VLOOKUP(B134,'Player Data'!$A1:$AE734,13,FALSE)*$Q134</f>
        <v>2.308198819809237E-2</v>
      </c>
      <c r="Z134" s="40">
        <f>VLOOKUP(B134,'Player Data'!$A1:$AE734,14,FALSE)*$Q134</f>
        <v>4.4876922448815207E-2</v>
      </c>
      <c r="AA134" s="40">
        <f>VLOOKUP(B134,'Player Data'!$A1:$AE734,15,FALSE)*$Q134</f>
        <v>33.756155804444745</v>
      </c>
      <c r="AB134" s="40">
        <f>VLOOKUP(B134,'Player Data'!$A1:$AE734,16,FALSE)*$Q134</f>
        <v>117.11236362723211</v>
      </c>
      <c r="AC134" s="40">
        <f>VLOOKUP(B134,'Player Data'!$A1:$AE734,17,FALSE)*$Q134*IFERROR((VLOOKUP(P134,Settings!$E$28:$F$33,2,FALSE)+1),1)</f>
        <v>0.32222156793362666</v>
      </c>
      <c r="AD134" s="40">
        <f>VLOOKUP(B134,'Player Data'!$A1:$AE734,18,FALSE)*$Q134</f>
        <v>31.141110549504265</v>
      </c>
      <c r="AE134" s="40">
        <f>VLOOKUP(B134,'Player Data'!$A1:$AE734,19,FALSE)*$Q134*IFERROR((VLOOKUP(P134,Settings!$E$28:$F$33,2,FALSE)+1),1)</f>
        <v>3.8644097710488419</v>
      </c>
      <c r="AF134" s="40">
        <f>VLOOKUP(B134,'Player Data'!$A1:$AE734,20,FALSE)*$Q134</f>
        <v>14.481216201846097</v>
      </c>
      <c r="AG134" s="40">
        <f>VLOOKUP(B134,'Player Data'!$A1:$AE734,21,FALSE)*$Q134</f>
        <v>24.639208181529273</v>
      </c>
      <c r="AH134" s="41">
        <f>VLOOKUP(B134,'Player Data'!$A1:$AE734,22,FALSE)</f>
        <v>0.37017022259093901</v>
      </c>
      <c r="AI134" s="38"/>
      <c r="AJ134" s="42"/>
      <c r="AK134" s="40"/>
      <c r="AL134" s="40"/>
      <c r="AM134" s="40"/>
      <c r="AN134" s="40"/>
      <c r="AO134" s="40"/>
      <c r="AP134" s="40"/>
      <c r="AQ134" s="43"/>
      <c r="AR134" s="44"/>
      <c r="AS134" s="42"/>
    </row>
    <row r="135" spans="1:45" ht="21.2" customHeight="1">
      <c r="A135" s="181">
        <f t="shared" si="12"/>
        <v>134</v>
      </c>
      <c r="B135" s="8" t="s">
        <v>355</v>
      </c>
      <c r="C135" s="31" t="s">
        <v>104</v>
      </c>
      <c r="D135" s="32" t="str">
        <f>VLOOKUP(B135,'Player Data'!A1:D734,4,FALSE)</f>
        <v>G</v>
      </c>
      <c r="E135" s="50">
        <f>VLOOKUP(B135,G!A1:D75,3,FALSE)</f>
        <v>21</v>
      </c>
      <c r="F135" s="34" t="str">
        <f>VLOOKUP(B135,'Player Data'!A1:B734,2,FALSE)</f>
        <v>SEA</v>
      </c>
      <c r="G135" s="9">
        <f>VLOOKUP(B135,'Player Data'!A1:D734,3,FALSE)</f>
        <v>31</v>
      </c>
      <c r="H135" s="35">
        <f>IFERROR(VLOOKUP(B135,ADP!A1:G731,7,FALSE)/1000000,VLOOKUP(B135,ADP!A1:G731,7,FALSE))</f>
        <v>5.9</v>
      </c>
      <c r="I135" s="36">
        <f>IF(Settings!$E$15="POINTS",(AJ135*Settings!$B$29)+(AK135*Settings!$B$21)+(AL135*Settings!$B$22)+(AN135*Settings!$B$24)+(AO135*Settings!$B$25)+(AP135*Settings!$B$27)+(AM135*Settings!$B$23),VLOOKUP(B135,'Standard Deviations'!A1:C731,3,FALSE))</f>
        <v>1.4298859441628888</v>
      </c>
      <c r="J135" s="37">
        <f t="shared" si="13"/>
        <v>3.0423105194955082E-2</v>
      </c>
      <c r="K135" s="183">
        <f>VLOOKUP(B135,G!A1:F75,6,FALSE)</f>
        <v>-0.27434310702740272</v>
      </c>
      <c r="L135" s="36">
        <f t="shared" si="14"/>
        <v>-4.6498831699559783E-2</v>
      </c>
      <c r="M135" s="38">
        <f>IF(Settings!$E$9="YAHOO",VLOOKUP(B135,ADP!A1:E731,2,FALSE),IF(Settings!$E$9="ESPN",VLOOKUP(B135,ADP!A1:E731,3,FALSE),IF(Settings!$E$9="FANTRAX",VLOOKUP(B135,ADP!A1:E731,4,FALSE),VLOOKUP(B135,ADP!A1:E731,5,FALSE))))</f>
        <v>205.53</v>
      </c>
      <c r="N135" s="38">
        <f t="shared" si="15"/>
        <v>71.53</v>
      </c>
      <c r="O135" s="38"/>
      <c r="P135" s="39" t="str">
        <f>IF(Settings!$E$27="ON",_xlfn.XLOOKUP(B135,ADP!A2:A731,ADP!H2:H731)," ")</f>
        <v>+</v>
      </c>
      <c r="Q135" s="40"/>
      <c r="R135" s="51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1"/>
      <c r="AI135" s="38"/>
      <c r="AJ135" s="42">
        <f>VLOOKUP(B135,'Player Data'!$A1:$AE734,24,FALSE)</f>
        <v>47</v>
      </c>
      <c r="AK135" s="40">
        <f>VLOOKUP(B135,'Player Data'!$A1:$AE734,25,FALSE)*$AJ135*IFERROR((VLOOKUP(P135,Settings!$E$28:$F$33,2,FALSE)+1),1)</f>
        <v>24.464470268467508</v>
      </c>
      <c r="AL135" s="40">
        <f>AJ135-AK135-AM135</f>
        <v>16.660529731532492</v>
      </c>
      <c r="AM135" s="40">
        <f>VLOOKUP(B135,'Player Data'!$A1:$AE734,27,FALSE)*$AJ135</f>
        <v>5.875</v>
      </c>
      <c r="AN135" s="40">
        <f>VLOOKUP(B135,'Player Data'!$A1:$AE734,28,FALSE)*AJ135</f>
        <v>2.510171847020799</v>
      </c>
      <c r="AO135" s="40">
        <f>VLOOKUP(B135,'Player Data'!$A1:$AE734,29,FALSE)*$AJ135*IFERROR((VLOOKUP(P135,Settings!$E$28:$F$33,2,FALSE)/4)+1,1)</f>
        <v>1259.8923060303921</v>
      </c>
      <c r="AP135" s="40">
        <f>VLOOKUP(B135,'Player Data'!$A1:$AE734,31,FALSE)*$AJ135*(IFERROR(1-(VLOOKUP(P135,Settings!$E$28:$F$33,2,FALSE)/4),1))</f>
        <v>132.06427095637383</v>
      </c>
      <c r="AQ135" s="43">
        <f>1-(AP135/(AO135+AP135))</f>
        <v>0.90512328247892648</v>
      </c>
      <c r="AR135" s="44">
        <f>AP135/AJ135</f>
        <v>2.8098781054547626</v>
      </c>
      <c r="AS135" s="38"/>
    </row>
    <row r="136" spans="1:45" ht="21.2" customHeight="1">
      <c r="A136" s="181">
        <f t="shared" si="12"/>
        <v>135</v>
      </c>
      <c r="B136" s="8" t="s">
        <v>218</v>
      </c>
      <c r="C136" s="31" t="s">
        <v>104</v>
      </c>
      <c r="D136" s="32" t="str">
        <f>VLOOKUP(B136,'Player Data'!A1:D734,4,FALSE)</f>
        <v>LW</v>
      </c>
      <c r="E136" s="48">
        <f>VLOOKUP(B136,LW!A1:C227,3,FALSE)</f>
        <v>37</v>
      </c>
      <c r="F136" s="34" t="str">
        <f>VLOOKUP(B136,'Player Data'!A1:B734,2,FALSE)</f>
        <v>NYR</v>
      </c>
      <c r="G136" s="9">
        <f>VLOOKUP(B136,'Player Data'!A1:D734,3,FALSE)</f>
        <v>32</v>
      </c>
      <c r="H136" s="35">
        <f>IFERROR(VLOOKUP(B136,ADP!A1:G731,7,FALSE)/1000000,VLOOKUP(B136,ADP!A1:G731,7,FALSE))</f>
        <v>6.5</v>
      </c>
      <c r="I136" s="36">
        <f>IF(Settings!$E$15="POINTS",((R136*Q136)*Settings!$B$12)+(S136*Settings!$B$2)+(T136*Settings!$B$3)+(U136*Settings!$B$4)+(V136*Settings!$B$5)+(X136*Settings!$B$9)+(AA136*Settings!$B$6)+(W136*Settings!$B$8)+(AB136*Settings!$B$7)+(AC136*Settings!$B$14)+(AD136*Settings!$B$15)+(AE136*Settings!$B$16)+(AF136*Settings!$B$17)+(AG136*Settings!$B$18)+(Y136*Settings!$B$10)+(Z136*Settings!$B$11),VLOOKUP(B136,'Standard Deviations'!A1:C731,3,FALSE))</f>
        <v>6.340118520658363</v>
      </c>
      <c r="J136" s="37">
        <f t="shared" si="13"/>
        <v>7.731851854461419E-2</v>
      </c>
      <c r="K136" s="183">
        <f>IF(Settings!$E$18="C/LW/RW",VLOOKUP(B136,LW!A1:F227,6,FALSE),VLOOKUP(B136,F!A1:F431,6,FALSE))</f>
        <v>-0.31455052346603818</v>
      </c>
      <c r="L136" s="36">
        <f t="shared" si="14"/>
        <v>-4.8392388225544335E-2</v>
      </c>
      <c r="M136" s="38">
        <f>IF(Settings!$E$9="YAHOO",VLOOKUP(B136,ADP!A1:E731,2,FALSE),IF(Settings!$E$9="ESPN",VLOOKUP(B136,ADP!A1:E731,3,FALSE),IF(Settings!$E$9="FANTRAX",VLOOKUP(B136,ADP!A1:E731,4,FALSE),VLOOKUP(B136,ADP!A1:E731,5,FALSE))))</f>
        <v>108.4</v>
      </c>
      <c r="N136" s="38">
        <f t="shared" si="15"/>
        <v>-26.599999999999994</v>
      </c>
      <c r="O136" s="38"/>
      <c r="P136" s="39" t="str">
        <f>IF(Settings!$E$27="ON",_xlfn.XLOOKUP(B136,ADP!A2:A731,ADP!H2:H731)," ")</f>
        <v xml:space="preserve"> </v>
      </c>
      <c r="Q136" s="40">
        <f>IF(Settings!$E$12="YES",VLOOKUP(B136,'Player Data'!A1:E734,5,FALSE),82)</f>
        <v>82</v>
      </c>
      <c r="R136" s="38">
        <f>VLOOKUP(B136,'Player Data'!$A1:$AE734,6,FALSE)</f>
        <v>18.537301632870399</v>
      </c>
      <c r="S136" s="40">
        <f>VLOOKUP(B136,'Player Data'!$A1:$AE734,7,FALSE)*$Q136*IFERROR((VLOOKUP(P136,Settings!$E$28:$F$33,2,FALSE)+1),1)</f>
        <v>38.992971626998333</v>
      </c>
      <c r="T136" s="40">
        <f>VLOOKUP(B136,'Player Data'!$A1:$AE734,8,FALSE)*$Q136*IFERROR((VLOOKUP(P136,Settings!$E$28:$F$33,2,FALSE)+1),1)</f>
        <v>21.933126972856414</v>
      </c>
      <c r="U136" s="40">
        <f>SUM(S136:T136)</f>
        <v>60.926098599854747</v>
      </c>
      <c r="V136" s="40">
        <f>VLOOKUP(B136,'Player Data'!$A1:$AE734,10,FALSE)*$Q136*IFERROR(((VLOOKUP(P136,Settings!$E$28:$F$33,2,FALSE)/2)+1),1)</f>
        <v>239.27781874173124</v>
      </c>
      <c r="W136" s="40">
        <f>VLOOKUP(B136,'Player Data'!$A1:$AE734,11,FALSE)*$Q136*IFERROR((VLOOKUP(P136,Settings!$E$28:$F$33,2,FALSE)+1),1)</f>
        <v>14.570538013642009</v>
      </c>
      <c r="X136" s="40">
        <f>VLOOKUP(B136,'Player Data'!$A1:$AE734,12,FALSE)*$Q136*IFERROR((VLOOKUP(P136,Settings!$E$28:$F$33,2,FALSE)+1),1)</f>
        <v>24.199108741667228</v>
      </c>
      <c r="Y136" s="40">
        <f>VLOOKUP(B136,'Player Data'!$A1:$AE734,13,FALSE)*$Q136</f>
        <v>3.3209169347964007</v>
      </c>
      <c r="Z136" s="40">
        <f>VLOOKUP(B136,'Player Data'!$A1:$AE734,14,FALSE)*$Q136</f>
        <v>3.2319233164418608</v>
      </c>
      <c r="AA136" s="40">
        <f>VLOOKUP(B136,'Player Data'!$A1:$AE734,15,FALSE)*$Q136</f>
        <v>32.590920473236594</v>
      </c>
      <c r="AB136" s="40">
        <f>VLOOKUP(B136,'Player Data'!$A1:$AE734,16,FALSE)*$Q136</f>
        <v>132.79716297549385</v>
      </c>
      <c r="AC136" s="40">
        <f>VLOOKUP(B136,'Player Data'!$A1:$AE734,17,FALSE)*$Q136*IFERROR((VLOOKUP(P136,Settings!$E$28:$F$33,2,FALSE)+1),1)</f>
        <v>6.4510311171281636</v>
      </c>
      <c r="AD136" s="40">
        <f>VLOOKUP(B136,'Player Data'!$A1:$AE734,18,FALSE)*$Q136</f>
        <v>32.475775647733428</v>
      </c>
      <c r="AE136" s="40">
        <f>VLOOKUP(B136,'Player Data'!$A1:$AE734,19,FALSE)*$Q136*IFERROR((VLOOKUP(P136,Settings!$E$28:$F$33,2,FALSE)+1),1)</f>
        <v>6.6443295507998066</v>
      </c>
      <c r="AF136" s="40">
        <f>VLOOKUP(B136,'Player Data'!$A1:$AE734,20,FALSE)*$Q136</f>
        <v>45.702799321353645</v>
      </c>
      <c r="AG136" s="40">
        <f>VLOOKUP(B136,'Player Data'!$A1:$AE734,21,FALSE)*$Q136</f>
        <v>54.00246474469116</v>
      </c>
      <c r="AH136" s="41">
        <f>VLOOKUP(B136,'Player Data'!$A1:$AE734,22,FALSE)</f>
        <v>0.45837900084272398</v>
      </c>
      <c r="AI136" s="38"/>
      <c r="AJ136" s="42"/>
      <c r="AK136" s="40"/>
      <c r="AL136" s="40"/>
      <c r="AM136" s="40"/>
      <c r="AN136" s="40"/>
      <c r="AO136" s="40"/>
      <c r="AP136" s="40"/>
      <c r="AQ136" s="43"/>
      <c r="AR136" s="44"/>
      <c r="AS136" s="38"/>
    </row>
    <row r="137" spans="1:45" ht="21.2" customHeight="1">
      <c r="A137" s="181">
        <f t="shared" si="12"/>
        <v>136</v>
      </c>
      <c r="B137" s="8" t="s">
        <v>287</v>
      </c>
      <c r="C137" s="31" t="s">
        <v>104</v>
      </c>
      <c r="D137" s="32" t="str">
        <f>VLOOKUP(B137,'Player Data'!A1:D734,4,FALSE)</f>
        <v>G</v>
      </c>
      <c r="E137" s="50">
        <f>VLOOKUP(B137,G!A1:D75,3,FALSE)</f>
        <v>22</v>
      </c>
      <c r="F137" s="34" t="str">
        <f>VLOOKUP(B137,'Player Data'!A1:B734,2,FALSE)</f>
        <v>CBJ</v>
      </c>
      <c r="G137" s="9">
        <f>VLOOKUP(B137,'Player Data'!A1:D734,3,FALSE)</f>
        <v>29</v>
      </c>
      <c r="H137" s="35">
        <f>IFERROR(VLOOKUP(B137,ADP!A1:G731,7,FALSE)/1000000,VLOOKUP(B137,ADP!A1:G731,7,FALSE))</f>
        <v>5.4</v>
      </c>
      <c r="I137" s="36">
        <f>IF(Settings!$E$15="POINTS",(AJ137*Settings!$B$29)+(AK137*Settings!$B$21)+(AL137*Settings!$B$22)+(AN137*Settings!$B$24)+(AO137*Settings!$B$25)+(AP137*Settings!$B$27)+(AM137*Settings!$B$23),VLOOKUP(B137,'Standard Deviations'!A1:C731,3,FALSE))</f>
        <v>1.3881040847469317</v>
      </c>
      <c r="J137" s="37">
        <f t="shared" si="13"/>
        <v>2.891883509889441E-2</v>
      </c>
      <c r="K137" s="183">
        <f>VLOOKUP(B137,G!A1:F75,6,FALSE)</f>
        <v>-0.31612496644335986</v>
      </c>
      <c r="L137" s="36">
        <f t="shared" si="14"/>
        <v>-5.8541660452474047E-2</v>
      </c>
      <c r="M137" s="38">
        <f>IF(Settings!$E$9="YAHOO",VLOOKUP(B137,ADP!A1:E731,2,FALSE),IF(Settings!$E$9="ESPN",VLOOKUP(B137,ADP!A1:E731,3,FALSE),IF(Settings!$E$9="FANTRAX",VLOOKUP(B137,ADP!A1:E731,4,FALSE),VLOOKUP(B137,ADP!A1:E731,5,FALSE))))</f>
        <v>214.89</v>
      </c>
      <c r="N137" s="38">
        <f t="shared" si="15"/>
        <v>78.889999999999986</v>
      </c>
      <c r="O137" s="38"/>
      <c r="P137" s="39" t="str">
        <f>IF(Settings!$E$27="ON",_xlfn.XLOOKUP(B137,ADP!A2:A731,ADP!H2:H731)," ")</f>
        <v>+</v>
      </c>
      <c r="Q137" s="40"/>
      <c r="R137" s="51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1"/>
      <c r="AI137" s="38"/>
      <c r="AJ137" s="42">
        <f>VLOOKUP(B137,'Player Data'!$A1:$AE734,24,FALSE)</f>
        <v>48</v>
      </c>
      <c r="AK137" s="40">
        <f>VLOOKUP(B137,'Player Data'!$A1:$AE734,25,FALSE)*$AJ137*IFERROR((VLOOKUP(P137,Settings!$E$28:$F$33,2,FALSE)+1),1)</f>
        <v>19.873922027057031</v>
      </c>
      <c r="AL137" s="40">
        <f>AJ137-AK137-AM137</f>
        <v>22.126077972942969</v>
      </c>
      <c r="AM137" s="40">
        <f>VLOOKUP(B137,'Player Data'!$A1:$AE734,27,FALSE)*$AJ137</f>
        <v>6</v>
      </c>
      <c r="AN137" s="40">
        <f>VLOOKUP(B137,'Player Data'!$A1:$AE734,28,FALSE)*AJ137</f>
        <v>1.4612848240758431</v>
      </c>
      <c r="AO137" s="40">
        <f>VLOOKUP(B137,'Player Data'!$A1:$AE734,29,FALSE)*$AJ137*IFERROR((VLOOKUP(P137,Settings!$E$28:$F$33,2,FALSE)/4)+1,1)</f>
        <v>1466.0739145155646</v>
      </c>
      <c r="AP137" s="40">
        <f>VLOOKUP(B137,'Player Data'!$A1:$AE734,31,FALSE)*$AJ137*(IFERROR(1-(VLOOKUP(P137,Settings!$E$28:$F$33,2,FALSE)/4),1))</f>
        <v>149.12174392964798</v>
      </c>
      <c r="AQ137" s="43">
        <f>1-(AP137/(AO137+AP137))</f>
        <v>0.90767573999474926</v>
      </c>
      <c r="AR137" s="44">
        <f>AP137/AJ137</f>
        <v>3.1067029985343328</v>
      </c>
      <c r="AS137" s="38"/>
    </row>
    <row r="138" spans="1:45" ht="21.2" customHeight="1">
      <c r="A138" s="181">
        <f t="shared" si="12"/>
        <v>137</v>
      </c>
      <c r="B138" s="8" t="s">
        <v>225</v>
      </c>
      <c r="C138" s="31" t="s">
        <v>104</v>
      </c>
      <c r="D138" s="32" t="str">
        <f>VLOOKUP(B138,'Player Data'!A1:D734,4,FALSE)</f>
        <v>C,LW</v>
      </c>
      <c r="E138" s="45">
        <f>VLOOKUP(B138,LW!A1:C227,3,FALSE)</f>
        <v>38</v>
      </c>
      <c r="F138" s="34" t="str">
        <f>VLOOKUP(B138,'Player Data'!A1:B734,2,FALSE)</f>
        <v>SEA</v>
      </c>
      <c r="G138" s="9">
        <f>VLOOKUP(B138,'Player Data'!A1:D734,3,FALSE)</f>
        <v>27</v>
      </c>
      <c r="H138" s="35">
        <f>IFERROR(VLOOKUP(B138,ADP!A1:G731,7,FALSE)/1000000,VLOOKUP(B138,ADP!A1:G731,7,FALSE))</f>
        <v>5</v>
      </c>
      <c r="I138" s="36">
        <f>IF(Settings!$E$15="POINTS",((R138*Q138)*Settings!$B$12)+(S138*Settings!$B$2)+(T138*Settings!$B$3)+(U138*Settings!$B$4)+(V138*Settings!$B$5)+(X138*Settings!$B$9)+(AA138*Settings!$B$6)+(W138*Settings!$B$8)+(AB138*Settings!$B$7)+(AC138*Settings!$B$14)+(AD138*Settings!$B$15)+(AE138*Settings!$B$16)+(AF138*Settings!$B$17)+(AG138*Settings!$B$18)+(Y138*Settings!$B$10)+(Z138*Settings!$B$11),VLOOKUP(B138,'Standard Deviations'!A1:C731,3,FALSE))</f>
        <v>6.3370507242066028</v>
      </c>
      <c r="J138" s="37">
        <f t="shared" si="13"/>
        <v>7.7281106392763449E-2</v>
      </c>
      <c r="K138" s="183">
        <f>IF(Settings!$E$18="C/LW/RW",VLOOKUP(B138,LW!A1:F227,6,FALSE),VLOOKUP(B138,F!A1:F431,6,FALSE))</f>
        <v>-0.31761831991779843</v>
      </c>
      <c r="L138" s="36">
        <f t="shared" si="14"/>
        <v>-6.3523663983559686E-2</v>
      </c>
      <c r="M138" s="38">
        <f>IF(Settings!$E$9="YAHOO",VLOOKUP(B138,ADP!A1:E731,2,FALSE),IF(Settings!$E$9="ESPN",VLOOKUP(B138,ADP!A1:E731,3,FALSE),IF(Settings!$E$9="FANTRAX",VLOOKUP(B138,ADP!A1:E731,4,FALSE),VLOOKUP(B138,ADP!A1:E731,5,FALSE))))</f>
        <v>107.61</v>
      </c>
      <c r="N138" s="38">
        <f t="shared" si="15"/>
        <v>-29.39</v>
      </c>
      <c r="O138" s="38"/>
      <c r="P138" s="39" t="str">
        <f>IF(Settings!$E$27="ON",_xlfn.XLOOKUP(B138,ADP!A2:A731,ADP!H2:H731)," ")</f>
        <v xml:space="preserve"> </v>
      </c>
      <c r="Q138" s="40">
        <f>IF(Settings!$E$12="YES",VLOOKUP(B138,'Player Data'!A1:E734,5,FALSE),82)</f>
        <v>82</v>
      </c>
      <c r="R138" s="38">
        <f>VLOOKUP(B138,'Player Data'!$A1:$AE734,6,FALSE)</f>
        <v>17.1326661405331</v>
      </c>
      <c r="S138" s="40">
        <f>VLOOKUP(B138,'Player Data'!$A1:$AE734,7,FALSE)*$Q138*IFERROR((VLOOKUP(P138,Settings!$E$28:$F$33,2,FALSE)+1),1)</f>
        <v>36.009065383408277</v>
      </c>
      <c r="T138" s="40">
        <f>VLOOKUP(B138,'Player Data'!$A1:$AE734,8,FALSE)*$Q138*IFERROR((VLOOKUP(P138,Settings!$E$28:$F$33,2,FALSE)+1),1)</f>
        <v>32.381023897667205</v>
      </c>
      <c r="U138" s="40">
        <f>SUM(S138:T138)</f>
        <v>68.39008928107549</v>
      </c>
      <c r="V138" s="40">
        <f>VLOOKUP(B138,'Player Data'!$A1:$AE734,10,FALSE)*$Q138*IFERROR(((VLOOKUP(P138,Settings!$E$28:$F$33,2,FALSE)/2)+1),1)</f>
        <v>224.39744605792274</v>
      </c>
      <c r="W138" s="40">
        <f>VLOOKUP(B138,'Player Data'!$A1:$AE734,11,FALSE)*$Q138*IFERROR((VLOOKUP(P138,Settings!$E$28:$F$33,2,FALSE)+1),1)</f>
        <v>8.8297829694420553</v>
      </c>
      <c r="X138" s="40">
        <f>VLOOKUP(B138,'Player Data'!$A1:$AE734,12,FALSE)*$Q138*IFERROR((VLOOKUP(P138,Settings!$E$28:$F$33,2,FALSE)+1),1)</f>
        <v>18.66238249993236</v>
      </c>
      <c r="Y138" s="40">
        <f>VLOOKUP(B138,'Player Data'!$A1:$AE734,13,FALSE)*$Q138</f>
        <v>2.0036712125415033</v>
      </c>
      <c r="Z138" s="40">
        <f>VLOOKUP(B138,'Player Data'!$A1:$AE734,14,FALSE)*$Q138</f>
        <v>2.1065095226194099</v>
      </c>
      <c r="AA138" s="40">
        <f>VLOOKUP(B138,'Player Data'!$A1:$AE734,15,FALSE)*$Q138</f>
        <v>32.415015770205926</v>
      </c>
      <c r="AB138" s="40">
        <f>VLOOKUP(B138,'Player Data'!$A1:$AE734,16,FALSE)*$Q138</f>
        <v>73.702696186043198</v>
      </c>
      <c r="AC138" s="40">
        <f>VLOOKUP(B138,'Player Data'!$A1:$AE734,17,FALSE)*$Q138*IFERROR((VLOOKUP(P138,Settings!$E$28:$F$33,2,FALSE)+1),1)</f>
        <v>2.4370213474633786</v>
      </c>
      <c r="AD138" s="40">
        <f>VLOOKUP(B138,'Player Data'!$A1:$AE734,18,FALSE)*$Q138</f>
        <v>22.623039735546303</v>
      </c>
      <c r="AE138" s="40">
        <f>VLOOKUP(B138,'Player Data'!$A1:$AE734,19,FALSE)*$Q138*IFERROR((VLOOKUP(P138,Settings!$E$28:$F$33,2,FALSE)+1),1)</f>
        <v>5.0614693811582487</v>
      </c>
      <c r="AF138" s="40">
        <f>VLOOKUP(B138,'Player Data'!$A1:$AE734,20,FALSE)*$Q138</f>
        <v>68.382785858581869</v>
      </c>
      <c r="AG138" s="40">
        <f>VLOOKUP(B138,'Player Data'!$A1:$AE734,21,FALSE)*$Q138</f>
        <v>105.72336981576711</v>
      </c>
      <c r="AH138" s="41">
        <f>VLOOKUP(B138,'Player Data'!$A1:$AE734,22,FALSE)</f>
        <v>0.39276489446177898</v>
      </c>
      <c r="AI138" s="38"/>
      <c r="AJ138" s="42"/>
      <c r="AK138" s="40"/>
      <c r="AL138" s="40"/>
      <c r="AM138" s="40"/>
      <c r="AN138" s="40"/>
      <c r="AO138" s="40"/>
      <c r="AP138" s="40"/>
      <c r="AQ138" s="43"/>
      <c r="AR138" s="44"/>
      <c r="AS138" s="38"/>
    </row>
    <row r="139" spans="1:45" ht="21.2" customHeight="1">
      <c r="A139" s="181">
        <f t="shared" si="12"/>
        <v>138</v>
      </c>
      <c r="B139" s="8" t="s">
        <v>228</v>
      </c>
      <c r="C139" s="31" t="s">
        <v>104</v>
      </c>
      <c r="D139" s="32" t="str">
        <f>VLOOKUP(B139,'Player Data'!A1:D734,4,FALSE)</f>
        <v>C</v>
      </c>
      <c r="E139" s="33">
        <f>VLOOKUP(B139,'C'!A1:C208,3,FALSE)</f>
        <v>38</v>
      </c>
      <c r="F139" s="34" t="str">
        <f>VLOOKUP(B139,'Player Data'!A1:B734,2,FALSE)</f>
        <v>SEA</v>
      </c>
      <c r="G139" s="9">
        <f>VLOOKUP(B139,'Player Data'!A1:D734,3,FALSE)</f>
        <v>20</v>
      </c>
      <c r="H139" s="35">
        <f>IFERROR(VLOOKUP(B139,ADP!A1:G731,7,FALSE)/1000000,VLOOKUP(B139,ADP!A1:G731,7,FALSE))</f>
        <v>0.89749999999999996</v>
      </c>
      <c r="I139" s="36">
        <f>IF(Settings!$E$15="POINTS",((R139*Q139)*Settings!$B$12)+(S139*Settings!$B$2)+(T139*Settings!$B$3)+(U139*Settings!$B$4)+(V139*Settings!$B$5)+(X139*Settings!$B$9)+(AA139*Settings!$B$6)+(W139*Settings!$B$8)+(AB139*Settings!$B$7)+(AC139*Settings!$B$14)+(AD139*Settings!$B$15)+(AE139*Settings!$B$16)+(AF139*Settings!$B$17)+(AG139*Settings!$B$18)+(Y139*Settings!$B$10)+(Z139*Settings!$B$11),VLOOKUP(B139,'Standard Deviations'!A1:C731,3,FALSE))</f>
        <v>6.0122623371438388</v>
      </c>
      <c r="J139" s="37">
        <f t="shared" si="13"/>
        <v>7.3320272404193157E-2</v>
      </c>
      <c r="K139" s="183">
        <f>IF(Settings!$E$18="C/LW/RW",VLOOKUP(B139,'C'!A1:F208,6,FALSE),VLOOKUP(B139,F!A1:F431,6,FALSE))</f>
        <v>-0.32478838706276392</v>
      </c>
      <c r="L139" s="36">
        <f t="shared" si="14"/>
        <v>-0.36188121121199324</v>
      </c>
      <c r="M139" s="38">
        <f>IF(Settings!$E$9="YAHOO",VLOOKUP(B139,ADP!A1:E731,2,FALSE),IF(Settings!$E$9="ESPN",VLOOKUP(B139,ADP!A1:E731,3,FALSE),IF(Settings!$E$9="FANTRAX",VLOOKUP(B139,ADP!A1:E731,4,FALSE),VLOOKUP(B139,ADP!A1:E731,5,FALSE))))</f>
        <v>152.4</v>
      </c>
      <c r="N139" s="38">
        <f t="shared" si="15"/>
        <v>14.400000000000006</v>
      </c>
      <c r="O139" s="38"/>
      <c r="P139" s="39" t="str">
        <f>IF(Settings!$E$27="ON",_xlfn.XLOOKUP(B139,ADP!A2:A731,ADP!H2:H731)," ")</f>
        <v>+</v>
      </c>
      <c r="Q139" s="40">
        <f>IF(Settings!$E$12="YES",VLOOKUP(B139,'Player Data'!A1:E734,5,FALSE),82)</f>
        <v>82</v>
      </c>
      <c r="R139" s="38">
        <f>VLOOKUP(B139,'Player Data'!$A1:$AE734,6,FALSE)</f>
        <v>18.6504598814529</v>
      </c>
      <c r="S139" s="40">
        <f>VLOOKUP(B139,'Player Data'!$A1:$AE734,7,FALSE)*$Q139*IFERROR((VLOOKUP(P139,Settings!$E$28:$F$33,2,FALSE)+1),1)</f>
        <v>31.048386705251719</v>
      </c>
      <c r="T139" s="40">
        <f>VLOOKUP(B139,'Player Data'!$A1:$AE734,8,FALSE)*$Q139*IFERROR((VLOOKUP(P139,Settings!$E$28:$F$33,2,FALSE)+1),1)</f>
        <v>43.62505620895282</v>
      </c>
      <c r="U139" s="40">
        <f>SUM(S139:T139)</f>
        <v>74.673442914204543</v>
      </c>
      <c r="V139" s="40">
        <f>VLOOKUP(B139,'Player Data'!$A1:$AE734,10,FALSE)*$Q139*IFERROR(((VLOOKUP(P139,Settings!$E$28:$F$33,2,FALSE)/2)+1),1)</f>
        <v>179.46509174563889</v>
      </c>
      <c r="W139" s="40">
        <f>VLOOKUP(B139,'Player Data'!$A1:$AE734,11,FALSE)*$Q139*IFERROR((VLOOKUP(P139,Settings!$E$28:$F$33,2,FALSE)+1),1)</f>
        <v>6.9665243396988297</v>
      </c>
      <c r="X139" s="40">
        <f>VLOOKUP(B139,'Player Data'!$A1:$AE734,12,FALSE)*$Q139*IFERROR((VLOOKUP(P139,Settings!$E$28:$F$33,2,FALSE)+1),1)</f>
        <v>16.781760644395927</v>
      </c>
      <c r="Y139" s="40">
        <f>VLOOKUP(B139,'Player Data'!$A1:$AE734,13,FALSE)*$Q139</f>
        <v>0.13718318054348883</v>
      </c>
      <c r="Z139" s="40">
        <f>VLOOKUP(B139,'Player Data'!$A1:$AE734,14,FALSE)*$Q139</f>
        <v>0.79123911594839069</v>
      </c>
      <c r="AA139" s="40">
        <f>VLOOKUP(B139,'Player Data'!$A1:$AE734,15,FALSE)*$Q139</f>
        <v>50.555897920853468</v>
      </c>
      <c r="AB139" s="40">
        <f>VLOOKUP(B139,'Player Data'!$A1:$AE734,16,FALSE)*$Q139</f>
        <v>85.015924359438003</v>
      </c>
      <c r="AC139" s="40">
        <f>VLOOKUP(B139,'Player Data'!$A1:$AE734,17,FALSE)*$Q139*IFERROR((VLOOKUP(P139,Settings!$E$28:$F$33,2,FALSE)+1),1)</f>
        <v>2.306429290283651</v>
      </c>
      <c r="AD139" s="40">
        <f>VLOOKUP(B139,'Player Data'!$A1:$AE734,18,FALSE)*$Q139</f>
        <v>11.998726198143709</v>
      </c>
      <c r="AE139" s="40">
        <f>VLOOKUP(B139,'Player Data'!$A1:$AE734,19,FALSE)*$Q139*IFERROR((VLOOKUP(P139,Settings!$E$28:$F$33,2,FALSE)+1),1)</f>
        <v>4.3641915437050383</v>
      </c>
      <c r="AF139" s="40">
        <f>VLOOKUP(B139,'Player Data'!$A1:$AE734,20,FALSE)*$Q139</f>
        <v>454.98469899787273</v>
      </c>
      <c r="AG139" s="40">
        <f>VLOOKUP(B139,'Player Data'!$A1:$AE734,21,FALSE)*$Q139</f>
        <v>622.52698198646885</v>
      </c>
      <c r="AH139" s="41">
        <f>VLOOKUP(B139,'Player Data'!$A1:$AE734,22,FALSE)</f>
        <v>0.42225500384574</v>
      </c>
      <c r="AI139" s="38"/>
      <c r="AJ139" s="40"/>
      <c r="AK139" s="40"/>
      <c r="AL139" s="40"/>
      <c r="AM139" s="40"/>
      <c r="AN139" s="40"/>
      <c r="AO139" s="40"/>
      <c r="AP139" s="40"/>
      <c r="AQ139" s="43"/>
      <c r="AR139" s="44"/>
      <c r="AS139" s="38"/>
    </row>
    <row r="140" spans="1:45" ht="21.2" customHeight="1">
      <c r="A140" s="181">
        <f t="shared" si="12"/>
        <v>139</v>
      </c>
      <c r="B140" s="8" t="s">
        <v>230</v>
      </c>
      <c r="C140" s="31" t="s">
        <v>104</v>
      </c>
      <c r="D140" s="32" t="str">
        <f>VLOOKUP(B140,'Player Data'!A1:D734,4,FALSE)</f>
        <v>C</v>
      </c>
      <c r="E140" s="33">
        <f>VLOOKUP(B140,'C'!A1:C208,3,FALSE)</f>
        <v>39</v>
      </c>
      <c r="F140" s="34" t="str">
        <f>VLOOKUP(B140,'Player Data'!A1:B734,2,FALSE)</f>
        <v>CGY</v>
      </c>
      <c r="G140" s="9">
        <f>VLOOKUP(B140,'Player Data'!A1:D734,3,FALSE)</f>
        <v>32</v>
      </c>
      <c r="H140" s="35">
        <f>IFERROR(VLOOKUP(B140,ADP!A1:G731,7,FALSE)/1000000,VLOOKUP(B140,ADP!A1:G731,7,FALSE))</f>
        <v>7</v>
      </c>
      <c r="I140" s="36">
        <f>IF(Settings!$E$15="POINTS",((R140*Q140)*Settings!$B$12)+(S140*Settings!$B$2)+(T140*Settings!$B$3)+(U140*Settings!$B$4)+(V140*Settings!$B$5)+(X140*Settings!$B$9)+(AA140*Settings!$B$6)+(W140*Settings!$B$8)+(AB140*Settings!$B$7)+(AC140*Settings!$B$14)+(AD140*Settings!$B$15)+(AE140*Settings!$B$16)+(AF140*Settings!$B$17)+(AG140*Settings!$B$18)+(Y140*Settings!$B$10)+(Z140*Settings!$B$11),VLOOKUP(B140,'Standard Deviations'!A1:C731,3,FALSE))</f>
        <v>5.983039518460199</v>
      </c>
      <c r="J140" s="37">
        <f t="shared" si="13"/>
        <v>7.2963896566587791E-2</v>
      </c>
      <c r="K140" s="183">
        <f>IF(Settings!$E$18="C/LW/RW",VLOOKUP(B140,'C'!A1:F208,6,FALSE),VLOOKUP(B140,F!A1:F431,6,FALSE))</f>
        <v>-0.35401120574640377</v>
      </c>
      <c r="L140" s="36">
        <f t="shared" si="14"/>
        <v>-5.0573029392343392E-2</v>
      </c>
      <c r="M140" s="38">
        <f>IF(Settings!$E$9="YAHOO",VLOOKUP(B140,ADP!A1:E731,2,FALSE),IF(Settings!$E$9="ESPN",VLOOKUP(B140,ADP!A1:E731,3,FALSE),IF(Settings!$E$9="FANTRAX",VLOOKUP(B140,ADP!A1:E731,4,FALSE),VLOOKUP(B140,ADP!A1:E731,5,FALSE))))</f>
        <v>144.61000000000001</v>
      </c>
      <c r="N140" s="38">
        <f t="shared" si="15"/>
        <v>5.6100000000000136</v>
      </c>
      <c r="O140" s="38"/>
      <c r="P140" s="39" t="str">
        <f>IF(Settings!$E$27="ON",_xlfn.XLOOKUP(B140,ADP!A2:A731,ADP!H2:H731)," ")</f>
        <v xml:space="preserve"> </v>
      </c>
      <c r="Q140" s="40">
        <f>IF(Settings!$E$12="YES",VLOOKUP(B140,'Player Data'!A1:E734,5,FALSE),82)</f>
        <v>82</v>
      </c>
      <c r="R140" s="38">
        <f>VLOOKUP(B140,'Player Data'!$A1:$AE734,6,FALSE)</f>
        <v>16.946249149120401</v>
      </c>
      <c r="S140" s="40">
        <f>VLOOKUP(B140,'Player Data'!$A1:$AE734,7,FALSE)*$Q140*IFERROR((VLOOKUP(P140,Settings!$E$28:$F$33,2,FALSE)+1),1)</f>
        <v>22.802962416293635</v>
      </c>
      <c r="T140" s="40">
        <f>VLOOKUP(B140,'Player Data'!$A1:$AE734,8,FALSE)*$Q140*IFERROR((VLOOKUP(P140,Settings!$E$28:$F$33,2,FALSE)+1),1)</f>
        <v>39.512672094569567</v>
      </c>
      <c r="U140" s="40">
        <f>SUM(S140:T140)</f>
        <v>62.315634510863205</v>
      </c>
      <c r="V140" s="40">
        <f>VLOOKUP(B140,'Player Data'!$A1:$AE734,10,FALSE)*$Q140*IFERROR(((VLOOKUP(P140,Settings!$E$28:$F$33,2,FALSE)/2)+1),1)</f>
        <v>253.34680559923638</v>
      </c>
      <c r="W140" s="40">
        <f>VLOOKUP(B140,'Player Data'!$A1:$AE734,11,FALSE)*$Q140*IFERROR((VLOOKUP(P140,Settings!$E$28:$F$33,2,FALSE)+1),1)</f>
        <v>8.2462865425260912</v>
      </c>
      <c r="X140" s="40">
        <f>VLOOKUP(B140,'Player Data'!$A1:$AE734,12,FALSE)*$Q140*IFERROR((VLOOKUP(P140,Settings!$E$28:$F$33,2,FALSE)+1),1)</f>
        <v>20.419956058899078</v>
      </c>
      <c r="Y140" s="40">
        <f>VLOOKUP(B140,'Player Data'!$A1:$AE734,13,FALSE)*$Q140</f>
        <v>2.1046999079989762E-2</v>
      </c>
      <c r="Z140" s="40">
        <f>VLOOKUP(B140,'Player Data'!$A1:$AE734,14,FALSE)*$Q140</f>
        <v>3.2151864501677611E-2</v>
      </c>
      <c r="AA140" s="40">
        <f>VLOOKUP(B140,'Player Data'!$A1:$AE734,15,FALSE)*$Q140</f>
        <v>28.679936815068871</v>
      </c>
      <c r="AB140" s="40">
        <f>VLOOKUP(B140,'Player Data'!$A1:$AE734,16,FALSE)*$Q140</f>
        <v>83.127142261769293</v>
      </c>
      <c r="AC140" s="40">
        <f>VLOOKUP(B140,'Player Data'!$A1:$AE734,17,FALSE)*$Q140*IFERROR((VLOOKUP(P140,Settings!$E$28:$F$33,2,FALSE)+1),1)</f>
        <v>2.7210373384150586</v>
      </c>
      <c r="AD140" s="40">
        <f>VLOOKUP(B140,'Player Data'!$A1:$AE734,18,FALSE)*$Q140</f>
        <v>45.351373615032969</v>
      </c>
      <c r="AE140" s="40">
        <f>VLOOKUP(B140,'Player Data'!$A1:$AE734,19,FALSE)*$Q140*IFERROR((VLOOKUP(P140,Settings!$E$28:$F$33,2,FALSE)+1),1)</f>
        <v>3.8103351159609806</v>
      </c>
      <c r="AF140" s="40">
        <f>VLOOKUP(B140,'Player Data'!$A1:$AE734,20,FALSE)*$Q140</f>
        <v>592.46639406517295</v>
      </c>
      <c r="AG140" s="40">
        <f>VLOOKUP(B140,'Player Data'!$A1:$AE734,21,FALSE)*$Q140</f>
        <v>611.05060093839211</v>
      </c>
      <c r="AH140" s="41">
        <f>VLOOKUP(B140,'Player Data'!$A1:$AE734,22,FALSE)</f>
        <v>0.49227920878958398</v>
      </c>
      <c r="AI140" s="38"/>
      <c r="AJ140" s="42"/>
      <c r="AK140" s="40"/>
      <c r="AL140" s="40"/>
      <c r="AM140" s="40"/>
      <c r="AN140" s="40"/>
      <c r="AO140" s="40"/>
      <c r="AP140" s="40"/>
      <c r="AQ140" s="43"/>
      <c r="AR140" s="44"/>
      <c r="AS140" s="38"/>
    </row>
    <row r="141" spans="1:45" ht="21.2" customHeight="1">
      <c r="A141" s="181">
        <f t="shared" si="12"/>
        <v>140</v>
      </c>
      <c r="B141" s="8" t="s">
        <v>221</v>
      </c>
      <c r="C141" s="31" t="s">
        <v>104</v>
      </c>
      <c r="D141" s="32" t="str">
        <f>VLOOKUP(B141,'Player Data'!A1:D734,4,FALSE)</f>
        <v>C,LW</v>
      </c>
      <c r="E141" s="45">
        <f>VLOOKUP(B141,LW!A1:C227,3,FALSE)</f>
        <v>39</v>
      </c>
      <c r="F141" s="34" t="str">
        <f>VLOOKUP(B141,'Player Data'!A1:B734,2,FALSE)</f>
        <v>LAK</v>
      </c>
      <c r="G141" s="9">
        <f>VLOOKUP(B141,'Player Data'!A1:D734,3,FALSE)</f>
        <v>25</v>
      </c>
      <c r="H141" s="35">
        <f>IFERROR(VLOOKUP(B141,ADP!A1:G731,7,FALSE)/1000000,VLOOKUP(B141,ADP!A1:G731,7,FALSE))</f>
        <v>8.5</v>
      </c>
      <c r="I141" s="36">
        <f>IF(Settings!$E$15="POINTS",((R141*Q141)*Settings!$B$12)+(S141*Settings!$B$2)+(T141*Settings!$B$3)+(U141*Settings!$B$4)+(V141*Settings!$B$5)+(X141*Settings!$B$9)+(AA141*Settings!$B$6)+(W141*Settings!$B$8)+(AB141*Settings!$B$7)+(AC141*Settings!$B$14)+(AD141*Settings!$B$15)+(AE141*Settings!$B$16)+(AF141*Settings!$B$17)+(AG141*Settings!$B$18)+(Y141*Settings!$B$10)+(Z141*Settings!$B$11),VLOOKUP(B141,'Standard Deviations'!A1:C731,3,FALSE))</f>
        <v>6.2939538141798721</v>
      </c>
      <c r="J141" s="37">
        <f t="shared" si="13"/>
        <v>7.6755534319266738E-2</v>
      </c>
      <c r="K141" s="183">
        <f>IF(Settings!$E$18="C/LW/RW",VLOOKUP(B141,LW!A1:F227,6,FALSE),VLOOKUP(B141,F!A1:F431,6,FALSE))</f>
        <v>-0.36071522994452909</v>
      </c>
      <c r="L141" s="36">
        <f t="shared" si="14"/>
        <v>-4.2437085875826952E-2</v>
      </c>
      <c r="M141" s="38">
        <f>IF(Settings!$E$9="YAHOO",VLOOKUP(B141,ADP!A1:E731,2,FALSE),IF(Settings!$E$9="ESPN",VLOOKUP(B141,ADP!A1:E731,3,FALSE),IF(Settings!$E$9="FANTRAX",VLOOKUP(B141,ADP!A1:E731,4,FALSE),VLOOKUP(B141,ADP!A1:E731,5,FALSE))))</f>
        <v>102.1</v>
      </c>
      <c r="N141" s="38">
        <f t="shared" si="15"/>
        <v>-37.900000000000006</v>
      </c>
      <c r="O141" s="38"/>
      <c r="P141" s="39" t="str">
        <f>IF(Settings!$E$27="ON",_xlfn.XLOOKUP(B141,ADP!A2:A731,ADP!H2:H731)," ")</f>
        <v xml:space="preserve"> </v>
      </c>
      <c r="Q141" s="40">
        <f>IF(Settings!$E$12="YES",VLOOKUP(B141,'Player Data'!A1:E734,5,FALSE),82)</f>
        <v>82</v>
      </c>
      <c r="R141" s="38">
        <f>VLOOKUP(B141,'Player Data'!$A1:$AE734,6,FALSE)</f>
        <v>18.589084141255402</v>
      </c>
      <c r="S141" s="40">
        <f>VLOOKUP(B141,'Player Data'!$A1:$AE734,7,FALSE)*$Q141*IFERROR((VLOOKUP(P141,Settings!$E$28:$F$33,2,FALSE)+1),1)</f>
        <v>28.861706097467916</v>
      </c>
      <c r="T141" s="40">
        <f>VLOOKUP(B141,'Player Data'!$A1:$AE734,8,FALSE)*$Q141*IFERROR((VLOOKUP(P141,Settings!$E$28:$F$33,2,FALSE)+1),1)</f>
        <v>38.275500656616771</v>
      </c>
      <c r="U141" s="40">
        <f>SUM(S141:T141)</f>
        <v>67.137206754084687</v>
      </c>
      <c r="V141" s="40">
        <f>VLOOKUP(B141,'Player Data'!$A1:$AE734,10,FALSE)*$Q141*IFERROR(((VLOOKUP(P141,Settings!$E$28:$F$33,2,FALSE)/2)+1),1)</f>
        <v>225.11998481063927</v>
      </c>
      <c r="W141" s="40">
        <f>VLOOKUP(B141,'Player Data'!$A1:$AE734,11,FALSE)*$Q141*IFERROR((VLOOKUP(P141,Settings!$E$28:$F$33,2,FALSE)+1),1)</f>
        <v>11.25034229686937</v>
      </c>
      <c r="X141" s="40">
        <f>VLOOKUP(B141,'Player Data'!$A1:$AE734,12,FALSE)*$Q141*IFERROR((VLOOKUP(P141,Settings!$E$28:$F$33,2,FALSE)+1),1)</f>
        <v>21.229688407758083</v>
      </c>
      <c r="Y141" s="40">
        <f>VLOOKUP(B141,'Player Data'!$A1:$AE734,13,FALSE)*$Q141</f>
        <v>3.4907378044763467E-2</v>
      </c>
      <c r="Z141" s="40">
        <f>VLOOKUP(B141,'Player Data'!$A1:$AE734,14,FALSE)*$Q141</f>
        <v>6.8528980089696517E-2</v>
      </c>
      <c r="AA141" s="40">
        <f>VLOOKUP(B141,'Player Data'!$A1:$AE734,15,FALSE)*$Q141</f>
        <v>49.136601150605003</v>
      </c>
      <c r="AB141" s="40">
        <f>VLOOKUP(B141,'Player Data'!$A1:$AE734,16,FALSE)*$Q141</f>
        <v>91.378975933814431</v>
      </c>
      <c r="AC141" s="40">
        <f>VLOOKUP(B141,'Player Data'!$A1:$AE734,17,FALSE)*$Q141*IFERROR((VLOOKUP(P141,Settings!$E$28:$F$33,2,FALSE)+1),1)</f>
        <v>1.1195386449341171</v>
      </c>
      <c r="AD141" s="40">
        <f>VLOOKUP(B141,'Player Data'!$A1:$AE734,18,FALSE)*$Q141</f>
        <v>76.327656113657511</v>
      </c>
      <c r="AE141" s="40">
        <f>VLOOKUP(B141,'Player Data'!$A1:$AE734,19,FALSE)*$Q141*IFERROR((VLOOKUP(P141,Settings!$E$28:$F$33,2,FALSE)+1),1)</f>
        <v>4.2732946743354434</v>
      </c>
      <c r="AF141" s="40">
        <f>VLOOKUP(B141,'Player Data'!$A1:$AE734,20,FALSE)*$Q141</f>
        <v>519.89109125992024</v>
      </c>
      <c r="AG141" s="40">
        <f>VLOOKUP(B141,'Player Data'!$A1:$AE734,21,FALSE)*$Q141</f>
        <v>577.45857298088538</v>
      </c>
      <c r="AH141" s="41">
        <f>VLOOKUP(B141,'Player Data'!$A1:$AE734,22,FALSE)</f>
        <v>0.47376976382419</v>
      </c>
      <c r="AI141" s="38"/>
      <c r="AJ141" s="42"/>
      <c r="AK141" s="40"/>
      <c r="AL141" s="40"/>
      <c r="AM141" s="40"/>
      <c r="AN141" s="40"/>
      <c r="AO141" s="40"/>
      <c r="AP141" s="40"/>
      <c r="AQ141" s="43"/>
      <c r="AR141" s="44"/>
      <c r="AS141" s="38"/>
    </row>
    <row r="142" spans="1:45" ht="21.2" customHeight="1">
      <c r="A142" s="181">
        <f t="shared" si="12"/>
        <v>141</v>
      </c>
      <c r="B142" s="8" t="s">
        <v>206</v>
      </c>
      <c r="C142" s="31" t="s">
        <v>104</v>
      </c>
      <c r="D142" s="32" t="str">
        <f>VLOOKUP(B142,'Player Data'!A1:D734,4,FALSE)</f>
        <v>LW,RW</v>
      </c>
      <c r="E142" s="45">
        <f>VLOOKUP(B142,RW!A1:F189,3,FALSE)</f>
        <v>37</v>
      </c>
      <c r="F142" s="34" t="str">
        <f>VLOOKUP(B142,'Player Data'!A1:B734,2,FALSE)</f>
        <v>LAK</v>
      </c>
      <c r="G142" s="9">
        <f>VLOOKUP(B142,'Player Data'!A1:D734,3,FALSE)</f>
        <v>26</v>
      </c>
      <c r="H142" s="35">
        <f>IFERROR(VLOOKUP(B142,ADP!A1:G731,7,FALSE)/1000000,VLOOKUP(B142,ADP!A1:G731,7,FALSE))</f>
        <v>5.5</v>
      </c>
      <c r="I142" s="36">
        <f>IF(Settings!$E$15="POINTS",((R142*Q142)*Settings!$B$12)+(S142*Settings!$B$2)+(T142*Settings!$B$3)+(U142*Settings!$B$4)+(V142*Settings!$B$5)+(X142*Settings!$B$9)+(AA142*Settings!$B$6)+(W142*Settings!$B$8)+(AB142*Settings!$B$7)+(AC142*Settings!$B$14)+(AD142*Settings!$B$15)+(AE142*Settings!$B$16)+(AF142*Settings!$B$17)+(AG142*Settings!$B$18)+(Y142*Settings!$B$10)+(Z142*Settings!$B$11),VLOOKUP(B142,'Standard Deviations'!A1:C731,3,FALSE))</f>
        <v>5.8516478790792794</v>
      </c>
      <c r="J142" s="37">
        <f t="shared" si="13"/>
        <v>7.1361559500966829E-2</v>
      </c>
      <c r="K142" s="183">
        <f>IF(Settings!$E$18="C/LW/RW",VLOOKUP(B142,RW!A1:F189,6,FALSE),VLOOKUP(B142,F!A1:F431,6,FALSE))</f>
        <v>-0.42861083993180138</v>
      </c>
      <c r="L142" s="36">
        <f t="shared" si="14"/>
        <v>-7.792924362396389E-2</v>
      </c>
      <c r="M142" s="38">
        <f>IF(Settings!$E$9="YAHOO",VLOOKUP(B142,ADP!A1:E731,2,FALSE),IF(Settings!$E$9="ESPN",VLOOKUP(B142,ADP!A1:E731,3,FALSE),IF(Settings!$E$9="FANTRAX",VLOOKUP(B142,ADP!A1:E731,4,FALSE),VLOOKUP(B142,ADP!A1:E731,5,FALSE))))</f>
        <v>62.93</v>
      </c>
      <c r="N142" s="38">
        <f t="shared" si="15"/>
        <v>-78.069999999999993</v>
      </c>
      <c r="O142" s="38"/>
      <c r="P142" s="39" t="str">
        <f>IF(Settings!$E$27="ON",_xlfn.XLOOKUP(B142,ADP!A2:A731,ADP!H2:H731)," ")</f>
        <v xml:space="preserve"> </v>
      </c>
      <c r="Q142" s="40">
        <f>IF(Settings!$E$12="YES",VLOOKUP(B142,'Player Data'!A1:E734,5,FALSE),82)</f>
        <v>82</v>
      </c>
      <c r="R142" s="38">
        <f>VLOOKUP(B142,'Player Data'!$A1:$AE734,6,FALSE)</f>
        <v>18.7638607183689</v>
      </c>
      <c r="S142" s="40">
        <f>VLOOKUP(B142,'Player Data'!$A1:$AE734,7,FALSE)*$Q142*IFERROR((VLOOKUP(P142,Settings!$E$28:$F$33,2,FALSE)+1),1)</f>
        <v>36.166377872865525</v>
      </c>
      <c r="T142" s="40">
        <f>VLOOKUP(B142,'Player Data'!$A1:$AE734,8,FALSE)*$Q142*IFERROR((VLOOKUP(P142,Settings!$E$28:$F$33,2,FALSE)+1),1)</f>
        <v>26.178338134857533</v>
      </c>
      <c r="U142" s="40">
        <f>SUM(S142:T142)</f>
        <v>62.344716007723058</v>
      </c>
      <c r="V142" s="40">
        <f>VLOOKUP(B142,'Player Data'!$A1:$AE734,10,FALSE)*$Q142*IFERROR(((VLOOKUP(P142,Settings!$E$28:$F$33,2,FALSE)/2)+1),1)</f>
        <v>232.84089849014572</v>
      </c>
      <c r="W142" s="40">
        <f>VLOOKUP(B142,'Player Data'!$A1:$AE734,11,FALSE)*$Q142*IFERROR((VLOOKUP(P142,Settings!$E$28:$F$33,2,FALSE)+1),1)</f>
        <v>8.91521291515439</v>
      </c>
      <c r="X142" s="40">
        <f>VLOOKUP(B142,'Player Data'!$A1:$AE734,12,FALSE)*$Q142*IFERROR((VLOOKUP(P142,Settings!$E$28:$F$33,2,FALSE)+1),1)</f>
        <v>19.406301541116918</v>
      </c>
      <c r="Y142" s="40">
        <f>VLOOKUP(B142,'Player Data'!$A1:$AE734,13,FALSE)*$Q142</f>
        <v>2.9062874063566659</v>
      </c>
      <c r="Z142" s="40">
        <f>VLOOKUP(B142,'Player Data'!$A1:$AE734,14,FALSE)*$Q142</f>
        <v>3.0412031962894819</v>
      </c>
      <c r="AA142" s="40">
        <f>VLOOKUP(B142,'Player Data'!$A1:$AE734,15,FALSE)*$Q142</f>
        <v>31.655887951490573</v>
      </c>
      <c r="AB142" s="40">
        <f>VLOOKUP(B142,'Player Data'!$A1:$AE734,16,FALSE)*$Q142</f>
        <v>108.00172179604489</v>
      </c>
      <c r="AC142" s="40">
        <f>VLOOKUP(B142,'Player Data'!$A1:$AE734,17,FALSE)*$Q142*IFERROR((VLOOKUP(P142,Settings!$E$28:$F$33,2,FALSE)+1),1)</f>
        <v>8.0627565709944019E-2</v>
      </c>
      <c r="AD142" s="40">
        <f>VLOOKUP(B142,'Player Data'!$A1:$AE734,18,FALSE)*$Q142</f>
        <v>45.228845718830783</v>
      </c>
      <c r="AE142" s="40">
        <f>VLOOKUP(B142,'Player Data'!$A1:$AE734,19,FALSE)*$Q142*IFERROR((VLOOKUP(P142,Settings!$E$28:$F$33,2,FALSE)+1),1)</f>
        <v>5.3548320890038594</v>
      </c>
      <c r="AF142" s="40">
        <f>VLOOKUP(B142,'Player Data'!$A1:$AE734,20,FALSE)*$Q142</f>
        <v>22.563575983958934</v>
      </c>
      <c r="AG142" s="40">
        <f>VLOOKUP(B142,'Player Data'!$A1:$AE734,21,FALSE)*$Q142</f>
        <v>34.455284196766264</v>
      </c>
      <c r="AH142" s="41">
        <f>VLOOKUP(B142,'Player Data'!$A1:$AE734,22,FALSE)</f>
        <v>0.39572127384591899</v>
      </c>
      <c r="AI142" s="38"/>
      <c r="AJ142" s="42"/>
      <c r="AK142" s="40"/>
      <c r="AL142" s="40"/>
      <c r="AM142" s="40"/>
      <c r="AN142" s="40"/>
      <c r="AO142" s="40"/>
      <c r="AP142" s="40"/>
      <c r="AQ142" s="43"/>
      <c r="AR142" s="44"/>
      <c r="AS142" s="38"/>
    </row>
    <row r="143" spans="1:45" ht="21.2" customHeight="1">
      <c r="A143" s="181">
        <f t="shared" si="12"/>
        <v>142</v>
      </c>
      <c r="B143" s="8" t="s">
        <v>373</v>
      </c>
      <c r="C143" s="31" t="s">
        <v>104</v>
      </c>
      <c r="D143" s="32" t="str">
        <f>VLOOKUP(B143,'Player Data'!A1:D734,4,FALSE)</f>
        <v>G</v>
      </c>
      <c r="E143" s="50">
        <f>VLOOKUP(B143,G!A1:D75,3,FALSE)</f>
        <v>23</v>
      </c>
      <c r="F143" s="34" t="str">
        <f>VLOOKUP(B143,'Player Data'!A1:B734,2,FALSE)</f>
        <v>CAR</v>
      </c>
      <c r="G143" s="9">
        <f>VLOOKUP(B143,'Player Data'!A1:D734,3,FALSE)</f>
        <v>33</v>
      </c>
      <c r="H143" s="35">
        <f>IFERROR(VLOOKUP(B143,ADP!A1:G731,7,FALSE)/1000000,VLOOKUP(B143,ADP!A1:G731,7,FALSE))</f>
        <v>3.4</v>
      </c>
      <c r="I143" s="36">
        <f>IF(Settings!$E$15="POINTS",(AJ143*Settings!$B$29)+(AK143*Settings!$B$21)+(AL143*Settings!$B$22)+(AN143*Settings!$B$24)+(AO143*Settings!$B$25)+(AP143*Settings!$B$27)+(AM143*Settings!$B$23),VLOOKUP(B143,'Standard Deviations'!A1:C731,3,FALSE))</f>
        <v>1.2585302140310204</v>
      </c>
      <c r="J143" s="37">
        <f t="shared" si="13"/>
        <v>3.0695858878805375E-2</v>
      </c>
      <c r="K143" s="183">
        <f>VLOOKUP(B143,G!A1:F75,6,FALSE)</f>
        <v>-0.44569883715927117</v>
      </c>
      <c r="L143" s="36">
        <f t="shared" si="14"/>
        <v>-0.13108789328213857</v>
      </c>
      <c r="M143" s="38">
        <f>IF(Settings!$E$9="YAHOO",VLOOKUP(B143,ADP!A1:E731,2,FALSE),IF(Settings!$E$9="ESPN",VLOOKUP(B143,ADP!A1:E731,3,FALSE),IF(Settings!$E$9="FANTRAX",VLOOKUP(B143,ADP!A1:E731,4,FALSE),VLOOKUP(B143,ADP!A1:E731,5,FALSE))))</f>
        <v>168.13</v>
      </c>
      <c r="N143" s="38">
        <f t="shared" si="15"/>
        <v>26.129999999999995</v>
      </c>
      <c r="O143" s="38"/>
      <c r="P143" s="39" t="str">
        <f>IF(Settings!$E$27="ON",_xlfn.XLOOKUP(B143,ADP!A2:A731,ADP!H2:H731)," ")</f>
        <v xml:space="preserve"> </v>
      </c>
      <c r="Q143" s="40"/>
      <c r="R143" s="51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1"/>
      <c r="AI143" s="38"/>
      <c r="AJ143" s="42">
        <f>VLOOKUP(B143,'Player Data'!$A1:$AE734,24,FALSE)</f>
        <v>41</v>
      </c>
      <c r="AK143" s="40">
        <f>VLOOKUP(B143,'Player Data'!$A1:$AE734,25,FALSE)*$AJ143*IFERROR((VLOOKUP(P143,Settings!$E$28:$F$33,2,FALSE)+1),1)</f>
        <v>25.993400886672049</v>
      </c>
      <c r="AL143" s="40">
        <f>AJ143-AK143-AM143</f>
        <v>9.881599113327951</v>
      </c>
      <c r="AM143" s="40">
        <f>VLOOKUP(B143,'Player Data'!$A1:$AE734,27,FALSE)*$AJ143</f>
        <v>5.125</v>
      </c>
      <c r="AN143" s="40">
        <f>VLOOKUP(B143,'Player Data'!$A1:$AE734,28,FALSE)*AJ143</f>
        <v>2.5800565552001626</v>
      </c>
      <c r="AO143" s="40">
        <f>VLOOKUP(B143,'Player Data'!$A1:$AE734,29,FALSE)*$AJ143*IFERROR((VLOOKUP(P143,Settings!$E$28:$F$33,2,FALSE)/4)+1,1)</f>
        <v>1108.2729399605714</v>
      </c>
      <c r="AP143" s="40">
        <f>VLOOKUP(B143,'Player Data'!$A1:$AE734,31,FALSE)*$AJ143*(IFERROR(1-(VLOOKUP(P143,Settings!$E$28:$F$33,2,FALSE)/4),1))</f>
        <v>111.55423357067851</v>
      </c>
      <c r="AQ143" s="43">
        <f>1-(AP143/(AO143+AP143))</f>
        <v>0.90854914860787805</v>
      </c>
      <c r="AR143" s="44">
        <f>AP143/AJ143</f>
        <v>2.7208349651385002</v>
      </c>
      <c r="AS143" s="38"/>
    </row>
    <row r="144" spans="1:45" ht="21.2" customHeight="1">
      <c r="A144" s="181">
        <f t="shared" si="12"/>
        <v>143</v>
      </c>
      <c r="B144" s="8" t="s">
        <v>282</v>
      </c>
      <c r="C144" s="31" t="s">
        <v>104</v>
      </c>
      <c r="D144" s="32" t="str">
        <f>VLOOKUP(B144,'Player Data'!A1:D734,4,FALSE)</f>
        <v>G</v>
      </c>
      <c r="E144" s="50">
        <f>VLOOKUP(B144,G!A1:D75,3,FALSE)</f>
        <v>24</v>
      </c>
      <c r="F144" s="34" t="str">
        <f>VLOOKUP(B144,'Player Data'!A1:B734,2,FALSE)</f>
        <v>TBL</v>
      </c>
      <c r="G144" s="9">
        <f>VLOOKUP(B144,'Player Data'!A1:D734,3,FALSE)</f>
        <v>29</v>
      </c>
      <c r="H144" s="35">
        <f>IFERROR(VLOOKUP(B144,ADP!A1:G731,7,FALSE)/1000000,VLOOKUP(B144,ADP!A1:G731,7,FALSE))</f>
        <v>9.5</v>
      </c>
      <c r="I144" s="36">
        <f>IF(Settings!$E$15="POINTS",(AJ144*Settings!$B$29)+(AK144*Settings!$B$21)+(AL144*Settings!$B$22)+(AN144*Settings!$B$24)+(AO144*Settings!$B$25)+(AP144*Settings!$B$27)+(AM144*Settings!$B$23),VLOOKUP(B144,'Standard Deviations'!A1:C731,3,FALSE))</f>
        <v>1.2580547883083208</v>
      </c>
      <c r="J144" s="37">
        <f t="shared" si="13"/>
        <v>2.9953685435912401E-2</v>
      </c>
      <c r="K144" s="183">
        <f>VLOOKUP(B144,G!A1:F75,6,FALSE)</f>
        <v>-0.44617426288197071</v>
      </c>
      <c r="L144" s="36">
        <f t="shared" si="14"/>
        <v>-4.6965711882312709E-2</v>
      </c>
      <c r="M144" s="38">
        <f>IF(Settings!$E$9="YAHOO",VLOOKUP(B144,ADP!A1:E731,2,FALSE),IF(Settings!$E$9="ESPN",VLOOKUP(B144,ADP!A1:E731,3,FALSE),IF(Settings!$E$9="FANTRAX",VLOOKUP(B144,ADP!A1:E731,4,FALSE),VLOOKUP(B144,ADP!A1:E731,5,FALSE))))</f>
        <v>51.77</v>
      </c>
      <c r="N144" s="38">
        <f t="shared" si="15"/>
        <v>-91.22999999999999</v>
      </c>
      <c r="O144" s="38"/>
      <c r="P144" s="39" t="str">
        <f>IF(Settings!$E$27="ON",_xlfn.XLOOKUP(B144,ADP!A2:A731,ADP!H2:H731)," ")</f>
        <v xml:space="preserve"> </v>
      </c>
      <c r="Q144" s="40"/>
      <c r="R144" s="51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1"/>
      <c r="AI144" s="38"/>
      <c r="AJ144" s="42">
        <f>VLOOKUP(B144,'Player Data'!$A1:$AE734,24,FALSE)</f>
        <v>42</v>
      </c>
      <c r="AK144" s="40">
        <f>VLOOKUP(B144,'Player Data'!$A1:$AE734,25,FALSE)*$AJ144*IFERROR((VLOOKUP(P144,Settings!$E$28:$F$33,2,FALSE)+1),1)</f>
        <v>23.905597675340513</v>
      </c>
      <c r="AL144" s="40">
        <f>AJ144-AK144-AM144</f>
        <v>12.844402324659487</v>
      </c>
      <c r="AM144" s="40">
        <f>VLOOKUP(B144,'Player Data'!$A1:$AE734,27,FALSE)*$AJ144</f>
        <v>5.25</v>
      </c>
      <c r="AN144" s="40">
        <f>VLOOKUP(B144,'Player Data'!$A1:$AE734,28,FALSE)*AJ144</f>
        <v>2.9797691948554195</v>
      </c>
      <c r="AO144" s="40">
        <f>VLOOKUP(B144,'Player Data'!$A1:$AE734,29,FALSE)*$AJ144*IFERROR((VLOOKUP(P144,Settings!$E$28:$F$33,2,FALSE)/4)+1,1)</f>
        <v>1210.3401584572032</v>
      </c>
      <c r="AP144" s="40">
        <f>VLOOKUP(B144,'Player Data'!$A1:$AE734,31,FALSE)*$AJ144*(IFERROR(1-(VLOOKUP(P144,Settings!$E$28:$F$33,2,FALSE)/4),1))</f>
        <v>109.86689535529553</v>
      </c>
      <c r="AQ144" s="43">
        <f>1-(AP144/(AO144+AP144))</f>
        <v>0.91678055723303287</v>
      </c>
      <c r="AR144" s="44">
        <f>AP144/AJ144</f>
        <v>2.6158784608403698</v>
      </c>
      <c r="AS144" s="38"/>
    </row>
    <row r="145" spans="1:45" ht="21.2" customHeight="1">
      <c r="A145" s="181">
        <f t="shared" si="12"/>
        <v>144</v>
      </c>
      <c r="B145" s="8" t="s">
        <v>361</v>
      </c>
      <c r="C145" s="31" t="s">
        <v>104</v>
      </c>
      <c r="D145" s="32" t="str">
        <f>VLOOKUP(B145,'Player Data'!A1:D734,4,FALSE)</f>
        <v>G</v>
      </c>
      <c r="E145" s="50">
        <f>VLOOKUP(B145,G!A1:D75,3,FALSE)</f>
        <v>25</v>
      </c>
      <c r="F145" s="34" t="str">
        <f>VLOOKUP(B145,'Player Data'!A1:B734,2,FALSE)</f>
        <v>OTT</v>
      </c>
      <c r="G145" s="9">
        <f>VLOOKUP(B145,'Player Data'!A1:D734,3,FALSE)</f>
        <v>29</v>
      </c>
      <c r="H145" s="35">
        <f>IFERROR(VLOOKUP(B145,ADP!A1:G731,7,FALSE)/1000000,VLOOKUP(B145,ADP!A1:G731,7,FALSE))</f>
        <v>0</v>
      </c>
      <c r="I145" s="36">
        <f>IF(Settings!$E$15="POINTS",(AJ145*Settings!$B$29)+(AK145*Settings!$B$21)+(AL145*Settings!$B$22)+(AN145*Settings!$B$24)+(AO145*Settings!$B$25)+(AP145*Settings!$B$27)+(AM145*Settings!$B$23),VLOOKUP(B145,'Standard Deviations'!A1:C731,3,FALSE))</f>
        <v>1.1937284377781698</v>
      </c>
      <c r="J145" s="37">
        <f t="shared" si="13"/>
        <v>2.7130191767685677E-2</v>
      </c>
      <c r="K145" s="183">
        <f>VLOOKUP(B145,G!A1:F75,6,FALSE)</f>
        <v>-0.51050061341212172</v>
      </c>
      <c r="L145" s="49" t="str">
        <f t="shared" si="14"/>
        <v>N/A</v>
      </c>
      <c r="M145" s="38">
        <f>IF(Settings!$E$9="YAHOO",VLOOKUP(B145,ADP!A1:E731,2,FALSE),IF(Settings!$E$9="ESPN",VLOOKUP(B145,ADP!A1:E731,3,FALSE),IF(Settings!$E$9="FANTRAX",VLOOKUP(B145,ADP!A1:E731,4,FALSE),VLOOKUP(B145,ADP!A1:E731,5,FALSE))))</f>
        <v>178.36</v>
      </c>
      <c r="N145" s="38">
        <f t="shared" si="15"/>
        <v>34.360000000000014</v>
      </c>
      <c r="O145" s="38"/>
      <c r="P145" s="39" t="str">
        <f>IF(Settings!$E$27="ON",_xlfn.XLOOKUP(B145,ADP!A2:A731,ADP!H2:H731)," ")</f>
        <v xml:space="preserve"> </v>
      </c>
      <c r="Q145" s="40"/>
      <c r="R145" s="51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1"/>
      <c r="AI145" s="38"/>
      <c r="AJ145" s="42">
        <f>VLOOKUP(B145,'Player Data'!$A1:$AE734,24,FALSE)</f>
        <v>44</v>
      </c>
      <c r="AK145" s="40">
        <f>VLOOKUP(B145,'Player Data'!$A1:$AE734,25,FALSE)*$AJ145*IFERROR((VLOOKUP(P145,Settings!$E$28:$F$33,2,FALSE)+1),1)</f>
        <v>23.024288042785567</v>
      </c>
      <c r="AL145" s="40">
        <f>AJ145-AK145-AM145</f>
        <v>15.475711957214433</v>
      </c>
      <c r="AM145" s="40">
        <f>VLOOKUP(B145,'Player Data'!$A1:$AE734,27,FALSE)*$AJ145</f>
        <v>5.5</v>
      </c>
      <c r="AN145" s="40">
        <f>VLOOKUP(B145,'Player Data'!$A1:$AE734,28,FALSE)*AJ145</f>
        <v>2.3230609911292253</v>
      </c>
      <c r="AO145" s="40">
        <f>VLOOKUP(B145,'Player Data'!$A1:$AE734,29,FALSE)*$AJ145*IFERROR((VLOOKUP(P145,Settings!$E$28:$F$33,2,FALSE)/4)+1,1)</f>
        <v>1224.7152186672656</v>
      </c>
      <c r="AP145" s="40">
        <f>VLOOKUP(B145,'Player Data'!$A1:$AE734,31,FALSE)*$AJ145*(IFERROR(1-(VLOOKUP(P145,Settings!$E$28:$F$33,2,FALSE)/4),1))</f>
        <v>125.55155770773263</v>
      </c>
      <c r="AQ145" s="43">
        <f>1-(AP145/(AO145+AP145))</f>
        <v>0.90701722066746293</v>
      </c>
      <c r="AR145" s="44">
        <f>AP145/AJ145</f>
        <v>2.8534444933575598</v>
      </c>
      <c r="AS145" s="38"/>
    </row>
    <row r="146" spans="1:45" ht="21.2" customHeight="1">
      <c r="A146" s="181">
        <f t="shared" si="12"/>
        <v>145</v>
      </c>
      <c r="B146" s="8" t="s">
        <v>217</v>
      </c>
      <c r="C146" s="31" t="s">
        <v>104</v>
      </c>
      <c r="D146" s="32" t="str">
        <f>VLOOKUP(B146,'Player Data'!A1:D734,4,FALSE)</f>
        <v>C,LW,RW</v>
      </c>
      <c r="E146" s="45">
        <f>VLOOKUP(B146,RW!A1:F189,3,FALSE)</f>
        <v>38</v>
      </c>
      <c r="F146" s="34" t="str">
        <f>VLOOKUP(B146,'Player Data'!A1:B734,2,FALSE)</f>
        <v>OTT</v>
      </c>
      <c r="G146" s="9">
        <f>VLOOKUP(B146,'Player Data'!A1:D734,3,FALSE)</f>
        <v>35</v>
      </c>
      <c r="H146" s="35">
        <f>IFERROR(VLOOKUP(B146,ADP!A1:G731,7,FALSE)/1000000,VLOOKUP(B146,ADP!A1:G731,7,FALSE))</f>
        <v>6.5</v>
      </c>
      <c r="I146" s="36">
        <f>IF(Settings!$E$15="POINTS",((R146*Q146)*Settings!$B$12)+(S146*Settings!$B$2)+(T146*Settings!$B$3)+(U146*Settings!$B$4)+(V146*Settings!$B$5)+(X146*Settings!$B$9)+(AA146*Settings!$B$6)+(W146*Settings!$B$8)+(AB146*Settings!$B$7)+(AC146*Settings!$B$14)+(AD146*Settings!$B$15)+(AE146*Settings!$B$16)+(AF146*Settings!$B$17)+(AG146*Settings!$B$18)+(Y146*Settings!$B$10)+(Z146*Settings!$B$11),VLOOKUP(B146,'Standard Deviations'!A1:C731,3,FALSE))</f>
        <v>5.7530863445599101</v>
      </c>
      <c r="J146" s="37">
        <f t="shared" si="13"/>
        <v>7.0159589567803785E-2</v>
      </c>
      <c r="K146" s="183">
        <f>IF(Settings!$E$18="C/LW/RW",VLOOKUP(B146,RW!A1:F189,6,FALSE),VLOOKUP(B146,F!A1:F431,6,FALSE))</f>
        <v>-0.52717237445117071</v>
      </c>
      <c r="L146" s="36">
        <f t="shared" si="14"/>
        <v>-8.1103442223257036E-2</v>
      </c>
      <c r="M146" s="38">
        <f>IF(Settings!$E$9="YAHOO",VLOOKUP(B146,ADP!A1:E731,2,FALSE),IF(Settings!$E$9="ESPN",VLOOKUP(B146,ADP!A1:E731,3,FALSE),IF(Settings!$E$9="FANTRAX",VLOOKUP(B146,ADP!A1:E731,4,FALSE),VLOOKUP(B146,ADP!A1:E731,5,FALSE))))</f>
        <v>80.63</v>
      </c>
      <c r="N146" s="38">
        <f t="shared" si="15"/>
        <v>-64.37</v>
      </c>
      <c r="O146" s="38"/>
      <c r="P146" s="39" t="str">
        <f>IF(Settings!$E$27="ON",_xlfn.XLOOKUP(B146,ADP!A2:A731,ADP!H2:H731)," ")</f>
        <v xml:space="preserve"> </v>
      </c>
      <c r="Q146" s="40">
        <f>IF(Settings!$E$12="YES",VLOOKUP(B146,'Player Data'!A1:E734,5,FALSE),82)</f>
        <v>82</v>
      </c>
      <c r="R146" s="38">
        <f>VLOOKUP(B146,'Player Data'!$A1:$AE734,6,FALSE)</f>
        <v>18.168366330030398</v>
      </c>
      <c r="S146" s="40">
        <f>VLOOKUP(B146,'Player Data'!$A1:$AE734,7,FALSE)*$Q146*IFERROR((VLOOKUP(P146,Settings!$E$28:$F$33,2,FALSE)+1),1)</f>
        <v>25.996704325115559</v>
      </c>
      <c r="T146" s="40">
        <f>VLOOKUP(B146,'Player Data'!$A1:$AE734,8,FALSE)*$Q146*IFERROR((VLOOKUP(P146,Settings!$E$28:$F$33,2,FALSE)+1),1)</f>
        <v>38.670952892488238</v>
      </c>
      <c r="U146" s="40">
        <f>SUM(S146:T146)</f>
        <v>64.667657217603789</v>
      </c>
      <c r="V146" s="40">
        <f>VLOOKUP(B146,'Player Data'!$A1:$AE734,10,FALSE)*$Q146*IFERROR(((VLOOKUP(P146,Settings!$E$28:$F$33,2,FALSE)/2)+1),1)</f>
        <v>217.19367988231227</v>
      </c>
      <c r="W146" s="40">
        <f>VLOOKUP(B146,'Player Data'!$A1:$AE734,11,FALSE)*$Q146*IFERROR((VLOOKUP(P146,Settings!$E$28:$F$33,2,FALSE)+1),1)</f>
        <v>5.2344315138152311</v>
      </c>
      <c r="X146" s="40">
        <f>VLOOKUP(B146,'Player Data'!$A1:$AE734,12,FALSE)*$Q146*IFERROR((VLOOKUP(P146,Settings!$E$28:$F$33,2,FALSE)+1),1)</f>
        <v>20.699772240279515</v>
      </c>
      <c r="Y146" s="40">
        <f>VLOOKUP(B146,'Player Data'!$A1:$AE734,13,FALSE)*$Q146</f>
        <v>-1.9792952897365185E-2</v>
      </c>
      <c r="Z146" s="40">
        <f>VLOOKUP(B146,'Player Data'!$A1:$AE734,14,FALSE)*$Q146</f>
        <v>-0.12823430490723603</v>
      </c>
      <c r="AA146" s="40">
        <f>VLOOKUP(B146,'Player Data'!$A1:$AE734,15,FALSE)*$Q146</f>
        <v>27.45318556541466</v>
      </c>
      <c r="AB146" s="40">
        <f>VLOOKUP(B146,'Player Data'!$A1:$AE734,16,FALSE)*$Q146</f>
        <v>74.90880025279418</v>
      </c>
      <c r="AC146" s="40">
        <f>VLOOKUP(B146,'Player Data'!$A1:$AE734,17,FALSE)*$Q146*IFERROR((VLOOKUP(P146,Settings!$E$28:$F$33,2,FALSE)+1),1)</f>
        <v>3.812624787510916</v>
      </c>
      <c r="AD146" s="40">
        <f>VLOOKUP(B146,'Player Data'!$A1:$AE734,18,FALSE)*$Q146</f>
        <v>29.718828469031873</v>
      </c>
      <c r="AE146" s="40">
        <f>VLOOKUP(B146,'Player Data'!$A1:$AE734,19,FALSE)*$Q146*IFERROR((VLOOKUP(P146,Settings!$E$28:$F$33,2,FALSE)+1),1)</f>
        <v>3.9095379885150612</v>
      </c>
      <c r="AF146" s="40">
        <f>VLOOKUP(B146,'Player Data'!$A1:$AE734,20,FALSE)*$Q146</f>
        <v>710.42061314591228</v>
      </c>
      <c r="AG146" s="40">
        <f>VLOOKUP(B146,'Player Data'!$A1:$AE734,21,FALSE)*$Q146</f>
        <v>487.94027603484284</v>
      </c>
      <c r="AH146" s="41">
        <f>VLOOKUP(B146,'Player Data'!$A1:$AE734,22,FALSE)</f>
        <v>0.592826935157724</v>
      </c>
      <c r="AI146" s="38"/>
      <c r="AJ146" s="42"/>
      <c r="AK146" s="40"/>
      <c r="AL146" s="40"/>
      <c r="AM146" s="40"/>
      <c r="AN146" s="40"/>
      <c r="AO146" s="40"/>
      <c r="AP146" s="40"/>
      <c r="AQ146" s="43"/>
      <c r="AR146" s="44"/>
      <c r="AS146" s="38"/>
    </row>
    <row r="147" spans="1:45" ht="21.2" customHeight="1">
      <c r="A147" s="181">
        <f t="shared" si="12"/>
        <v>146</v>
      </c>
      <c r="B147" s="8" t="s">
        <v>245</v>
      </c>
      <c r="C147" s="31" t="s">
        <v>104</v>
      </c>
      <c r="D147" s="32" t="str">
        <f>VLOOKUP(B147,'Player Data'!A1:D734,4,FALSE)</f>
        <v>C</v>
      </c>
      <c r="E147" s="33">
        <f>VLOOKUP(B147,'C'!A1:C208,3,FALSE)</f>
        <v>41</v>
      </c>
      <c r="F147" s="34" t="str">
        <f>VLOOKUP(B147,'Player Data'!A1:B734,2,FALSE)</f>
        <v>SJS</v>
      </c>
      <c r="G147" s="9">
        <f>VLOOKUP(B147,'Player Data'!A1:D734,3,FALSE)</f>
        <v>29</v>
      </c>
      <c r="H147" s="35">
        <f>IFERROR(VLOOKUP(B147,ADP!A1:G731,7,FALSE)/1000000,VLOOKUP(B147,ADP!A1:G731,7,FALSE))</f>
        <v>8.1374999999999993</v>
      </c>
      <c r="I147" s="36">
        <f>IF(Settings!$E$15="POINTS",((R147*Q147)*Settings!$B$12)+(S147*Settings!$B$2)+(T147*Settings!$B$3)+(U147*Settings!$B$4)+(V147*Settings!$B$5)+(X147*Settings!$B$9)+(AA147*Settings!$B$6)+(W147*Settings!$B$8)+(AB147*Settings!$B$7)+(AC147*Settings!$B$14)+(AD147*Settings!$B$15)+(AE147*Settings!$B$16)+(AF147*Settings!$B$17)+(AG147*Settings!$B$18)+(Y147*Settings!$B$10)+(Z147*Settings!$B$11),VLOOKUP(B147,'Standard Deviations'!A1:C731,3,FALSE))</f>
        <v>5.7253304720063483</v>
      </c>
      <c r="J147" s="37">
        <f t="shared" si="13"/>
        <v>6.9821103317150593E-2</v>
      </c>
      <c r="K147" s="183">
        <f>IF(Settings!$E$18="C/LW/RW",VLOOKUP(B147,'C'!A1:F208,6,FALSE),VLOOKUP(B147,F!A1:F431,6,FALSE))</f>
        <v>-0.6117202522002545</v>
      </c>
      <c r="L147" s="36">
        <f t="shared" si="14"/>
        <v>-7.5172995662089653E-2</v>
      </c>
      <c r="M147" s="38">
        <f>IF(Settings!$E$9="YAHOO",VLOOKUP(B147,ADP!A1:E731,2,FALSE),IF(Settings!$E$9="ESPN",VLOOKUP(B147,ADP!A1:E731,3,FALSE),IF(Settings!$E$9="FANTRAX",VLOOKUP(B147,ADP!A1:E731,4,FALSE),VLOOKUP(B147,ADP!A1:E731,5,FALSE))))</f>
        <v>160.38999999999999</v>
      </c>
      <c r="N147" s="38">
        <f t="shared" si="15"/>
        <v>14.389999999999986</v>
      </c>
      <c r="O147" s="38"/>
      <c r="P147" s="39" t="str">
        <f>IF(Settings!$E$27="ON",_xlfn.XLOOKUP(B147,ADP!A2:A731,ADP!H2:H731)," ")</f>
        <v>-</v>
      </c>
      <c r="Q147" s="40">
        <f>IF(Settings!$E$12="YES",VLOOKUP(B147,'Player Data'!A1:E734,5,FALSE),82)</f>
        <v>82</v>
      </c>
      <c r="R147" s="38">
        <f>VLOOKUP(B147,'Player Data'!$A1:$AE734,6,FALSE)</f>
        <v>19.537001479372499</v>
      </c>
      <c r="S147" s="40">
        <f>VLOOKUP(B147,'Player Data'!$A1:$AE734,7,FALSE)*$Q147*IFERROR((VLOOKUP(P147,Settings!$E$28:$F$33,2,FALSE)+1),1)</f>
        <v>26.276509474514022</v>
      </c>
      <c r="T147" s="40">
        <f>VLOOKUP(B147,'Player Data'!$A1:$AE734,8,FALSE)*$Q147*IFERROR((VLOOKUP(P147,Settings!$E$28:$F$33,2,FALSE)+1),1)</f>
        <v>40.106449222791177</v>
      </c>
      <c r="U147" s="40">
        <f>SUM(S147:T147)</f>
        <v>66.382958697305199</v>
      </c>
      <c r="V147" s="40">
        <f>VLOOKUP(B147,'Player Data'!$A1:$AE734,10,FALSE)*$Q147*IFERROR(((VLOOKUP(P147,Settings!$E$28:$F$33,2,FALSE)/2)+1),1)</f>
        <v>196.24547720294436</v>
      </c>
      <c r="W147" s="40">
        <f>VLOOKUP(B147,'Player Data'!$A1:$AE734,11,FALSE)*$Q147*IFERROR((VLOOKUP(P147,Settings!$E$28:$F$33,2,FALSE)+1),1)</f>
        <v>6.8282297088093618</v>
      </c>
      <c r="X147" s="40">
        <f>VLOOKUP(B147,'Player Data'!$A1:$AE734,12,FALSE)*$Q147*IFERROR((VLOOKUP(P147,Settings!$E$28:$F$33,2,FALSE)+1),1)</f>
        <v>21.869043448858271</v>
      </c>
      <c r="Y147" s="40">
        <f>VLOOKUP(B147,'Player Data'!$A1:$AE734,13,FALSE)*$Q147</f>
        <v>5.4746074008799023E-2</v>
      </c>
      <c r="Z147" s="40">
        <f>VLOOKUP(B147,'Player Data'!$A1:$AE734,14,FALSE)*$Q147</f>
        <v>0.13283180205255593</v>
      </c>
      <c r="AA147" s="40">
        <f>VLOOKUP(B147,'Player Data'!$A1:$AE734,15,FALSE)*$Q147</f>
        <v>55.166782028737032</v>
      </c>
      <c r="AB147" s="40">
        <f>VLOOKUP(B147,'Player Data'!$A1:$AE734,16,FALSE)*$Q147</f>
        <v>92.125014118527318</v>
      </c>
      <c r="AC147" s="40">
        <f>VLOOKUP(B147,'Player Data'!$A1:$AE734,17,FALSE)*$Q147*IFERROR((VLOOKUP(P147,Settings!$E$28:$F$33,2,FALSE)+1),1)</f>
        <v>0.50818723140737598</v>
      </c>
      <c r="AD147" s="40">
        <f>VLOOKUP(B147,'Player Data'!$A1:$AE734,18,FALSE)*$Q147</f>
        <v>39.22196067898102</v>
      </c>
      <c r="AE147" s="40">
        <f>VLOOKUP(B147,'Player Data'!$A1:$AE734,19,FALSE)*$Q147*IFERROR((VLOOKUP(P147,Settings!$E$28:$F$33,2,FALSE)+1),1)</f>
        <v>3.2623798574209464</v>
      </c>
      <c r="AF147" s="40">
        <f>VLOOKUP(B147,'Player Data'!$A1:$AE734,20,FALSE)*$Q147</f>
        <v>810.1337967295392</v>
      </c>
      <c r="AG147" s="40">
        <f>VLOOKUP(B147,'Player Data'!$A1:$AE734,21,FALSE)*$Q147</f>
        <v>691.03385750245627</v>
      </c>
      <c r="AH147" s="41">
        <f>VLOOKUP(B147,'Player Data'!$A1:$AE734,22,FALSE)</f>
        <v>0.53966909988079104</v>
      </c>
      <c r="AI147" s="38"/>
      <c r="AJ147" s="42"/>
      <c r="AK147" s="40"/>
      <c r="AL147" s="40"/>
      <c r="AM147" s="40"/>
      <c r="AN147" s="40"/>
      <c r="AO147" s="40"/>
      <c r="AP147" s="40"/>
      <c r="AQ147" s="43"/>
      <c r="AR147" s="44"/>
      <c r="AS147" s="38"/>
    </row>
    <row r="148" spans="1:45" ht="21.2" customHeight="1">
      <c r="A148" s="181">
        <f t="shared" si="12"/>
        <v>147</v>
      </c>
      <c r="B148" s="8" t="s">
        <v>229</v>
      </c>
      <c r="C148" s="31" t="s">
        <v>104</v>
      </c>
      <c r="D148" s="32" t="str">
        <f>VLOOKUP(B148,'Player Data'!A1:D734,4,FALSE)</f>
        <v>C</v>
      </c>
      <c r="E148" s="33">
        <f>VLOOKUP(B148,'C'!A1:C208,3,FALSE)</f>
        <v>42</v>
      </c>
      <c r="F148" s="34" t="str">
        <f>VLOOKUP(B148,'Player Data'!A1:B734,2,FALSE)</f>
        <v>MTL</v>
      </c>
      <c r="G148" s="9">
        <f>VLOOKUP(B148,'Player Data'!A1:D734,3,FALSE)</f>
        <v>24</v>
      </c>
      <c r="H148" s="35">
        <f>IFERROR(VLOOKUP(B148,ADP!A1:G731,7,FALSE)/1000000,VLOOKUP(B148,ADP!A1:G731,7,FALSE))</f>
        <v>7.875</v>
      </c>
      <c r="I148" s="36">
        <f>IF(Settings!$E$15="POINTS",((R148*Q148)*Settings!$B$12)+(S148*Settings!$B$2)+(T148*Settings!$B$3)+(U148*Settings!$B$4)+(V148*Settings!$B$5)+(X148*Settings!$B$9)+(AA148*Settings!$B$6)+(W148*Settings!$B$8)+(AB148*Settings!$B$7)+(AC148*Settings!$B$14)+(AD148*Settings!$B$15)+(AE148*Settings!$B$16)+(AF148*Settings!$B$17)+(AG148*Settings!$B$18)+(Y148*Settings!$B$10)+(Z148*Settings!$B$11),VLOOKUP(B148,'Standard Deviations'!A1:C731,3,FALSE))</f>
        <v>5.6526972314709631</v>
      </c>
      <c r="J148" s="37">
        <f t="shared" si="13"/>
        <v>6.8935332091109303E-2</v>
      </c>
      <c r="K148" s="183">
        <f>IF(Settings!$E$18="C/LW/RW",VLOOKUP(B148,'C'!A1:F208,6,FALSE),VLOOKUP(B148,F!A1:F431,6,FALSE))</f>
        <v>-0.68435349273563961</v>
      </c>
      <c r="L148" s="36">
        <f t="shared" si="14"/>
        <v>-8.6902030823573284E-2</v>
      </c>
      <c r="M148" s="38">
        <f>IF(Settings!$E$9="YAHOO",VLOOKUP(B148,ADP!A1:E731,2,FALSE),IF(Settings!$E$9="ESPN",VLOOKUP(B148,ADP!A1:E731,3,FALSE),IF(Settings!$E$9="FANTRAX",VLOOKUP(B148,ADP!A1:E731,4,FALSE),VLOOKUP(B148,ADP!A1:E731,5,FALSE))))</f>
        <v>136.04</v>
      </c>
      <c r="N148" s="38">
        <f t="shared" si="15"/>
        <v>-10.960000000000008</v>
      </c>
      <c r="O148" s="38"/>
      <c r="P148" s="39" t="str">
        <f>IF(Settings!$E$27="ON",_xlfn.XLOOKUP(B148,ADP!A2:A731,ADP!H2:H731)," ")</f>
        <v xml:space="preserve"> </v>
      </c>
      <c r="Q148" s="40">
        <f>IF(Settings!$E$12="YES",VLOOKUP(B148,'Player Data'!A1:E734,5,FALSE),82)</f>
        <v>82</v>
      </c>
      <c r="R148" s="38">
        <f>VLOOKUP(B148,'Player Data'!$A1:$AE734,6,FALSE)</f>
        <v>20.9974186128049</v>
      </c>
      <c r="S148" s="40">
        <f>VLOOKUP(B148,'Player Data'!$A1:$AE734,7,FALSE)*$Q148*IFERROR((VLOOKUP(P148,Settings!$E$28:$F$33,2,FALSE)+1),1)</f>
        <v>26.669724278361066</v>
      </c>
      <c r="T148" s="40">
        <f>VLOOKUP(B148,'Player Data'!$A1:$AE734,8,FALSE)*$Q148*IFERROR((VLOOKUP(P148,Settings!$E$28:$F$33,2,FALSE)+1),1)</f>
        <v>43.174737002538535</v>
      </c>
      <c r="U148" s="40">
        <f>SUM(S148:T148)</f>
        <v>69.844461280899594</v>
      </c>
      <c r="V148" s="40">
        <f>VLOOKUP(B148,'Player Data'!$A1:$AE734,10,FALSE)*$Q148*IFERROR(((VLOOKUP(P148,Settings!$E$28:$F$33,2,FALSE)/2)+1),1)</f>
        <v>177.05159194460398</v>
      </c>
      <c r="W148" s="40">
        <f>VLOOKUP(B148,'Player Data'!$A1:$AE734,11,FALSE)*$Q148*IFERROR((VLOOKUP(P148,Settings!$E$28:$F$33,2,FALSE)+1),1)</f>
        <v>8.0919118374949921</v>
      </c>
      <c r="X148" s="40">
        <f>VLOOKUP(B148,'Player Data'!$A1:$AE734,12,FALSE)*$Q148*IFERROR((VLOOKUP(P148,Settings!$E$28:$F$33,2,FALSE)+1),1)</f>
        <v>20.236913059634539</v>
      </c>
      <c r="Y148" s="40">
        <f>VLOOKUP(B148,'Player Data'!$A1:$AE734,13,FALSE)*$Q148</f>
        <v>1.6827334162193668</v>
      </c>
      <c r="Z148" s="40">
        <f>VLOOKUP(B148,'Player Data'!$A1:$AE734,14,FALSE)*$Q148</f>
        <v>2.6830482980628076</v>
      </c>
      <c r="AA148" s="40">
        <f>VLOOKUP(B148,'Player Data'!$A1:$AE734,15,FALSE)*$Q148</f>
        <v>56.588812223668683</v>
      </c>
      <c r="AB148" s="40">
        <f>VLOOKUP(B148,'Player Data'!$A1:$AE734,16,FALSE)*$Q148</f>
        <v>63.149578826773705</v>
      </c>
      <c r="AC148" s="40">
        <f>VLOOKUP(B148,'Player Data'!$A1:$AE734,17,FALSE)*$Q148*IFERROR((VLOOKUP(P148,Settings!$E$28:$F$33,2,FALSE)+1),1)</f>
        <v>-9.0018227829479116</v>
      </c>
      <c r="AD148" s="40">
        <f>VLOOKUP(B148,'Player Data'!$A1:$AE734,18,FALSE)*$Q148</f>
        <v>31.066890931105167</v>
      </c>
      <c r="AE148" s="40">
        <f>VLOOKUP(B148,'Player Data'!$A1:$AE734,19,FALSE)*$Q148*IFERROR((VLOOKUP(P148,Settings!$E$28:$F$33,2,FALSE)+1),1)</f>
        <v>2.7321029504302961</v>
      </c>
      <c r="AF148" s="40">
        <f>VLOOKUP(B148,'Player Data'!$A1:$AE734,20,FALSE)*$Q148</f>
        <v>665.5851804993398</v>
      </c>
      <c r="AG148" s="40">
        <f>VLOOKUP(B148,'Player Data'!$A1:$AE734,21,FALSE)*$Q148</f>
        <v>731.90059449321609</v>
      </c>
      <c r="AH148" s="41">
        <f>VLOOKUP(B148,'Player Data'!$A1:$AE734,22,FALSE)</f>
        <v>0.47627331341021001</v>
      </c>
      <c r="AI148" s="38"/>
      <c r="AJ148" s="42"/>
      <c r="AK148" s="40"/>
      <c r="AL148" s="40"/>
      <c r="AM148" s="40"/>
      <c r="AN148" s="40"/>
      <c r="AO148" s="40"/>
      <c r="AP148" s="40"/>
      <c r="AQ148" s="43"/>
      <c r="AR148" s="44"/>
      <c r="AS148" s="38"/>
    </row>
    <row r="149" spans="1:45" ht="21.2" customHeight="1">
      <c r="A149" s="181">
        <f t="shared" si="12"/>
        <v>148</v>
      </c>
      <c r="B149" s="8" t="s">
        <v>383</v>
      </c>
      <c r="C149" s="31" t="s">
        <v>104</v>
      </c>
      <c r="D149" s="32" t="str">
        <f>VLOOKUP(B149,'Player Data'!A1:D734,4,FALSE)</f>
        <v>C</v>
      </c>
      <c r="E149" s="33">
        <f>VLOOKUP(B149,'C'!A1:C208,3,FALSE)</f>
        <v>43</v>
      </c>
      <c r="F149" s="34" t="str">
        <f>VLOOKUP(B149,'Player Data'!A1:B734,2,FALSE)</f>
        <v>PHI</v>
      </c>
      <c r="G149" s="9">
        <f>VLOOKUP(B149,'Player Data'!A1:D734,3,FALSE)</f>
        <v>30</v>
      </c>
      <c r="H149" s="35">
        <f>IFERROR(VLOOKUP(B149,ADP!A1:G731,7,FALSE)/1000000,VLOOKUP(B149,ADP!A1:G731,7,FALSE))</f>
        <v>7.75</v>
      </c>
      <c r="I149" s="36">
        <f>IF(Settings!$E$15="POINTS",((R149*Q149)*Settings!$B$12)+(S149*Settings!$B$2)+(T149*Settings!$B$3)+(U149*Settings!$B$4)+(V149*Settings!$B$5)+(X149*Settings!$B$9)+(AA149*Settings!$B$6)+(W149*Settings!$B$8)+(AB149*Settings!$B$7)+(AC149*Settings!$B$14)+(AD149*Settings!$B$15)+(AE149*Settings!$B$16)+(AF149*Settings!$B$17)+(AG149*Settings!$B$18)+(Y149*Settings!$B$10)+(Z149*Settings!$B$11),VLOOKUP(B149,'Standard Deviations'!A1:C731,3,FALSE))</f>
        <v>5.6205791164881322</v>
      </c>
      <c r="J149" s="37">
        <f t="shared" si="13"/>
        <v>6.8543647762050394E-2</v>
      </c>
      <c r="K149" s="183">
        <f>IF(Settings!$E$18="C/LW/RW",VLOOKUP(B149,'C'!A1:F208,6,FALSE),VLOOKUP(B149,F!A1:F431,6,FALSE))</f>
        <v>-0.71647160771847052</v>
      </c>
      <c r="L149" s="36">
        <f t="shared" si="14"/>
        <v>-9.2447949383028458E-2</v>
      </c>
      <c r="M149" s="38">
        <f>IF(Settings!$E$9="YAHOO",VLOOKUP(B149,ADP!A1:E731,2,FALSE),IF(Settings!$E$9="ESPN",VLOOKUP(B149,ADP!A1:E731,3,FALSE),IF(Settings!$E$9="FANTRAX",VLOOKUP(B149,ADP!A1:E731,4,FALSE),VLOOKUP(B149,ADP!A1:E731,5,FALSE))))</f>
        <v>211.44</v>
      </c>
      <c r="N149" s="38">
        <f t="shared" si="15"/>
        <v>63.44</v>
      </c>
      <c r="O149" s="38"/>
      <c r="P149" s="39" t="str">
        <f>IF(Settings!$E$27="ON",_xlfn.XLOOKUP(B149,ADP!A2:A731,ADP!H2:H731)," ")</f>
        <v xml:space="preserve"> </v>
      </c>
      <c r="Q149" s="40">
        <f>IF(Settings!$E$12="YES",VLOOKUP(B149,'Player Data'!A1:E734,5,FALSE),82)</f>
        <v>82</v>
      </c>
      <c r="R149" s="38">
        <f>VLOOKUP(B149,'Player Data'!$A1:$AE734,6,FALSE)</f>
        <v>20.2187346493902</v>
      </c>
      <c r="S149" s="40">
        <f>VLOOKUP(B149,'Player Data'!$A1:$AE734,7,FALSE)*$Q149*IFERROR((VLOOKUP(P149,Settings!$E$28:$F$33,2,FALSE)+1),1)</f>
        <v>26.506661091807516</v>
      </c>
      <c r="T149" s="40">
        <f>VLOOKUP(B149,'Player Data'!$A1:$AE734,8,FALSE)*$Q149*IFERROR((VLOOKUP(P149,Settings!$E$28:$F$33,2,FALSE)+1),1)</f>
        <v>38.719466947215984</v>
      </c>
      <c r="U149" s="40">
        <f>SUM(S149:T149)</f>
        <v>65.226128039023507</v>
      </c>
      <c r="V149" s="40">
        <f>VLOOKUP(B149,'Player Data'!$A1:$AE734,10,FALSE)*$Q149*IFERROR(((VLOOKUP(P149,Settings!$E$28:$F$33,2,FALSE)/2)+1),1)</f>
        <v>232.06079398397563</v>
      </c>
      <c r="W149" s="40">
        <f>VLOOKUP(B149,'Player Data'!$A1:$AE734,11,FALSE)*$Q149*IFERROR((VLOOKUP(P149,Settings!$E$28:$F$33,2,FALSE)+1),1)</f>
        <v>5.5370452805622659</v>
      </c>
      <c r="X149" s="40">
        <f>VLOOKUP(B149,'Player Data'!$A1:$AE734,12,FALSE)*$Q149*IFERROR((VLOOKUP(P149,Settings!$E$28:$F$33,2,FALSE)+1),1)</f>
        <v>16.118434764845578</v>
      </c>
      <c r="Y149" s="40">
        <f>VLOOKUP(B149,'Player Data'!$A1:$AE734,13,FALSE)*$Q149</f>
        <v>0.30852608813235105</v>
      </c>
      <c r="Z149" s="40">
        <f>VLOOKUP(B149,'Player Data'!$A1:$AE734,14,FALSE)*$Q149</f>
        <v>1.4091673674691791</v>
      </c>
      <c r="AA149" s="40">
        <f>VLOOKUP(B149,'Player Data'!$A1:$AE734,15,FALSE)*$Q149</f>
        <v>47.424831230433966</v>
      </c>
      <c r="AB149" s="40">
        <f>VLOOKUP(B149,'Player Data'!$A1:$AE734,16,FALSE)*$Q149</f>
        <v>73.459431059721737</v>
      </c>
      <c r="AC149" s="40">
        <f>VLOOKUP(B149,'Player Data'!$A1:$AE734,17,FALSE)*$Q149*IFERROR((VLOOKUP(P149,Settings!$E$28:$F$33,2,FALSE)+1),1)</f>
        <v>-5.191369559207307</v>
      </c>
      <c r="AD149" s="40">
        <f>VLOOKUP(B149,'Player Data'!$A1:$AE734,18,FALSE)*$Q149</f>
        <v>0</v>
      </c>
      <c r="AE149" s="40">
        <f>VLOOKUP(B149,'Player Data'!$A1:$AE734,19,FALSE)*$Q149*IFERROR((VLOOKUP(P149,Settings!$E$28:$F$33,2,FALSE)+1),1)</f>
        <v>3.1157425059886026</v>
      </c>
      <c r="AF149" s="40">
        <f>VLOOKUP(B149,'Player Data'!$A1:$AE734,20,FALSE)*$Q149</f>
        <v>752.57314239495474</v>
      </c>
      <c r="AG149" s="40">
        <f>VLOOKUP(B149,'Player Data'!$A1:$AE734,21,FALSE)*$Q149</f>
        <v>584.52436710541178</v>
      </c>
      <c r="AH149" s="41">
        <f>VLOOKUP(B149,'Player Data'!$A1:$AE734,22,FALSE)</f>
        <v>0.56284088261907605</v>
      </c>
      <c r="AI149" s="38"/>
      <c r="AJ149" s="42"/>
      <c r="AK149" s="40"/>
      <c r="AL149" s="40"/>
      <c r="AM149" s="40"/>
      <c r="AN149" s="40"/>
      <c r="AO149" s="40"/>
      <c r="AP149" s="40"/>
      <c r="AQ149" s="43"/>
      <c r="AR149" s="44"/>
      <c r="AS149" s="38"/>
    </row>
    <row r="150" spans="1:45" ht="21.2" customHeight="1">
      <c r="A150" s="181">
        <f t="shared" si="12"/>
        <v>149</v>
      </c>
      <c r="B150" s="8" t="s">
        <v>310</v>
      </c>
      <c r="C150" s="31" t="s">
        <v>104</v>
      </c>
      <c r="D150" s="32" t="str">
        <f>VLOOKUP(B150,'Player Data'!A1:D734,4,FALSE)</f>
        <v>G</v>
      </c>
      <c r="E150" s="50">
        <f>VLOOKUP(B150,G!A1:D75,3,FALSE)</f>
        <v>26</v>
      </c>
      <c r="F150" s="34" t="str">
        <f>VLOOKUP(B150,'Player Data'!A1:B734,2,FALSE)</f>
        <v>PHI</v>
      </c>
      <c r="G150" s="9">
        <f>VLOOKUP(B150,'Player Data'!A1:D734,3,FALSE)</f>
        <v>25</v>
      </c>
      <c r="H150" s="35">
        <f>IFERROR(VLOOKUP(B150,ADP!A1:G731,7,FALSE)/1000000,VLOOKUP(B150,ADP!A1:G731,7,FALSE))</f>
        <v>3.9790000000000001</v>
      </c>
      <c r="I150" s="36">
        <f>IF(Settings!$E$15="POINTS",(AJ150*Settings!$B$29)+(AK150*Settings!$B$21)+(AL150*Settings!$B$22)+(AN150*Settings!$B$24)+(AO150*Settings!$B$25)+(AP150*Settings!$B$27)+(AM150*Settings!$B$23),VLOOKUP(B150,'Standard Deviations'!A1:C731,3,FALSE))</f>
        <v>0.96537791431035502</v>
      </c>
      <c r="J150" s="37">
        <f t="shared" si="13"/>
        <v>2.0112039881465728E-2</v>
      </c>
      <c r="K150" s="183">
        <f>VLOOKUP(B150,G!A1:F75,6,FALSE)</f>
        <v>-0.73885113687993653</v>
      </c>
      <c r="L150" s="36">
        <f t="shared" si="14"/>
        <v>-0.18568764435283652</v>
      </c>
      <c r="M150" s="38">
        <f>IF(Settings!$E$9="YAHOO",VLOOKUP(B150,ADP!A1:E731,2,FALSE),IF(Settings!$E$9="ESPN",VLOOKUP(B150,ADP!A1:E731,3,FALSE),IF(Settings!$E$9="FANTRAX",VLOOKUP(B150,ADP!A1:E731,4,FALSE),VLOOKUP(B150,ADP!A1:E731,5,FALSE))))</f>
        <v>186.88</v>
      </c>
      <c r="N150" s="38">
        <f t="shared" si="15"/>
        <v>37.879999999999995</v>
      </c>
      <c r="O150" s="38"/>
      <c r="P150" s="39" t="str">
        <f>IF(Settings!$E$27="ON",_xlfn.XLOOKUP(B150,ADP!A2:A731,ADP!H2:H731)," ")</f>
        <v>-</v>
      </c>
      <c r="Q150" s="40"/>
      <c r="R150" s="51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1"/>
      <c r="AI150" s="38"/>
      <c r="AJ150" s="42">
        <f>VLOOKUP(B150,'Player Data'!$A1:$AE734,24,FALSE)</f>
        <v>48</v>
      </c>
      <c r="AK150" s="40">
        <f>VLOOKUP(B150,'Player Data'!$A1:$AE734,25,FALSE)*$AJ150*IFERROR((VLOOKUP(P150,Settings!$E$28:$F$33,2,FALSE)+1),1)</f>
        <v>18.050982430042492</v>
      </c>
      <c r="AL150" s="40">
        <f>AJ150-AK150-AM150</f>
        <v>23.949017569957508</v>
      </c>
      <c r="AM150" s="40">
        <f>VLOOKUP(B150,'Player Data'!$A1:$AE734,27,FALSE)*$AJ150</f>
        <v>6</v>
      </c>
      <c r="AN150" s="40">
        <f>VLOOKUP(B150,'Player Data'!$A1:$AE734,28,FALSE)*AJ150</f>
        <v>2.6097767311538163</v>
      </c>
      <c r="AO150" s="40">
        <f>VLOOKUP(B150,'Player Data'!$A1:$AE734,29,FALSE)*$AJ150*IFERROR((VLOOKUP(P150,Settings!$E$28:$F$33,2,FALSE)/4)+1,1)</f>
        <v>1366.1187483590841</v>
      </c>
      <c r="AP150" s="40">
        <f>VLOOKUP(B150,'Player Data'!$A1:$AE734,31,FALSE)*$AJ150*(IFERROR(1-(VLOOKUP(P150,Settings!$E$28:$F$33,2,FALSE)/4),1))</f>
        <v>137.67645366108323</v>
      </c>
      <c r="AQ150" s="43">
        <f>1-(AP150/(AO150+AP150))</f>
        <v>0.90844733812414646</v>
      </c>
      <c r="AR150" s="44">
        <f>AP150/AJ150</f>
        <v>2.8682594512725674</v>
      </c>
      <c r="AS150" s="38"/>
    </row>
    <row r="151" spans="1:45" ht="21.2" customHeight="1">
      <c r="A151" s="181">
        <f t="shared" si="12"/>
        <v>150</v>
      </c>
      <c r="B151" s="8" t="s">
        <v>251</v>
      </c>
      <c r="C151" s="31" t="s">
        <v>104</v>
      </c>
      <c r="D151" s="32" t="str">
        <f>VLOOKUP(B151,'Player Data'!A1:D734,4,FALSE)</f>
        <v>D</v>
      </c>
      <c r="E151" s="47">
        <f>VLOOKUP(B151,D!A1:C229,3,FALSE)</f>
        <v>38</v>
      </c>
      <c r="F151" s="34" t="str">
        <f>VLOOKUP(B151,'Player Data'!A1:B734,2,FALSE)</f>
        <v>BOS</v>
      </c>
      <c r="G151" s="9">
        <f>VLOOKUP(B151,'Player Data'!A1:D734,3,FALSE)</f>
        <v>29</v>
      </c>
      <c r="H151" s="35">
        <f>IFERROR(VLOOKUP(B151,ADP!A1:G731,7,FALSE)/1000000,VLOOKUP(B151,ADP!A1:G731,7,FALSE))</f>
        <v>6.5</v>
      </c>
      <c r="I151" s="36">
        <f>IF(Settings!$E$15="POINTS",((R151*Q151)*Settings!$B$12)+(S151*Settings!$B$2)+(T151*Settings!$B$3)+(U151*Settings!$B$4)+(V151*Settings!$B$5)+(X151*Settings!$B$9)+(AA151*Settings!$B$6)+(W151*Settings!$B$8)+(AB151*Settings!$B$7)+(AC151*Settings!$B$14)+(AD151*Settings!$B$15)+(AE151*Settings!$B$16)+(AF151*Settings!$B$17)+(AG151*Settings!$B$18)+(U151*Settings!$B$13)+(Y151*Settings!$B$10)+(Z151*Settings!$B$11),VLOOKUP(B151,'Standard Deviations'!A1:C731,3,FALSE))</f>
        <v>1.1979645638175078</v>
      </c>
      <c r="J151" s="37">
        <f t="shared" si="13"/>
        <v>1.4609323948993998E-2</v>
      </c>
      <c r="K151" s="183">
        <f>VLOOKUP(B151,D!A1:F229,6,FALSE)</f>
        <v>-0.74377597981680288</v>
      </c>
      <c r="L151" s="36">
        <f t="shared" si="14"/>
        <v>-0.11442707381796967</v>
      </c>
      <c r="M151" s="38">
        <f>IF(Settings!$E$9="YAHOO",VLOOKUP(B151,ADP!A1:E731,2,FALSE),IF(Settings!$E$9="ESPN",VLOOKUP(B151,ADP!A1:E731,3,FALSE),IF(Settings!$E$9="FANTRAX",VLOOKUP(B151,ADP!A1:E731,4,FALSE),VLOOKUP(B151,ADP!A1:E731,5,FALSE))))</f>
        <v>156.88999999999999</v>
      </c>
      <c r="N151" s="38">
        <f t="shared" si="15"/>
        <v>6.8899999999999864</v>
      </c>
      <c r="O151" s="38"/>
      <c r="P151" s="39" t="str">
        <f>IF(Settings!$E$27="ON",_xlfn.XLOOKUP(B151,ADP!A2:A731,ADP!H2:H731)," ")</f>
        <v>+</v>
      </c>
      <c r="Q151" s="40">
        <f>IF(Settings!$E$12="YES",VLOOKUP(B151,'Player Data'!A1:E734,5,FALSE),82)</f>
        <v>82</v>
      </c>
      <c r="R151" s="38">
        <f>VLOOKUP(B151,'Player Data'!$A1:$AE734,6,FALSE)</f>
        <v>21.557298463204202</v>
      </c>
      <c r="S151" s="40">
        <f>VLOOKUP(B151,'Player Data'!$A1:$AE734,7,FALSE)*$Q151*IFERROR((VLOOKUP(P151,Settings!$E$28:$F$33,2,FALSE)+1),1)</f>
        <v>8.0514157935378012</v>
      </c>
      <c r="T151" s="40">
        <f>VLOOKUP(B151,'Player Data'!$A1:$AE734,8,FALSE)*$Q151*IFERROR((VLOOKUP(P151,Settings!$E$28:$F$33,2,FALSE)+1),1)</f>
        <v>35.451225848085102</v>
      </c>
      <c r="U151" s="40">
        <f>SUM(S151:T151)</f>
        <v>43.502641641622901</v>
      </c>
      <c r="V151" s="40">
        <f>VLOOKUP(B151,'Player Data'!$A1:$AE734,10,FALSE)*$Q151*IFERROR(((VLOOKUP(P151,Settings!$E$28:$F$33,2,FALSE)/2)+1),1)</f>
        <v>154.55038834205945</v>
      </c>
      <c r="W151" s="40">
        <f>VLOOKUP(B151,'Player Data'!$A1:$AE734,11,FALSE)*$Q151*IFERROR((VLOOKUP(P151,Settings!$E$28:$F$33,2,FALSE)+1),1)</f>
        <v>1.3289679658723412</v>
      </c>
      <c r="X151" s="40">
        <f>VLOOKUP(B151,'Player Data'!$A1:$AE734,12,FALSE)*$Q151*IFERROR((VLOOKUP(P151,Settings!$E$28:$F$33,2,FALSE)+1),1)</f>
        <v>14.539621278411223</v>
      </c>
      <c r="Y151" s="40">
        <f>VLOOKUP(B151,'Player Data'!$A1:$AE734,13,FALSE)*$Q151</f>
        <v>1.0677241891237093E-2</v>
      </c>
      <c r="Z151" s="40">
        <f>VLOOKUP(B151,'Player Data'!$A1:$AE734,14,FALSE)*$Q151</f>
        <v>0.35754054601872393</v>
      </c>
      <c r="AA151" s="40">
        <f>VLOOKUP(B151,'Player Data'!$A1:$AE734,15,FALSE)*$Q151</f>
        <v>104.06483626700606</v>
      </c>
      <c r="AB151" s="40">
        <f>VLOOKUP(B151,'Player Data'!$A1:$AE734,16,FALSE)*$Q151</f>
        <v>85.753135303367998</v>
      </c>
      <c r="AC151" s="40">
        <f>VLOOKUP(B151,'Player Data'!$A1:$AE734,17,FALSE)*$Q151*IFERROR((VLOOKUP(P151,Settings!$E$28:$F$33,2,FALSE)+1),1)</f>
        <v>6.8404642530000945</v>
      </c>
      <c r="AD151" s="40">
        <f>VLOOKUP(B151,'Player Data'!$A1:$AE734,18,FALSE)*$Q151</f>
        <v>53.647891176414994</v>
      </c>
      <c r="AE151" s="40">
        <f>VLOOKUP(B151,'Player Data'!$A1:$AE734,19,FALSE)*$Q151*IFERROR((VLOOKUP(P151,Settings!$E$28:$F$33,2,FALSE)+1),1)</f>
        <v>1.3516742648608111</v>
      </c>
      <c r="AF151" s="40">
        <f>VLOOKUP(B151,'Player Data'!$A1:$AE734,20,FALSE)*$Q151</f>
        <v>0</v>
      </c>
      <c r="AG151" s="40">
        <f>VLOOKUP(B151,'Player Data'!$A1:$AE734,21,FALSE)*$Q151</f>
        <v>0</v>
      </c>
      <c r="AH151" s="41">
        <f>VLOOKUP(B151,'Player Data'!$A1:$AE734,22,FALSE)</f>
        <v>0</v>
      </c>
      <c r="AI151" s="38"/>
      <c r="AJ151" s="42"/>
      <c r="AK151" s="40"/>
      <c r="AL151" s="40"/>
      <c r="AM151" s="40"/>
      <c r="AN151" s="40"/>
      <c r="AO151" s="40"/>
      <c r="AP151" s="40"/>
      <c r="AQ151" s="43"/>
      <c r="AR151" s="44"/>
      <c r="AS151" s="38"/>
    </row>
    <row r="152" spans="1:45" ht="21.2" customHeight="1">
      <c r="A152" s="181">
        <f t="shared" si="12"/>
        <v>151</v>
      </c>
      <c r="B152" s="8" t="s">
        <v>418</v>
      </c>
      <c r="C152" s="31" t="s">
        <v>104</v>
      </c>
      <c r="D152" s="32" t="str">
        <f>VLOOKUP(B152,'Player Data'!A1:D734,4,FALSE)</f>
        <v>G</v>
      </c>
      <c r="E152" s="50">
        <f>VLOOKUP(B152,G!A1:D75,3,FALSE)</f>
        <v>27</v>
      </c>
      <c r="F152" s="34" t="str">
        <f>VLOOKUP(B152,'Player Data'!A1:B734,2,FALSE)</f>
        <v>LAK</v>
      </c>
      <c r="G152" s="9">
        <f>VLOOKUP(B152,'Player Data'!A1:D734,3,FALSE)</f>
        <v>31</v>
      </c>
      <c r="H152" s="35">
        <f>IFERROR(VLOOKUP(B152,ADP!A1:G731,7,FALSE)/1000000,VLOOKUP(B152,ADP!A1:G731,7,FALSE))</f>
        <v>0</v>
      </c>
      <c r="I152" s="36">
        <f>IF(Settings!$E$15="POINTS",(AJ152*Settings!$B$29)+(AK152*Settings!$B$21)+(AL152*Settings!$B$22)+(AN152*Settings!$B$24)+(AO152*Settings!$B$25)+(AP152*Settings!$B$27)+(AM152*Settings!$B$23),VLOOKUP(B152,'Standard Deviations'!A1:C731,3,FALSE))</f>
        <v>0.95091834096043959</v>
      </c>
      <c r="J152" s="37">
        <f t="shared" si="13"/>
        <v>2.2640912880010466E-2</v>
      </c>
      <c r="K152" s="183">
        <f>VLOOKUP(B152,G!A1:F75,6,FALSE)</f>
        <v>-0.75331071022985197</v>
      </c>
      <c r="L152" s="49" t="str">
        <f t="shared" si="14"/>
        <v>N/A</v>
      </c>
      <c r="M152" s="38">
        <f>IF(Settings!$E$9="YAHOO",VLOOKUP(B152,ADP!A1:E731,2,FALSE),IF(Settings!$E$9="ESPN",VLOOKUP(B152,ADP!A1:E731,3,FALSE),IF(Settings!$E$9="FANTRAX",VLOOKUP(B152,ADP!A1:E731,4,FALSE),VLOOKUP(B152,ADP!A1:E731,5,FALSE))))</f>
        <v>223.74</v>
      </c>
      <c r="N152" s="38">
        <f t="shared" si="15"/>
        <v>72.740000000000009</v>
      </c>
      <c r="O152" s="38"/>
      <c r="P152" s="39" t="str">
        <f>IF(Settings!$E$27="ON",_xlfn.XLOOKUP(B152,ADP!A2:A731,ADP!H2:H731)," ")</f>
        <v xml:space="preserve"> </v>
      </c>
      <c r="Q152" s="40"/>
      <c r="R152" s="51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1"/>
      <c r="AI152" s="38"/>
      <c r="AJ152" s="42">
        <f>VLOOKUP(B152,'Player Data'!$A1:$AE734,24,FALSE)</f>
        <v>42</v>
      </c>
      <c r="AK152" s="40">
        <f>VLOOKUP(B152,'Player Data'!$A1:$AE734,25,FALSE)*$AJ152*IFERROR((VLOOKUP(P152,Settings!$E$28:$F$33,2,FALSE)+1),1)</f>
        <v>22.473399369990744</v>
      </c>
      <c r="AL152" s="40">
        <f>AJ152-AK152-AM152</f>
        <v>14.276600630009256</v>
      </c>
      <c r="AM152" s="40">
        <f>VLOOKUP(B152,'Player Data'!$A1:$AE734,27,FALSE)*$AJ152</f>
        <v>5.25</v>
      </c>
      <c r="AN152" s="40">
        <f>VLOOKUP(B152,'Player Data'!$A1:$AE734,28,FALSE)*AJ152</f>
        <v>2.1612867423317308</v>
      </c>
      <c r="AO152" s="40">
        <f>VLOOKUP(B152,'Player Data'!$A1:$AE734,29,FALSE)*$AJ152*IFERROR((VLOOKUP(P152,Settings!$E$28:$F$33,2,FALSE)/4)+1,1)</f>
        <v>1142.9937921508722</v>
      </c>
      <c r="AP152" s="40">
        <f>VLOOKUP(B152,'Player Data'!$A1:$AE734,31,FALSE)*$AJ152*(IFERROR(1-(VLOOKUP(P152,Settings!$E$28:$F$33,2,FALSE)/4),1))</f>
        <v>120.58001646162654</v>
      </c>
      <c r="AQ152" s="43">
        <f>1-(AP152/(AO152+AP152))</f>
        <v>0.90457224133663183</v>
      </c>
      <c r="AR152" s="44">
        <f>AP152/AJ152</f>
        <v>2.8709527728958699</v>
      </c>
      <c r="AS152" s="38"/>
    </row>
    <row r="153" spans="1:45" ht="21.2" customHeight="1">
      <c r="A153" s="181">
        <f t="shared" si="12"/>
        <v>152</v>
      </c>
      <c r="B153" s="8" t="s">
        <v>237</v>
      </c>
      <c r="C153" s="31" t="s">
        <v>104</v>
      </c>
      <c r="D153" s="32" t="str">
        <f>VLOOKUP(B153,'Player Data'!A1:D734,4,FALSE)</f>
        <v>LW,RW</v>
      </c>
      <c r="E153" s="45">
        <f>VLOOKUP(B153,RW!A1:F189,3,FALSE)</f>
        <v>39</v>
      </c>
      <c r="F153" s="34" t="str">
        <f>VLOOKUP(B153,'Player Data'!A1:B734,2,FALSE)</f>
        <v>BOS</v>
      </c>
      <c r="G153" s="9">
        <f>VLOOKUP(B153,'Player Data'!A1:D734,3,FALSE)</f>
        <v>26</v>
      </c>
      <c r="H153" s="35">
        <f>IFERROR(VLOOKUP(B153,ADP!A1:G731,7,FALSE)/1000000,VLOOKUP(B153,ADP!A1:G731,7,FALSE))</f>
        <v>4</v>
      </c>
      <c r="I153" s="36">
        <f>IF(Settings!$E$15="POINTS",((R153*Q153)*Settings!$B$12)+(S153*Settings!$B$2)+(T153*Settings!$B$3)+(U153*Settings!$B$4)+(V153*Settings!$B$5)+(X153*Settings!$B$9)+(AA153*Settings!$B$6)+(W153*Settings!$B$8)+(AB153*Settings!$B$7)+(AC153*Settings!$B$14)+(AD153*Settings!$B$15)+(AE153*Settings!$B$16)+(AF153*Settings!$B$17)+(AG153*Settings!$B$18)+(Y153*Settings!$B$10)+(Z153*Settings!$B$11),VLOOKUP(B153,'Standard Deviations'!A1:C731,3,FALSE))</f>
        <v>5.4794471040127481</v>
      </c>
      <c r="J153" s="37">
        <f t="shared" si="13"/>
        <v>6.6822525658692053E-2</v>
      </c>
      <c r="K153" s="183">
        <f>IF(Settings!$E$18="C/LW/RW",VLOOKUP(B153,RW!A1:F189,6,FALSE),VLOOKUP(B153,F!A1:F431,6,FALSE))</f>
        <v>-0.80081161499833264</v>
      </c>
      <c r="L153" s="36">
        <f t="shared" si="14"/>
        <v>-0.20020290374958316</v>
      </c>
      <c r="M153" s="38">
        <f>IF(Settings!$E$9="YAHOO",VLOOKUP(B153,ADP!A1:E731,2,FALSE),IF(Settings!$E$9="ESPN",VLOOKUP(B153,ADP!A1:E731,3,FALSE),IF(Settings!$E$9="FANTRAX",VLOOKUP(B153,ADP!A1:E731,4,FALSE),VLOOKUP(B153,ADP!A1:E731,5,FALSE))))</f>
        <v>131.30000000000001</v>
      </c>
      <c r="N153" s="38">
        <f t="shared" si="15"/>
        <v>-20.699999999999989</v>
      </c>
      <c r="O153" s="38"/>
      <c r="P153" s="39" t="str">
        <f>IF(Settings!$E$27="ON",_xlfn.XLOOKUP(B153,ADP!A2:A731,ADP!H2:H731)," ")</f>
        <v xml:space="preserve"> </v>
      </c>
      <c r="Q153" s="40">
        <f>IF(Settings!$E$12="YES",VLOOKUP(B153,'Player Data'!A1:E734,5,FALSE),82)</f>
        <v>82</v>
      </c>
      <c r="R153" s="38">
        <f>VLOOKUP(B153,'Player Data'!$A1:$AE734,6,FALSE)</f>
        <v>17.752231718519202</v>
      </c>
      <c r="S153" s="40">
        <f>VLOOKUP(B153,'Player Data'!$A1:$AE734,7,FALSE)*$Q153*IFERROR((VLOOKUP(P153,Settings!$E$28:$F$33,2,FALSE)+1),1)</f>
        <v>30.880344862142277</v>
      </c>
      <c r="T153" s="40">
        <f>VLOOKUP(B153,'Player Data'!$A1:$AE734,8,FALSE)*$Q153*IFERROR((VLOOKUP(P153,Settings!$E$28:$F$33,2,FALSE)+1),1)</f>
        <v>29.140031719990414</v>
      </c>
      <c r="U153" s="40">
        <f>SUM(S153:T153)</f>
        <v>60.020376582132691</v>
      </c>
      <c r="V153" s="40">
        <f>VLOOKUP(B153,'Player Data'!$A1:$AE734,10,FALSE)*$Q153*IFERROR(((VLOOKUP(P153,Settings!$E$28:$F$33,2,FALSE)/2)+1),1)</f>
        <v>244.56272500902074</v>
      </c>
      <c r="W153" s="40">
        <f>VLOOKUP(B153,'Player Data'!$A1:$AE734,11,FALSE)*$Q153*IFERROR((VLOOKUP(P153,Settings!$E$28:$F$33,2,FALSE)+1),1)</f>
        <v>8.1729893530827411</v>
      </c>
      <c r="X153" s="40">
        <f>VLOOKUP(B153,'Player Data'!$A1:$AE734,12,FALSE)*$Q153*IFERROR((VLOOKUP(P153,Settings!$E$28:$F$33,2,FALSE)+1),1)</f>
        <v>17.662031592836588</v>
      </c>
      <c r="Y153" s="40">
        <f>VLOOKUP(B153,'Player Data'!$A1:$AE734,13,FALSE)*$Q153</f>
        <v>0.14228169246977607</v>
      </c>
      <c r="Z153" s="40">
        <f>VLOOKUP(B153,'Player Data'!$A1:$AE734,14,FALSE)*$Q153</f>
        <v>0.97574590159992336</v>
      </c>
      <c r="AA153" s="40">
        <f>VLOOKUP(B153,'Player Data'!$A1:$AE734,15,FALSE)*$Q153</f>
        <v>32.052763056261135</v>
      </c>
      <c r="AB153" s="40">
        <f>VLOOKUP(B153,'Player Data'!$A1:$AE734,16,FALSE)*$Q153</f>
        <v>100.1547382794856</v>
      </c>
      <c r="AC153" s="40">
        <f>VLOOKUP(B153,'Player Data'!$A1:$AE734,17,FALSE)*$Q153*IFERROR((VLOOKUP(P153,Settings!$E$28:$F$33,2,FALSE)+1),1)</f>
        <v>6.2075971736793871</v>
      </c>
      <c r="AD153" s="40">
        <f>VLOOKUP(B153,'Player Data'!$A1:$AE734,18,FALSE)*$Q153</f>
        <v>21.016697002200285</v>
      </c>
      <c r="AE153" s="40">
        <f>VLOOKUP(B153,'Player Data'!$A1:$AE734,19,FALSE)*$Q153*IFERROR((VLOOKUP(P153,Settings!$E$28:$F$33,2,FALSE)+1),1)</f>
        <v>5.184202196300169</v>
      </c>
      <c r="AF153" s="40">
        <f>VLOOKUP(B153,'Player Data'!$A1:$AE734,20,FALSE)*$Q153</f>
        <v>8.281036476895844</v>
      </c>
      <c r="AG153" s="40">
        <f>VLOOKUP(B153,'Player Data'!$A1:$AE734,21,FALSE)*$Q153</f>
        <v>14.593952547404292</v>
      </c>
      <c r="AH153" s="41">
        <f>VLOOKUP(B153,'Player Data'!$A1:$AE734,22,FALSE)</f>
        <v>0.36201269727818802</v>
      </c>
      <c r="AI153" s="38"/>
      <c r="AJ153" s="42"/>
      <c r="AK153" s="40"/>
      <c r="AL153" s="40"/>
      <c r="AM153" s="40"/>
      <c r="AN153" s="40"/>
      <c r="AO153" s="40"/>
      <c r="AP153" s="40"/>
      <c r="AQ153" s="43"/>
      <c r="AR153" s="44"/>
      <c r="AS153" s="38"/>
    </row>
    <row r="154" spans="1:45" ht="21.2" customHeight="1">
      <c r="A154" s="181">
        <f t="shared" si="12"/>
        <v>153</v>
      </c>
      <c r="B154" s="8" t="s">
        <v>371</v>
      </c>
      <c r="C154" s="31" t="s">
        <v>104</v>
      </c>
      <c r="D154" s="32" t="str">
        <f>VLOOKUP(B154,'Player Data'!A1:D734,4,FALSE)</f>
        <v>G</v>
      </c>
      <c r="E154" s="50">
        <f>VLOOKUP(B154,G!A1:D75,3,FALSE)</f>
        <v>28</v>
      </c>
      <c r="F154" s="34" t="str">
        <f>VLOOKUP(B154,'Player Data'!A1:B734,2,FALSE)</f>
        <v>DET</v>
      </c>
      <c r="G154" s="9">
        <f>VLOOKUP(B154,'Player Data'!A1:D734,3,FALSE)</f>
        <v>28</v>
      </c>
      <c r="H154" s="35">
        <f>IFERROR(VLOOKUP(B154,ADP!A1:G731,7,FALSE)/1000000,VLOOKUP(B154,ADP!A1:G731,7,FALSE))</f>
        <v>4.75</v>
      </c>
      <c r="I154" s="36">
        <f>IF(Settings!$E$15="POINTS",(AJ154*Settings!$B$29)+(AK154*Settings!$B$21)+(AL154*Settings!$B$22)+(AN154*Settings!$B$24)+(AO154*Settings!$B$25)+(AP154*Settings!$B$27)+(AM154*Settings!$B$23),VLOOKUP(B154,'Standard Deviations'!A1:C731,3,FALSE))</f>
        <v>0.85955570804788051</v>
      </c>
      <c r="J154" s="37">
        <f t="shared" si="13"/>
        <v>1.9535357001088192E-2</v>
      </c>
      <c r="K154" s="183">
        <f>VLOOKUP(B154,G!A1:F75,6,FALSE)</f>
        <v>-0.84467334314241105</v>
      </c>
      <c r="L154" s="36">
        <f t="shared" si="14"/>
        <v>-0.1778259669773497</v>
      </c>
      <c r="M154" s="38">
        <f>IF(Settings!$E$9="YAHOO",VLOOKUP(B154,ADP!A1:E731,2,FALSE),IF(Settings!$E$9="ESPN",VLOOKUP(B154,ADP!A1:E731,3,FALSE),IF(Settings!$E$9="FANTRAX",VLOOKUP(B154,ADP!A1:E731,4,FALSE),VLOOKUP(B154,ADP!A1:E731,5,FALSE))))</f>
        <v>188.75</v>
      </c>
      <c r="N154" s="38">
        <f t="shared" si="15"/>
        <v>35.75</v>
      </c>
      <c r="O154" s="38"/>
      <c r="P154" s="39" t="str">
        <f>IF(Settings!$E$27="ON",_xlfn.XLOOKUP(B154,ADP!A2:A731,ADP!H2:H731)," ")</f>
        <v xml:space="preserve"> </v>
      </c>
      <c r="Q154" s="40"/>
      <c r="R154" s="51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1"/>
      <c r="AI154" s="38"/>
      <c r="AJ154" s="42">
        <f>VLOOKUP(B154,'Player Data'!$A1:$AE734,24,FALSE)</f>
        <v>44</v>
      </c>
      <c r="AK154" s="40">
        <f>VLOOKUP(B154,'Player Data'!$A1:$AE734,25,FALSE)*$AJ154*IFERROR((VLOOKUP(P154,Settings!$E$28:$F$33,2,FALSE)+1),1)</f>
        <v>20.326067298920549</v>
      </c>
      <c r="AL154" s="40">
        <f>AJ154-AK154-AM154</f>
        <v>18.173932701079451</v>
      </c>
      <c r="AM154" s="40">
        <f>VLOOKUP(B154,'Player Data'!$A1:$AE734,27,FALSE)*$AJ154</f>
        <v>5.5</v>
      </c>
      <c r="AN154" s="40">
        <f>VLOOKUP(B154,'Player Data'!$A1:$AE734,28,FALSE)*AJ154</f>
        <v>2.5768270880943844</v>
      </c>
      <c r="AO154" s="40">
        <f>VLOOKUP(B154,'Player Data'!$A1:$AE734,29,FALSE)*$AJ154*IFERROR((VLOOKUP(P154,Settings!$E$28:$F$33,2,FALSE)/4)+1,1)</f>
        <v>1207.2859596390649</v>
      </c>
      <c r="AP154" s="40">
        <f>VLOOKUP(B154,'Player Data'!$A1:$AE734,31,FALSE)*$AJ154*(IFERROR(1-(VLOOKUP(P154,Settings!$E$28:$F$33,2,FALSE)/4),1))</f>
        <v>122.2300119359374</v>
      </c>
      <c r="AQ154" s="43">
        <f>1-(AP154/(AO154+AP154))</f>
        <v>0.90806427711346827</v>
      </c>
      <c r="AR154" s="44">
        <f>AP154/AJ154</f>
        <v>2.7779548167258499</v>
      </c>
      <c r="AS154" s="38"/>
    </row>
    <row r="155" spans="1:45" ht="21.2" customHeight="1">
      <c r="A155" s="181">
        <f t="shared" si="12"/>
        <v>154</v>
      </c>
      <c r="B155" s="8" t="s">
        <v>232</v>
      </c>
      <c r="C155" s="31" t="s">
        <v>104</v>
      </c>
      <c r="D155" s="32" t="str">
        <f>VLOOKUP(B155,'Player Data'!A1:D734,4,FALSE)</f>
        <v>D</v>
      </c>
      <c r="E155" s="47">
        <f>VLOOKUP(B155,D!A1:C229,3,FALSE)</f>
        <v>39</v>
      </c>
      <c r="F155" s="34" t="str">
        <f>VLOOKUP(B155,'Player Data'!A1:B734,2,FALSE)</f>
        <v>CGY</v>
      </c>
      <c r="G155" s="9">
        <f>VLOOKUP(B155,'Player Data'!A1:D734,3,FALSE)</f>
        <v>26</v>
      </c>
      <c r="H155" s="35">
        <f>IFERROR(VLOOKUP(B155,ADP!A1:G731,7,FALSE)/1000000,VLOOKUP(B155,ADP!A1:G731,7,FALSE))</f>
        <v>4.95</v>
      </c>
      <c r="I155" s="36">
        <f>IF(Settings!$E$15="POINTS",((R155*Q155)*Settings!$B$12)+(S155*Settings!$B$2)+(T155*Settings!$B$3)+(U155*Settings!$B$4)+(V155*Settings!$B$5)+(X155*Settings!$B$9)+(AA155*Settings!$B$6)+(W155*Settings!$B$8)+(AB155*Settings!$B$7)+(AC155*Settings!$B$14)+(AD155*Settings!$B$15)+(AE155*Settings!$B$16)+(AF155*Settings!$B$17)+(AG155*Settings!$B$18)+(U155*Settings!$B$13)+(Y155*Settings!$B$10)+(Z155*Settings!$B$11),VLOOKUP(B155,'Standard Deviations'!A1:C731,3,FALSE))</f>
        <v>1.096571268206108</v>
      </c>
      <c r="J155" s="37">
        <f t="shared" si="13"/>
        <v>1.3372820343976926E-2</v>
      </c>
      <c r="K155" s="183">
        <f>VLOOKUP(B155,D!A1:F229,6,FALSE)</f>
        <v>-0.84516927542820275</v>
      </c>
      <c r="L155" s="36">
        <f t="shared" si="14"/>
        <v>-0.17074126776327328</v>
      </c>
      <c r="M155" s="38">
        <f>IF(Settings!$E$9="YAHOO",VLOOKUP(B155,ADP!A1:E731,2,FALSE),IF(Settings!$E$9="ESPN",VLOOKUP(B155,ADP!A1:E731,3,FALSE),IF(Settings!$E$9="FANTRAX",VLOOKUP(B155,ADP!A1:E731,4,FALSE),VLOOKUP(B155,ADP!A1:E731,5,FALSE))))</f>
        <v>214.17</v>
      </c>
      <c r="N155" s="38">
        <f t="shared" si="15"/>
        <v>60.169999999999987</v>
      </c>
      <c r="O155" s="38"/>
      <c r="P155" s="39" t="str">
        <f>IF(Settings!$E$27="ON",_xlfn.XLOOKUP(B155,ADP!A2:A731,ADP!H2:H731)," ")</f>
        <v xml:space="preserve"> </v>
      </c>
      <c r="Q155" s="40">
        <f>IF(Settings!$E$12="YES",VLOOKUP(B155,'Player Data'!A1:E734,5,FALSE),82)</f>
        <v>82</v>
      </c>
      <c r="R155" s="38">
        <f>VLOOKUP(B155,'Player Data'!$A1:$AE734,6,FALSE)</f>
        <v>22.383958177130399</v>
      </c>
      <c r="S155" s="40">
        <f>VLOOKUP(B155,'Player Data'!$A1:$AE734,7,FALSE)*$Q155*IFERROR((VLOOKUP(P155,Settings!$E$28:$F$33,2,FALSE)+1),1)</f>
        <v>8.5352914371226198</v>
      </c>
      <c r="T155" s="40">
        <f>VLOOKUP(B155,'Player Data'!$A1:$AE734,8,FALSE)*$Q155*IFERROR((VLOOKUP(P155,Settings!$E$28:$F$33,2,FALSE)+1),1)</f>
        <v>33.570712643468411</v>
      </c>
      <c r="U155" s="40">
        <f t="shared" ref="U155:U160" si="16">SUM(S155:T155)</f>
        <v>42.106004080591035</v>
      </c>
      <c r="V155" s="40">
        <f>VLOOKUP(B155,'Player Data'!$A1:$AE734,10,FALSE)*$Q155*IFERROR(((VLOOKUP(P155,Settings!$E$28:$F$33,2,FALSE)/2)+1),1)</f>
        <v>179.84674640929069</v>
      </c>
      <c r="W155" s="40">
        <f>VLOOKUP(B155,'Player Data'!$A1:$AE734,11,FALSE)*$Q155*IFERROR((VLOOKUP(P155,Settings!$E$28:$F$33,2,FALSE)+1),1)</f>
        <v>1.1273752595245472</v>
      </c>
      <c r="X155" s="40">
        <f>VLOOKUP(B155,'Player Data'!$A1:$AE734,12,FALSE)*$Q155*IFERROR((VLOOKUP(P155,Settings!$E$28:$F$33,2,FALSE)+1),1)</f>
        <v>10.804671474167636</v>
      </c>
      <c r="Y155" s="40">
        <f>VLOOKUP(B155,'Player Data'!$A1:$AE734,13,FALSE)*$Q155</f>
        <v>3.3884078539235023E-2</v>
      </c>
      <c r="Z155" s="40">
        <f>VLOOKUP(B155,'Player Data'!$A1:$AE734,14,FALSE)*$Q155</f>
        <v>0.74956326783359872</v>
      </c>
      <c r="AA155" s="40">
        <f>VLOOKUP(B155,'Player Data'!$A1:$AE734,15,FALSE)*$Q155</f>
        <v>121.94040540277108</v>
      </c>
      <c r="AB155" s="40">
        <f>VLOOKUP(B155,'Player Data'!$A1:$AE734,16,FALSE)*$Q155</f>
        <v>84.771096569426305</v>
      </c>
      <c r="AC155" s="40">
        <f>VLOOKUP(B155,'Player Data'!$A1:$AE734,17,FALSE)*$Q155*IFERROR((VLOOKUP(P155,Settings!$E$28:$F$33,2,FALSE)+1),1)</f>
        <v>3.4021741936518319</v>
      </c>
      <c r="AD155" s="40">
        <f>VLOOKUP(B155,'Player Data'!$A1:$AE734,18,FALSE)*$Q155</f>
        <v>31.268501002264326</v>
      </c>
      <c r="AE155" s="40">
        <f>VLOOKUP(B155,'Player Data'!$A1:$AE734,19,FALSE)*$Q155*IFERROR((VLOOKUP(P155,Settings!$E$28:$F$33,2,FALSE)+1),1)</f>
        <v>1.4262322629006667</v>
      </c>
      <c r="AF155" s="40">
        <f>VLOOKUP(B155,'Player Data'!$A1:$AE734,20,FALSE)*$Q155</f>
        <v>0</v>
      </c>
      <c r="AG155" s="40">
        <f>VLOOKUP(B155,'Player Data'!$A1:$AE734,21,FALSE)*$Q155</f>
        <v>0</v>
      </c>
      <c r="AH155" s="41">
        <f>VLOOKUP(B155,'Player Data'!$A1:$AE734,22,FALSE)</f>
        <v>0</v>
      </c>
      <c r="AI155" s="38"/>
      <c r="AJ155" s="42"/>
      <c r="AK155" s="40"/>
      <c r="AL155" s="40"/>
      <c r="AM155" s="40"/>
      <c r="AN155" s="40"/>
      <c r="AO155" s="40"/>
      <c r="AP155" s="40"/>
      <c r="AQ155" s="43"/>
      <c r="AR155" s="44"/>
      <c r="AS155" s="38"/>
    </row>
    <row r="156" spans="1:45" ht="21.2" customHeight="1">
      <c r="A156" s="181">
        <f t="shared" si="12"/>
        <v>155</v>
      </c>
      <c r="B156" s="8" t="s">
        <v>263</v>
      </c>
      <c r="C156" s="31" t="s">
        <v>104</v>
      </c>
      <c r="D156" s="32" t="str">
        <f>VLOOKUP(B156,'Player Data'!A1:D734,4,FALSE)</f>
        <v>D</v>
      </c>
      <c r="E156" s="47">
        <f>VLOOKUP(B156,D!A1:C229,3,FALSE)</f>
        <v>40</v>
      </c>
      <c r="F156" s="34" t="str">
        <f>VLOOKUP(B156,'Player Data'!A1:B734,2,FALSE)</f>
        <v>TOR</v>
      </c>
      <c r="G156" s="9">
        <f>VLOOKUP(B156,'Player Data'!A1:D734,3,FALSE)</f>
        <v>31</v>
      </c>
      <c r="H156" s="35">
        <f>IFERROR(VLOOKUP(B156,ADP!A1:G731,7,FALSE)/1000000,VLOOKUP(B156,ADP!A1:G731,7,FALSE))</f>
        <v>4.1500000000000004</v>
      </c>
      <c r="I156" s="36">
        <f>IF(Settings!$E$15="POINTS",((R156*Q156)*Settings!$B$12)+(S156*Settings!$B$2)+(T156*Settings!$B$3)+(U156*Settings!$B$4)+(V156*Settings!$B$5)+(X156*Settings!$B$9)+(AA156*Settings!$B$6)+(W156*Settings!$B$8)+(AB156*Settings!$B$7)+(AC156*Settings!$B$14)+(AD156*Settings!$B$15)+(AE156*Settings!$B$16)+(AF156*Settings!$B$17)+(AG156*Settings!$B$18)+(U156*Settings!$B$13)+(Y156*Settings!$B$10)+(Z156*Settings!$B$11),VLOOKUP(B156,'Standard Deviations'!A1:C731,3,FALSE))</f>
        <v>0.94687677240131884</v>
      </c>
      <c r="J156" s="37">
        <f t="shared" si="13"/>
        <v>1.1547277712211205E-2</v>
      </c>
      <c r="K156" s="183">
        <f>VLOOKUP(B156,D!A1:F229,6,FALSE)</f>
        <v>-0.99486377123299186</v>
      </c>
      <c r="L156" s="36">
        <f t="shared" si="14"/>
        <v>-0.23972620993566066</v>
      </c>
      <c r="M156" s="38">
        <f>IF(Settings!$E$9="YAHOO",VLOOKUP(B156,ADP!A1:E731,2,FALSE),IF(Settings!$E$9="ESPN",VLOOKUP(B156,ADP!A1:E731,3,FALSE),IF(Settings!$E$9="FANTRAX",VLOOKUP(B156,ADP!A1:E731,4,FALSE),VLOOKUP(B156,ADP!A1:E731,5,FALSE))))</f>
        <v>191.87</v>
      </c>
      <c r="N156" s="38">
        <f t="shared" si="15"/>
        <v>36.870000000000005</v>
      </c>
      <c r="O156" s="38"/>
      <c r="P156" s="39" t="str">
        <f>IF(Settings!$E$27="ON",_xlfn.XLOOKUP(B156,ADP!A2:A731,ADP!H2:H731)," ")</f>
        <v>+</v>
      </c>
      <c r="Q156" s="40">
        <f>IF(Settings!$E$12="YES",VLOOKUP(B156,'Player Data'!A1:E734,5,FALSE),82)</f>
        <v>82</v>
      </c>
      <c r="R156" s="38">
        <f>VLOOKUP(B156,'Player Data'!$A1:$AE734,6,FALSE)</f>
        <v>19.168837382777301</v>
      </c>
      <c r="S156" s="40">
        <f>VLOOKUP(B156,'Player Data'!$A1:$AE734,7,FALSE)*$Q156*IFERROR((VLOOKUP(P156,Settings!$E$28:$F$33,2,FALSE)+1),1)</f>
        <v>8.3760324216589463</v>
      </c>
      <c r="T156" s="40">
        <f>VLOOKUP(B156,'Player Data'!$A1:$AE734,8,FALSE)*$Q156*IFERROR((VLOOKUP(P156,Settings!$E$28:$F$33,2,FALSE)+1),1)</f>
        <v>32.190684224952228</v>
      </c>
      <c r="U156" s="40">
        <f t="shared" si="16"/>
        <v>40.566716646611177</v>
      </c>
      <c r="V156" s="40">
        <f>VLOOKUP(B156,'Player Data'!$A1:$AE734,10,FALSE)*$Q156*IFERROR(((VLOOKUP(P156,Settings!$E$28:$F$33,2,FALSE)/2)+1),1)</f>
        <v>144.07770396278616</v>
      </c>
      <c r="W156" s="40">
        <f>VLOOKUP(B156,'Player Data'!$A1:$AE734,11,FALSE)*$Q156*IFERROR((VLOOKUP(P156,Settings!$E$28:$F$33,2,FALSE)+1),1)</f>
        <v>2.1212976994143364</v>
      </c>
      <c r="X156" s="40">
        <f>VLOOKUP(B156,'Player Data'!$A1:$AE734,12,FALSE)*$Q156*IFERROR((VLOOKUP(P156,Settings!$E$28:$F$33,2,FALSE)+1),1)</f>
        <v>17.130903250361353</v>
      </c>
      <c r="Y156" s="40">
        <f>VLOOKUP(B156,'Player Data'!$A1:$AE734,13,FALSE)*$Q156</f>
        <v>2.8540224551251974E-3</v>
      </c>
      <c r="Z156" s="40">
        <f>VLOOKUP(B156,'Player Data'!$A1:$AE734,14,FALSE)*$Q156</f>
        <v>9.9069070463699144E-3</v>
      </c>
      <c r="AA156" s="40">
        <f>VLOOKUP(B156,'Player Data'!$A1:$AE734,15,FALSE)*$Q156</f>
        <v>94.965972698016174</v>
      </c>
      <c r="AB156" s="40">
        <f>VLOOKUP(B156,'Player Data'!$A1:$AE734,16,FALSE)*$Q156</f>
        <v>73.708953508470174</v>
      </c>
      <c r="AC156" s="40">
        <f>VLOOKUP(B156,'Player Data'!$A1:$AE734,17,FALSE)*$Q156*IFERROR((VLOOKUP(P156,Settings!$E$28:$F$33,2,FALSE)+1),1)</f>
        <v>1.4534923635998929</v>
      </c>
      <c r="AD156" s="40">
        <f>VLOOKUP(B156,'Player Data'!$A1:$AE734,18,FALSE)*$Q156</f>
        <v>35.810343946863107</v>
      </c>
      <c r="AE156" s="40">
        <f>VLOOKUP(B156,'Player Data'!$A1:$AE734,19,FALSE)*$Q156*IFERROR((VLOOKUP(P156,Settings!$E$28:$F$33,2,FALSE)+1),1)</f>
        <v>1.3456073822238359</v>
      </c>
      <c r="AF156" s="40">
        <f>VLOOKUP(B156,'Player Data'!$A1:$AE734,20,FALSE)*$Q156</f>
        <v>0</v>
      </c>
      <c r="AG156" s="40">
        <f>VLOOKUP(B156,'Player Data'!$A1:$AE734,21,FALSE)*$Q156</f>
        <v>0</v>
      </c>
      <c r="AH156" s="41">
        <f>VLOOKUP(B156,'Player Data'!$A1:$AE734,22,FALSE)</f>
        <v>0</v>
      </c>
      <c r="AI156" s="38"/>
      <c r="AJ156" s="42"/>
      <c r="AK156" s="40"/>
      <c r="AL156" s="40"/>
      <c r="AM156" s="40"/>
      <c r="AN156" s="40"/>
      <c r="AO156" s="40"/>
      <c r="AP156" s="40"/>
      <c r="AQ156" s="43"/>
      <c r="AR156" s="44"/>
      <c r="AS156" s="42"/>
    </row>
    <row r="157" spans="1:45" ht="21.2" customHeight="1">
      <c r="A157" s="181">
        <f t="shared" si="12"/>
        <v>156</v>
      </c>
      <c r="B157" s="8" t="s">
        <v>248</v>
      </c>
      <c r="C157" s="31" t="s">
        <v>104</v>
      </c>
      <c r="D157" s="32" t="str">
        <f>VLOOKUP(B157,'Player Data'!A1:D734,4,FALSE)</f>
        <v>LW</v>
      </c>
      <c r="E157" s="48">
        <f>VLOOKUP(B157,LW!A1:C227,3,FALSE)</f>
        <v>43</v>
      </c>
      <c r="F157" s="34" t="str">
        <f>VLOOKUP(B157,'Player Data'!A1:B734,2,FALSE)</f>
        <v>COL</v>
      </c>
      <c r="G157" s="9">
        <f>VLOOKUP(B157,'Player Data'!A1:D734,3,FALSE)</f>
        <v>28</v>
      </c>
      <c r="H157" s="35">
        <f>IFERROR(VLOOKUP(B157,ADP!A1:G731,7,FALSE)/1000000,VLOOKUP(B157,ADP!A1:G731,7,FALSE))</f>
        <v>4.5</v>
      </c>
      <c r="I157" s="36">
        <f>IF(Settings!$E$15="POINTS",((R157*Q157)*Settings!$B$12)+(S157*Settings!$B$2)+(T157*Settings!$B$3)+(U157*Settings!$B$4)+(V157*Settings!$B$5)+(X157*Settings!$B$9)+(AA157*Settings!$B$6)+(W157*Settings!$B$8)+(AB157*Settings!$B$7)+(AC157*Settings!$B$14)+(AD157*Settings!$B$15)+(AE157*Settings!$B$16)+(AF157*Settings!$B$17)+(AG157*Settings!$B$18)+(Y157*Settings!$B$10)+(Z157*Settings!$B$11),VLOOKUP(B157,'Standard Deviations'!A1:C731,3,FALSE))</f>
        <v>5.6387525030219958</v>
      </c>
      <c r="J157" s="37">
        <f t="shared" si="13"/>
        <v>6.8765274427097511E-2</v>
      </c>
      <c r="K157" s="183">
        <f>IF(Settings!$E$18="C/LW/RW",VLOOKUP(B157,LW!A1:F227,6,FALSE),VLOOKUP(B157,F!A1:F431,6,FALSE))</f>
        <v>-1.0159165411024054</v>
      </c>
      <c r="L157" s="36">
        <f t="shared" si="14"/>
        <v>-0.22575923135609008</v>
      </c>
      <c r="M157" s="38">
        <f>IF(Settings!$E$9="YAHOO",VLOOKUP(B157,ADP!A1:E731,2,FALSE),IF(Settings!$E$9="ESPN",VLOOKUP(B157,ADP!A1:E731,3,FALSE),IF(Settings!$E$9="FANTRAX",VLOOKUP(B157,ADP!A1:E731,4,FALSE),VLOOKUP(B157,ADP!A1:E731,5,FALSE))))</f>
        <v>145.66999999999999</v>
      </c>
      <c r="N157" s="38">
        <f t="shared" si="15"/>
        <v>-10.330000000000013</v>
      </c>
      <c r="O157" s="38"/>
      <c r="P157" s="39" t="str">
        <f>IF(Settings!$E$27="ON",_xlfn.XLOOKUP(B157,ADP!A2:A731,ADP!H2:H731)," ")</f>
        <v xml:space="preserve"> </v>
      </c>
      <c r="Q157" s="40">
        <f>IF(Settings!$E$12="YES",VLOOKUP(B157,'Player Data'!A1:E734,5,FALSE),82)</f>
        <v>82</v>
      </c>
      <c r="R157" s="38">
        <f>VLOOKUP(B157,'Player Data'!$A1:$AE734,6,FALSE)</f>
        <v>19.668419224360701</v>
      </c>
      <c r="S157" s="40">
        <f>VLOOKUP(B157,'Player Data'!$A1:$AE734,7,FALSE)*$Q157*IFERROR((VLOOKUP(P157,Settings!$E$28:$F$33,2,FALSE)+1),1)</f>
        <v>27.485150524912587</v>
      </c>
      <c r="T157" s="40">
        <f>VLOOKUP(B157,'Player Data'!$A1:$AE734,8,FALSE)*$Q157*IFERROR((VLOOKUP(P157,Settings!$E$28:$F$33,2,FALSE)+1),1)</f>
        <v>36.182887820660909</v>
      </c>
      <c r="U157" s="40">
        <f t="shared" si="16"/>
        <v>63.668038345573493</v>
      </c>
      <c r="V157" s="40">
        <f>VLOOKUP(B157,'Player Data'!$A1:$AE734,10,FALSE)*$Q157*IFERROR(((VLOOKUP(P157,Settings!$E$28:$F$33,2,FALSE)/2)+1),1)</f>
        <v>207.96893812889581</v>
      </c>
      <c r="W157" s="40">
        <f>VLOOKUP(B157,'Player Data'!$A1:$AE734,11,FALSE)*$Q157*IFERROR((VLOOKUP(P157,Settings!$E$28:$F$33,2,FALSE)+1),1)</f>
        <v>9.0457777587375059</v>
      </c>
      <c r="X157" s="40">
        <f>VLOOKUP(B157,'Player Data'!$A1:$AE734,12,FALSE)*$Q157*IFERROR((VLOOKUP(P157,Settings!$E$28:$F$33,2,FALSE)+1),1)</f>
        <v>21.922041889384698</v>
      </c>
      <c r="Y157" s="40">
        <f>VLOOKUP(B157,'Player Data'!$A1:$AE734,13,FALSE)*$Q157</f>
        <v>1.480460167161384</v>
      </c>
      <c r="Z157" s="40">
        <f>VLOOKUP(B157,'Player Data'!$A1:$AE734,14,FALSE)*$Q157</f>
        <v>1.7267952973053502</v>
      </c>
      <c r="AA157" s="40">
        <f>VLOOKUP(B157,'Player Data'!$A1:$AE734,15,FALSE)*$Q157</f>
        <v>52.336430273455534</v>
      </c>
      <c r="AB157" s="40">
        <f>VLOOKUP(B157,'Player Data'!$A1:$AE734,16,FALSE)*$Q157</f>
        <v>116.52315704071484</v>
      </c>
      <c r="AC157" s="40">
        <f>VLOOKUP(B157,'Player Data'!$A1:$AE734,17,FALSE)*$Q157*IFERROR((VLOOKUP(P157,Settings!$E$28:$F$33,2,FALSE)+1),1)</f>
        <v>5.1221439787457133</v>
      </c>
      <c r="AD157" s="40">
        <f>VLOOKUP(B157,'Player Data'!$A1:$AE734,18,FALSE)*$Q157</f>
        <v>32.593847838013168</v>
      </c>
      <c r="AE157" s="40">
        <f>VLOOKUP(B157,'Player Data'!$A1:$AE734,19,FALSE)*$Q157*IFERROR((VLOOKUP(P157,Settings!$E$28:$F$33,2,FALSE)+1),1)</f>
        <v>4.348564924654827</v>
      </c>
      <c r="AF157" s="40">
        <f>VLOOKUP(B157,'Player Data'!$A1:$AE734,20,FALSE)*$Q157</f>
        <v>7.345614991988648</v>
      </c>
      <c r="AG157" s="40">
        <f>VLOOKUP(B157,'Player Data'!$A1:$AE734,21,FALSE)*$Q157</f>
        <v>23.241334214965921</v>
      </c>
      <c r="AH157" s="41">
        <f>VLOOKUP(B157,'Player Data'!$A1:$AE734,22,FALSE)</f>
        <v>0.240155202870592</v>
      </c>
      <c r="AI157" s="38"/>
      <c r="AJ157" s="42"/>
      <c r="AK157" s="40"/>
      <c r="AL157" s="40"/>
      <c r="AM157" s="40"/>
      <c r="AN157" s="40"/>
      <c r="AO157" s="40"/>
      <c r="AP157" s="40"/>
      <c r="AQ157" s="43"/>
      <c r="AR157" s="44"/>
      <c r="AS157" s="38"/>
    </row>
    <row r="158" spans="1:45" ht="21.2" customHeight="1">
      <c r="A158" s="181">
        <f t="shared" si="12"/>
        <v>157</v>
      </c>
      <c r="B158" s="8" t="s">
        <v>242</v>
      </c>
      <c r="C158" s="31" t="s">
        <v>104</v>
      </c>
      <c r="D158" s="32" t="str">
        <f>VLOOKUP(B158,'Player Data'!A1:D734,4,FALSE)</f>
        <v>C</v>
      </c>
      <c r="E158" s="33">
        <f>VLOOKUP(B158,'C'!A1:C208,3,FALSE)</f>
        <v>44</v>
      </c>
      <c r="F158" s="34" t="str">
        <f>VLOOKUP(B158,'Player Data'!A1:B734,2,FALSE)</f>
        <v>LAK</v>
      </c>
      <c r="G158" s="9">
        <f>VLOOKUP(B158,'Player Data'!A1:D734,3,FALSE)</f>
        <v>35</v>
      </c>
      <c r="H158" s="35">
        <f>IFERROR(VLOOKUP(B158,ADP!A1:G731,7,FALSE)/1000000,VLOOKUP(B158,ADP!A1:G731,7,FALSE))</f>
        <v>8</v>
      </c>
      <c r="I158" s="36">
        <f>IF(Settings!$E$15="POINTS",((R158*Q158)*Settings!$B$12)+(S158*Settings!$B$2)+(T158*Settings!$B$3)+(U158*Settings!$B$4)+(V158*Settings!$B$5)+(X158*Settings!$B$9)+(AA158*Settings!$B$6)+(W158*Settings!$B$8)+(AB158*Settings!$B$7)+(AC158*Settings!$B$14)+(AD158*Settings!$B$15)+(AE158*Settings!$B$16)+(AF158*Settings!$B$17)+(AG158*Settings!$B$18)+(Y158*Settings!$B$10)+(Z158*Settings!$B$11),VLOOKUP(B158,'Standard Deviations'!A1:C731,3,FALSE))</f>
        <v>5.2664090249396196</v>
      </c>
      <c r="J158" s="37">
        <f t="shared" si="13"/>
        <v>6.4224500304141702E-2</v>
      </c>
      <c r="K158" s="183">
        <f>IF(Settings!$E$18="C/LW/RW",VLOOKUP(B158,'C'!A1:F208,6,FALSE),VLOOKUP(B158,F!A1:F431,6,FALSE))</f>
        <v>-1.0706416992669832</v>
      </c>
      <c r="L158" s="36">
        <f t="shared" si="14"/>
        <v>-0.1338302124083729</v>
      </c>
      <c r="M158" s="38">
        <f>IF(Settings!$E$9="YAHOO",VLOOKUP(B158,ADP!A1:E731,2,FALSE),IF(Settings!$E$9="ESPN",VLOOKUP(B158,ADP!A1:E731,3,FALSE),IF(Settings!$E$9="FANTRAX",VLOOKUP(B158,ADP!A1:E731,4,FALSE),VLOOKUP(B158,ADP!A1:E731,5,FALSE))))</f>
        <v>108.98</v>
      </c>
      <c r="N158" s="38">
        <f t="shared" si="15"/>
        <v>-48.019999999999996</v>
      </c>
      <c r="O158" s="38"/>
      <c r="P158" s="39" t="str">
        <f>IF(Settings!$E$27="ON",_xlfn.XLOOKUP(B158,ADP!A2:A731,ADP!H2:H731)," ")</f>
        <v xml:space="preserve"> </v>
      </c>
      <c r="Q158" s="40">
        <f>IF(Settings!$E$12="YES",VLOOKUP(B158,'Player Data'!A1:E734,5,FALSE),82)</f>
        <v>82</v>
      </c>
      <c r="R158" s="38">
        <f>VLOOKUP(B158,'Player Data'!$A1:$AE734,6,FALSE)</f>
        <v>20.241907090320101</v>
      </c>
      <c r="S158" s="40">
        <f>VLOOKUP(B158,'Player Data'!$A1:$AE734,7,FALSE)*$Q158*IFERROR((VLOOKUP(P158,Settings!$E$28:$F$33,2,FALSE)+1),1)</f>
        <v>21.765745078783524</v>
      </c>
      <c r="T158" s="40">
        <f>VLOOKUP(B158,'Player Data'!$A1:$AE734,8,FALSE)*$Q158*IFERROR((VLOOKUP(P158,Settings!$E$28:$F$33,2,FALSE)+1),1)</f>
        <v>44.365346959314572</v>
      </c>
      <c r="U158" s="40">
        <f t="shared" si="16"/>
        <v>66.131092038098103</v>
      </c>
      <c r="V158" s="40">
        <f>VLOOKUP(B158,'Player Data'!$A1:$AE734,10,FALSE)*$Q158*IFERROR(((VLOOKUP(P158,Settings!$E$28:$F$33,2,FALSE)/2)+1),1)</f>
        <v>176.62715380248417</v>
      </c>
      <c r="W158" s="40">
        <f>VLOOKUP(B158,'Player Data'!$A1:$AE734,11,FALSE)*$Q158*IFERROR((VLOOKUP(P158,Settings!$E$28:$F$33,2,FALSE)+1),1)</f>
        <v>6.2453905245319978</v>
      </c>
      <c r="X158" s="40">
        <f>VLOOKUP(B158,'Player Data'!$A1:$AE734,12,FALSE)*$Q158*IFERROR((VLOOKUP(P158,Settings!$E$28:$F$33,2,FALSE)+1),1)</f>
        <v>21.915125283551035</v>
      </c>
      <c r="Y158" s="40">
        <f>VLOOKUP(B158,'Player Data'!$A1:$AE734,13,FALSE)*$Q158</f>
        <v>-0.1279871185210549</v>
      </c>
      <c r="Z158" s="40">
        <f>VLOOKUP(B158,'Player Data'!$A1:$AE734,14,FALSE)*$Q158</f>
        <v>0.29380467997714627</v>
      </c>
      <c r="AA158" s="40">
        <f>VLOOKUP(B158,'Player Data'!$A1:$AE734,15,FALSE)*$Q158</f>
        <v>74.651423505703661</v>
      </c>
      <c r="AB158" s="40">
        <f>VLOOKUP(B158,'Player Data'!$A1:$AE734,16,FALSE)*$Q158</f>
        <v>67.967848690034003</v>
      </c>
      <c r="AC158" s="40">
        <f>VLOOKUP(B158,'Player Data'!$A1:$AE734,17,FALSE)*$Q158*IFERROR((VLOOKUP(P158,Settings!$E$28:$F$33,2,FALSE)+1),1)</f>
        <v>0.77638101397141124</v>
      </c>
      <c r="AD158" s="40">
        <f>VLOOKUP(B158,'Player Data'!$A1:$AE734,18,FALSE)*$Q158</f>
        <v>13.671685200877159</v>
      </c>
      <c r="AE158" s="40">
        <f>VLOOKUP(B158,'Player Data'!$A1:$AE734,19,FALSE)*$Q158*IFERROR((VLOOKUP(P158,Settings!$E$28:$F$33,2,FALSE)+1),1)</f>
        <v>3.2226591946436769</v>
      </c>
      <c r="AF158" s="40">
        <f>VLOOKUP(B158,'Player Data'!$A1:$AE734,20,FALSE)*$Q158</f>
        <v>897.28286889112678</v>
      </c>
      <c r="AG158" s="40">
        <f>VLOOKUP(B158,'Player Data'!$A1:$AE734,21,FALSE)*$Q158</f>
        <v>690.81887557515711</v>
      </c>
      <c r="AH158" s="41">
        <f>VLOOKUP(B158,'Player Data'!$A1:$AE734,22,FALSE)</f>
        <v>0.56500338974986697</v>
      </c>
      <c r="AI158" s="38"/>
      <c r="AJ158" s="40"/>
      <c r="AK158" s="40"/>
      <c r="AL158" s="40"/>
      <c r="AM158" s="40"/>
      <c r="AN158" s="40"/>
      <c r="AO158" s="40"/>
      <c r="AP158" s="40"/>
      <c r="AQ158" s="43"/>
      <c r="AR158" s="44"/>
      <c r="AS158" s="38"/>
    </row>
    <row r="159" spans="1:45" ht="21.2" customHeight="1">
      <c r="A159" s="181">
        <f t="shared" si="12"/>
        <v>158</v>
      </c>
      <c r="B159" s="8" t="s">
        <v>239</v>
      </c>
      <c r="C159" s="31" t="s">
        <v>104</v>
      </c>
      <c r="D159" s="32" t="str">
        <f>VLOOKUP(B159,'Player Data'!A1:D734,4,FALSE)</f>
        <v>LW</v>
      </c>
      <c r="E159" s="48">
        <f>VLOOKUP(B159,LW!A1:C227,3,FALSE)</f>
        <v>44</v>
      </c>
      <c r="F159" s="34" t="str">
        <f>VLOOKUP(B159,'Player Data'!A1:B734,2,FALSE)</f>
        <v>CHI</v>
      </c>
      <c r="G159" s="9">
        <f>VLOOKUP(B159,'Player Data'!A1:D734,3,FALSE)</f>
        <v>31</v>
      </c>
      <c r="H159" s="35">
        <f>IFERROR(VLOOKUP(B159,ADP!A1:G731,7,FALSE)/1000000,VLOOKUP(B159,ADP!A1:G731,7,FALSE))</f>
        <v>6</v>
      </c>
      <c r="I159" s="36">
        <f>IF(Settings!$E$15="POINTS",((R159*Q159)*Settings!$B$12)+(S159*Settings!$B$2)+(T159*Settings!$B$3)+(U159*Settings!$B$4)+(V159*Settings!$B$5)+(X159*Settings!$B$9)+(AA159*Settings!$B$6)+(W159*Settings!$B$8)+(AB159*Settings!$B$7)+(AC159*Settings!$B$14)+(AD159*Settings!$B$15)+(AE159*Settings!$B$16)+(AF159*Settings!$B$17)+(AG159*Settings!$B$18)+(Y159*Settings!$B$10)+(Z159*Settings!$B$11),VLOOKUP(B159,'Standard Deviations'!A1:C731,3,FALSE))</f>
        <v>5.5732687830407812</v>
      </c>
      <c r="J159" s="37">
        <f t="shared" si="13"/>
        <v>6.7966692476107093E-2</v>
      </c>
      <c r="K159" s="183">
        <f>IF(Settings!$E$18="C/LW/RW",VLOOKUP(B159,LW!A1:F227,6,FALSE),VLOOKUP(B159,F!A1:F431,6,FALSE))</f>
        <v>-1.08140026108362</v>
      </c>
      <c r="L159" s="36">
        <f t="shared" si="14"/>
        <v>-0.18023337684727</v>
      </c>
      <c r="M159" s="38">
        <f>IF(Settings!$E$9="YAHOO",VLOOKUP(B159,ADP!A1:E731,2,FALSE),IF(Settings!$E$9="ESPN",VLOOKUP(B159,ADP!A1:E731,3,FALSE),IF(Settings!$E$9="FANTRAX",VLOOKUP(B159,ADP!A1:E731,4,FALSE),VLOOKUP(B159,ADP!A1:E731,5,FALSE))))</f>
        <v>155.44</v>
      </c>
      <c r="N159" s="38">
        <f t="shared" si="15"/>
        <v>-2.5600000000000023</v>
      </c>
      <c r="O159" s="38"/>
      <c r="P159" s="39" t="str">
        <f>IF(Settings!$E$27="ON",_xlfn.XLOOKUP(B159,ADP!A2:A731,ADP!H2:H731)," ")</f>
        <v>+</v>
      </c>
      <c r="Q159" s="40">
        <f>IF(Settings!$E$12="YES",VLOOKUP(B159,'Player Data'!A1:E734,5,FALSE),82)</f>
        <v>82</v>
      </c>
      <c r="R159" s="38">
        <f>VLOOKUP(B159,'Player Data'!$A1:$AE734,6,FALSE)</f>
        <v>18.178314869834999</v>
      </c>
      <c r="S159" s="40">
        <f>VLOOKUP(B159,'Player Data'!$A1:$AE734,7,FALSE)*$Q159*IFERROR((VLOOKUP(P159,Settings!$E$28:$F$33,2,FALSE)+1),1)</f>
        <v>23.615716719129797</v>
      </c>
      <c r="T159" s="40">
        <f>VLOOKUP(B159,'Player Data'!$A1:$AE734,8,FALSE)*$Q159*IFERROR((VLOOKUP(P159,Settings!$E$28:$F$33,2,FALSE)+1),1)</f>
        <v>39.378081036918637</v>
      </c>
      <c r="U159" s="40">
        <f t="shared" si="16"/>
        <v>62.993797756048437</v>
      </c>
      <c r="V159" s="40">
        <f>VLOOKUP(B159,'Player Data'!$A1:$AE734,10,FALSE)*$Q159*IFERROR(((VLOOKUP(P159,Settings!$E$28:$F$33,2,FALSE)/2)+1),1)</f>
        <v>239.90935030739257</v>
      </c>
      <c r="W159" s="40">
        <f>VLOOKUP(B159,'Player Data'!$A1:$AE734,11,FALSE)*$Q159*IFERROR((VLOOKUP(P159,Settings!$E$28:$F$33,2,FALSE)+1),1)</f>
        <v>7.5588307817983686</v>
      </c>
      <c r="X159" s="40">
        <f>VLOOKUP(B159,'Player Data'!$A1:$AE734,12,FALSE)*$Q159*IFERROR((VLOOKUP(P159,Settings!$E$28:$F$33,2,FALSE)+1),1)</f>
        <v>17.602328408247132</v>
      </c>
      <c r="Y159" s="40">
        <f>VLOOKUP(B159,'Player Data'!$A1:$AE734,13,FALSE)*$Q159</f>
        <v>7.4837628791590361E-3</v>
      </c>
      <c r="Z159" s="40">
        <f>VLOOKUP(B159,'Player Data'!$A1:$AE734,14,FALSE)*$Q159</f>
        <v>1.3183054439574021E-2</v>
      </c>
      <c r="AA159" s="40">
        <f>VLOOKUP(B159,'Player Data'!$A1:$AE734,15,FALSE)*$Q159</f>
        <v>43.62816844431859</v>
      </c>
      <c r="AB159" s="40">
        <f>VLOOKUP(B159,'Player Data'!$A1:$AE734,16,FALSE)*$Q159</f>
        <v>59.541246019298207</v>
      </c>
      <c r="AC159" s="40">
        <f>VLOOKUP(B159,'Player Data'!$A1:$AE734,17,FALSE)*$Q159*IFERROR((VLOOKUP(P159,Settings!$E$28:$F$33,2,FALSE)+1),1)</f>
        <v>-4.5334653323035541</v>
      </c>
      <c r="AD159" s="40">
        <f>VLOOKUP(B159,'Player Data'!$A1:$AE734,18,FALSE)*$Q159</f>
        <v>38.10242685132998</v>
      </c>
      <c r="AE159" s="40">
        <f>VLOOKUP(B159,'Player Data'!$A1:$AE734,19,FALSE)*$Q159*IFERROR((VLOOKUP(P159,Settings!$E$28:$F$33,2,FALSE)+1),1)</f>
        <v>2.767326335606151</v>
      </c>
      <c r="AF159" s="40">
        <f>VLOOKUP(B159,'Player Data'!$A1:$AE734,20,FALSE)*$Q159</f>
        <v>9.4492923578543202</v>
      </c>
      <c r="AG159" s="40">
        <f>VLOOKUP(B159,'Player Data'!$A1:$AE734,21,FALSE)*$Q159</f>
        <v>11.799745163292529</v>
      </c>
      <c r="AH159" s="41">
        <f>VLOOKUP(B159,'Player Data'!$A1:$AE734,22,FALSE)</f>
        <v>0.44469272306806601</v>
      </c>
      <c r="AI159" s="38"/>
      <c r="AJ159" s="42"/>
      <c r="AK159" s="40"/>
      <c r="AL159" s="40"/>
      <c r="AM159" s="40"/>
      <c r="AN159" s="40"/>
      <c r="AO159" s="40"/>
      <c r="AP159" s="40"/>
      <c r="AQ159" s="43"/>
      <c r="AR159" s="44"/>
      <c r="AS159" s="38"/>
    </row>
    <row r="160" spans="1:45" ht="21.2" customHeight="1">
      <c r="A160" s="181">
        <f t="shared" si="12"/>
        <v>159</v>
      </c>
      <c r="B160" s="8" t="s">
        <v>246</v>
      </c>
      <c r="C160" s="31" t="s">
        <v>104</v>
      </c>
      <c r="D160" s="32" t="str">
        <f>VLOOKUP(B160,'Player Data'!A1:D734,4,FALSE)</f>
        <v>D</v>
      </c>
      <c r="E160" s="47">
        <f>VLOOKUP(B160,D!A1:C229,3,FALSE)</f>
        <v>41</v>
      </c>
      <c r="F160" s="34" t="str">
        <f>VLOOKUP(B160,'Player Data'!A1:B734,2,FALSE)</f>
        <v>FLA</v>
      </c>
      <c r="G160" s="9">
        <f>VLOOKUP(B160,'Player Data'!A1:D734,3,FALSE)</f>
        <v>27</v>
      </c>
      <c r="H160" s="35">
        <f>IFERROR(VLOOKUP(B160,ADP!A1:G731,7,FALSE)/1000000,VLOOKUP(B160,ADP!A1:G731,7,FALSE))</f>
        <v>2.6669999999999998</v>
      </c>
      <c r="I160" s="36">
        <f>IF(Settings!$E$15="POINTS",((R160*Q160)*Settings!$B$12)+(S160*Settings!$B$2)+(T160*Settings!$B$3)+(U160*Settings!$B$4)+(V160*Settings!$B$5)+(X160*Settings!$B$9)+(AA160*Settings!$B$6)+(W160*Settings!$B$8)+(AB160*Settings!$B$7)+(AC160*Settings!$B$14)+(AD160*Settings!$B$15)+(AE160*Settings!$B$16)+(AF160*Settings!$B$17)+(AG160*Settings!$B$18)+(U160*Settings!$B$13)+(Y160*Settings!$B$10)+(Z160*Settings!$B$11),VLOOKUP(B160,'Standard Deviations'!A1:C731,3,FALSE))</f>
        <v>0.82985902337235906</v>
      </c>
      <c r="J160" s="37">
        <f t="shared" si="13"/>
        <v>1.0120231992345843E-2</v>
      </c>
      <c r="K160" s="183">
        <f>VLOOKUP(B160,D!A1:F229,6,FALSE)</f>
        <v>-1.1118815202619516</v>
      </c>
      <c r="L160" s="36">
        <f t="shared" si="14"/>
        <v>-0.41690345716608612</v>
      </c>
      <c r="M160" s="38">
        <f>IF(Settings!$E$9="YAHOO",VLOOKUP(B160,ADP!A1:E731,2,FALSE),IF(Settings!$E$9="ESPN",VLOOKUP(B160,ADP!A1:E731,3,FALSE),IF(Settings!$E$9="FANTRAX",VLOOKUP(B160,ADP!A1:E731,4,FALSE),VLOOKUP(B160,ADP!A1:E731,5,FALSE))))</f>
        <v>171.45</v>
      </c>
      <c r="N160" s="38">
        <f t="shared" si="15"/>
        <v>12.449999999999989</v>
      </c>
      <c r="O160" s="38"/>
      <c r="P160" s="39" t="str">
        <f>IF(Settings!$E$27="ON",_xlfn.XLOOKUP(B160,ADP!A2:A731,ADP!H2:H731)," ")</f>
        <v xml:space="preserve"> </v>
      </c>
      <c r="Q160" s="40">
        <f>IF(Settings!$E$12="YES",VLOOKUP(B160,'Player Data'!A1:E734,5,FALSE),82)</f>
        <v>82</v>
      </c>
      <c r="R160" s="38">
        <f>VLOOKUP(B160,'Player Data'!$A1:$AE734,6,FALSE)</f>
        <v>22.885238833841498</v>
      </c>
      <c r="S160" s="40">
        <f>VLOOKUP(B160,'Player Data'!$A1:$AE734,7,FALSE)*$Q160*IFERROR((VLOOKUP(P160,Settings!$E$28:$F$33,2,FALSE)+1),1)</f>
        <v>11.787075998233336</v>
      </c>
      <c r="T160" s="40">
        <f>VLOOKUP(B160,'Player Data'!$A1:$AE734,8,FALSE)*$Q160*IFERROR((VLOOKUP(P160,Settings!$E$28:$F$33,2,FALSE)+1),1)</f>
        <v>30.39143191309967</v>
      </c>
      <c r="U160" s="40">
        <f t="shared" si="16"/>
        <v>42.178507911333007</v>
      </c>
      <c r="V160" s="40">
        <f>VLOOKUP(B160,'Player Data'!$A1:$AE734,10,FALSE)*$Q160*IFERROR(((VLOOKUP(P160,Settings!$E$28:$F$33,2,FALSE)/2)+1),1)</f>
        <v>196.10155662753024</v>
      </c>
      <c r="W160" s="40">
        <f>VLOOKUP(B160,'Player Data'!$A1:$AE734,11,FALSE)*$Q160*IFERROR((VLOOKUP(P160,Settings!$E$28:$F$33,2,FALSE)+1),1)</f>
        <v>0.92406862790971001</v>
      </c>
      <c r="X160" s="40">
        <f>VLOOKUP(B160,'Player Data'!$A1:$AE734,12,FALSE)*$Q160*IFERROR((VLOOKUP(P160,Settings!$E$28:$F$33,2,FALSE)+1),1)</f>
        <v>4.5806579593860421</v>
      </c>
      <c r="Y160" s="40">
        <f>VLOOKUP(B160,'Player Data'!$A1:$AE734,13,FALSE)*$Q160</f>
        <v>2.4788119936587479E-2</v>
      </c>
      <c r="Z160" s="40">
        <f>VLOOKUP(B160,'Player Data'!$A1:$AE734,14,FALSE)*$Q160</f>
        <v>1.2077916970347873</v>
      </c>
      <c r="AA160" s="40">
        <f>VLOOKUP(B160,'Player Data'!$A1:$AE734,15,FALSE)*$Q160</f>
        <v>108.93702381879994</v>
      </c>
      <c r="AB160" s="40">
        <f>VLOOKUP(B160,'Player Data'!$A1:$AE734,16,FALSE)*$Q160</f>
        <v>70.713893221180342</v>
      </c>
      <c r="AC160" s="40">
        <f>VLOOKUP(B160,'Player Data'!$A1:$AE734,17,FALSE)*$Q160*IFERROR((VLOOKUP(P160,Settings!$E$28:$F$33,2,FALSE)+1),1)</f>
        <v>4.7596241798573962</v>
      </c>
      <c r="AD160" s="40">
        <f>VLOOKUP(B160,'Player Data'!$A1:$AE734,18,FALSE)*$Q160</f>
        <v>34.939763445295561</v>
      </c>
      <c r="AE160" s="40">
        <f>VLOOKUP(B160,'Player Data'!$A1:$AE734,19,FALSE)*$Q160*IFERROR((VLOOKUP(P160,Settings!$E$28:$F$33,2,FALSE)+1),1)</f>
        <v>1.6908829380637189</v>
      </c>
      <c r="AF160" s="40">
        <f>VLOOKUP(B160,'Player Data'!$A1:$AE734,20,FALSE)*$Q160</f>
        <v>0</v>
      </c>
      <c r="AG160" s="40">
        <f>VLOOKUP(B160,'Player Data'!$A1:$AE734,21,FALSE)*$Q160</f>
        <v>0</v>
      </c>
      <c r="AH160" s="41">
        <f>VLOOKUP(B160,'Player Data'!$A1:$AE734,22,FALSE)</f>
        <v>0</v>
      </c>
      <c r="AI160" s="38"/>
      <c r="AJ160" s="42"/>
      <c r="AK160" s="40"/>
      <c r="AL160" s="40"/>
      <c r="AM160" s="40"/>
      <c r="AN160" s="40"/>
      <c r="AO160" s="40"/>
      <c r="AP160" s="40"/>
      <c r="AQ160" s="43"/>
      <c r="AR160" s="44"/>
      <c r="AS160" s="42"/>
    </row>
    <row r="161" spans="1:45" ht="21.2" customHeight="1">
      <c r="A161" s="181">
        <f t="shared" si="12"/>
        <v>160</v>
      </c>
      <c r="B161" s="8" t="s">
        <v>408</v>
      </c>
      <c r="C161" s="31" t="s">
        <v>104</v>
      </c>
      <c r="D161" s="32" t="str">
        <f>VLOOKUP(B161,'Player Data'!A1:D734,4,FALSE)</f>
        <v>G</v>
      </c>
      <c r="E161" s="50">
        <f>VLOOKUP(B161,G!A1:D75,3,FALSE)</f>
        <v>29</v>
      </c>
      <c r="F161" s="34" t="str">
        <f>VLOOKUP(B161,'Player Data'!A1:B734,2,FALSE)</f>
        <v>ARI</v>
      </c>
      <c r="G161" s="9">
        <f>VLOOKUP(B161,'Player Data'!A1:D734,3,FALSE)</f>
        <v>27</v>
      </c>
      <c r="H161" s="35">
        <f>IFERROR(VLOOKUP(B161,ADP!A1:G731,7,FALSE)/1000000,VLOOKUP(B161,ADP!A1:G731,7,FALSE))</f>
        <v>2.7250000000000001</v>
      </c>
      <c r="I161" s="36">
        <f>IF(Settings!$E$15="POINTS",(AJ161*Settings!$B$29)+(AK161*Settings!$B$21)+(AL161*Settings!$B$22)+(AN161*Settings!$B$24)+(AO161*Settings!$B$25)+(AP161*Settings!$B$27)+(AM161*Settings!$B$23),VLOOKUP(B161,'Standard Deviations'!A1:C731,3,FALSE))</f>
        <v>0.58644566356808481</v>
      </c>
      <c r="J161" s="37">
        <f t="shared" si="13"/>
        <v>1.3962991989716305E-2</v>
      </c>
      <c r="K161" s="183">
        <f>VLOOKUP(B161,G!A1:F75,6,FALSE)</f>
        <v>-1.1177833876222067</v>
      </c>
      <c r="L161" s="36">
        <f t="shared" si="14"/>
        <v>-0.41019573857695657</v>
      </c>
      <c r="M161" s="38">
        <f>IF(Settings!$E$9="YAHOO",VLOOKUP(B161,ADP!A1:E731,2,FALSE),IF(Settings!$E$9="ESPN",VLOOKUP(B161,ADP!A1:E731,3,FALSE),IF(Settings!$E$9="FANTRAX",VLOOKUP(B161,ADP!A1:E731,4,FALSE),VLOOKUP(B161,ADP!A1:E731,5,FALSE))))</f>
        <v>216.81</v>
      </c>
      <c r="N161" s="38">
        <f t="shared" si="15"/>
        <v>56.81</v>
      </c>
      <c r="O161" s="38"/>
      <c r="P161" s="39" t="str">
        <f>IF(Settings!$E$27="ON",_xlfn.XLOOKUP(B161,ADP!A2:A731,ADP!H2:H731)," ")</f>
        <v xml:space="preserve"> </v>
      </c>
      <c r="Q161" s="40"/>
      <c r="R161" s="51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1"/>
      <c r="AI161" s="38"/>
      <c r="AJ161" s="42">
        <f>VLOOKUP(B161,'Player Data'!$A1:$AE734,24,FALSE)</f>
        <v>42</v>
      </c>
      <c r="AK161" s="40">
        <f>VLOOKUP(B161,'Player Data'!$A1:$AE734,25,FALSE)*$AJ161*IFERROR((VLOOKUP(P161,Settings!$E$28:$F$33,2,FALSE)+1),1)</f>
        <v>18.417051726323042</v>
      </c>
      <c r="AL161" s="40">
        <f>AJ161-AK161-AM161</f>
        <v>18.332948273676958</v>
      </c>
      <c r="AM161" s="40">
        <f>VLOOKUP(B161,'Player Data'!$A1:$AE734,27,FALSE)*$AJ161</f>
        <v>5.25</v>
      </c>
      <c r="AN161" s="40">
        <f>VLOOKUP(B161,'Player Data'!$A1:$AE734,28,FALSE)*AJ161</f>
        <v>2.0879345772637046</v>
      </c>
      <c r="AO161" s="40">
        <f>VLOOKUP(B161,'Player Data'!$A1:$AE734,29,FALSE)*$AJ161*IFERROR((VLOOKUP(P161,Settings!$E$28:$F$33,2,FALSE)/4)+1,1)</f>
        <v>1178.5325924782535</v>
      </c>
      <c r="AP161" s="40">
        <f>VLOOKUP(B161,'Player Data'!$A1:$AE734,31,FALSE)*$AJ161*(IFERROR(1-(VLOOKUP(P161,Settings!$E$28:$F$33,2,FALSE)/4),1))</f>
        <v>121.54012333424473</v>
      </c>
      <c r="AQ161" s="43">
        <f>1-(AP161/(AO161+AP161))</f>
        <v>0.90651282666270971</v>
      </c>
      <c r="AR161" s="44">
        <f>AP161/AJ161</f>
        <v>2.8938124603391602</v>
      </c>
      <c r="AS161" s="42"/>
    </row>
    <row r="162" spans="1:45" ht="21.2" customHeight="1">
      <c r="A162" s="181">
        <f t="shared" si="12"/>
        <v>161</v>
      </c>
      <c r="B162" s="8" t="s">
        <v>231</v>
      </c>
      <c r="C162" s="31" t="s">
        <v>104</v>
      </c>
      <c r="D162" s="32" t="str">
        <f>VLOOKUP(B162,'Player Data'!A1:D734,4,FALSE)</f>
        <v>RW</v>
      </c>
      <c r="E162" s="46">
        <f>VLOOKUP(B162,RW!A1:F189,3,FALSE)</f>
        <v>40</v>
      </c>
      <c r="F162" s="34" t="str">
        <f>VLOOKUP(B162,'Player Data'!A1:B734,2,FALSE)</f>
        <v>UFA</v>
      </c>
      <c r="G162" s="9">
        <f>VLOOKUP(B162,'Player Data'!A1:D734,3,FALSE)</f>
        <v>34</v>
      </c>
      <c r="H162" s="35">
        <f>IFERROR(VLOOKUP(B162,ADP!A1:G731,7,FALSE)/1000000,VLOOKUP(B162,ADP!A1:G731,7,FALSE))</f>
        <v>6.6539999999999999</v>
      </c>
      <c r="I162" s="36">
        <f>IF(Settings!$E$15="POINTS",((R162*Q162)*Settings!$B$12)+(S162*Settings!$B$2)+(T162*Settings!$B$3)+(U162*Settings!$B$4)+(V162*Settings!$B$5)+(X162*Settings!$B$9)+(AA162*Settings!$B$6)+(W162*Settings!$B$8)+(AB162*Settings!$B$7)+(AC162*Settings!$B$14)+(AD162*Settings!$B$15)+(AE162*Settings!$B$16)+(AF162*Settings!$B$17)+(AG162*Settings!$B$18)+(Y162*Settings!$B$10)+(Z162*Settings!$B$11),VLOOKUP(B162,'Standard Deviations'!A1:C731,3,FALSE))</f>
        <v>5.0986563421658717</v>
      </c>
      <c r="J162" s="37">
        <f t="shared" si="13"/>
        <v>6.2178735880071605E-2</v>
      </c>
      <c r="K162" s="183">
        <f>IF(Settings!$E$18="C/LW/RW",VLOOKUP(B162,RW!A1:F189,6,FALSE),VLOOKUP(B162,F!A1:F431,6,FALSE))</f>
        <v>-1.1816023768452091</v>
      </c>
      <c r="L162" s="36">
        <f t="shared" si="14"/>
        <v>-0.17757775425987513</v>
      </c>
      <c r="M162" s="38">
        <f>IF(Settings!$E$9="YAHOO",VLOOKUP(B162,ADP!A1:E731,2,FALSE),IF(Settings!$E$9="ESPN",VLOOKUP(B162,ADP!A1:E731,3,FALSE),IF(Settings!$E$9="FANTRAX",VLOOKUP(B162,ADP!A1:E731,4,FALSE),VLOOKUP(B162,ADP!A1:E731,5,FALSE))))</f>
        <v>150.21</v>
      </c>
      <c r="N162" s="38">
        <f t="shared" si="15"/>
        <v>-10.789999999999992</v>
      </c>
      <c r="O162" s="38"/>
      <c r="P162" s="39" t="str">
        <f>IF(Settings!$E$27="ON",_xlfn.XLOOKUP(B162,ADP!A2:A731,ADP!H2:H731)," ")</f>
        <v xml:space="preserve"> </v>
      </c>
      <c r="Q162" s="40">
        <f>IF(Settings!$E$12="YES",VLOOKUP(B162,'Player Data'!A1:E734,5,FALSE),82)</f>
        <v>82</v>
      </c>
      <c r="R162" s="38">
        <f>VLOOKUP(B162,'Player Data'!$A1:$AE734,6,FALSE)</f>
        <v>16.581815100196302</v>
      </c>
      <c r="S162" s="40">
        <f>VLOOKUP(B162,'Player Data'!$A1:$AE734,7,FALSE)*$Q162*IFERROR((VLOOKUP(P162,Settings!$E$28:$F$33,2,FALSE)+1),1)</f>
        <v>18.409869448828999</v>
      </c>
      <c r="T162" s="40">
        <f>VLOOKUP(B162,'Player Data'!$A1:$AE734,8,FALSE)*$Q162*IFERROR((VLOOKUP(P162,Settings!$E$28:$F$33,2,FALSE)+1),1)</f>
        <v>41.52651854907149</v>
      </c>
      <c r="U162" s="40">
        <f>SUM(S162:T162)</f>
        <v>59.936387997900489</v>
      </c>
      <c r="V162" s="40">
        <f>VLOOKUP(B162,'Player Data'!$A1:$AE734,10,FALSE)*$Q162*IFERROR(((VLOOKUP(P162,Settings!$E$28:$F$33,2,FALSE)/2)+1),1)</f>
        <v>217.67797578593292</v>
      </c>
      <c r="W162" s="40">
        <f>VLOOKUP(B162,'Player Data'!$A1:$AE734,11,FALSE)*$Q162*IFERROR((VLOOKUP(P162,Settings!$E$28:$F$33,2,FALSE)+1),1)</f>
        <v>4.9265906138471589</v>
      </c>
      <c r="X162" s="40">
        <f>VLOOKUP(B162,'Player Data'!$A1:$AE734,12,FALSE)*$Q162*IFERROR((VLOOKUP(P162,Settings!$E$28:$F$33,2,FALSE)+1),1)</f>
        <v>21.35770189522459</v>
      </c>
      <c r="Y162" s="40">
        <f>VLOOKUP(B162,'Player Data'!$A1:$AE734,13,FALSE)*$Q162</f>
        <v>0</v>
      </c>
      <c r="Z162" s="40">
        <f>VLOOKUP(B162,'Player Data'!$A1:$AE734,14,FALSE)*$Q162</f>
        <v>0</v>
      </c>
      <c r="AA162" s="40">
        <f>VLOOKUP(B162,'Player Data'!$A1:$AE734,15,FALSE)*$Q162</f>
        <v>20.609754671139729</v>
      </c>
      <c r="AB162" s="40">
        <f>VLOOKUP(B162,'Player Data'!$A1:$AE734,16,FALSE)*$Q162</f>
        <v>18.192962049591596</v>
      </c>
      <c r="AC162" s="40">
        <f>VLOOKUP(B162,'Player Data'!$A1:$AE734,17,FALSE)*$Q162*IFERROR((VLOOKUP(P162,Settings!$E$28:$F$33,2,FALSE)+1),1)</f>
        <v>-1.0498195651950191</v>
      </c>
      <c r="AD162" s="40">
        <f>VLOOKUP(B162,'Player Data'!$A1:$AE734,18,FALSE)*$Q162</f>
        <v>17.758205147801711</v>
      </c>
      <c r="AE162" s="40">
        <f>VLOOKUP(B162,'Player Data'!$A1:$AE734,19,FALSE)*$Q162*IFERROR((VLOOKUP(P162,Settings!$E$28:$F$33,2,FALSE)+1),1)</f>
        <v>0</v>
      </c>
      <c r="AF162" s="40">
        <f>VLOOKUP(B162,'Player Data'!$A1:$AE734,20,FALSE)*$Q162</f>
        <v>1.564066287564349</v>
      </c>
      <c r="AG162" s="40">
        <f>VLOOKUP(B162,'Player Data'!$A1:$AE734,21,FALSE)*$Q162</f>
        <v>1.8670593524634984</v>
      </c>
      <c r="AH162" s="41">
        <f>VLOOKUP(B162,'Player Data'!$A1:$AE734,22,FALSE)</f>
        <v>0.455846404840965</v>
      </c>
      <c r="AI162" s="38"/>
      <c r="AJ162" s="40"/>
      <c r="AK162" s="40"/>
      <c r="AL162" s="40"/>
      <c r="AM162" s="40"/>
      <c r="AN162" s="40"/>
      <c r="AO162" s="40"/>
      <c r="AP162" s="40"/>
      <c r="AQ162" s="43"/>
      <c r="AR162" s="44"/>
      <c r="AS162" s="42"/>
    </row>
    <row r="163" spans="1:45" ht="21.2" customHeight="1">
      <c r="A163" s="181">
        <f t="shared" si="12"/>
        <v>162</v>
      </c>
      <c r="B163" s="8" t="s">
        <v>262</v>
      </c>
      <c r="C163" s="31" t="s">
        <v>104</v>
      </c>
      <c r="D163" s="32" t="str">
        <f>VLOOKUP(B163,'Player Data'!A1:D734,4,FALSE)</f>
        <v>RW</v>
      </c>
      <c r="E163" s="46">
        <f>VLOOKUP(B163,RW!A1:F189,3,FALSE)</f>
        <v>41</v>
      </c>
      <c r="F163" s="34" t="str">
        <f>VLOOKUP(B163,'Player Data'!A1:B734,2,FALSE)</f>
        <v>UFA</v>
      </c>
      <c r="G163" s="9">
        <f>VLOOKUP(B163,'Player Data'!A1:D734,3,FALSE)</f>
        <v>31</v>
      </c>
      <c r="H163" s="35">
        <f>IFERROR(VLOOKUP(B163,ADP!A1:G731,7,FALSE)/1000000,VLOOKUP(B163,ADP!A1:G731,7,FALSE))</f>
        <v>5</v>
      </c>
      <c r="I163" s="36">
        <f>IF(Settings!$E$15="POINTS",((R163*Q163)*Settings!$B$12)+(S163*Settings!$B$2)+(T163*Settings!$B$3)+(U163*Settings!$B$4)+(V163*Settings!$B$5)+(X163*Settings!$B$9)+(AA163*Settings!$B$6)+(W163*Settings!$B$8)+(AB163*Settings!$B$7)+(AC163*Settings!$B$14)+(AD163*Settings!$B$15)+(AE163*Settings!$B$16)+(AF163*Settings!$B$17)+(AG163*Settings!$B$18)+(Y163*Settings!$B$10)+(Z163*Settings!$B$11),VLOOKUP(B163,'Standard Deviations'!A1:C731,3,FALSE))</f>
        <v>5.0930817875009531</v>
      </c>
      <c r="J163" s="37">
        <f t="shared" si="13"/>
        <v>6.2110753506109187E-2</v>
      </c>
      <c r="K163" s="183">
        <f>IF(Settings!$E$18="C/LW/RW",VLOOKUP(B163,RW!A1:F189,6,FALSE),VLOOKUP(B163,F!A1:F431,6,FALSE))</f>
        <v>-1.1871769315101277</v>
      </c>
      <c r="L163" s="36">
        <f t="shared" si="14"/>
        <v>-0.23743538630202554</v>
      </c>
      <c r="M163" s="38">
        <f>IF(Settings!$E$9="YAHOO",VLOOKUP(B163,ADP!A1:E731,2,FALSE),IF(Settings!$E$9="ESPN",VLOOKUP(B163,ADP!A1:E731,3,FALSE),IF(Settings!$E$9="FANTRAX",VLOOKUP(B163,ADP!A1:E731,4,FALSE),VLOOKUP(B163,ADP!A1:E731,5,FALSE))))</f>
        <v>122.35</v>
      </c>
      <c r="N163" s="38">
        <f t="shared" si="15"/>
        <v>-39.650000000000006</v>
      </c>
      <c r="O163" s="38"/>
      <c r="P163" s="39" t="str">
        <f>IF(Settings!$E$27="ON",_xlfn.XLOOKUP(B163,ADP!A2:A731,ADP!H2:H731)," ")</f>
        <v xml:space="preserve"> </v>
      </c>
      <c r="Q163" s="40">
        <f>IF(Settings!$E$12="YES",VLOOKUP(B163,'Player Data'!A1:E734,5,FALSE),82)</f>
        <v>82</v>
      </c>
      <c r="R163" s="38">
        <f>VLOOKUP(B163,'Player Data'!$A1:$AE734,6,FALSE)</f>
        <v>16.141911793723299</v>
      </c>
      <c r="S163" s="40">
        <f>VLOOKUP(B163,'Player Data'!$A1:$AE734,7,FALSE)*$Q163*IFERROR((VLOOKUP(P163,Settings!$E$28:$F$33,2,FALSE)+1),1)</f>
        <v>23.563125068135992</v>
      </c>
      <c r="T163" s="40">
        <f>VLOOKUP(B163,'Player Data'!$A1:$AE734,8,FALSE)*$Q163*IFERROR((VLOOKUP(P163,Settings!$E$28:$F$33,2,FALSE)+1),1)</f>
        <v>37.492330773633441</v>
      </c>
      <c r="U163" s="40">
        <f>SUM(S163:T163)</f>
        <v>61.05545584176943</v>
      </c>
      <c r="V163" s="40">
        <f>VLOOKUP(B163,'Player Data'!$A1:$AE734,10,FALSE)*$Q163*IFERROR(((VLOOKUP(P163,Settings!$E$28:$F$33,2,FALSE)/2)+1),1)</f>
        <v>216.53903915547298</v>
      </c>
      <c r="W163" s="40">
        <f>VLOOKUP(B163,'Player Data'!$A1:$AE734,11,FALSE)*$Q163*IFERROR((VLOOKUP(P163,Settings!$E$28:$F$33,2,FALSE)+1),1)</f>
        <v>5.0056169236126573</v>
      </c>
      <c r="X163" s="40">
        <f>VLOOKUP(B163,'Player Data'!$A1:$AE734,12,FALSE)*$Q163*IFERROR((VLOOKUP(P163,Settings!$E$28:$F$33,2,FALSE)+1),1)</f>
        <v>18.993191856562827</v>
      </c>
      <c r="Y163" s="40">
        <f>VLOOKUP(B163,'Player Data'!$A1:$AE734,13,FALSE)*$Q163</f>
        <v>7.6112459245534312E-3</v>
      </c>
      <c r="Z163" s="40">
        <f>VLOOKUP(B163,'Player Data'!$A1:$AE734,14,FALSE)*$Q163</f>
        <v>1.2991004571964719E-2</v>
      </c>
      <c r="AA163" s="40">
        <f>VLOOKUP(B163,'Player Data'!$A1:$AE734,15,FALSE)*$Q163</f>
        <v>43.051303926304513</v>
      </c>
      <c r="AB163" s="40">
        <f>VLOOKUP(B163,'Player Data'!$A1:$AE734,16,FALSE)*$Q163</f>
        <v>86.358720928577881</v>
      </c>
      <c r="AC163" s="40">
        <f>VLOOKUP(B163,'Player Data'!$A1:$AE734,17,FALSE)*$Q163*IFERROR((VLOOKUP(P163,Settings!$E$28:$F$33,2,FALSE)+1),1)</f>
        <v>0.24697104109435378</v>
      </c>
      <c r="AD163" s="40">
        <f>VLOOKUP(B163,'Player Data'!$A1:$AE734,18,FALSE)*$Q163</f>
        <v>17.470517698011498</v>
      </c>
      <c r="AE163" s="40">
        <f>VLOOKUP(B163,'Player Data'!$A1:$AE734,19,FALSE)*$Q163*IFERROR((VLOOKUP(P163,Settings!$E$28:$F$33,2,FALSE)+1),1)</f>
        <v>0</v>
      </c>
      <c r="AF163" s="40">
        <f>VLOOKUP(B163,'Player Data'!$A1:$AE734,20,FALSE)*$Q163</f>
        <v>0.58408231736322691</v>
      </c>
      <c r="AG163" s="40">
        <f>VLOOKUP(B163,'Player Data'!$A1:$AE734,21,FALSE)*$Q163</f>
        <v>3.1659713942125487</v>
      </c>
      <c r="AH163" s="41">
        <f>VLOOKUP(B163,'Player Data'!$A1:$AE734,22,FALSE)</f>
        <v>0.155753053765674</v>
      </c>
      <c r="AI163" s="38"/>
      <c r="AJ163" s="42"/>
      <c r="AK163" s="40"/>
      <c r="AL163" s="40"/>
      <c r="AM163" s="40"/>
      <c r="AN163" s="40"/>
      <c r="AO163" s="40"/>
      <c r="AP163" s="40"/>
      <c r="AQ163" s="43"/>
      <c r="AR163" s="44"/>
      <c r="AS163" s="38"/>
    </row>
    <row r="164" spans="1:45" ht="21.2" customHeight="1">
      <c r="A164" s="181">
        <f t="shared" si="12"/>
        <v>163</v>
      </c>
      <c r="B164" s="8" t="s">
        <v>422</v>
      </c>
      <c r="C164" s="31" t="s">
        <v>104</v>
      </c>
      <c r="D164" s="32" t="str">
        <f>VLOOKUP(B164,'Player Data'!A1:D734,4,FALSE)</f>
        <v>G</v>
      </c>
      <c r="E164" s="50">
        <f>VLOOKUP(B164,G!A1:D75,3,FALSE)</f>
        <v>30</v>
      </c>
      <c r="F164" s="34" t="str">
        <f>VLOOKUP(B164,'Player Data'!A1:B734,2,FALSE)</f>
        <v>BOS</v>
      </c>
      <c r="G164" s="9">
        <f>VLOOKUP(B164,'Player Data'!A1:D734,3,FALSE)</f>
        <v>24</v>
      </c>
      <c r="H164" s="35">
        <f>IFERROR(VLOOKUP(B164,ADP!A1:G731,7,FALSE)/1000000,VLOOKUP(B164,ADP!A1:G731,7,FALSE))</f>
        <v>0</v>
      </c>
      <c r="I164" s="36">
        <f>IF(Settings!$E$15="POINTS",(AJ164*Settings!$B$29)+(AK164*Settings!$B$21)+(AL164*Settings!$B$22)+(AN164*Settings!$B$24)+(AO164*Settings!$B$25)+(AP164*Settings!$B$27)+(AM164*Settings!$B$23),VLOOKUP(B164,'Standard Deviations'!A1:C731,3,FALSE))</f>
        <v>0.47195335007228612</v>
      </c>
      <c r="J164" s="37">
        <f t="shared" si="13"/>
        <v>1.3109815279785726E-2</v>
      </c>
      <c r="K164" s="183">
        <f>VLOOKUP(B164,G!A1:F75,6,FALSE)</f>
        <v>-1.2322757011180054</v>
      </c>
      <c r="L164" s="49" t="str">
        <f t="shared" si="14"/>
        <v>N/A</v>
      </c>
      <c r="M164" s="38">
        <f>IF(Settings!$E$9="YAHOO",VLOOKUP(B164,ADP!A1:E731,2,FALSE),IF(Settings!$E$9="ESPN",VLOOKUP(B164,ADP!A1:E731,3,FALSE),IF(Settings!$E$9="FANTRAX",VLOOKUP(B164,ADP!A1:E731,4,FALSE),VLOOKUP(B164,ADP!A1:E731,5,FALSE))))</f>
        <v>203.34</v>
      </c>
      <c r="N164" s="38">
        <f t="shared" si="15"/>
        <v>40.340000000000003</v>
      </c>
      <c r="O164" s="38"/>
      <c r="P164" s="39" t="str">
        <f>IF(Settings!$E$27="ON",_xlfn.XLOOKUP(B164,ADP!A2:A731,ADP!H2:H731)," ")</f>
        <v xml:space="preserve"> </v>
      </c>
      <c r="Q164" s="40"/>
      <c r="R164" s="51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1"/>
      <c r="AI164" s="38"/>
      <c r="AJ164" s="42">
        <f>VLOOKUP(B164,'Player Data'!$A1:$AE734,24,FALSE)</f>
        <v>36</v>
      </c>
      <c r="AK164" s="40">
        <f>VLOOKUP(B164,'Player Data'!$A1:$AE734,25,FALSE)*$AJ164*IFERROR((VLOOKUP(P164,Settings!$E$28:$F$33,2,FALSE)+1),1)</f>
        <v>20.526242158040652</v>
      </c>
      <c r="AL164" s="40">
        <f>AJ164-AK164-AM164</f>
        <v>10.973757841959348</v>
      </c>
      <c r="AM164" s="40">
        <f>VLOOKUP(B164,'Player Data'!$A1:$AE734,27,FALSE)*$AJ164</f>
        <v>4.5</v>
      </c>
      <c r="AN164" s="40">
        <f>VLOOKUP(B164,'Player Data'!$A1:$AE734,28,FALSE)*AJ164</f>
        <v>2.1799611450013607</v>
      </c>
      <c r="AO164" s="40">
        <f>VLOOKUP(B164,'Player Data'!$A1:$AE734,29,FALSE)*$AJ164*IFERROR((VLOOKUP(P164,Settings!$E$28:$F$33,2,FALSE)/4)+1,1)</f>
        <v>1023.9451459244927</v>
      </c>
      <c r="AP164" s="40">
        <f>VLOOKUP(B164,'Player Data'!$A1:$AE734,31,FALSE)*$AJ164*(IFERROR(1-(VLOOKUP(P164,Settings!$E$28:$F$33,2,FALSE)/4),1))</f>
        <v>99.06857140050576</v>
      </c>
      <c r="AQ164" s="43">
        <f>1-(AP164/(AO164+AP164))</f>
        <v>0.91178329358568688</v>
      </c>
      <c r="AR164" s="44">
        <f>AP164/AJ164</f>
        <v>2.7519047611251599</v>
      </c>
      <c r="AS164" s="38"/>
    </row>
    <row r="165" spans="1:45" ht="21.2" customHeight="1">
      <c r="A165" s="181">
        <f t="shared" si="12"/>
        <v>164</v>
      </c>
      <c r="B165" s="8" t="s">
        <v>240</v>
      </c>
      <c r="C165" s="31" t="s">
        <v>104</v>
      </c>
      <c r="D165" s="32" t="str">
        <f>VLOOKUP(B165,'Player Data'!A1:D734,4,FALSE)</f>
        <v>LW,RW</v>
      </c>
      <c r="E165" s="45">
        <f>VLOOKUP(B165,RW!A1:F189,3,FALSE)</f>
        <v>42</v>
      </c>
      <c r="F165" s="34" t="str">
        <f>VLOOKUP(B165,'Player Data'!A1:B734,2,FALSE)</f>
        <v>DET</v>
      </c>
      <c r="G165" s="9">
        <f>VLOOKUP(B165,'Player Data'!A1:D734,3,FALSE)</f>
        <v>21</v>
      </c>
      <c r="H165" s="35">
        <f>IFERROR(VLOOKUP(B165,ADP!A1:G731,7,FALSE)/1000000,VLOOKUP(B165,ADP!A1:G731,7,FALSE))</f>
        <v>0.92500000000000004</v>
      </c>
      <c r="I165" s="36">
        <f>IF(Settings!$E$15="POINTS",((R165*Q165)*Settings!$B$12)+(S165*Settings!$B$2)+(T165*Settings!$B$3)+(U165*Settings!$B$4)+(V165*Settings!$B$5)+(X165*Settings!$B$9)+(AA165*Settings!$B$6)+(W165*Settings!$B$8)+(AB165*Settings!$B$7)+(AC165*Settings!$B$14)+(AD165*Settings!$B$15)+(AE165*Settings!$B$16)+(AF165*Settings!$B$17)+(AG165*Settings!$B$18)+(Y165*Settings!$B$10)+(Z165*Settings!$B$11),VLOOKUP(B165,'Standard Deviations'!A1:C731,3,FALSE))</f>
        <v>5.036515804325699</v>
      </c>
      <c r="J165" s="37">
        <f t="shared" si="13"/>
        <v>6.1420924442996329E-2</v>
      </c>
      <c r="K165" s="183">
        <f>IF(Settings!$E$18="C/LW/RW",VLOOKUP(B165,RW!A1:F189,6,FALSE),VLOOKUP(B165,F!A1:F431,6,FALSE))</f>
        <v>-1.2437429146853818</v>
      </c>
      <c r="L165" s="36">
        <f t="shared" si="14"/>
        <v>-1.3445869347950072</v>
      </c>
      <c r="M165" s="38">
        <f>IF(Settings!$E$9="YAHOO",VLOOKUP(B165,ADP!A1:E731,2,FALSE),IF(Settings!$E$9="ESPN",VLOOKUP(B165,ADP!A1:E731,3,FALSE),IF(Settings!$E$9="FANTRAX",VLOOKUP(B165,ADP!A1:E731,4,FALSE),VLOOKUP(B165,ADP!A1:E731,5,FALSE))))</f>
        <v>179.46</v>
      </c>
      <c r="N165" s="38">
        <f t="shared" si="15"/>
        <v>15.460000000000008</v>
      </c>
      <c r="O165" s="38"/>
      <c r="P165" s="39" t="str">
        <f>IF(Settings!$E$27="ON",_xlfn.XLOOKUP(B165,ADP!A2:A731,ADP!H2:H731)," ")</f>
        <v>+</v>
      </c>
      <c r="Q165" s="40">
        <f>IF(Settings!$E$12="YES",VLOOKUP(B165,'Player Data'!A1:E734,5,FALSE),82)</f>
        <v>82</v>
      </c>
      <c r="R165" s="38">
        <f>VLOOKUP(B165,'Player Data'!$A1:$AE734,6,FALSE)</f>
        <v>17.9453802520324</v>
      </c>
      <c r="S165" s="40">
        <f>VLOOKUP(B165,'Player Data'!$A1:$AE734,7,FALSE)*$Q165*IFERROR((VLOOKUP(P165,Settings!$E$28:$F$33,2,FALSE)+1),1)</f>
        <v>25.22205481607196</v>
      </c>
      <c r="T165" s="40">
        <f>VLOOKUP(B165,'Player Data'!$A1:$AE734,8,FALSE)*$Q165*IFERROR((VLOOKUP(P165,Settings!$E$28:$F$33,2,FALSE)+1),1)</f>
        <v>38.713908632520855</v>
      </c>
      <c r="U165" s="40">
        <f>SUM(S165:T165)</f>
        <v>63.935963448592815</v>
      </c>
      <c r="V165" s="40">
        <f>VLOOKUP(B165,'Player Data'!$A1:$AE734,10,FALSE)*$Q165*IFERROR(((VLOOKUP(P165,Settings!$E$28:$F$33,2,FALSE)/2)+1),1)</f>
        <v>171.57346346058259</v>
      </c>
      <c r="W165" s="40">
        <f>VLOOKUP(B165,'Player Data'!$A1:$AE734,11,FALSE)*$Q165*IFERROR((VLOOKUP(P165,Settings!$E$28:$F$33,2,FALSE)+1),1)</f>
        <v>6.7553065572581277</v>
      </c>
      <c r="X165" s="40">
        <f>VLOOKUP(B165,'Player Data'!$A1:$AE734,12,FALSE)*$Q165*IFERROR((VLOOKUP(P165,Settings!$E$28:$F$33,2,FALSE)+1),1)</f>
        <v>22.22055586155863</v>
      </c>
      <c r="Y165" s="40">
        <f>VLOOKUP(B165,'Player Data'!$A1:$AE734,13,FALSE)*$Q165</f>
        <v>2.0054907219716062E-2</v>
      </c>
      <c r="Z165" s="40">
        <f>VLOOKUP(B165,'Player Data'!$A1:$AE734,14,FALSE)*$Q165</f>
        <v>4.0875375748996259E-2</v>
      </c>
      <c r="AA165" s="40">
        <f>VLOOKUP(B165,'Player Data'!$A1:$AE734,15,FALSE)*$Q165</f>
        <v>24.648383029910903</v>
      </c>
      <c r="AB165" s="40">
        <f>VLOOKUP(B165,'Player Data'!$A1:$AE734,16,FALSE)*$Q165</f>
        <v>55.822714451052576</v>
      </c>
      <c r="AC165" s="40">
        <f>VLOOKUP(B165,'Player Data'!$A1:$AE734,17,FALSE)*$Q165*IFERROR((VLOOKUP(P165,Settings!$E$28:$F$33,2,FALSE)+1),1)</f>
        <v>-5.0866022129755866</v>
      </c>
      <c r="AD165" s="40">
        <f>VLOOKUP(B165,'Player Data'!$A1:$AE734,18,FALSE)*$Q165</f>
        <v>25.020155861792233</v>
      </c>
      <c r="AE165" s="40">
        <f>VLOOKUP(B165,'Player Data'!$A1:$AE734,19,FALSE)*$Q165*IFERROR((VLOOKUP(P165,Settings!$E$28:$F$33,2,FALSE)+1),1)</f>
        <v>3.3377823096943189</v>
      </c>
      <c r="AF165" s="40">
        <f>VLOOKUP(B165,'Player Data'!$A1:$AE734,20,FALSE)*$Q165</f>
        <v>7.3398042163078596</v>
      </c>
      <c r="AG165" s="40">
        <f>VLOOKUP(B165,'Player Data'!$A1:$AE734,21,FALSE)*$Q165</f>
        <v>14.268892638677869</v>
      </c>
      <c r="AH165" s="41">
        <f>VLOOKUP(B165,'Player Data'!$A1:$AE734,22,FALSE)</f>
        <v>0.33966898909104498</v>
      </c>
      <c r="AI165" s="38"/>
      <c r="AJ165" s="42"/>
      <c r="AK165" s="40"/>
      <c r="AL165" s="40"/>
      <c r="AM165" s="40"/>
      <c r="AN165" s="40"/>
      <c r="AO165" s="40"/>
      <c r="AP165" s="40"/>
      <c r="AQ165" s="43"/>
      <c r="AR165" s="44"/>
      <c r="AS165" s="38"/>
    </row>
    <row r="166" spans="1:45" ht="21.2" customHeight="1">
      <c r="A166" s="181">
        <f t="shared" si="12"/>
        <v>165</v>
      </c>
      <c r="B166" s="8" t="s">
        <v>236</v>
      </c>
      <c r="C166" s="31" t="s">
        <v>104</v>
      </c>
      <c r="D166" s="32" t="str">
        <f>VLOOKUP(B166,'Player Data'!A1:D734,4,FALSE)</f>
        <v>LW,RW</v>
      </c>
      <c r="E166" s="45">
        <f>VLOOKUP(B166,RW!A1:F189,3,FALSE)</f>
        <v>43</v>
      </c>
      <c r="F166" s="34" t="str">
        <f>VLOOKUP(B166,'Player Data'!A1:B734,2,FALSE)</f>
        <v>VAN</v>
      </c>
      <c r="G166" s="9">
        <f>VLOOKUP(B166,'Player Data'!A1:D734,3,FALSE)</f>
        <v>27</v>
      </c>
      <c r="H166" s="35">
        <f>IFERROR(VLOOKUP(B166,ADP!A1:G731,7,FALSE)/1000000,VLOOKUP(B166,ADP!A1:G731,7,FALSE))</f>
        <v>5.5</v>
      </c>
      <c r="I166" s="36">
        <f>IF(Settings!$E$15="POINTS",((R166*Q166)*Settings!$B$12)+(S166*Settings!$B$2)+(T166*Settings!$B$3)+(U166*Settings!$B$4)+(V166*Settings!$B$5)+(X166*Settings!$B$9)+(AA166*Settings!$B$6)+(W166*Settings!$B$8)+(AB166*Settings!$B$7)+(AC166*Settings!$B$14)+(AD166*Settings!$B$15)+(AE166*Settings!$B$16)+(AF166*Settings!$B$17)+(AG166*Settings!$B$18)+(Y166*Settings!$B$10)+(Z166*Settings!$B$11),VLOOKUP(B166,'Standard Deviations'!A1:C731,3,FALSE))</f>
        <v>5.0042319918234188</v>
      </c>
      <c r="J166" s="37">
        <f t="shared" si="13"/>
        <v>6.1027219412480717E-2</v>
      </c>
      <c r="K166" s="183">
        <f>IF(Settings!$E$18="C/LW/RW",VLOOKUP(B166,RW!A1:F189,6,FALSE),VLOOKUP(B166,F!A1:F431,6,FALSE))</f>
        <v>-1.276026727187662</v>
      </c>
      <c r="L166" s="36">
        <f t="shared" si="14"/>
        <v>-0.23200485948866581</v>
      </c>
      <c r="M166" s="38">
        <f>IF(Settings!$E$9="YAHOO",VLOOKUP(B166,ADP!A1:E731,2,FALSE),IF(Settings!$E$9="ESPN",VLOOKUP(B166,ADP!A1:E731,3,FALSE),IF(Settings!$E$9="FANTRAX",VLOOKUP(B166,ADP!A1:E731,4,FALSE),VLOOKUP(B166,ADP!A1:E731,5,FALSE))))</f>
        <v>111</v>
      </c>
      <c r="N166" s="38">
        <f t="shared" si="15"/>
        <v>-54</v>
      </c>
      <c r="O166" s="38"/>
      <c r="P166" s="39" t="str">
        <f>IF(Settings!$E$27="ON",_xlfn.XLOOKUP(B166,ADP!A2:A731,ADP!H2:H731)," ")</f>
        <v>-</v>
      </c>
      <c r="Q166" s="40">
        <f>IF(Settings!$E$12="YES",VLOOKUP(B166,'Player Data'!A1:E734,5,FALSE),82)</f>
        <v>82</v>
      </c>
      <c r="R166" s="38">
        <f>VLOOKUP(B166,'Player Data'!$A1:$AE734,6,FALSE)</f>
        <v>16.791718638704001</v>
      </c>
      <c r="S166" s="40">
        <f>VLOOKUP(B166,'Player Data'!$A1:$AE734,7,FALSE)*$Q166*IFERROR((VLOOKUP(P166,Settings!$E$28:$F$33,2,FALSE)+1),1)</f>
        <v>34.375296472887165</v>
      </c>
      <c r="T166" s="40">
        <f>VLOOKUP(B166,'Player Data'!$A1:$AE734,8,FALSE)*$Q166*IFERROR((VLOOKUP(P166,Settings!$E$28:$F$33,2,FALSE)+1),1)</f>
        <v>34.570373851695443</v>
      </c>
      <c r="U166" s="40">
        <f>SUM(S166:T166)</f>
        <v>68.945670324582608</v>
      </c>
      <c r="V166" s="40">
        <f>VLOOKUP(B166,'Player Data'!$A1:$AE734,10,FALSE)*$Q166*IFERROR(((VLOOKUP(P166,Settings!$E$28:$F$33,2,FALSE)/2)+1),1)</f>
        <v>154.76528742880646</v>
      </c>
      <c r="W166" s="40">
        <f>VLOOKUP(B166,'Player Data'!$A1:$AE734,11,FALSE)*$Q166*IFERROR((VLOOKUP(P166,Settings!$E$28:$F$33,2,FALSE)+1),1)</f>
        <v>10.274472754502828</v>
      </c>
      <c r="X166" s="40">
        <f>VLOOKUP(B166,'Player Data'!$A1:$AE734,12,FALSE)*$Q166*IFERROR((VLOOKUP(P166,Settings!$E$28:$F$33,2,FALSE)+1),1)</f>
        <v>16.754763864812634</v>
      </c>
      <c r="Y166" s="40">
        <f>VLOOKUP(B166,'Player Data'!$A1:$AE734,13,FALSE)*$Q166</f>
        <v>1.0557747699390385E-3</v>
      </c>
      <c r="Z166" s="40">
        <f>VLOOKUP(B166,'Player Data'!$A1:$AE734,14,FALSE)*$Q166</f>
        <v>1.9932708363023695E-3</v>
      </c>
      <c r="AA166" s="40">
        <f>VLOOKUP(B166,'Player Data'!$A1:$AE734,15,FALSE)*$Q166</f>
        <v>22.119744733183474</v>
      </c>
      <c r="AB166" s="40">
        <f>VLOOKUP(B166,'Player Data'!$A1:$AE734,16,FALSE)*$Q166</f>
        <v>24.645939730861237</v>
      </c>
      <c r="AC166" s="40">
        <f>VLOOKUP(B166,'Player Data'!$A1:$AE734,17,FALSE)*$Q166*IFERROR((VLOOKUP(P166,Settings!$E$28:$F$33,2,FALSE)+1),1)</f>
        <v>2.8624740236518118</v>
      </c>
      <c r="AD166" s="40">
        <f>VLOOKUP(B166,'Player Data'!$A1:$AE734,18,FALSE)*$Q166</f>
        <v>16.220043638567834</v>
      </c>
      <c r="AE166" s="40">
        <f>VLOOKUP(B166,'Player Data'!$A1:$AE734,19,FALSE)*$Q166*IFERROR((VLOOKUP(P166,Settings!$E$28:$F$33,2,FALSE)+1),1)</f>
        <v>4.866154901391269</v>
      </c>
      <c r="AF166" s="40">
        <f>VLOOKUP(B166,'Player Data'!$A1:$AE734,20,FALSE)*$Q166</f>
        <v>0</v>
      </c>
      <c r="AG166" s="40">
        <f>VLOOKUP(B166,'Player Data'!$A1:$AE734,21,FALSE)*$Q166</f>
        <v>1.0466265285073697</v>
      </c>
      <c r="AH166" s="41">
        <f>VLOOKUP(B166,'Player Data'!$A1:$AE734,22,FALSE)</f>
        <v>0</v>
      </c>
      <c r="AI166" s="38"/>
      <c r="AJ166" s="42"/>
      <c r="AK166" s="40"/>
      <c r="AL166" s="40"/>
      <c r="AM166" s="40"/>
      <c r="AN166" s="40"/>
      <c r="AO166" s="40"/>
      <c r="AP166" s="40"/>
      <c r="AQ166" s="43"/>
      <c r="AR166" s="44"/>
      <c r="AS166" s="38"/>
    </row>
    <row r="167" spans="1:45" ht="21.2" customHeight="1">
      <c r="A167" s="181">
        <f t="shared" si="12"/>
        <v>166</v>
      </c>
      <c r="B167" s="8" t="s">
        <v>247</v>
      </c>
      <c r="C167" s="31" t="s">
        <v>104</v>
      </c>
      <c r="D167" s="32" t="str">
        <f>VLOOKUP(B167,'Player Data'!A1:D734,4,FALSE)</f>
        <v>LW,RW</v>
      </c>
      <c r="E167" s="45">
        <f>VLOOKUP(B167,RW!A1:F189,3,FALSE)</f>
        <v>44</v>
      </c>
      <c r="F167" s="34" t="str">
        <f>VLOOKUP(B167,'Player Data'!A1:B734,2,FALSE)</f>
        <v>DET</v>
      </c>
      <c r="G167" s="9">
        <f>VLOOKUP(B167,'Player Data'!A1:D734,3,FALSE)</f>
        <v>35</v>
      </c>
      <c r="H167" s="35">
        <f>IFERROR(VLOOKUP(B167,ADP!A1:G731,7,FALSE)/1000000,VLOOKUP(B167,ADP!A1:G731,7,FALSE))</f>
        <v>4.75</v>
      </c>
      <c r="I167" s="36">
        <f>IF(Settings!$E$15="POINTS",((R167*Q167)*Settings!$B$12)+(S167*Settings!$B$2)+(T167*Settings!$B$3)+(U167*Settings!$B$4)+(V167*Settings!$B$5)+(X167*Settings!$B$9)+(AA167*Settings!$B$6)+(W167*Settings!$B$8)+(AB167*Settings!$B$7)+(AC167*Settings!$B$14)+(AD167*Settings!$B$15)+(AE167*Settings!$B$16)+(AF167*Settings!$B$17)+(AG167*Settings!$B$18)+(Y167*Settings!$B$10)+(Z167*Settings!$B$11),VLOOKUP(B167,'Standard Deviations'!A1:C731,3,FALSE))</f>
        <v>4.9639097019045106</v>
      </c>
      <c r="J167" s="37">
        <f t="shared" si="13"/>
        <v>6.0535484169567201E-2</v>
      </c>
      <c r="K167" s="183">
        <f>IF(Settings!$E$18="C/LW/RW",VLOOKUP(B167,RW!A1:F189,6,FALSE),VLOOKUP(B167,F!A1:F431,6,FALSE))</f>
        <v>-1.3163490171065702</v>
      </c>
      <c r="L167" s="36">
        <f t="shared" si="14"/>
        <v>-0.27712610886454109</v>
      </c>
      <c r="M167" s="38">
        <f>IF(Settings!$E$9="YAHOO",VLOOKUP(B167,ADP!A1:E731,2,FALSE),IF(Settings!$E$9="ESPN",VLOOKUP(B167,ADP!A1:E731,3,FALSE),IF(Settings!$E$9="FANTRAX",VLOOKUP(B167,ADP!A1:E731,4,FALSE),VLOOKUP(B167,ADP!A1:E731,5,FALSE))))</f>
        <v>177.75</v>
      </c>
      <c r="N167" s="38">
        <f t="shared" si="15"/>
        <v>11.75</v>
      </c>
      <c r="O167" s="38"/>
      <c r="P167" s="39" t="str">
        <f>IF(Settings!$E$27="ON",_xlfn.XLOOKUP(B167,ADP!A2:A731,ADP!H2:H731)," ")</f>
        <v xml:space="preserve"> </v>
      </c>
      <c r="Q167" s="40">
        <f>IF(Settings!$E$12="YES",VLOOKUP(B167,'Player Data'!A1:E734,5,FALSE),82)</f>
        <v>82</v>
      </c>
      <c r="R167" s="38">
        <f>VLOOKUP(B167,'Player Data'!$A1:$AE734,6,FALSE)</f>
        <v>16.6222934178735</v>
      </c>
      <c r="S167" s="40">
        <f>VLOOKUP(B167,'Player Data'!$A1:$AE734,7,FALSE)*$Q167*IFERROR((VLOOKUP(P167,Settings!$E$28:$F$33,2,FALSE)+1),1)</f>
        <v>24.053934133191667</v>
      </c>
      <c r="T167" s="40">
        <f>VLOOKUP(B167,'Player Data'!$A1:$AE734,8,FALSE)*$Q167*IFERROR((VLOOKUP(P167,Settings!$E$28:$F$33,2,FALSE)+1),1)</f>
        <v>33.528066196031531</v>
      </c>
      <c r="U167" s="40">
        <f>SUM(S167:T167)</f>
        <v>57.582000329223199</v>
      </c>
      <c r="V167" s="40">
        <f>VLOOKUP(B167,'Player Data'!$A1:$AE734,10,FALSE)*$Q167*IFERROR(((VLOOKUP(P167,Settings!$E$28:$F$33,2,FALSE)/2)+1),1)</f>
        <v>190.67426285724437</v>
      </c>
      <c r="W167" s="40">
        <f>VLOOKUP(B167,'Player Data'!$A1:$AE734,11,FALSE)*$Q167*IFERROR((VLOOKUP(P167,Settings!$E$28:$F$33,2,FALSE)+1),1)</f>
        <v>8.384497608400217</v>
      </c>
      <c r="X167" s="40">
        <f>VLOOKUP(B167,'Player Data'!$A1:$AE734,12,FALSE)*$Q167*IFERROR((VLOOKUP(P167,Settings!$E$28:$F$33,2,FALSE)+1),1)</f>
        <v>25.966645122071565</v>
      </c>
      <c r="Y167" s="40">
        <f>VLOOKUP(B167,'Player Data'!$A1:$AE734,13,FALSE)*$Q167</f>
        <v>1.5657163795471097E-3</v>
      </c>
      <c r="Z167" s="40">
        <f>VLOOKUP(B167,'Player Data'!$A1:$AE734,14,FALSE)*$Q167</f>
        <v>2.5140559428437595E-3</v>
      </c>
      <c r="AA167" s="40">
        <f>VLOOKUP(B167,'Player Data'!$A1:$AE734,15,FALSE)*$Q167</f>
        <v>22.782732101886374</v>
      </c>
      <c r="AB167" s="40">
        <f>VLOOKUP(B167,'Player Data'!$A1:$AE734,16,FALSE)*$Q167</f>
        <v>96.600566067281051</v>
      </c>
      <c r="AC167" s="40">
        <f>VLOOKUP(B167,'Player Data'!$A1:$AE734,17,FALSE)*$Q167*IFERROR((VLOOKUP(P167,Settings!$E$28:$F$33,2,FALSE)+1),1)</f>
        <v>-1.6611096094326925</v>
      </c>
      <c r="AD167" s="40">
        <f>VLOOKUP(B167,'Player Data'!$A1:$AE734,18,FALSE)*$Q167</f>
        <v>42.983344968955578</v>
      </c>
      <c r="AE167" s="40">
        <f>VLOOKUP(B167,'Player Data'!$A1:$AE734,19,FALSE)*$Q167*IFERROR((VLOOKUP(P167,Settings!$E$28:$F$33,2,FALSE)+1),1)</f>
        <v>3.1831980547896985</v>
      </c>
      <c r="AF167" s="40">
        <f>VLOOKUP(B167,'Player Data'!$A1:$AE734,20,FALSE)*$Q167</f>
        <v>1.6091161761751029</v>
      </c>
      <c r="AG167" s="40">
        <f>VLOOKUP(B167,'Player Data'!$A1:$AE734,21,FALSE)*$Q167</f>
        <v>8.0881788170391076</v>
      </c>
      <c r="AH167" s="41">
        <f>VLOOKUP(B167,'Player Data'!$A1:$AE734,22,FALSE)</f>
        <v>0.165934539198931</v>
      </c>
      <c r="AI167" s="38"/>
      <c r="AJ167" s="42"/>
      <c r="AK167" s="40"/>
      <c r="AL167" s="40"/>
      <c r="AM167" s="40"/>
      <c r="AN167" s="40"/>
      <c r="AO167" s="40"/>
      <c r="AP167" s="40"/>
      <c r="AQ167" s="43"/>
      <c r="AR167" s="44"/>
      <c r="AS167" s="42"/>
    </row>
    <row r="168" spans="1:45" ht="21.2" customHeight="1">
      <c r="A168" s="181">
        <f t="shared" si="12"/>
        <v>167</v>
      </c>
      <c r="B168" s="8" t="s">
        <v>447</v>
      </c>
      <c r="C168" s="31" t="s">
        <v>104</v>
      </c>
      <c r="D168" s="32" t="str">
        <f>VLOOKUP(B168,'Player Data'!A1:D734,4,FALSE)</f>
        <v>G</v>
      </c>
      <c r="E168" s="50">
        <f>VLOOKUP(B168,G!A1:D75,3,FALSE)</f>
        <v>31</v>
      </c>
      <c r="F168" s="34" t="str">
        <f>VLOOKUP(B168,'Player Data'!A1:B734,2,FALSE)</f>
        <v>SJS</v>
      </c>
      <c r="G168" s="9">
        <f>VLOOKUP(B168,'Player Data'!A1:D734,3,FALSE)</f>
        <v>27</v>
      </c>
      <c r="H168" s="35">
        <f>IFERROR(VLOOKUP(B168,ADP!A1:G731,7,FALSE)/1000000,VLOOKUP(B168,ADP!A1:G731,7,FALSE))</f>
        <v>2.75</v>
      </c>
      <c r="I168" s="36">
        <f>IF(Settings!$E$15="POINTS",(AJ168*Settings!$B$29)+(AK168*Settings!$B$21)+(AL168*Settings!$B$22)+(AN168*Settings!$B$24)+(AO168*Settings!$B$25)+(AP168*Settings!$B$27)+(AM168*Settings!$B$23),VLOOKUP(B168,'Standard Deviations'!A1:C731,3,FALSE))</f>
        <v>0.37987244605328713</v>
      </c>
      <c r="J168" s="37">
        <f t="shared" si="13"/>
        <v>8.6334646830292534E-3</v>
      </c>
      <c r="K168" s="183">
        <f>VLOOKUP(B168,G!A1:F75,6,FALSE)</f>
        <v>-1.3243566051370044</v>
      </c>
      <c r="L168" s="36">
        <f t="shared" si="14"/>
        <v>-0.48158422004981977</v>
      </c>
      <c r="M168" s="52" t="str">
        <f>IF(Settings!$E$9="YAHOO",VLOOKUP(B168,ADP!A1:E731,2,FALSE),IF(Settings!$E$9="ESPN",VLOOKUP(B168,ADP!A1:E731,3,FALSE),IF(Settings!$E$9="FANTRAX",VLOOKUP(B168,ADP!A1:E731,4,FALSE),VLOOKUP(B168,ADP!A1:E731,5,FALSE))))</f>
        <v>-</v>
      </c>
      <c r="N168" s="52" t="str">
        <f t="shared" si="15"/>
        <v>N/A</v>
      </c>
      <c r="O168" s="38"/>
      <c r="P168" s="39" t="str">
        <f>IF(Settings!$E$27="ON",_xlfn.XLOOKUP(B168,ADP!A2:A731,ADP!H2:H731)," ")</f>
        <v>-</v>
      </c>
      <c r="Q168" s="40"/>
      <c r="R168" s="51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1"/>
      <c r="AI168" s="38"/>
      <c r="AJ168" s="42">
        <f>VLOOKUP(B168,'Player Data'!$A1:$AE734,24,FALSE)</f>
        <v>44</v>
      </c>
      <c r="AK168" s="40">
        <f>VLOOKUP(B168,'Player Data'!$A1:$AE734,25,FALSE)*$AJ168*IFERROR((VLOOKUP(P168,Settings!$E$28:$F$33,2,FALSE)+1),1)</f>
        <v>14.41707728169472</v>
      </c>
      <c r="AL168" s="40">
        <f>AJ168-AK168-AM168</f>
        <v>24.08292271830528</v>
      </c>
      <c r="AM168" s="40">
        <f>VLOOKUP(B168,'Player Data'!$A1:$AE734,27,FALSE)*$AJ168</f>
        <v>5.5</v>
      </c>
      <c r="AN168" s="40">
        <f>VLOOKUP(B168,'Player Data'!$A1:$AE734,28,FALSE)*AJ168</f>
        <v>1.4959503023844325</v>
      </c>
      <c r="AO168" s="40">
        <f>VLOOKUP(B168,'Player Data'!$A1:$AE734,29,FALSE)*$AJ168*IFERROR((VLOOKUP(P168,Settings!$E$28:$F$33,2,FALSE)/4)+1,1)</f>
        <v>1282.0032540402171</v>
      </c>
      <c r="AP168" s="40">
        <f>VLOOKUP(B168,'Player Data'!$A1:$AE734,31,FALSE)*$AJ168*(IFERROR(1-(VLOOKUP(P168,Settings!$E$28:$F$33,2,FALSE)/4),1))</f>
        <v>138.08233401617491</v>
      </c>
      <c r="AQ168" s="43">
        <f>1-(AP168/(AO168+AP168))</f>
        <v>0.90276478039245367</v>
      </c>
      <c r="AR168" s="44">
        <f>AP168/AJ168</f>
        <v>3.1382348640039752</v>
      </c>
      <c r="AS168" s="38"/>
    </row>
    <row r="169" spans="1:45" ht="21.2" customHeight="1">
      <c r="A169" s="181">
        <f t="shared" si="12"/>
        <v>168</v>
      </c>
      <c r="B169" s="8" t="s">
        <v>227</v>
      </c>
      <c r="C169" s="31" t="s">
        <v>104</v>
      </c>
      <c r="D169" s="32" t="str">
        <f>VLOOKUP(B169,'Player Data'!A1:D734,4,FALSE)</f>
        <v>LW</v>
      </c>
      <c r="E169" s="48">
        <f>VLOOKUP(B169,LW!A1:C227,3,FALSE)</f>
        <v>46</v>
      </c>
      <c r="F169" s="34" t="str">
        <f>VLOOKUP(B169,'Player Data'!A1:B734,2,FALSE)</f>
        <v>TBL</v>
      </c>
      <c r="G169" s="9">
        <f>VLOOKUP(B169,'Player Data'!A1:D734,3,FALSE)</f>
        <v>24</v>
      </c>
      <c r="H169" s="35">
        <f>IFERROR(VLOOKUP(B169,ADP!A1:G731,7,FALSE)/1000000,VLOOKUP(B169,ADP!A1:G731,7,FALSE))</f>
        <v>1.5</v>
      </c>
      <c r="I169" s="36">
        <f>IF(Settings!$E$15="POINTS",((R169*Q169)*Settings!$B$12)+(S169*Settings!$B$2)+(T169*Settings!$B$3)+(U169*Settings!$B$4)+(V169*Settings!$B$5)+(X169*Settings!$B$9)+(AA169*Settings!$B$6)+(W169*Settings!$B$8)+(AB169*Settings!$B$7)+(AC169*Settings!$B$14)+(AD169*Settings!$B$15)+(AE169*Settings!$B$16)+(AF169*Settings!$B$17)+(AG169*Settings!$B$18)+(Y169*Settings!$B$10)+(Z169*Settings!$B$11),VLOOKUP(B169,'Standard Deviations'!A1:C731,3,FALSE))</f>
        <v>5.3159553373323458</v>
      </c>
      <c r="J169" s="37">
        <f t="shared" si="13"/>
        <v>6.4828723626004212E-2</v>
      </c>
      <c r="K169" s="183">
        <f>IF(Settings!$E$18="C/LW/RW",VLOOKUP(B169,LW!A1:F227,6,FALSE),VLOOKUP(B169,F!A1:F431,6,FALSE))</f>
        <v>-1.3387137067920554</v>
      </c>
      <c r="L169" s="36">
        <f t="shared" si="14"/>
        <v>-0.89247580452803688</v>
      </c>
      <c r="M169" s="38">
        <f>IF(Settings!$E$9="YAHOO",VLOOKUP(B169,ADP!A1:E731,2,FALSE),IF(Settings!$E$9="ESPN",VLOOKUP(B169,ADP!A1:E731,3,FALSE),IF(Settings!$E$9="FANTRAX",VLOOKUP(B169,ADP!A1:E731,4,FALSE),VLOOKUP(B169,ADP!A1:E731,5,FALSE))))</f>
        <v>147.96</v>
      </c>
      <c r="N169" s="38">
        <f t="shared" si="15"/>
        <v>-20.039999999999992</v>
      </c>
      <c r="O169" s="38"/>
      <c r="P169" s="39" t="str">
        <f>IF(Settings!$E$27="ON",_xlfn.XLOOKUP(B169,ADP!A2:A731,ADP!H2:H731)," ")</f>
        <v xml:space="preserve"> </v>
      </c>
      <c r="Q169" s="40">
        <f>IF(Settings!$E$12="YES",VLOOKUP(B169,'Player Data'!A1:E734,5,FALSE),82)</f>
        <v>82</v>
      </c>
      <c r="R169" s="38">
        <f>VLOOKUP(B169,'Player Data'!$A1:$AE734,6,FALSE)</f>
        <v>19.4630187895212</v>
      </c>
      <c r="S169" s="40">
        <f>VLOOKUP(B169,'Player Data'!$A1:$AE734,7,FALSE)*$Q169*IFERROR((VLOOKUP(P169,Settings!$E$28:$F$33,2,FALSE)+1),1)</f>
        <v>31.821420616556392</v>
      </c>
      <c r="T169" s="40">
        <f>VLOOKUP(B169,'Player Data'!$A1:$AE734,8,FALSE)*$Q169*IFERROR((VLOOKUP(P169,Settings!$E$28:$F$33,2,FALSE)+1),1)</f>
        <v>35.13079753969771</v>
      </c>
      <c r="U169" s="40">
        <f t="shared" ref="U169:U175" si="17">SUM(S169:T169)</f>
        <v>66.952218156254105</v>
      </c>
      <c r="V169" s="40">
        <f>VLOOKUP(B169,'Player Data'!$A1:$AE734,10,FALSE)*$Q169*IFERROR(((VLOOKUP(P169,Settings!$E$28:$F$33,2,FALSE)/2)+1),1)</f>
        <v>187.05566807898984</v>
      </c>
      <c r="W169" s="40">
        <f>VLOOKUP(B169,'Player Data'!$A1:$AE734,11,FALSE)*$Q169*IFERROR((VLOOKUP(P169,Settings!$E$28:$F$33,2,FALSE)+1),1)</f>
        <v>8.2876247132725176</v>
      </c>
      <c r="X169" s="40">
        <f>VLOOKUP(B169,'Player Data'!$A1:$AE734,12,FALSE)*$Q169*IFERROR((VLOOKUP(P169,Settings!$E$28:$F$33,2,FALSE)+1),1)</f>
        <v>17.371954640473906</v>
      </c>
      <c r="Y169" s="40">
        <f>VLOOKUP(B169,'Player Data'!$A1:$AE734,13,FALSE)*$Q169</f>
        <v>1.1450570585909383</v>
      </c>
      <c r="Z169" s="40">
        <f>VLOOKUP(B169,'Player Data'!$A1:$AE734,14,FALSE)*$Q169</f>
        <v>3.6124325232472234</v>
      </c>
      <c r="AA169" s="40">
        <f>VLOOKUP(B169,'Player Data'!$A1:$AE734,15,FALSE)*$Q169</f>
        <v>53.268726878951881</v>
      </c>
      <c r="AB169" s="40">
        <f>VLOOKUP(B169,'Player Data'!$A1:$AE734,16,FALSE)*$Q169</f>
        <v>76.345537094062408</v>
      </c>
      <c r="AC169" s="40">
        <f>VLOOKUP(B169,'Player Data'!$A1:$AE734,17,FALSE)*$Q169*IFERROR((VLOOKUP(P169,Settings!$E$28:$F$33,2,FALSE)+1),1)</f>
        <v>0.36587962631492466</v>
      </c>
      <c r="AD169" s="40">
        <f>VLOOKUP(B169,'Player Data'!$A1:$AE734,18,FALSE)*$Q169</f>
        <v>40.762214448476094</v>
      </c>
      <c r="AE169" s="40">
        <f>VLOOKUP(B169,'Player Data'!$A1:$AE734,19,FALSE)*$Q169*IFERROR((VLOOKUP(P169,Settings!$E$28:$F$33,2,FALSE)+1),1)</f>
        <v>4.980063885642001</v>
      </c>
      <c r="AF169" s="40">
        <f>VLOOKUP(B169,'Player Data'!$A1:$AE734,20,FALSE)*$Q169</f>
        <v>28.153959688902734</v>
      </c>
      <c r="AG169" s="40">
        <f>VLOOKUP(B169,'Player Data'!$A1:$AE734,21,FALSE)*$Q169</f>
        <v>52.895541884295568</v>
      </c>
      <c r="AH169" s="41">
        <f>VLOOKUP(B169,'Player Data'!$A1:$AE734,22,FALSE)</f>
        <v>0.34736746238317101</v>
      </c>
      <c r="AI169" s="38"/>
      <c r="AJ169" s="42"/>
      <c r="AK169" s="40"/>
      <c r="AL169" s="40"/>
      <c r="AM169" s="40"/>
      <c r="AN169" s="40"/>
      <c r="AO169" s="40"/>
      <c r="AP169" s="40"/>
      <c r="AQ169" s="43"/>
      <c r="AR169" s="44"/>
      <c r="AS169" s="38"/>
    </row>
    <row r="170" spans="1:45" ht="21.2" customHeight="1">
      <c r="A170" s="181">
        <f t="shared" si="12"/>
        <v>169</v>
      </c>
      <c r="B170" s="8" t="s">
        <v>261</v>
      </c>
      <c r="C170" s="31" t="s">
        <v>104</v>
      </c>
      <c r="D170" s="32" t="str">
        <f>VLOOKUP(B170,'Player Data'!A1:D734,4,FALSE)</f>
        <v>C</v>
      </c>
      <c r="E170" s="33">
        <f>VLOOKUP(B170,'C'!A1:C208,3,FALSE)</f>
        <v>46</v>
      </c>
      <c r="F170" s="34" t="str">
        <f>VLOOKUP(B170,'Player Data'!A1:B734,2,FALSE)</f>
        <v>SJS</v>
      </c>
      <c r="G170" s="9">
        <f>VLOOKUP(B170,'Player Data'!A1:D734,3,FALSE)</f>
        <v>34</v>
      </c>
      <c r="H170" s="35">
        <f>IFERROR(VLOOKUP(B170,ADP!A1:G731,7,FALSE)/1000000,VLOOKUP(B170,ADP!A1:G731,7,FALSE))</f>
        <v>8</v>
      </c>
      <c r="I170" s="36">
        <f>IF(Settings!$E$15="POINTS",((R170*Q170)*Settings!$B$12)+(S170*Settings!$B$2)+(T170*Settings!$B$3)+(U170*Settings!$B$4)+(V170*Settings!$B$5)+(X170*Settings!$B$9)+(AA170*Settings!$B$6)+(W170*Settings!$B$8)+(AB170*Settings!$B$7)+(AC170*Settings!$B$14)+(AD170*Settings!$B$15)+(AE170*Settings!$B$16)+(AF170*Settings!$B$17)+(AG170*Settings!$B$18)+(Y170*Settings!$B$10)+(Z170*Settings!$B$11),VLOOKUP(B170,'Standard Deviations'!A1:C731,3,FALSE))</f>
        <v>4.9497396664926105</v>
      </c>
      <c r="J170" s="37">
        <f t="shared" si="13"/>
        <v>6.036267885966598E-2</v>
      </c>
      <c r="K170" s="183">
        <f>IF(Settings!$E$18="C/LW/RW",VLOOKUP(B170,'C'!A1:F208,6,FALSE),VLOOKUP(B170,F!A1:F431,6,FALSE))</f>
        <v>-1.3873110577139922</v>
      </c>
      <c r="L170" s="36">
        <f t="shared" si="14"/>
        <v>-0.17341388221424903</v>
      </c>
      <c r="M170" s="38">
        <f>IF(Settings!$E$9="YAHOO",VLOOKUP(B170,ADP!A1:E731,2,FALSE),IF(Settings!$E$9="ESPN",VLOOKUP(B170,ADP!A1:E731,3,FALSE),IF(Settings!$E$9="FANTRAX",VLOOKUP(B170,ADP!A1:E731,4,FALSE),VLOOKUP(B170,ADP!A1:E731,5,FALSE))))</f>
        <v>163.29</v>
      </c>
      <c r="N170" s="38">
        <f t="shared" si="15"/>
        <v>-5.710000000000008</v>
      </c>
      <c r="O170" s="38"/>
      <c r="P170" s="39" t="str">
        <f>IF(Settings!$E$27="ON",_xlfn.XLOOKUP(B170,ADP!A2:A731,ADP!H2:H731)," ")</f>
        <v xml:space="preserve"> </v>
      </c>
      <c r="Q170" s="40">
        <f>IF(Settings!$E$12="YES",VLOOKUP(B170,'Player Data'!A1:E734,5,FALSE),82)</f>
        <v>82</v>
      </c>
      <c r="R170" s="38">
        <f>VLOOKUP(B170,'Player Data'!$A1:$AE734,6,FALSE)</f>
        <v>19.238690600038101</v>
      </c>
      <c r="S170" s="40">
        <f>VLOOKUP(B170,'Player Data'!$A1:$AE734,7,FALSE)*$Q170*IFERROR((VLOOKUP(P170,Settings!$E$28:$F$33,2,FALSE)+1),1)</f>
        <v>23.981068262304078</v>
      </c>
      <c r="T170" s="40">
        <f>VLOOKUP(B170,'Player Data'!$A1:$AE734,8,FALSE)*$Q170*IFERROR((VLOOKUP(P170,Settings!$E$28:$F$33,2,FALSE)+1),1)</f>
        <v>35.995108464846268</v>
      </c>
      <c r="U170" s="40">
        <f t="shared" si="17"/>
        <v>59.976176727150346</v>
      </c>
      <c r="V170" s="40">
        <f>VLOOKUP(B170,'Player Data'!$A1:$AE734,10,FALSE)*$Q170*IFERROR(((VLOOKUP(P170,Settings!$E$28:$F$33,2,FALSE)/2)+1),1)</f>
        <v>203.70833511733068</v>
      </c>
      <c r="W170" s="40">
        <f>VLOOKUP(B170,'Player Data'!$A1:$AE734,11,FALSE)*$Q170*IFERROR((VLOOKUP(P170,Settings!$E$28:$F$33,2,FALSE)+1),1)</f>
        <v>5.6822141432518167</v>
      </c>
      <c r="X170" s="40">
        <f>VLOOKUP(B170,'Player Data'!$A1:$AE734,12,FALSE)*$Q170*IFERROR((VLOOKUP(P170,Settings!$E$28:$F$33,2,FALSE)+1),1)</f>
        <v>20.871218819827487</v>
      </c>
      <c r="Y170" s="40">
        <f>VLOOKUP(B170,'Player Data'!$A1:$AE734,13,FALSE)*$Q170</f>
        <v>1.1416030288872265</v>
      </c>
      <c r="Z170" s="40">
        <f>VLOOKUP(B170,'Player Data'!$A1:$AE734,14,FALSE)*$Q170</f>
        <v>1.1055822555300423</v>
      </c>
      <c r="AA170" s="40">
        <f>VLOOKUP(B170,'Player Data'!$A1:$AE734,15,FALSE)*$Q170</f>
        <v>64.648764488900426</v>
      </c>
      <c r="AB170" s="40">
        <f>VLOOKUP(B170,'Player Data'!$A1:$AE734,16,FALSE)*$Q170</f>
        <v>112.71950257164811</v>
      </c>
      <c r="AC170" s="40">
        <f>VLOOKUP(B170,'Player Data'!$A1:$AE734,17,FALSE)*$Q170*IFERROR((VLOOKUP(P170,Settings!$E$28:$F$33,2,FALSE)+1),1)</f>
        <v>0.38376798101024323</v>
      </c>
      <c r="AD170" s="40">
        <f>VLOOKUP(B170,'Player Data'!$A1:$AE734,18,FALSE)*$Q170</f>
        <v>25.348426824420997</v>
      </c>
      <c r="AE170" s="40">
        <f>VLOOKUP(B170,'Player Data'!$A1:$AE734,19,FALSE)*$Q170*IFERROR((VLOOKUP(P170,Settings!$E$28:$F$33,2,FALSE)+1),1)</f>
        <v>2.9773876219845374</v>
      </c>
      <c r="AF170" s="40">
        <f>VLOOKUP(B170,'Player Data'!$A1:$AE734,20,FALSE)*$Q170</f>
        <v>657.55947586779473</v>
      </c>
      <c r="AG170" s="40">
        <f>VLOOKUP(B170,'Player Data'!$A1:$AE734,21,FALSE)*$Q170</f>
        <v>705.80074913806391</v>
      </c>
      <c r="AH170" s="41">
        <f>VLOOKUP(B170,'Player Data'!$A1:$AE734,22,FALSE)</f>
        <v>0.48230795046479302</v>
      </c>
      <c r="AI170" s="38"/>
      <c r="AJ170" s="42"/>
      <c r="AK170" s="40"/>
      <c r="AL170" s="40"/>
      <c r="AM170" s="40"/>
      <c r="AN170" s="40"/>
      <c r="AO170" s="40"/>
      <c r="AP170" s="40"/>
      <c r="AQ170" s="43"/>
      <c r="AR170" s="44"/>
      <c r="AS170" s="38"/>
    </row>
    <row r="171" spans="1:45" ht="21.2" customHeight="1">
      <c r="A171" s="181">
        <f t="shared" si="12"/>
        <v>170</v>
      </c>
      <c r="B171" s="8" t="s">
        <v>275</v>
      </c>
      <c r="C171" s="31" t="s">
        <v>104</v>
      </c>
      <c r="D171" s="32" t="str">
        <f>VLOOKUP(B171,'Player Data'!A1:D734,4,FALSE)</f>
        <v>D</v>
      </c>
      <c r="E171" s="47">
        <f>VLOOKUP(B171,D!A1:C229,3,FALSE)</f>
        <v>42</v>
      </c>
      <c r="F171" s="34" t="str">
        <f>VLOOKUP(B171,'Player Data'!A1:B734,2,FALSE)</f>
        <v>ANA</v>
      </c>
      <c r="G171" s="9">
        <f>VLOOKUP(B171,'Player Data'!A1:D734,3,FALSE)</f>
        <v>19</v>
      </c>
      <c r="H171" s="35">
        <f>IFERROR(VLOOKUP(B171,ADP!A1:G731,7,FALSE)/1000000,VLOOKUP(B171,ADP!A1:G731,7,FALSE))</f>
        <v>0.844167</v>
      </c>
      <c r="I171" s="36">
        <f>IF(Settings!$E$15="POINTS",((R171*Q171)*Settings!$B$12)+(S171*Settings!$B$2)+(T171*Settings!$B$3)+(U171*Settings!$B$4)+(V171*Settings!$B$5)+(X171*Settings!$B$9)+(AA171*Settings!$B$6)+(W171*Settings!$B$8)+(AB171*Settings!$B$7)+(AC171*Settings!$B$14)+(AD171*Settings!$B$15)+(AE171*Settings!$B$16)+(AF171*Settings!$B$17)+(AG171*Settings!$B$18)+(U171*Settings!$B$13)+(Y171*Settings!$B$10)+(Z171*Settings!$B$11),VLOOKUP(B171,'Standard Deviations'!A1:C731,3,FALSE))</f>
        <v>0.51898848940261877</v>
      </c>
      <c r="J171" s="37">
        <f t="shared" si="13"/>
        <v>6.3291279195441313E-3</v>
      </c>
      <c r="K171" s="183">
        <f>VLOOKUP(B171,D!A1:F229,6,FALSE)</f>
        <v>-1.422752054231692</v>
      </c>
      <c r="L171" s="36">
        <f t="shared" si="14"/>
        <v>-1.6853916988364768</v>
      </c>
      <c r="M171" s="52" t="str">
        <f>IF(Settings!$E$9="YAHOO",VLOOKUP(B171,ADP!A1:E731,2,FALSE),IF(Settings!$E$9="ESPN",VLOOKUP(B171,ADP!A1:E731,3,FALSE),IF(Settings!$E$9="FANTRAX",VLOOKUP(B171,ADP!A1:E731,4,FALSE),VLOOKUP(B171,ADP!A1:E731,5,FALSE))))</f>
        <v>-</v>
      </c>
      <c r="N171" s="52" t="str">
        <f t="shared" si="15"/>
        <v>N/A</v>
      </c>
      <c r="O171" s="38"/>
      <c r="P171" s="39" t="str">
        <f>IF(Settings!$E$27="ON",_xlfn.XLOOKUP(B171,ADP!A2:A731,ADP!H2:H731)," ")</f>
        <v xml:space="preserve"> </v>
      </c>
      <c r="Q171" s="40">
        <f>IF(Settings!$E$12="YES",VLOOKUP(B171,'Player Data'!A1:E734,5,FALSE),82)</f>
        <v>82</v>
      </c>
      <c r="R171" s="38">
        <f>VLOOKUP(B171,'Player Data'!$A1:$AE734,6,FALSE)</f>
        <v>20</v>
      </c>
      <c r="S171" s="40">
        <f>VLOOKUP(B171,'Player Data'!$A1:$AE734,7,FALSE)*$Q171*IFERROR((VLOOKUP(P171,Settings!$E$28:$F$33,2,FALSE)+1),1)</f>
        <v>11.702156898445864</v>
      </c>
      <c r="T171" s="40">
        <f>VLOOKUP(B171,'Player Data'!$A1:$AE734,8,FALSE)*$Q171*IFERROR((VLOOKUP(P171,Settings!$E$28:$F$33,2,FALSE)+1),1)</f>
        <v>26.792879361217519</v>
      </c>
      <c r="U171" s="40">
        <f t="shared" si="17"/>
        <v>38.495036259663379</v>
      </c>
      <c r="V171" s="40">
        <f>VLOOKUP(B171,'Player Data'!$A1:$AE734,10,FALSE)*$Q171*IFERROR(((VLOOKUP(P171,Settings!$E$28:$F$33,2,FALSE)/2)+1),1)</f>
        <v>180.51092191492472</v>
      </c>
      <c r="W171" s="40">
        <f>VLOOKUP(B171,'Player Data'!$A1:$AE734,11,FALSE)*$Q171*IFERROR((VLOOKUP(P171,Settings!$E$28:$F$33,2,FALSE)+1),1)</f>
        <v>2.5529235171193494</v>
      </c>
      <c r="X171" s="40">
        <f>VLOOKUP(B171,'Player Data'!$A1:$AE734,12,FALSE)*$Q171*IFERROR((VLOOKUP(P171,Settings!$E$28:$F$33,2,FALSE)+1),1)</f>
        <v>8.3980145038653369</v>
      </c>
      <c r="Y171" s="40">
        <f>VLOOKUP(B171,'Player Data'!$A1:$AE734,13,FALSE)*$Q171</f>
        <v>0</v>
      </c>
      <c r="Z171" s="40">
        <f>VLOOKUP(B171,'Player Data'!$A1:$AE734,14,FALSE)*$Q171</f>
        <v>0</v>
      </c>
      <c r="AA171" s="40">
        <f>VLOOKUP(B171,'Player Data'!$A1:$AE734,15,FALSE)*$Q171</f>
        <v>106.00000000000014</v>
      </c>
      <c r="AB171" s="40">
        <f>VLOOKUP(B171,'Player Data'!$A1:$AE734,16,FALSE)*$Q171</f>
        <v>103.69999999999973</v>
      </c>
      <c r="AC171" s="40">
        <f>VLOOKUP(B171,'Player Data'!$A1:$AE734,17,FALSE)*$Q171*IFERROR((VLOOKUP(P171,Settings!$E$28:$F$33,2,FALSE)+1),1)</f>
        <v>0.80999999999999961</v>
      </c>
      <c r="AD171" s="40">
        <f>VLOOKUP(B171,'Player Data'!$A1:$AE734,18,FALSE)*$Q171</f>
        <v>35.500000000000028</v>
      </c>
      <c r="AE171" s="40">
        <f>VLOOKUP(B171,'Player Data'!$A1:$AE734,19,FALSE)*$Q171*IFERROR((VLOOKUP(P171,Settings!$E$28:$F$33,2,FALSE)+1),1)</f>
        <v>1.1218041671271968</v>
      </c>
      <c r="AF171" s="40">
        <f>VLOOKUP(B171,'Player Data'!$A1:$AE734,20,FALSE)*$Q171</f>
        <v>0</v>
      </c>
      <c r="AG171" s="40">
        <f>VLOOKUP(B171,'Player Data'!$A1:$AE734,21,FALSE)*$Q171</f>
        <v>0</v>
      </c>
      <c r="AH171" s="41">
        <f>VLOOKUP(B171,'Player Data'!$A1:$AE734,22,FALSE)</f>
        <v>0</v>
      </c>
      <c r="AI171" s="38"/>
      <c r="AJ171" s="42"/>
      <c r="AK171" s="40"/>
      <c r="AL171" s="40"/>
      <c r="AM171" s="40"/>
      <c r="AN171" s="40"/>
      <c r="AO171" s="40"/>
      <c r="AP171" s="40"/>
      <c r="AQ171" s="43"/>
      <c r="AR171" s="44"/>
      <c r="AS171" s="38"/>
    </row>
    <row r="172" spans="1:45" ht="21.2" customHeight="1">
      <c r="A172" s="181">
        <f t="shared" si="12"/>
        <v>171</v>
      </c>
      <c r="B172" s="8" t="s">
        <v>268</v>
      </c>
      <c r="C172" s="31" t="s">
        <v>104</v>
      </c>
      <c r="D172" s="32" t="str">
        <f>VLOOKUP(B172,'Player Data'!A1:D734,4,FALSE)</f>
        <v>D</v>
      </c>
      <c r="E172" s="47">
        <f>VLOOKUP(B172,D!A1:C229,3,FALSE)</f>
        <v>43</v>
      </c>
      <c r="F172" s="34" t="str">
        <f>VLOOKUP(B172,'Player Data'!A1:B734,2,FALSE)</f>
        <v>NJD</v>
      </c>
      <c r="G172" s="9">
        <f>VLOOKUP(B172,'Player Data'!A1:D734,3,FALSE)</f>
        <v>20</v>
      </c>
      <c r="H172" s="35">
        <f>IFERROR(VLOOKUP(B172,ADP!A1:G731,7,FALSE)/1000000,VLOOKUP(B172,ADP!A1:G731,7,FALSE))</f>
        <v>0</v>
      </c>
      <c r="I172" s="36">
        <f>IF(Settings!$E$15="POINTS",((R172*Q172)*Settings!$B$12)+(S172*Settings!$B$2)+(T172*Settings!$B$3)+(U172*Settings!$B$4)+(V172*Settings!$B$5)+(X172*Settings!$B$9)+(AA172*Settings!$B$6)+(W172*Settings!$B$8)+(AB172*Settings!$B$7)+(AC172*Settings!$B$14)+(AD172*Settings!$B$15)+(AE172*Settings!$B$16)+(AF172*Settings!$B$17)+(AG172*Settings!$B$18)+(U172*Settings!$B$13)+(Y172*Settings!$B$10)+(Z172*Settings!$B$11),VLOOKUP(B172,'Standard Deviations'!A1:C731,3,FALSE))</f>
        <v>0.49996421200840635</v>
      </c>
      <c r="J172" s="37">
        <f t="shared" si="13"/>
        <v>6.0971245366878823E-3</v>
      </c>
      <c r="K172" s="183">
        <f>VLOOKUP(B172,D!A1:F229,6,FALSE)</f>
        <v>-1.4417763316259045</v>
      </c>
      <c r="L172" s="49" t="str">
        <f t="shared" si="14"/>
        <v>N/A</v>
      </c>
      <c r="M172" s="38">
        <f>IF(Settings!$E$9="YAHOO",VLOOKUP(B172,ADP!A1:E731,2,FALSE),IF(Settings!$E$9="ESPN",VLOOKUP(B172,ADP!A1:E731,3,FALSE),IF(Settings!$E$9="FANTRAX",VLOOKUP(B172,ADP!A1:E731,4,FALSE),VLOOKUP(B172,ADP!A1:E731,5,FALSE))))</f>
        <v>182.35</v>
      </c>
      <c r="N172" s="38">
        <f t="shared" si="15"/>
        <v>11.349999999999994</v>
      </c>
      <c r="O172" s="38"/>
      <c r="P172" s="39" t="str">
        <f>IF(Settings!$E$27="ON",_xlfn.XLOOKUP(B172,ADP!A2:A731,ADP!H2:H731)," ")</f>
        <v xml:space="preserve"> </v>
      </c>
      <c r="Q172" s="40">
        <f>IF(Settings!$E$12="YES",VLOOKUP(B172,'Player Data'!A1:E734,5,FALSE),82)</f>
        <v>82</v>
      </c>
      <c r="R172" s="38">
        <f>VLOOKUP(B172,'Player Data'!$A1:$AE734,6,FALSE)</f>
        <v>21</v>
      </c>
      <c r="S172" s="40">
        <f>VLOOKUP(B172,'Player Data'!$A1:$AE734,7,FALSE)*$Q172*IFERROR((VLOOKUP(P172,Settings!$E$28:$F$33,2,FALSE)+1),1)</f>
        <v>8.778380188216703</v>
      </c>
      <c r="T172" s="40">
        <f>VLOOKUP(B172,'Player Data'!$A1:$AE734,8,FALSE)*$Q172*IFERROR((VLOOKUP(P172,Settings!$E$28:$F$33,2,FALSE)+1),1)</f>
        <v>33.065567316510609</v>
      </c>
      <c r="U172" s="40">
        <f t="shared" si="17"/>
        <v>41.843947504727311</v>
      </c>
      <c r="V172" s="40">
        <f>VLOOKUP(B172,'Player Data'!$A1:$AE734,10,FALSE)*$Q172*IFERROR(((VLOOKUP(P172,Settings!$E$28:$F$33,2,FALSE)/2)+1),1)</f>
        <v>152.15028782570238</v>
      </c>
      <c r="W172" s="40">
        <f>VLOOKUP(B172,'Player Data'!$A1:$AE734,11,FALSE)*$Q172*IFERROR((VLOOKUP(P172,Settings!$E$28:$F$33,2,FALSE)+1),1)</f>
        <v>2.0428323733495128</v>
      </c>
      <c r="X172" s="40">
        <f>VLOOKUP(B172,'Player Data'!$A1:$AE734,12,FALSE)*$Q172*IFERROR((VLOOKUP(P172,Settings!$E$28:$F$33,2,FALSE)+1),1)</f>
        <v>9.7375790018909072</v>
      </c>
      <c r="Y172" s="40">
        <f>VLOOKUP(B172,'Player Data'!$A1:$AE734,13,FALSE)*$Q172</f>
        <v>0</v>
      </c>
      <c r="Z172" s="40">
        <f>VLOOKUP(B172,'Player Data'!$A1:$AE734,14,FALSE)*$Q172</f>
        <v>0</v>
      </c>
      <c r="AA172" s="40">
        <f>VLOOKUP(B172,'Player Data'!$A1:$AE734,15,FALSE)*$Q172</f>
        <v>109.89999999999964</v>
      </c>
      <c r="AB172" s="40">
        <f>VLOOKUP(B172,'Player Data'!$A1:$AE734,16,FALSE)*$Q172</f>
        <v>111.51373929992127</v>
      </c>
      <c r="AC172" s="40">
        <f>VLOOKUP(B172,'Player Data'!$A1:$AE734,17,FALSE)*$Q172*IFERROR((VLOOKUP(P172,Settings!$E$28:$F$33,2,FALSE)+1),1)</f>
        <v>0.96999999999999775</v>
      </c>
      <c r="AD172" s="40">
        <f>VLOOKUP(B172,'Player Data'!$A1:$AE734,18,FALSE)*$Q172</f>
        <v>41.081242357086381</v>
      </c>
      <c r="AE172" s="40">
        <f>VLOOKUP(B172,'Player Data'!$A1:$AE734,19,FALSE)*$Q172*IFERROR((VLOOKUP(P172,Settings!$E$28:$F$33,2,FALSE)+1),1)</f>
        <v>1.2902285964809603</v>
      </c>
      <c r="AF172" s="40">
        <f>VLOOKUP(B172,'Player Data'!$A1:$AE734,20,FALSE)*$Q172</f>
        <v>0</v>
      </c>
      <c r="AG172" s="40">
        <f>VLOOKUP(B172,'Player Data'!$A1:$AE734,21,FALSE)*$Q172</f>
        <v>0</v>
      </c>
      <c r="AH172" s="41">
        <f>VLOOKUP(B172,'Player Data'!$A1:$AE734,22,FALSE)</f>
        <v>0</v>
      </c>
      <c r="AI172" s="38"/>
      <c r="AJ172" s="42"/>
      <c r="AK172" s="40"/>
      <c r="AL172" s="40"/>
      <c r="AM172" s="40"/>
      <c r="AN172" s="40"/>
      <c r="AO172" s="40"/>
      <c r="AP172" s="40"/>
      <c r="AQ172" s="43"/>
      <c r="AR172" s="44"/>
      <c r="AS172" s="38"/>
    </row>
    <row r="173" spans="1:45" ht="21.2" customHeight="1">
      <c r="A173" s="181">
        <f t="shared" si="12"/>
        <v>172</v>
      </c>
      <c r="B173" s="8" t="s">
        <v>272</v>
      </c>
      <c r="C173" s="31" t="s">
        <v>104</v>
      </c>
      <c r="D173" s="32" t="str">
        <f>VLOOKUP(B173,'Player Data'!A1:D734,4,FALSE)</f>
        <v>LW</v>
      </c>
      <c r="E173" s="48">
        <f>VLOOKUP(B173,LW!A1:C227,3,FALSE)</f>
        <v>47</v>
      </c>
      <c r="F173" s="34" t="str">
        <f>VLOOKUP(B173,'Player Data'!A1:B734,2,FALSE)</f>
        <v>SEA</v>
      </c>
      <c r="G173" s="9">
        <f>VLOOKUP(B173,'Player Data'!A1:D734,3,FALSE)</f>
        <v>28</v>
      </c>
      <c r="H173" s="35">
        <f>IFERROR(VLOOKUP(B173,ADP!A1:G731,7,FALSE)/1000000,VLOOKUP(B173,ADP!A1:G731,7,FALSE))</f>
        <v>5.5</v>
      </c>
      <c r="I173" s="36">
        <f>IF(Settings!$E$15="POINTS",((R173*Q173)*Settings!$B$12)+(S173*Settings!$B$2)+(T173*Settings!$B$3)+(U173*Settings!$B$4)+(V173*Settings!$B$5)+(X173*Settings!$B$9)+(AA173*Settings!$B$6)+(W173*Settings!$B$8)+(AB173*Settings!$B$7)+(AC173*Settings!$B$14)+(AD173*Settings!$B$15)+(AE173*Settings!$B$16)+(AF173*Settings!$B$17)+(AG173*Settings!$B$18)+(Y173*Settings!$B$10)+(Z173*Settings!$B$11),VLOOKUP(B173,'Standard Deviations'!A1:C731,3,FALSE))</f>
        <v>5.1548211754052202</v>
      </c>
      <c r="J173" s="37">
        <f t="shared" si="13"/>
        <v>6.2863672870795362E-2</v>
      </c>
      <c r="K173" s="183">
        <f>IF(Settings!$E$18="C/LW/RW",VLOOKUP(B173,LW!A1:F227,6,FALSE),VLOOKUP(B173,F!A1:F431,6,FALSE))</f>
        <v>-1.499847868719181</v>
      </c>
      <c r="L173" s="36">
        <f t="shared" si="14"/>
        <v>-0.27269961249439656</v>
      </c>
      <c r="M173" s="38">
        <f>IF(Settings!$E$9="YAHOO",VLOOKUP(B173,ADP!A1:E731,2,FALSE),IF(Settings!$E$9="ESPN",VLOOKUP(B173,ADP!A1:E731,3,FALSE),IF(Settings!$E$9="FANTRAX",VLOOKUP(B173,ADP!A1:E731,4,FALSE),VLOOKUP(B173,ADP!A1:E731,5,FALSE))))</f>
        <v>218.58</v>
      </c>
      <c r="N173" s="38">
        <f t="shared" si="15"/>
        <v>46.580000000000013</v>
      </c>
      <c r="O173" s="38"/>
      <c r="P173" s="39" t="str">
        <f>IF(Settings!$E$27="ON",_xlfn.XLOOKUP(B173,ADP!A2:A731,ADP!H2:H731)," ")</f>
        <v xml:space="preserve"> </v>
      </c>
      <c r="Q173" s="40">
        <f>IF(Settings!$E$12="YES",VLOOKUP(B173,'Player Data'!A1:E734,5,FALSE),82)</f>
        <v>82</v>
      </c>
      <c r="R173" s="38">
        <f>VLOOKUP(B173,'Player Data'!$A1:$AE734,6,FALSE)</f>
        <v>16.657573739984102</v>
      </c>
      <c r="S173" s="40">
        <f>VLOOKUP(B173,'Player Data'!$A1:$AE734,7,FALSE)*$Q173*IFERROR((VLOOKUP(P173,Settings!$E$28:$F$33,2,FALSE)+1),1)</f>
        <v>24.114118097071636</v>
      </c>
      <c r="T173" s="40">
        <f>VLOOKUP(B173,'Player Data'!$A1:$AE734,8,FALSE)*$Q173*IFERROR((VLOOKUP(P173,Settings!$E$28:$F$33,2,FALSE)+1),1)</f>
        <v>42.105029116972084</v>
      </c>
      <c r="U173" s="40">
        <f t="shared" si="17"/>
        <v>66.219147214043716</v>
      </c>
      <c r="V173" s="40">
        <f>VLOOKUP(B173,'Player Data'!$A1:$AE734,10,FALSE)*$Q173*IFERROR(((VLOOKUP(P173,Settings!$E$28:$F$33,2,FALSE)/2)+1),1)</f>
        <v>174.51879260538203</v>
      </c>
      <c r="W173" s="40">
        <f>VLOOKUP(B173,'Player Data'!$A1:$AE734,11,FALSE)*$Q173*IFERROR((VLOOKUP(P173,Settings!$E$28:$F$33,2,FALSE)+1),1)</f>
        <v>6.7316028415170326</v>
      </c>
      <c r="X173" s="40">
        <f>VLOOKUP(B173,'Player Data'!$A1:$AE734,12,FALSE)*$Q173*IFERROR((VLOOKUP(P173,Settings!$E$28:$F$33,2,FALSE)+1),1)</f>
        <v>20.506694466290586</v>
      </c>
      <c r="Y173" s="40">
        <f>VLOOKUP(B173,'Player Data'!$A1:$AE734,13,FALSE)*$Q173</f>
        <v>1.6702550627805902E-3</v>
      </c>
      <c r="Z173" s="40">
        <f>VLOOKUP(B173,'Player Data'!$A1:$AE734,14,FALSE)*$Q173</f>
        <v>3.1052630559684478E-3</v>
      </c>
      <c r="AA173" s="40">
        <f>VLOOKUP(B173,'Player Data'!$A1:$AE734,15,FALSE)*$Q173</f>
        <v>29.741516020216501</v>
      </c>
      <c r="AB173" s="40">
        <f>VLOOKUP(B173,'Player Data'!$A1:$AE734,16,FALSE)*$Q173</f>
        <v>42.909379958424076</v>
      </c>
      <c r="AC173" s="40">
        <f>VLOOKUP(B173,'Player Data'!$A1:$AE734,17,FALSE)*$Q173*IFERROR((VLOOKUP(P173,Settings!$E$28:$F$33,2,FALSE)+1),1)</f>
        <v>-0.719170066740631</v>
      </c>
      <c r="AD173" s="40">
        <f>VLOOKUP(B173,'Player Data'!$A1:$AE734,18,FALSE)*$Q173</f>
        <v>23.089443758844915</v>
      </c>
      <c r="AE173" s="40">
        <f>VLOOKUP(B173,'Player Data'!$A1:$AE734,19,FALSE)*$Q173*IFERROR((VLOOKUP(P173,Settings!$E$28:$F$33,2,FALSE)+1),1)</f>
        <v>3.389503979134088</v>
      </c>
      <c r="AF173" s="40">
        <f>VLOOKUP(B173,'Player Data'!$A1:$AE734,20,FALSE)*$Q173</f>
        <v>3.3946378545620117</v>
      </c>
      <c r="AG173" s="40">
        <f>VLOOKUP(B173,'Player Data'!$A1:$AE734,21,FALSE)*$Q173</f>
        <v>8.6227826211265892</v>
      </c>
      <c r="AH173" s="41">
        <f>VLOOKUP(B173,'Player Data'!$A1:$AE734,22,FALSE)</f>
        <v>0.28247641508669902</v>
      </c>
      <c r="AI173" s="38"/>
      <c r="AJ173" s="42"/>
      <c r="AK173" s="40"/>
      <c r="AL173" s="40"/>
      <c r="AM173" s="40"/>
      <c r="AN173" s="40"/>
      <c r="AO173" s="40"/>
      <c r="AP173" s="40"/>
      <c r="AQ173" s="43"/>
      <c r="AR173" s="44"/>
      <c r="AS173" s="38"/>
    </row>
    <row r="174" spans="1:45" ht="21.2" customHeight="1">
      <c r="A174" s="181">
        <f t="shared" si="12"/>
        <v>173</v>
      </c>
      <c r="B174" s="8" t="s">
        <v>269</v>
      </c>
      <c r="C174" s="31" t="s">
        <v>104</v>
      </c>
      <c r="D174" s="32" t="str">
        <f>VLOOKUP(B174,'Player Data'!A1:D734,4,FALSE)</f>
        <v>D</v>
      </c>
      <c r="E174" s="47">
        <f>VLOOKUP(B174,D!A1:C229,3,FALSE)</f>
        <v>44</v>
      </c>
      <c r="F174" s="34" t="str">
        <f>VLOOKUP(B174,'Player Data'!A1:B734,2,FALSE)</f>
        <v>VAN</v>
      </c>
      <c r="G174" s="9">
        <f>VLOOKUP(B174,'Player Data'!A1:D734,3,FALSE)</f>
        <v>25</v>
      </c>
      <c r="H174" s="35">
        <f>IFERROR(VLOOKUP(B174,ADP!A1:G731,7,FALSE)/1000000,VLOOKUP(B174,ADP!A1:G731,7,FALSE))</f>
        <v>4.4000000000000004</v>
      </c>
      <c r="I174" s="36">
        <f>IF(Settings!$E$15="POINTS",((R174*Q174)*Settings!$B$12)+(S174*Settings!$B$2)+(T174*Settings!$B$3)+(U174*Settings!$B$4)+(V174*Settings!$B$5)+(X174*Settings!$B$9)+(AA174*Settings!$B$6)+(W174*Settings!$B$8)+(AB174*Settings!$B$7)+(AC174*Settings!$B$14)+(AD174*Settings!$B$15)+(AE174*Settings!$B$16)+(AF174*Settings!$B$17)+(AG174*Settings!$B$18)+(U174*Settings!$B$13)+(Y174*Settings!$B$10)+(Z174*Settings!$B$11),VLOOKUP(B174,'Standard Deviations'!A1:C731,3,FALSE))</f>
        <v>0.40876425327896104</v>
      </c>
      <c r="J174" s="37">
        <f t="shared" si="13"/>
        <v>4.9849299180361106E-3</v>
      </c>
      <c r="K174" s="183">
        <f>VLOOKUP(B174,D!A1:F229,6,FALSE)</f>
        <v>-1.5329762903553497</v>
      </c>
      <c r="L174" s="36">
        <f t="shared" si="14"/>
        <v>-0.34840370235348855</v>
      </c>
      <c r="M174" s="38">
        <f>IF(Settings!$E$9="YAHOO",VLOOKUP(B174,ADP!A1:E731,2,FALSE),IF(Settings!$E$9="ESPN",VLOOKUP(B174,ADP!A1:E731,3,FALSE),IF(Settings!$E$9="FANTRAX",VLOOKUP(B174,ADP!A1:E731,4,FALSE),VLOOKUP(B174,ADP!A1:E731,5,FALSE))))</f>
        <v>217.26</v>
      </c>
      <c r="N174" s="38">
        <f t="shared" si="15"/>
        <v>44.259999999999991</v>
      </c>
      <c r="O174" s="38"/>
      <c r="P174" s="39" t="str">
        <f>IF(Settings!$E$27="ON",_xlfn.XLOOKUP(B174,ADP!A2:A731,ADP!H2:H731)," ")</f>
        <v xml:space="preserve"> </v>
      </c>
      <c r="Q174" s="40">
        <f>IF(Settings!$E$12="YES",VLOOKUP(B174,'Player Data'!A1:E734,5,FALSE),82)</f>
        <v>82</v>
      </c>
      <c r="R174" s="38">
        <f>VLOOKUP(B174,'Player Data'!$A1:$AE734,6,FALSE)</f>
        <v>22.059552401887299</v>
      </c>
      <c r="S174" s="40">
        <f>VLOOKUP(B174,'Player Data'!$A1:$AE734,7,FALSE)*$Q174*IFERROR((VLOOKUP(P174,Settings!$E$28:$F$33,2,FALSE)+1),1)</f>
        <v>7.3618328161710318</v>
      </c>
      <c r="T174" s="40">
        <f>VLOOKUP(B174,'Player Data'!$A1:$AE734,8,FALSE)*$Q174*IFERROR((VLOOKUP(P174,Settings!$E$28:$F$33,2,FALSE)+1),1)</f>
        <v>33.901157136447999</v>
      </c>
      <c r="U174" s="40">
        <f t="shared" si="17"/>
        <v>41.26298995261903</v>
      </c>
      <c r="V174" s="40">
        <f>VLOOKUP(B174,'Player Data'!$A1:$AE734,10,FALSE)*$Q174*IFERROR(((VLOOKUP(P174,Settings!$E$28:$F$33,2,FALSE)/2)+1),1)</f>
        <v>150.71469273270134</v>
      </c>
      <c r="W174" s="40">
        <f>VLOOKUP(B174,'Player Data'!$A1:$AE734,11,FALSE)*$Q174*IFERROR((VLOOKUP(P174,Settings!$E$28:$F$33,2,FALSE)+1),1)</f>
        <v>2.0409531517773409</v>
      </c>
      <c r="X174" s="40">
        <f>VLOOKUP(B174,'Player Data'!$A1:$AE734,12,FALSE)*$Q174*IFERROR((VLOOKUP(P174,Settings!$E$28:$F$33,2,FALSE)+1),1)</f>
        <v>10.073167064252821</v>
      </c>
      <c r="Y174" s="40">
        <f>VLOOKUP(B174,'Player Data'!$A1:$AE734,13,FALSE)*$Q174</f>
        <v>4.754873502199039E-2</v>
      </c>
      <c r="Z174" s="40">
        <f>VLOOKUP(B174,'Player Data'!$A1:$AE734,14,FALSE)*$Q174</f>
        <v>0.28125251422728814</v>
      </c>
      <c r="AA174" s="40">
        <f>VLOOKUP(B174,'Player Data'!$A1:$AE734,15,FALSE)*$Q174</f>
        <v>91.05524086777065</v>
      </c>
      <c r="AB174" s="40">
        <f>VLOOKUP(B174,'Player Data'!$A1:$AE734,16,FALSE)*$Q174</f>
        <v>109.51462396377231</v>
      </c>
      <c r="AC174" s="40">
        <f>VLOOKUP(B174,'Player Data'!$A1:$AE734,17,FALSE)*$Q174*IFERROR((VLOOKUP(P174,Settings!$E$28:$F$33,2,FALSE)+1),1)</f>
        <v>0.58297900735376984</v>
      </c>
      <c r="AD174" s="40">
        <f>VLOOKUP(B174,'Player Data'!$A1:$AE734,18,FALSE)*$Q174</f>
        <v>33.046554511651628</v>
      </c>
      <c r="AE174" s="40">
        <f>VLOOKUP(B174,'Player Data'!$A1:$AE734,19,FALSE)*$Q174*IFERROR((VLOOKUP(P174,Settings!$E$28:$F$33,2,FALSE)+1),1)</f>
        <v>1.0421384691151365</v>
      </c>
      <c r="AF174" s="40">
        <f>VLOOKUP(B174,'Player Data'!$A1:$AE734,20,FALSE)*$Q174</f>
        <v>0</v>
      </c>
      <c r="AG174" s="40">
        <f>VLOOKUP(B174,'Player Data'!$A1:$AE734,21,FALSE)*$Q174</f>
        <v>0</v>
      </c>
      <c r="AH174" s="41">
        <f>VLOOKUP(B174,'Player Data'!$A1:$AE734,22,FALSE)</f>
        <v>0</v>
      </c>
      <c r="AI174" s="38"/>
      <c r="AJ174" s="42"/>
      <c r="AK174" s="40"/>
      <c r="AL174" s="40"/>
      <c r="AM174" s="40"/>
      <c r="AN174" s="40"/>
      <c r="AO174" s="40"/>
      <c r="AP174" s="40"/>
      <c r="AQ174" s="43"/>
      <c r="AR174" s="44"/>
      <c r="AS174" s="38"/>
    </row>
    <row r="175" spans="1:45" ht="21.2" customHeight="1">
      <c r="A175" s="181">
        <f t="shared" si="12"/>
        <v>174</v>
      </c>
      <c r="B175" s="8" t="s">
        <v>348</v>
      </c>
      <c r="C175" s="31" t="s">
        <v>104</v>
      </c>
      <c r="D175" s="32" t="str">
        <f>VLOOKUP(B175,'Player Data'!A1:D734,4,FALSE)</f>
        <v>D</v>
      </c>
      <c r="E175" s="47">
        <f>VLOOKUP(B175,D!A1:C229,3,FALSE)</f>
        <v>45</v>
      </c>
      <c r="F175" s="34" t="str">
        <f>VLOOKUP(B175,'Player Data'!A1:B734,2,FALSE)</f>
        <v>MIN</v>
      </c>
      <c r="G175" s="9">
        <f>VLOOKUP(B175,'Player Data'!A1:D734,3,FALSE)</f>
        <v>23</v>
      </c>
      <c r="H175" s="35">
        <f>IFERROR(VLOOKUP(B175,ADP!A1:G731,7,FALSE)/1000000,VLOOKUP(B175,ADP!A1:G731,7,FALSE))</f>
        <v>0</v>
      </c>
      <c r="I175" s="36">
        <f>IF(Settings!$E$15="POINTS",((R175*Q175)*Settings!$B$12)+(S175*Settings!$B$2)+(T175*Settings!$B$3)+(U175*Settings!$B$4)+(V175*Settings!$B$5)+(X175*Settings!$B$9)+(AA175*Settings!$B$6)+(W175*Settings!$B$8)+(AB175*Settings!$B$7)+(AC175*Settings!$B$14)+(AD175*Settings!$B$15)+(AE175*Settings!$B$16)+(AF175*Settings!$B$17)+(AG175*Settings!$B$18)+(U175*Settings!$B$13)+(Y175*Settings!$B$10)+(Z175*Settings!$B$11),VLOOKUP(B175,'Standard Deviations'!A1:C731,3,FALSE))</f>
        <v>0.37262827336903515</v>
      </c>
      <c r="J175" s="37">
        <f t="shared" si="13"/>
        <v>4.5442472362077456E-3</v>
      </c>
      <c r="K175" s="183">
        <f>VLOOKUP(B175,D!A1:F229,6,FALSE)</f>
        <v>-1.5691122702652756</v>
      </c>
      <c r="L175" s="49" t="str">
        <f t="shared" si="14"/>
        <v>N/A</v>
      </c>
      <c r="M175" s="38">
        <f>IF(Settings!$E$9="YAHOO",VLOOKUP(B175,ADP!A1:E731,2,FALSE),IF(Settings!$E$9="ESPN",VLOOKUP(B175,ADP!A1:E731,3,FALSE),IF(Settings!$E$9="FANTRAX",VLOOKUP(B175,ADP!A1:E731,4,FALSE),VLOOKUP(B175,ADP!A1:E731,5,FALSE))))</f>
        <v>227.49</v>
      </c>
      <c r="N175" s="38">
        <f t="shared" si="15"/>
        <v>53.490000000000009</v>
      </c>
      <c r="O175" s="38"/>
      <c r="P175" s="39" t="str">
        <f>IF(Settings!$E$27="ON",_xlfn.XLOOKUP(B175,ADP!A2:A731,ADP!H2:H731)," ")</f>
        <v xml:space="preserve"> </v>
      </c>
      <c r="Q175" s="40">
        <f>IF(Settings!$E$12="YES",VLOOKUP(B175,'Player Data'!A1:E734,5,FALSE),82)</f>
        <v>82</v>
      </c>
      <c r="R175" s="38">
        <f>VLOOKUP(B175,'Player Data'!$A1:$AE734,6,FALSE)</f>
        <v>16.1527448932349</v>
      </c>
      <c r="S175" s="40">
        <f>VLOOKUP(B175,'Player Data'!$A1:$AE734,7,FALSE)*$Q175*IFERROR((VLOOKUP(P175,Settings!$E$28:$F$33,2,FALSE)+1),1)</f>
        <v>4.8707907620101834</v>
      </c>
      <c r="T175" s="40">
        <f>VLOOKUP(B175,'Player Data'!$A1:$AE734,8,FALSE)*$Q175*IFERROR((VLOOKUP(P175,Settings!$E$28:$F$33,2,FALSE)+1),1)</f>
        <v>32.812564190634575</v>
      </c>
      <c r="U175" s="40">
        <f t="shared" si="17"/>
        <v>37.683354952644756</v>
      </c>
      <c r="V175" s="40">
        <f>VLOOKUP(B175,'Player Data'!$A1:$AE734,10,FALSE)*$Q175*IFERROR(((VLOOKUP(P175,Settings!$E$28:$F$33,2,FALSE)/2)+1),1)</f>
        <v>103.51660996918775</v>
      </c>
      <c r="W175" s="40">
        <f>VLOOKUP(B175,'Player Data'!$A1:$AE734,11,FALSE)*$Q175*IFERROR((VLOOKUP(P175,Settings!$E$28:$F$33,2,FALSE)+1),1)</f>
        <v>0.60715515435784695</v>
      </c>
      <c r="X175" s="40">
        <f>VLOOKUP(B175,'Player Data'!$A1:$AE734,12,FALSE)*$Q175*IFERROR((VLOOKUP(P175,Settings!$E$28:$F$33,2,FALSE)+1),1)</f>
        <v>22.364323640518283</v>
      </c>
      <c r="Y175" s="40">
        <f>VLOOKUP(B175,'Player Data'!$A1:$AE734,13,FALSE)*$Q175</f>
        <v>6.3364390882430528E-3</v>
      </c>
      <c r="Z175" s="40">
        <f>VLOOKUP(B175,'Player Data'!$A1:$AE734,14,FALSE)*$Q175</f>
        <v>2.7519796649405976E-2</v>
      </c>
      <c r="AA175" s="40">
        <f>VLOOKUP(B175,'Player Data'!$A1:$AE734,15,FALSE)*$Q175</f>
        <v>61.373872519339905</v>
      </c>
      <c r="AB175" s="40">
        <f>VLOOKUP(B175,'Player Data'!$A1:$AE734,16,FALSE)*$Q175</f>
        <v>57.594435455203119</v>
      </c>
      <c r="AC175" s="40">
        <f>VLOOKUP(B175,'Player Data'!$A1:$AE734,17,FALSE)*$Q175*IFERROR((VLOOKUP(P175,Settings!$E$28:$F$33,2,FALSE)+1),1)</f>
        <v>0.19901072159784461</v>
      </c>
      <c r="AD175" s="40">
        <f>VLOOKUP(B175,'Player Data'!$A1:$AE734,18,FALSE)*$Q175</f>
        <v>28.580135395653109</v>
      </c>
      <c r="AE175" s="40">
        <f>VLOOKUP(B175,'Player Data'!$A1:$AE734,19,FALSE)*$Q175*IFERROR((VLOOKUP(P175,Settings!$E$28:$F$33,2,FALSE)+1),1)</f>
        <v>0.78213412138283434</v>
      </c>
      <c r="AF175" s="40">
        <f>VLOOKUP(B175,'Player Data'!$A1:$AE734,20,FALSE)*$Q175</f>
        <v>0</v>
      </c>
      <c r="AG175" s="40">
        <f>VLOOKUP(B175,'Player Data'!$A1:$AE734,21,FALSE)*$Q175</f>
        <v>0</v>
      </c>
      <c r="AH175" s="41">
        <f>VLOOKUP(B175,'Player Data'!$A1:$AE734,22,FALSE)</f>
        <v>0</v>
      </c>
      <c r="AI175" s="38"/>
      <c r="AJ175" s="42"/>
      <c r="AK175" s="40"/>
      <c r="AL175" s="40"/>
      <c r="AM175" s="40"/>
      <c r="AN175" s="40"/>
      <c r="AO175" s="40"/>
      <c r="AP175" s="40"/>
      <c r="AQ175" s="43"/>
      <c r="AR175" s="44"/>
      <c r="AS175" s="38"/>
    </row>
    <row r="176" spans="1:45" ht="21.2" customHeight="1">
      <c r="A176" s="181">
        <f t="shared" si="12"/>
        <v>175</v>
      </c>
      <c r="B176" s="8" t="s">
        <v>607</v>
      </c>
      <c r="C176" s="31" t="s">
        <v>104</v>
      </c>
      <c r="D176" s="32" t="str">
        <f>VLOOKUP(B176,'Player Data'!A1:D734,4,FALSE)</f>
        <v>G</v>
      </c>
      <c r="E176" s="50">
        <f>VLOOKUP(B176,G!A1:D75,3,FALSE)</f>
        <v>32</v>
      </c>
      <c r="F176" s="34" t="str">
        <f>VLOOKUP(B176,'Player Data'!A1:B734,2,FALSE)</f>
        <v>TBL</v>
      </c>
      <c r="G176" s="9">
        <f>VLOOKUP(B176,'Player Data'!A1:D734,3,FALSE)</f>
        <v>27</v>
      </c>
      <c r="H176" s="35">
        <f>IFERROR(VLOOKUP(B176,ADP!A1:G731,7,FALSE)/1000000,VLOOKUP(B176,ADP!A1:G731,7,FALSE))</f>
        <v>0</v>
      </c>
      <c r="I176" s="36">
        <f>IF(Settings!$E$15="POINTS",(AJ176*Settings!$B$29)+(AK176*Settings!$B$21)+(AL176*Settings!$B$22)+(AN176*Settings!$B$24)+(AO176*Settings!$B$25)+(AP176*Settings!$B$27)+(AM176*Settings!$B$23),VLOOKUP(B176,'Standard Deviations'!A1:C731,3,FALSE))</f>
        <v>0.11854065839805565</v>
      </c>
      <c r="J176" s="37">
        <f t="shared" si="13"/>
        <v>3.292796066612657E-3</v>
      </c>
      <c r="K176" s="183">
        <f>VLOOKUP(B176,G!A1:F75,6,FALSE)</f>
        <v>-1.5856883927922358</v>
      </c>
      <c r="L176" s="49" t="str">
        <f t="shared" si="14"/>
        <v>N/A</v>
      </c>
      <c r="M176" s="52" t="str">
        <f>IF(Settings!$E$9="YAHOO",VLOOKUP(B176,ADP!A1:E731,2,FALSE),IF(Settings!$E$9="ESPN",VLOOKUP(B176,ADP!A1:E731,3,FALSE),IF(Settings!$E$9="FANTRAX",VLOOKUP(B176,ADP!A1:E731,4,FALSE),VLOOKUP(B176,ADP!A1:E731,5,FALSE))))</f>
        <v>-</v>
      </c>
      <c r="N176" s="52" t="str">
        <f t="shared" si="15"/>
        <v>N/A</v>
      </c>
      <c r="O176" s="38"/>
      <c r="P176" s="39" t="str">
        <f>IF(Settings!$E$27="ON",_xlfn.XLOOKUP(B176,ADP!A2:A731,ADP!H2:H731)," ")</f>
        <v xml:space="preserve"> </v>
      </c>
      <c r="Q176" s="40"/>
      <c r="R176" s="51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1"/>
      <c r="AI176" s="38"/>
      <c r="AJ176" s="42">
        <f>VLOOKUP(B176,'Player Data'!$A1:$AE734,24,FALSE)</f>
        <v>36</v>
      </c>
      <c r="AK176" s="40">
        <f>VLOOKUP(B176,'Player Data'!$A1:$AE734,25,FALSE)*$AJ176*IFERROR((VLOOKUP(P176,Settings!$E$28:$F$33,2,FALSE)+1),1)</f>
        <v>17.437985290614673</v>
      </c>
      <c r="AL176" s="40">
        <f>AJ176-AK176-AM176</f>
        <v>14.062014709385327</v>
      </c>
      <c r="AM176" s="40">
        <f>VLOOKUP(B176,'Player Data'!$A1:$AE734,27,FALSE)*$AJ176</f>
        <v>4.5</v>
      </c>
      <c r="AN176" s="40">
        <f>VLOOKUP(B176,'Player Data'!$A1:$AE734,28,FALSE)*AJ176</f>
        <v>0.99362572615585087</v>
      </c>
      <c r="AO176" s="40">
        <f>VLOOKUP(B176,'Player Data'!$A1:$AE734,29,FALSE)*$AJ176*IFERROR((VLOOKUP(P176,Settings!$E$28:$F$33,2,FALSE)/4)+1,1)</f>
        <v>1017.0095242160448</v>
      </c>
      <c r="AP176" s="40">
        <f>VLOOKUP(B176,'Player Data'!$A1:$AE734,31,FALSE)*$AJ176*(IFERROR(1-(VLOOKUP(P176,Settings!$E$28:$F$33,2,FALSE)/4),1))</f>
        <v>114.59652190895484</v>
      </c>
      <c r="AQ176" s="43">
        <f>1-(AP176/(AO176+AP176))</f>
        <v>0.89873108021879877</v>
      </c>
      <c r="AR176" s="44">
        <f>AP176/AJ176</f>
        <v>3.1832367196931899</v>
      </c>
      <c r="AS176" s="38"/>
    </row>
    <row r="177" spans="1:45" ht="21.2" customHeight="1">
      <c r="A177" s="181">
        <f t="shared" si="12"/>
        <v>176</v>
      </c>
      <c r="B177" s="8" t="s">
        <v>258</v>
      </c>
      <c r="C177" s="31" t="s">
        <v>104</v>
      </c>
      <c r="D177" s="32" t="str">
        <f>VLOOKUP(B177,'Player Data'!A1:D734,4,FALSE)</f>
        <v>C,LW</v>
      </c>
      <c r="E177" s="45">
        <f>VLOOKUP(B177,LW!A1:C227,3,FALSE)</f>
        <v>50</v>
      </c>
      <c r="F177" s="34" t="str">
        <f>VLOOKUP(B177,'Player Data'!A1:B734,2,FALSE)</f>
        <v>BOS</v>
      </c>
      <c r="G177" s="9">
        <f>VLOOKUP(B177,'Player Data'!A1:D734,3,FALSE)</f>
        <v>26</v>
      </c>
      <c r="H177" s="35">
        <f>IFERROR(VLOOKUP(B177,ADP!A1:G731,7,FALSE)/1000000,VLOOKUP(B177,ADP!A1:G731,7,FALSE))</f>
        <v>4.75</v>
      </c>
      <c r="I177" s="36">
        <f>IF(Settings!$E$15="POINTS",((R177*Q177)*Settings!$B$12)+(S177*Settings!$B$2)+(T177*Settings!$B$3)+(U177*Settings!$B$4)+(V177*Settings!$B$5)+(X177*Settings!$B$9)+(AA177*Settings!$B$6)+(W177*Settings!$B$8)+(AB177*Settings!$B$7)+(AC177*Settings!$B$14)+(AD177*Settings!$B$15)+(AE177*Settings!$B$16)+(AF177*Settings!$B$17)+(AG177*Settings!$B$18)+(Y177*Settings!$B$10)+(Z177*Settings!$B$11),VLOOKUP(B177,'Standard Deviations'!A1:C731,3,FALSE))</f>
        <v>4.9802623630289942</v>
      </c>
      <c r="J177" s="37">
        <f t="shared" si="13"/>
        <v>6.0734906866207243E-2</v>
      </c>
      <c r="K177" s="183">
        <f>IF(Settings!$E$18="C/LW/RW",VLOOKUP(B177,LW!A1:F227,6,FALSE),VLOOKUP(B177,F!A1:F431,6,FALSE))</f>
        <v>-1.674406681095407</v>
      </c>
      <c r="L177" s="36">
        <f t="shared" si="14"/>
        <v>-0.35250666970429623</v>
      </c>
      <c r="M177" s="38">
        <f>IF(Settings!$E$9="YAHOO",VLOOKUP(B177,ADP!A1:E731,2,FALSE),IF(Settings!$E$9="ESPN",VLOOKUP(B177,ADP!A1:E731,3,FALSE),IF(Settings!$E$9="FANTRAX",VLOOKUP(B177,ADP!A1:E731,4,FALSE),VLOOKUP(B177,ADP!A1:E731,5,FALSE))))</f>
        <v>174.92</v>
      </c>
      <c r="N177" s="38">
        <f t="shared" si="15"/>
        <v>-1.0800000000000125</v>
      </c>
      <c r="O177" s="38"/>
      <c r="P177" s="39" t="str">
        <f>IF(Settings!$E$27="ON",_xlfn.XLOOKUP(B177,ADP!A2:A731,ADP!H2:H731)," ")</f>
        <v xml:space="preserve"> </v>
      </c>
      <c r="Q177" s="40">
        <f>IF(Settings!$E$12="YES",VLOOKUP(B177,'Player Data'!A1:E734,5,FALSE),82)</f>
        <v>82</v>
      </c>
      <c r="R177" s="38">
        <f>VLOOKUP(B177,'Player Data'!$A1:$AE734,6,FALSE)</f>
        <v>20.023978405119401</v>
      </c>
      <c r="S177" s="40">
        <f>VLOOKUP(B177,'Player Data'!$A1:$AE734,7,FALSE)*$Q177*IFERROR((VLOOKUP(P177,Settings!$E$28:$F$33,2,FALSE)+1),1)</f>
        <v>26.63296422995268</v>
      </c>
      <c r="T177" s="40">
        <f>VLOOKUP(B177,'Player Data'!$A1:$AE734,8,FALSE)*$Q177*IFERROR((VLOOKUP(P177,Settings!$E$28:$F$33,2,FALSE)+1),1)</f>
        <v>40.191886016810805</v>
      </c>
      <c r="U177" s="40">
        <f>SUM(S177:T177)</f>
        <v>66.824850246763489</v>
      </c>
      <c r="V177" s="40">
        <f>VLOOKUP(B177,'Player Data'!$A1:$AE734,10,FALSE)*$Q177*IFERROR(((VLOOKUP(P177,Settings!$E$28:$F$33,2,FALSE)/2)+1),1)</f>
        <v>179.30946506677367</v>
      </c>
      <c r="W177" s="40">
        <f>VLOOKUP(B177,'Player Data'!$A1:$AE734,11,FALSE)*$Q177*IFERROR((VLOOKUP(P177,Settings!$E$28:$F$33,2,FALSE)+1),1)</f>
        <v>6.8575419648377069</v>
      </c>
      <c r="X177" s="40">
        <f>VLOOKUP(B177,'Player Data'!$A1:$AE734,12,FALSE)*$Q177*IFERROR((VLOOKUP(P177,Settings!$E$28:$F$33,2,FALSE)+1),1)</f>
        <v>16.671893929657866</v>
      </c>
      <c r="Y177" s="40">
        <f>VLOOKUP(B177,'Player Data'!$A1:$AE734,13,FALSE)*$Q177</f>
        <v>0.22039988814261177</v>
      </c>
      <c r="Z177" s="40">
        <f>VLOOKUP(B177,'Player Data'!$A1:$AE734,14,FALSE)*$Q177</f>
        <v>1.2568660889556613</v>
      </c>
      <c r="AA177" s="40">
        <f>VLOOKUP(B177,'Player Data'!$A1:$AE734,15,FALSE)*$Q177</f>
        <v>27.425497714774824</v>
      </c>
      <c r="AB177" s="40">
        <f>VLOOKUP(B177,'Player Data'!$A1:$AE734,16,FALSE)*$Q177</f>
        <v>84.528559735695495</v>
      </c>
      <c r="AC177" s="40">
        <f>VLOOKUP(B177,'Player Data'!$A1:$AE734,17,FALSE)*$Q177*IFERROR((VLOOKUP(P177,Settings!$E$28:$F$33,2,FALSE)+1),1)</f>
        <v>3.9028755372852171</v>
      </c>
      <c r="AD177" s="40">
        <f>VLOOKUP(B177,'Player Data'!$A1:$AE734,18,FALSE)*$Q177</f>
        <v>26.358299459475905</v>
      </c>
      <c r="AE177" s="40">
        <f>VLOOKUP(B177,'Player Data'!$A1:$AE734,19,FALSE)*$Q177*IFERROR((VLOOKUP(P177,Settings!$E$28:$F$33,2,FALSE)+1),1)</f>
        <v>4.4711505739747093</v>
      </c>
      <c r="AF177" s="40">
        <f>VLOOKUP(B177,'Player Data'!$A1:$AE734,20,FALSE)*$Q177</f>
        <v>226.67349526229535</v>
      </c>
      <c r="AG177" s="40">
        <f>VLOOKUP(B177,'Player Data'!$A1:$AE734,21,FALSE)*$Q177</f>
        <v>244.68579798324384</v>
      </c>
      <c r="AH177" s="41">
        <f>VLOOKUP(B177,'Player Data'!$A1:$AE734,22,FALSE)</f>
        <v>0.48089323475843099</v>
      </c>
      <c r="AI177" s="38"/>
      <c r="AJ177" s="42"/>
      <c r="AK177" s="40"/>
      <c r="AL177" s="40"/>
      <c r="AM177" s="40"/>
      <c r="AN177" s="40"/>
      <c r="AO177" s="40"/>
      <c r="AP177" s="40"/>
      <c r="AQ177" s="43"/>
      <c r="AR177" s="44"/>
      <c r="AS177" s="38"/>
    </row>
    <row r="178" spans="1:45" ht="21.2" customHeight="1">
      <c r="A178" s="181">
        <f t="shared" si="12"/>
        <v>177</v>
      </c>
      <c r="B178" s="8" t="s">
        <v>543</v>
      </c>
      <c r="C178" s="31" t="s">
        <v>104</v>
      </c>
      <c r="D178" s="32" t="str">
        <f>VLOOKUP(B178,'Player Data'!A1:D734,4,FALSE)</f>
        <v>G</v>
      </c>
      <c r="E178" s="50">
        <f>VLOOKUP(B178,G!A1:D75,3,FALSE)</f>
        <v>33</v>
      </c>
      <c r="F178" s="34" t="str">
        <f>VLOOKUP(B178,'Player Data'!A1:B734,2,FALSE)</f>
        <v>OTT</v>
      </c>
      <c r="G178" s="9">
        <f>VLOOKUP(B178,'Player Data'!A1:D734,3,FALSE)</f>
        <v>30</v>
      </c>
      <c r="H178" s="35">
        <f>IFERROR(VLOOKUP(B178,ADP!A1:G731,7,FALSE)/1000000,VLOOKUP(B178,ADP!A1:G731,7,FALSE))</f>
        <v>2.75</v>
      </c>
      <c r="I178" s="36">
        <f>IF(Settings!$E$15="POINTS",(AJ178*Settings!$B$29)+(AK178*Settings!$B$21)+(AL178*Settings!$B$22)+(AN178*Settings!$B$24)+(AO178*Settings!$B$25)+(AP178*Settings!$B$27)+(AM178*Settings!$B$23),VLOOKUP(B178,'Standard Deviations'!A1:C731,3,FALSE))</f>
        <v>1.4582879375380865E-2</v>
      </c>
      <c r="J178" s="37">
        <f t="shared" si="13"/>
        <v>4.289082169229666E-4</v>
      </c>
      <c r="K178" s="183">
        <f>VLOOKUP(B178,G!A1:F75,6,FALSE)</f>
        <v>-1.6896461718149107</v>
      </c>
      <c r="L178" s="36">
        <f t="shared" si="14"/>
        <v>-0.61441678975087666</v>
      </c>
      <c r="M178" s="38">
        <f>IF(Settings!$E$9="YAHOO",VLOOKUP(B178,ADP!A1:E731,2,FALSE),IF(Settings!$E$9="ESPN",VLOOKUP(B178,ADP!A1:E731,3,FALSE),IF(Settings!$E$9="FANTRAX",VLOOKUP(B178,ADP!A1:E731,4,FALSE),VLOOKUP(B178,ADP!A1:E731,5,FALSE))))</f>
        <v>449.67</v>
      </c>
      <c r="N178" s="38">
        <f t="shared" si="15"/>
        <v>272.67</v>
      </c>
      <c r="O178" s="38"/>
      <c r="P178" s="39" t="str">
        <f>IF(Settings!$E$27="ON",_xlfn.XLOOKUP(B178,ADP!A2:A731,ADP!H2:H731)," ")</f>
        <v xml:space="preserve"> </v>
      </c>
      <c r="Q178" s="40"/>
      <c r="R178" s="51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1"/>
      <c r="AI178" s="38"/>
      <c r="AJ178" s="42">
        <f>VLOOKUP(B178,'Player Data'!$A1:$AE734,24,FALSE)</f>
        <v>34</v>
      </c>
      <c r="AK178" s="40">
        <f>VLOOKUP(B178,'Player Data'!$A1:$AE734,25,FALSE)*$AJ178*IFERROR((VLOOKUP(P178,Settings!$E$28:$F$33,2,FALSE)+1),1)</f>
        <v>17.912543983693677</v>
      </c>
      <c r="AL178" s="40">
        <f>AJ178-AK178-AM178</f>
        <v>11.837456016306323</v>
      </c>
      <c r="AM178" s="40">
        <f>VLOOKUP(B178,'Player Data'!$A1:$AE734,27,FALSE)*$AJ178</f>
        <v>4.25</v>
      </c>
      <c r="AN178" s="40">
        <f>VLOOKUP(B178,'Player Data'!$A1:$AE734,28,FALSE)*AJ178</f>
        <v>1.8598168303231188</v>
      </c>
      <c r="AO178" s="40">
        <f>VLOOKUP(B178,'Player Data'!$A1:$AE734,29,FALSE)*$AJ178*IFERROR((VLOOKUP(P178,Settings!$E$28:$F$33,2,FALSE)/4)+1,1)</f>
        <v>947.21802678662561</v>
      </c>
      <c r="AP178" s="40">
        <f>VLOOKUP(B178,'Player Data'!$A1:$AE734,31,FALSE)*$AJ178*(IFERROR(1-(VLOOKUP(P178,Settings!$E$28:$F$33,2,FALSE)/4),1))</f>
        <v>96.169936775875414</v>
      </c>
      <c r="AQ178" s="43">
        <f>1-(AP178/(AO178+AP178))</f>
        <v>0.90782916792760693</v>
      </c>
      <c r="AR178" s="44">
        <f>AP178/AJ178</f>
        <v>2.82852755223163</v>
      </c>
      <c r="AS178" s="38"/>
    </row>
    <row r="179" spans="1:45" ht="21.2" customHeight="1">
      <c r="A179" s="181">
        <f t="shared" si="12"/>
        <v>178</v>
      </c>
      <c r="B179" s="8" t="s">
        <v>270</v>
      </c>
      <c r="C179" s="31" t="s">
        <v>104</v>
      </c>
      <c r="D179" s="32" t="str">
        <f>VLOOKUP(B179,'Player Data'!A1:D734,4,FALSE)</f>
        <v>D</v>
      </c>
      <c r="E179" s="47">
        <f>VLOOKUP(B179,D!A1:C229,3,FALSE)</f>
        <v>46</v>
      </c>
      <c r="F179" s="34" t="str">
        <f>VLOOKUP(B179,'Player Data'!A1:B734,2,FALSE)</f>
        <v>NSH</v>
      </c>
      <c r="G179" s="9">
        <f>VLOOKUP(B179,'Player Data'!A1:D734,3,FALSE)</f>
        <v>32</v>
      </c>
      <c r="H179" s="35">
        <f>IFERROR(VLOOKUP(B179,ADP!A1:G731,7,FALSE)/1000000,VLOOKUP(B179,ADP!A1:G731,7,FALSE))</f>
        <v>4.5</v>
      </c>
      <c r="I179" s="36">
        <f>IF(Settings!$E$15="POINTS",((R179*Q179)*Settings!$B$12)+(S179*Settings!$B$2)+(T179*Settings!$B$3)+(U179*Settings!$B$4)+(V179*Settings!$B$5)+(X179*Settings!$B$9)+(AA179*Settings!$B$6)+(W179*Settings!$B$8)+(AB179*Settings!$B$7)+(AC179*Settings!$B$14)+(AD179*Settings!$B$15)+(AE179*Settings!$B$16)+(AF179*Settings!$B$17)+(AG179*Settings!$B$18)+(U179*Settings!$B$13)+(Y179*Settings!$B$10)+(Z179*Settings!$B$11),VLOOKUP(B179,'Standard Deviations'!A1:C731,3,FALSE))</f>
        <v>0.21062205227623376</v>
      </c>
      <c r="J179" s="37">
        <f t="shared" si="13"/>
        <v>2.5685616131248018E-3</v>
      </c>
      <c r="K179" s="183">
        <f>VLOOKUP(B179,D!A1:F229,6,FALSE)</f>
        <v>-1.7311184913580768</v>
      </c>
      <c r="L179" s="36">
        <f t="shared" si="14"/>
        <v>-0.38469299807957263</v>
      </c>
      <c r="M179" s="38">
        <f>IF(Settings!$E$9="YAHOO",VLOOKUP(B179,ADP!A1:E731,2,FALSE),IF(Settings!$E$9="ESPN",VLOOKUP(B179,ADP!A1:E731,3,FALSE),IF(Settings!$E$9="FANTRAX",VLOOKUP(B179,ADP!A1:E731,4,FALSE),VLOOKUP(B179,ADP!A1:E731,5,FALSE))))</f>
        <v>185.88</v>
      </c>
      <c r="N179" s="38">
        <f t="shared" si="15"/>
        <v>7.8799999999999955</v>
      </c>
      <c r="O179" s="38"/>
      <c r="P179" s="39" t="str">
        <f>IF(Settings!$E$27="ON",_xlfn.XLOOKUP(B179,ADP!A2:A731,ADP!H2:H731)," ")</f>
        <v>-</v>
      </c>
      <c r="Q179" s="40">
        <f>IF(Settings!$E$12="YES",VLOOKUP(B179,'Player Data'!A1:E734,5,FALSE),82)</f>
        <v>82</v>
      </c>
      <c r="R179" s="38">
        <f>VLOOKUP(B179,'Player Data'!$A1:$AE734,6,FALSE)</f>
        <v>18.225764967494701</v>
      </c>
      <c r="S179" s="40">
        <f>VLOOKUP(B179,'Player Data'!$A1:$AE734,7,FALSE)*$Q179*IFERROR((VLOOKUP(P179,Settings!$E$28:$F$33,2,FALSE)+1),1)</f>
        <v>7.5629945977648836</v>
      </c>
      <c r="T179" s="40">
        <f>VLOOKUP(B179,'Player Data'!$A1:$AE734,8,FALSE)*$Q179*IFERROR((VLOOKUP(P179,Settings!$E$28:$F$33,2,FALSE)+1),1)</f>
        <v>28.921896044269371</v>
      </c>
      <c r="U179" s="40">
        <f>SUM(S179:T179)</f>
        <v>36.484890642034252</v>
      </c>
      <c r="V179" s="40">
        <f>VLOOKUP(B179,'Player Data'!$A1:$AE734,10,FALSE)*$Q179*IFERROR(((VLOOKUP(P179,Settings!$E$28:$F$33,2,FALSE)/2)+1),1)</f>
        <v>141.73763615270127</v>
      </c>
      <c r="W179" s="40">
        <f>VLOOKUP(B179,'Player Data'!$A1:$AE734,11,FALSE)*$Q179*IFERROR((VLOOKUP(P179,Settings!$E$28:$F$33,2,FALSE)+1),1)</f>
        <v>2.1092497189382908</v>
      </c>
      <c r="X179" s="40">
        <f>VLOOKUP(B179,'Player Data'!$A1:$AE734,12,FALSE)*$Q179*IFERROR((VLOOKUP(P179,Settings!$E$28:$F$33,2,FALSE)+1),1)</f>
        <v>15.116132093338722</v>
      </c>
      <c r="Y179" s="40">
        <f>VLOOKUP(B179,'Player Data'!$A1:$AE734,13,FALSE)*$Q179</f>
        <v>6.1008406636791409E-3</v>
      </c>
      <c r="Z179" s="40">
        <f>VLOOKUP(B179,'Player Data'!$A1:$AE734,14,FALSE)*$Q179</f>
        <v>0.38450630659164176</v>
      </c>
      <c r="AA179" s="40">
        <f>VLOOKUP(B179,'Player Data'!$A1:$AE734,15,FALSE)*$Q179</f>
        <v>84.74092304969345</v>
      </c>
      <c r="AB179" s="40">
        <f>VLOOKUP(B179,'Player Data'!$A1:$AE734,16,FALSE)*$Q179</f>
        <v>60.009785872465287</v>
      </c>
      <c r="AC179" s="40">
        <f>VLOOKUP(B179,'Player Data'!$A1:$AE734,17,FALSE)*$Q179*IFERROR((VLOOKUP(P179,Settings!$E$28:$F$33,2,FALSE)+1),1)</f>
        <v>-1.7249603910377427</v>
      </c>
      <c r="AD179" s="40">
        <f>VLOOKUP(B179,'Player Data'!$A1:$AE734,18,FALSE)*$Q179</f>
        <v>26.154063360320706</v>
      </c>
      <c r="AE179" s="40">
        <f>VLOOKUP(B179,'Player Data'!$A1:$AE734,19,FALSE)*$Q179*IFERROR((VLOOKUP(P179,Settings!$E$28:$F$33,2,FALSE)+1),1)</f>
        <v>1.1043950144190888</v>
      </c>
      <c r="AF179" s="40">
        <f>VLOOKUP(B179,'Player Data'!$A1:$AE734,20,FALSE)*$Q179</f>
        <v>0</v>
      </c>
      <c r="AG179" s="40">
        <f>VLOOKUP(B179,'Player Data'!$A1:$AE734,21,FALSE)*$Q179</f>
        <v>0</v>
      </c>
      <c r="AH179" s="41">
        <f>VLOOKUP(B179,'Player Data'!$A1:$AE734,22,FALSE)</f>
        <v>0</v>
      </c>
      <c r="AI179" s="38"/>
      <c r="AJ179" s="40"/>
      <c r="AK179" s="40"/>
      <c r="AL179" s="40"/>
      <c r="AM179" s="40"/>
      <c r="AN179" s="40"/>
      <c r="AO179" s="40"/>
      <c r="AP179" s="40"/>
      <c r="AQ179" s="43"/>
      <c r="AR179" s="44"/>
      <c r="AS179" s="42"/>
    </row>
    <row r="180" spans="1:45" ht="21.2" customHeight="1">
      <c r="A180" s="181">
        <f t="shared" si="12"/>
        <v>179</v>
      </c>
      <c r="B180" s="8" t="s">
        <v>574</v>
      </c>
      <c r="C180" s="31" t="s">
        <v>104</v>
      </c>
      <c r="D180" s="32" t="str">
        <f>VLOOKUP(B180,'Player Data'!A1:D734,4,FALSE)</f>
        <v>G</v>
      </c>
      <c r="E180" s="50">
        <f>VLOOKUP(B180,G!A1:D75,3,FALSE)</f>
        <v>34</v>
      </c>
      <c r="F180" s="34" t="str">
        <f>VLOOKUP(B180,'Player Data'!A1:B734,2,FALSE)</f>
        <v>NJD</v>
      </c>
      <c r="G180" s="9">
        <f>VLOOKUP(B180,'Player Data'!A1:D734,3,FALSE)</f>
        <v>23</v>
      </c>
      <c r="H180" s="35">
        <f>IFERROR(VLOOKUP(B180,ADP!A1:G731,7,FALSE)/1000000,VLOOKUP(B180,ADP!A1:G731,7,FALSE))</f>
        <v>0</v>
      </c>
      <c r="I180" s="36">
        <f>IF(Settings!$E$15="POINTS",(AJ180*Settings!$B$29)+(AK180*Settings!$B$21)+(AL180*Settings!$B$22)+(AN180*Settings!$B$24)+(AO180*Settings!$B$25)+(AP180*Settings!$B$27)+(AM180*Settings!$B$23),VLOOKUP(B180,'Standard Deviations'!A1:C731,3,FALSE))</f>
        <v>-2.8274475598769916E-2</v>
      </c>
      <c r="J180" s="37">
        <f t="shared" si="13"/>
        <v>-8.8357736246155987E-4</v>
      </c>
      <c r="K180" s="183">
        <f>VLOOKUP(B180,G!A1:F75,6,FALSE)</f>
        <v>-1.7325035267890614</v>
      </c>
      <c r="L180" s="49" t="str">
        <f t="shared" si="14"/>
        <v>N/A</v>
      </c>
      <c r="M180" s="38">
        <f>IF(Settings!$E$9="YAHOO",VLOOKUP(B180,ADP!A1:E731,2,FALSE),IF(Settings!$E$9="ESPN",VLOOKUP(B180,ADP!A1:E731,3,FALSE),IF(Settings!$E$9="FANTRAX",VLOOKUP(B180,ADP!A1:E731,4,FALSE),VLOOKUP(B180,ADP!A1:E731,5,FALSE))))</f>
        <v>222.23</v>
      </c>
      <c r="N180" s="38">
        <f t="shared" si="15"/>
        <v>43.22999999999999</v>
      </c>
      <c r="O180" s="38"/>
      <c r="P180" s="39" t="str">
        <f>IF(Settings!$E$27="ON",_xlfn.XLOOKUP(B180,ADP!A2:A731,ADP!H2:H731)," ")</f>
        <v>+</v>
      </c>
      <c r="Q180" s="40"/>
      <c r="R180" s="51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1"/>
      <c r="AI180" s="38"/>
      <c r="AJ180" s="42">
        <f>VLOOKUP(B180,'Player Data'!$A1:$AE734,24,FALSE)</f>
        <v>32</v>
      </c>
      <c r="AK180" s="40">
        <f>VLOOKUP(B180,'Player Data'!$A1:$AE734,25,FALSE)*$AJ180*IFERROR((VLOOKUP(P180,Settings!$E$28:$F$33,2,FALSE)+1),1)</f>
        <v>18.932972437323169</v>
      </c>
      <c r="AL180" s="40">
        <f>AJ180-AK180-AM180</f>
        <v>9.0670275626768309</v>
      </c>
      <c r="AM180" s="40">
        <f>VLOOKUP(B180,'Player Data'!$A1:$AE734,27,FALSE)*$AJ180</f>
        <v>4</v>
      </c>
      <c r="AN180" s="40">
        <f>VLOOKUP(B180,'Player Data'!$A1:$AE734,28,FALSE)*AJ180</f>
        <v>1.7620952849026752</v>
      </c>
      <c r="AO180" s="40">
        <f>VLOOKUP(B180,'Player Data'!$A1:$AE734,29,FALSE)*$AJ180*IFERROR((VLOOKUP(P180,Settings!$E$28:$F$33,2,FALSE)/4)+1,1)</f>
        <v>878.0401551555874</v>
      </c>
      <c r="AP180" s="40">
        <f>VLOOKUP(B180,'Player Data'!$A1:$AE734,31,FALSE)*$AJ180*(IFERROR(1-(VLOOKUP(P180,Settings!$E$28:$F$33,2,FALSE)/4),1))</f>
        <v>89.23050924291374</v>
      </c>
      <c r="AQ180" s="43">
        <f>1-(AP180/(AO180+AP180))</f>
        <v>0.90775021663827482</v>
      </c>
      <c r="AR180" s="44">
        <f>AP180/AJ180</f>
        <v>2.7884534138410544</v>
      </c>
      <c r="AS180" s="38"/>
    </row>
    <row r="181" spans="1:45" ht="21.2" customHeight="1">
      <c r="A181" s="181">
        <f t="shared" si="12"/>
        <v>180</v>
      </c>
      <c r="B181" s="8" t="s">
        <v>599</v>
      </c>
      <c r="C181" s="31" t="s">
        <v>104</v>
      </c>
      <c r="D181" s="32" t="str">
        <f>VLOOKUP(B181,'Player Data'!A1:D734,4,FALSE)</f>
        <v>G</v>
      </c>
      <c r="E181" s="50">
        <f>VLOOKUP(B181,G!A1:D75,3,FALSE)</f>
        <v>35</v>
      </c>
      <c r="F181" s="34" t="str">
        <f>VLOOKUP(B181,'Player Data'!A1:B734,2,FALSE)</f>
        <v>EDM</v>
      </c>
      <c r="G181" s="9">
        <f>VLOOKUP(B181,'Player Data'!A1:D734,3,FALSE)</f>
        <v>31</v>
      </c>
      <c r="H181" s="35">
        <f>IFERROR(VLOOKUP(B181,ADP!A1:G731,7,FALSE)/1000000,VLOOKUP(B181,ADP!A1:G731,7,FALSE))</f>
        <v>5</v>
      </c>
      <c r="I181" s="36">
        <f>IF(Settings!$E$15="POINTS",(AJ181*Settings!$B$29)+(AK181*Settings!$B$21)+(AL181*Settings!$B$22)+(AN181*Settings!$B$24)+(AO181*Settings!$B$25)+(AP181*Settings!$B$27)+(AM181*Settings!$B$23),VLOOKUP(B181,'Standard Deviations'!A1:C731,3,FALSE))</f>
        <v>-3.1772936826700987E-2</v>
      </c>
      <c r="J181" s="37">
        <f t="shared" si="13"/>
        <v>-9.9290427583440585E-4</v>
      </c>
      <c r="K181" s="183">
        <f>VLOOKUP(B181,G!A1:F75,6,FALSE)</f>
        <v>-1.7360019880169926</v>
      </c>
      <c r="L181" s="36">
        <f t="shared" si="14"/>
        <v>-0.34720039760339849</v>
      </c>
      <c r="M181" s="38">
        <f>IF(Settings!$E$9="YAHOO",VLOOKUP(B181,ADP!A1:E731,2,FALSE),IF(Settings!$E$9="ESPN",VLOOKUP(B181,ADP!A1:E731,3,FALSE),IF(Settings!$E$9="FANTRAX",VLOOKUP(B181,ADP!A1:E731,4,FALSE),VLOOKUP(B181,ADP!A1:E731,5,FALSE))))</f>
        <v>326.62</v>
      </c>
      <c r="N181" s="38">
        <f t="shared" si="15"/>
        <v>146.62</v>
      </c>
      <c r="O181" s="38"/>
      <c r="P181" s="39" t="str">
        <f>IF(Settings!$E$27="ON",_xlfn.XLOOKUP(B181,ADP!A2:A731,ADP!H2:H731)," ")</f>
        <v xml:space="preserve"> </v>
      </c>
      <c r="Q181" s="40"/>
      <c r="R181" s="51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1"/>
      <c r="AI181" s="38"/>
      <c r="AJ181" s="42">
        <f>VLOOKUP(B181,'Player Data'!$A1:$AE734,24,FALSE)</f>
        <v>32</v>
      </c>
      <c r="AK181" s="40">
        <f>VLOOKUP(B181,'Player Data'!$A1:$AE734,25,FALSE)*$AJ181*IFERROR((VLOOKUP(P181,Settings!$E$28:$F$33,2,FALSE)+1),1)</f>
        <v>18.694850926569536</v>
      </c>
      <c r="AL181" s="40">
        <f>AJ181-AK181-AM181</f>
        <v>9.3051490734304636</v>
      </c>
      <c r="AM181" s="40">
        <f>VLOOKUP(B181,'Player Data'!$A1:$AE734,27,FALSE)*$AJ181</f>
        <v>4</v>
      </c>
      <c r="AN181" s="40">
        <f>VLOOKUP(B181,'Player Data'!$A1:$AE734,28,FALSE)*AJ181</f>
        <v>1.4749143620491711</v>
      </c>
      <c r="AO181" s="40">
        <f>VLOOKUP(B181,'Player Data'!$A1:$AE734,29,FALSE)*$AJ181*IFERROR((VLOOKUP(P181,Settings!$E$28:$F$33,2,FALSE)/4)+1,1)</f>
        <v>888.13926303729284</v>
      </c>
      <c r="AP181" s="40">
        <f>VLOOKUP(B181,'Player Data'!$A1:$AE734,31,FALSE)*$AJ181*(IFERROR(1-(VLOOKUP(P181,Settings!$E$28:$F$33,2,FALSE)/4),1))</f>
        <v>94.118921962707205</v>
      </c>
      <c r="AQ181" s="43">
        <f>1-(AP181/(AO181+AP181))</f>
        <v>0.9041810764216669</v>
      </c>
      <c r="AR181" s="44">
        <f>AP181/AJ181</f>
        <v>2.9412163113346002</v>
      </c>
      <c r="AS181" s="38"/>
    </row>
    <row r="182" spans="1:45" ht="21.2" customHeight="1">
      <c r="A182" s="181">
        <f t="shared" si="12"/>
        <v>181</v>
      </c>
      <c r="B182" s="8" t="s">
        <v>642</v>
      </c>
      <c r="C182" s="31" t="s">
        <v>104</v>
      </c>
      <c r="D182" s="32" t="str">
        <f>VLOOKUP(B182,'Player Data'!A1:D734,4,FALSE)</f>
        <v>G</v>
      </c>
      <c r="E182" s="50">
        <f>VLOOKUP(B182,G!A1:D75,3,FALSE)</f>
        <v>36</v>
      </c>
      <c r="F182" s="34" t="str">
        <f>VLOOKUP(B182,'Player Data'!A1:B734,2,FALSE)</f>
        <v>LAK</v>
      </c>
      <c r="G182" s="9">
        <f>VLOOKUP(B182,'Player Data'!A1:D734,3,FALSE)</f>
        <v>36</v>
      </c>
      <c r="H182" s="35">
        <f>IFERROR(VLOOKUP(B182,ADP!A1:G731,7,FALSE)/1000000,VLOOKUP(B182,ADP!A1:G731,7,FALSE))</f>
        <v>1</v>
      </c>
      <c r="I182" s="36">
        <f>IF(Settings!$E$15="POINTS",(AJ182*Settings!$B$29)+(AK182*Settings!$B$21)+(AL182*Settings!$B$22)+(AN182*Settings!$B$24)+(AO182*Settings!$B$25)+(AP182*Settings!$B$27)+(AM182*Settings!$B$23),VLOOKUP(B182,'Standard Deviations'!A1:C731,3,FALSE))</f>
        <v>-5.505161092317274E-2</v>
      </c>
      <c r="J182" s="37">
        <f t="shared" si="13"/>
        <v>-1.6191650271521394E-3</v>
      </c>
      <c r="K182" s="183">
        <f>VLOOKUP(B182,G!A1:F75,6,FALSE)</f>
        <v>-1.7592806621134642</v>
      </c>
      <c r="L182" s="36">
        <f t="shared" si="14"/>
        <v>-1.7592806621134642</v>
      </c>
      <c r="M182" s="38">
        <f>IF(Settings!$E$9="YAHOO",VLOOKUP(B182,ADP!A1:E731,2,FALSE),IF(Settings!$E$9="ESPN",VLOOKUP(B182,ADP!A1:E731,3,FALSE),IF(Settings!$E$9="FANTRAX",VLOOKUP(B182,ADP!A1:E731,4,FALSE),VLOOKUP(B182,ADP!A1:E731,5,FALSE))))</f>
        <v>238.16</v>
      </c>
      <c r="N182" s="38">
        <f t="shared" si="15"/>
        <v>57.16</v>
      </c>
      <c r="O182" s="38"/>
      <c r="P182" s="39" t="str">
        <f>IF(Settings!$E$27="ON",_xlfn.XLOOKUP(B182,ADP!A2:A731,ADP!H2:H731)," ")</f>
        <v xml:space="preserve"> </v>
      </c>
      <c r="Q182" s="40"/>
      <c r="R182" s="51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1"/>
      <c r="AI182" s="38"/>
      <c r="AJ182" s="42">
        <f>VLOOKUP(B182,'Player Data'!$A1:$AE734,24,FALSE)</f>
        <v>34</v>
      </c>
      <c r="AK182" s="40">
        <f>VLOOKUP(B182,'Player Data'!$A1:$AE734,25,FALSE)*$AJ182*IFERROR((VLOOKUP(P182,Settings!$E$28:$F$33,2,FALSE)+1),1)</f>
        <v>17.816290223489695</v>
      </c>
      <c r="AL182" s="40">
        <f>AJ182-AK182-AM182</f>
        <v>11.933709776510305</v>
      </c>
      <c r="AM182" s="40">
        <f>VLOOKUP(B182,'Player Data'!$A1:$AE734,27,FALSE)*$AJ182</f>
        <v>4.25</v>
      </c>
      <c r="AN182" s="40">
        <f>VLOOKUP(B182,'Player Data'!$A1:$AE734,28,FALSE)*AJ182</f>
        <v>1.4040191993715483</v>
      </c>
      <c r="AO182" s="40">
        <f>VLOOKUP(B182,'Player Data'!$A1:$AE734,29,FALSE)*$AJ182*IFERROR((VLOOKUP(P182,Settings!$E$28:$F$33,2,FALSE)/4)+1,1)</f>
        <v>920.75720880872484</v>
      </c>
      <c r="AP182" s="40">
        <f>VLOOKUP(B182,'Player Data'!$A1:$AE734,31,FALSE)*$AJ182*(IFERROR(1-(VLOOKUP(P182,Settings!$E$28:$F$33,2,FALSE)/4),1))</f>
        <v>102.13587435377553</v>
      </c>
      <c r="AQ182" s="43">
        <f>1-(AP182/(AO182+AP182))</f>
        <v>0.90015000000000012</v>
      </c>
      <c r="AR182" s="44">
        <f>AP182/AJ182</f>
        <v>3.00399630452281</v>
      </c>
      <c r="AS182" s="38"/>
    </row>
    <row r="183" spans="1:45" ht="21.2" customHeight="1">
      <c r="A183" s="181">
        <f t="shared" si="12"/>
        <v>182</v>
      </c>
      <c r="B183" s="8" t="s">
        <v>551</v>
      </c>
      <c r="C183" s="31" t="s">
        <v>104</v>
      </c>
      <c r="D183" s="32" t="str">
        <f>VLOOKUP(B183,'Player Data'!A1:D734,4,FALSE)</f>
        <v>G</v>
      </c>
      <c r="E183" s="50">
        <f>VLOOKUP(B183,G!A1:D75,3,FALSE)</f>
        <v>37</v>
      </c>
      <c r="F183" s="34" t="str">
        <f>VLOOKUP(B183,'Player Data'!A1:B734,2,FALSE)</f>
        <v>VGK</v>
      </c>
      <c r="G183" s="9">
        <f>VLOOKUP(B183,'Player Data'!A1:D734,3,FALSE)</f>
        <v>26</v>
      </c>
      <c r="H183" s="35">
        <f>IFERROR(VLOOKUP(B183,ADP!A1:G731,7,FALSE)/1000000,VLOOKUP(B183,ADP!A1:G731,7,FALSE))</f>
        <v>0.76666699999999999</v>
      </c>
      <c r="I183" s="36">
        <f>IF(Settings!$E$15="POINTS",(AJ183*Settings!$B$29)+(AK183*Settings!$B$21)+(AL183*Settings!$B$22)+(AN183*Settings!$B$24)+(AO183*Settings!$B$25)+(AP183*Settings!$B$27)+(AM183*Settings!$B$23),VLOOKUP(B183,'Standard Deviations'!A1:C731,3,FALSE))</f>
        <v>-6.2093884206538552E-2</v>
      </c>
      <c r="J183" s="37">
        <f t="shared" si="13"/>
        <v>-1.9404338814543298E-3</v>
      </c>
      <c r="K183" s="183">
        <f>VLOOKUP(B183,G!A1:F75,6,FALSE)</f>
        <v>-1.7663229353968302</v>
      </c>
      <c r="L183" s="36">
        <f t="shared" si="14"/>
        <v>-2.3038984792573962</v>
      </c>
      <c r="M183" s="38">
        <f>IF(Settings!$E$9="YAHOO",VLOOKUP(B183,ADP!A1:E731,2,FALSE),IF(Settings!$E$9="ESPN",VLOOKUP(B183,ADP!A1:E731,3,FALSE),IF(Settings!$E$9="FANTRAX",VLOOKUP(B183,ADP!A1:E731,4,FALSE),VLOOKUP(B183,ADP!A1:E731,5,FALSE))))</f>
        <v>186.24</v>
      </c>
      <c r="N183" s="38">
        <f t="shared" si="15"/>
        <v>4.2400000000000091</v>
      </c>
      <c r="O183" s="38"/>
      <c r="P183" s="39" t="str">
        <f>IF(Settings!$E$27="ON",_xlfn.XLOOKUP(B183,ADP!A2:A731,ADP!H2:H731)," ")</f>
        <v xml:space="preserve"> </v>
      </c>
      <c r="Q183" s="40"/>
      <c r="R183" s="51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1"/>
      <c r="AI183" s="38"/>
      <c r="AJ183" s="42">
        <f>VLOOKUP(B183,'Player Data'!$A1:$AE734,24,FALSE)</f>
        <v>32</v>
      </c>
      <c r="AK183" s="40">
        <f>VLOOKUP(B183,'Player Data'!$A1:$AE734,25,FALSE)*$AJ183*IFERROR((VLOOKUP(P183,Settings!$E$28:$F$33,2,FALSE)+1),1)</f>
        <v>18.188819622641471</v>
      </c>
      <c r="AL183" s="40">
        <f>AJ183-AK183-AM183</f>
        <v>9.8111803773585287</v>
      </c>
      <c r="AM183" s="40">
        <f>VLOOKUP(B183,'Player Data'!$A1:$AE734,27,FALSE)*$AJ183</f>
        <v>4</v>
      </c>
      <c r="AN183" s="40">
        <f>VLOOKUP(B183,'Player Data'!$A1:$AE734,28,FALSE)*AJ183</f>
        <v>1.8412957306177185</v>
      </c>
      <c r="AO183" s="40">
        <f>VLOOKUP(B183,'Player Data'!$A1:$AE734,29,FALSE)*$AJ183*IFERROR((VLOOKUP(P183,Settings!$E$28:$F$33,2,FALSE)/4)+1,1)</f>
        <v>899.35433148871357</v>
      </c>
      <c r="AP183" s="40">
        <f>VLOOKUP(B183,'Player Data'!$A1:$AE734,31,FALSE)*$AJ183*(IFERROR(1-(VLOOKUP(P183,Settings!$E$28:$F$33,2,FALSE)/4),1))</f>
        <v>89.323354311286394</v>
      </c>
      <c r="AQ183" s="43">
        <f>1-(AP183/(AO183+AP183))</f>
        <v>0.90965371668218709</v>
      </c>
      <c r="AR183" s="44">
        <f>AP183/AJ183</f>
        <v>2.7913548222276998</v>
      </c>
      <c r="AS183" s="38"/>
    </row>
    <row r="184" spans="1:45" ht="21.2" customHeight="1">
      <c r="A184" s="181">
        <f t="shared" si="12"/>
        <v>183</v>
      </c>
      <c r="B184" s="8" t="s">
        <v>266</v>
      </c>
      <c r="C184" s="31" t="s">
        <v>104</v>
      </c>
      <c r="D184" s="32" t="str">
        <f>VLOOKUP(B184,'Player Data'!A1:D734,4,FALSE)</f>
        <v>D</v>
      </c>
      <c r="E184" s="47">
        <f>VLOOKUP(B184,D!A1:C229,3,FALSE)</f>
        <v>47</v>
      </c>
      <c r="F184" s="34" t="str">
        <f>VLOOKUP(B184,'Player Data'!A1:B734,2,FALSE)</f>
        <v>BUF</v>
      </c>
      <c r="G184" s="9">
        <f>VLOOKUP(B184,'Player Data'!A1:D734,3,FALSE)</f>
        <v>20</v>
      </c>
      <c r="H184" s="35">
        <f>IFERROR(VLOOKUP(B184,ADP!A1:G731,7,FALSE)/1000000,VLOOKUP(B184,ADP!A1:G731,7,FALSE))</f>
        <v>0.91666700000000001</v>
      </c>
      <c r="I184" s="36">
        <f>IF(Settings!$E$15="POINTS",((R184*Q184)*Settings!$B$12)+(S184*Settings!$B$2)+(T184*Settings!$B$3)+(U184*Settings!$B$4)+(V184*Settings!$B$5)+(X184*Settings!$B$9)+(AA184*Settings!$B$6)+(W184*Settings!$B$8)+(AB184*Settings!$B$7)+(AC184*Settings!$B$14)+(AD184*Settings!$B$15)+(AE184*Settings!$B$16)+(AF184*Settings!$B$17)+(AG184*Settings!$B$18)+(U184*Settings!$B$13)+(Y184*Settings!$B$10)+(Z184*Settings!$B$11),VLOOKUP(B184,'Standard Deviations'!A1:C731,3,FALSE))</f>
        <v>0.14169014419685741</v>
      </c>
      <c r="J184" s="37">
        <f t="shared" si="13"/>
        <v>1.7279285877665538E-3</v>
      </c>
      <c r="K184" s="183">
        <f>VLOOKUP(B184,D!A1:F229,6,FALSE)</f>
        <v>-1.8000503994374533</v>
      </c>
      <c r="L184" s="36">
        <f t="shared" si="14"/>
        <v>-1.9636906307715378</v>
      </c>
      <c r="M184" s="38">
        <f>IF(Settings!$E$9="YAHOO",VLOOKUP(B184,ADP!A1:E731,2,FALSE),IF(Settings!$E$9="ESPN",VLOOKUP(B184,ADP!A1:E731,3,FALSE),IF(Settings!$E$9="FANTRAX",VLOOKUP(B184,ADP!A1:E731,4,FALSE),VLOOKUP(B184,ADP!A1:E731,5,FALSE))))</f>
        <v>206.65</v>
      </c>
      <c r="N184" s="38">
        <f t="shared" si="15"/>
        <v>23.650000000000006</v>
      </c>
      <c r="O184" s="38"/>
      <c r="P184" s="39" t="str">
        <f>IF(Settings!$E$27="ON",_xlfn.XLOOKUP(B184,ADP!A2:A731,ADP!H2:H731)," ")</f>
        <v>+</v>
      </c>
      <c r="Q184" s="40">
        <f>IF(Settings!$E$12="YES",VLOOKUP(B184,'Player Data'!A1:E734,5,FALSE),82)</f>
        <v>82</v>
      </c>
      <c r="R184" s="38">
        <f>VLOOKUP(B184,'Player Data'!$A1:$AE734,6,FALSE)</f>
        <v>23.520805503724201</v>
      </c>
      <c r="S184" s="40">
        <f>VLOOKUP(B184,'Player Data'!$A1:$AE734,7,FALSE)*$Q184*IFERROR((VLOOKUP(P184,Settings!$E$28:$F$33,2,FALSE)+1),1)</f>
        <v>7.0873468266235919</v>
      </c>
      <c r="T184" s="40">
        <f>VLOOKUP(B184,'Player Data'!$A1:$AE734,8,FALSE)*$Q184*IFERROR((VLOOKUP(P184,Settings!$E$28:$F$33,2,FALSE)+1),1)</f>
        <v>34.746913101598111</v>
      </c>
      <c r="U184" s="40">
        <f>SUM(S184:T184)</f>
        <v>41.834259928221705</v>
      </c>
      <c r="V184" s="40">
        <f>VLOOKUP(B184,'Player Data'!$A1:$AE734,10,FALSE)*$Q184*IFERROR(((VLOOKUP(P184,Settings!$E$28:$F$33,2,FALSE)/2)+1),1)</f>
        <v>140.8881113941093</v>
      </c>
      <c r="W184" s="40">
        <f>VLOOKUP(B184,'Player Data'!$A1:$AE734,11,FALSE)*$Q184*IFERROR((VLOOKUP(P184,Settings!$E$28:$F$33,2,FALSE)+1),1)</f>
        <v>0.42747935885352067</v>
      </c>
      <c r="X184" s="40">
        <f>VLOOKUP(B184,'Player Data'!$A1:$AE734,12,FALSE)*$Q184*IFERROR((VLOOKUP(P184,Settings!$E$28:$F$33,2,FALSE)+1),1)</f>
        <v>8.4519149115434296</v>
      </c>
      <c r="Y184" s="40">
        <f>VLOOKUP(B184,'Player Data'!$A1:$AE734,13,FALSE)*$Q184</f>
        <v>4.6887886781188E-2</v>
      </c>
      <c r="Z184" s="40">
        <f>VLOOKUP(B184,'Player Data'!$A1:$AE734,14,FALSE)*$Q184</f>
        <v>0.70237323278383024</v>
      </c>
      <c r="AA184" s="40">
        <f>VLOOKUP(B184,'Player Data'!$A1:$AE734,15,FALSE)*$Q184</f>
        <v>96.444388167187199</v>
      </c>
      <c r="AB184" s="40">
        <f>VLOOKUP(B184,'Player Data'!$A1:$AE734,16,FALSE)*$Q184</f>
        <v>46.010700594334637</v>
      </c>
      <c r="AC184" s="40">
        <f>VLOOKUP(B184,'Player Data'!$A1:$AE734,17,FALSE)*$Q184*IFERROR((VLOOKUP(P184,Settings!$E$28:$F$33,2,FALSE)+1),1)</f>
        <v>0.24732595944724195</v>
      </c>
      <c r="AD184" s="40">
        <f>VLOOKUP(B184,'Player Data'!$A1:$AE734,18,FALSE)*$Q184</f>
        <v>31.203015776407675</v>
      </c>
      <c r="AE184" s="40">
        <f>VLOOKUP(B184,'Player Data'!$A1:$AE734,19,FALSE)*$Q184*IFERROR((VLOOKUP(P184,Settings!$E$28:$F$33,2,FALSE)+1),1)</f>
        <v>0.90731545388447044</v>
      </c>
      <c r="AF184" s="40">
        <f>VLOOKUP(B184,'Player Data'!$A1:$AE734,20,FALSE)*$Q184</f>
        <v>0</v>
      </c>
      <c r="AG184" s="40">
        <f>VLOOKUP(B184,'Player Data'!$A1:$AE734,21,FALSE)*$Q184</f>
        <v>0</v>
      </c>
      <c r="AH184" s="41">
        <f>VLOOKUP(B184,'Player Data'!$A1:$AE734,22,FALSE)</f>
        <v>0</v>
      </c>
      <c r="AI184" s="38"/>
      <c r="AJ184" s="40"/>
      <c r="AK184" s="40"/>
      <c r="AL184" s="40"/>
      <c r="AM184" s="40"/>
      <c r="AN184" s="40"/>
      <c r="AO184" s="40"/>
      <c r="AP184" s="40"/>
      <c r="AQ184" s="43"/>
      <c r="AR184" s="44"/>
      <c r="AS184" s="38"/>
    </row>
    <row r="185" spans="1:45" ht="21.2" customHeight="1">
      <c r="A185" s="181">
        <f t="shared" si="12"/>
        <v>184</v>
      </c>
      <c r="B185" s="8" t="s">
        <v>323</v>
      </c>
      <c r="C185" s="31" t="s">
        <v>104</v>
      </c>
      <c r="D185" s="32" t="str">
        <f>VLOOKUP(B185,'Player Data'!A1:D734,4,FALSE)</f>
        <v>C</v>
      </c>
      <c r="E185" s="33">
        <f>VLOOKUP(B185,'C'!A1:C208,3,FALSE)</f>
        <v>48</v>
      </c>
      <c r="F185" s="34" t="str">
        <f>VLOOKUP(B185,'Player Data'!A1:B734,2,FALSE)</f>
        <v>OTT</v>
      </c>
      <c r="G185" s="9">
        <f>VLOOKUP(B185,'Player Data'!A1:D734,3,FALSE)</f>
        <v>24</v>
      </c>
      <c r="H185" s="35">
        <f>IFERROR(VLOOKUP(B185,ADP!A1:G731,7,FALSE)/1000000,VLOOKUP(B185,ADP!A1:G731,7,FALSE))</f>
        <v>7.95</v>
      </c>
      <c r="I185" s="36">
        <f>IF(Settings!$E$15="POINTS",((R185*Q185)*Settings!$B$12)+(S185*Settings!$B$2)+(T185*Settings!$B$3)+(U185*Settings!$B$4)+(V185*Settings!$B$5)+(X185*Settings!$B$9)+(AA185*Settings!$B$6)+(W185*Settings!$B$8)+(AB185*Settings!$B$7)+(AC185*Settings!$B$14)+(AD185*Settings!$B$15)+(AE185*Settings!$B$16)+(AF185*Settings!$B$17)+(AG185*Settings!$B$18)+(Y185*Settings!$B$10)+(Z185*Settings!$B$11),VLOOKUP(B185,'Standard Deviations'!A1:C731,3,FALSE))</f>
        <v>4.518530660735772</v>
      </c>
      <c r="J185" s="37">
        <f t="shared" si="13"/>
        <v>5.510403244799722E-2</v>
      </c>
      <c r="K185" s="183">
        <f>IF(Settings!$E$18="C/LW/RW",VLOOKUP(B185,'C'!A1:F208,6,FALSE),VLOOKUP(B185,F!A1:F431,6,FALSE))</f>
        <v>-1.8185200634708307</v>
      </c>
      <c r="L185" s="36">
        <f t="shared" si="14"/>
        <v>-0.22874466207180261</v>
      </c>
      <c r="M185" s="38">
        <f>IF(Settings!$E$9="YAHOO",VLOOKUP(B185,ADP!A1:E731,2,FALSE),IF(Settings!$E$9="ESPN",VLOOKUP(B185,ADP!A1:E731,3,FALSE),IF(Settings!$E$9="FANTRAX",VLOOKUP(B185,ADP!A1:E731,4,FALSE),VLOOKUP(B185,ADP!A1:E731,5,FALSE))))</f>
        <v>132.81</v>
      </c>
      <c r="N185" s="38">
        <f t="shared" si="15"/>
        <v>-51.19</v>
      </c>
      <c r="O185" s="38"/>
      <c r="P185" s="39" t="str">
        <f>IF(Settings!$E$27="ON",_xlfn.XLOOKUP(B185,ADP!A2:A731,ADP!H2:H731)," ")</f>
        <v xml:space="preserve"> </v>
      </c>
      <c r="Q185" s="40">
        <f>IF(Settings!$E$12="YES",VLOOKUP(B185,'Player Data'!A1:E734,5,FALSE),82)</f>
        <v>82</v>
      </c>
      <c r="R185" s="38">
        <f>VLOOKUP(B185,'Player Data'!$A1:$AE734,6,FALSE)</f>
        <v>18.3735997935614</v>
      </c>
      <c r="S185" s="40">
        <f>VLOOKUP(B185,'Player Data'!$A1:$AE734,7,FALSE)*$Q185*IFERROR((VLOOKUP(P185,Settings!$E$28:$F$33,2,FALSE)+1),1)</f>
        <v>33.707726476087515</v>
      </c>
      <c r="T185" s="40">
        <f>VLOOKUP(B185,'Player Data'!$A1:$AE734,8,FALSE)*$Q185*IFERROR((VLOOKUP(P185,Settings!$E$28:$F$33,2,FALSE)+1),1)</f>
        <v>27.776931124828781</v>
      </c>
      <c r="U185" s="40">
        <f>SUM(S185:T185)</f>
        <v>61.484657600916293</v>
      </c>
      <c r="V185" s="40">
        <f>VLOOKUP(B185,'Player Data'!$A1:$AE734,10,FALSE)*$Q185*IFERROR(((VLOOKUP(P185,Settings!$E$28:$F$33,2,FALSE)/2)+1),1)</f>
        <v>169.66851731331701</v>
      </c>
      <c r="W185" s="40">
        <f>VLOOKUP(B185,'Player Data'!$A1:$AE734,11,FALSE)*$Q185*IFERROR((VLOOKUP(P185,Settings!$E$28:$F$33,2,FALSE)+1),1)</f>
        <v>10.532216535041114</v>
      </c>
      <c r="X185" s="40">
        <f>VLOOKUP(B185,'Player Data'!$A1:$AE734,12,FALSE)*$Q185*IFERROR((VLOOKUP(P185,Settings!$E$28:$F$33,2,FALSE)+1),1)</f>
        <v>18.253697810168628</v>
      </c>
      <c r="Y185" s="40">
        <f>VLOOKUP(B185,'Player Data'!$A1:$AE734,13,FALSE)*$Q185</f>
        <v>0.6493709863946473</v>
      </c>
      <c r="Z185" s="40">
        <f>VLOOKUP(B185,'Player Data'!$A1:$AE734,14,FALSE)*$Q185</f>
        <v>1.2593672369530169</v>
      </c>
      <c r="AA185" s="40">
        <f>VLOOKUP(B185,'Player Data'!$A1:$AE734,15,FALSE)*$Q185</f>
        <v>52.251350800143562</v>
      </c>
      <c r="AB185" s="40">
        <f>VLOOKUP(B185,'Player Data'!$A1:$AE734,16,FALSE)*$Q185</f>
        <v>88.749020011602227</v>
      </c>
      <c r="AC185" s="40">
        <f>VLOOKUP(B185,'Player Data'!$A1:$AE734,17,FALSE)*$Q185*IFERROR((VLOOKUP(P185,Settings!$E$28:$F$33,2,FALSE)+1),1)</f>
        <v>1.58612690755796</v>
      </c>
      <c r="AD185" s="40">
        <f>VLOOKUP(B185,'Player Data'!$A1:$AE734,18,FALSE)*$Q185</f>
        <v>27.799867286022405</v>
      </c>
      <c r="AE185" s="40">
        <f>VLOOKUP(B185,'Player Data'!$A1:$AE734,19,FALSE)*$Q185*IFERROR((VLOOKUP(P185,Settings!$E$28:$F$33,2,FALSE)+1),1)</f>
        <v>5.0691670573574861</v>
      </c>
      <c r="AF185" s="40">
        <f>VLOOKUP(B185,'Player Data'!$A1:$AE734,20,FALSE)*$Q185</f>
        <v>560.96762089815616</v>
      </c>
      <c r="AG185" s="40">
        <f>VLOOKUP(B185,'Player Data'!$A1:$AE734,21,FALSE)*$Q185</f>
        <v>516.80845824391167</v>
      </c>
      <c r="AH185" s="41">
        <f>VLOOKUP(B185,'Player Data'!$A1:$AE734,22,FALSE)</f>
        <v>0.52048624176619096</v>
      </c>
      <c r="AI185" s="38"/>
      <c r="AJ185" s="40"/>
      <c r="AK185" s="40"/>
      <c r="AL185" s="40"/>
      <c r="AM185" s="40"/>
      <c r="AN185" s="40"/>
      <c r="AO185" s="40"/>
      <c r="AP185" s="40"/>
      <c r="AQ185" s="43"/>
      <c r="AR185" s="44"/>
      <c r="AS185" s="38"/>
    </row>
    <row r="186" spans="1:45" ht="21.2" customHeight="1">
      <c r="A186" s="181">
        <f t="shared" si="12"/>
        <v>185</v>
      </c>
      <c r="B186" s="8" t="s">
        <v>259</v>
      </c>
      <c r="C186" s="31" t="s">
        <v>104</v>
      </c>
      <c r="D186" s="32" t="str">
        <f>VLOOKUP(B186,'Player Data'!A1:D734,4,FALSE)</f>
        <v>RW</v>
      </c>
      <c r="E186" s="46">
        <f>VLOOKUP(B186,RW!A1:F189,3,FALSE)</f>
        <v>45</v>
      </c>
      <c r="F186" s="34" t="str">
        <f>VLOOKUP(B186,'Player Data'!A1:B734,2,FALSE)</f>
        <v>PHI</v>
      </c>
      <c r="G186" s="9">
        <f>VLOOKUP(B186,'Player Data'!A1:D734,3,FALSE)</f>
        <v>24</v>
      </c>
      <c r="H186" s="35">
        <f>IFERROR(VLOOKUP(B186,ADP!A1:G731,7,FALSE)/1000000,VLOOKUP(B186,ADP!A1:G731,7,FALSE))</f>
        <v>1.5</v>
      </c>
      <c r="I186" s="36">
        <f>IF(Settings!$E$15="POINTS",((R186*Q186)*Settings!$B$12)+(S186*Settings!$B$2)+(T186*Settings!$B$3)+(U186*Settings!$B$4)+(V186*Settings!$B$5)+(X186*Settings!$B$9)+(AA186*Settings!$B$6)+(W186*Settings!$B$8)+(AB186*Settings!$B$7)+(AC186*Settings!$B$14)+(AD186*Settings!$B$15)+(AE186*Settings!$B$16)+(AF186*Settings!$B$17)+(AG186*Settings!$B$18)+(Y186*Settings!$B$10)+(Z186*Settings!$B$11),VLOOKUP(B186,'Standard Deviations'!A1:C731,3,FALSE))</f>
        <v>4.4518812384863455</v>
      </c>
      <c r="J186" s="37">
        <f t="shared" si="13"/>
        <v>5.4291234615687141E-2</v>
      </c>
      <c r="K186" s="183">
        <f>IF(Settings!$E$18="C/LW/RW",VLOOKUP(B186,RW!A1:F189,6,FALSE),VLOOKUP(B186,F!A1:F431,6,FALSE))</f>
        <v>-1.8283774805247353</v>
      </c>
      <c r="L186" s="36">
        <f t="shared" si="14"/>
        <v>-1.2189183203498235</v>
      </c>
      <c r="M186" s="38">
        <f>IF(Settings!$E$9="YAHOO",VLOOKUP(B186,ADP!A1:E731,2,FALSE),IF(Settings!$E$9="ESPN",VLOOKUP(B186,ADP!A1:E731,3,FALSE),IF(Settings!$E$9="FANTRAX",VLOOKUP(B186,ADP!A1:E731,4,FALSE),VLOOKUP(B186,ADP!A1:E731,5,FALSE))))</f>
        <v>132.78</v>
      </c>
      <c r="N186" s="38">
        <f t="shared" si="15"/>
        <v>-52.22</v>
      </c>
      <c r="O186" s="38"/>
      <c r="P186" s="39" t="str">
        <f>IF(Settings!$E$27="ON",_xlfn.XLOOKUP(B186,ADP!A2:A731,ADP!H2:H731)," ")</f>
        <v xml:space="preserve"> </v>
      </c>
      <c r="Q186" s="40">
        <f>IF(Settings!$E$12="YES",VLOOKUP(B186,'Player Data'!A1:E734,5,FALSE),82)</f>
        <v>82</v>
      </c>
      <c r="R186" s="38">
        <f>VLOOKUP(B186,'Player Data'!$A1:$AE734,6,FALSE)</f>
        <v>17.771215631879599</v>
      </c>
      <c r="S186" s="40">
        <f>VLOOKUP(B186,'Player Data'!$A1:$AE734,7,FALSE)*$Q186*IFERROR((VLOOKUP(P186,Settings!$E$28:$F$33,2,FALSE)+1),1)</f>
        <v>27.250679315680927</v>
      </c>
      <c r="T186" s="40">
        <f>VLOOKUP(B186,'Player Data'!$A1:$AE734,8,FALSE)*$Q186*IFERROR((VLOOKUP(P186,Settings!$E$28:$F$33,2,FALSE)+1),1)</f>
        <v>26.905883234875972</v>
      </c>
      <c r="U186" s="40">
        <f>SUM(S186:T186)</f>
        <v>54.156562550556899</v>
      </c>
      <c r="V186" s="40">
        <f>VLOOKUP(B186,'Player Data'!$A1:$AE734,10,FALSE)*$Q186*IFERROR(((VLOOKUP(P186,Settings!$E$28:$F$33,2,FALSE)/2)+1),1)</f>
        <v>244.95657680450441</v>
      </c>
      <c r="W186" s="40">
        <f>VLOOKUP(B186,'Player Data'!$A1:$AE734,11,FALSE)*$Q186*IFERROR((VLOOKUP(P186,Settings!$E$28:$F$33,2,FALSE)+1),1)</f>
        <v>8.5284586324716045</v>
      </c>
      <c r="X186" s="40">
        <f>VLOOKUP(B186,'Player Data'!$A1:$AE734,12,FALSE)*$Q186*IFERROR((VLOOKUP(P186,Settings!$E$28:$F$33,2,FALSE)+1),1)</f>
        <v>15.010812414318837</v>
      </c>
      <c r="Y186" s="40">
        <f>VLOOKUP(B186,'Player Data'!$A1:$AE734,13,FALSE)*$Q186</f>
        <v>7.9209633712605462E-2</v>
      </c>
      <c r="Z186" s="40">
        <f>VLOOKUP(B186,'Player Data'!$A1:$AE734,14,FALSE)*$Q186</f>
        <v>0.16577469097634123</v>
      </c>
      <c r="AA186" s="40">
        <f>VLOOKUP(B186,'Player Data'!$A1:$AE734,15,FALSE)*$Q186</f>
        <v>59.161946401442286</v>
      </c>
      <c r="AB186" s="40">
        <f>VLOOKUP(B186,'Player Data'!$A1:$AE734,16,FALSE)*$Q186</f>
        <v>132.58304291576627</v>
      </c>
      <c r="AC186" s="40">
        <f>VLOOKUP(B186,'Player Data'!$A1:$AE734,17,FALSE)*$Q186*IFERROR((VLOOKUP(P186,Settings!$E$28:$F$33,2,FALSE)+1),1)</f>
        <v>-6.1343733153621933</v>
      </c>
      <c r="AD186" s="40">
        <f>VLOOKUP(B186,'Player Data'!$A1:$AE734,18,FALSE)*$Q186</f>
        <v>21.890435811611077</v>
      </c>
      <c r="AE186" s="40">
        <f>VLOOKUP(B186,'Player Data'!$A1:$AE734,19,FALSE)*$Q186*IFERROR((VLOOKUP(P186,Settings!$E$28:$F$33,2,FALSE)+1),1)</f>
        <v>3.2031986060731485</v>
      </c>
      <c r="AF186" s="40">
        <f>VLOOKUP(B186,'Player Data'!$A1:$AE734,20,FALSE)*$Q186</f>
        <v>21.191050170071016</v>
      </c>
      <c r="AG186" s="40">
        <f>VLOOKUP(B186,'Player Data'!$A1:$AE734,21,FALSE)*$Q186</f>
        <v>16.482538018049695</v>
      </c>
      <c r="AH186" s="41">
        <f>VLOOKUP(B186,'Player Data'!$A1:$AE734,22,FALSE)</f>
        <v>0.56249089054790302</v>
      </c>
      <c r="AI186" s="38"/>
      <c r="AJ186" s="40"/>
      <c r="AK186" s="40"/>
      <c r="AL186" s="40"/>
      <c r="AM186" s="40"/>
      <c r="AN186" s="40"/>
      <c r="AO186" s="40"/>
      <c r="AP186" s="40"/>
      <c r="AQ186" s="43"/>
      <c r="AR186" s="44"/>
      <c r="AS186" s="38"/>
    </row>
    <row r="187" spans="1:45" ht="21.2" customHeight="1">
      <c r="A187" s="181">
        <f t="shared" si="12"/>
        <v>186</v>
      </c>
      <c r="B187" s="8" t="s">
        <v>559</v>
      </c>
      <c r="C187" s="31" t="s">
        <v>104</v>
      </c>
      <c r="D187" s="32" t="str">
        <f>VLOOKUP(B187,'Player Data'!A1:D734,4,FALSE)</f>
        <v>G</v>
      </c>
      <c r="E187" s="50">
        <f>VLOOKUP(B187,G!A1:D75,3,FALSE)</f>
        <v>38</v>
      </c>
      <c r="F187" s="34" t="str">
        <f>VLOOKUP(B187,'Player Data'!A1:B734,2,FALSE)</f>
        <v>ARI</v>
      </c>
      <c r="G187" s="9">
        <f>VLOOKUP(B187,'Player Data'!A1:D734,3,FALSE)</f>
        <v>26</v>
      </c>
      <c r="H187" s="35">
        <f>IFERROR(VLOOKUP(B187,ADP!A1:G731,7,FALSE)/1000000,VLOOKUP(B187,ADP!A1:G731,7,FALSE))</f>
        <v>0</v>
      </c>
      <c r="I187" s="36">
        <f>IF(Settings!$E$15="POINTS",(AJ187*Settings!$B$29)+(AK187*Settings!$B$21)+(AL187*Settings!$B$22)+(AN187*Settings!$B$24)+(AO187*Settings!$B$25)+(AP187*Settings!$B$27)+(AM187*Settings!$B$23),VLOOKUP(B187,'Standard Deviations'!A1:C731,3,FALSE))</f>
        <v>-0.1927368628169206</v>
      </c>
      <c r="J187" s="37">
        <f t="shared" si="13"/>
        <v>-5.5067675090548739E-3</v>
      </c>
      <c r="K187" s="183">
        <f>VLOOKUP(B187,G!A1:F75,6,FALSE)</f>
        <v>-1.8969659140072122</v>
      </c>
      <c r="L187" s="49" t="str">
        <f t="shared" si="14"/>
        <v>N/A</v>
      </c>
      <c r="M187" s="38">
        <f>IF(Settings!$E$9="YAHOO",VLOOKUP(B187,ADP!A1:E731,2,FALSE),IF(Settings!$E$9="ESPN",VLOOKUP(B187,ADP!A1:E731,3,FALSE),IF(Settings!$E$9="FANTRAX",VLOOKUP(B187,ADP!A1:E731,4,FALSE),VLOOKUP(B187,ADP!A1:E731,5,FALSE))))</f>
        <v>488.9</v>
      </c>
      <c r="N187" s="38">
        <f t="shared" si="15"/>
        <v>302.89999999999998</v>
      </c>
      <c r="O187" s="38"/>
      <c r="P187" s="39" t="str">
        <f>IF(Settings!$E$27="ON",_xlfn.XLOOKUP(B187,ADP!A2:A731,ADP!H2:H731)," ")</f>
        <v xml:space="preserve"> </v>
      </c>
      <c r="Q187" s="40"/>
      <c r="R187" s="51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1"/>
      <c r="AI187" s="38"/>
      <c r="AJ187" s="42">
        <f>VLOOKUP(B187,'Player Data'!$A1:$AE734,24,FALSE)</f>
        <v>35</v>
      </c>
      <c r="AK187" s="40">
        <f>VLOOKUP(B187,'Player Data'!$A1:$AE734,25,FALSE)*$AJ187*IFERROR((VLOOKUP(P187,Settings!$E$28:$F$33,2,FALSE)+1),1)</f>
        <v>15.296917425899656</v>
      </c>
      <c r="AL187" s="40">
        <f>AJ187-AK187-AM187</f>
        <v>15.328082574100343</v>
      </c>
      <c r="AM187" s="40">
        <f>VLOOKUP(B187,'Player Data'!$A1:$AE734,27,FALSE)*$AJ187</f>
        <v>4.375</v>
      </c>
      <c r="AN187" s="40">
        <f>VLOOKUP(B187,'Player Data'!$A1:$AE734,28,FALSE)*AJ187</f>
        <v>1.7724686636322819</v>
      </c>
      <c r="AO187" s="40">
        <f>VLOOKUP(B187,'Player Data'!$A1:$AE734,29,FALSE)*$AJ187*IFERROR((VLOOKUP(P187,Settings!$E$28:$F$33,2,FALSE)/4)+1,1)</f>
        <v>982.53618983893807</v>
      </c>
      <c r="AP187" s="40">
        <f>VLOOKUP(B187,'Player Data'!$A1:$AE734,31,FALSE)*$AJ187*(IFERROR(1-(VLOOKUP(P187,Settings!$E$28:$F$33,2,FALSE)/4),1))</f>
        <v>100.85774000481304</v>
      </c>
      <c r="AQ187" s="43">
        <f>1-(AP187/(AO187+AP187))</f>
        <v>0.906905754936841</v>
      </c>
      <c r="AR187" s="44">
        <f>AP187/AJ187</f>
        <v>2.8816497144232298</v>
      </c>
      <c r="AS187" s="38"/>
    </row>
    <row r="188" spans="1:45" ht="21.2" customHeight="1">
      <c r="A188" s="181">
        <f t="shared" si="12"/>
        <v>187</v>
      </c>
      <c r="B188" s="8" t="s">
        <v>597</v>
      </c>
      <c r="C188" s="31" t="s">
        <v>104</v>
      </c>
      <c r="D188" s="32" t="str">
        <f>VLOOKUP(B188,'Player Data'!A1:D734,4,FALSE)</f>
        <v>G</v>
      </c>
      <c r="E188" s="50">
        <f>VLOOKUP(B188,G!A1:D75,3,FALSE)</f>
        <v>39</v>
      </c>
      <c r="F188" s="34" t="str">
        <f>VLOOKUP(B188,'Player Data'!A1:B734,2,FALSE)</f>
        <v>CHI</v>
      </c>
      <c r="G188" s="9">
        <f>VLOOKUP(B188,'Player Data'!A1:D734,3,FALSE)</f>
        <v>31</v>
      </c>
      <c r="H188" s="35">
        <f>IFERROR(VLOOKUP(B188,ADP!A1:G731,7,FALSE)/1000000,VLOOKUP(B188,ADP!A1:G731,7,FALSE))</f>
        <v>3.8</v>
      </c>
      <c r="I188" s="36">
        <f>IF(Settings!$E$15="POINTS",(AJ188*Settings!$B$29)+(AK188*Settings!$B$21)+(AL188*Settings!$B$22)+(AN188*Settings!$B$24)+(AO188*Settings!$B$25)+(AP188*Settings!$B$27)+(AM188*Settings!$B$23),VLOOKUP(B188,'Standard Deviations'!A1:C731,3,FALSE))</f>
        <v>-0.25062864997033252</v>
      </c>
      <c r="J188" s="37">
        <f t="shared" si="13"/>
        <v>-6.5954907886929606E-3</v>
      </c>
      <c r="K188" s="183">
        <f>VLOOKUP(B188,G!A1:F75,6,FALSE)</f>
        <v>-1.9548577011606241</v>
      </c>
      <c r="L188" s="36">
        <f t="shared" si="14"/>
        <v>-0.51443623714753273</v>
      </c>
      <c r="M188" s="38">
        <f>IF(Settings!$E$9="YAHOO",VLOOKUP(B188,ADP!A1:E731,2,FALSE),IF(Settings!$E$9="ESPN",VLOOKUP(B188,ADP!A1:E731,3,FALSE),IF(Settings!$E$9="FANTRAX",VLOOKUP(B188,ADP!A1:E731,4,FALSE),VLOOKUP(B188,ADP!A1:E731,5,FALSE))))</f>
        <v>502.1</v>
      </c>
      <c r="N188" s="38">
        <f t="shared" si="15"/>
        <v>315.10000000000002</v>
      </c>
      <c r="O188" s="38"/>
      <c r="P188" s="39" t="str">
        <f>IF(Settings!$E$27="ON",_xlfn.XLOOKUP(B188,ADP!A2:A731,ADP!H2:H731)," ")</f>
        <v>-</v>
      </c>
      <c r="Q188" s="40"/>
      <c r="R188" s="51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1"/>
      <c r="AI188" s="38"/>
      <c r="AJ188" s="42">
        <f>VLOOKUP(B188,'Player Data'!$A1:$AE734,24,FALSE)</f>
        <v>38</v>
      </c>
      <c r="AK188" s="40">
        <f>VLOOKUP(B188,'Player Data'!$A1:$AE734,25,FALSE)*$AJ188*IFERROR((VLOOKUP(P188,Settings!$E$28:$F$33,2,FALSE)+1),1)</f>
        <v>13.191948969469069</v>
      </c>
      <c r="AL188" s="40">
        <f>AJ188-AK188-AM188</f>
        <v>20.058051030530933</v>
      </c>
      <c r="AM188" s="40">
        <f>VLOOKUP(B188,'Player Data'!$A1:$AE734,27,FALSE)*$AJ188</f>
        <v>4.75</v>
      </c>
      <c r="AN188" s="40">
        <f>VLOOKUP(B188,'Player Data'!$A1:$AE734,28,FALSE)*AJ188</f>
        <v>1.4526571482126962</v>
      </c>
      <c r="AO188" s="40">
        <f>VLOOKUP(B188,'Player Data'!$A1:$AE734,29,FALSE)*$AJ188*IFERROR((VLOOKUP(P188,Settings!$E$28:$F$33,2,FALSE)/4)+1,1)</f>
        <v>1059.7383051041818</v>
      </c>
      <c r="AP188" s="40">
        <f>VLOOKUP(B188,'Player Data'!$A1:$AE734,31,FALSE)*$AJ188*(IFERROR(1-(VLOOKUP(P188,Settings!$E$28:$F$33,2,FALSE)/4),1))</f>
        <v>117.12322823867336</v>
      </c>
      <c r="AQ188" s="43">
        <f>1-(AP188/(AO188+AP188))</f>
        <v>0.90047832738148315</v>
      </c>
      <c r="AR188" s="44">
        <f>AP188/AJ188</f>
        <v>3.0821902168071937</v>
      </c>
      <c r="AS188" s="38"/>
    </row>
    <row r="189" spans="1:45" ht="21.2" customHeight="1">
      <c r="A189" s="181">
        <f t="shared" si="12"/>
        <v>188</v>
      </c>
      <c r="B189" s="8" t="s">
        <v>281</v>
      </c>
      <c r="C189" s="31" t="s">
        <v>104</v>
      </c>
      <c r="D189" s="32" t="str">
        <f>VLOOKUP(B189,'Player Data'!A1:D734,4,FALSE)</f>
        <v>D</v>
      </c>
      <c r="E189" s="47">
        <f>VLOOKUP(B189,D!A1:C229,3,FALSE)</f>
        <v>48</v>
      </c>
      <c r="F189" s="34" t="str">
        <f>VLOOKUP(B189,'Player Data'!A1:B734,2,FALSE)</f>
        <v>CAR</v>
      </c>
      <c r="G189" s="9">
        <f>VLOOKUP(B189,'Player Data'!A1:D734,3,FALSE)</f>
        <v>32</v>
      </c>
      <c r="H189" s="35">
        <f>IFERROR(VLOOKUP(B189,ADP!A1:G731,7,FALSE)/1000000,VLOOKUP(B189,ADP!A1:G731,7,FALSE))</f>
        <v>7.75</v>
      </c>
      <c r="I189" s="36">
        <f>IF(Settings!$E$15="POINTS",((R189*Q189)*Settings!$B$12)+(S189*Settings!$B$2)+(T189*Settings!$B$3)+(U189*Settings!$B$4)+(V189*Settings!$B$5)+(X189*Settings!$B$9)+(AA189*Settings!$B$6)+(W189*Settings!$B$8)+(AB189*Settings!$B$7)+(AC189*Settings!$B$14)+(AD189*Settings!$B$15)+(AE189*Settings!$B$16)+(AF189*Settings!$B$17)+(AG189*Settings!$B$18)+(U189*Settings!$B$13)+(Y189*Settings!$B$10)+(Z189*Settings!$B$11),VLOOKUP(B189,'Standard Deviations'!A1:C731,3,FALSE))</f>
        <v>-1.9432609295428491E-2</v>
      </c>
      <c r="J189" s="37">
        <f t="shared" si="13"/>
        <v>-2.3698304018815233E-4</v>
      </c>
      <c r="K189" s="183">
        <f>VLOOKUP(B189,D!A1:F229,6,FALSE)</f>
        <v>-1.9611731529297391</v>
      </c>
      <c r="L189" s="36">
        <f t="shared" si="14"/>
        <v>-0.25305460037803085</v>
      </c>
      <c r="M189" s="38">
        <f>IF(Settings!$E$9="YAHOO",VLOOKUP(B189,ADP!A1:E731,2,FALSE),IF(Settings!$E$9="ESPN",VLOOKUP(B189,ADP!A1:E731,3,FALSE),IF(Settings!$E$9="FANTRAX",VLOOKUP(B189,ADP!A1:E731,4,FALSE),VLOOKUP(B189,ADP!A1:E731,5,FALSE))))</f>
        <v>215.21</v>
      </c>
      <c r="N189" s="38">
        <f t="shared" si="15"/>
        <v>27.210000000000008</v>
      </c>
      <c r="O189" s="38"/>
      <c r="P189" s="39" t="str">
        <f>IF(Settings!$E$27="ON",_xlfn.XLOOKUP(B189,ADP!A2:A731,ADP!H2:H731)," ")</f>
        <v xml:space="preserve"> </v>
      </c>
      <c r="Q189" s="40">
        <f>IF(Settings!$E$12="YES",VLOOKUP(B189,'Player Data'!A1:E734,5,FALSE),82)</f>
        <v>82</v>
      </c>
      <c r="R189" s="38">
        <f>VLOOKUP(B189,'Player Data'!$A1:$AE734,6,FALSE)</f>
        <v>21.484203889340598</v>
      </c>
      <c r="S189" s="40">
        <f>VLOOKUP(B189,'Player Data'!$A1:$AE734,7,FALSE)*$Q189*IFERROR((VLOOKUP(P189,Settings!$E$28:$F$33,2,FALSE)+1),1)</f>
        <v>10.182208136282366</v>
      </c>
      <c r="T189" s="40">
        <f>VLOOKUP(B189,'Player Data'!$A1:$AE734,8,FALSE)*$Q189*IFERROR((VLOOKUP(P189,Settings!$E$28:$F$33,2,FALSE)+1),1)</f>
        <v>28.886504294789326</v>
      </c>
      <c r="U189" s="40">
        <f>SUM(S189:T189)</f>
        <v>39.068712431071688</v>
      </c>
      <c r="V189" s="40">
        <f>VLOOKUP(B189,'Player Data'!$A1:$AE734,10,FALSE)*$Q189*IFERROR(((VLOOKUP(P189,Settings!$E$28:$F$33,2,FALSE)/2)+1),1)</f>
        <v>142.93724896125426</v>
      </c>
      <c r="W189" s="40">
        <f>VLOOKUP(B189,'Player Data'!$A1:$AE734,11,FALSE)*$Q189*IFERROR((VLOOKUP(P189,Settings!$E$28:$F$33,2,FALSE)+1),1)</f>
        <v>1.7231089431871034</v>
      </c>
      <c r="X189" s="40">
        <f>VLOOKUP(B189,'Player Data'!$A1:$AE734,12,FALSE)*$Q189*IFERROR((VLOOKUP(P189,Settings!$E$28:$F$33,2,FALSE)+1),1)</f>
        <v>9.0022216766511853</v>
      </c>
      <c r="Y189" s="40">
        <f>VLOOKUP(B189,'Player Data'!$A1:$AE734,13,FALSE)*$Q189</f>
        <v>-7.5393059757698708E-3</v>
      </c>
      <c r="Z189" s="40">
        <f>VLOOKUP(B189,'Player Data'!$A1:$AE734,14,FALSE)*$Q189</f>
        <v>-4.2285481391394472E-2</v>
      </c>
      <c r="AA189" s="40">
        <f>VLOOKUP(B189,'Player Data'!$A1:$AE734,15,FALSE)*$Q189</f>
        <v>108.13420197157184</v>
      </c>
      <c r="AB189" s="40">
        <f>VLOOKUP(B189,'Player Data'!$A1:$AE734,16,FALSE)*$Q189</f>
        <v>147.61833953375987</v>
      </c>
      <c r="AC189" s="40">
        <f>VLOOKUP(B189,'Player Data'!$A1:$AE734,17,FALSE)*$Q189*IFERROR((VLOOKUP(P189,Settings!$E$28:$F$33,2,FALSE)+1),1)</f>
        <v>6.2965526230890188</v>
      </c>
      <c r="AD189" s="40">
        <f>VLOOKUP(B189,'Player Data'!$A1:$AE734,18,FALSE)*$Q189</f>
        <v>37.005616708092631</v>
      </c>
      <c r="AE189" s="40">
        <f>VLOOKUP(B189,'Player Data'!$A1:$AE734,19,FALSE)*$Q189*IFERROR((VLOOKUP(P189,Settings!$E$28:$F$33,2,FALSE)+1),1)</f>
        <v>1.8269161365312099</v>
      </c>
      <c r="AF189" s="40">
        <f>VLOOKUP(B189,'Player Data'!$A1:$AE734,20,FALSE)*$Q189</f>
        <v>0</v>
      </c>
      <c r="AG189" s="40">
        <f>VLOOKUP(B189,'Player Data'!$A1:$AE734,21,FALSE)*$Q189</f>
        <v>0</v>
      </c>
      <c r="AH189" s="41">
        <f>VLOOKUP(B189,'Player Data'!$A1:$AE734,22,FALSE)</f>
        <v>0</v>
      </c>
      <c r="AI189" s="38"/>
      <c r="AJ189" s="42"/>
      <c r="AK189" s="40"/>
      <c r="AL189" s="40"/>
      <c r="AM189" s="40"/>
      <c r="AN189" s="40"/>
      <c r="AO189" s="40"/>
      <c r="AP189" s="40"/>
      <c r="AQ189" s="43"/>
      <c r="AR189" s="44"/>
      <c r="AS189" s="38"/>
    </row>
    <row r="190" spans="1:45" ht="21.2" customHeight="1">
      <c r="A190" s="181">
        <f t="shared" si="12"/>
        <v>189</v>
      </c>
      <c r="B190" s="8" t="s">
        <v>573</v>
      </c>
      <c r="C190" s="31" t="s">
        <v>104</v>
      </c>
      <c r="D190" s="32" t="str">
        <f>VLOOKUP(B190,'Player Data'!A1:D734,4,FALSE)</f>
        <v>G</v>
      </c>
      <c r="E190" s="50">
        <f>VLOOKUP(B190,G!A1:D75,3,FALSE)</f>
        <v>40</v>
      </c>
      <c r="F190" s="34" t="str">
        <f>VLOOKUP(B190,'Player Data'!A1:B734,2,FALSE)</f>
        <v>CHI</v>
      </c>
      <c r="G190" s="9">
        <f>VLOOKUP(B190,'Player Data'!A1:D734,3,FALSE)</f>
        <v>24</v>
      </c>
      <c r="H190" s="35">
        <f>IFERROR(VLOOKUP(B190,ADP!A1:G731,7,FALSE)/1000000,VLOOKUP(B190,ADP!A1:G731,7,FALSE))</f>
        <v>0</v>
      </c>
      <c r="I190" s="36">
        <f>IF(Settings!$E$15="POINTS",(AJ190*Settings!$B$29)+(AK190*Settings!$B$21)+(AL190*Settings!$B$22)+(AN190*Settings!$B$24)+(AO190*Settings!$B$25)+(AP190*Settings!$B$27)+(AM190*Settings!$B$23),VLOOKUP(B190,'Standard Deviations'!A1:C731,3,FALSE))</f>
        <v>-0.27236448623648168</v>
      </c>
      <c r="J190" s="37">
        <f t="shared" si="13"/>
        <v>-7.3612023307157212E-3</v>
      </c>
      <c r="K190" s="183">
        <f>VLOOKUP(B190,G!A1:F75,6,FALSE)</f>
        <v>-1.9765935374267731</v>
      </c>
      <c r="L190" s="49" t="str">
        <f t="shared" si="14"/>
        <v>N/A</v>
      </c>
      <c r="M190" s="52" t="str">
        <f>IF(Settings!$E$9="YAHOO",VLOOKUP(B190,ADP!A1:E731,2,FALSE),IF(Settings!$E$9="ESPN",VLOOKUP(B190,ADP!A1:E731,3,FALSE),IF(Settings!$E$9="FANTRAX",VLOOKUP(B190,ADP!A1:E731,4,FALSE),VLOOKUP(B190,ADP!A1:E731,5,FALSE))))</f>
        <v>-</v>
      </c>
      <c r="N190" s="52" t="str">
        <f t="shared" si="15"/>
        <v>N/A</v>
      </c>
      <c r="O190" s="38"/>
      <c r="P190" s="39" t="str">
        <f>IF(Settings!$E$27="ON",_xlfn.XLOOKUP(B190,ADP!A2:A731,ADP!H2:H731)," ")</f>
        <v xml:space="preserve"> </v>
      </c>
      <c r="Q190" s="40"/>
      <c r="R190" s="51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1"/>
      <c r="AI190" s="38"/>
      <c r="AJ190" s="42">
        <f>VLOOKUP(B190,'Player Data'!$A1:$AE734,24,FALSE)</f>
        <v>37</v>
      </c>
      <c r="AK190" s="40">
        <f>VLOOKUP(B190,'Player Data'!$A1:$AE734,25,FALSE)*$AJ190*IFERROR((VLOOKUP(P190,Settings!$E$28:$F$33,2,FALSE)+1),1)</f>
        <v>13.269821359564341</v>
      </c>
      <c r="AL190" s="40">
        <f>AJ190-AK190-AM190</f>
        <v>19.10517864043566</v>
      </c>
      <c r="AM190" s="40">
        <f>VLOOKUP(B190,'Player Data'!$A1:$AE734,27,FALSE)*$AJ190</f>
        <v>4.625</v>
      </c>
      <c r="AN190" s="40">
        <f>VLOOKUP(B190,'Player Data'!$A1:$AE734,28,FALSE)*AJ190</f>
        <v>1.5122314602371907</v>
      </c>
      <c r="AO190" s="40">
        <f>VLOOKUP(B190,'Player Data'!$A1:$AE734,29,FALSE)*$AJ190*IFERROR((VLOOKUP(P190,Settings!$E$28:$F$33,2,FALSE)/4)+1,1)</f>
        <v>1046.1919857480973</v>
      </c>
      <c r="AP190" s="40">
        <f>VLOOKUP(B190,'Player Data'!$A1:$AE734,31,FALSE)*$AJ190*(IFERROR(1-(VLOOKUP(P190,Settings!$E$28:$F$33,2,FALSE)/4),1))</f>
        <v>111.35299135815197</v>
      </c>
      <c r="AQ190" s="43">
        <f>1-(AP190/(AO190+AP190))</f>
        <v>0.90380244952854993</v>
      </c>
      <c r="AR190" s="44">
        <f>AP190/AJ190</f>
        <v>3.0095403069770801</v>
      </c>
      <c r="AS190" s="38"/>
    </row>
    <row r="191" spans="1:45" ht="21.2" customHeight="1">
      <c r="A191" s="181">
        <f t="shared" si="12"/>
        <v>190</v>
      </c>
      <c r="B191" s="8" t="s">
        <v>320</v>
      </c>
      <c r="C191" s="31" t="s">
        <v>104</v>
      </c>
      <c r="D191" s="32" t="str">
        <f>VLOOKUP(B191,'Player Data'!A1:D734,4,FALSE)</f>
        <v>C</v>
      </c>
      <c r="E191" s="33">
        <f>VLOOKUP(B191,'C'!A1:C208,3,FALSE)</f>
        <v>49</v>
      </c>
      <c r="F191" s="34" t="str">
        <f>VLOOKUP(B191,'Player Data'!A1:B734,2,FALSE)</f>
        <v>NSH</v>
      </c>
      <c r="G191" s="9">
        <f>VLOOKUP(B191,'Player Data'!A1:D734,3,FALSE)</f>
        <v>26</v>
      </c>
      <c r="H191" s="35">
        <f>IFERROR(VLOOKUP(B191,ADP!A1:G731,7,FALSE)/1000000,VLOOKUP(B191,ADP!A1:G731,7,FALSE))</f>
        <v>0.8</v>
      </c>
      <c r="I191" s="36">
        <f>IF(Settings!$E$15="POINTS",((R191*Q191)*Settings!$B$12)+(S191*Settings!$B$2)+(T191*Settings!$B$3)+(U191*Settings!$B$4)+(V191*Settings!$B$5)+(X191*Settings!$B$9)+(AA191*Settings!$B$6)+(W191*Settings!$B$8)+(AB191*Settings!$B$7)+(AC191*Settings!$B$14)+(AD191*Settings!$B$15)+(AE191*Settings!$B$16)+(AF191*Settings!$B$17)+(AG191*Settings!$B$18)+(Y191*Settings!$B$10)+(Z191*Settings!$B$11),VLOOKUP(B191,'Standard Deviations'!A1:C731,3,FALSE))</f>
        <v>4.3375037055034404</v>
      </c>
      <c r="J191" s="37">
        <f t="shared" si="13"/>
        <v>5.2896386652480983E-2</v>
      </c>
      <c r="K191" s="183">
        <f>IF(Settings!$E$18="C/LW/RW",VLOOKUP(B191,'C'!A1:F208,6,FALSE),VLOOKUP(B191,F!A1:F431,6,FALSE))</f>
        <v>-1.9995470187031623</v>
      </c>
      <c r="L191" s="36">
        <f t="shared" si="14"/>
        <v>-2.4994337733789527</v>
      </c>
      <c r="M191" s="38">
        <f>IF(Settings!$E$9="YAHOO",VLOOKUP(B191,ADP!A1:E731,2,FALSE),IF(Settings!$E$9="ESPN",VLOOKUP(B191,ADP!A1:E731,3,FALSE),IF(Settings!$E$9="FANTRAX",VLOOKUP(B191,ADP!A1:E731,4,FALSE),VLOOKUP(B191,ADP!A1:E731,5,FALSE))))</f>
        <v>222.87</v>
      </c>
      <c r="N191" s="38">
        <f t="shared" si="15"/>
        <v>32.870000000000005</v>
      </c>
      <c r="O191" s="38"/>
      <c r="P191" s="39" t="str">
        <f>IF(Settings!$E$27="ON",_xlfn.XLOOKUP(B191,ADP!A2:A731,ADP!H2:H731)," ")</f>
        <v xml:space="preserve"> </v>
      </c>
      <c r="Q191" s="40">
        <f>IF(Settings!$E$12="YES",VLOOKUP(B191,'Player Data'!A1:E734,5,FALSE),82)</f>
        <v>82</v>
      </c>
      <c r="R191" s="38">
        <f>VLOOKUP(B191,'Player Data'!$A1:$AE734,6,FALSE)</f>
        <v>15.7015269812066</v>
      </c>
      <c r="S191" s="40">
        <f>VLOOKUP(B191,'Player Data'!$A1:$AE734,7,FALSE)*$Q191*IFERROR((VLOOKUP(P191,Settings!$E$28:$F$33,2,FALSE)+1),1)</f>
        <v>23.457821105288733</v>
      </c>
      <c r="T191" s="40">
        <f>VLOOKUP(B191,'Player Data'!$A1:$AE734,8,FALSE)*$Q191*IFERROR((VLOOKUP(P191,Settings!$E$28:$F$33,2,FALSE)+1),1)</f>
        <v>38.103154294150762</v>
      </c>
      <c r="U191" s="40">
        <f>SUM(S191:T191)</f>
        <v>61.560975399439499</v>
      </c>
      <c r="V191" s="40">
        <f>VLOOKUP(B191,'Player Data'!$A1:$AE734,10,FALSE)*$Q191*IFERROR(((VLOOKUP(P191,Settings!$E$28:$F$33,2,FALSE)/2)+1),1)</f>
        <v>158.08514557914799</v>
      </c>
      <c r="W191" s="40">
        <f>VLOOKUP(B191,'Player Data'!$A1:$AE734,11,FALSE)*$Q191*IFERROR((VLOOKUP(P191,Settings!$E$28:$F$33,2,FALSE)+1),1)</f>
        <v>8.0612891321920621</v>
      </c>
      <c r="X191" s="40">
        <f>VLOOKUP(B191,'Player Data'!$A1:$AE734,12,FALSE)*$Q191*IFERROR((VLOOKUP(P191,Settings!$E$28:$F$33,2,FALSE)+1),1)</f>
        <v>20.678093677404579</v>
      </c>
      <c r="Y191" s="40">
        <f>VLOOKUP(B191,'Player Data'!$A1:$AE734,13,FALSE)*$Q191</f>
        <v>6.0778571031298283E-3</v>
      </c>
      <c r="Z191" s="40">
        <f>VLOOKUP(B191,'Player Data'!$A1:$AE734,14,FALSE)*$Q191</f>
        <v>1.1654909700512892E-2</v>
      </c>
      <c r="AA191" s="40">
        <f>VLOOKUP(B191,'Player Data'!$A1:$AE734,15,FALSE)*$Q191</f>
        <v>36.986571727413633</v>
      </c>
      <c r="AB191" s="40">
        <f>VLOOKUP(B191,'Player Data'!$A1:$AE734,16,FALSE)*$Q191</f>
        <v>33.17063631557042</v>
      </c>
      <c r="AC191" s="40">
        <f>VLOOKUP(B191,'Player Data'!$A1:$AE734,17,FALSE)*$Q191*IFERROR((VLOOKUP(P191,Settings!$E$28:$F$33,2,FALSE)+1),1)</f>
        <v>-1.3761215244451905</v>
      </c>
      <c r="AD191" s="40">
        <f>VLOOKUP(B191,'Player Data'!$A1:$AE734,18,FALSE)*$Q191</f>
        <v>19.724081350263599</v>
      </c>
      <c r="AE191" s="40">
        <f>VLOOKUP(B191,'Player Data'!$A1:$AE734,19,FALSE)*$Q191*IFERROR((VLOOKUP(P191,Settings!$E$28:$F$33,2,FALSE)+1),1)</f>
        <v>3.4254553990389014</v>
      </c>
      <c r="AF191" s="40">
        <f>VLOOKUP(B191,'Player Data'!$A1:$AE734,20,FALSE)*$Q191</f>
        <v>303.0014451455794</v>
      </c>
      <c r="AG191" s="40">
        <f>VLOOKUP(B191,'Player Data'!$A1:$AE734,21,FALSE)*$Q191</f>
        <v>379.70726408536427</v>
      </c>
      <c r="AH191" s="41">
        <f>VLOOKUP(B191,'Player Data'!$A1:$AE734,22,FALSE)</f>
        <v>0.44382244000798499</v>
      </c>
      <c r="AI191" s="38"/>
      <c r="AJ191" s="42"/>
      <c r="AK191" s="40"/>
      <c r="AL191" s="40"/>
      <c r="AM191" s="40"/>
      <c r="AN191" s="40"/>
      <c r="AO191" s="40"/>
      <c r="AP191" s="40"/>
      <c r="AQ191" s="43"/>
      <c r="AR191" s="44"/>
      <c r="AS191" s="38"/>
    </row>
    <row r="192" spans="1:45" ht="21.2" customHeight="1">
      <c r="A192" s="181">
        <f t="shared" si="12"/>
        <v>191</v>
      </c>
      <c r="B192" s="8" t="s">
        <v>253</v>
      </c>
      <c r="C192" s="31" t="s">
        <v>104</v>
      </c>
      <c r="D192" s="32" t="str">
        <f>VLOOKUP(B192,'Player Data'!A1:D734,4,FALSE)</f>
        <v>D</v>
      </c>
      <c r="E192" s="47">
        <f>VLOOKUP(B192,D!A1:C229,3,FALSE)</f>
        <v>49</v>
      </c>
      <c r="F192" s="34" t="str">
        <f>VLOOKUP(B192,'Player Data'!A1:B734,2,FALSE)</f>
        <v>EDM</v>
      </c>
      <c r="G192" s="9">
        <f>VLOOKUP(B192,'Player Data'!A1:D734,3,FALSE)</f>
        <v>28</v>
      </c>
      <c r="H192" s="35">
        <f>IFERROR(VLOOKUP(B192,ADP!A1:G731,7,FALSE)/1000000,VLOOKUP(B192,ADP!A1:G731,7,FALSE))</f>
        <v>9.25</v>
      </c>
      <c r="I192" s="36">
        <f>IF(Settings!$E$15="POINTS",((R192*Q192)*Settings!$B$12)+(S192*Settings!$B$2)+(T192*Settings!$B$3)+(U192*Settings!$B$4)+(V192*Settings!$B$5)+(X192*Settings!$B$9)+(AA192*Settings!$B$6)+(W192*Settings!$B$8)+(AB192*Settings!$B$7)+(AC192*Settings!$B$14)+(AD192*Settings!$B$15)+(AE192*Settings!$B$16)+(AF192*Settings!$B$17)+(AG192*Settings!$B$18)+(U192*Settings!$B$13)+(Y192*Settings!$B$10)+(Z192*Settings!$B$11),VLOOKUP(B192,'Standard Deviations'!A1:C731,3,FALSE))</f>
        <v>-7.309199880531142E-2</v>
      </c>
      <c r="J192" s="37">
        <f t="shared" si="13"/>
        <v>-8.9136583908916369E-4</v>
      </c>
      <c r="K192" s="183">
        <f>VLOOKUP(B192,D!A1:F229,6,FALSE)</f>
        <v>-2.0148325424396223</v>
      </c>
      <c r="L192" s="36">
        <f t="shared" si="14"/>
        <v>-0.217819734317797</v>
      </c>
      <c r="M192" s="38">
        <f>IF(Settings!$E$9="YAHOO",VLOOKUP(B192,ADP!A1:E731,2,FALSE),IF(Settings!$E$9="ESPN",VLOOKUP(B192,ADP!A1:E731,3,FALSE),IF(Settings!$E$9="FANTRAX",VLOOKUP(B192,ADP!A1:E731,4,FALSE),VLOOKUP(B192,ADP!A1:E731,5,FALSE))))</f>
        <v>102.13</v>
      </c>
      <c r="N192" s="38">
        <f t="shared" si="15"/>
        <v>-88.87</v>
      </c>
      <c r="O192" s="38"/>
      <c r="P192" s="39" t="str">
        <f>IF(Settings!$E$27="ON",_xlfn.XLOOKUP(B192,ADP!A2:A731,ADP!H2:H731)," ")</f>
        <v xml:space="preserve"> </v>
      </c>
      <c r="Q192" s="40">
        <f>IF(Settings!$E$12="YES",VLOOKUP(B192,'Player Data'!A1:E734,5,FALSE),82)</f>
        <v>82</v>
      </c>
      <c r="R192" s="38">
        <f>VLOOKUP(B192,'Player Data'!$A1:$AE734,6,FALSE)</f>
        <v>21.811385729283899</v>
      </c>
      <c r="S192" s="40">
        <f>VLOOKUP(B192,'Player Data'!$A1:$AE734,7,FALSE)*$Q192*IFERROR((VLOOKUP(P192,Settings!$E$28:$F$33,2,FALSE)+1),1)</f>
        <v>11.468034829037164</v>
      </c>
      <c r="T192" s="40">
        <f>VLOOKUP(B192,'Player Data'!$A1:$AE734,8,FALSE)*$Q192*IFERROR((VLOOKUP(P192,Settings!$E$28:$F$33,2,FALSE)+1),1)</f>
        <v>25.778336200931719</v>
      </c>
      <c r="U192" s="40">
        <f>SUM(S192:T192)</f>
        <v>37.246371029968884</v>
      </c>
      <c r="V192" s="40">
        <f>VLOOKUP(B192,'Player Data'!$A1:$AE734,10,FALSE)*$Q192*IFERROR(((VLOOKUP(P192,Settings!$E$28:$F$33,2,FALSE)/2)+1),1)</f>
        <v>185.65395114777289</v>
      </c>
      <c r="W192" s="40">
        <f>VLOOKUP(B192,'Player Data'!$A1:$AE734,11,FALSE)*$Q192*IFERROR((VLOOKUP(P192,Settings!$E$28:$F$33,2,FALSE)+1),1)</f>
        <v>0.26259971898608986</v>
      </c>
      <c r="X192" s="40">
        <f>VLOOKUP(B192,'Player Data'!$A1:$AE734,12,FALSE)*$Q192*IFERROR((VLOOKUP(P192,Settings!$E$28:$F$33,2,FALSE)+1),1)</f>
        <v>3.1354601982081585</v>
      </c>
      <c r="Y192" s="40">
        <f>VLOOKUP(B192,'Player Data'!$A1:$AE734,13,FALSE)*$Q192</f>
        <v>1.4874636636129186</v>
      </c>
      <c r="Z192" s="40">
        <f>VLOOKUP(B192,'Player Data'!$A1:$AE734,14,FALSE)*$Q192</f>
        <v>1.8864991552493078</v>
      </c>
      <c r="AA192" s="40">
        <f>VLOOKUP(B192,'Player Data'!$A1:$AE734,15,FALSE)*$Q192</f>
        <v>146.89437024075767</v>
      </c>
      <c r="AB192" s="40">
        <f>VLOOKUP(B192,'Player Data'!$A1:$AE734,16,FALSE)*$Q192</f>
        <v>148.9352088634441</v>
      </c>
      <c r="AC192" s="40">
        <f>VLOOKUP(B192,'Player Data'!$A1:$AE734,17,FALSE)*$Q192*IFERROR((VLOOKUP(P192,Settings!$E$28:$F$33,2,FALSE)+1),1)</f>
        <v>6.4356723681359185</v>
      </c>
      <c r="AD192" s="40">
        <f>VLOOKUP(B192,'Player Data'!$A1:$AE734,18,FALSE)*$Q192</f>
        <v>56.113197652513612</v>
      </c>
      <c r="AE192" s="40">
        <f>VLOOKUP(B192,'Player Data'!$A1:$AE734,19,FALSE)*$Q192*IFERROR((VLOOKUP(P192,Settings!$E$28:$F$33,2,FALSE)+1),1)</f>
        <v>1.8152667969388008</v>
      </c>
      <c r="AF192" s="40">
        <f>VLOOKUP(B192,'Player Data'!$A1:$AE734,20,FALSE)*$Q192</f>
        <v>0</v>
      </c>
      <c r="AG192" s="40">
        <f>VLOOKUP(B192,'Player Data'!$A1:$AE734,21,FALSE)*$Q192</f>
        <v>0</v>
      </c>
      <c r="AH192" s="41">
        <f>VLOOKUP(B192,'Player Data'!$A1:$AE734,22,FALSE)</f>
        <v>0</v>
      </c>
      <c r="AI192" s="38"/>
      <c r="AJ192" s="42"/>
      <c r="AK192" s="40"/>
      <c r="AL192" s="40"/>
      <c r="AM192" s="40"/>
      <c r="AN192" s="40"/>
      <c r="AO192" s="40"/>
      <c r="AP192" s="40"/>
      <c r="AQ192" s="43"/>
      <c r="AR192" s="44"/>
      <c r="AS192" s="38"/>
    </row>
    <row r="193" spans="1:45" ht="21.2" customHeight="1">
      <c r="A193" s="181">
        <f t="shared" si="12"/>
        <v>192</v>
      </c>
      <c r="B193" s="8" t="s">
        <v>601</v>
      </c>
      <c r="C193" s="31" t="s">
        <v>104</v>
      </c>
      <c r="D193" s="32" t="str">
        <f>VLOOKUP(B193,'Player Data'!A1:D734,4,FALSE)</f>
        <v>G</v>
      </c>
      <c r="E193" s="50">
        <f>VLOOKUP(B193,G!A1:D75,3,FALSE)</f>
        <v>41</v>
      </c>
      <c r="F193" s="34" t="str">
        <f>VLOOKUP(B193,'Player Data'!A1:B734,2,FALSE)</f>
        <v>MTL</v>
      </c>
      <c r="G193" s="9">
        <f>VLOOKUP(B193,'Player Data'!A1:D734,3,FALSE)</f>
        <v>33</v>
      </c>
      <c r="H193" s="35">
        <f>IFERROR(VLOOKUP(B193,ADP!A1:G731,7,FALSE)/1000000,VLOOKUP(B193,ADP!A1:G731,7,FALSE))</f>
        <v>0</v>
      </c>
      <c r="I193" s="36">
        <f>IF(Settings!$E$15="POINTS",(AJ193*Settings!$B$29)+(AK193*Settings!$B$21)+(AL193*Settings!$B$22)+(AN193*Settings!$B$24)+(AO193*Settings!$B$25)+(AP193*Settings!$B$27)+(AM193*Settings!$B$23),VLOOKUP(B193,'Standard Deviations'!A1:C731,3,FALSE))</f>
        <v>-0.32484780751655629</v>
      </c>
      <c r="J193" s="37">
        <f t="shared" si="13"/>
        <v>-9.0235502087932309E-3</v>
      </c>
      <c r="K193" s="183">
        <f>VLOOKUP(B193,G!A1:F75,6,FALSE)</f>
        <v>-2.0290768587068477</v>
      </c>
      <c r="L193" s="49" t="str">
        <f t="shared" si="14"/>
        <v>N/A</v>
      </c>
      <c r="M193" s="38">
        <f>IF(Settings!$E$9="YAHOO",VLOOKUP(B193,ADP!A1:E731,2,FALSE),IF(Settings!$E$9="ESPN",VLOOKUP(B193,ADP!A1:E731,3,FALSE),IF(Settings!$E$9="FANTRAX",VLOOKUP(B193,ADP!A1:E731,4,FALSE),VLOOKUP(B193,ADP!A1:E731,5,FALSE))))</f>
        <v>403.03</v>
      </c>
      <c r="N193" s="38">
        <f t="shared" si="15"/>
        <v>211.02999999999997</v>
      </c>
      <c r="O193" s="38"/>
      <c r="P193" s="39" t="str">
        <f>IF(Settings!$E$27="ON",_xlfn.XLOOKUP(B193,ADP!A2:A731,ADP!H2:H731)," ")</f>
        <v xml:space="preserve"> </v>
      </c>
      <c r="Q193" s="40"/>
      <c r="R193" s="51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1"/>
      <c r="AI193" s="38"/>
      <c r="AJ193" s="42">
        <f>VLOOKUP(B193,'Player Data'!$A1:$AE734,24,FALSE)</f>
        <v>36</v>
      </c>
      <c r="AK193" s="40">
        <f>VLOOKUP(B193,'Player Data'!$A1:$AE734,25,FALSE)*$AJ193*IFERROR((VLOOKUP(P193,Settings!$E$28:$F$33,2,FALSE)+1),1)</f>
        <v>13.228072937173547</v>
      </c>
      <c r="AL193" s="40">
        <f>AJ193-AK193-AM193</f>
        <v>18.271927062826453</v>
      </c>
      <c r="AM193" s="40">
        <f>VLOOKUP(B193,'Player Data'!$A1:$AE734,27,FALSE)*$AJ193</f>
        <v>4.5</v>
      </c>
      <c r="AN193" s="40">
        <f>VLOOKUP(B193,'Player Data'!$A1:$AE734,28,FALSE)*AJ193</f>
        <v>1.2394938866781673</v>
      </c>
      <c r="AO193" s="40">
        <f>VLOOKUP(B193,'Player Data'!$A1:$AE734,29,FALSE)*$AJ193*IFERROR((VLOOKUP(P193,Settings!$E$28:$F$33,2,FALSE)/4)+1,1)</f>
        <v>1024.73977905639</v>
      </c>
      <c r="AP193" s="40">
        <f>VLOOKUP(B193,'Player Data'!$A1:$AE734,31,FALSE)*$AJ193*(IFERROR(1-(VLOOKUP(P193,Settings!$E$28:$F$33,2,FALSE)/4),1))</f>
        <v>111.37835226861037</v>
      </c>
      <c r="AQ193" s="43">
        <f>1-(AP193/(AO193+AP193))</f>
        <v>0.90196587027555386</v>
      </c>
      <c r="AR193" s="44">
        <f>AP193/AJ193</f>
        <v>3.0938431185725102</v>
      </c>
      <c r="AS193" s="42"/>
    </row>
    <row r="194" spans="1:45" ht="21.2" customHeight="1">
      <c r="A194" s="181">
        <f t="shared" ref="A194:A257" si="18">RANK(K194,K$2:K$730)</f>
        <v>193</v>
      </c>
      <c r="B194" s="8" t="s">
        <v>264</v>
      </c>
      <c r="C194" s="31" t="s">
        <v>104</v>
      </c>
      <c r="D194" s="32" t="str">
        <f>VLOOKUP(B194,'Player Data'!A1:D734,4,FALSE)</f>
        <v>LW,RW</v>
      </c>
      <c r="E194" s="45">
        <f>VLOOKUP(B194,RW!A1:F189,3,FALSE)</f>
        <v>46</v>
      </c>
      <c r="F194" s="34" t="str">
        <f>VLOOKUP(B194,'Player Data'!A1:B734,2,FALSE)</f>
        <v>LAK</v>
      </c>
      <c r="G194" s="9">
        <f>VLOOKUP(B194,'Player Data'!A1:D734,3,FALSE)</f>
        <v>30</v>
      </c>
      <c r="H194" s="35">
        <f>IFERROR(VLOOKUP(B194,ADP!A1:G731,7,FALSE)/1000000,VLOOKUP(B194,ADP!A1:G731,7,FALSE))</f>
        <v>4.25</v>
      </c>
      <c r="I194" s="36">
        <f>IF(Settings!$E$15="POINTS",((R194*Q194)*Settings!$B$12)+(S194*Settings!$B$2)+(T194*Settings!$B$3)+(U194*Settings!$B$4)+(V194*Settings!$B$5)+(X194*Settings!$B$9)+(AA194*Settings!$B$6)+(W194*Settings!$B$8)+(AB194*Settings!$B$7)+(AC194*Settings!$B$14)+(AD194*Settings!$B$15)+(AE194*Settings!$B$16)+(AF194*Settings!$B$17)+(AG194*Settings!$B$18)+(Y194*Settings!$B$10)+(Z194*Settings!$B$11),VLOOKUP(B194,'Standard Deviations'!A1:C731,3,FALSE))</f>
        <v>4.1748489384192276</v>
      </c>
      <c r="J194" s="37">
        <f t="shared" ref="J194:J257" si="19">IF(D194="G",I194/AJ194,I194/Q194)</f>
        <v>5.09127919319418E-2</v>
      </c>
      <c r="K194" s="183">
        <f>IF(Settings!$E$18="C/LW/RW",VLOOKUP(B194,RW!A1:F189,6,FALSE),VLOOKUP(B194,F!A1:F431,6,FALSE))</f>
        <v>-2.1054097805918532</v>
      </c>
      <c r="L194" s="36">
        <f t="shared" ref="L194:L257" si="20">IFERROR(K194/H194,"N/A")</f>
        <v>-0.49539053660984783</v>
      </c>
      <c r="M194" s="38">
        <f>IF(Settings!$E$9="YAHOO",VLOOKUP(B194,ADP!A1:E731,2,FALSE),IF(Settings!$E$9="ESPN",VLOOKUP(B194,ADP!A1:E731,3,FALSE),IF(Settings!$E$9="FANTRAX",VLOOKUP(B194,ADP!A1:E731,4,FALSE),VLOOKUP(B194,ADP!A1:E731,5,FALSE))))</f>
        <v>131.38999999999999</v>
      </c>
      <c r="N194" s="38">
        <f t="shared" ref="N194:N257" si="21">IFERROR(M194-A194,"N/A")</f>
        <v>-61.610000000000014</v>
      </c>
      <c r="O194" s="38"/>
      <c r="P194" s="39" t="str">
        <f>IF(Settings!$E$27="ON",_xlfn.XLOOKUP(B194,ADP!A2:A731,ADP!H2:H731)," ")</f>
        <v xml:space="preserve"> </v>
      </c>
      <c r="Q194" s="40">
        <f>IF(Settings!$E$12="YES",VLOOKUP(B194,'Player Data'!A1:E734,5,FALSE),82)</f>
        <v>82</v>
      </c>
      <c r="R194" s="38">
        <f>VLOOKUP(B194,'Player Data'!$A1:$AE734,6,FALSE)</f>
        <v>16.4601035480486</v>
      </c>
      <c r="S194" s="40">
        <f>VLOOKUP(B194,'Player Data'!$A1:$AE734,7,FALSE)*$Q194*IFERROR((VLOOKUP(P194,Settings!$E$28:$F$33,2,FALSE)+1),1)</f>
        <v>22.585660850859512</v>
      </c>
      <c r="T194" s="40">
        <f>VLOOKUP(B194,'Player Data'!$A1:$AE734,8,FALSE)*$Q194*IFERROR((VLOOKUP(P194,Settings!$E$28:$F$33,2,FALSE)+1),1)</f>
        <v>31.856973596012629</v>
      </c>
      <c r="U194" s="40">
        <f t="shared" ref="U194:U203" si="22">SUM(S194:T194)</f>
        <v>54.442634446872141</v>
      </c>
      <c r="V194" s="40">
        <f>VLOOKUP(B194,'Player Data'!$A1:$AE734,10,FALSE)*$Q194*IFERROR(((VLOOKUP(P194,Settings!$E$28:$F$33,2,FALSE)/2)+1),1)</f>
        <v>226.63386305969638</v>
      </c>
      <c r="W194" s="40">
        <f>VLOOKUP(B194,'Player Data'!$A1:$AE734,11,FALSE)*$Q194*IFERROR((VLOOKUP(P194,Settings!$E$28:$F$33,2,FALSE)+1),1)</f>
        <v>6.716621820692092</v>
      </c>
      <c r="X194" s="40">
        <f>VLOOKUP(B194,'Player Data'!$A1:$AE734,12,FALSE)*$Q194*IFERROR((VLOOKUP(P194,Settings!$E$28:$F$33,2,FALSE)+1),1)</f>
        <v>16.064735517191107</v>
      </c>
      <c r="Y194" s="40">
        <f>VLOOKUP(B194,'Player Data'!$A1:$AE734,13,FALSE)*$Q194</f>
        <v>0.11723585310757631</v>
      </c>
      <c r="Z194" s="40">
        <f>VLOOKUP(B194,'Player Data'!$A1:$AE734,14,FALSE)*$Q194</f>
        <v>0.1328837726809691</v>
      </c>
      <c r="AA194" s="40">
        <f>VLOOKUP(B194,'Player Data'!$A1:$AE734,15,FALSE)*$Q194</f>
        <v>47.606989658040085</v>
      </c>
      <c r="AB194" s="40">
        <f>VLOOKUP(B194,'Player Data'!$A1:$AE734,16,FALSE)*$Q194</f>
        <v>31.441211267476831</v>
      </c>
      <c r="AC194" s="40">
        <f>VLOOKUP(B194,'Player Data'!$A1:$AE734,17,FALSE)*$Q194*IFERROR((VLOOKUP(P194,Settings!$E$28:$F$33,2,FALSE)+1),1)</f>
        <v>1.0109305780670981</v>
      </c>
      <c r="AD194" s="40">
        <f>VLOOKUP(B194,'Player Data'!$A1:$AE734,18,FALSE)*$Q194</f>
        <v>28.219048753086685</v>
      </c>
      <c r="AE194" s="40">
        <f>VLOOKUP(B194,'Player Data'!$A1:$AE734,19,FALSE)*$Q194*IFERROR((VLOOKUP(P194,Settings!$E$28:$F$33,2,FALSE)+1),1)</f>
        <v>3.3440567894491764</v>
      </c>
      <c r="AF194" s="40">
        <f>VLOOKUP(B194,'Player Data'!$A1:$AE734,20,FALSE)*$Q194</f>
        <v>22.948166793518489</v>
      </c>
      <c r="AG194" s="40">
        <f>VLOOKUP(B194,'Player Data'!$A1:$AE734,21,FALSE)*$Q194</f>
        <v>38.602420465270534</v>
      </c>
      <c r="AH194" s="41">
        <f>VLOOKUP(B194,'Player Data'!$A1:$AE734,22,FALSE)</f>
        <v>0.37283424603299198</v>
      </c>
      <c r="AI194" s="38"/>
      <c r="AJ194" s="42"/>
      <c r="AK194" s="40"/>
      <c r="AL194" s="40"/>
      <c r="AM194" s="40"/>
      <c r="AN194" s="40"/>
      <c r="AO194" s="40"/>
      <c r="AP194" s="40"/>
      <c r="AQ194" s="43"/>
      <c r="AR194" s="44"/>
      <c r="AS194" s="38"/>
    </row>
    <row r="195" spans="1:45" ht="21.2" customHeight="1">
      <c r="A195" s="181">
        <f t="shared" si="18"/>
        <v>194</v>
      </c>
      <c r="B195" s="8" t="s">
        <v>267</v>
      </c>
      <c r="C195" s="31" t="s">
        <v>104</v>
      </c>
      <c r="D195" s="32" t="str">
        <f>VLOOKUP(B195,'Player Data'!A1:D734,4,FALSE)</f>
        <v>D</v>
      </c>
      <c r="E195" s="47">
        <f>VLOOKUP(B195,D!A1:C229,3,FALSE)</f>
        <v>50</v>
      </c>
      <c r="F195" s="34" t="str">
        <f>VLOOKUP(B195,'Player Data'!A1:B734,2,FALSE)</f>
        <v>CGY</v>
      </c>
      <c r="G195" s="9">
        <f>VLOOKUP(B195,'Player Data'!A1:D734,3,FALSE)</f>
        <v>29</v>
      </c>
      <c r="H195" s="35">
        <f>IFERROR(VLOOKUP(B195,ADP!A1:G731,7,FALSE)/1000000,VLOOKUP(B195,ADP!A1:G731,7,FALSE))</f>
        <v>6.25</v>
      </c>
      <c r="I195" s="36">
        <f>IF(Settings!$E$15="POINTS",((R195*Q195)*Settings!$B$12)+(S195*Settings!$B$2)+(T195*Settings!$B$3)+(U195*Settings!$B$4)+(V195*Settings!$B$5)+(X195*Settings!$B$9)+(AA195*Settings!$B$6)+(W195*Settings!$B$8)+(AB195*Settings!$B$7)+(AC195*Settings!$B$14)+(AD195*Settings!$B$15)+(AE195*Settings!$B$16)+(AF195*Settings!$B$17)+(AG195*Settings!$B$18)+(U195*Settings!$B$13)+(Y195*Settings!$B$10)+(Z195*Settings!$B$11),VLOOKUP(B195,'Standard Deviations'!A1:C731,3,FALSE))</f>
        <v>-0.1837765459868389</v>
      </c>
      <c r="J195" s="37">
        <f t="shared" si="19"/>
        <v>-2.2411773900834014E-3</v>
      </c>
      <c r="K195" s="183">
        <f>VLOOKUP(B195,D!A1:F229,6,FALSE)</f>
        <v>-2.1255170896211495</v>
      </c>
      <c r="L195" s="36">
        <f t="shared" si="20"/>
        <v>-0.34008273433938391</v>
      </c>
      <c r="M195" s="38">
        <f>IF(Settings!$E$9="YAHOO",VLOOKUP(B195,ADP!A1:E731,2,FALSE),IF(Settings!$E$9="ESPN",VLOOKUP(B195,ADP!A1:E731,3,FALSE),IF(Settings!$E$9="FANTRAX",VLOOKUP(B195,ADP!A1:E731,4,FALSE),VLOOKUP(B195,ADP!A1:E731,5,FALSE))))</f>
        <v>162.29</v>
      </c>
      <c r="N195" s="38">
        <f t="shared" si="21"/>
        <v>-31.710000000000008</v>
      </c>
      <c r="O195" s="38"/>
      <c r="P195" s="39" t="str">
        <f>IF(Settings!$E$27="ON",_xlfn.XLOOKUP(B195,ADP!A2:A731,ADP!H2:H731)," ")</f>
        <v xml:space="preserve"> </v>
      </c>
      <c r="Q195" s="40">
        <f>IF(Settings!$E$12="YES",VLOOKUP(B195,'Player Data'!A1:E734,5,FALSE),82)</f>
        <v>82</v>
      </c>
      <c r="R195" s="38">
        <f>VLOOKUP(B195,'Player Data'!$A1:$AE734,6,FALSE)</f>
        <v>20.613531413824902</v>
      </c>
      <c r="S195" s="40">
        <f>VLOOKUP(B195,'Player Data'!$A1:$AE734,7,FALSE)*$Q195*IFERROR((VLOOKUP(P195,Settings!$E$28:$F$33,2,FALSE)+1),1)</f>
        <v>5.996897360779661</v>
      </c>
      <c r="T195" s="40">
        <f>VLOOKUP(B195,'Player Data'!$A1:$AE734,8,FALSE)*$Q195*IFERROR((VLOOKUP(P195,Settings!$E$28:$F$33,2,FALSE)+1),1)</f>
        <v>30.707530616796888</v>
      </c>
      <c r="U195" s="40">
        <f t="shared" si="22"/>
        <v>36.70442797757655</v>
      </c>
      <c r="V195" s="40">
        <f>VLOOKUP(B195,'Player Data'!$A1:$AE734,10,FALSE)*$Q195*IFERROR(((VLOOKUP(P195,Settings!$E$28:$F$33,2,FALSE)/2)+1),1)</f>
        <v>171.46105495151127</v>
      </c>
      <c r="W195" s="40">
        <f>VLOOKUP(B195,'Player Data'!$A1:$AE734,11,FALSE)*$Q195*IFERROR((VLOOKUP(P195,Settings!$E$28:$F$33,2,FALSE)+1),1)</f>
        <v>0.80367770502777669</v>
      </c>
      <c r="X195" s="40">
        <f>VLOOKUP(B195,'Player Data'!$A1:$AE734,12,FALSE)*$Q195*IFERROR((VLOOKUP(P195,Settings!$E$28:$F$33,2,FALSE)+1),1)</f>
        <v>6.3093182780547599</v>
      </c>
      <c r="Y195" s="40">
        <f>VLOOKUP(B195,'Player Data'!$A1:$AE734,13,FALSE)*$Q195</f>
        <v>0.18646360344221199</v>
      </c>
      <c r="Z195" s="40">
        <f>VLOOKUP(B195,'Player Data'!$A1:$AE734,14,FALSE)*$Q195</f>
        <v>0.92230070456776714</v>
      </c>
      <c r="AA195" s="40">
        <f>VLOOKUP(B195,'Player Data'!$A1:$AE734,15,FALSE)*$Q195</f>
        <v>124.57242395518909</v>
      </c>
      <c r="AB195" s="40">
        <f>VLOOKUP(B195,'Player Data'!$A1:$AE734,16,FALSE)*$Q195</f>
        <v>172.23123070072882</v>
      </c>
      <c r="AC195" s="40">
        <f>VLOOKUP(B195,'Player Data'!$A1:$AE734,17,FALSE)*$Q195*IFERROR((VLOOKUP(P195,Settings!$E$28:$F$33,2,FALSE)+1),1)</f>
        <v>5.3833414583018619</v>
      </c>
      <c r="AD195" s="40">
        <f>VLOOKUP(B195,'Player Data'!$A1:$AE734,18,FALSE)*$Q195</f>
        <v>45.258998606809108</v>
      </c>
      <c r="AE195" s="40">
        <f>VLOOKUP(B195,'Player Data'!$A1:$AE734,19,FALSE)*$Q195*IFERROR((VLOOKUP(P195,Settings!$E$28:$F$33,2,FALSE)+1),1)</f>
        <v>1.002071054779486</v>
      </c>
      <c r="AF195" s="40">
        <f>VLOOKUP(B195,'Player Data'!$A1:$AE734,20,FALSE)*$Q195</f>
        <v>0</v>
      </c>
      <c r="AG195" s="40">
        <f>VLOOKUP(B195,'Player Data'!$A1:$AE734,21,FALSE)*$Q195</f>
        <v>0</v>
      </c>
      <c r="AH195" s="41">
        <f>VLOOKUP(B195,'Player Data'!$A1:$AE734,22,FALSE)</f>
        <v>0</v>
      </c>
      <c r="AI195" s="38"/>
      <c r="AJ195" s="40"/>
      <c r="AK195" s="40"/>
      <c r="AL195" s="40"/>
      <c r="AM195" s="40"/>
      <c r="AN195" s="40"/>
      <c r="AO195" s="40"/>
      <c r="AP195" s="40"/>
      <c r="AQ195" s="43"/>
      <c r="AR195" s="44"/>
      <c r="AS195" s="38"/>
    </row>
    <row r="196" spans="1:45" ht="21.2" customHeight="1">
      <c r="A196" s="181">
        <f t="shared" si="18"/>
        <v>195</v>
      </c>
      <c r="B196" s="8" t="s">
        <v>256</v>
      </c>
      <c r="C196" s="31" t="s">
        <v>104</v>
      </c>
      <c r="D196" s="32" t="str">
        <f>VLOOKUP(B196,'Player Data'!A1:D734,4,FALSE)</f>
        <v>C,LW</v>
      </c>
      <c r="E196" s="45">
        <f>VLOOKUP(B196,LW!A1:C227,3,FALSE)</f>
        <v>52</v>
      </c>
      <c r="F196" s="34" t="str">
        <f>VLOOKUP(B196,'Player Data'!A1:B734,2,FALSE)</f>
        <v>DAL</v>
      </c>
      <c r="G196" s="9">
        <f>VLOOKUP(B196,'Player Data'!A1:D734,3,FALSE)</f>
        <v>34</v>
      </c>
      <c r="H196" s="35">
        <f>IFERROR(VLOOKUP(B196,ADP!A1:G731,7,FALSE)/1000000,VLOOKUP(B196,ADP!A1:G731,7,FALSE))</f>
        <v>9.5</v>
      </c>
      <c r="I196" s="36">
        <f>IF(Settings!$E$15="POINTS",((R196*Q196)*Settings!$B$12)+(S196*Settings!$B$2)+(T196*Settings!$B$3)+(U196*Settings!$B$4)+(V196*Settings!$B$5)+(X196*Settings!$B$9)+(AA196*Settings!$B$6)+(W196*Settings!$B$8)+(AB196*Settings!$B$7)+(AC196*Settings!$B$14)+(AD196*Settings!$B$15)+(AE196*Settings!$B$16)+(AF196*Settings!$B$17)+(AG196*Settings!$B$18)+(Y196*Settings!$B$10)+(Z196*Settings!$B$11),VLOOKUP(B196,'Standard Deviations'!A1:C731,3,FALSE))</f>
        <v>4.5240276912220887</v>
      </c>
      <c r="J196" s="37">
        <f t="shared" si="19"/>
        <v>5.5171069405147426E-2</v>
      </c>
      <c r="K196" s="183">
        <f>IF(Settings!$E$18="C/LW/RW",VLOOKUP(B196,LW!A1:F227,6,FALSE),VLOOKUP(B196,F!A1:F431,6,FALSE))</f>
        <v>-2.1306413529023125</v>
      </c>
      <c r="L196" s="36">
        <f t="shared" si="20"/>
        <v>-0.22427803714761185</v>
      </c>
      <c r="M196" s="38">
        <f>IF(Settings!$E$9="YAHOO",VLOOKUP(B196,ADP!A1:E731,2,FALSE),IF(Settings!$E$9="ESPN",VLOOKUP(B196,ADP!A1:E731,3,FALSE),IF(Settings!$E$9="FANTRAX",VLOOKUP(B196,ADP!A1:E731,4,FALSE),VLOOKUP(B196,ADP!A1:E731,5,FALSE))))</f>
        <v>139.41</v>
      </c>
      <c r="N196" s="38">
        <f t="shared" si="21"/>
        <v>-55.59</v>
      </c>
      <c r="O196" s="38"/>
      <c r="P196" s="39" t="str">
        <f>IF(Settings!$E$27="ON",_xlfn.XLOOKUP(B196,ADP!A2:A731,ADP!H2:H731)," ")</f>
        <v xml:space="preserve"> </v>
      </c>
      <c r="Q196" s="40">
        <f>IF(Settings!$E$12="YES",VLOOKUP(B196,'Player Data'!A1:E734,5,FALSE),82)</f>
        <v>82</v>
      </c>
      <c r="R196" s="38">
        <f>VLOOKUP(B196,'Player Data'!$A1:$AE734,6,FALSE)</f>
        <v>16.0773216632386</v>
      </c>
      <c r="S196" s="40">
        <f>VLOOKUP(B196,'Player Data'!$A1:$AE734,7,FALSE)*$Q196*IFERROR((VLOOKUP(P196,Settings!$E$28:$F$33,2,FALSE)+1),1)</f>
        <v>23.443963298168313</v>
      </c>
      <c r="T196" s="40">
        <f>VLOOKUP(B196,'Player Data'!$A1:$AE734,8,FALSE)*$Q196*IFERROR((VLOOKUP(P196,Settings!$E$28:$F$33,2,FALSE)+1),1)</f>
        <v>34.548227229193799</v>
      </c>
      <c r="U196" s="40">
        <f t="shared" si="22"/>
        <v>57.992190527362112</v>
      </c>
      <c r="V196" s="40">
        <f>VLOOKUP(B196,'Player Data'!$A1:$AE734,10,FALSE)*$Q196*IFERROR(((VLOOKUP(P196,Settings!$E$28:$F$33,2,FALSE)/2)+1),1)</f>
        <v>185.76511107674222</v>
      </c>
      <c r="W196" s="40">
        <f>VLOOKUP(B196,'Player Data'!$A1:$AE734,11,FALSE)*$Q196*IFERROR((VLOOKUP(P196,Settings!$E$28:$F$33,2,FALSE)+1),1)</f>
        <v>8.6362292385405812</v>
      </c>
      <c r="X196" s="40">
        <f>VLOOKUP(B196,'Player Data'!$A1:$AE734,12,FALSE)*$Q196*IFERROR((VLOOKUP(P196,Settings!$E$28:$F$33,2,FALSE)+1),1)</f>
        <v>22.062460477391664</v>
      </c>
      <c r="Y196" s="40">
        <f>VLOOKUP(B196,'Player Data'!$A1:$AE734,13,FALSE)*$Q196</f>
        <v>1.6096825286411567</v>
      </c>
      <c r="Z196" s="40">
        <f>VLOOKUP(B196,'Player Data'!$A1:$AE734,14,FALSE)*$Q196</f>
        <v>2.1749443971958993</v>
      </c>
      <c r="AA196" s="40">
        <f>VLOOKUP(B196,'Player Data'!$A1:$AE734,15,FALSE)*$Q196</f>
        <v>44.577884361506918</v>
      </c>
      <c r="AB196" s="40">
        <f>VLOOKUP(B196,'Player Data'!$A1:$AE734,16,FALSE)*$Q196</f>
        <v>106.40886658730322</v>
      </c>
      <c r="AC196" s="40">
        <f>VLOOKUP(B196,'Player Data'!$A1:$AE734,17,FALSE)*$Q196*IFERROR((VLOOKUP(P196,Settings!$E$28:$F$33,2,FALSE)+1),1)</f>
        <v>5.822896713439409</v>
      </c>
      <c r="AD196" s="40">
        <f>VLOOKUP(B196,'Player Data'!$A1:$AE734,18,FALSE)*$Q196</f>
        <v>45.919406102967407</v>
      </c>
      <c r="AE196" s="40">
        <f>VLOOKUP(B196,'Player Data'!$A1:$AE734,19,FALSE)*$Q196*IFERROR((VLOOKUP(P196,Settings!$E$28:$F$33,2,FALSE)+1),1)</f>
        <v>3.7508679321743861</v>
      </c>
      <c r="AF196" s="40">
        <f>VLOOKUP(B196,'Player Data'!$A1:$AE734,20,FALSE)*$Q196</f>
        <v>491.9193947765433</v>
      </c>
      <c r="AG196" s="40">
        <f>VLOOKUP(B196,'Player Data'!$A1:$AE734,21,FALSE)*$Q196</f>
        <v>363.55570185891492</v>
      </c>
      <c r="AH196" s="41">
        <f>VLOOKUP(B196,'Player Data'!$A1:$AE734,22,FALSE)</f>
        <v>0.57502479816331098</v>
      </c>
      <c r="AI196" s="38"/>
      <c r="AJ196" s="42"/>
      <c r="AK196" s="40"/>
      <c r="AL196" s="40"/>
      <c r="AM196" s="40"/>
      <c r="AN196" s="40"/>
      <c r="AO196" s="40"/>
      <c r="AP196" s="40"/>
      <c r="AQ196" s="43"/>
      <c r="AR196" s="44"/>
      <c r="AS196" s="38"/>
    </row>
    <row r="197" spans="1:45" ht="21.2" customHeight="1">
      <c r="A197" s="181">
        <f t="shared" si="18"/>
        <v>196</v>
      </c>
      <c r="B197" s="8" t="s">
        <v>257</v>
      </c>
      <c r="C197" s="31" t="s">
        <v>104</v>
      </c>
      <c r="D197" s="32" t="str">
        <f>VLOOKUP(B197,'Player Data'!A1:D734,4,FALSE)</f>
        <v>RW</v>
      </c>
      <c r="E197" s="46">
        <f>VLOOKUP(B197,RW!A1:F189,3,FALSE)</f>
        <v>47</v>
      </c>
      <c r="F197" s="34" t="str">
        <f>VLOOKUP(B197,'Player Data'!A1:B734,2,FALSE)</f>
        <v>NJD</v>
      </c>
      <c r="G197" s="9">
        <f>VLOOKUP(B197,'Player Data'!A1:D734,3,FALSE)</f>
        <v>31</v>
      </c>
      <c r="H197" s="35">
        <f>IFERROR(VLOOKUP(B197,ADP!A1:G731,7,FALSE)/1000000,VLOOKUP(B197,ADP!A1:G731,7,FALSE))</f>
        <v>4.25</v>
      </c>
      <c r="I197" s="36">
        <f>IF(Settings!$E$15="POINTS",((R197*Q197)*Settings!$B$12)+(S197*Settings!$B$2)+(T197*Settings!$B$3)+(U197*Settings!$B$4)+(V197*Settings!$B$5)+(X197*Settings!$B$9)+(AA197*Settings!$B$6)+(W197*Settings!$B$8)+(AB197*Settings!$B$7)+(AC197*Settings!$B$14)+(AD197*Settings!$B$15)+(AE197*Settings!$B$16)+(AF197*Settings!$B$17)+(AG197*Settings!$B$18)+(Y197*Settings!$B$10)+(Z197*Settings!$B$11),VLOOKUP(B197,'Standard Deviations'!A1:C731,3,FALSE))</f>
        <v>4.1338270871323903</v>
      </c>
      <c r="J197" s="37">
        <f t="shared" si="19"/>
        <v>5.0412525452834027E-2</v>
      </c>
      <c r="K197" s="183">
        <f>IF(Settings!$E$18="C/LW/RW",VLOOKUP(B197,RW!A1:F189,6,FALSE),VLOOKUP(B197,F!A1:F431,6,FALSE))</f>
        <v>-2.1464316318786905</v>
      </c>
      <c r="L197" s="36">
        <f t="shared" si="20"/>
        <v>-0.50504273691263302</v>
      </c>
      <c r="M197" s="38">
        <f>IF(Settings!$E$9="YAHOO",VLOOKUP(B197,ADP!A1:E731,2,FALSE),IF(Settings!$E$9="ESPN",VLOOKUP(B197,ADP!A1:E731,3,FALSE),IF(Settings!$E$9="FANTRAX",VLOOKUP(B197,ADP!A1:E731,4,FALSE),VLOOKUP(B197,ADP!A1:E731,5,FALSE))))</f>
        <v>85.15</v>
      </c>
      <c r="N197" s="38">
        <f t="shared" si="21"/>
        <v>-110.85</v>
      </c>
      <c r="O197" s="38"/>
      <c r="P197" s="39" t="str">
        <f>IF(Settings!$E$27="ON",_xlfn.XLOOKUP(B197,ADP!A2:A731,ADP!H2:H731)," ")</f>
        <v>-</v>
      </c>
      <c r="Q197" s="40">
        <f>IF(Settings!$E$12="YES",VLOOKUP(B197,'Player Data'!A1:E734,5,FALSE),82)</f>
        <v>82</v>
      </c>
      <c r="R197" s="38">
        <f>VLOOKUP(B197,'Player Data'!$A1:$AE734,6,FALSE)</f>
        <v>16.3001630333052</v>
      </c>
      <c r="S197" s="40">
        <f>VLOOKUP(B197,'Player Data'!$A1:$AE734,7,FALSE)*$Q197*IFERROR((VLOOKUP(P197,Settings!$E$28:$F$33,2,FALSE)+1),1)</f>
        <v>25.415664630105855</v>
      </c>
      <c r="T197" s="40">
        <f>VLOOKUP(B197,'Player Data'!$A1:$AE734,8,FALSE)*$Q197*IFERROR((VLOOKUP(P197,Settings!$E$28:$F$33,2,FALSE)+1),1)</f>
        <v>29.638879966262223</v>
      </c>
      <c r="U197" s="40">
        <f t="shared" si="22"/>
        <v>55.054544596368075</v>
      </c>
      <c r="V197" s="40">
        <f>VLOOKUP(B197,'Player Data'!$A1:$AE734,10,FALSE)*$Q197*IFERROR(((VLOOKUP(P197,Settings!$E$28:$F$33,2,FALSE)/2)+1),1)</f>
        <v>234.61511003555273</v>
      </c>
      <c r="W197" s="40">
        <f>VLOOKUP(B197,'Player Data'!$A1:$AE734,11,FALSE)*$Q197*IFERROR((VLOOKUP(P197,Settings!$E$28:$F$33,2,FALSE)+1),1)</f>
        <v>5.5988159061867488</v>
      </c>
      <c r="X197" s="40">
        <f>VLOOKUP(B197,'Player Data'!$A1:$AE734,12,FALSE)*$Q197*IFERROR((VLOOKUP(P197,Settings!$E$28:$F$33,2,FALSE)+1),1)</f>
        <v>12.948886884355209</v>
      </c>
      <c r="Y197" s="40">
        <f>VLOOKUP(B197,'Player Data'!$A1:$AE734,13,FALSE)*$Q197</f>
        <v>0.42357443988382881</v>
      </c>
      <c r="Z197" s="40">
        <f>VLOOKUP(B197,'Player Data'!$A1:$AE734,14,FALSE)*$Q197</f>
        <v>0.72092862498600419</v>
      </c>
      <c r="AA197" s="40">
        <f>VLOOKUP(B197,'Player Data'!$A1:$AE734,15,FALSE)*$Q197</f>
        <v>20.708625875120795</v>
      </c>
      <c r="AB197" s="40">
        <f>VLOOKUP(B197,'Player Data'!$A1:$AE734,16,FALSE)*$Q197</f>
        <v>73.743033026799907</v>
      </c>
      <c r="AC197" s="40">
        <f>VLOOKUP(B197,'Player Data'!$A1:$AE734,17,FALSE)*$Q197*IFERROR((VLOOKUP(P197,Settings!$E$28:$F$33,2,FALSE)+1),1)</f>
        <v>1.2695604966571321</v>
      </c>
      <c r="AD197" s="40">
        <f>VLOOKUP(B197,'Player Data'!$A1:$AE734,18,FALSE)*$Q197</f>
        <v>26.635091685127115</v>
      </c>
      <c r="AE197" s="40">
        <f>VLOOKUP(B197,'Player Data'!$A1:$AE734,19,FALSE)*$Q197*IFERROR((VLOOKUP(P197,Settings!$E$28:$F$33,2,FALSE)+1),1)</f>
        <v>3.7355430730089902</v>
      </c>
      <c r="AF197" s="40">
        <f>VLOOKUP(B197,'Player Data'!$A1:$AE734,20,FALSE)*$Q197</f>
        <v>11.844749369219565</v>
      </c>
      <c r="AG197" s="40">
        <f>VLOOKUP(B197,'Player Data'!$A1:$AE734,21,FALSE)*$Q197</f>
        <v>10.555715806480981</v>
      </c>
      <c r="AH197" s="41">
        <f>VLOOKUP(B197,'Player Data'!$A1:$AE734,22,FALSE)</f>
        <v>0.52877247308544495</v>
      </c>
      <c r="AI197" s="38"/>
      <c r="AJ197" s="42"/>
      <c r="AK197" s="40"/>
      <c r="AL197" s="40"/>
      <c r="AM197" s="40"/>
      <c r="AN197" s="40"/>
      <c r="AO197" s="40"/>
      <c r="AP197" s="40"/>
      <c r="AQ197" s="43"/>
      <c r="AR197" s="44"/>
      <c r="AS197" s="38"/>
    </row>
    <row r="198" spans="1:45" ht="21.2" customHeight="1">
      <c r="A198" s="181">
        <f t="shared" si="18"/>
        <v>197</v>
      </c>
      <c r="B198" s="8" t="s">
        <v>350</v>
      </c>
      <c r="C198" s="31" t="s">
        <v>104</v>
      </c>
      <c r="D198" s="32" t="str">
        <f>VLOOKUP(B198,'Player Data'!A1:D734,4,FALSE)</f>
        <v>D</v>
      </c>
      <c r="E198" s="47">
        <f>VLOOKUP(B198,D!A1:C229,3,FALSE)</f>
        <v>51</v>
      </c>
      <c r="F198" s="34" t="str">
        <f>VLOOKUP(B198,'Player Data'!A1:B734,2,FALSE)</f>
        <v>COL</v>
      </c>
      <c r="G198" s="9">
        <f>VLOOKUP(B198,'Player Data'!A1:D734,3,FALSE)</f>
        <v>22</v>
      </c>
      <c r="H198" s="35">
        <f>IFERROR(VLOOKUP(B198,ADP!A1:G731,7,FALSE)/1000000,VLOOKUP(B198,ADP!A1:G731,7,FALSE))</f>
        <v>3.85</v>
      </c>
      <c r="I198" s="36">
        <f>IF(Settings!$E$15="POINTS",((R198*Q198)*Settings!$B$12)+(S198*Settings!$B$2)+(T198*Settings!$B$3)+(U198*Settings!$B$4)+(V198*Settings!$B$5)+(X198*Settings!$B$9)+(AA198*Settings!$B$6)+(W198*Settings!$B$8)+(AB198*Settings!$B$7)+(AC198*Settings!$B$14)+(AD198*Settings!$B$15)+(AE198*Settings!$B$16)+(AF198*Settings!$B$17)+(AG198*Settings!$B$18)+(U198*Settings!$B$13)+(Y198*Settings!$B$10)+(Z198*Settings!$B$11),VLOOKUP(B198,'Standard Deviations'!A1:C731,3,FALSE))</f>
        <v>-0.20640304525821535</v>
      </c>
      <c r="J198" s="37">
        <f t="shared" si="19"/>
        <v>-2.5171103080270166E-3</v>
      </c>
      <c r="K198" s="183">
        <f>VLOOKUP(B198,D!A1:F229,6,FALSE)</f>
        <v>-2.148143588892526</v>
      </c>
      <c r="L198" s="36">
        <f t="shared" si="20"/>
        <v>-0.55795937373831839</v>
      </c>
      <c r="M198" s="38">
        <f>IF(Settings!$E$9="YAHOO",VLOOKUP(B198,ADP!A1:E731,2,FALSE),IF(Settings!$E$9="ESPN",VLOOKUP(B198,ADP!A1:E731,3,FALSE),IF(Settings!$E$9="FANTRAX",VLOOKUP(B198,ADP!A1:E731,4,FALSE),VLOOKUP(B198,ADP!A1:E731,5,FALSE))))</f>
        <v>162.66</v>
      </c>
      <c r="N198" s="38">
        <f t="shared" si="21"/>
        <v>-34.340000000000003</v>
      </c>
      <c r="O198" s="38"/>
      <c r="P198" s="39" t="str">
        <f>IF(Settings!$E$27="ON",_xlfn.XLOOKUP(B198,ADP!A2:A731,ADP!H2:H731)," ")</f>
        <v xml:space="preserve"> </v>
      </c>
      <c r="Q198" s="40">
        <f>IF(Settings!$E$12="YES",VLOOKUP(B198,'Player Data'!A1:E734,5,FALSE),82)</f>
        <v>82</v>
      </c>
      <c r="R198" s="38">
        <f>VLOOKUP(B198,'Player Data'!$A1:$AE734,6,FALSE)</f>
        <v>20.4503001873904</v>
      </c>
      <c r="S198" s="40">
        <f>VLOOKUP(B198,'Player Data'!$A1:$AE734,7,FALSE)*$Q198*IFERROR((VLOOKUP(P198,Settings!$E$28:$F$33,2,FALSE)+1),1)</f>
        <v>13.416292239940715</v>
      </c>
      <c r="T198" s="40">
        <f>VLOOKUP(B198,'Player Data'!$A1:$AE734,8,FALSE)*$Q198*IFERROR((VLOOKUP(P198,Settings!$E$28:$F$33,2,FALSE)+1),1)</f>
        <v>27.650244681311708</v>
      </c>
      <c r="U198" s="40">
        <f t="shared" si="22"/>
        <v>41.066536921252421</v>
      </c>
      <c r="V198" s="40">
        <f>VLOOKUP(B198,'Player Data'!$A1:$AE734,10,FALSE)*$Q198*IFERROR(((VLOOKUP(P198,Settings!$E$28:$F$33,2,FALSE)/2)+1),1)</f>
        <v>124.10453454702214</v>
      </c>
      <c r="W198" s="40">
        <f>VLOOKUP(B198,'Player Data'!$A1:$AE734,11,FALSE)*$Q198*IFERROR((VLOOKUP(P198,Settings!$E$28:$F$33,2,FALSE)+1),1)</f>
        <v>2.5309644820165129</v>
      </c>
      <c r="X198" s="40">
        <f>VLOOKUP(B198,'Player Data'!$A1:$AE734,12,FALSE)*$Q198*IFERROR((VLOOKUP(P198,Settings!$E$28:$F$33,2,FALSE)+1),1)</f>
        <v>7.2131216858423306</v>
      </c>
      <c r="Y198" s="40">
        <f>VLOOKUP(B198,'Player Data'!$A1:$AE734,13,FALSE)*$Q198</f>
        <v>0.80800726235030518</v>
      </c>
      <c r="Z198" s="40">
        <f>VLOOKUP(B198,'Player Data'!$A1:$AE734,14,FALSE)*$Q198</f>
        <v>1.0319513091380297</v>
      </c>
      <c r="AA198" s="40">
        <f>VLOOKUP(B198,'Player Data'!$A1:$AE734,15,FALSE)*$Q198</f>
        <v>105.05205394063384</v>
      </c>
      <c r="AB198" s="40">
        <f>VLOOKUP(B198,'Player Data'!$A1:$AE734,16,FALSE)*$Q198</f>
        <v>142.4789150574247</v>
      </c>
      <c r="AC198" s="40">
        <f>VLOOKUP(B198,'Player Data'!$A1:$AE734,17,FALSE)*$Q198*IFERROR((VLOOKUP(P198,Settings!$E$28:$F$33,2,FALSE)+1),1)</f>
        <v>3.2428861282198458</v>
      </c>
      <c r="AD198" s="40">
        <f>VLOOKUP(B198,'Player Data'!$A1:$AE734,18,FALSE)*$Q198</f>
        <v>59.853952301823384</v>
      </c>
      <c r="AE198" s="40">
        <f>VLOOKUP(B198,'Player Data'!$A1:$AE734,19,FALSE)*$Q198*IFERROR((VLOOKUP(P198,Settings!$E$28:$F$33,2,FALSE)+1),1)</f>
        <v>2.1226595721440233</v>
      </c>
      <c r="AF198" s="40">
        <f>VLOOKUP(B198,'Player Data'!$A1:$AE734,20,FALSE)*$Q198</f>
        <v>0</v>
      </c>
      <c r="AG198" s="40">
        <f>VLOOKUP(B198,'Player Data'!$A1:$AE734,21,FALSE)*$Q198</f>
        <v>0</v>
      </c>
      <c r="AH198" s="41">
        <f>VLOOKUP(B198,'Player Data'!$A1:$AE734,22,FALSE)</f>
        <v>0</v>
      </c>
      <c r="AI198" s="38"/>
      <c r="AJ198" s="42"/>
      <c r="AK198" s="40"/>
      <c r="AL198" s="40"/>
      <c r="AM198" s="40"/>
      <c r="AN198" s="40"/>
      <c r="AO198" s="40"/>
      <c r="AP198" s="40"/>
      <c r="AQ198" s="43"/>
      <c r="AR198" s="44"/>
      <c r="AS198" s="38"/>
    </row>
    <row r="199" spans="1:45" ht="21.2" customHeight="1">
      <c r="A199" s="181">
        <f t="shared" si="18"/>
        <v>198</v>
      </c>
      <c r="B199" s="8" t="s">
        <v>260</v>
      </c>
      <c r="C199" s="31" t="s">
        <v>104</v>
      </c>
      <c r="D199" s="32" t="str">
        <f>VLOOKUP(B199,'Player Data'!A1:D734,4,FALSE)</f>
        <v>LW,RW</v>
      </c>
      <c r="E199" s="45">
        <f>VLOOKUP(B199,RW!A1:F189,3,FALSE)</f>
        <v>48</v>
      </c>
      <c r="F199" s="34" t="str">
        <f>VLOOKUP(B199,'Player Data'!A1:B734,2,FALSE)</f>
        <v>PIT</v>
      </c>
      <c r="G199" s="9">
        <f>VLOOKUP(B199,'Player Data'!A1:D734,3,FALSE)</f>
        <v>30</v>
      </c>
      <c r="H199" s="35">
        <f>IFERROR(VLOOKUP(B199,ADP!A1:G731,7,FALSE)/1000000,VLOOKUP(B199,ADP!A1:G731,7,FALSE))</f>
        <v>5</v>
      </c>
      <c r="I199" s="36">
        <f>IF(Settings!$E$15="POINTS",((R199*Q199)*Settings!$B$12)+(S199*Settings!$B$2)+(T199*Settings!$B$3)+(U199*Settings!$B$4)+(V199*Settings!$B$5)+(X199*Settings!$B$9)+(AA199*Settings!$B$6)+(W199*Settings!$B$8)+(AB199*Settings!$B$7)+(AC199*Settings!$B$14)+(AD199*Settings!$B$15)+(AE199*Settings!$B$16)+(AF199*Settings!$B$17)+(AG199*Settings!$B$18)+(Y199*Settings!$B$10)+(Z199*Settings!$B$11),VLOOKUP(B199,'Standard Deviations'!A1:C731,3,FALSE))</f>
        <v>4.0574487696802191</v>
      </c>
      <c r="J199" s="37">
        <f t="shared" si="19"/>
        <v>4.9481082557075839E-2</v>
      </c>
      <c r="K199" s="183">
        <f>IF(Settings!$E$18="C/LW/RW",VLOOKUP(B199,RW!A1:F189,6,FALSE),VLOOKUP(B199,F!A1:F431,6,FALSE))</f>
        <v>-2.2228099493308617</v>
      </c>
      <c r="L199" s="36">
        <f t="shared" si="20"/>
        <v>-0.44456198986617235</v>
      </c>
      <c r="M199" s="38">
        <f>IF(Settings!$E$9="YAHOO",VLOOKUP(B199,ADP!A1:E731,2,FALSE),IF(Settings!$E$9="ESPN",VLOOKUP(B199,ADP!A1:E731,3,FALSE),IF(Settings!$E$9="FANTRAX",VLOOKUP(B199,ADP!A1:E731,4,FALSE),VLOOKUP(B199,ADP!A1:E731,5,FALSE))))</f>
        <v>110.19</v>
      </c>
      <c r="N199" s="38">
        <f t="shared" si="21"/>
        <v>-87.81</v>
      </c>
      <c r="O199" s="38"/>
      <c r="P199" s="39" t="str">
        <f>IF(Settings!$E$27="ON",_xlfn.XLOOKUP(B199,ADP!A2:A731,ADP!H2:H731)," ")</f>
        <v xml:space="preserve"> </v>
      </c>
      <c r="Q199" s="40">
        <f>IF(Settings!$E$12="YES",VLOOKUP(B199,'Player Data'!A1:E734,5,FALSE),82)</f>
        <v>82</v>
      </c>
      <c r="R199" s="38">
        <f>VLOOKUP(B199,'Player Data'!$A1:$AE734,6,FALSE)</f>
        <v>18.099242398247</v>
      </c>
      <c r="S199" s="40">
        <f>VLOOKUP(B199,'Player Data'!$A1:$AE734,7,FALSE)*$Q199*IFERROR((VLOOKUP(P199,Settings!$E$28:$F$33,2,FALSE)+1),1)</f>
        <v>24.491258049137802</v>
      </c>
      <c r="T199" s="40">
        <f>VLOOKUP(B199,'Player Data'!$A1:$AE734,8,FALSE)*$Q199*IFERROR((VLOOKUP(P199,Settings!$E$28:$F$33,2,FALSE)+1),1)</f>
        <v>30.441269030476935</v>
      </c>
      <c r="U199" s="40">
        <f t="shared" si="22"/>
        <v>54.932527079614736</v>
      </c>
      <c r="V199" s="40">
        <f>VLOOKUP(B199,'Player Data'!$A1:$AE734,10,FALSE)*$Q199*IFERROR(((VLOOKUP(P199,Settings!$E$28:$F$33,2,FALSE)/2)+1),1)</f>
        <v>223.31525185799427</v>
      </c>
      <c r="W199" s="40">
        <f>VLOOKUP(B199,'Player Data'!$A1:$AE734,11,FALSE)*$Q199*IFERROR((VLOOKUP(P199,Settings!$E$28:$F$33,2,FALSE)+1),1)</f>
        <v>6.9306714426213807</v>
      </c>
      <c r="X199" s="40">
        <f>VLOOKUP(B199,'Player Data'!$A1:$AE734,12,FALSE)*$Q199*IFERROR((VLOOKUP(P199,Settings!$E$28:$F$33,2,FALSE)+1),1)</f>
        <v>14.435897391752629</v>
      </c>
      <c r="Y199" s="40">
        <f>VLOOKUP(B199,'Player Data'!$A1:$AE734,13,FALSE)*$Q199</f>
        <v>3.667032765123797E-3</v>
      </c>
      <c r="Z199" s="40">
        <f>VLOOKUP(B199,'Player Data'!$A1:$AE734,14,FALSE)*$Q199</f>
        <v>6.6078830511456599E-3</v>
      </c>
      <c r="AA199" s="40">
        <f>VLOOKUP(B199,'Player Data'!$A1:$AE734,15,FALSE)*$Q199</f>
        <v>49.13220821055608</v>
      </c>
      <c r="AB199" s="40">
        <f>VLOOKUP(B199,'Player Data'!$A1:$AE734,16,FALSE)*$Q199</f>
        <v>125.67358679274129</v>
      </c>
      <c r="AC199" s="40">
        <f>VLOOKUP(B199,'Player Data'!$A1:$AE734,17,FALSE)*$Q199*IFERROR((VLOOKUP(P199,Settings!$E$28:$F$33,2,FALSE)+1),1)</f>
        <v>3.994282834706087</v>
      </c>
      <c r="AD199" s="40">
        <f>VLOOKUP(B199,'Player Data'!$A1:$AE734,18,FALSE)*$Q199</f>
        <v>19.285584406683363</v>
      </c>
      <c r="AE199" s="40">
        <f>VLOOKUP(B199,'Player Data'!$A1:$AE734,19,FALSE)*$Q199*IFERROR((VLOOKUP(P199,Settings!$E$28:$F$33,2,FALSE)+1),1)</f>
        <v>3.9313373158611578</v>
      </c>
      <c r="AF199" s="40">
        <f>VLOOKUP(B199,'Player Data'!$A1:$AE734,20,FALSE)*$Q199</f>
        <v>13.559435031001975</v>
      </c>
      <c r="AG199" s="40">
        <f>VLOOKUP(B199,'Player Data'!$A1:$AE734,21,FALSE)*$Q199</f>
        <v>16.967866359933733</v>
      </c>
      <c r="AH199" s="41">
        <f>VLOOKUP(B199,'Player Data'!$A1:$AE734,22,FALSE)</f>
        <v>0.44417404792380799</v>
      </c>
      <c r="AI199" s="38"/>
      <c r="AJ199" s="40"/>
      <c r="AK199" s="40"/>
      <c r="AL199" s="40"/>
      <c r="AM199" s="40"/>
      <c r="AN199" s="40"/>
      <c r="AO199" s="40"/>
      <c r="AP199" s="40"/>
      <c r="AQ199" s="43"/>
      <c r="AR199" s="44"/>
      <c r="AS199" s="38"/>
    </row>
    <row r="200" spans="1:45" ht="21.2" customHeight="1">
      <c r="A200" s="181">
        <f t="shared" si="18"/>
        <v>199</v>
      </c>
      <c r="B200" s="8" t="s">
        <v>319</v>
      </c>
      <c r="C200" s="31" t="s">
        <v>104</v>
      </c>
      <c r="D200" s="32" t="str">
        <f>VLOOKUP(B200,'Player Data'!A1:D734,4,FALSE)</f>
        <v>LW,RW</v>
      </c>
      <c r="E200" s="45">
        <f>VLOOKUP(B200,RW!A1:F189,3,FALSE)</f>
        <v>49</v>
      </c>
      <c r="F200" s="34" t="str">
        <f>VLOOKUP(B200,'Player Data'!A1:B734,2,FALSE)</f>
        <v>TOR</v>
      </c>
      <c r="G200" s="9">
        <f>VLOOKUP(B200,'Player Data'!A1:D734,3,FALSE)</f>
        <v>28</v>
      </c>
      <c r="H200" s="35">
        <f>IFERROR(VLOOKUP(B200,ADP!A1:G731,7,FALSE)/1000000,VLOOKUP(B200,ADP!A1:G731,7,FALSE))</f>
        <v>5.5</v>
      </c>
      <c r="I200" s="36">
        <f>IF(Settings!$E$15="POINTS",((R200*Q200)*Settings!$B$12)+(S200*Settings!$B$2)+(T200*Settings!$B$3)+(U200*Settings!$B$4)+(V200*Settings!$B$5)+(X200*Settings!$B$9)+(AA200*Settings!$B$6)+(W200*Settings!$B$8)+(AB200*Settings!$B$7)+(AC200*Settings!$B$14)+(AD200*Settings!$B$15)+(AE200*Settings!$B$16)+(AF200*Settings!$B$17)+(AG200*Settings!$B$18)+(Y200*Settings!$B$10)+(Z200*Settings!$B$11),VLOOKUP(B200,'Standard Deviations'!A1:C731,3,FALSE))</f>
        <v>3.9996377274450081</v>
      </c>
      <c r="J200" s="37">
        <f t="shared" si="19"/>
        <v>4.8776069846890341E-2</v>
      </c>
      <c r="K200" s="183">
        <f>IF(Settings!$E$18="C/LW/RW",VLOOKUP(B200,RW!A1:F189,6,FALSE),VLOOKUP(B200,F!A1:F431,6,FALSE))</f>
        <v>-2.2806209915660727</v>
      </c>
      <c r="L200" s="36">
        <f t="shared" si="20"/>
        <v>-0.41465836210292228</v>
      </c>
      <c r="M200" s="38">
        <f>IF(Settings!$E$9="YAHOO",VLOOKUP(B200,ADP!A1:E731,2,FALSE),IF(Settings!$E$9="ESPN",VLOOKUP(B200,ADP!A1:E731,3,FALSE),IF(Settings!$E$9="FANTRAX",VLOOKUP(B200,ADP!A1:E731,4,FALSE),VLOOKUP(B200,ADP!A1:E731,5,FALSE))))</f>
        <v>135.4</v>
      </c>
      <c r="N200" s="38">
        <f t="shared" si="21"/>
        <v>-63.599999999999994</v>
      </c>
      <c r="O200" s="38"/>
      <c r="P200" s="39" t="str">
        <f>IF(Settings!$E$27="ON",_xlfn.XLOOKUP(B200,ADP!A2:A731,ADP!H2:H731)," ")</f>
        <v>+ + +</v>
      </c>
      <c r="Q200" s="40">
        <f>IF(Settings!$E$12="YES",VLOOKUP(B200,'Player Data'!A1:E734,5,FALSE),82)</f>
        <v>82</v>
      </c>
      <c r="R200" s="38">
        <f>VLOOKUP(B200,'Player Data'!$A1:$AE734,6,FALSE)</f>
        <v>15.7725961498048</v>
      </c>
      <c r="S200" s="40">
        <f>VLOOKUP(B200,'Player Data'!$A1:$AE734,7,FALSE)*$Q200*IFERROR((VLOOKUP(P200,Settings!$E$28:$F$33,2,FALSE)+1),1)</f>
        <v>23.745955339781897</v>
      </c>
      <c r="T200" s="40">
        <f>VLOOKUP(B200,'Player Data'!$A1:$AE734,8,FALSE)*$Q200*IFERROR((VLOOKUP(P200,Settings!$E$28:$F$33,2,FALSE)+1),1)</f>
        <v>36.106428796732096</v>
      </c>
      <c r="U200" s="40">
        <f t="shared" si="22"/>
        <v>59.85238413651399</v>
      </c>
      <c r="V200" s="40">
        <f>VLOOKUP(B200,'Player Data'!$A1:$AE734,10,FALSE)*$Q200*IFERROR(((VLOOKUP(P200,Settings!$E$28:$F$33,2,FALSE)/2)+1),1)</f>
        <v>192.66970196737091</v>
      </c>
      <c r="W200" s="40">
        <f>VLOOKUP(B200,'Player Data'!$A1:$AE734,11,FALSE)*$Q200*IFERROR((VLOOKUP(P200,Settings!$E$28:$F$33,2,FALSE)+1),1)</f>
        <v>5.651461363806864</v>
      </c>
      <c r="X200" s="40">
        <f>VLOOKUP(B200,'Player Data'!$A1:$AE734,12,FALSE)*$Q200*IFERROR((VLOOKUP(P200,Settings!$E$28:$F$33,2,FALSE)+1),1)</f>
        <v>13.435954843007593</v>
      </c>
      <c r="Y200" s="40">
        <f>VLOOKUP(B200,'Player Data'!$A1:$AE734,13,FALSE)*$Q200</f>
        <v>1.3448180472566721E-2</v>
      </c>
      <c r="Z200" s="40">
        <f>VLOOKUP(B200,'Player Data'!$A1:$AE734,14,FALSE)*$Q200</f>
        <v>2.6664304184477593E-2</v>
      </c>
      <c r="AA200" s="40">
        <f>VLOOKUP(B200,'Player Data'!$A1:$AE734,15,FALSE)*$Q200</f>
        <v>38.419298573136381</v>
      </c>
      <c r="AB200" s="40">
        <f>VLOOKUP(B200,'Player Data'!$A1:$AE734,16,FALSE)*$Q200</f>
        <v>81.959474256976037</v>
      </c>
      <c r="AC200" s="40">
        <f>VLOOKUP(B200,'Player Data'!$A1:$AE734,17,FALSE)*$Q200*IFERROR((VLOOKUP(P200,Settings!$E$28:$F$33,2,FALSE)+1),1)</f>
        <v>6.0857001708540102</v>
      </c>
      <c r="AD200" s="40">
        <f>VLOOKUP(B200,'Player Data'!$A1:$AE734,18,FALSE)*$Q200</f>
        <v>32.663739419342185</v>
      </c>
      <c r="AE200" s="40">
        <f>VLOOKUP(B200,'Player Data'!$A1:$AE734,19,FALSE)*$Q200*IFERROR((VLOOKUP(P200,Settings!$E$28:$F$33,2,FALSE)+1),1)</f>
        <v>3.8147814137567053</v>
      </c>
      <c r="AF200" s="40">
        <f>VLOOKUP(B200,'Player Data'!$A1:$AE734,20,FALSE)*$Q200</f>
        <v>6.6073119339673276</v>
      </c>
      <c r="AG200" s="40">
        <f>VLOOKUP(B200,'Player Data'!$A1:$AE734,21,FALSE)*$Q200</f>
        <v>18.546310181374409</v>
      </c>
      <c r="AH200" s="41">
        <f>VLOOKUP(B200,'Player Data'!$A1:$AE734,22,FALSE)</f>
        <v>0.26267834921227501</v>
      </c>
      <c r="AI200" s="38"/>
      <c r="AJ200" s="42"/>
      <c r="AK200" s="40"/>
      <c r="AL200" s="40"/>
      <c r="AM200" s="40"/>
      <c r="AN200" s="40"/>
      <c r="AO200" s="40"/>
      <c r="AP200" s="40"/>
      <c r="AQ200" s="43"/>
      <c r="AR200" s="44"/>
      <c r="AS200" s="38"/>
    </row>
    <row r="201" spans="1:45" ht="21.2" customHeight="1">
      <c r="A201" s="181">
        <f t="shared" si="18"/>
        <v>200</v>
      </c>
      <c r="B201" s="8" t="s">
        <v>286</v>
      </c>
      <c r="C201" s="31" t="s">
        <v>104</v>
      </c>
      <c r="D201" s="32" t="str">
        <f>VLOOKUP(B201,'Player Data'!A1:D734,4,FALSE)</f>
        <v>D</v>
      </c>
      <c r="E201" s="47">
        <f>VLOOKUP(B201,D!A1:C229,3,FALSE)</f>
        <v>52</v>
      </c>
      <c r="F201" s="34" t="str">
        <f>VLOOKUP(B201,'Player Data'!A1:B734,2,FALSE)</f>
        <v>CHI</v>
      </c>
      <c r="G201" s="9">
        <f>VLOOKUP(B201,'Player Data'!A1:D734,3,FALSE)</f>
        <v>19</v>
      </c>
      <c r="H201" s="35">
        <f>IFERROR(VLOOKUP(B201,ADP!A1:G731,7,FALSE)/1000000,VLOOKUP(B201,ADP!A1:G731,7,FALSE))</f>
        <v>0</v>
      </c>
      <c r="I201" s="36">
        <f>IF(Settings!$E$15="POINTS",((R201*Q201)*Settings!$B$12)+(S201*Settings!$B$2)+(T201*Settings!$B$3)+(U201*Settings!$B$4)+(V201*Settings!$B$5)+(X201*Settings!$B$9)+(AA201*Settings!$B$6)+(W201*Settings!$B$8)+(AB201*Settings!$B$7)+(AC201*Settings!$B$14)+(AD201*Settings!$B$15)+(AE201*Settings!$B$16)+(AF201*Settings!$B$17)+(AG201*Settings!$B$18)+(U201*Settings!$B$13)+(Y201*Settings!$B$10)+(Z201*Settings!$B$11),VLOOKUP(B201,'Standard Deviations'!A1:C731,3,FALSE))</f>
        <v>-0.35097407218419729</v>
      </c>
      <c r="J201" s="37">
        <f t="shared" si="19"/>
        <v>-4.2801716120024064E-3</v>
      </c>
      <c r="K201" s="183">
        <f>VLOOKUP(B201,D!A1:F229,6,FALSE)</f>
        <v>-2.2927146158185079</v>
      </c>
      <c r="L201" s="49" t="str">
        <f t="shared" si="20"/>
        <v>N/A</v>
      </c>
      <c r="M201" s="52" t="str">
        <f>IF(Settings!$E$9="YAHOO",VLOOKUP(B201,ADP!A1:E731,2,FALSE),IF(Settings!$E$9="ESPN",VLOOKUP(B201,ADP!A1:E731,3,FALSE),IF(Settings!$E$9="FANTRAX",VLOOKUP(B201,ADP!A1:E731,4,FALSE),VLOOKUP(B201,ADP!A1:E731,5,FALSE))))</f>
        <v>-</v>
      </c>
      <c r="N201" s="52" t="str">
        <f t="shared" si="21"/>
        <v>N/A</v>
      </c>
      <c r="O201" s="38"/>
      <c r="P201" s="39" t="str">
        <f>IF(Settings!$E$27="ON",_xlfn.XLOOKUP(B201,ADP!A2:A731,ADP!H2:H731)," ")</f>
        <v>-</v>
      </c>
      <c r="Q201" s="40">
        <f>IF(Settings!$E$12="YES",VLOOKUP(B201,'Player Data'!A1:E734,5,FALSE),82)</f>
        <v>82</v>
      </c>
      <c r="R201" s="38">
        <f>VLOOKUP(B201,'Player Data'!$A1:$AE734,6,FALSE)</f>
        <v>20</v>
      </c>
      <c r="S201" s="40">
        <f>VLOOKUP(B201,'Player Data'!$A1:$AE734,7,FALSE)*$Q201*IFERROR((VLOOKUP(P201,Settings!$E$28:$F$33,2,FALSE)+1),1)</f>
        <v>7.0942346832702796</v>
      </c>
      <c r="T201" s="40">
        <f>VLOOKUP(B201,'Player Data'!$A1:$AE734,8,FALSE)*$Q201*IFERROR((VLOOKUP(P201,Settings!$E$28:$F$33,2,FALSE)+1),1)</f>
        <v>31.081477625998083</v>
      </c>
      <c r="U201" s="40">
        <f t="shared" si="22"/>
        <v>38.175712309268363</v>
      </c>
      <c r="V201" s="40">
        <f>VLOOKUP(B201,'Player Data'!$A1:$AE734,10,FALSE)*$Q201*IFERROR(((VLOOKUP(P201,Settings!$E$28:$F$33,2,FALSE)/2)+1),1)</f>
        <v>135.94997317581996</v>
      </c>
      <c r="W201" s="40">
        <f>VLOOKUP(B201,'Player Data'!$A1:$AE734,11,FALSE)*$Q201*IFERROR((VLOOKUP(P201,Settings!$E$28:$F$33,2,FALSE)+1),1)</f>
        <v>1.6019170458435603</v>
      </c>
      <c r="X201" s="40">
        <f>VLOOKUP(B201,'Player Data'!$A1:$AE734,12,FALSE)*$Q201*IFERROR((VLOOKUP(P201,Settings!$E$28:$F$33,2,FALSE)+1),1)</f>
        <v>8.6202849237073327</v>
      </c>
      <c r="Y201" s="40">
        <f>VLOOKUP(B201,'Player Data'!$A1:$AE734,13,FALSE)*$Q201</f>
        <v>0</v>
      </c>
      <c r="Z201" s="40">
        <f>VLOOKUP(B201,'Player Data'!$A1:$AE734,14,FALSE)*$Q201</f>
        <v>0</v>
      </c>
      <c r="AA201" s="40">
        <f>VLOOKUP(B201,'Player Data'!$A1:$AE734,15,FALSE)*$Q201</f>
        <v>106.00000000000014</v>
      </c>
      <c r="AB201" s="40">
        <f>VLOOKUP(B201,'Player Data'!$A1:$AE734,16,FALSE)*$Q201</f>
        <v>103.69999999999973</v>
      </c>
      <c r="AC201" s="40">
        <f>VLOOKUP(B201,'Player Data'!$A1:$AE734,17,FALSE)*$Q201*IFERROR((VLOOKUP(P201,Settings!$E$28:$F$33,2,FALSE)+1),1)</f>
        <v>0.76949999999999963</v>
      </c>
      <c r="AD201" s="40">
        <f>VLOOKUP(B201,'Player Data'!$A1:$AE734,18,FALSE)*$Q201</f>
        <v>35.500000000000028</v>
      </c>
      <c r="AE201" s="40">
        <f>VLOOKUP(B201,'Player Data'!$A1:$AE734,19,FALSE)*$Q201*IFERROR((VLOOKUP(P201,Settings!$E$28:$F$33,2,FALSE)+1),1)</f>
        <v>0.8313134300972348</v>
      </c>
      <c r="AF201" s="40">
        <f>VLOOKUP(B201,'Player Data'!$A1:$AE734,20,FALSE)*$Q201</f>
        <v>0</v>
      </c>
      <c r="AG201" s="40">
        <f>VLOOKUP(B201,'Player Data'!$A1:$AE734,21,FALSE)*$Q201</f>
        <v>0</v>
      </c>
      <c r="AH201" s="41">
        <f>VLOOKUP(B201,'Player Data'!$A1:$AE734,22,FALSE)</f>
        <v>0</v>
      </c>
      <c r="AI201" s="38"/>
      <c r="AJ201" s="42"/>
      <c r="AK201" s="40"/>
      <c r="AL201" s="40"/>
      <c r="AM201" s="40"/>
      <c r="AN201" s="40"/>
      <c r="AO201" s="40"/>
      <c r="AP201" s="40"/>
      <c r="AQ201" s="43"/>
      <c r="AR201" s="44"/>
      <c r="AS201" s="38"/>
    </row>
    <row r="202" spans="1:45" ht="21.2" customHeight="1">
      <c r="A202" s="181">
        <f t="shared" si="18"/>
        <v>201</v>
      </c>
      <c r="B202" s="8" t="s">
        <v>339</v>
      </c>
      <c r="C202" s="31" t="s">
        <v>104</v>
      </c>
      <c r="D202" s="32" t="str">
        <f>VLOOKUP(B202,'Player Data'!A1:D734,4,FALSE)</f>
        <v>D</v>
      </c>
      <c r="E202" s="47">
        <f>VLOOKUP(B202,D!A1:C229,3,FALSE)</f>
        <v>53</v>
      </c>
      <c r="F202" s="34" t="str">
        <f>VLOOKUP(B202,'Player Data'!A1:B734,2,FALSE)</f>
        <v>ANA</v>
      </c>
      <c r="G202" s="9">
        <f>VLOOKUP(B202,'Player Data'!A1:D734,3,FALSE)</f>
        <v>19</v>
      </c>
      <c r="H202" s="35">
        <f>IFERROR(VLOOKUP(B202,ADP!A1:G731,7,FALSE)/1000000,VLOOKUP(B202,ADP!A1:G731,7,FALSE))</f>
        <v>0.91833299999999995</v>
      </c>
      <c r="I202" s="36">
        <f>IF(Settings!$E$15="POINTS",((R202*Q202)*Settings!$B$12)+(S202*Settings!$B$2)+(T202*Settings!$B$3)+(U202*Settings!$B$4)+(V202*Settings!$B$5)+(X202*Settings!$B$9)+(AA202*Settings!$B$6)+(W202*Settings!$B$8)+(AB202*Settings!$B$7)+(AC202*Settings!$B$14)+(AD202*Settings!$B$15)+(AE202*Settings!$B$16)+(AF202*Settings!$B$17)+(AG202*Settings!$B$18)+(U202*Settings!$B$13)+(Y202*Settings!$B$10)+(Z202*Settings!$B$11),VLOOKUP(B202,'Standard Deviations'!A1:C731,3,FALSE))</f>
        <v>-0.35114908602908396</v>
      </c>
      <c r="J202" s="37">
        <f t="shared" si="19"/>
        <v>-4.2823059271839504E-3</v>
      </c>
      <c r="K202" s="183">
        <f>VLOOKUP(B202,D!A1:F229,6,FALSE)</f>
        <v>-2.2928896296633945</v>
      </c>
      <c r="L202" s="36">
        <f t="shared" si="20"/>
        <v>-2.4967954213377879</v>
      </c>
      <c r="M202" s="52" t="str">
        <f>IF(Settings!$E$9="YAHOO",VLOOKUP(B202,ADP!A1:E731,2,FALSE),IF(Settings!$E$9="ESPN",VLOOKUP(B202,ADP!A1:E731,3,FALSE),IF(Settings!$E$9="FANTRAX",VLOOKUP(B202,ADP!A1:E731,4,FALSE),VLOOKUP(B202,ADP!A1:E731,5,FALSE))))</f>
        <v>-</v>
      </c>
      <c r="N202" s="52" t="str">
        <f t="shared" si="21"/>
        <v>N/A</v>
      </c>
      <c r="O202" s="38"/>
      <c r="P202" s="39" t="str">
        <f>IF(Settings!$E$27="ON",_xlfn.XLOOKUP(B202,ADP!A2:A731,ADP!H2:H731)," ")</f>
        <v xml:space="preserve"> </v>
      </c>
      <c r="Q202" s="40">
        <f>IF(Settings!$E$12="YES",VLOOKUP(B202,'Player Data'!A1:E734,5,FALSE),82)</f>
        <v>82</v>
      </c>
      <c r="R202" s="38">
        <f>VLOOKUP(B202,'Player Data'!$A1:$AE734,6,FALSE)</f>
        <v>19</v>
      </c>
      <c r="S202" s="40">
        <f>VLOOKUP(B202,'Player Data'!$A1:$AE734,7,FALSE)*$Q202*IFERROR((VLOOKUP(P202,Settings!$E$28:$F$33,2,FALSE)+1),1)</f>
        <v>8.5907997170830601</v>
      </c>
      <c r="T202" s="40">
        <f>VLOOKUP(B202,'Player Data'!$A1:$AE734,8,FALSE)*$Q202*IFERROR((VLOOKUP(P202,Settings!$E$28:$F$33,2,FALSE)+1),1)</f>
        <v>28.045769000929166</v>
      </c>
      <c r="U202" s="40">
        <f t="shared" si="22"/>
        <v>36.636568718012228</v>
      </c>
      <c r="V202" s="40">
        <f>VLOOKUP(B202,'Player Data'!$A1:$AE734,10,FALSE)*$Q202*IFERROR(((VLOOKUP(P202,Settings!$E$28:$F$33,2,FALSE)/2)+1),1)</f>
        <v>150.33075725570583</v>
      </c>
      <c r="W202" s="40">
        <f>VLOOKUP(B202,'Player Data'!$A1:$AE734,11,FALSE)*$Q202*IFERROR((VLOOKUP(P202,Settings!$E$28:$F$33,2,FALSE)+1),1)</f>
        <v>1.7949107668242372</v>
      </c>
      <c r="X202" s="40">
        <f>VLOOKUP(B202,'Player Data'!$A1:$AE734,12,FALSE)*$Q202*IFERROR((VLOOKUP(P202,Settings!$E$28:$F$33,2,FALSE)+1),1)</f>
        <v>7.6546274872049223</v>
      </c>
      <c r="Y202" s="40">
        <f>VLOOKUP(B202,'Player Data'!$A1:$AE734,13,FALSE)*$Q202</f>
        <v>0</v>
      </c>
      <c r="Z202" s="40">
        <f>VLOOKUP(B202,'Player Data'!$A1:$AE734,14,FALSE)*$Q202</f>
        <v>0</v>
      </c>
      <c r="AA202" s="40">
        <f>VLOOKUP(B202,'Player Data'!$A1:$AE734,15,FALSE)*$Q202</f>
        <v>102.09999999999982</v>
      </c>
      <c r="AB202" s="40">
        <f>VLOOKUP(B202,'Player Data'!$A1:$AE734,16,FALSE)*$Q202</f>
        <v>102.38400000000013</v>
      </c>
      <c r="AC202" s="40">
        <f>VLOOKUP(B202,'Player Data'!$A1:$AE734,17,FALSE)*$Q202*IFERROR((VLOOKUP(P202,Settings!$E$28:$F$33,2,FALSE)+1),1)</f>
        <v>0.64999999999999969</v>
      </c>
      <c r="AD202" s="40">
        <f>VLOOKUP(B202,'Player Data'!$A1:$AE734,18,FALSE)*$Q202</f>
        <v>34.559999999999974</v>
      </c>
      <c r="AE202" s="40">
        <f>VLOOKUP(B202,'Player Data'!$A1:$AE734,19,FALSE)*$Q202*IFERROR((VLOOKUP(P202,Settings!$E$28:$F$33,2,FALSE)+1),1)</f>
        <v>0.82354005378775919</v>
      </c>
      <c r="AF202" s="40">
        <f>VLOOKUP(B202,'Player Data'!$A1:$AE734,20,FALSE)*$Q202</f>
        <v>0</v>
      </c>
      <c r="AG202" s="40">
        <f>VLOOKUP(B202,'Player Data'!$A1:$AE734,21,FALSE)*$Q202</f>
        <v>0</v>
      </c>
      <c r="AH202" s="41">
        <f>VLOOKUP(B202,'Player Data'!$A1:$AE734,22,FALSE)</f>
        <v>0</v>
      </c>
      <c r="AI202" s="38"/>
      <c r="AJ202" s="42"/>
      <c r="AK202" s="40"/>
      <c r="AL202" s="40"/>
      <c r="AM202" s="40"/>
      <c r="AN202" s="40"/>
      <c r="AO202" s="40"/>
      <c r="AP202" s="40"/>
      <c r="AQ202" s="43"/>
      <c r="AR202" s="44"/>
      <c r="AS202" s="38"/>
    </row>
    <row r="203" spans="1:45" ht="21.2" customHeight="1">
      <c r="A203" s="181">
        <f t="shared" si="18"/>
        <v>202</v>
      </c>
      <c r="B203" s="8" t="s">
        <v>321</v>
      </c>
      <c r="C203" s="31" t="s">
        <v>104</v>
      </c>
      <c r="D203" s="32" t="str">
        <f>VLOOKUP(B203,'Player Data'!A1:D734,4,FALSE)</f>
        <v>D</v>
      </c>
      <c r="E203" s="47">
        <f>VLOOKUP(B203,D!A1:C229,3,FALSE)</f>
        <v>54</v>
      </c>
      <c r="F203" s="34" t="str">
        <f>VLOOKUP(B203,'Player Data'!A1:B734,2,FALSE)</f>
        <v>PHI</v>
      </c>
      <c r="G203" s="9">
        <f>VLOOKUP(B203,'Player Data'!A1:D734,3,FALSE)</f>
        <v>22</v>
      </c>
      <c r="H203" s="35">
        <f>IFERROR(VLOOKUP(B203,ADP!A1:G731,7,FALSE)/1000000,VLOOKUP(B203,ADP!A1:G731,7,FALSE))</f>
        <v>1.6</v>
      </c>
      <c r="I203" s="36">
        <f>IF(Settings!$E$15="POINTS",((R203*Q203)*Settings!$B$12)+(S203*Settings!$B$2)+(T203*Settings!$B$3)+(U203*Settings!$B$4)+(V203*Settings!$B$5)+(X203*Settings!$B$9)+(AA203*Settings!$B$6)+(W203*Settings!$B$8)+(AB203*Settings!$B$7)+(AC203*Settings!$B$14)+(AD203*Settings!$B$15)+(AE203*Settings!$B$16)+(AF203*Settings!$B$17)+(AG203*Settings!$B$18)+(U203*Settings!$B$13)+(Y203*Settings!$B$10)+(Z203*Settings!$B$11),VLOOKUP(B203,'Standard Deviations'!A1:C731,3,FALSE))</f>
        <v>-0.43327725227316627</v>
      </c>
      <c r="J203" s="37">
        <f t="shared" si="19"/>
        <v>-5.2838689301605646E-3</v>
      </c>
      <c r="K203" s="183">
        <f>VLOOKUP(B203,D!A1:F229,6,FALSE)</f>
        <v>-2.375017795907477</v>
      </c>
      <c r="L203" s="36">
        <f t="shared" si="20"/>
        <v>-1.4843861224421731</v>
      </c>
      <c r="M203" s="38">
        <f>IF(Settings!$E$9="YAHOO",VLOOKUP(B203,ADP!A1:E731,2,FALSE),IF(Settings!$E$9="ESPN",VLOOKUP(B203,ADP!A1:E731,3,FALSE),IF(Settings!$E$9="FANTRAX",VLOOKUP(B203,ADP!A1:E731,4,FALSE),VLOOKUP(B203,ADP!A1:E731,5,FALSE))))</f>
        <v>217.91</v>
      </c>
      <c r="N203" s="38">
        <f t="shared" si="21"/>
        <v>15.909999999999997</v>
      </c>
      <c r="O203" s="38"/>
      <c r="P203" s="39" t="str">
        <f>IF(Settings!$E$27="ON",_xlfn.XLOOKUP(B203,ADP!A2:A731,ADP!H2:H731)," ")</f>
        <v>+</v>
      </c>
      <c r="Q203" s="40">
        <f>IF(Settings!$E$12="YES",VLOOKUP(B203,'Player Data'!A1:E734,5,FALSE),82)</f>
        <v>82</v>
      </c>
      <c r="R203" s="38">
        <f>VLOOKUP(B203,'Player Data'!$A1:$AE734,6,FALSE)</f>
        <v>21.6064706247023</v>
      </c>
      <c r="S203" s="40">
        <f>VLOOKUP(B203,'Player Data'!$A1:$AE734,7,FALSE)*$Q203*IFERROR((VLOOKUP(P203,Settings!$E$28:$F$33,2,FALSE)+1),1)</f>
        <v>6.7093393355998057</v>
      </c>
      <c r="T203" s="40">
        <f>VLOOKUP(B203,'Player Data'!$A1:$AE734,8,FALSE)*$Q203*IFERROR((VLOOKUP(P203,Settings!$E$28:$F$33,2,FALSE)+1),1)</f>
        <v>33.029767331021958</v>
      </c>
      <c r="U203" s="40">
        <f t="shared" si="22"/>
        <v>39.739106666621765</v>
      </c>
      <c r="V203" s="40">
        <f>VLOOKUP(B203,'Player Data'!$A1:$AE734,10,FALSE)*$Q203*IFERROR(((VLOOKUP(P203,Settings!$E$28:$F$33,2,FALSE)/2)+1),1)</f>
        <v>97.340887822550528</v>
      </c>
      <c r="W203" s="40">
        <f>VLOOKUP(B203,'Player Data'!$A1:$AE734,11,FALSE)*$Q203*IFERROR((VLOOKUP(P203,Settings!$E$28:$F$33,2,FALSE)+1),1)</f>
        <v>1.7084685963797324</v>
      </c>
      <c r="X203" s="40">
        <f>VLOOKUP(B203,'Player Data'!$A1:$AE734,12,FALSE)*$Q203*IFERROR((VLOOKUP(P203,Settings!$E$28:$F$33,2,FALSE)+1),1)</f>
        <v>12.534368163984947</v>
      </c>
      <c r="Y203" s="40">
        <f>VLOOKUP(B203,'Player Data'!$A1:$AE734,13,FALSE)*$Q203</f>
        <v>1.7953111224667907E-2</v>
      </c>
      <c r="Z203" s="40">
        <f>VLOOKUP(B203,'Player Data'!$A1:$AE734,14,FALSE)*$Q203</f>
        <v>0.28832446368619669</v>
      </c>
      <c r="AA203" s="40">
        <f>VLOOKUP(B203,'Player Data'!$A1:$AE734,15,FALSE)*$Q203</f>
        <v>114.30358102146698</v>
      </c>
      <c r="AB203" s="40">
        <f>VLOOKUP(B203,'Player Data'!$A1:$AE734,16,FALSE)*$Q203</f>
        <v>88.225146423062085</v>
      </c>
      <c r="AC203" s="40">
        <f>VLOOKUP(B203,'Player Data'!$A1:$AE734,17,FALSE)*$Q203*IFERROR((VLOOKUP(P203,Settings!$E$28:$F$33,2,FALSE)+1),1)</f>
        <v>-5.1181430726301951</v>
      </c>
      <c r="AD203" s="40">
        <f>VLOOKUP(B203,'Player Data'!$A1:$AE734,18,FALSE)*$Q203</f>
        <v>31.211660938188405</v>
      </c>
      <c r="AE203" s="40">
        <f>VLOOKUP(B203,'Player Data'!$A1:$AE734,19,FALSE)*$Q203*IFERROR((VLOOKUP(P203,Settings!$E$28:$F$33,2,FALSE)+1),1)</f>
        <v>0.78865360230114712</v>
      </c>
      <c r="AF203" s="40">
        <f>VLOOKUP(B203,'Player Data'!$A1:$AE734,20,FALSE)*$Q203</f>
        <v>0</v>
      </c>
      <c r="AG203" s="40">
        <f>VLOOKUP(B203,'Player Data'!$A1:$AE734,21,FALSE)*$Q203</f>
        <v>0</v>
      </c>
      <c r="AH203" s="41">
        <f>VLOOKUP(B203,'Player Data'!$A1:$AE734,22,FALSE)</f>
        <v>0</v>
      </c>
      <c r="AI203" s="38"/>
      <c r="AJ203" s="42"/>
      <c r="AK203" s="40"/>
      <c r="AL203" s="40"/>
      <c r="AM203" s="40"/>
      <c r="AN203" s="40"/>
      <c r="AO203" s="40"/>
      <c r="AP203" s="40"/>
      <c r="AQ203" s="43"/>
      <c r="AR203" s="44"/>
      <c r="AS203" s="38"/>
    </row>
    <row r="204" spans="1:45" ht="21.2" customHeight="1">
      <c r="A204" s="181">
        <f t="shared" si="18"/>
        <v>203</v>
      </c>
      <c r="B204" s="8" t="s">
        <v>679</v>
      </c>
      <c r="C204" s="31" t="s">
        <v>104</v>
      </c>
      <c r="D204" s="32" t="str">
        <f>VLOOKUP(B204,'Player Data'!A1:D734,4,FALSE)</f>
        <v>G</v>
      </c>
      <c r="E204" s="50">
        <f>VLOOKUP(B204,G!A1:D75,3,FALSE)</f>
        <v>42</v>
      </c>
      <c r="F204" s="34" t="str">
        <f>VLOOKUP(B204,'Player Data'!A1:B734,2,FALSE)</f>
        <v>MIN</v>
      </c>
      <c r="G204" s="9">
        <f>VLOOKUP(B204,'Player Data'!A1:D734,3,FALSE)</f>
        <v>38</v>
      </c>
      <c r="H204" s="35">
        <f>IFERROR(VLOOKUP(B204,ADP!A1:G731,7,FALSE)/1000000,VLOOKUP(B204,ADP!A1:G731,7,FALSE))</f>
        <v>3.5</v>
      </c>
      <c r="I204" s="36">
        <f>IF(Settings!$E$15="POINTS",(AJ204*Settings!$B$29)+(AK204*Settings!$B$21)+(AL204*Settings!$B$22)+(AN204*Settings!$B$24)+(AO204*Settings!$B$25)+(AP204*Settings!$B$27)+(AM204*Settings!$B$23),VLOOKUP(B204,'Standard Deviations'!A1:C731,3,FALSE))</f>
        <v>-0.67493291754254936</v>
      </c>
      <c r="J204" s="37">
        <f t="shared" si="19"/>
        <v>-2.4104747055091049E-2</v>
      </c>
      <c r="K204" s="183">
        <f>VLOOKUP(B204,G!A1:F75,6,FALSE)</f>
        <v>-2.3791619687328409</v>
      </c>
      <c r="L204" s="36">
        <f t="shared" si="20"/>
        <v>-0.67976056249509742</v>
      </c>
      <c r="M204" s="38">
        <f>IF(Settings!$E$9="YAHOO",VLOOKUP(B204,ADP!A1:E731,2,FALSE),IF(Settings!$E$9="ESPN",VLOOKUP(B204,ADP!A1:E731,3,FALSE),IF(Settings!$E$9="FANTRAX",VLOOKUP(B204,ADP!A1:E731,4,FALSE),VLOOKUP(B204,ADP!A1:E731,5,FALSE))))</f>
        <v>222.5</v>
      </c>
      <c r="N204" s="38">
        <f t="shared" si="21"/>
        <v>19.5</v>
      </c>
      <c r="O204" s="38"/>
      <c r="P204" s="39" t="str">
        <f>IF(Settings!$E$27="ON",_xlfn.XLOOKUP(B204,ADP!A2:A731,ADP!H2:H731)," ")</f>
        <v xml:space="preserve"> </v>
      </c>
      <c r="Q204" s="40"/>
      <c r="R204" s="51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1"/>
      <c r="AI204" s="38"/>
      <c r="AJ204" s="42">
        <f>VLOOKUP(B204,'Player Data'!$A1:$AE734,24,FALSE)</f>
        <v>28</v>
      </c>
      <c r="AK204" s="40">
        <f>VLOOKUP(B204,'Player Data'!$A1:$AE734,25,FALSE)*$AJ204*IFERROR((VLOOKUP(P204,Settings!$E$28:$F$33,2,FALSE)+1),1)</f>
        <v>14.38064227916708</v>
      </c>
      <c r="AL204" s="40">
        <f>AJ204-AK204-AM204</f>
        <v>10.11935772083292</v>
      </c>
      <c r="AM204" s="40">
        <f>VLOOKUP(B204,'Player Data'!$A1:$AE734,27,FALSE)*$AJ204</f>
        <v>3.5</v>
      </c>
      <c r="AN204" s="40">
        <f>VLOOKUP(B204,'Player Data'!$A1:$AE734,28,FALSE)*AJ204</f>
        <v>1.0408294986719084</v>
      </c>
      <c r="AO204" s="40">
        <f>VLOOKUP(B204,'Player Data'!$A1:$AE734,29,FALSE)*$AJ204*IFERROR((VLOOKUP(P204,Settings!$E$28:$F$33,2,FALSE)/4)+1,1)</f>
        <v>811.53873853405639</v>
      </c>
      <c r="AP204" s="40">
        <f>VLOOKUP(B204,'Player Data'!$A1:$AE734,31,FALSE)*$AJ204*(IFERROR(1-(VLOOKUP(P204,Settings!$E$28:$F$33,2,FALSE)/4),1))</f>
        <v>85.622650540943596</v>
      </c>
      <c r="AQ204" s="43">
        <f>1-(AP204/(AO204+AP204))</f>
        <v>0.90456271125396615</v>
      </c>
      <c r="AR204" s="44">
        <f>AP204/AJ204</f>
        <v>3.0579518050336998</v>
      </c>
      <c r="AS204" s="38"/>
    </row>
    <row r="205" spans="1:45" ht="21.2" customHeight="1">
      <c r="A205" s="181">
        <f t="shared" si="18"/>
        <v>204</v>
      </c>
      <c r="B205" s="8" t="s">
        <v>653</v>
      </c>
      <c r="C205" s="31" t="s">
        <v>104</v>
      </c>
      <c r="D205" s="32" t="str">
        <f>VLOOKUP(B205,'Player Data'!A1:D734,4,FALSE)</f>
        <v>G</v>
      </c>
      <c r="E205" s="50">
        <f>VLOOKUP(B205,G!A1:D75,3,FALSE)</f>
        <v>43</v>
      </c>
      <c r="F205" s="34" t="str">
        <f>VLOOKUP(B205,'Player Data'!A1:B734,2,FALSE)</f>
        <v>MTL</v>
      </c>
      <c r="G205" s="9">
        <f>VLOOKUP(B205,'Player Data'!A1:D734,3,FALSE)</f>
        <v>26</v>
      </c>
      <c r="H205" s="35">
        <f>IFERROR(VLOOKUP(B205,ADP!A1:G731,7,FALSE)/1000000,VLOOKUP(B205,ADP!A1:G731,7,FALSE))</f>
        <v>1</v>
      </c>
      <c r="I205" s="36">
        <f>IF(Settings!$E$15="POINTS",(AJ205*Settings!$B$29)+(AK205*Settings!$B$21)+(AL205*Settings!$B$22)+(AN205*Settings!$B$24)+(AO205*Settings!$B$25)+(AP205*Settings!$B$27)+(AM205*Settings!$B$23),VLOOKUP(B205,'Standard Deviations'!A1:C731,3,FALSE))</f>
        <v>-0.73746056706204621</v>
      </c>
      <c r="J205" s="37">
        <f t="shared" si="19"/>
        <v>-2.3045642720688944E-2</v>
      </c>
      <c r="K205" s="183">
        <f>VLOOKUP(B205,G!A1:F75,6,FALSE)</f>
        <v>-2.4416896182523375</v>
      </c>
      <c r="L205" s="36">
        <f t="shared" si="20"/>
        <v>-2.4416896182523375</v>
      </c>
      <c r="M205" s="38">
        <f>IF(Settings!$E$9="YAHOO",VLOOKUP(B205,ADP!A1:E731,2,FALSE),IF(Settings!$E$9="ESPN",VLOOKUP(B205,ADP!A1:E731,3,FALSE),IF(Settings!$E$9="FANTRAX",VLOOKUP(B205,ADP!A1:E731,4,FALSE),VLOOKUP(B205,ADP!A1:E731,5,FALSE))))</f>
        <v>248.54</v>
      </c>
      <c r="N205" s="38">
        <f t="shared" si="21"/>
        <v>44.539999999999992</v>
      </c>
      <c r="O205" s="38"/>
      <c r="P205" s="39" t="str">
        <f>IF(Settings!$E$27="ON",_xlfn.XLOOKUP(B205,ADP!A2:A731,ADP!H2:H731)," ")</f>
        <v xml:space="preserve"> </v>
      </c>
      <c r="Q205" s="40"/>
      <c r="R205" s="51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1"/>
      <c r="AI205" s="38"/>
      <c r="AJ205" s="42">
        <f>VLOOKUP(B205,'Player Data'!$A1:$AE734,24,FALSE)</f>
        <v>32</v>
      </c>
      <c r="AK205" s="40">
        <f>VLOOKUP(B205,'Player Data'!$A1:$AE734,25,FALSE)*$AJ205*IFERROR((VLOOKUP(P205,Settings!$E$28:$F$33,2,FALSE)+1),1)</f>
        <v>11.730018749703872</v>
      </c>
      <c r="AL205" s="40">
        <f>AJ205-AK205-AM205</f>
        <v>16.269981250296127</v>
      </c>
      <c r="AM205" s="40">
        <f>VLOOKUP(B205,'Player Data'!$A1:$AE734,27,FALSE)*$AJ205</f>
        <v>4</v>
      </c>
      <c r="AN205" s="40">
        <f>VLOOKUP(B205,'Player Data'!$A1:$AE734,28,FALSE)*AJ205</f>
        <v>1.2940552120415361</v>
      </c>
      <c r="AO205" s="40">
        <f>VLOOKUP(B205,'Player Data'!$A1:$AE734,29,FALSE)*$AJ205*IFERROR((VLOOKUP(P205,Settings!$E$28:$F$33,2,FALSE)/4)+1,1)</f>
        <v>913.39659507593603</v>
      </c>
      <c r="AP205" s="40">
        <f>VLOOKUP(B205,'Player Data'!$A1:$AE734,31,FALSE)*$AJ205*(IFERROR(1-(VLOOKUP(P205,Settings!$E$28:$F$33,2,FALSE)/4),1))</f>
        <v>96.486188324063676</v>
      </c>
      <c r="AQ205" s="43">
        <f>1-(AP205/(AO205+AP205))</f>
        <v>0.90445803224883092</v>
      </c>
      <c r="AR205" s="44">
        <f>AP205/AJ205</f>
        <v>3.0151933851269899</v>
      </c>
      <c r="AS205" s="42"/>
    </row>
    <row r="206" spans="1:45" ht="21.2" customHeight="1">
      <c r="A206" s="181">
        <f t="shared" si="18"/>
        <v>205</v>
      </c>
      <c r="B206" s="8" t="s">
        <v>298</v>
      </c>
      <c r="C206" s="31" t="s">
        <v>104</v>
      </c>
      <c r="D206" s="32" t="str">
        <f>VLOOKUP(B206,'Player Data'!A1:D734,4,FALSE)</f>
        <v>D</v>
      </c>
      <c r="E206" s="47">
        <f>VLOOKUP(B206,D!A1:C229,3,FALSE)</f>
        <v>55</v>
      </c>
      <c r="F206" s="34" t="str">
        <f>VLOOKUP(B206,'Player Data'!A1:B734,2,FALSE)</f>
        <v>ANA</v>
      </c>
      <c r="G206" s="9">
        <f>VLOOKUP(B206,'Player Data'!A1:D734,3,FALSE)</f>
        <v>21</v>
      </c>
      <c r="H206" s="35">
        <f>IFERROR(VLOOKUP(B206,ADP!A1:G731,7,FALSE)/1000000,VLOOKUP(B206,ADP!A1:G731,7,FALSE))</f>
        <v>0</v>
      </c>
      <c r="I206" s="36">
        <f>IF(Settings!$E$15="POINTS",((R206*Q206)*Settings!$B$12)+(S206*Settings!$B$2)+(T206*Settings!$B$3)+(U206*Settings!$B$4)+(V206*Settings!$B$5)+(X206*Settings!$B$9)+(AA206*Settings!$B$6)+(W206*Settings!$B$8)+(AB206*Settings!$B$7)+(AC206*Settings!$B$14)+(AD206*Settings!$B$15)+(AE206*Settings!$B$16)+(AF206*Settings!$B$17)+(AG206*Settings!$B$18)+(U206*Settings!$B$13)+(Y206*Settings!$B$10)+(Z206*Settings!$B$11),VLOOKUP(B206,'Standard Deviations'!A1:C731,3,FALSE))</f>
        <v>-0.54112535854356902</v>
      </c>
      <c r="J206" s="37">
        <f t="shared" si="19"/>
        <v>-6.599089738336208E-3</v>
      </c>
      <c r="K206" s="183">
        <f>VLOOKUP(B206,D!A1:F229,6,FALSE)</f>
        <v>-2.4828659021778798</v>
      </c>
      <c r="L206" s="49" t="str">
        <f t="shared" si="20"/>
        <v>N/A</v>
      </c>
      <c r="M206" s="38">
        <f>IF(Settings!$E$9="YAHOO",VLOOKUP(B206,ADP!A1:E731,2,FALSE),IF(Settings!$E$9="ESPN",VLOOKUP(B206,ADP!A1:E731,3,FALSE),IF(Settings!$E$9="FANTRAX",VLOOKUP(B206,ADP!A1:E731,4,FALSE),VLOOKUP(B206,ADP!A1:E731,5,FALSE))))</f>
        <v>220.36</v>
      </c>
      <c r="N206" s="38">
        <f t="shared" si="21"/>
        <v>15.360000000000014</v>
      </c>
      <c r="O206" s="38"/>
      <c r="P206" s="39" t="str">
        <f>IF(Settings!$E$27="ON",_xlfn.XLOOKUP(B206,ADP!A2:A731,ADP!H2:H731)," ")</f>
        <v>+</v>
      </c>
      <c r="Q206" s="40">
        <f>IF(Settings!$E$12="YES",VLOOKUP(B206,'Player Data'!A1:E734,5,FALSE),82)</f>
        <v>82</v>
      </c>
      <c r="R206" s="38">
        <f>VLOOKUP(B206,'Player Data'!$A1:$AE734,6,FALSE)</f>
        <v>21.8423006121808</v>
      </c>
      <c r="S206" s="40">
        <f>VLOOKUP(B206,'Player Data'!$A1:$AE734,7,FALSE)*$Q206*IFERROR((VLOOKUP(P206,Settings!$E$28:$F$33,2,FALSE)+1),1)</f>
        <v>6.2983727984272342</v>
      </c>
      <c r="T206" s="40">
        <f>VLOOKUP(B206,'Player Data'!$A1:$AE734,8,FALSE)*$Q206*IFERROR((VLOOKUP(P206,Settings!$E$28:$F$33,2,FALSE)+1),1)</f>
        <v>28.538715593440486</v>
      </c>
      <c r="U206" s="40">
        <f t="shared" ref="U206:U215" si="23">SUM(S206:T206)</f>
        <v>34.837088391867724</v>
      </c>
      <c r="V206" s="40">
        <f>VLOOKUP(B206,'Player Data'!$A1:$AE734,10,FALSE)*$Q206*IFERROR(((VLOOKUP(P206,Settings!$E$28:$F$33,2,FALSE)/2)+1),1)</f>
        <v>137.93306123940411</v>
      </c>
      <c r="W206" s="40">
        <f>VLOOKUP(B206,'Player Data'!$A1:$AE734,11,FALSE)*$Q206*IFERROR((VLOOKUP(P206,Settings!$E$28:$F$33,2,FALSE)+1),1)</f>
        <v>0.50176954139114682</v>
      </c>
      <c r="X206" s="40">
        <f>VLOOKUP(B206,'Player Data'!$A1:$AE734,12,FALSE)*$Q206*IFERROR((VLOOKUP(P206,Settings!$E$28:$F$33,2,FALSE)+1),1)</f>
        <v>10.462634847026855</v>
      </c>
      <c r="Y206" s="40">
        <f>VLOOKUP(B206,'Player Data'!$A1:$AE734,13,FALSE)*$Q206</f>
        <v>0.14465444977930231</v>
      </c>
      <c r="Z206" s="40">
        <f>VLOOKUP(B206,'Player Data'!$A1:$AE734,14,FALSE)*$Q206</f>
        <v>0.6583473635690964</v>
      </c>
      <c r="AA206" s="40">
        <f>VLOOKUP(B206,'Player Data'!$A1:$AE734,15,FALSE)*$Q206</f>
        <v>108.93999396458486</v>
      </c>
      <c r="AB206" s="40">
        <f>VLOOKUP(B206,'Player Data'!$A1:$AE734,16,FALSE)*$Q206</f>
        <v>87.133007605401616</v>
      </c>
      <c r="AC206" s="40">
        <f>VLOOKUP(B206,'Player Data'!$A1:$AE734,17,FALSE)*$Q206*IFERROR((VLOOKUP(P206,Settings!$E$28:$F$33,2,FALSE)+1),1)</f>
        <v>-10.151296043615593</v>
      </c>
      <c r="AD206" s="40">
        <f>VLOOKUP(B206,'Player Data'!$A1:$AE734,18,FALSE)*$Q206</f>
        <v>27.080545795790005</v>
      </c>
      <c r="AE206" s="40">
        <f>VLOOKUP(B206,'Player Data'!$A1:$AE734,19,FALSE)*$Q206*IFERROR((VLOOKUP(P206,Settings!$E$28:$F$33,2,FALSE)+1),1)</f>
        <v>0.60378107324254338</v>
      </c>
      <c r="AF206" s="40">
        <f>VLOOKUP(B206,'Player Data'!$A1:$AE734,20,FALSE)*$Q206</f>
        <v>0</v>
      </c>
      <c r="AG206" s="40">
        <f>VLOOKUP(B206,'Player Data'!$A1:$AE734,21,FALSE)*$Q206</f>
        <v>0</v>
      </c>
      <c r="AH206" s="41">
        <f>VLOOKUP(B206,'Player Data'!$A1:$AE734,22,FALSE)</f>
        <v>0</v>
      </c>
      <c r="AI206" s="38"/>
      <c r="AJ206" s="42"/>
      <c r="AK206" s="40"/>
      <c r="AL206" s="40"/>
      <c r="AM206" s="40"/>
      <c r="AN206" s="40"/>
      <c r="AO206" s="40"/>
      <c r="AP206" s="40"/>
      <c r="AQ206" s="43"/>
      <c r="AR206" s="44"/>
      <c r="AS206" s="38"/>
    </row>
    <row r="207" spans="1:45" ht="21.2" customHeight="1">
      <c r="A207" s="181">
        <f t="shared" si="18"/>
        <v>206</v>
      </c>
      <c r="B207" s="8" t="s">
        <v>274</v>
      </c>
      <c r="C207" s="31" t="s">
        <v>104</v>
      </c>
      <c r="D207" s="32" t="str">
        <f>VLOOKUP(B207,'Player Data'!A1:D734,4,FALSE)</f>
        <v>D</v>
      </c>
      <c r="E207" s="47">
        <f>VLOOKUP(B207,D!A1:C229,3,FALSE)</f>
        <v>56</v>
      </c>
      <c r="F207" s="34" t="str">
        <f>VLOOKUP(B207,'Player Data'!A1:B734,2,FALSE)</f>
        <v>OTT</v>
      </c>
      <c r="G207" s="9">
        <f>VLOOKUP(B207,'Player Data'!A1:D734,3,FALSE)</f>
        <v>21</v>
      </c>
      <c r="H207" s="35">
        <f>IFERROR(VLOOKUP(B207,ADP!A1:G731,7,FALSE)/1000000,VLOOKUP(B207,ADP!A1:G731,7,FALSE))</f>
        <v>0.92500000000000004</v>
      </c>
      <c r="I207" s="36">
        <f>IF(Settings!$E$15="POINTS",((R207*Q207)*Settings!$B$12)+(S207*Settings!$B$2)+(T207*Settings!$B$3)+(U207*Settings!$B$4)+(V207*Settings!$B$5)+(X207*Settings!$B$9)+(AA207*Settings!$B$6)+(W207*Settings!$B$8)+(AB207*Settings!$B$7)+(AC207*Settings!$B$14)+(AD207*Settings!$B$15)+(AE207*Settings!$B$16)+(AF207*Settings!$B$17)+(AG207*Settings!$B$18)+(U207*Settings!$B$13)+(Y207*Settings!$B$10)+(Z207*Settings!$B$11),VLOOKUP(B207,'Standard Deviations'!A1:C731,3,FALSE))</f>
        <v>-0.54638343972319769</v>
      </c>
      <c r="J207" s="37">
        <f t="shared" si="19"/>
        <v>-6.6632126795511913E-3</v>
      </c>
      <c r="K207" s="183">
        <f>VLOOKUP(B207,D!A1:F229,6,FALSE)</f>
        <v>-2.4881239833575082</v>
      </c>
      <c r="L207" s="36">
        <f t="shared" si="20"/>
        <v>-2.6898637657919005</v>
      </c>
      <c r="M207" s="38">
        <f>IF(Settings!$E$9="YAHOO",VLOOKUP(B207,ADP!A1:E731,2,FALSE),IF(Settings!$E$9="ESPN",VLOOKUP(B207,ADP!A1:E731,3,FALSE),IF(Settings!$E$9="FANTRAX",VLOOKUP(B207,ADP!A1:E731,4,FALSE),VLOOKUP(B207,ADP!A1:E731,5,FALSE))))</f>
        <v>192.13</v>
      </c>
      <c r="N207" s="38">
        <f t="shared" si="21"/>
        <v>-13.870000000000005</v>
      </c>
      <c r="O207" s="38"/>
      <c r="P207" s="39" t="str">
        <f>IF(Settings!$E$27="ON",_xlfn.XLOOKUP(B207,ADP!A2:A731,ADP!H2:H731)," ")</f>
        <v xml:space="preserve"> </v>
      </c>
      <c r="Q207" s="40">
        <f>IF(Settings!$E$12="YES",VLOOKUP(B207,'Player Data'!A1:E734,5,FALSE),82)</f>
        <v>82</v>
      </c>
      <c r="R207" s="38">
        <f>VLOOKUP(B207,'Player Data'!$A1:$AE734,6,FALSE)</f>
        <v>21.968369312902801</v>
      </c>
      <c r="S207" s="40">
        <f>VLOOKUP(B207,'Player Data'!$A1:$AE734,7,FALSE)*$Q207*IFERROR((VLOOKUP(P207,Settings!$E$28:$F$33,2,FALSE)+1),1)</f>
        <v>5.2233040411543179</v>
      </c>
      <c r="T207" s="40">
        <f>VLOOKUP(B207,'Player Data'!$A1:$AE734,8,FALSE)*$Q207*IFERROR((VLOOKUP(P207,Settings!$E$28:$F$33,2,FALSE)+1),1)</f>
        <v>28.476345826903501</v>
      </c>
      <c r="U207" s="40">
        <f t="shared" si="23"/>
        <v>33.699649868057818</v>
      </c>
      <c r="V207" s="40">
        <f>VLOOKUP(B207,'Player Data'!$A1:$AE734,10,FALSE)*$Q207*IFERROR(((VLOOKUP(P207,Settings!$E$28:$F$33,2,FALSE)/2)+1),1)</f>
        <v>138.56485876484805</v>
      </c>
      <c r="W207" s="40">
        <f>VLOOKUP(B207,'Player Data'!$A1:$AE734,11,FALSE)*$Q207*IFERROR((VLOOKUP(P207,Settings!$E$28:$F$33,2,FALSE)+1),1)</f>
        <v>1.6606237259152909</v>
      </c>
      <c r="X207" s="40">
        <f>VLOOKUP(B207,'Player Data'!$A1:$AE734,12,FALSE)*$Q207*IFERROR((VLOOKUP(P207,Settings!$E$28:$F$33,2,FALSE)+1),1)</f>
        <v>11.878423417978375</v>
      </c>
      <c r="Y207" s="40">
        <f>VLOOKUP(B207,'Player Data'!$A1:$AE734,13,FALSE)*$Q207</f>
        <v>8.9202040005220043E-2</v>
      </c>
      <c r="Z207" s="40">
        <f>VLOOKUP(B207,'Player Data'!$A1:$AE734,14,FALSE)*$Q207</f>
        <v>0.60125101330983799</v>
      </c>
      <c r="AA207" s="40">
        <f>VLOOKUP(B207,'Player Data'!$A1:$AE734,15,FALSE)*$Q207</f>
        <v>155.22206473996391</v>
      </c>
      <c r="AB207" s="40">
        <f>VLOOKUP(B207,'Player Data'!$A1:$AE734,16,FALSE)*$Q207</f>
        <v>71.351775486222891</v>
      </c>
      <c r="AC207" s="40">
        <f>VLOOKUP(B207,'Player Data'!$A1:$AE734,17,FALSE)*$Q207*IFERROR((VLOOKUP(P207,Settings!$E$28:$F$33,2,FALSE)+1),1)</f>
        <v>0.22472607721505433</v>
      </c>
      <c r="AD207" s="40">
        <f>VLOOKUP(B207,'Player Data'!$A1:$AE734,18,FALSE)*$Q207</f>
        <v>20.911021073166371</v>
      </c>
      <c r="AE207" s="40">
        <f>VLOOKUP(B207,'Player Data'!$A1:$AE734,19,FALSE)*$Q207*IFERROR((VLOOKUP(P207,Settings!$E$28:$F$33,2,FALSE)+1),1)</f>
        <v>0.78551132170736093</v>
      </c>
      <c r="AF207" s="40">
        <f>VLOOKUP(B207,'Player Data'!$A1:$AE734,20,FALSE)*$Q207</f>
        <v>0</v>
      </c>
      <c r="AG207" s="40">
        <f>VLOOKUP(B207,'Player Data'!$A1:$AE734,21,FALSE)*$Q207</f>
        <v>0</v>
      </c>
      <c r="AH207" s="41">
        <f>VLOOKUP(B207,'Player Data'!$A1:$AE734,22,FALSE)</f>
        <v>0</v>
      </c>
      <c r="AI207" s="38"/>
      <c r="AJ207" s="42"/>
      <c r="AK207" s="40"/>
      <c r="AL207" s="40"/>
      <c r="AM207" s="40"/>
      <c r="AN207" s="40"/>
      <c r="AO207" s="40"/>
      <c r="AP207" s="40"/>
      <c r="AQ207" s="43"/>
      <c r="AR207" s="44"/>
      <c r="AS207" s="38"/>
    </row>
    <row r="208" spans="1:45" ht="21.2" customHeight="1">
      <c r="A208" s="181">
        <f t="shared" si="18"/>
        <v>207</v>
      </c>
      <c r="B208" s="8" t="s">
        <v>271</v>
      </c>
      <c r="C208" s="31" t="s">
        <v>104</v>
      </c>
      <c r="D208" s="32" t="str">
        <f>VLOOKUP(B208,'Player Data'!A1:D734,4,FALSE)</f>
        <v>C,LW</v>
      </c>
      <c r="E208" s="45">
        <f>VLOOKUP(B208,LW!A1:C227,3,FALSE)</f>
        <v>54</v>
      </c>
      <c r="F208" s="34" t="str">
        <f>VLOOKUP(B208,'Player Data'!A1:B734,2,FALSE)</f>
        <v>ANA</v>
      </c>
      <c r="G208" s="9">
        <f>VLOOKUP(B208,'Player Data'!A1:D734,3,FALSE)</f>
        <v>20</v>
      </c>
      <c r="H208" s="35">
        <f>IFERROR(VLOOKUP(B208,ADP!A1:G731,7,FALSE)/1000000,VLOOKUP(B208,ADP!A1:G731,7,FALSE))</f>
        <v>0.89416700000000005</v>
      </c>
      <c r="I208" s="36">
        <f>IF(Settings!$E$15="POINTS",((R208*Q208)*Settings!$B$12)+(S208*Settings!$B$2)+(T208*Settings!$B$3)+(U208*Settings!$B$4)+(V208*Settings!$B$5)+(X208*Settings!$B$9)+(AA208*Settings!$B$6)+(W208*Settings!$B$8)+(AB208*Settings!$B$7)+(AC208*Settings!$B$14)+(AD208*Settings!$B$15)+(AE208*Settings!$B$16)+(AF208*Settings!$B$17)+(AG208*Settings!$B$18)+(Y208*Settings!$B$10)+(Z208*Settings!$B$11),VLOOKUP(B208,'Standard Deviations'!A1:C731,3,FALSE))</f>
        <v>4.1500178457372492</v>
      </c>
      <c r="J208" s="37">
        <f t="shared" si="19"/>
        <v>5.0609973728503038E-2</v>
      </c>
      <c r="K208" s="183">
        <f>IF(Settings!$E$18="C/LW/RW",VLOOKUP(B208,LW!A1:F227,6,FALSE),VLOOKUP(B208,F!A1:F431,6,FALSE))</f>
        <v>-2.504651198387152</v>
      </c>
      <c r="L208" s="36">
        <f t="shared" si="20"/>
        <v>-2.8011000164255133</v>
      </c>
      <c r="M208" s="38">
        <f>IF(Settings!$E$9="YAHOO",VLOOKUP(B208,ADP!A1:E731,2,FALSE),IF(Settings!$E$9="ESPN",VLOOKUP(B208,ADP!A1:E731,3,FALSE),IF(Settings!$E$9="FANTRAX",VLOOKUP(B208,ADP!A1:E731,4,FALSE),VLOOKUP(B208,ADP!A1:E731,5,FALSE))))</f>
        <v>223.35</v>
      </c>
      <c r="N208" s="38">
        <f t="shared" si="21"/>
        <v>16.349999999999994</v>
      </c>
      <c r="O208" s="38"/>
      <c r="P208" s="39" t="str">
        <f>IF(Settings!$E$27="ON",_xlfn.XLOOKUP(B208,ADP!A2:A731,ADP!H2:H731)," ")</f>
        <v xml:space="preserve"> </v>
      </c>
      <c r="Q208" s="40">
        <f>IF(Settings!$E$12="YES",VLOOKUP(B208,'Player Data'!A1:E734,5,FALSE),82)</f>
        <v>82</v>
      </c>
      <c r="R208" s="38">
        <f>VLOOKUP(B208,'Player Data'!$A1:$AE734,6,FALSE)</f>
        <v>17.5049250837484</v>
      </c>
      <c r="S208" s="40">
        <f>VLOOKUP(B208,'Player Data'!$A1:$AE734,7,FALSE)*$Q208*IFERROR((VLOOKUP(P208,Settings!$E$28:$F$33,2,FALSE)+1),1)</f>
        <v>23.701169803474507</v>
      </c>
      <c r="T208" s="40">
        <f>VLOOKUP(B208,'Player Data'!$A1:$AE734,8,FALSE)*$Q208*IFERROR((VLOOKUP(P208,Settings!$E$28:$F$33,2,FALSE)+1),1)</f>
        <v>33.607510917050668</v>
      </c>
      <c r="U208" s="40">
        <f t="shared" si="23"/>
        <v>57.308680720525174</v>
      </c>
      <c r="V208" s="40">
        <f>VLOOKUP(B208,'Player Data'!$A1:$AE734,10,FALSE)*$Q208*IFERROR(((VLOOKUP(P208,Settings!$E$28:$F$33,2,FALSE)/2)+1),1)</f>
        <v>186.672903042831</v>
      </c>
      <c r="W208" s="40">
        <f>VLOOKUP(B208,'Player Data'!$A1:$AE734,11,FALSE)*$Q208*IFERROR((VLOOKUP(P208,Settings!$E$28:$F$33,2,FALSE)+1),1)</f>
        <v>8.7760046025172844</v>
      </c>
      <c r="X208" s="40">
        <f>VLOOKUP(B208,'Player Data'!$A1:$AE734,12,FALSE)*$Q208*IFERROR((VLOOKUP(P208,Settings!$E$28:$F$33,2,FALSE)+1),1)</f>
        <v>18.913638455727337</v>
      </c>
      <c r="Y208" s="40">
        <f>VLOOKUP(B208,'Player Data'!$A1:$AE734,13,FALSE)*$Q208</f>
        <v>2.5369721252726081E-2</v>
      </c>
      <c r="Z208" s="40">
        <f>VLOOKUP(B208,'Player Data'!$A1:$AE734,14,FALSE)*$Q208</f>
        <v>5.2369042427574189E-2</v>
      </c>
      <c r="AA208" s="40">
        <f>VLOOKUP(B208,'Player Data'!$A1:$AE734,15,FALSE)*$Q208</f>
        <v>41.651787213768301</v>
      </c>
      <c r="AB208" s="40">
        <f>VLOOKUP(B208,'Player Data'!$A1:$AE734,16,FALSE)*$Q208</f>
        <v>65.186336594747175</v>
      </c>
      <c r="AC208" s="40">
        <f>VLOOKUP(B208,'Player Data'!$A1:$AE734,17,FALSE)*$Q208*IFERROR((VLOOKUP(P208,Settings!$E$28:$F$33,2,FALSE)+1),1)</f>
        <v>-9.5055943268550767</v>
      </c>
      <c r="AD208" s="40">
        <f>VLOOKUP(B208,'Player Data'!$A1:$AE734,18,FALSE)*$Q208</f>
        <v>45.683411184892869</v>
      </c>
      <c r="AE208" s="40">
        <f>VLOOKUP(B208,'Player Data'!$A1:$AE734,19,FALSE)*$Q208*IFERROR((VLOOKUP(P208,Settings!$E$28:$F$33,2,FALSE)+1),1)</f>
        <v>2.2720658492331589</v>
      </c>
      <c r="AF208" s="40">
        <f>VLOOKUP(B208,'Player Data'!$A1:$AE734,20,FALSE)*$Q208</f>
        <v>326.30535619573175</v>
      </c>
      <c r="AG208" s="40">
        <f>VLOOKUP(B208,'Player Data'!$A1:$AE734,21,FALSE)*$Q208</f>
        <v>505.56625925955632</v>
      </c>
      <c r="AH208" s="41">
        <f>VLOOKUP(B208,'Player Data'!$A1:$AE734,22,FALSE)</f>
        <v>0.392254465873491</v>
      </c>
      <c r="AI208" s="38"/>
      <c r="AJ208" s="42"/>
      <c r="AK208" s="40"/>
      <c r="AL208" s="40"/>
      <c r="AM208" s="40"/>
      <c r="AN208" s="40"/>
      <c r="AO208" s="40"/>
      <c r="AP208" s="40"/>
      <c r="AQ208" s="43"/>
      <c r="AR208" s="44"/>
      <c r="AS208" s="38"/>
    </row>
    <row r="209" spans="1:45" ht="21.2" customHeight="1">
      <c r="A209" s="181">
        <f t="shared" si="18"/>
        <v>208</v>
      </c>
      <c r="B209" s="8" t="s">
        <v>283</v>
      </c>
      <c r="C209" s="31" t="s">
        <v>104</v>
      </c>
      <c r="D209" s="32" t="str">
        <f>VLOOKUP(B209,'Player Data'!A1:D734,4,FALSE)</f>
        <v>C</v>
      </c>
      <c r="E209" s="33">
        <f>VLOOKUP(B209,'C'!A1:C208,3,FALSE)</f>
        <v>51</v>
      </c>
      <c r="F209" s="34" t="str">
        <f>VLOOKUP(B209,'Player Data'!A1:B734,2,FALSE)</f>
        <v>VGK</v>
      </c>
      <c r="G209" s="9">
        <f>VLOOKUP(B209,'Player Data'!A1:D734,3,FALSE)</f>
        <v>29</v>
      </c>
      <c r="H209" s="35">
        <f>IFERROR(VLOOKUP(B209,ADP!A1:G731,7,FALSE)/1000000,VLOOKUP(B209,ADP!A1:G731,7,FALSE))</f>
        <v>2.75</v>
      </c>
      <c r="I209" s="36">
        <f>IF(Settings!$E$15="POINTS",((R209*Q209)*Settings!$B$12)+(S209*Settings!$B$2)+(T209*Settings!$B$3)+(U209*Settings!$B$4)+(V209*Settings!$B$5)+(X209*Settings!$B$9)+(AA209*Settings!$B$6)+(W209*Settings!$B$8)+(AB209*Settings!$B$7)+(AC209*Settings!$B$14)+(AD209*Settings!$B$15)+(AE209*Settings!$B$16)+(AF209*Settings!$B$17)+(AG209*Settings!$B$18)+(Y209*Settings!$B$10)+(Z209*Settings!$B$11),VLOOKUP(B209,'Standard Deviations'!A1:C731,3,FALSE))</f>
        <v>3.8165359357510233</v>
      </c>
      <c r="J209" s="37">
        <f t="shared" si="19"/>
        <v>4.6543121167695406E-2</v>
      </c>
      <c r="K209" s="183">
        <f>IF(Settings!$E$18="C/LW/RW",VLOOKUP(B209,'C'!A1:F208,6,FALSE),VLOOKUP(B209,F!A1:F431,6,FALSE))</f>
        <v>-2.5205147884555794</v>
      </c>
      <c r="L209" s="36">
        <f t="shared" si="20"/>
        <v>-0.91655083216566524</v>
      </c>
      <c r="M209" s="38">
        <f>IF(Settings!$E$9="YAHOO",VLOOKUP(B209,ADP!A1:E731,2,FALSE),IF(Settings!$E$9="ESPN",VLOOKUP(B209,ADP!A1:E731,3,FALSE),IF(Settings!$E$9="FANTRAX",VLOOKUP(B209,ADP!A1:E731,4,FALSE),VLOOKUP(B209,ADP!A1:E731,5,FALSE))))</f>
        <v>184.94</v>
      </c>
      <c r="N209" s="38">
        <f t="shared" si="21"/>
        <v>-23.060000000000002</v>
      </c>
      <c r="O209" s="38"/>
      <c r="P209" s="39" t="str">
        <f>IF(Settings!$E$27="ON",_xlfn.XLOOKUP(B209,ADP!A2:A731,ADP!H2:H731)," ")</f>
        <v xml:space="preserve"> </v>
      </c>
      <c r="Q209" s="40">
        <f>IF(Settings!$E$12="YES",VLOOKUP(B209,'Player Data'!A1:E734,5,FALSE),82)</f>
        <v>82</v>
      </c>
      <c r="R209" s="38">
        <f>VLOOKUP(B209,'Player Data'!$A1:$AE734,6,FALSE)</f>
        <v>19.2897864609211</v>
      </c>
      <c r="S209" s="40">
        <f>VLOOKUP(B209,'Player Data'!$A1:$AE734,7,FALSE)*$Q209*IFERROR((VLOOKUP(P209,Settings!$E$28:$F$33,2,FALSE)+1),1)</f>
        <v>19.980884888042311</v>
      </c>
      <c r="T209" s="40">
        <f>VLOOKUP(B209,'Player Data'!$A1:$AE734,8,FALSE)*$Q209*IFERROR((VLOOKUP(P209,Settings!$E$28:$F$33,2,FALSE)+1),1)</f>
        <v>45.633130262163135</v>
      </c>
      <c r="U209" s="40">
        <f t="shared" si="23"/>
        <v>65.614015150205447</v>
      </c>
      <c r="V209" s="40">
        <f>VLOOKUP(B209,'Player Data'!$A1:$AE734,10,FALSE)*$Q209*IFERROR(((VLOOKUP(P209,Settings!$E$28:$F$33,2,FALSE)/2)+1),1)</f>
        <v>136.2602755919246</v>
      </c>
      <c r="W209" s="40">
        <f>VLOOKUP(B209,'Player Data'!$A1:$AE734,11,FALSE)*$Q209*IFERROR((VLOOKUP(P209,Settings!$E$28:$F$33,2,FALSE)+1),1)</f>
        <v>5.7934724944244609</v>
      </c>
      <c r="X209" s="40">
        <f>VLOOKUP(B209,'Player Data'!$A1:$AE734,12,FALSE)*$Q209*IFERROR((VLOOKUP(P209,Settings!$E$28:$F$33,2,FALSE)+1),1)</f>
        <v>15.221677184983131</v>
      </c>
      <c r="Y209" s="40">
        <f>VLOOKUP(B209,'Player Data'!$A1:$AE734,13,FALSE)*$Q209</f>
        <v>1.111924104452477</v>
      </c>
      <c r="Z209" s="40">
        <f>VLOOKUP(B209,'Player Data'!$A1:$AE734,14,FALSE)*$Q209</f>
        <v>2.7424654162993285</v>
      </c>
      <c r="AA209" s="40">
        <f>VLOOKUP(B209,'Player Data'!$A1:$AE734,15,FALSE)*$Q209</f>
        <v>52.383745916625571</v>
      </c>
      <c r="AB209" s="40">
        <f>VLOOKUP(B209,'Player Data'!$A1:$AE734,16,FALSE)*$Q209</f>
        <v>74.883105105050888</v>
      </c>
      <c r="AC209" s="40">
        <f>VLOOKUP(B209,'Player Data'!$A1:$AE734,17,FALSE)*$Q209*IFERROR((VLOOKUP(P209,Settings!$E$28:$F$33,2,FALSE)+1),1)</f>
        <v>6.6449087081290941</v>
      </c>
      <c r="AD209" s="40">
        <f>VLOOKUP(B209,'Player Data'!$A1:$AE734,18,FALSE)*$Q209</f>
        <v>25.359304680679397</v>
      </c>
      <c r="AE209" s="40">
        <f>VLOOKUP(B209,'Player Data'!$A1:$AE734,19,FALSE)*$Q209*IFERROR((VLOOKUP(P209,Settings!$E$28:$F$33,2,FALSE)+1),1)</f>
        <v>3.2654217643132122</v>
      </c>
      <c r="AF209" s="40">
        <f>VLOOKUP(B209,'Player Data'!$A1:$AE734,20,FALSE)*$Q209</f>
        <v>664.23239209728945</v>
      </c>
      <c r="AG209" s="40">
        <f>VLOOKUP(B209,'Player Data'!$A1:$AE734,21,FALSE)*$Q209</f>
        <v>553.34331748103773</v>
      </c>
      <c r="AH209" s="41">
        <f>VLOOKUP(B209,'Player Data'!$A1:$AE734,22,FALSE)</f>
        <v>0.54553682935028902</v>
      </c>
      <c r="AI209" s="38"/>
      <c r="AJ209" s="42"/>
      <c r="AK209" s="40"/>
      <c r="AL209" s="40"/>
      <c r="AM209" s="40"/>
      <c r="AN209" s="40"/>
      <c r="AO209" s="40"/>
      <c r="AP209" s="40"/>
      <c r="AQ209" s="43"/>
      <c r="AR209" s="44"/>
      <c r="AS209" s="38"/>
    </row>
    <row r="210" spans="1:45" ht="21.2" customHeight="1">
      <c r="A210" s="181">
        <f t="shared" si="18"/>
        <v>209</v>
      </c>
      <c r="B210" s="8" t="s">
        <v>254</v>
      </c>
      <c r="C210" s="31" t="s">
        <v>104</v>
      </c>
      <c r="D210" s="32" t="str">
        <f>VLOOKUP(B210,'Player Data'!A1:D734,4,FALSE)</f>
        <v>C,RW</v>
      </c>
      <c r="E210" s="45">
        <f>VLOOKUP(B210,RW!A1:F189,3,FALSE)</f>
        <v>50</v>
      </c>
      <c r="F210" s="34" t="str">
        <f>VLOOKUP(B210,'Player Data'!A1:B734,2,FALSE)</f>
        <v>NJD</v>
      </c>
      <c r="G210" s="9">
        <f>VLOOKUP(B210,'Player Data'!A1:D734,3,FALSE)</f>
        <v>21</v>
      </c>
      <c r="H210" s="35">
        <f>IFERROR(VLOOKUP(B210,ADP!A1:G731,7,FALSE)/1000000,VLOOKUP(B210,ADP!A1:G731,7,FALSE))</f>
        <v>0.89416700000000005</v>
      </c>
      <c r="I210" s="36">
        <f>IF(Settings!$E$15="POINTS",((R210*Q210)*Settings!$B$12)+(S210*Settings!$B$2)+(T210*Settings!$B$3)+(U210*Settings!$B$4)+(V210*Settings!$B$5)+(X210*Settings!$B$9)+(AA210*Settings!$B$6)+(W210*Settings!$B$8)+(AB210*Settings!$B$7)+(AC210*Settings!$B$14)+(AD210*Settings!$B$15)+(AE210*Settings!$B$16)+(AF210*Settings!$B$17)+(AG210*Settings!$B$18)+(Y210*Settings!$B$10)+(Z210*Settings!$B$11),VLOOKUP(B210,'Standard Deviations'!A1:C731,3,FALSE))</f>
        <v>3.7326427499068129</v>
      </c>
      <c r="J210" s="37">
        <f t="shared" si="19"/>
        <v>4.5520033535448937E-2</v>
      </c>
      <c r="K210" s="183">
        <f>IF(Settings!$E$18="C/LW/RW",VLOOKUP(B210,RW!A1:F189,6,FALSE),VLOOKUP(B210,F!A1:F431,6,FALSE))</f>
        <v>-2.5476159691042679</v>
      </c>
      <c r="L210" s="36">
        <f t="shared" si="20"/>
        <v>-2.8491500682806095</v>
      </c>
      <c r="M210" s="38">
        <f>IF(Settings!$E$9="YAHOO",VLOOKUP(B210,ADP!A1:E731,2,FALSE),IF(Settings!$E$9="ESPN",VLOOKUP(B210,ADP!A1:E731,3,FALSE),IF(Settings!$E$9="FANTRAX",VLOOKUP(B210,ADP!A1:E731,4,FALSE),VLOOKUP(B210,ADP!A1:E731,5,FALSE))))</f>
        <v>159.97</v>
      </c>
      <c r="N210" s="38">
        <f t="shared" si="21"/>
        <v>-49.03</v>
      </c>
      <c r="O210" s="38"/>
      <c r="P210" s="39" t="str">
        <f>IF(Settings!$E$27="ON",_xlfn.XLOOKUP(B210,ADP!A2:A731,ADP!H2:H731)," ")</f>
        <v>+ +</v>
      </c>
      <c r="Q210" s="40">
        <f>IF(Settings!$E$12="YES",VLOOKUP(B210,'Player Data'!A1:E734,5,FALSE),82)</f>
        <v>82</v>
      </c>
      <c r="R210" s="38">
        <f>VLOOKUP(B210,'Player Data'!$A1:$AE734,6,FALSE)</f>
        <v>17.3815855810243</v>
      </c>
      <c r="S210" s="40">
        <f>VLOOKUP(B210,'Player Data'!$A1:$AE734,7,FALSE)*$Q210*IFERROR((VLOOKUP(P210,Settings!$E$28:$F$33,2,FALSE)+1),1)</f>
        <v>27.531108397363269</v>
      </c>
      <c r="T210" s="40">
        <f>VLOOKUP(B210,'Player Data'!$A1:$AE734,8,FALSE)*$Q210*IFERROR((VLOOKUP(P210,Settings!$E$28:$F$33,2,FALSE)+1),1)</f>
        <v>34.234578933645132</v>
      </c>
      <c r="U210" s="40">
        <f t="shared" si="23"/>
        <v>61.765687331008401</v>
      </c>
      <c r="V210" s="40">
        <f>VLOOKUP(B210,'Player Data'!$A1:$AE734,10,FALSE)*$Q210*IFERROR(((VLOOKUP(P210,Settings!$E$28:$F$33,2,FALSE)/2)+1),1)</f>
        <v>176.16017091094653</v>
      </c>
      <c r="W210" s="40">
        <f>VLOOKUP(B210,'Player Data'!$A1:$AE734,11,FALSE)*$Q210*IFERROR((VLOOKUP(P210,Settings!$E$28:$F$33,2,FALSE)+1),1)</f>
        <v>3.0412040010069732</v>
      </c>
      <c r="X210" s="40">
        <f>VLOOKUP(B210,'Player Data'!$A1:$AE734,12,FALSE)*$Q210*IFERROR((VLOOKUP(P210,Settings!$E$28:$F$33,2,FALSE)+1),1)</f>
        <v>10.429492654339608</v>
      </c>
      <c r="Y210" s="40">
        <f>VLOOKUP(B210,'Player Data'!$A1:$AE734,13,FALSE)*$Q210</f>
        <v>1.4098907543192236</v>
      </c>
      <c r="Z210" s="40">
        <f>VLOOKUP(B210,'Player Data'!$A1:$AE734,14,FALSE)*$Q210</f>
        <v>2.4912111791234475</v>
      </c>
      <c r="AA210" s="40">
        <f>VLOOKUP(B210,'Player Data'!$A1:$AE734,15,FALSE)*$Q210</f>
        <v>55.858414240600439</v>
      </c>
      <c r="AB210" s="40">
        <f>VLOOKUP(B210,'Player Data'!$A1:$AE734,16,FALSE)*$Q210</f>
        <v>40.250570894083999</v>
      </c>
      <c r="AC210" s="40">
        <f>VLOOKUP(B210,'Player Data'!$A1:$AE734,17,FALSE)*$Q210*IFERROR((VLOOKUP(P210,Settings!$E$28:$F$33,2,FALSE)+1),1)</f>
        <v>9.1797865312229665E-2</v>
      </c>
      <c r="AD210" s="40">
        <f>VLOOKUP(B210,'Player Data'!$A1:$AE734,18,FALSE)*$Q210</f>
        <v>23.774562148831372</v>
      </c>
      <c r="AE210" s="40">
        <f>VLOOKUP(B210,'Player Data'!$A1:$AE734,19,FALSE)*$Q210*IFERROR((VLOOKUP(P210,Settings!$E$28:$F$33,2,FALSE)+1),1)</f>
        <v>4.0464667268314285</v>
      </c>
      <c r="AF210" s="40">
        <f>VLOOKUP(B210,'Player Data'!$A1:$AE734,20,FALSE)*$Q210</f>
        <v>97.896972069621938</v>
      </c>
      <c r="AG210" s="40">
        <f>VLOOKUP(B210,'Player Data'!$A1:$AE734,21,FALSE)*$Q210</f>
        <v>151.5072981045077</v>
      </c>
      <c r="AH210" s="41">
        <f>VLOOKUP(B210,'Player Data'!$A1:$AE734,22,FALSE)</f>
        <v>0.39252323948291601</v>
      </c>
      <c r="AI210" s="38"/>
      <c r="AJ210" s="42"/>
      <c r="AK210" s="40"/>
      <c r="AL210" s="40"/>
      <c r="AM210" s="40"/>
      <c r="AN210" s="40"/>
      <c r="AO210" s="40"/>
      <c r="AP210" s="40"/>
      <c r="AQ210" s="43"/>
      <c r="AR210" s="44"/>
      <c r="AS210" s="38"/>
    </row>
    <row r="211" spans="1:45" ht="21.2" customHeight="1">
      <c r="A211" s="181">
        <f t="shared" si="18"/>
        <v>210</v>
      </c>
      <c r="B211" s="8" t="s">
        <v>302</v>
      </c>
      <c r="C211" s="31" t="s">
        <v>104</v>
      </c>
      <c r="D211" s="32" t="str">
        <f>VLOOKUP(B211,'Player Data'!A1:D734,4,FALSE)</f>
        <v>C</v>
      </c>
      <c r="E211" s="33">
        <f>VLOOKUP(B211,'C'!A1:C208,3,FALSE)</f>
        <v>52</v>
      </c>
      <c r="F211" s="34" t="str">
        <f>VLOOKUP(B211,'Player Data'!A1:B734,2,FALSE)</f>
        <v>FLA</v>
      </c>
      <c r="G211" s="9">
        <f>VLOOKUP(B211,'Player Data'!A1:D734,3,FALSE)</f>
        <v>27</v>
      </c>
      <c r="H211" s="35">
        <f>IFERROR(VLOOKUP(B211,ADP!A1:G731,7,FALSE)/1000000,VLOOKUP(B211,ADP!A1:G731,7,FALSE))</f>
        <v>4.4249999999999998</v>
      </c>
      <c r="I211" s="36">
        <f>IF(Settings!$E$15="POINTS",((R211*Q211)*Settings!$B$12)+(S211*Settings!$B$2)+(T211*Settings!$B$3)+(U211*Settings!$B$4)+(V211*Settings!$B$5)+(X211*Settings!$B$9)+(AA211*Settings!$B$6)+(W211*Settings!$B$8)+(AB211*Settings!$B$7)+(AC211*Settings!$B$14)+(AD211*Settings!$B$15)+(AE211*Settings!$B$16)+(AF211*Settings!$B$17)+(AG211*Settings!$B$18)+(Y211*Settings!$B$10)+(Z211*Settings!$B$11),VLOOKUP(B211,'Standard Deviations'!A1:C731,3,FALSE))</f>
        <v>3.7885439718766327</v>
      </c>
      <c r="J211" s="37">
        <f t="shared" si="19"/>
        <v>4.620175575459308E-2</v>
      </c>
      <c r="K211" s="183">
        <f>IF(Settings!$E$18="C/LW/RW",VLOOKUP(B211,'C'!A1:F208,6,FALSE),VLOOKUP(B211,F!A1:F431,6,FALSE))</f>
        <v>-2.54850675232997</v>
      </c>
      <c r="L211" s="36">
        <f t="shared" si="20"/>
        <v>-0.57593372934010623</v>
      </c>
      <c r="M211" s="38">
        <f>IF(Settings!$E$9="YAHOO",VLOOKUP(B211,ADP!A1:E731,2,FALSE),IF(Settings!$E$9="ESPN",VLOOKUP(B211,ADP!A1:E731,3,FALSE),IF(Settings!$E$9="FANTRAX",VLOOKUP(B211,ADP!A1:E731,4,FALSE),VLOOKUP(B211,ADP!A1:E731,5,FALSE))))</f>
        <v>169.93</v>
      </c>
      <c r="N211" s="38">
        <f t="shared" si="21"/>
        <v>-40.069999999999993</v>
      </c>
      <c r="O211" s="38"/>
      <c r="P211" s="39" t="str">
        <f>IF(Settings!$E$27="ON",_xlfn.XLOOKUP(B211,ADP!A2:A731,ADP!H2:H731)," ")</f>
        <v xml:space="preserve"> </v>
      </c>
      <c r="Q211" s="40">
        <f>IF(Settings!$E$12="YES",VLOOKUP(B211,'Player Data'!A1:E734,5,FALSE),82)</f>
        <v>82</v>
      </c>
      <c r="R211" s="38">
        <f>VLOOKUP(B211,'Player Data'!$A1:$AE734,6,FALSE)</f>
        <v>17.091159722947499</v>
      </c>
      <c r="S211" s="40">
        <f>VLOOKUP(B211,'Player Data'!$A1:$AE734,7,FALSE)*$Q211*IFERROR((VLOOKUP(P211,Settings!$E$28:$F$33,2,FALSE)+1),1)</f>
        <v>23.830073183549342</v>
      </c>
      <c r="T211" s="40">
        <f>VLOOKUP(B211,'Player Data'!$A1:$AE734,8,FALSE)*$Q211*IFERROR((VLOOKUP(P211,Settings!$E$28:$F$33,2,FALSE)+1),1)</f>
        <v>29.016597212386543</v>
      </c>
      <c r="U211" s="40">
        <f t="shared" si="23"/>
        <v>52.846670395935888</v>
      </c>
      <c r="V211" s="40">
        <f>VLOOKUP(B211,'Player Data'!$A1:$AE734,10,FALSE)*$Q211*IFERROR(((VLOOKUP(P211,Settings!$E$28:$F$33,2,FALSE)/2)+1),1)</f>
        <v>245.44280533319466</v>
      </c>
      <c r="W211" s="40">
        <f>VLOOKUP(B211,'Player Data'!$A1:$AE734,11,FALSE)*$Q211*IFERROR((VLOOKUP(P211,Settings!$E$28:$F$33,2,FALSE)+1),1)</f>
        <v>4.9206530332477163</v>
      </c>
      <c r="X211" s="40">
        <f>VLOOKUP(B211,'Player Data'!$A1:$AE734,12,FALSE)*$Q211*IFERROR((VLOOKUP(P211,Settings!$E$28:$F$33,2,FALSE)+1),1)</f>
        <v>10.628198289577808</v>
      </c>
      <c r="Y211" s="40">
        <f>VLOOKUP(B211,'Player Data'!$A1:$AE734,13,FALSE)*$Q211</f>
        <v>0.10899401662977798</v>
      </c>
      <c r="Z211" s="40">
        <f>VLOOKUP(B211,'Player Data'!$A1:$AE734,14,FALSE)*$Q211</f>
        <v>0.57553223863487335</v>
      </c>
      <c r="AA211" s="40">
        <f>VLOOKUP(B211,'Player Data'!$A1:$AE734,15,FALSE)*$Q211</f>
        <v>41.04355285005952</v>
      </c>
      <c r="AB211" s="40">
        <f>VLOOKUP(B211,'Player Data'!$A1:$AE734,16,FALSE)*$Q211</f>
        <v>165.87573805066233</v>
      </c>
      <c r="AC211" s="40">
        <f>VLOOKUP(B211,'Player Data'!$A1:$AE734,17,FALSE)*$Q211*IFERROR((VLOOKUP(P211,Settings!$E$28:$F$33,2,FALSE)+1),1)</f>
        <v>5.3708790369007708</v>
      </c>
      <c r="AD211" s="40">
        <f>VLOOKUP(B211,'Player Data'!$A1:$AE734,18,FALSE)*$Q211</f>
        <v>67.145142592000298</v>
      </c>
      <c r="AE211" s="40">
        <f>VLOOKUP(B211,'Player Data'!$A1:$AE734,19,FALSE)*$Q211*IFERROR((VLOOKUP(P211,Settings!$E$28:$F$33,2,FALSE)+1),1)</f>
        <v>3.4184783541662678</v>
      </c>
      <c r="AF211" s="40">
        <f>VLOOKUP(B211,'Player Data'!$A1:$AE734,20,FALSE)*$Q211</f>
        <v>504.16704708170403</v>
      </c>
      <c r="AG211" s="40">
        <f>VLOOKUP(B211,'Player Data'!$A1:$AE734,21,FALSE)*$Q211</f>
        <v>568.84613272725369</v>
      </c>
      <c r="AH211" s="41">
        <f>VLOOKUP(B211,'Player Data'!$A1:$AE734,22,FALSE)</f>
        <v>0.46986100130798703</v>
      </c>
      <c r="AI211" s="38"/>
      <c r="AJ211" s="40"/>
      <c r="AK211" s="40"/>
      <c r="AL211" s="40"/>
      <c r="AM211" s="40"/>
      <c r="AN211" s="40"/>
      <c r="AO211" s="40"/>
      <c r="AP211" s="40"/>
      <c r="AQ211" s="43"/>
      <c r="AR211" s="44"/>
      <c r="AS211" s="38"/>
    </row>
    <row r="212" spans="1:45" ht="21.2" customHeight="1">
      <c r="A212" s="181">
        <f t="shared" si="18"/>
        <v>211</v>
      </c>
      <c r="B212" s="8" t="s">
        <v>307</v>
      </c>
      <c r="C212" s="31" t="s">
        <v>104</v>
      </c>
      <c r="D212" s="32" t="str">
        <f>VLOOKUP(B212,'Player Data'!A1:D734,4,FALSE)</f>
        <v>C</v>
      </c>
      <c r="E212" s="33">
        <f>VLOOKUP(B212,'C'!A1:C208,3,FALSE)</f>
        <v>54</v>
      </c>
      <c r="F212" s="34" t="str">
        <f>VLOOKUP(B212,'Player Data'!A1:B734,2,FALSE)</f>
        <v>ARI</v>
      </c>
      <c r="G212" s="9">
        <f>VLOOKUP(B212,'Player Data'!A1:D734,3,FALSE)</f>
        <v>19</v>
      </c>
      <c r="H212" s="35">
        <f>IFERROR(VLOOKUP(B212,ADP!A1:G731,7,FALSE)/1000000,VLOOKUP(B212,ADP!A1:G731,7,FALSE))</f>
        <v>0</v>
      </c>
      <c r="I212" s="36">
        <f>IF(Settings!$E$15="POINTS",((R212*Q212)*Settings!$B$12)+(S212*Settings!$B$2)+(T212*Settings!$B$3)+(U212*Settings!$B$4)+(V212*Settings!$B$5)+(X212*Settings!$B$9)+(AA212*Settings!$B$6)+(W212*Settings!$B$8)+(AB212*Settings!$B$7)+(AC212*Settings!$B$14)+(AD212*Settings!$B$15)+(AE212*Settings!$B$16)+(AF212*Settings!$B$17)+(AG212*Settings!$B$18)+(Y212*Settings!$B$10)+(Z212*Settings!$B$11),VLOOKUP(B212,'Standard Deviations'!A1:C731,3,FALSE))</f>
        <v>3.7268522457751323</v>
      </c>
      <c r="J212" s="37">
        <f t="shared" si="19"/>
        <v>4.5449417631404053E-2</v>
      </c>
      <c r="K212" s="183">
        <f>IF(Settings!$E$18="C/LW/RW",VLOOKUP(B212,'C'!A1:F208,6,FALSE),VLOOKUP(B212,F!A1:F431,6,FALSE))</f>
        <v>-2.6101984784314705</v>
      </c>
      <c r="L212" s="49" t="str">
        <f t="shared" si="20"/>
        <v>N/A</v>
      </c>
      <c r="M212" s="38">
        <f>IF(Settings!$E$9="YAHOO",VLOOKUP(B212,ADP!A1:E731,2,FALSE),IF(Settings!$E$9="ESPN",VLOOKUP(B212,ADP!A1:E731,3,FALSE),IF(Settings!$E$9="FANTRAX",VLOOKUP(B212,ADP!A1:E731,4,FALSE),VLOOKUP(B212,ADP!A1:E731,5,FALSE))))</f>
        <v>226.82</v>
      </c>
      <c r="N212" s="38">
        <f t="shared" si="21"/>
        <v>15.819999999999993</v>
      </c>
      <c r="O212" s="38"/>
      <c r="P212" s="39" t="str">
        <f>IF(Settings!$E$27="ON",_xlfn.XLOOKUP(B212,ADP!A2:A731,ADP!H2:H731)," ")</f>
        <v xml:space="preserve"> </v>
      </c>
      <c r="Q212" s="40">
        <f>IF(Settings!$E$12="YES",VLOOKUP(B212,'Player Data'!A1:E734,5,FALSE),82)</f>
        <v>82</v>
      </c>
      <c r="R212" s="38">
        <f>VLOOKUP(B212,'Player Data'!$A1:$AE734,6,FALSE)</f>
        <v>17.5</v>
      </c>
      <c r="S212" s="40">
        <f>VLOOKUP(B212,'Player Data'!$A1:$AE734,7,FALSE)*$Q212*IFERROR((VLOOKUP(P212,Settings!$E$28:$F$33,2,FALSE)+1),1)</f>
        <v>22.505293776300739</v>
      </c>
      <c r="T212" s="40">
        <f>VLOOKUP(B212,'Player Data'!$A1:$AE734,8,FALSE)*$Q212*IFERROR((VLOOKUP(P212,Settings!$E$28:$F$33,2,FALSE)+1),1)</f>
        <v>36.108664356906665</v>
      </c>
      <c r="U212" s="40">
        <f t="shared" si="23"/>
        <v>58.613958133207404</v>
      </c>
      <c r="V212" s="40">
        <f>VLOOKUP(B212,'Player Data'!$A1:$AE734,10,FALSE)*$Q212*IFERROR(((VLOOKUP(P212,Settings!$E$28:$F$33,2,FALSE)/2)+1),1)</f>
        <v>168.77488074861336</v>
      </c>
      <c r="W212" s="40">
        <f>VLOOKUP(B212,'Player Data'!$A1:$AE734,11,FALSE)*$Q212*IFERROR((VLOOKUP(P212,Settings!$E$28:$F$33,2,FALSE)+1),1)</f>
        <v>6.3144120312881489</v>
      </c>
      <c r="X212" s="40">
        <f>VLOOKUP(B212,'Player Data'!$A1:$AE734,12,FALSE)*$Q212*IFERROR((VLOOKUP(P212,Settings!$E$28:$F$33,2,FALSE)+1),1)</f>
        <v>16.44558325328304</v>
      </c>
      <c r="Y212" s="40">
        <f>VLOOKUP(B212,'Player Data'!$A1:$AE734,13,FALSE)*$Q212</f>
        <v>0</v>
      </c>
      <c r="Z212" s="40">
        <f>VLOOKUP(B212,'Player Data'!$A1:$AE734,14,FALSE)*$Q212</f>
        <v>0</v>
      </c>
      <c r="AA212" s="40">
        <f>VLOOKUP(B212,'Player Data'!$A1:$AE734,15,FALSE)*$Q212</f>
        <v>36.499999999999986</v>
      </c>
      <c r="AB212" s="40">
        <f>VLOOKUP(B212,'Player Data'!$A1:$AE734,16,FALSE)*$Q212</f>
        <v>60.000000000000028</v>
      </c>
      <c r="AC212" s="40">
        <f>VLOOKUP(B212,'Player Data'!$A1:$AE734,17,FALSE)*$Q212*IFERROR((VLOOKUP(P212,Settings!$E$28:$F$33,2,FALSE)+1),1)</f>
        <v>0.41000000000000003</v>
      </c>
      <c r="AD212" s="40">
        <f>VLOOKUP(B212,'Player Data'!$A1:$AE734,18,FALSE)*$Q212</f>
        <v>33.150000000000013</v>
      </c>
      <c r="AE212" s="40">
        <f>VLOOKUP(B212,'Player Data'!$A1:$AE734,19,FALSE)*$Q212*IFERROR((VLOOKUP(P212,Settings!$E$28:$F$33,2,FALSE)+1),1)</f>
        <v>2.8400915091920567</v>
      </c>
      <c r="AF212" s="40">
        <f>VLOOKUP(B212,'Player Data'!$A1:$AE734,20,FALSE)*$Q212</f>
        <v>424.63890464763972</v>
      </c>
      <c r="AG212" s="40">
        <f>VLOOKUP(B212,'Player Data'!$A1:$AE734,21,FALSE)*$Q212</f>
        <v>586.40610641817</v>
      </c>
      <c r="AH212" s="41">
        <f>VLOOKUP(B212,'Player Data'!$A1:$AE734,22,FALSE)</f>
        <v>0.42</v>
      </c>
      <c r="AI212" s="38"/>
      <c r="AJ212" s="42"/>
      <c r="AK212" s="40"/>
      <c r="AL212" s="40"/>
      <c r="AM212" s="40"/>
      <c r="AN212" s="40"/>
      <c r="AO212" s="40"/>
      <c r="AP212" s="40"/>
      <c r="AQ212" s="43"/>
      <c r="AR212" s="44"/>
      <c r="AS212" s="38"/>
    </row>
    <row r="213" spans="1:45" ht="21.2" customHeight="1">
      <c r="A213" s="181">
        <f t="shared" si="18"/>
        <v>212</v>
      </c>
      <c r="B213" s="8" t="s">
        <v>343</v>
      </c>
      <c r="C213" s="31" t="s">
        <v>104</v>
      </c>
      <c r="D213" s="32" t="str">
        <f>VLOOKUP(B213,'Player Data'!A1:D734,4,FALSE)</f>
        <v>LW</v>
      </c>
      <c r="E213" s="48">
        <f>VLOOKUP(B213,LW!A1:C227,3,FALSE)</f>
        <v>56</v>
      </c>
      <c r="F213" s="34" t="str">
        <f>VLOOKUP(B213,'Player Data'!A1:B734,2,FALSE)</f>
        <v>STL</v>
      </c>
      <c r="G213" s="9">
        <f>VLOOKUP(B213,'Player Data'!A1:D734,3,FALSE)</f>
        <v>27</v>
      </c>
      <c r="H213" s="35">
        <f>IFERROR(VLOOKUP(B213,ADP!A1:G731,7,FALSE)/1000000,VLOOKUP(B213,ADP!A1:G731,7,FALSE))</f>
        <v>2.625</v>
      </c>
      <c r="I213" s="36">
        <f>IF(Settings!$E$15="POINTS",((R213*Q213)*Settings!$B$12)+(S213*Settings!$B$2)+(T213*Settings!$B$3)+(U213*Settings!$B$4)+(V213*Settings!$B$5)+(X213*Settings!$B$9)+(AA213*Settings!$B$6)+(W213*Settings!$B$8)+(AB213*Settings!$B$7)+(AC213*Settings!$B$14)+(AD213*Settings!$B$15)+(AE213*Settings!$B$16)+(AF213*Settings!$B$17)+(AG213*Settings!$B$18)+(Y213*Settings!$B$10)+(Z213*Settings!$B$11),VLOOKUP(B213,'Standard Deviations'!A1:C731,3,FALSE))</f>
        <v>4.0319065601259849</v>
      </c>
      <c r="J213" s="37">
        <f t="shared" si="19"/>
        <v>4.9169592196658354E-2</v>
      </c>
      <c r="K213" s="183">
        <f>IF(Settings!$E$18="C/LW/RW",VLOOKUP(B213,LW!A1:F227,6,FALSE),VLOOKUP(B213,F!A1:F431,6,FALSE))</f>
        <v>-2.6227624839984163</v>
      </c>
      <c r="L213" s="36">
        <f t="shared" si="20"/>
        <v>-0.99914761295177767</v>
      </c>
      <c r="M213" s="38">
        <f>IF(Settings!$E$9="YAHOO",VLOOKUP(B213,ADP!A1:E731,2,FALSE),IF(Settings!$E$9="ESPN",VLOOKUP(B213,ADP!A1:E731,3,FALSE),IF(Settings!$E$9="FANTRAX",VLOOKUP(B213,ADP!A1:E731,4,FALSE),VLOOKUP(B213,ADP!A1:E731,5,FALSE))))</f>
        <v>186.98</v>
      </c>
      <c r="N213" s="38">
        <f t="shared" si="21"/>
        <v>-25.02000000000001</v>
      </c>
      <c r="O213" s="38"/>
      <c r="P213" s="39" t="str">
        <f>IF(Settings!$E$27="ON",_xlfn.XLOOKUP(B213,ADP!A2:A731,ADP!H2:H731)," ")</f>
        <v xml:space="preserve"> </v>
      </c>
      <c r="Q213" s="40">
        <f>IF(Settings!$E$12="YES",VLOOKUP(B213,'Player Data'!A1:E734,5,FALSE),82)</f>
        <v>82</v>
      </c>
      <c r="R213" s="38">
        <f>VLOOKUP(B213,'Player Data'!$A1:$AE734,6,FALSE)</f>
        <v>15.6422800341442</v>
      </c>
      <c r="S213" s="40">
        <f>VLOOKUP(B213,'Player Data'!$A1:$AE734,7,FALSE)*$Q213*IFERROR((VLOOKUP(P213,Settings!$E$28:$F$33,2,FALSE)+1),1)</f>
        <v>31.73804337629884</v>
      </c>
      <c r="T213" s="40">
        <f>VLOOKUP(B213,'Player Data'!$A1:$AE734,8,FALSE)*$Q213*IFERROR((VLOOKUP(P213,Settings!$E$28:$F$33,2,FALSE)+1),1)</f>
        <v>23.180679714028273</v>
      </c>
      <c r="U213" s="40">
        <f t="shared" si="23"/>
        <v>54.918723090327113</v>
      </c>
      <c r="V213" s="40">
        <f>VLOOKUP(B213,'Player Data'!$A1:$AE734,10,FALSE)*$Q213*IFERROR(((VLOOKUP(P213,Settings!$E$28:$F$33,2,FALSE)/2)+1),1)</f>
        <v>204.44673071196428</v>
      </c>
      <c r="W213" s="40">
        <f>VLOOKUP(B213,'Player Data'!$A1:$AE734,11,FALSE)*$Q213*IFERROR((VLOOKUP(P213,Settings!$E$28:$F$33,2,FALSE)+1),1)</f>
        <v>9.7466778375277183</v>
      </c>
      <c r="X213" s="40">
        <f>VLOOKUP(B213,'Player Data'!$A1:$AE734,12,FALSE)*$Q213*IFERROR((VLOOKUP(P213,Settings!$E$28:$F$33,2,FALSE)+1),1)</f>
        <v>15.674655919800914</v>
      </c>
      <c r="Y213" s="40">
        <f>VLOOKUP(B213,'Player Data'!$A1:$AE734,13,FALSE)*$Q213</f>
        <v>0</v>
      </c>
      <c r="Z213" s="40">
        <f>VLOOKUP(B213,'Player Data'!$A1:$AE734,14,FALSE)*$Q213</f>
        <v>0</v>
      </c>
      <c r="AA213" s="40">
        <f>VLOOKUP(B213,'Player Data'!$A1:$AE734,15,FALSE)*$Q213</f>
        <v>26.98049432896093</v>
      </c>
      <c r="AB213" s="40">
        <f>VLOOKUP(B213,'Player Data'!$A1:$AE734,16,FALSE)*$Q213</f>
        <v>62.785604757434278</v>
      </c>
      <c r="AC213" s="40">
        <f>VLOOKUP(B213,'Player Data'!$A1:$AE734,17,FALSE)*$Q213*IFERROR((VLOOKUP(P213,Settings!$E$28:$F$33,2,FALSE)+1),1)</f>
        <v>-2.9198569878177478</v>
      </c>
      <c r="AD213" s="40">
        <f>VLOOKUP(B213,'Player Data'!$A1:$AE734,18,FALSE)*$Q213</f>
        <v>26.789032138847158</v>
      </c>
      <c r="AE213" s="40">
        <f>VLOOKUP(B213,'Player Data'!$A1:$AE734,19,FALSE)*$Q213*IFERROR((VLOOKUP(P213,Settings!$E$28:$F$33,2,FALSE)+1),1)</f>
        <v>3.6521833489832476</v>
      </c>
      <c r="AF213" s="40">
        <f>VLOOKUP(B213,'Player Data'!$A1:$AE734,20,FALSE)*$Q213</f>
        <v>7.3406959885560825</v>
      </c>
      <c r="AG213" s="40">
        <f>VLOOKUP(B213,'Player Data'!$A1:$AE734,21,FALSE)*$Q213</f>
        <v>12.966903381655541</v>
      </c>
      <c r="AH213" s="41">
        <f>VLOOKUP(B213,'Player Data'!$A1:$AE734,22,FALSE)</f>
        <v>0.36147532038296198</v>
      </c>
      <c r="AI213" s="38"/>
      <c r="AJ213" s="42"/>
      <c r="AK213" s="40"/>
      <c r="AL213" s="40"/>
      <c r="AM213" s="40"/>
      <c r="AN213" s="40"/>
      <c r="AO213" s="40"/>
      <c r="AP213" s="40"/>
      <c r="AQ213" s="43"/>
      <c r="AR213" s="44"/>
      <c r="AS213" s="38"/>
    </row>
    <row r="214" spans="1:45" ht="21.2" customHeight="1">
      <c r="A214" s="181">
        <f t="shared" si="18"/>
        <v>213</v>
      </c>
      <c r="B214" s="8" t="s">
        <v>294</v>
      </c>
      <c r="C214" s="31" t="s">
        <v>104</v>
      </c>
      <c r="D214" s="32" t="str">
        <f>VLOOKUP(B214,'Player Data'!A1:D734,4,FALSE)</f>
        <v>D</v>
      </c>
      <c r="E214" s="47">
        <f>VLOOKUP(B214,D!A1:C229,3,FALSE)</f>
        <v>57</v>
      </c>
      <c r="F214" s="34" t="str">
        <f>VLOOKUP(B214,'Player Data'!A1:B734,2,FALSE)</f>
        <v>DET</v>
      </c>
      <c r="G214" s="9">
        <f>VLOOKUP(B214,'Player Data'!A1:D734,3,FALSE)</f>
        <v>30</v>
      </c>
      <c r="H214" s="35">
        <f>IFERROR(VLOOKUP(B214,ADP!A1:G731,7,FALSE)/1000000,VLOOKUP(B214,ADP!A1:G731,7,FALSE))</f>
        <v>4.125</v>
      </c>
      <c r="I214" s="36">
        <f>IF(Settings!$E$15="POINTS",((R214*Q214)*Settings!$B$12)+(S214*Settings!$B$2)+(T214*Settings!$B$3)+(U214*Settings!$B$4)+(V214*Settings!$B$5)+(X214*Settings!$B$9)+(AA214*Settings!$B$6)+(W214*Settings!$B$8)+(AB214*Settings!$B$7)+(AC214*Settings!$B$14)+(AD214*Settings!$B$15)+(AE214*Settings!$B$16)+(AF214*Settings!$B$17)+(AG214*Settings!$B$18)+(U214*Settings!$B$13)+(Y214*Settings!$B$10)+(Z214*Settings!$B$11),VLOOKUP(B214,'Standard Deviations'!A1:C731,3,FALSE))</f>
        <v>-0.71791255583645408</v>
      </c>
      <c r="J214" s="37">
        <f t="shared" si="19"/>
        <v>-8.7550311687372446E-3</v>
      </c>
      <c r="K214" s="183">
        <f>VLOOKUP(B214,D!A1:F229,6,FALSE)</f>
        <v>-2.6596530994707646</v>
      </c>
      <c r="L214" s="36">
        <f t="shared" si="20"/>
        <v>-0.64476438775048839</v>
      </c>
      <c r="M214" s="38">
        <f>IF(Settings!$E$9="YAHOO",VLOOKUP(B214,ADP!A1:E731,2,FALSE),IF(Settings!$E$9="ESPN",VLOOKUP(B214,ADP!A1:E731,3,FALSE),IF(Settings!$E$9="FANTRAX",VLOOKUP(B214,ADP!A1:E731,4,FALSE),VLOOKUP(B214,ADP!A1:E731,5,FALSE))))</f>
        <v>161.16</v>
      </c>
      <c r="N214" s="38">
        <f t="shared" si="21"/>
        <v>-51.84</v>
      </c>
      <c r="O214" s="38"/>
      <c r="P214" s="39" t="str">
        <f>IF(Settings!$E$27="ON",_xlfn.XLOOKUP(B214,ADP!A2:A731,ADP!H2:H731)," ")</f>
        <v xml:space="preserve"> </v>
      </c>
      <c r="Q214" s="40">
        <f>IF(Settings!$E$12="YES",VLOOKUP(B214,'Player Data'!A1:E734,5,FALSE),82)</f>
        <v>82</v>
      </c>
      <c r="R214" s="38">
        <f>VLOOKUP(B214,'Player Data'!$A1:$AE734,6,FALSE)</f>
        <v>17.5118288729951</v>
      </c>
      <c r="S214" s="40">
        <f>VLOOKUP(B214,'Player Data'!$A1:$AE734,7,FALSE)*$Q214*IFERROR((VLOOKUP(P214,Settings!$E$28:$F$33,2,FALSE)+1),1)</f>
        <v>10.131039658647699</v>
      </c>
      <c r="T214" s="40">
        <f>VLOOKUP(B214,'Player Data'!$A1:$AE734,8,FALSE)*$Q214*IFERROR((VLOOKUP(P214,Settings!$E$28:$F$33,2,FALSE)+1),1)</f>
        <v>23.725629147474027</v>
      </c>
      <c r="U214" s="40">
        <f t="shared" si="23"/>
        <v>33.856668806121725</v>
      </c>
      <c r="V214" s="40">
        <f>VLOOKUP(B214,'Player Data'!$A1:$AE734,10,FALSE)*$Q214*IFERROR(((VLOOKUP(P214,Settings!$E$28:$F$33,2,FALSE)/2)+1),1)</f>
        <v>128.90740283485937</v>
      </c>
      <c r="W214" s="40">
        <f>VLOOKUP(B214,'Player Data'!$A1:$AE734,11,FALSE)*$Q214*IFERROR((VLOOKUP(P214,Settings!$E$28:$F$33,2,FALSE)+1),1)</f>
        <v>2.8040218629223519</v>
      </c>
      <c r="X214" s="40">
        <f>VLOOKUP(B214,'Player Data'!$A1:$AE734,12,FALSE)*$Q214*IFERROR((VLOOKUP(P214,Settings!$E$28:$F$33,2,FALSE)+1),1)</f>
        <v>10.461547893551979</v>
      </c>
      <c r="Y214" s="40">
        <f>VLOOKUP(B214,'Player Data'!$A1:$AE734,13,FALSE)*$Q214</f>
        <v>0.2731295985495254</v>
      </c>
      <c r="Z214" s="40">
        <f>VLOOKUP(B214,'Player Data'!$A1:$AE734,14,FALSE)*$Q214</f>
        <v>0.29157080307278893</v>
      </c>
      <c r="AA214" s="40">
        <f>VLOOKUP(B214,'Player Data'!$A1:$AE734,15,FALSE)*$Q214</f>
        <v>87.690581631005358</v>
      </c>
      <c r="AB214" s="40">
        <f>VLOOKUP(B214,'Player Data'!$A1:$AE734,16,FALSE)*$Q214</f>
        <v>56.958440625818461</v>
      </c>
      <c r="AC214" s="40">
        <f>VLOOKUP(B214,'Player Data'!$A1:$AE734,17,FALSE)*$Q214*IFERROR((VLOOKUP(P214,Settings!$E$28:$F$33,2,FALSE)+1),1)</f>
        <v>-2.3093191355291576</v>
      </c>
      <c r="AD214" s="40">
        <f>VLOOKUP(B214,'Player Data'!$A1:$AE734,18,FALSE)*$Q214</f>
        <v>21.428828621014841</v>
      </c>
      <c r="AE214" s="40">
        <f>VLOOKUP(B214,'Player Data'!$A1:$AE734,19,FALSE)*$Q214*IFERROR((VLOOKUP(P214,Settings!$E$28:$F$33,2,FALSE)+1),1)</f>
        <v>1.3406998437691966</v>
      </c>
      <c r="AF214" s="40">
        <f>VLOOKUP(B214,'Player Data'!$A1:$AE734,20,FALSE)*$Q214</f>
        <v>0</v>
      </c>
      <c r="AG214" s="40">
        <f>VLOOKUP(B214,'Player Data'!$A1:$AE734,21,FALSE)*$Q214</f>
        <v>0</v>
      </c>
      <c r="AH214" s="41">
        <f>VLOOKUP(B214,'Player Data'!$A1:$AE734,22,FALSE)</f>
        <v>0</v>
      </c>
      <c r="AI214" s="38"/>
      <c r="AJ214" s="42"/>
      <c r="AK214" s="40"/>
      <c r="AL214" s="40"/>
      <c r="AM214" s="40"/>
      <c r="AN214" s="40"/>
      <c r="AO214" s="40"/>
      <c r="AP214" s="40"/>
      <c r="AQ214" s="43"/>
      <c r="AR214" s="44"/>
      <c r="AS214" s="38"/>
    </row>
    <row r="215" spans="1:45" ht="21.2" customHeight="1">
      <c r="A215" s="181">
        <f t="shared" si="18"/>
        <v>214</v>
      </c>
      <c r="B215" s="8" t="s">
        <v>276</v>
      </c>
      <c r="C215" s="31" t="s">
        <v>104</v>
      </c>
      <c r="D215" s="32" t="str">
        <f>VLOOKUP(B215,'Player Data'!A1:D734,4,FALSE)</f>
        <v>RW</v>
      </c>
      <c r="E215" s="46">
        <f>VLOOKUP(B215,RW!A1:F189,3,FALSE)</f>
        <v>51</v>
      </c>
      <c r="F215" s="34" t="str">
        <f>VLOOKUP(B215,'Player Data'!A1:B734,2,FALSE)</f>
        <v>VAN</v>
      </c>
      <c r="G215" s="9">
        <f>VLOOKUP(B215,'Player Data'!A1:D734,3,FALSE)</f>
        <v>26</v>
      </c>
      <c r="H215" s="35">
        <f>IFERROR(VLOOKUP(B215,ADP!A1:G731,7,FALSE)/1000000,VLOOKUP(B215,ADP!A1:G731,7,FALSE))</f>
        <v>6.5</v>
      </c>
      <c r="I215" s="36">
        <f>IF(Settings!$E$15="POINTS",((R215*Q215)*Settings!$B$12)+(S215*Settings!$B$2)+(T215*Settings!$B$3)+(U215*Settings!$B$4)+(V215*Settings!$B$5)+(X215*Settings!$B$9)+(AA215*Settings!$B$6)+(W215*Settings!$B$8)+(AB215*Settings!$B$7)+(AC215*Settings!$B$14)+(AD215*Settings!$B$15)+(AE215*Settings!$B$16)+(AF215*Settings!$B$17)+(AG215*Settings!$B$18)+(Y215*Settings!$B$10)+(Z215*Settings!$B$11),VLOOKUP(B215,'Standard Deviations'!A1:C731,3,FALSE))</f>
        <v>3.6121416210440778</v>
      </c>
      <c r="J215" s="37">
        <f t="shared" si="19"/>
        <v>4.4050507573708264E-2</v>
      </c>
      <c r="K215" s="183">
        <f>IF(Settings!$E$18="C/LW/RW",VLOOKUP(B215,RW!A1:F189,6,FALSE),VLOOKUP(B215,F!A1:F431,6,FALSE))</f>
        <v>-2.668117097967003</v>
      </c>
      <c r="L215" s="36">
        <f t="shared" si="20"/>
        <v>-0.41047955353338506</v>
      </c>
      <c r="M215" s="38">
        <f>IF(Settings!$E$9="YAHOO",VLOOKUP(B215,ADP!A1:E731,2,FALSE),IF(Settings!$E$9="ESPN",VLOOKUP(B215,ADP!A1:E731,3,FALSE),IF(Settings!$E$9="FANTRAX",VLOOKUP(B215,ADP!A1:E731,4,FALSE),VLOOKUP(B215,ADP!A1:E731,5,FALSE))))</f>
        <v>186.59</v>
      </c>
      <c r="N215" s="38">
        <f t="shared" si="21"/>
        <v>-27.409999999999997</v>
      </c>
      <c r="O215" s="38"/>
      <c r="P215" s="39" t="str">
        <f>IF(Settings!$E$27="ON",_xlfn.XLOOKUP(B215,ADP!A2:A731,ADP!H2:H731)," ")</f>
        <v xml:space="preserve"> </v>
      </c>
      <c r="Q215" s="40">
        <f>IF(Settings!$E$12="YES",VLOOKUP(B215,'Player Data'!A1:E734,5,FALSE),82)</f>
        <v>82</v>
      </c>
      <c r="R215" s="38">
        <f>VLOOKUP(B215,'Player Data'!$A1:$AE734,6,FALSE)</f>
        <v>16.81009904035</v>
      </c>
      <c r="S215" s="40">
        <f>VLOOKUP(B215,'Player Data'!$A1:$AE734,7,FALSE)*$Q215*IFERROR((VLOOKUP(P215,Settings!$E$28:$F$33,2,FALSE)+1),1)</f>
        <v>21.802565221783496</v>
      </c>
      <c r="T215" s="40">
        <f>VLOOKUP(B215,'Player Data'!$A1:$AE734,8,FALSE)*$Q215*IFERROR((VLOOKUP(P215,Settings!$E$28:$F$33,2,FALSE)+1),1)</f>
        <v>33.355477493588211</v>
      </c>
      <c r="U215" s="40">
        <f t="shared" si="23"/>
        <v>55.158042715371707</v>
      </c>
      <c r="V215" s="40">
        <f>VLOOKUP(B215,'Player Data'!$A1:$AE734,10,FALSE)*$Q215*IFERROR(((VLOOKUP(P215,Settings!$E$28:$F$33,2,FALSE)/2)+1),1)</f>
        <v>189.67676462726121</v>
      </c>
      <c r="W215" s="40">
        <f>VLOOKUP(B215,'Player Data'!$A1:$AE734,11,FALSE)*$Q215*IFERROR((VLOOKUP(P215,Settings!$E$28:$F$33,2,FALSE)+1),1)</f>
        <v>7.8008542128590408</v>
      </c>
      <c r="X215" s="40">
        <f>VLOOKUP(B215,'Player Data'!$A1:$AE734,12,FALSE)*$Q215*IFERROR((VLOOKUP(P215,Settings!$E$28:$F$33,2,FALSE)+1),1)</f>
        <v>15.987144615887871</v>
      </c>
      <c r="Y215" s="40">
        <f>VLOOKUP(B215,'Player Data'!$A1:$AE734,13,FALSE)*$Q215</f>
        <v>4.4212850492145175E-3</v>
      </c>
      <c r="Z215" s="40">
        <f>VLOOKUP(B215,'Player Data'!$A1:$AE734,14,FALSE)*$Q215</f>
        <v>8.5372299838810343E-3</v>
      </c>
      <c r="AA215" s="40">
        <f>VLOOKUP(B215,'Player Data'!$A1:$AE734,15,FALSE)*$Q215</f>
        <v>32.319407919940737</v>
      </c>
      <c r="AB215" s="40">
        <f>VLOOKUP(B215,'Player Data'!$A1:$AE734,16,FALSE)*$Q215</f>
        <v>51.069441450415525</v>
      </c>
      <c r="AC215" s="40">
        <f>VLOOKUP(B215,'Player Data'!$A1:$AE734,17,FALSE)*$Q215*IFERROR((VLOOKUP(P215,Settings!$E$28:$F$33,2,FALSE)+1),1)</f>
        <v>-1.5605427112312475</v>
      </c>
      <c r="AD215" s="40">
        <f>VLOOKUP(B215,'Player Data'!$A1:$AE734,18,FALSE)*$Q215</f>
        <v>24.950913568362971</v>
      </c>
      <c r="AE215" s="40">
        <f>VLOOKUP(B215,'Player Data'!$A1:$AE734,19,FALSE)*$Q215*IFERROR((VLOOKUP(P215,Settings!$E$28:$F$33,2,FALSE)+1),1)</f>
        <v>3.0863634790921579</v>
      </c>
      <c r="AF215" s="40">
        <f>VLOOKUP(B215,'Player Data'!$A1:$AE734,20,FALSE)*$Q215</f>
        <v>24.0409225304074</v>
      </c>
      <c r="AG215" s="40">
        <f>VLOOKUP(B215,'Player Data'!$A1:$AE734,21,FALSE)*$Q215</f>
        <v>32.371695122849864</v>
      </c>
      <c r="AH215" s="41">
        <f>VLOOKUP(B215,'Player Data'!$A1:$AE734,22,FALSE)</f>
        <v>0.42616215184652501</v>
      </c>
      <c r="AI215" s="38"/>
      <c r="AJ215" s="40"/>
      <c r="AK215" s="40"/>
      <c r="AL215" s="40"/>
      <c r="AM215" s="40"/>
      <c r="AN215" s="40"/>
      <c r="AO215" s="40"/>
      <c r="AP215" s="40"/>
      <c r="AQ215" s="43"/>
      <c r="AR215" s="44"/>
      <c r="AS215" s="38"/>
    </row>
    <row r="216" spans="1:45" ht="21.2" customHeight="1">
      <c r="A216" s="181">
        <f t="shared" si="18"/>
        <v>215</v>
      </c>
      <c r="B216" s="8" t="s">
        <v>687</v>
      </c>
      <c r="C216" s="31" t="s">
        <v>104</v>
      </c>
      <c r="D216" s="32" t="str">
        <f>VLOOKUP(B216,'Player Data'!A1:D734,4,FALSE)</f>
        <v>G</v>
      </c>
      <c r="E216" s="50">
        <f>VLOOKUP(B216,G!A1:D75,3,FALSE)</f>
        <v>44</v>
      </c>
      <c r="F216" s="34" t="str">
        <f>VLOOKUP(B216,'Player Data'!A1:B734,2,FALSE)</f>
        <v>SJS</v>
      </c>
      <c r="G216" s="9">
        <f>VLOOKUP(B216,'Player Data'!A1:D734,3,FALSE)</f>
        <v>26</v>
      </c>
      <c r="H216" s="35">
        <f>IFERROR(VLOOKUP(B216,ADP!A1:G731,7,FALSE)/1000000,VLOOKUP(B216,ADP!A1:G731,7,FALSE))</f>
        <v>2.35</v>
      </c>
      <c r="I216" s="36">
        <f>IF(Settings!$E$15="POINTS",(AJ216*Settings!$B$29)+(AK216*Settings!$B$21)+(AL216*Settings!$B$22)+(AN216*Settings!$B$24)+(AO216*Settings!$B$25)+(AP216*Settings!$B$27)+(AM216*Settings!$B$23),VLOOKUP(B216,'Standard Deviations'!A1:C731,3,FALSE))</f>
        <v>-0.97211205114022403</v>
      </c>
      <c r="J216" s="37">
        <f t="shared" si="19"/>
        <v>-3.2403735038007468E-2</v>
      </c>
      <c r="K216" s="183">
        <f>VLOOKUP(B216,G!A1:F75,6,FALSE)</f>
        <v>-2.6763411023305155</v>
      </c>
      <c r="L216" s="36">
        <f t="shared" si="20"/>
        <v>-1.138868554183198</v>
      </c>
      <c r="M216" s="52" t="str">
        <f>IF(Settings!$E$9="YAHOO",VLOOKUP(B216,ADP!A1:E731,2,FALSE),IF(Settings!$E$9="ESPN",VLOOKUP(B216,ADP!A1:E731,3,FALSE),IF(Settings!$E$9="FANTRAX",VLOOKUP(B216,ADP!A1:E731,4,FALSE),VLOOKUP(B216,ADP!A1:E731,5,FALSE))))</f>
        <v>-</v>
      </c>
      <c r="N216" s="52" t="str">
        <f t="shared" si="21"/>
        <v>N/A</v>
      </c>
      <c r="O216" s="38"/>
      <c r="P216" s="39" t="str">
        <f>IF(Settings!$E$27="ON",_xlfn.XLOOKUP(B216,ADP!A2:A731,ADP!H2:H731)," ")</f>
        <v xml:space="preserve"> </v>
      </c>
      <c r="Q216" s="40"/>
      <c r="R216" s="51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1"/>
      <c r="AI216" s="38"/>
      <c r="AJ216" s="42">
        <f>VLOOKUP(B216,'Player Data'!$A1:$AE734,24,FALSE)</f>
        <v>30</v>
      </c>
      <c r="AK216" s="40">
        <f>VLOOKUP(B216,'Player Data'!$A1:$AE734,25,FALSE)*$AJ216*IFERROR((VLOOKUP(P216,Settings!$E$28:$F$33,2,FALSE)+1),1)</f>
        <v>10.188758390952959</v>
      </c>
      <c r="AL216" s="40">
        <f>AJ216-AK216-AM216</f>
        <v>16.061241609047041</v>
      </c>
      <c r="AM216" s="40">
        <f>VLOOKUP(B216,'Player Data'!$A1:$AE734,27,FALSE)*$AJ216</f>
        <v>3.75</v>
      </c>
      <c r="AN216" s="40">
        <f>VLOOKUP(B216,'Player Data'!$A1:$AE734,28,FALSE)*AJ216</f>
        <v>0.91972354539300905</v>
      </c>
      <c r="AO216" s="40">
        <f>VLOOKUP(B216,'Player Data'!$A1:$AE734,29,FALSE)*$AJ216*IFERROR((VLOOKUP(P216,Settings!$E$28:$F$33,2,FALSE)/4)+1,1)</f>
        <v>883.84552220442299</v>
      </c>
      <c r="AP216" s="40">
        <f>VLOOKUP(B216,'Player Data'!$A1:$AE734,31,FALSE)*$AJ216*(IFERROR(1-(VLOOKUP(P216,Settings!$E$28:$F$33,2,FALSE)/4),1))</f>
        <v>94.296812233075798</v>
      </c>
      <c r="AQ216" s="43">
        <f>1-(AP216/(AO216+AP216))</f>
        <v>0.90359602185370791</v>
      </c>
      <c r="AR216" s="44">
        <f>AP216/AJ216</f>
        <v>3.1432270744358601</v>
      </c>
      <c r="AS216" s="38"/>
    </row>
    <row r="217" spans="1:45" ht="21.2" customHeight="1">
      <c r="A217" s="181">
        <f t="shared" si="18"/>
        <v>216</v>
      </c>
      <c r="B217" s="8" t="s">
        <v>279</v>
      </c>
      <c r="C217" s="31" t="s">
        <v>104</v>
      </c>
      <c r="D217" s="32" t="str">
        <f>VLOOKUP(B217,'Player Data'!A1:D734,4,FALSE)</f>
        <v>D</v>
      </c>
      <c r="E217" s="47">
        <f>VLOOKUP(B217,D!A1:C229,3,FALSE)</f>
        <v>58</v>
      </c>
      <c r="F217" s="34" t="str">
        <f>VLOOKUP(B217,'Player Data'!A1:B734,2,FALSE)</f>
        <v>WPG</v>
      </c>
      <c r="G217" s="9">
        <f>VLOOKUP(B217,'Player Data'!A1:D734,3,FALSE)</f>
        <v>28</v>
      </c>
      <c r="H217" s="35">
        <f>IFERROR(VLOOKUP(B217,ADP!A1:G731,7,FALSE)/1000000,VLOOKUP(B217,ADP!A1:G731,7,FALSE))</f>
        <v>5.875</v>
      </c>
      <c r="I217" s="36">
        <f>IF(Settings!$E$15="POINTS",((R217*Q217)*Settings!$B$12)+(S217*Settings!$B$2)+(T217*Settings!$B$3)+(U217*Settings!$B$4)+(V217*Settings!$B$5)+(X217*Settings!$B$9)+(AA217*Settings!$B$6)+(W217*Settings!$B$8)+(AB217*Settings!$B$7)+(AC217*Settings!$B$14)+(AD217*Settings!$B$15)+(AE217*Settings!$B$16)+(AF217*Settings!$B$17)+(AG217*Settings!$B$18)+(U217*Settings!$B$13)+(Y217*Settings!$B$10)+(Z217*Settings!$B$11),VLOOKUP(B217,'Standard Deviations'!A1:C731,3,FALSE))</f>
        <v>-0.7455968402843397</v>
      </c>
      <c r="J217" s="37">
        <f t="shared" si="19"/>
        <v>-9.0926443937114597E-3</v>
      </c>
      <c r="K217" s="183">
        <f>VLOOKUP(B217,D!A1:F229,6,FALSE)</f>
        <v>-2.6873373839186505</v>
      </c>
      <c r="L217" s="36">
        <f t="shared" si="20"/>
        <v>-0.45741912917764266</v>
      </c>
      <c r="M217" s="38">
        <f>IF(Settings!$E$9="YAHOO",VLOOKUP(B217,ADP!A1:E731,2,FALSE),IF(Settings!$E$9="ESPN",VLOOKUP(B217,ADP!A1:E731,3,FALSE),IF(Settings!$E$9="FANTRAX",VLOOKUP(B217,ADP!A1:E731,4,FALSE),VLOOKUP(B217,ADP!A1:E731,5,FALSE))))</f>
        <v>213.38</v>
      </c>
      <c r="N217" s="38">
        <f t="shared" si="21"/>
        <v>-2.6200000000000045</v>
      </c>
      <c r="O217" s="38"/>
      <c r="P217" s="39" t="str">
        <f>IF(Settings!$E$27="ON",_xlfn.XLOOKUP(B217,ADP!A2:A731,ADP!H2:H731)," ")</f>
        <v xml:space="preserve"> </v>
      </c>
      <c r="Q217" s="40">
        <f>IF(Settings!$E$12="YES",VLOOKUP(B217,'Player Data'!A1:E734,5,FALSE),82)</f>
        <v>82</v>
      </c>
      <c r="R217" s="38">
        <f>VLOOKUP(B217,'Player Data'!$A1:$AE734,6,FALSE)</f>
        <v>21.7701031971798</v>
      </c>
      <c r="S217" s="40">
        <f>VLOOKUP(B217,'Player Data'!$A1:$AE734,7,FALSE)*$Q217*IFERROR((VLOOKUP(P217,Settings!$E$28:$F$33,2,FALSE)+1),1)</f>
        <v>6.3472642420307599</v>
      </c>
      <c r="T217" s="40">
        <f>VLOOKUP(B217,'Player Data'!$A1:$AE734,8,FALSE)*$Q217*IFERROR((VLOOKUP(P217,Settings!$E$28:$F$33,2,FALSE)+1),1)</f>
        <v>29.121469572856629</v>
      </c>
      <c r="U217" s="40">
        <f>SUM(S217:T217)</f>
        <v>35.468733814887386</v>
      </c>
      <c r="V217" s="40">
        <f>VLOOKUP(B217,'Player Data'!$A1:$AE734,10,FALSE)*$Q217*IFERROR(((VLOOKUP(P217,Settings!$E$28:$F$33,2,FALSE)/2)+1),1)</f>
        <v>142.17619193352834</v>
      </c>
      <c r="W217" s="40">
        <f>VLOOKUP(B217,'Player Data'!$A1:$AE734,11,FALSE)*$Q217*IFERROR((VLOOKUP(P217,Settings!$E$28:$F$33,2,FALSE)+1),1)</f>
        <v>1.0327838703852328</v>
      </c>
      <c r="X217" s="40">
        <f>VLOOKUP(B217,'Player Data'!$A1:$AE734,12,FALSE)*$Q217*IFERROR((VLOOKUP(P217,Settings!$E$28:$F$33,2,FALSE)+1),1)</f>
        <v>6.9642897598270563</v>
      </c>
      <c r="Y217" s="40">
        <f>VLOOKUP(B217,'Player Data'!$A1:$AE734,13,FALSE)*$Q217</f>
        <v>2.4803548132749403E-2</v>
      </c>
      <c r="Z217" s="40">
        <f>VLOOKUP(B217,'Player Data'!$A1:$AE734,14,FALSE)*$Q217</f>
        <v>0.68341313600749598</v>
      </c>
      <c r="AA217" s="40">
        <f>VLOOKUP(B217,'Player Data'!$A1:$AE734,15,FALSE)*$Q217</f>
        <v>125.12185263177729</v>
      </c>
      <c r="AB217" s="40">
        <f>VLOOKUP(B217,'Player Data'!$A1:$AE734,16,FALSE)*$Q217</f>
        <v>170.64628993415639</v>
      </c>
      <c r="AC217" s="40">
        <f>VLOOKUP(B217,'Player Data'!$A1:$AE734,17,FALSE)*$Q217*IFERROR((VLOOKUP(P217,Settings!$E$28:$F$33,2,FALSE)+1),1)</f>
        <v>-0.50934086853944027</v>
      </c>
      <c r="AD217" s="40">
        <f>VLOOKUP(B217,'Player Data'!$A1:$AE734,18,FALSE)*$Q217</f>
        <v>43.517879697626178</v>
      </c>
      <c r="AE217" s="40">
        <f>VLOOKUP(B217,'Player Data'!$A1:$AE734,19,FALSE)*$Q217*IFERROR((VLOOKUP(P217,Settings!$E$28:$F$33,2,FALSE)+1),1)</f>
        <v>0.99019446720554083</v>
      </c>
      <c r="AF217" s="40">
        <f>VLOOKUP(B217,'Player Data'!$A1:$AE734,20,FALSE)*$Q217</f>
        <v>0</v>
      </c>
      <c r="AG217" s="40">
        <f>VLOOKUP(B217,'Player Data'!$A1:$AE734,21,FALSE)*$Q217</f>
        <v>0</v>
      </c>
      <c r="AH217" s="41">
        <f>VLOOKUP(B217,'Player Data'!$A1:$AE734,22,FALSE)</f>
        <v>0</v>
      </c>
      <c r="AI217" s="38"/>
      <c r="AJ217" s="40"/>
      <c r="AK217" s="40"/>
      <c r="AL217" s="40"/>
      <c r="AM217" s="40"/>
      <c r="AN217" s="40"/>
      <c r="AO217" s="40"/>
      <c r="AP217" s="40"/>
      <c r="AQ217" s="43"/>
      <c r="AR217" s="44"/>
      <c r="AS217" s="38"/>
    </row>
    <row r="218" spans="1:45" ht="21.2" customHeight="1">
      <c r="A218" s="181">
        <f t="shared" si="18"/>
        <v>217</v>
      </c>
      <c r="B218" s="8" t="s">
        <v>727</v>
      </c>
      <c r="C218" s="31" t="s">
        <v>104</v>
      </c>
      <c r="D218" s="32" t="str">
        <f>VLOOKUP(B218,'Player Data'!A1:D734,4,FALSE)</f>
        <v>G</v>
      </c>
      <c r="E218" s="50">
        <f>VLOOKUP(B218,G!A1:D75,3,FALSE)</f>
        <v>45</v>
      </c>
      <c r="F218" s="34" t="str">
        <f>VLOOKUP(B218,'Player Data'!A1:B734,2,FALSE)</f>
        <v>TOR</v>
      </c>
      <c r="G218" s="9">
        <f>VLOOKUP(B218,'Player Data'!A1:D734,3,FALSE)</f>
        <v>25</v>
      </c>
      <c r="H218" s="35">
        <f>IFERROR(VLOOKUP(B218,ADP!A1:G731,7,FALSE)/1000000,VLOOKUP(B218,ADP!A1:G731,7,FALSE))</f>
        <v>0</v>
      </c>
      <c r="I218" s="36">
        <f>IF(Settings!$E$15="POINTS",(AJ218*Settings!$B$29)+(AK218*Settings!$B$21)+(AL218*Settings!$B$22)+(AN218*Settings!$B$24)+(AO218*Settings!$B$25)+(AP218*Settings!$B$27)+(AM218*Settings!$B$23),VLOOKUP(B218,'Standard Deviations'!A1:C731,3,FALSE))</f>
        <v>-1.044152656201232</v>
      </c>
      <c r="J218" s="37">
        <f t="shared" si="19"/>
        <v>-4.3506360675051335E-2</v>
      </c>
      <c r="K218" s="183">
        <f>VLOOKUP(B218,G!A1:F75,6,FALSE)</f>
        <v>-2.7483817073915233</v>
      </c>
      <c r="L218" s="49" t="str">
        <f t="shared" si="20"/>
        <v>N/A</v>
      </c>
      <c r="M218" s="38">
        <f>IF(Settings!$E$9="YAHOO",VLOOKUP(B218,ADP!A1:E731,2,FALSE),IF(Settings!$E$9="ESPN",VLOOKUP(B218,ADP!A1:E731,3,FALSE),IF(Settings!$E$9="FANTRAX",VLOOKUP(B218,ADP!A1:E731,4,FALSE),VLOOKUP(B218,ADP!A1:E731,5,FALSE))))</f>
        <v>315.77999999999997</v>
      </c>
      <c r="N218" s="38">
        <f t="shared" si="21"/>
        <v>98.779999999999973</v>
      </c>
      <c r="O218" s="38"/>
      <c r="P218" s="39" t="str">
        <f>IF(Settings!$E$27="ON",_xlfn.XLOOKUP(B218,ADP!A2:A731,ADP!H2:H731)," ")</f>
        <v xml:space="preserve"> </v>
      </c>
      <c r="Q218" s="40"/>
      <c r="R218" s="51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1"/>
      <c r="AI218" s="38"/>
      <c r="AJ218" s="42">
        <f>VLOOKUP(B218,'Player Data'!$A1:$AE734,24,FALSE)</f>
        <v>24</v>
      </c>
      <c r="AK218" s="40">
        <f>VLOOKUP(B218,'Player Data'!$A1:$AE734,25,FALSE)*$AJ218*IFERROR((VLOOKUP(P218,Settings!$E$28:$F$33,2,FALSE)+1),1)</f>
        <v>13.699266571294224</v>
      </c>
      <c r="AL218" s="40">
        <f>AJ218-AK218-AM218</f>
        <v>7.3007334287057759</v>
      </c>
      <c r="AM218" s="40">
        <f>VLOOKUP(B218,'Player Data'!$A1:$AE734,27,FALSE)*$AJ218</f>
        <v>3</v>
      </c>
      <c r="AN218" s="40">
        <f>VLOOKUP(B218,'Player Data'!$A1:$AE734,28,FALSE)*AJ218</f>
        <v>1.0253831471667649</v>
      </c>
      <c r="AO218" s="40">
        <f>VLOOKUP(B218,'Player Data'!$A1:$AE734,29,FALSE)*$AJ218*IFERROR((VLOOKUP(P218,Settings!$E$28:$F$33,2,FALSE)/4)+1,1)</f>
        <v>679.61461970454002</v>
      </c>
      <c r="AP218" s="40">
        <f>VLOOKUP(B218,'Player Data'!$A1:$AE734,31,FALSE)*$AJ218*(IFERROR(1-(VLOOKUP(P218,Settings!$E$28:$F$33,2,FALSE)/4),1))</f>
        <v>71.64681744546121</v>
      </c>
      <c r="AQ218" s="43">
        <f>1-(AP218/(AO218+AP218))</f>
        <v>0.9046313122136791</v>
      </c>
      <c r="AR218" s="44">
        <f>AP218/AJ218</f>
        <v>2.9852840602275506</v>
      </c>
      <c r="AS218" s="38"/>
    </row>
    <row r="219" spans="1:45" ht="21.2" customHeight="1">
      <c r="A219" s="181">
        <f t="shared" si="18"/>
        <v>218</v>
      </c>
      <c r="B219" s="8" t="s">
        <v>278</v>
      </c>
      <c r="C219" s="31" t="s">
        <v>104</v>
      </c>
      <c r="D219" s="32" t="str">
        <f>VLOOKUP(B219,'Player Data'!A1:D734,4,FALSE)</f>
        <v>D</v>
      </c>
      <c r="E219" s="47">
        <f>VLOOKUP(B219,D!A1:C229,3,FALSE)</f>
        <v>59</v>
      </c>
      <c r="F219" s="34" t="str">
        <f>VLOOKUP(B219,'Player Data'!A1:B734,2,FALSE)</f>
        <v>MIN</v>
      </c>
      <c r="G219" s="9">
        <f>VLOOKUP(B219,'Player Data'!A1:D734,3,FALSE)</f>
        <v>33</v>
      </c>
      <c r="H219" s="35">
        <f>IFERROR(VLOOKUP(B219,ADP!A1:G731,7,FALSE)/1000000,VLOOKUP(B219,ADP!A1:G731,7,FALSE))</f>
        <v>7.5750000000000002</v>
      </c>
      <c r="I219" s="36">
        <f>IF(Settings!$E$15="POINTS",((R219*Q219)*Settings!$B$12)+(S219*Settings!$B$2)+(T219*Settings!$B$3)+(U219*Settings!$B$4)+(V219*Settings!$B$5)+(X219*Settings!$B$9)+(AA219*Settings!$B$6)+(W219*Settings!$B$8)+(AB219*Settings!$B$7)+(AC219*Settings!$B$14)+(AD219*Settings!$B$15)+(AE219*Settings!$B$16)+(AF219*Settings!$B$17)+(AG219*Settings!$B$18)+(U219*Settings!$B$13)+(Y219*Settings!$B$10)+(Z219*Settings!$B$11),VLOOKUP(B219,'Standard Deviations'!A1:C731,3,FALSE))</f>
        <v>-0.82400144787201834</v>
      </c>
      <c r="J219" s="37">
        <f t="shared" si="19"/>
        <v>-1.0048798144780711E-2</v>
      </c>
      <c r="K219" s="183">
        <f>VLOOKUP(B219,D!A1:F229,6,FALSE)</f>
        <v>-2.7657419915063288</v>
      </c>
      <c r="L219" s="36">
        <f t="shared" si="20"/>
        <v>-0.36511445432426781</v>
      </c>
      <c r="M219" s="38">
        <f>IF(Settings!$E$9="YAHOO",VLOOKUP(B219,ADP!A1:E731,2,FALSE),IF(Settings!$E$9="ESPN",VLOOKUP(B219,ADP!A1:E731,3,FALSE),IF(Settings!$E$9="FANTRAX",VLOOKUP(B219,ADP!A1:E731,4,FALSE),VLOOKUP(B219,ADP!A1:E731,5,FALSE))))</f>
        <v>192.35</v>
      </c>
      <c r="N219" s="38">
        <f t="shared" si="21"/>
        <v>-25.650000000000006</v>
      </c>
      <c r="O219" s="38"/>
      <c r="P219" s="39" t="str">
        <f>IF(Settings!$E$27="ON",_xlfn.XLOOKUP(B219,ADP!A2:A731,ADP!H2:H731)," ")</f>
        <v xml:space="preserve"> </v>
      </c>
      <c r="Q219" s="40">
        <f>IF(Settings!$E$12="YES",VLOOKUP(B219,'Player Data'!A1:E734,5,FALSE),82)</f>
        <v>82</v>
      </c>
      <c r="R219" s="38">
        <f>VLOOKUP(B219,'Player Data'!$A1:$AE734,6,FALSE)</f>
        <v>21.423531844077999</v>
      </c>
      <c r="S219" s="40">
        <f>VLOOKUP(B219,'Player Data'!$A1:$AE734,7,FALSE)*$Q219*IFERROR((VLOOKUP(P219,Settings!$E$28:$F$33,2,FALSE)+1),1)</f>
        <v>9.8516239195040463</v>
      </c>
      <c r="T219" s="40">
        <f>VLOOKUP(B219,'Player Data'!$A1:$AE734,8,FALSE)*$Q219*IFERROR((VLOOKUP(P219,Settings!$E$28:$F$33,2,FALSE)+1),1)</f>
        <v>23.816080136311882</v>
      </c>
      <c r="U219" s="40">
        <f>SUM(S219:T219)</f>
        <v>33.667704055815932</v>
      </c>
      <c r="V219" s="40">
        <f>VLOOKUP(B219,'Player Data'!$A1:$AE734,10,FALSE)*$Q219*IFERROR(((VLOOKUP(P219,Settings!$E$28:$F$33,2,FALSE)/2)+1),1)</f>
        <v>155.90533428037278</v>
      </c>
      <c r="W219" s="40">
        <f>VLOOKUP(B219,'Player Data'!$A1:$AE734,11,FALSE)*$Q219*IFERROR((VLOOKUP(P219,Settings!$E$28:$F$33,2,FALSE)+1),1)</f>
        <v>0.71621619946248727</v>
      </c>
      <c r="X219" s="40">
        <f>VLOOKUP(B219,'Player Data'!$A1:$AE734,12,FALSE)*$Q219*IFERROR((VLOOKUP(P219,Settings!$E$28:$F$33,2,FALSE)+1),1)</f>
        <v>5.1657222609746221</v>
      </c>
      <c r="Y219" s="40">
        <f>VLOOKUP(B219,'Player Data'!$A1:$AE734,13,FALSE)*$Q219</f>
        <v>-5.2502433878643229E-2</v>
      </c>
      <c r="Z219" s="40">
        <f>VLOOKUP(B219,'Player Data'!$A1:$AE734,14,FALSE)*$Q219</f>
        <v>0.33785527664513282</v>
      </c>
      <c r="AA219" s="40">
        <f>VLOOKUP(B219,'Player Data'!$A1:$AE734,15,FALSE)*$Q219</f>
        <v>169.31643637883559</v>
      </c>
      <c r="AB219" s="40">
        <f>VLOOKUP(B219,'Player Data'!$A1:$AE734,16,FALSE)*$Q219</f>
        <v>75.583439800463836</v>
      </c>
      <c r="AC219" s="40">
        <f>VLOOKUP(B219,'Player Data'!$A1:$AE734,17,FALSE)*$Q219*IFERROR((VLOOKUP(P219,Settings!$E$28:$F$33,2,FALSE)+1),1)</f>
        <v>5.7489601113844264</v>
      </c>
      <c r="AD219" s="40">
        <f>VLOOKUP(B219,'Player Data'!$A1:$AE734,18,FALSE)*$Q219</f>
        <v>17.165548063579504</v>
      </c>
      <c r="AE219" s="40">
        <f>VLOOKUP(B219,'Player Data'!$A1:$AE734,19,FALSE)*$Q219*IFERROR((VLOOKUP(P219,Settings!$E$28:$F$33,2,FALSE)+1),1)</f>
        <v>1.5819384561892886</v>
      </c>
      <c r="AF219" s="40">
        <f>VLOOKUP(B219,'Player Data'!$A1:$AE734,20,FALSE)*$Q219</f>
        <v>0</v>
      </c>
      <c r="AG219" s="40">
        <f>VLOOKUP(B219,'Player Data'!$A1:$AE734,21,FALSE)*$Q219</f>
        <v>0</v>
      </c>
      <c r="AH219" s="41">
        <f>VLOOKUP(B219,'Player Data'!$A1:$AE734,22,FALSE)</f>
        <v>0</v>
      </c>
      <c r="AI219" s="38"/>
      <c r="AJ219" s="42"/>
      <c r="AK219" s="40"/>
      <c r="AL219" s="40"/>
      <c r="AM219" s="40"/>
      <c r="AN219" s="40"/>
      <c r="AO219" s="40"/>
      <c r="AP219" s="40"/>
      <c r="AQ219" s="43"/>
      <c r="AR219" s="44"/>
      <c r="AS219" s="38"/>
    </row>
    <row r="220" spans="1:45" ht="21.2" customHeight="1">
      <c r="A220" s="181">
        <f t="shared" si="18"/>
        <v>219</v>
      </c>
      <c r="B220" s="8" t="s">
        <v>288</v>
      </c>
      <c r="C220" s="31" t="s">
        <v>104</v>
      </c>
      <c r="D220" s="32" t="str">
        <f>VLOOKUP(B220,'Player Data'!A1:D734,4,FALSE)</f>
        <v>D</v>
      </c>
      <c r="E220" s="47">
        <f>VLOOKUP(B220,D!A1:C229,3,FALSE)</f>
        <v>60</v>
      </c>
      <c r="F220" s="34" t="str">
        <f>VLOOKUP(B220,'Player Data'!A1:B734,2,FALSE)</f>
        <v>EDM</v>
      </c>
      <c r="G220" s="9">
        <f>VLOOKUP(B220,'Player Data'!A1:D734,3,FALSE)</f>
        <v>33</v>
      </c>
      <c r="H220" s="35">
        <f>IFERROR(VLOOKUP(B220,ADP!A1:G731,7,FALSE)/1000000,VLOOKUP(B220,ADP!A1:G731,7,FALSE))</f>
        <v>6</v>
      </c>
      <c r="I220" s="36">
        <f>IF(Settings!$E$15="POINTS",((R220*Q220)*Settings!$B$12)+(S220*Settings!$B$2)+(T220*Settings!$B$3)+(U220*Settings!$B$4)+(V220*Settings!$B$5)+(X220*Settings!$B$9)+(AA220*Settings!$B$6)+(W220*Settings!$B$8)+(AB220*Settings!$B$7)+(AC220*Settings!$B$14)+(AD220*Settings!$B$15)+(AE220*Settings!$B$16)+(AF220*Settings!$B$17)+(AG220*Settings!$B$18)+(U220*Settings!$B$13)+(Y220*Settings!$B$10)+(Z220*Settings!$B$11),VLOOKUP(B220,'Standard Deviations'!A1:C731,3,FALSE))</f>
        <v>-0.8653914334476327</v>
      </c>
      <c r="J220" s="37">
        <f t="shared" si="19"/>
        <v>-1.0553554066434545E-2</v>
      </c>
      <c r="K220" s="183">
        <f>VLOOKUP(B220,D!A1:F229,6,FALSE)</f>
        <v>-2.8071319770819434</v>
      </c>
      <c r="L220" s="36">
        <f t="shared" si="20"/>
        <v>-0.46785532951365721</v>
      </c>
      <c r="M220" s="38">
        <f>IF(Settings!$E$9="YAHOO",VLOOKUP(B220,ADP!A1:E731,2,FALSE),IF(Settings!$E$9="ESPN",VLOOKUP(B220,ADP!A1:E731,3,FALSE),IF(Settings!$E$9="FANTRAX",VLOOKUP(B220,ADP!A1:E731,4,FALSE),VLOOKUP(B220,ADP!A1:E731,5,FALSE))))</f>
        <v>175.92</v>
      </c>
      <c r="N220" s="38">
        <f t="shared" si="21"/>
        <v>-43.080000000000013</v>
      </c>
      <c r="O220" s="38"/>
      <c r="P220" s="39" t="str">
        <f>IF(Settings!$E$27="ON",_xlfn.XLOOKUP(B220,ADP!A2:A731,ADP!H2:H731)," ")</f>
        <v>+</v>
      </c>
      <c r="Q220" s="40">
        <f>IF(Settings!$E$12="YES",VLOOKUP(B220,'Player Data'!A1:E734,5,FALSE),82)</f>
        <v>82</v>
      </c>
      <c r="R220" s="38">
        <f>VLOOKUP(B220,'Player Data'!$A1:$AE734,6,FALSE)</f>
        <v>22.213327102383701</v>
      </c>
      <c r="S220" s="40">
        <f>VLOOKUP(B220,'Player Data'!$A1:$AE734,7,FALSE)*$Q220*IFERROR((VLOOKUP(P220,Settings!$E$28:$F$33,2,FALSE)+1),1)</f>
        <v>8.2232987416495664</v>
      </c>
      <c r="T220" s="40">
        <f>VLOOKUP(B220,'Player Data'!$A1:$AE734,8,FALSE)*$Q220*IFERROR((VLOOKUP(P220,Settings!$E$28:$F$33,2,FALSE)+1),1)</f>
        <v>26.356284464675259</v>
      </c>
      <c r="U220" s="40">
        <f>SUM(S220:T220)</f>
        <v>34.579583206324827</v>
      </c>
      <c r="V220" s="40">
        <f>VLOOKUP(B220,'Player Data'!$A1:$AE734,10,FALSE)*$Q220*IFERROR(((VLOOKUP(P220,Settings!$E$28:$F$33,2,FALSE)/2)+1),1)</f>
        <v>156.6162349055227</v>
      </c>
      <c r="W220" s="40">
        <f>VLOOKUP(B220,'Player Data'!$A1:$AE734,11,FALSE)*$Q220*IFERROR((VLOOKUP(P220,Settings!$E$28:$F$33,2,FALSE)+1),1)</f>
        <v>8.6456732829634064E-2</v>
      </c>
      <c r="X220" s="40">
        <f>VLOOKUP(B220,'Player Data'!$A1:$AE734,12,FALSE)*$Q220*IFERROR((VLOOKUP(P220,Settings!$E$28:$F$33,2,FALSE)+1),1)</f>
        <v>3.9498176718446798</v>
      </c>
      <c r="Y220" s="40">
        <f>VLOOKUP(B220,'Player Data'!$A1:$AE734,13,FALSE)*$Q220</f>
        <v>-4.844036459348923E-2</v>
      </c>
      <c r="Z220" s="40">
        <f>VLOOKUP(B220,'Player Data'!$A1:$AE734,14,FALSE)*$Q220</f>
        <v>0.66508528516841114</v>
      </c>
      <c r="AA220" s="40">
        <f>VLOOKUP(B220,'Player Data'!$A1:$AE734,15,FALSE)*$Q220</f>
        <v>111.08179722783375</v>
      </c>
      <c r="AB220" s="40">
        <f>VLOOKUP(B220,'Player Data'!$A1:$AE734,16,FALSE)*$Q220</f>
        <v>91.616990254409231</v>
      </c>
      <c r="AC220" s="40">
        <f>VLOOKUP(B220,'Player Data'!$A1:$AE734,17,FALSE)*$Q220*IFERROR((VLOOKUP(P220,Settings!$E$28:$F$33,2,FALSE)+1),1)</f>
        <v>9.460346956866271</v>
      </c>
      <c r="AD220" s="40">
        <f>VLOOKUP(B220,'Player Data'!$A1:$AE734,18,FALSE)*$Q220</f>
        <v>35.922709769284502</v>
      </c>
      <c r="AE220" s="40">
        <f>VLOOKUP(B220,'Player Data'!$A1:$AE734,19,FALSE)*$Q220*IFERROR((VLOOKUP(P220,Settings!$E$28:$F$33,2,FALSE)+1),1)</f>
        <v>1.3016599085685097</v>
      </c>
      <c r="AF220" s="40">
        <f>VLOOKUP(B220,'Player Data'!$A1:$AE734,20,FALSE)*$Q220</f>
        <v>0</v>
      </c>
      <c r="AG220" s="40">
        <f>VLOOKUP(B220,'Player Data'!$A1:$AE734,21,FALSE)*$Q220</f>
        <v>0</v>
      </c>
      <c r="AH220" s="41">
        <f>VLOOKUP(B220,'Player Data'!$A1:$AE734,22,FALSE)</f>
        <v>0</v>
      </c>
      <c r="AI220" s="38"/>
      <c r="AJ220" s="42"/>
      <c r="AK220" s="40"/>
      <c r="AL220" s="40"/>
      <c r="AM220" s="40"/>
      <c r="AN220" s="40"/>
      <c r="AO220" s="40"/>
      <c r="AP220" s="40"/>
      <c r="AQ220" s="43"/>
      <c r="AR220" s="44"/>
      <c r="AS220" s="38"/>
    </row>
    <row r="221" spans="1:45" ht="21.2" customHeight="1">
      <c r="A221" s="181">
        <f t="shared" si="18"/>
        <v>220</v>
      </c>
      <c r="B221" s="8" t="s">
        <v>747</v>
      </c>
      <c r="C221" s="31" t="s">
        <v>104</v>
      </c>
      <c r="D221" s="32" t="str">
        <f>VLOOKUP(B221,'Player Data'!A1:D734,4,FALSE)</f>
        <v>G</v>
      </c>
      <c r="E221" s="50">
        <f>VLOOKUP(B221,G!A1:D75,3,FALSE)</f>
        <v>46</v>
      </c>
      <c r="F221" s="34" t="str">
        <f>VLOOKUP(B221,'Player Data'!A1:B734,2,FALSE)</f>
        <v>COL</v>
      </c>
      <c r="G221" s="9">
        <f>VLOOKUP(B221,'Player Data'!A1:D734,3,FALSE)</f>
        <v>33</v>
      </c>
      <c r="H221" s="35">
        <f>IFERROR(VLOOKUP(B221,ADP!A1:G731,7,FALSE)/1000000,VLOOKUP(B221,ADP!A1:G731,7,FALSE))</f>
        <v>2</v>
      </c>
      <c r="I221" s="36">
        <f>IF(Settings!$E$15="POINTS",(AJ221*Settings!$B$29)+(AK221*Settings!$B$21)+(AL221*Settings!$B$22)+(AN221*Settings!$B$24)+(AO221*Settings!$B$25)+(AP221*Settings!$B$27)+(AM221*Settings!$B$23),VLOOKUP(B221,'Standard Deviations'!A1:C731,3,FALSE))</f>
        <v>-1.1399086003262058</v>
      </c>
      <c r="J221" s="37">
        <f t="shared" si="19"/>
        <v>-4.7496191680258572E-2</v>
      </c>
      <c r="K221" s="183">
        <f>VLOOKUP(B221,G!A1:F75,6,FALSE)</f>
        <v>-2.8441376515164976</v>
      </c>
      <c r="L221" s="36">
        <f t="shared" si="20"/>
        <v>-1.4220688257582488</v>
      </c>
      <c r="M221" s="38">
        <f>IF(Settings!$E$9="YAHOO",VLOOKUP(B221,ADP!A1:E731,2,FALSE),IF(Settings!$E$9="ESPN",VLOOKUP(B221,ADP!A1:E731,3,FALSE),IF(Settings!$E$9="FANTRAX",VLOOKUP(B221,ADP!A1:E731,4,FALSE),VLOOKUP(B221,ADP!A1:E731,5,FALSE))))</f>
        <v>424.12</v>
      </c>
      <c r="N221" s="38">
        <f t="shared" si="21"/>
        <v>204.12</v>
      </c>
      <c r="O221" s="38"/>
      <c r="P221" s="39" t="str">
        <f>IF(Settings!$E$27="ON",_xlfn.XLOOKUP(B221,ADP!A2:A731,ADP!H2:H731)," ")</f>
        <v xml:space="preserve"> </v>
      </c>
      <c r="Q221" s="40"/>
      <c r="R221" s="51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1"/>
      <c r="AI221" s="38"/>
      <c r="AJ221" s="42">
        <f>VLOOKUP(B221,'Player Data'!$A1:$AE734,24,FALSE)</f>
        <v>24</v>
      </c>
      <c r="AK221" s="40">
        <f>VLOOKUP(B221,'Player Data'!$A1:$AE734,25,FALSE)*$AJ221*IFERROR((VLOOKUP(P221,Settings!$E$28:$F$33,2,FALSE)+1),1)</f>
        <v>13.247209162135297</v>
      </c>
      <c r="AL221" s="40">
        <f>AJ221-AK221-AM221</f>
        <v>7.752790837864703</v>
      </c>
      <c r="AM221" s="40">
        <f>VLOOKUP(B221,'Player Data'!$A1:$AE734,27,FALSE)*$AJ221</f>
        <v>3</v>
      </c>
      <c r="AN221" s="40">
        <f>VLOOKUP(B221,'Player Data'!$A1:$AE734,28,FALSE)*AJ221</f>
        <v>1.0928584831564583</v>
      </c>
      <c r="AO221" s="40">
        <f>VLOOKUP(B221,'Player Data'!$A1:$AE734,29,FALSE)*$AJ221*IFERROR((VLOOKUP(P221,Settings!$E$28:$F$33,2,FALSE)/4)+1,1)</f>
        <v>658.8894839305824</v>
      </c>
      <c r="AP221" s="40">
        <f>VLOOKUP(B221,'Player Data'!$A1:$AE734,31,FALSE)*$AJ221*(IFERROR(1-(VLOOKUP(P221,Settings!$E$28:$F$33,2,FALSE)/4),1))</f>
        <v>70.763632419418087</v>
      </c>
      <c r="AQ221" s="43">
        <f>1-(AP221/(AO221+AP221))</f>
        <v>0.90301743275845325</v>
      </c>
      <c r="AR221" s="44">
        <f>AP221/AJ221</f>
        <v>2.9484846841424202</v>
      </c>
      <c r="AS221" s="38"/>
    </row>
    <row r="222" spans="1:45" ht="21.2" customHeight="1">
      <c r="A222" s="181">
        <f t="shared" si="18"/>
        <v>221</v>
      </c>
      <c r="B222" s="8" t="s">
        <v>771</v>
      </c>
      <c r="C222" s="31" t="s">
        <v>104</v>
      </c>
      <c r="D222" s="32" t="str">
        <f>VLOOKUP(B222,'Player Data'!A1:D734,4,FALSE)</f>
        <v>G</v>
      </c>
      <c r="E222" s="50">
        <f>VLOOKUP(B222,G!A1:D75,3,FALSE)</f>
        <v>47</v>
      </c>
      <c r="F222" s="34" t="str">
        <f>VLOOKUP(B222,'Player Data'!A1:B734,2,FALSE)</f>
        <v>NYR</v>
      </c>
      <c r="G222" s="9">
        <f>VLOOKUP(B222,'Player Data'!A1:D734,3,FALSE)</f>
        <v>37</v>
      </c>
      <c r="H222" s="35">
        <f>IFERROR(VLOOKUP(B222,ADP!A1:G731,7,FALSE)/1000000,VLOOKUP(B222,ADP!A1:G731,7,FALSE))</f>
        <v>0</v>
      </c>
      <c r="I222" s="36">
        <f>IF(Settings!$E$15="POINTS",(AJ222*Settings!$B$29)+(AK222*Settings!$B$21)+(AL222*Settings!$B$22)+(AN222*Settings!$B$24)+(AO222*Settings!$B$25)+(AP222*Settings!$B$27)+(AM222*Settings!$B$23),VLOOKUP(B222,'Standard Deviations'!A1:C731,3,FALSE))</f>
        <v>-1.1560242231456963</v>
      </c>
      <c r="J222" s="37">
        <f t="shared" si="19"/>
        <v>-4.8167675964404015E-2</v>
      </c>
      <c r="K222" s="183">
        <f>VLOOKUP(B222,G!A1:F75,6,FALSE)</f>
        <v>-2.8602532743359879</v>
      </c>
      <c r="L222" s="49" t="str">
        <f t="shared" si="20"/>
        <v>N/A</v>
      </c>
      <c r="M222" s="52" t="str">
        <f>IF(Settings!$E$9="YAHOO",VLOOKUP(B222,ADP!A1:E731,2,FALSE),IF(Settings!$E$9="ESPN",VLOOKUP(B222,ADP!A1:E731,3,FALSE),IF(Settings!$E$9="FANTRAX",VLOOKUP(B222,ADP!A1:E731,4,FALSE),VLOOKUP(B222,ADP!A1:E731,5,FALSE))))</f>
        <v>-</v>
      </c>
      <c r="N222" s="52" t="str">
        <f t="shared" si="21"/>
        <v>N/A</v>
      </c>
      <c r="O222" s="38"/>
      <c r="P222" s="39" t="str">
        <f>IF(Settings!$E$27="ON",_xlfn.XLOOKUP(B222,ADP!A2:A731,ADP!H2:H731)," ")</f>
        <v xml:space="preserve"> </v>
      </c>
      <c r="Q222" s="40"/>
      <c r="R222" s="51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1"/>
      <c r="AI222" s="38"/>
      <c r="AJ222" s="42">
        <f>VLOOKUP(B222,'Player Data'!$A1:$AE734,24,FALSE)</f>
        <v>24</v>
      </c>
      <c r="AK222" s="40">
        <f>VLOOKUP(B222,'Player Data'!$A1:$AE734,25,FALSE)*$AJ222*IFERROR((VLOOKUP(P222,Settings!$E$28:$F$33,2,FALSE)+1),1)</f>
        <v>13.086712033611096</v>
      </c>
      <c r="AL222" s="40">
        <f>AJ222-AK222-AM222</f>
        <v>7.9132879663889035</v>
      </c>
      <c r="AM222" s="40">
        <f>VLOOKUP(B222,'Player Data'!$A1:$AE734,27,FALSE)*$AJ222</f>
        <v>3</v>
      </c>
      <c r="AN222" s="40">
        <f>VLOOKUP(B222,'Player Data'!$A1:$AE734,28,FALSE)*AJ222</f>
        <v>0.74598704994933118</v>
      </c>
      <c r="AO222" s="40">
        <f>VLOOKUP(B222,'Player Data'!$A1:$AE734,29,FALSE)*$AJ222*IFERROR((VLOOKUP(P222,Settings!$E$28:$F$33,2,FALSE)/4)+1,1)</f>
        <v>659.53696592525284</v>
      </c>
      <c r="AP222" s="40">
        <f>VLOOKUP(B222,'Player Data'!$A1:$AE734,31,FALSE)*$AJ222*(IFERROR(1-(VLOOKUP(P222,Settings!$E$28:$F$33,2,FALSE)/4),1))</f>
        <v>75.303834424746952</v>
      </c>
      <c r="AQ222" s="43">
        <f>1-(AP222/(AO222+AP222))</f>
        <v>0.89752360730530989</v>
      </c>
      <c r="AR222" s="44">
        <f>AP222/AJ222</f>
        <v>3.1376597676977895</v>
      </c>
      <c r="AS222" s="38"/>
    </row>
    <row r="223" spans="1:45" ht="21.2" customHeight="1">
      <c r="A223" s="181">
        <f t="shared" si="18"/>
        <v>222</v>
      </c>
      <c r="B223" s="8" t="s">
        <v>327</v>
      </c>
      <c r="C223" s="31" t="s">
        <v>104</v>
      </c>
      <c r="D223" s="32" t="str">
        <f>VLOOKUP(B223,'Player Data'!A1:D734,4,FALSE)</f>
        <v>C,RW</v>
      </c>
      <c r="E223" s="45">
        <f>VLOOKUP(B223,RW!A1:F189,3,FALSE)</f>
        <v>52</v>
      </c>
      <c r="F223" s="34" t="str">
        <f>VLOOKUP(B223,'Player Data'!A1:B734,2,FALSE)</f>
        <v>MTL</v>
      </c>
      <c r="G223" s="9">
        <f>VLOOKUP(B223,'Player Data'!A1:D734,3,FALSE)</f>
        <v>22</v>
      </c>
      <c r="H223" s="35">
        <f>IFERROR(VLOOKUP(B223,ADP!A1:G731,7,FALSE)/1000000,VLOOKUP(B223,ADP!A1:G731,7,FALSE))</f>
        <v>3.3624999999999998</v>
      </c>
      <c r="I223" s="36">
        <f>IF(Settings!$E$15="POINTS",((R223*Q223)*Settings!$B$12)+(S223*Settings!$B$2)+(T223*Settings!$B$3)+(U223*Settings!$B$4)+(V223*Settings!$B$5)+(X223*Settings!$B$9)+(AA223*Settings!$B$6)+(W223*Settings!$B$8)+(AB223*Settings!$B$7)+(AC223*Settings!$B$14)+(AD223*Settings!$B$15)+(AE223*Settings!$B$16)+(AF223*Settings!$B$17)+(AG223*Settings!$B$18)+(Y223*Settings!$B$10)+(Z223*Settings!$B$11),VLOOKUP(B223,'Standard Deviations'!A1:C731,3,FALSE))</f>
        <v>3.41087557349221</v>
      </c>
      <c r="J223" s="37">
        <f t="shared" si="19"/>
        <v>4.1596043579173292E-2</v>
      </c>
      <c r="K223" s="183">
        <f>IF(Settings!$E$18="C/LW/RW",VLOOKUP(B223,RW!A1:F189,6,FALSE),VLOOKUP(B223,F!A1:F431,6,FALSE))</f>
        <v>-2.8693831455188707</v>
      </c>
      <c r="L223" s="36">
        <f t="shared" si="20"/>
        <v>-0.85334814736620701</v>
      </c>
      <c r="M223" s="38">
        <f>IF(Settings!$E$9="YAHOO",VLOOKUP(B223,ADP!A1:E731,2,FALSE),IF(Settings!$E$9="ESPN",VLOOKUP(B223,ADP!A1:E731,3,FALSE),IF(Settings!$E$9="FANTRAX",VLOOKUP(B223,ADP!A1:E731,4,FALSE),VLOOKUP(B223,ADP!A1:E731,5,FALSE))))</f>
        <v>223.46</v>
      </c>
      <c r="N223" s="38">
        <f t="shared" si="21"/>
        <v>1.460000000000008</v>
      </c>
      <c r="O223" s="38"/>
      <c r="P223" s="39" t="str">
        <f>IF(Settings!$E$27="ON",_xlfn.XLOOKUP(B223,ADP!A2:A731,ADP!H2:H731)," ")</f>
        <v>+</v>
      </c>
      <c r="Q223" s="40">
        <f>IF(Settings!$E$12="YES",VLOOKUP(B223,'Player Data'!A1:E734,5,FALSE),82)</f>
        <v>82</v>
      </c>
      <c r="R223" s="38">
        <f>VLOOKUP(B223,'Player Data'!$A1:$AE734,6,FALSE)</f>
        <v>18.252363030649398</v>
      </c>
      <c r="S223" s="40">
        <f>VLOOKUP(B223,'Player Data'!$A1:$AE734,7,FALSE)*$Q223*IFERROR((VLOOKUP(P223,Settings!$E$28:$F$33,2,FALSE)+1),1)</f>
        <v>21.00633812621501</v>
      </c>
      <c r="T223" s="40">
        <f>VLOOKUP(B223,'Player Data'!$A1:$AE734,8,FALSE)*$Q223*IFERROR((VLOOKUP(P223,Settings!$E$28:$F$33,2,FALSE)+1),1)</f>
        <v>33.99567444701389</v>
      </c>
      <c r="U223" s="40">
        <f>SUM(S223:T223)</f>
        <v>55.002012573228896</v>
      </c>
      <c r="V223" s="40">
        <f>VLOOKUP(B223,'Player Data'!$A1:$AE734,10,FALSE)*$Q223*IFERROR(((VLOOKUP(P223,Settings!$E$28:$F$33,2,FALSE)/2)+1),1)</f>
        <v>159.85666169536023</v>
      </c>
      <c r="W223" s="40">
        <f>VLOOKUP(B223,'Player Data'!$A1:$AE734,11,FALSE)*$Q223*IFERROR((VLOOKUP(P223,Settings!$E$28:$F$33,2,FALSE)+1),1)</f>
        <v>7.2432796978426621</v>
      </c>
      <c r="X223" s="40">
        <f>VLOOKUP(B223,'Player Data'!$A1:$AE734,12,FALSE)*$Q223*IFERROR((VLOOKUP(P223,Settings!$E$28:$F$33,2,FALSE)+1),1)</f>
        <v>19.339459512419868</v>
      </c>
      <c r="Y223" s="40">
        <f>VLOOKUP(B223,'Player Data'!$A1:$AE734,13,FALSE)*$Q223</f>
        <v>7.2572078927663736E-2</v>
      </c>
      <c r="Z223" s="40">
        <f>VLOOKUP(B223,'Player Data'!$A1:$AE734,14,FALSE)*$Q223</f>
        <v>0.78003174147424181</v>
      </c>
      <c r="AA223" s="40">
        <f>VLOOKUP(B223,'Player Data'!$A1:$AE734,15,FALSE)*$Q223</f>
        <v>50.228811861805966</v>
      </c>
      <c r="AB223" s="40">
        <f>VLOOKUP(B223,'Player Data'!$A1:$AE734,16,FALSE)*$Q223</f>
        <v>69.622279431690856</v>
      </c>
      <c r="AC223" s="40">
        <f>VLOOKUP(B223,'Player Data'!$A1:$AE734,17,FALSE)*$Q223*IFERROR((VLOOKUP(P223,Settings!$E$28:$F$33,2,FALSE)+1),1)</f>
        <v>-6.7635373802449141</v>
      </c>
      <c r="AD223" s="40">
        <f>VLOOKUP(B223,'Player Data'!$A1:$AE734,18,FALSE)*$Q223</f>
        <v>51.348049040638287</v>
      </c>
      <c r="AE223" s="40">
        <f>VLOOKUP(B223,'Player Data'!$A1:$AE734,19,FALSE)*$Q223*IFERROR((VLOOKUP(P223,Settings!$E$28:$F$33,2,FALSE)+1),1)</f>
        <v>2.1519336973023719</v>
      </c>
      <c r="AF223" s="40">
        <f>VLOOKUP(B223,'Player Data'!$A1:$AE734,20,FALSE)*$Q223</f>
        <v>145.58198257939691</v>
      </c>
      <c r="AG223" s="40">
        <f>VLOOKUP(B223,'Player Data'!$A1:$AE734,21,FALSE)*$Q223</f>
        <v>258.63251387650899</v>
      </c>
      <c r="AH223" s="41">
        <f>VLOOKUP(B223,'Player Data'!$A1:$AE734,22,FALSE)</f>
        <v>0.36016022150575699</v>
      </c>
      <c r="AI223" s="38"/>
      <c r="AJ223" s="42"/>
      <c r="AK223" s="40"/>
      <c r="AL223" s="40"/>
      <c r="AM223" s="40"/>
      <c r="AN223" s="40"/>
      <c r="AO223" s="40"/>
      <c r="AP223" s="40"/>
      <c r="AQ223" s="43"/>
      <c r="AR223" s="44"/>
      <c r="AS223" s="38"/>
    </row>
    <row r="224" spans="1:45" ht="21.2" customHeight="1">
      <c r="A224" s="181">
        <f t="shared" si="18"/>
        <v>223</v>
      </c>
      <c r="B224" s="8" t="s">
        <v>376</v>
      </c>
      <c r="C224" s="31" t="s">
        <v>104</v>
      </c>
      <c r="D224" s="32" t="str">
        <f>VLOOKUP(B224,'Player Data'!A1:D734,4,FALSE)</f>
        <v>D</v>
      </c>
      <c r="E224" s="47">
        <f>VLOOKUP(B224,D!A1:C229,3,FALSE)</f>
        <v>61</v>
      </c>
      <c r="F224" s="34" t="str">
        <f>VLOOKUP(B224,'Player Data'!A1:B734,2,FALSE)</f>
        <v>PHI</v>
      </c>
      <c r="G224" s="9">
        <f>VLOOKUP(B224,'Player Data'!A1:D734,3,FALSE)</f>
        <v>27</v>
      </c>
      <c r="H224" s="35">
        <f>IFERROR(VLOOKUP(B224,ADP!A1:G731,7,FALSE)/1000000,VLOOKUP(B224,ADP!A1:G731,7,FALSE))</f>
        <v>1.675</v>
      </c>
      <c r="I224" s="36">
        <f>IF(Settings!$E$15="POINTS",((R224*Q224)*Settings!$B$12)+(S224*Settings!$B$2)+(T224*Settings!$B$3)+(U224*Settings!$B$4)+(V224*Settings!$B$5)+(X224*Settings!$B$9)+(AA224*Settings!$B$6)+(W224*Settings!$B$8)+(AB224*Settings!$B$7)+(AC224*Settings!$B$14)+(AD224*Settings!$B$15)+(AE224*Settings!$B$16)+(AF224*Settings!$B$17)+(AG224*Settings!$B$18)+(U224*Settings!$B$13)+(Y224*Settings!$B$10)+(Z224*Settings!$B$11),VLOOKUP(B224,'Standard Deviations'!A1:C731,3,FALSE))</f>
        <v>-0.95918710044723221</v>
      </c>
      <c r="J224" s="37">
        <f t="shared" si="19"/>
        <v>-1.1697403663990637E-2</v>
      </c>
      <c r="K224" s="183">
        <f>VLOOKUP(B224,D!A1:F229,6,FALSE)</f>
        <v>-2.900927644081543</v>
      </c>
      <c r="L224" s="36">
        <f t="shared" si="20"/>
        <v>-1.7318971009442048</v>
      </c>
      <c r="M224" s="38">
        <f>IF(Settings!$E$9="YAHOO",VLOOKUP(B224,ADP!A1:E731,2,FALSE),IF(Settings!$E$9="ESPN",VLOOKUP(B224,ADP!A1:E731,3,FALSE),IF(Settings!$E$9="FANTRAX",VLOOKUP(B224,ADP!A1:E731,4,FALSE),VLOOKUP(B224,ADP!A1:E731,5,FALSE))))</f>
        <v>175.29</v>
      </c>
      <c r="N224" s="38">
        <f t="shared" si="21"/>
        <v>-47.710000000000008</v>
      </c>
      <c r="O224" s="38"/>
      <c r="P224" s="39" t="str">
        <f>IF(Settings!$E$27="ON",_xlfn.XLOOKUP(B224,ADP!A2:A731,ADP!H2:H731)," ")</f>
        <v xml:space="preserve"> </v>
      </c>
      <c r="Q224" s="40">
        <f>IF(Settings!$E$12="YES",VLOOKUP(B224,'Player Data'!A1:E734,5,FALSE),82)</f>
        <v>82</v>
      </c>
      <c r="R224" s="38">
        <f>VLOOKUP(B224,'Player Data'!$A1:$AE734,6,FALSE)</f>
        <v>16.0190706365964</v>
      </c>
      <c r="S224" s="40">
        <f>VLOOKUP(B224,'Player Data'!$A1:$AE734,7,FALSE)*$Q224*IFERROR((VLOOKUP(P224,Settings!$E$28:$F$33,2,FALSE)+1),1)</f>
        <v>7.8496567588323503</v>
      </c>
      <c r="T224" s="40">
        <f>VLOOKUP(B224,'Player Data'!$A1:$AE734,8,FALSE)*$Q224*IFERROR((VLOOKUP(P224,Settings!$E$28:$F$33,2,FALSE)+1),1)</f>
        <v>24.070518154193422</v>
      </c>
      <c r="U224" s="40">
        <f>SUM(S224:T224)</f>
        <v>31.920174913025772</v>
      </c>
      <c r="V224" s="40">
        <f>VLOOKUP(B224,'Player Data'!$A1:$AE734,10,FALSE)*$Q224*IFERROR(((VLOOKUP(P224,Settings!$E$28:$F$33,2,FALSE)/2)+1),1)</f>
        <v>144.41993436880213</v>
      </c>
      <c r="W224" s="40">
        <f>VLOOKUP(B224,'Player Data'!$A1:$AE734,11,FALSE)*$Q224*IFERROR((VLOOKUP(P224,Settings!$E$28:$F$33,2,FALSE)+1),1)</f>
        <v>1.4164154446477317</v>
      </c>
      <c r="X224" s="40">
        <f>VLOOKUP(B224,'Player Data'!$A1:$AE734,12,FALSE)*$Q224*IFERROR((VLOOKUP(P224,Settings!$E$28:$F$33,2,FALSE)+1),1)</f>
        <v>8.2398518283415267</v>
      </c>
      <c r="Y224" s="40">
        <f>VLOOKUP(B224,'Player Data'!$A1:$AE734,13,FALSE)*$Q224</f>
        <v>3.6626431656960239E-3</v>
      </c>
      <c r="Z224" s="40">
        <f>VLOOKUP(B224,'Player Data'!$A1:$AE734,14,FALSE)*$Q224</f>
        <v>1.631490313098409E-2</v>
      </c>
      <c r="AA224" s="40">
        <f>VLOOKUP(B224,'Player Data'!$A1:$AE734,15,FALSE)*$Q224</f>
        <v>74.759323931012119</v>
      </c>
      <c r="AB224" s="40">
        <f>VLOOKUP(B224,'Player Data'!$A1:$AE734,16,FALSE)*$Q224</f>
        <v>60.307196604215072</v>
      </c>
      <c r="AC224" s="40">
        <f>VLOOKUP(B224,'Player Data'!$A1:$AE734,17,FALSE)*$Q224*IFERROR((VLOOKUP(P224,Settings!$E$28:$F$33,2,FALSE)+1),1)</f>
        <v>4.752738287611038</v>
      </c>
      <c r="AD224" s="40">
        <f>VLOOKUP(B224,'Player Data'!$A1:$AE734,18,FALSE)*$Q224</f>
        <v>37.027060757681312</v>
      </c>
      <c r="AE224" s="40">
        <f>VLOOKUP(B224,'Player Data'!$A1:$AE734,19,FALSE)*$Q224*IFERROR((VLOOKUP(P224,Settings!$E$28:$F$33,2,FALSE)+1),1)</f>
        <v>0.92269294635806931</v>
      </c>
      <c r="AF224" s="40">
        <f>VLOOKUP(B224,'Player Data'!$A1:$AE734,20,FALSE)*$Q224</f>
        <v>0</v>
      </c>
      <c r="AG224" s="40">
        <f>VLOOKUP(B224,'Player Data'!$A1:$AE734,21,FALSE)*$Q224</f>
        <v>0</v>
      </c>
      <c r="AH224" s="41">
        <f>VLOOKUP(B224,'Player Data'!$A1:$AE734,22,FALSE)</f>
        <v>0</v>
      </c>
      <c r="AI224" s="38"/>
      <c r="AJ224" s="42"/>
      <c r="AK224" s="40"/>
      <c r="AL224" s="40"/>
      <c r="AM224" s="40"/>
      <c r="AN224" s="40"/>
      <c r="AO224" s="40"/>
      <c r="AP224" s="40"/>
      <c r="AQ224" s="43"/>
      <c r="AR224" s="44"/>
      <c r="AS224" s="38"/>
    </row>
    <row r="225" spans="1:45" ht="21.2" customHeight="1">
      <c r="A225" s="181">
        <f t="shared" si="18"/>
        <v>224</v>
      </c>
      <c r="B225" s="8" t="s">
        <v>289</v>
      </c>
      <c r="C225" s="31" t="s">
        <v>104</v>
      </c>
      <c r="D225" s="32" t="str">
        <f>VLOOKUP(B225,'Player Data'!A1:D734,4,FALSE)</f>
        <v>D</v>
      </c>
      <c r="E225" s="47">
        <f>VLOOKUP(B225,D!A1:C229,3,FALSE)</f>
        <v>62</v>
      </c>
      <c r="F225" s="34" t="str">
        <f>VLOOKUP(B225,'Player Data'!A1:B734,2,FALSE)</f>
        <v>CBJ</v>
      </c>
      <c r="G225" s="9">
        <f>VLOOKUP(B225,'Player Data'!A1:D734,3,FALSE)</f>
        <v>29</v>
      </c>
      <c r="H225" s="35">
        <f>IFERROR(VLOOKUP(B225,ADP!A1:G731,7,FALSE)/1000000,VLOOKUP(B225,ADP!A1:G731,7,FALSE))</f>
        <v>6.25</v>
      </c>
      <c r="I225" s="36">
        <f>IF(Settings!$E$15="POINTS",((R225*Q225)*Settings!$B$12)+(S225*Settings!$B$2)+(T225*Settings!$B$3)+(U225*Settings!$B$4)+(V225*Settings!$B$5)+(X225*Settings!$B$9)+(AA225*Settings!$B$6)+(W225*Settings!$B$8)+(AB225*Settings!$B$7)+(AC225*Settings!$B$14)+(AD225*Settings!$B$15)+(AE225*Settings!$B$16)+(AF225*Settings!$B$17)+(AG225*Settings!$B$18)+(U225*Settings!$B$13)+(Y225*Settings!$B$10)+(Z225*Settings!$B$11),VLOOKUP(B225,'Standard Deviations'!A1:C731,3,FALSE))</f>
        <v>-0.95954048303692707</v>
      </c>
      <c r="J225" s="37">
        <f t="shared" si="19"/>
        <v>-1.1701713207767403E-2</v>
      </c>
      <c r="K225" s="183">
        <f>VLOOKUP(B225,D!A1:F229,6,FALSE)</f>
        <v>-2.9012810266712377</v>
      </c>
      <c r="L225" s="36">
        <f t="shared" si="20"/>
        <v>-0.46420496426739805</v>
      </c>
      <c r="M225" s="38">
        <f>IF(Settings!$E$9="YAHOO",VLOOKUP(B225,ADP!A1:E731,2,FALSE),IF(Settings!$E$9="ESPN",VLOOKUP(B225,ADP!A1:E731,3,FALSE),IF(Settings!$E$9="FANTRAX",VLOOKUP(B225,ADP!A1:E731,4,FALSE),VLOOKUP(B225,ADP!A1:E731,5,FALSE))))</f>
        <v>361.21</v>
      </c>
      <c r="N225" s="38">
        <f t="shared" si="21"/>
        <v>137.20999999999998</v>
      </c>
      <c r="O225" s="38"/>
      <c r="P225" s="39" t="str">
        <f>IF(Settings!$E$27="ON",_xlfn.XLOOKUP(B225,ADP!A2:A731,ADP!H2:H731)," ")</f>
        <v xml:space="preserve"> </v>
      </c>
      <c r="Q225" s="40">
        <f>IF(Settings!$E$12="YES",VLOOKUP(B225,'Player Data'!A1:E734,5,FALSE),82)</f>
        <v>82</v>
      </c>
      <c r="R225" s="38">
        <f>VLOOKUP(B225,'Player Data'!$A1:$AE734,6,FALSE)</f>
        <v>20.9404606966404</v>
      </c>
      <c r="S225" s="40">
        <f>VLOOKUP(B225,'Player Data'!$A1:$AE734,7,FALSE)*$Q225*IFERROR((VLOOKUP(P225,Settings!$E$28:$F$33,2,FALSE)+1),1)</f>
        <v>7.5950756174552323</v>
      </c>
      <c r="T225" s="40">
        <f>VLOOKUP(B225,'Player Data'!$A1:$AE734,8,FALSE)*$Q225*IFERROR((VLOOKUP(P225,Settings!$E$28:$F$33,2,FALSE)+1),1)</f>
        <v>28.130240090056567</v>
      </c>
      <c r="U225" s="40">
        <f>SUM(S225:T225)</f>
        <v>35.725315707511797</v>
      </c>
      <c r="V225" s="40">
        <f>VLOOKUP(B225,'Player Data'!$A1:$AE734,10,FALSE)*$Q225*IFERROR(((VLOOKUP(P225,Settings!$E$28:$F$33,2,FALSE)/2)+1),1)</f>
        <v>125.15506167876671</v>
      </c>
      <c r="W225" s="40">
        <f>VLOOKUP(B225,'Player Data'!$A1:$AE734,11,FALSE)*$Q225*IFERROR((VLOOKUP(P225,Settings!$E$28:$F$33,2,FALSE)+1),1)</f>
        <v>1.7418228680120684</v>
      </c>
      <c r="X225" s="40">
        <f>VLOOKUP(B225,'Player Data'!$A1:$AE734,12,FALSE)*$Q225*IFERROR((VLOOKUP(P225,Settings!$E$28:$F$33,2,FALSE)+1),1)</f>
        <v>7.0913019423758428</v>
      </c>
      <c r="Y225" s="40">
        <f>VLOOKUP(B225,'Player Data'!$A1:$AE734,13,FALSE)*$Q225</f>
        <v>0.27033537314841388</v>
      </c>
      <c r="Z225" s="40">
        <f>VLOOKUP(B225,'Player Data'!$A1:$AE734,14,FALSE)*$Q225</f>
        <v>0.55239333375269117</v>
      </c>
      <c r="AA225" s="40">
        <f>VLOOKUP(B225,'Player Data'!$A1:$AE734,15,FALSE)*$Q225</f>
        <v>109.46782875529692</v>
      </c>
      <c r="AB225" s="40">
        <f>VLOOKUP(B225,'Player Data'!$A1:$AE734,16,FALSE)*$Q225</f>
        <v>65.376797395135867</v>
      </c>
      <c r="AC225" s="40">
        <f>VLOOKUP(B225,'Player Data'!$A1:$AE734,17,FALSE)*$Q225*IFERROR((VLOOKUP(P225,Settings!$E$28:$F$33,2,FALSE)+1),1)</f>
        <v>-2.7528963041070624</v>
      </c>
      <c r="AD225" s="40">
        <f>VLOOKUP(B225,'Player Data'!$A1:$AE734,18,FALSE)*$Q225</f>
        <v>41.641174796877543</v>
      </c>
      <c r="AE225" s="40">
        <f>VLOOKUP(B225,'Player Data'!$A1:$AE734,19,FALSE)*$Q225*IFERROR((VLOOKUP(P225,Settings!$E$28:$F$33,2,FALSE)+1),1)</f>
        <v>0.81386464592825669</v>
      </c>
      <c r="AF225" s="40">
        <f>VLOOKUP(B225,'Player Data'!$A1:$AE734,20,FALSE)*$Q225</f>
        <v>0</v>
      </c>
      <c r="AG225" s="40">
        <f>VLOOKUP(B225,'Player Data'!$A1:$AE734,21,FALSE)*$Q225</f>
        <v>0</v>
      </c>
      <c r="AH225" s="41">
        <f>VLOOKUP(B225,'Player Data'!$A1:$AE734,22,FALSE)</f>
        <v>0</v>
      </c>
      <c r="AI225" s="38"/>
      <c r="AJ225" s="42"/>
      <c r="AK225" s="40"/>
      <c r="AL225" s="40"/>
      <c r="AM225" s="40"/>
      <c r="AN225" s="40"/>
      <c r="AO225" s="40"/>
      <c r="AP225" s="40"/>
      <c r="AQ225" s="43"/>
      <c r="AR225" s="44"/>
      <c r="AS225" s="38"/>
    </row>
    <row r="226" spans="1:45" ht="21.2" customHeight="1">
      <c r="A226" s="181">
        <f t="shared" si="18"/>
        <v>225</v>
      </c>
      <c r="B226" s="8" t="s">
        <v>745</v>
      </c>
      <c r="C226" s="31" t="s">
        <v>104</v>
      </c>
      <c r="D226" s="32" t="str">
        <f>VLOOKUP(B226,'Player Data'!A1:D734,4,FALSE)</f>
        <v>G</v>
      </c>
      <c r="E226" s="50">
        <f>VLOOKUP(B226,G!A1:D75,3,FALSE)</f>
        <v>48</v>
      </c>
      <c r="F226" s="34" t="str">
        <f>VLOOKUP(B226,'Player Data'!A1:B734,2,FALSE)</f>
        <v>PIT</v>
      </c>
      <c r="G226" s="9">
        <f>VLOOKUP(B226,'Player Data'!A1:D734,3,FALSE)</f>
        <v>27</v>
      </c>
      <c r="H226" s="35">
        <f>IFERROR(VLOOKUP(B226,ADP!A1:G731,7,FALSE)/1000000,VLOOKUP(B226,ADP!A1:G731,7,FALSE))</f>
        <v>1.5</v>
      </c>
      <c r="I226" s="36">
        <f>IF(Settings!$E$15="POINTS",(AJ226*Settings!$B$29)+(AK226*Settings!$B$21)+(AL226*Settings!$B$22)+(AN226*Settings!$B$24)+(AO226*Settings!$B$25)+(AP226*Settings!$B$27)+(AM226*Settings!$B$23),VLOOKUP(B226,'Standard Deviations'!A1:C731,3,FALSE))</f>
        <v>-1.2370579074477557</v>
      </c>
      <c r="J226" s="37">
        <f t="shared" si="19"/>
        <v>-5.1544079476989822E-2</v>
      </c>
      <c r="K226" s="183">
        <f>VLOOKUP(B226,G!A1:F75,6,FALSE)</f>
        <v>-2.941286958638047</v>
      </c>
      <c r="L226" s="36">
        <f t="shared" si="20"/>
        <v>-1.9608579724253647</v>
      </c>
      <c r="M226" s="52" t="str">
        <f>IF(Settings!$E$9="YAHOO",VLOOKUP(B226,ADP!A1:E731,2,FALSE),IF(Settings!$E$9="ESPN",VLOOKUP(B226,ADP!A1:E731,3,FALSE),IF(Settings!$E$9="FANTRAX",VLOOKUP(B226,ADP!A1:E731,4,FALSE),VLOOKUP(B226,ADP!A1:E731,5,FALSE))))</f>
        <v>-</v>
      </c>
      <c r="N226" s="52" t="str">
        <f t="shared" si="21"/>
        <v>N/A</v>
      </c>
      <c r="O226" s="38"/>
      <c r="P226" s="39" t="str">
        <f>IF(Settings!$E$27="ON",_xlfn.XLOOKUP(B226,ADP!A2:A731,ADP!H2:H731)," ")</f>
        <v xml:space="preserve"> </v>
      </c>
      <c r="Q226" s="40"/>
      <c r="R226" s="51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1"/>
      <c r="AI226" s="38"/>
      <c r="AJ226" s="42">
        <f>VLOOKUP(B226,'Player Data'!$A1:$AE734,24,FALSE)</f>
        <v>24</v>
      </c>
      <c r="AK226" s="40">
        <f>VLOOKUP(B226,'Player Data'!$A1:$AE734,25,FALSE)*$AJ226*IFERROR((VLOOKUP(P226,Settings!$E$28:$F$33,2,FALSE)+1),1)</f>
        <v>12.219568410756217</v>
      </c>
      <c r="AL226" s="40">
        <f>AJ226-AK226-AM226</f>
        <v>8.7804315892437828</v>
      </c>
      <c r="AM226" s="40">
        <f>VLOOKUP(B226,'Player Data'!$A1:$AE734,27,FALSE)*$AJ226</f>
        <v>3</v>
      </c>
      <c r="AN226" s="40">
        <f>VLOOKUP(B226,'Player Data'!$A1:$AE734,28,FALSE)*AJ226</f>
        <v>1.1062286681076816</v>
      </c>
      <c r="AO226" s="40">
        <f>VLOOKUP(B226,'Player Data'!$A1:$AE734,29,FALSE)*$AJ226*IFERROR((VLOOKUP(P226,Settings!$E$28:$F$33,2,FALSE)/4)+1,1)</f>
        <v>665.73796235141049</v>
      </c>
      <c r="AP226" s="40">
        <f>VLOOKUP(B226,'Player Data'!$A1:$AE734,31,FALSE)*$AJ226*(IFERROR(1-(VLOOKUP(P226,Settings!$E$28:$F$33,2,FALSE)/4),1))</f>
        <v>70.588629998590562</v>
      </c>
      <c r="AQ226" s="43">
        <f>1-(AP226/(AO226+AP226))</f>
        <v>0.90413407483586117</v>
      </c>
      <c r="AR226" s="44">
        <f>AP226/AJ226</f>
        <v>2.9411929166079402</v>
      </c>
      <c r="AS226" s="38"/>
    </row>
    <row r="227" spans="1:45" ht="21.2" customHeight="1">
      <c r="A227" s="181">
        <f t="shared" si="18"/>
        <v>226</v>
      </c>
      <c r="B227" s="8" t="s">
        <v>304</v>
      </c>
      <c r="C227" s="31" t="s">
        <v>104</v>
      </c>
      <c r="D227" s="32" t="str">
        <f>VLOOKUP(B227,'Player Data'!A1:D734,4,FALSE)</f>
        <v>C</v>
      </c>
      <c r="E227" s="33">
        <f>VLOOKUP(B227,'C'!A1:C208,3,FALSE)</f>
        <v>57</v>
      </c>
      <c r="F227" s="34" t="str">
        <f>VLOOKUP(B227,'Player Data'!A1:B734,2,FALSE)</f>
        <v>WSH</v>
      </c>
      <c r="G227" s="9">
        <f>VLOOKUP(B227,'Player Data'!A1:D734,3,FALSE)</f>
        <v>31</v>
      </c>
      <c r="H227" s="35">
        <f>IFERROR(VLOOKUP(B227,ADP!A1:G731,7,FALSE)/1000000,VLOOKUP(B227,ADP!A1:G731,7,FALSE))</f>
        <v>7.8</v>
      </c>
      <c r="I227" s="36">
        <f>IF(Settings!$E$15="POINTS",((R227*Q227)*Settings!$B$12)+(S227*Settings!$B$2)+(T227*Settings!$B$3)+(U227*Settings!$B$4)+(V227*Settings!$B$5)+(X227*Settings!$B$9)+(AA227*Settings!$B$6)+(W227*Settings!$B$8)+(AB227*Settings!$B$7)+(AC227*Settings!$B$14)+(AD227*Settings!$B$15)+(AE227*Settings!$B$16)+(AF227*Settings!$B$17)+(AG227*Settings!$B$18)+(Y227*Settings!$B$10)+(Z227*Settings!$B$11),VLOOKUP(B227,'Standard Deviations'!A1:C731,3,FALSE))</f>
        <v>3.3379141082979009</v>
      </c>
      <c r="J227" s="37">
        <f t="shared" si="19"/>
        <v>4.0706269613389037E-2</v>
      </c>
      <c r="K227" s="183">
        <f>IF(Settings!$E$18="C/LW/RW",VLOOKUP(B227,'C'!A1:F208,6,FALSE),VLOOKUP(B227,F!A1:F431,6,FALSE))</f>
        <v>-2.9991366159087018</v>
      </c>
      <c r="L227" s="36">
        <f t="shared" si="20"/>
        <v>-0.38450469434726947</v>
      </c>
      <c r="M227" s="38">
        <f>IF(Settings!$E$9="YAHOO",VLOOKUP(B227,ADP!A1:E731,2,FALSE),IF(Settings!$E$9="ESPN",VLOOKUP(B227,ADP!A1:E731,3,FALSE),IF(Settings!$E$9="FANTRAX",VLOOKUP(B227,ADP!A1:E731,4,FALSE),VLOOKUP(B227,ADP!A1:E731,5,FALSE))))</f>
        <v>215.16</v>
      </c>
      <c r="N227" s="38">
        <f t="shared" si="21"/>
        <v>-10.840000000000003</v>
      </c>
      <c r="O227" s="38"/>
      <c r="P227" s="39" t="str">
        <f>IF(Settings!$E$27="ON",_xlfn.XLOOKUP(B227,ADP!A2:A731,ADP!H2:H731)," ")</f>
        <v xml:space="preserve"> </v>
      </c>
      <c r="Q227" s="40">
        <f>IF(Settings!$E$12="YES",VLOOKUP(B227,'Player Data'!A1:E734,5,FALSE),82)</f>
        <v>82</v>
      </c>
      <c r="R227" s="38">
        <f>VLOOKUP(B227,'Player Data'!$A1:$AE734,6,FALSE)</f>
        <v>18.240917659402299</v>
      </c>
      <c r="S227" s="40">
        <f>VLOOKUP(B227,'Player Data'!$A1:$AE734,7,FALSE)*$Q227*IFERROR((VLOOKUP(P227,Settings!$E$28:$F$33,2,FALSE)+1),1)</f>
        <v>16.179999322746689</v>
      </c>
      <c r="T227" s="40">
        <f>VLOOKUP(B227,'Player Data'!$A1:$AE734,8,FALSE)*$Q227*IFERROR((VLOOKUP(P227,Settings!$E$28:$F$33,2,FALSE)+1),1)</f>
        <v>42.744031310568573</v>
      </c>
      <c r="U227" s="40">
        <f>SUM(S227:T227)</f>
        <v>58.924030633315262</v>
      </c>
      <c r="V227" s="40">
        <f>VLOOKUP(B227,'Player Data'!$A1:$AE734,10,FALSE)*$Q227*IFERROR(((VLOOKUP(P227,Settings!$E$28:$F$33,2,FALSE)/2)+1),1)</f>
        <v>165.16652016893997</v>
      </c>
      <c r="W227" s="40">
        <f>VLOOKUP(B227,'Player Data'!$A1:$AE734,11,FALSE)*$Q227*IFERROR((VLOOKUP(P227,Settings!$E$28:$F$33,2,FALSE)+1),1)</f>
        <v>3.6997682297592265</v>
      </c>
      <c r="X227" s="40">
        <f>VLOOKUP(B227,'Player Data'!$A1:$AE734,12,FALSE)*$Q227*IFERROR((VLOOKUP(P227,Settings!$E$28:$F$33,2,FALSE)+1),1)</f>
        <v>14.275642953539935</v>
      </c>
      <c r="Y227" s="40">
        <f>VLOOKUP(B227,'Player Data'!$A1:$AE734,13,FALSE)*$Q227</f>
        <v>0.85075183299009971</v>
      </c>
      <c r="Z227" s="40">
        <f>VLOOKUP(B227,'Player Data'!$A1:$AE734,14,FALSE)*$Q227</f>
        <v>1.6559814512979028</v>
      </c>
      <c r="AA227" s="40">
        <f>VLOOKUP(B227,'Player Data'!$A1:$AE734,15,FALSE)*$Q227</f>
        <v>30.885033582999331</v>
      </c>
      <c r="AB227" s="40">
        <f>VLOOKUP(B227,'Player Data'!$A1:$AE734,16,FALSE)*$Q227</f>
        <v>46.985336409546839</v>
      </c>
      <c r="AC227" s="40">
        <f>VLOOKUP(B227,'Player Data'!$A1:$AE734,17,FALSE)*$Q227*IFERROR((VLOOKUP(P227,Settings!$E$28:$F$33,2,FALSE)+1),1)</f>
        <v>-3.7726132899665799</v>
      </c>
      <c r="AD227" s="40">
        <f>VLOOKUP(B227,'Player Data'!$A1:$AE734,18,FALSE)*$Q227</f>
        <v>44.002427492824665</v>
      </c>
      <c r="AE227" s="40">
        <f>VLOOKUP(B227,'Player Data'!$A1:$AE734,19,FALSE)*$Q227*IFERROR((VLOOKUP(P227,Settings!$E$28:$F$33,2,FALSE)+1),1)</f>
        <v>1.9902351633770734</v>
      </c>
      <c r="AF227" s="40">
        <f>VLOOKUP(B227,'Player Data'!$A1:$AE734,20,FALSE)*$Q227</f>
        <v>492.03919522253011</v>
      </c>
      <c r="AG227" s="40">
        <f>VLOOKUP(B227,'Player Data'!$A1:$AE734,21,FALSE)*$Q227</f>
        <v>599.68189193043543</v>
      </c>
      <c r="AH227" s="41">
        <f>VLOOKUP(B227,'Player Data'!$A1:$AE734,22,FALSE)</f>
        <v>0.45070045913071999</v>
      </c>
      <c r="AI227" s="38"/>
      <c r="AJ227" s="40"/>
      <c r="AK227" s="40"/>
      <c r="AL227" s="40"/>
      <c r="AM227" s="40"/>
      <c r="AN227" s="40"/>
      <c r="AO227" s="40"/>
      <c r="AP227" s="40"/>
      <c r="AQ227" s="43"/>
      <c r="AR227" s="44"/>
      <c r="AS227" s="38"/>
    </row>
    <row r="228" spans="1:45" ht="21.2" customHeight="1">
      <c r="A228" s="181">
        <f t="shared" si="18"/>
        <v>227</v>
      </c>
      <c r="B228" s="8" t="s">
        <v>318</v>
      </c>
      <c r="C228" s="31" t="s">
        <v>104</v>
      </c>
      <c r="D228" s="32" t="str">
        <f>VLOOKUP(B228,'Player Data'!A1:D734,4,FALSE)</f>
        <v>RW</v>
      </c>
      <c r="E228" s="46">
        <f>VLOOKUP(B228,RW!A1:F189,3,FALSE)</f>
        <v>53</v>
      </c>
      <c r="F228" s="34" t="str">
        <f>VLOOKUP(B228,'Player Data'!A1:B734,2,FALSE)</f>
        <v>NSH</v>
      </c>
      <c r="G228" s="9">
        <f>VLOOKUP(B228,'Player Data'!A1:D734,3,FALSE)</f>
        <v>21</v>
      </c>
      <c r="H228" s="35">
        <f>IFERROR(VLOOKUP(B228,ADP!A1:G731,7,FALSE)/1000000,VLOOKUP(B228,ADP!A1:G731,7,FALSE))</f>
        <v>0.79749999999999999</v>
      </c>
      <c r="I228" s="36">
        <f>IF(Settings!$E$15="POINTS",((R228*Q228)*Settings!$B$12)+(S228*Settings!$B$2)+(T228*Settings!$B$3)+(U228*Settings!$B$4)+(V228*Settings!$B$5)+(X228*Settings!$B$9)+(AA228*Settings!$B$6)+(W228*Settings!$B$8)+(AB228*Settings!$B$7)+(AC228*Settings!$B$14)+(AD228*Settings!$B$15)+(AE228*Settings!$B$16)+(AF228*Settings!$B$17)+(AG228*Settings!$B$18)+(Y228*Settings!$B$10)+(Z228*Settings!$B$11),VLOOKUP(B228,'Standard Deviations'!A1:C731,3,FALSE))</f>
        <v>3.2517709157274171</v>
      </c>
      <c r="J228" s="37">
        <f t="shared" si="19"/>
        <v>3.9655742874724599E-2</v>
      </c>
      <c r="K228" s="183">
        <f>IF(Settings!$E$18="C/LW/RW",VLOOKUP(B228,RW!A1:F189,6,FALSE),VLOOKUP(B228,F!A1:F431,6,FALSE))</f>
        <v>-3.0284878032836637</v>
      </c>
      <c r="L228" s="36">
        <f t="shared" si="20"/>
        <v>-3.7974768693212084</v>
      </c>
      <c r="M228" s="38">
        <f>IF(Settings!$E$9="YAHOO",VLOOKUP(B228,ADP!A1:E731,2,FALSE),IF(Settings!$E$9="ESPN",VLOOKUP(B228,ADP!A1:E731,3,FALSE),IF(Settings!$E$9="FANTRAX",VLOOKUP(B228,ADP!A1:E731,4,FALSE),VLOOKUP(B228,ADP!A1:E731,5,FALSE))))</f>
        <v>346.8</v>
      </c>
      <c r="N228" s="38">
        <f t="shared" si="21"/>
        <v>119.80000000000001</v>
      </c>
      <c r="O228" s="38"/>
      <c r="P228" s="39" t="str">
        <f>IF(Settings!$E$27="ON",_xlfn.XLOOKUP(B228,ADP!A2:A731,ADP!H2:H731)," ")</f>
        <v>-</v>
      </c>
      <c r="Q228" s="40">
        <f>IF(Settings!$E$12="YES",VLOOKUP(B228,'Player Data'!A1:E734,5,FALSE),82)</f>
        <v>82</v>
      </c>
      <c r="R228" s="38">
        <f>VLOOKUP(B228,'Player Data'!$A1:$AE734,6,FALSE)</f>
        <v>16.6149850521549</v>
      </c>
      <c r="S228" s="40">
        <f>VLOOKUP(B228,'Player Data'!$A1:$AE734,7,FALSE)*$Q228*IFERROR((VLOOKUP(P228,Settings!$E$28:$F$33,2,FALSE)+1),1)</f>
        <v>24.361966715627883</v>
      </c>
      <c r="T228" s="40">
        <f>VLOOKUP(B228,'Player Data'!$A1:$AE734,8,FALSE)*$Q228*IFERROR((VLOOKUP(P228,Settings!$E$28:$F$33,2,FALSE)+1),1)</f>
        <v>31.326619996362759</v>
      </c>
      <c r="U228" s="40">
        <f>SUM(S228:T228)</f>
        <v>55.688586711990638</v>
      </c>
      <c r="V228" s="40">
        <f>VLOOKUP(B228,'Player Data'!$A1:$AE734,10,FALSE)*$Q228*IFERROR(((VLOOKUP(P228,Settings!$E$28:$F$33,2,FALSE)/2)+1),1)</f>
        <v>181.97038981720257</v>
      </c>
      <c r="W228" s="40">
        <f>VLOOKUP(B228,'Player Data'!$A1:$AE734,11,FALSE)*$Q228*IFERROR((VLOOKUP(P228,Settings!$E$28:$F$33,2,FALSE)+1),1)</f>
        <v>3.6179883692793648</v>
      </c>
      <c r="X228" s="40">
        <f>VLOOKUP(B228,'Player Data'!$A1:$AE734,12,FALSE)*$Q228*IFERROR((VLOOKUP(P228,Settings!$E$28:$F$33,2,FALSE)+1),1)</f>
        <v>12.46900475301079</v>
      </c>
      <c r="Y228" s="40">
        <f>VLOOKUP(B228,'Player Data'!$A1:$AE734,13,FALSE)*$Q228</f>
        <v>2.1115738044797422E-3</v>
      </c>
      <c r="Z228" s="40">
        <f>VLOOKUP(B228,'Player Data'!$A1:$AE734,14,FALSE)*$Q228</f>
        <v>4.2363398932001193E-3</v>
      </c>
      <c r="AA228" s="40">
        <f>VLOOKUP(B228,'Player Data'!$A1:$AE734,15,FALSE)*$Q228</f>
        <v>26.438777806580408</v>
      </c>
      <c r="AB228" s="40">
        <f>VLOOKUP(B228,'Player Data'!$A1:$AE734,16,FALSE)*$Q228</f>
        <v>49.157582080697658</v>
      </c>
      <c r="AC228" s="40">
        <f>VLOOKUP(B228,'Player Data'!$A1:$AE734,17,FALSE)*$Q228*IFERROR((VLOOKUP(P228,Settings!$E$28:$F$33,2,FALSE)+1),1)</f>
        <v>-0.22411014443250421</v>
      </c>
      <c r="AD228" s="40">
        <f>VLOOKUP(B228,'Player Data'!$A1:$AE734,18,FALSE)*$Q228</f>
        <v>28.628319892557318</v>
      </c>
      <c r="AE228" s="40">
        <f>VLOOKUP(B228,'Player Data'!$A1:$AE734,19,FALSE)*$Q228*IFERROR((VLOOKUP(P228,Settings!$E$28:$F$33,2,FALSE)+1),1)</f>
        <v>3.5574843052426099</v>
      </c>
      <c r="AF228" s="40">
        <f>VLOOKUP(B228,'Player Data'!$A1:$AE734,20,FALSE)*$Q228</f>
        <v>0</v>
      </c>
      <c r="AG228" s="40">
        <f>VLOOKUP(B228,'Player Data'!$A1:$AE734,21,FALSE)*$Q228</f>
        <v>0</v>
      </c>
      <c r="AH228" s="41">
        <f>VLOOKUP(B228,'Player Data'!$A1:$AE734,22,FALSE)</f>
        <v>0</v>
      </c>
      <c r="AI228" s="38"/>
      <c r="AJ228" s="40"/>
      <c r="AK228" s="40"/>
      <c r="AL228" s="40"/>
      <c r="AM228" s="40"/>
      <c r="AN228" s="40"/>
      <c r="AO228" s="40"/>
      <c r="AP228" s="40"/>
      <c r="AQ228" s="43"/>
      <c r="AR228" s="44"/>
      <c r="AS228" s="38"/>
    </row>
    <row r="229" spans="1:45" ht="21.2" customHeight="1">
      <c r="A229" s="181">
        <f t="shared" si="18"/>
        <v>228</v>
      </c>
      <c r="B229" s="8" t="s">
        <v>737</v>
      </c>
      <c r="C229" s="31" t="s">
        <v>104</v>
      </c>
      <c r="D229" s="32" t="str">
        <f>VLOOKUP(B229,'Player Data'!A1:D734,4,FALSE)</f>
        <v>G</v>
      </c>
      <c r="E229" s="50">
        <f>VLOOKUP(B229,G!A1:D75,3,FALSE)</f>
        <v>49</v>
      </c>
      <c r="F229" s="34" t="str">
        <f>VLOOKUP(B229,'Player Data'!A1:B734,2,FALSE)</f>
        <v>CBJ</v>
      </c>
      <c r="G229" s="9">
        <f>VLOOKUP(B229,'Player Data'!A1:D734,3,FALSE)</f>
        <v>24</v>
      </c>
      <c r="H229" s="35">
        <f>IFERROR(VLOOKUP(B229,ADP!A1:G731,7,FALSE)/1000000,VLOOKUP(B229,ADP!A1:G731,7,FALSE))</f>
        <v>0</v>
      </c>
      <c r="I229" s="36">
        <f>IF(Settings!$E$15="POINTS",(AJ229*Settings!$B$29)+(AK229*Settings!$B$21)+(AL229*Settings!$B$22)+(AN229*Settings!$B$24)+(AO229*Settings!$B$25)+(AP229*Settings!$B$27)+(AM229*Settings!$B$23),VLOOKUP(B229,'Standard Deviations'!A1:C731,3,FALSE))</f>
        <v>-1.3345115784347761</v>
      </c>
      <c r="J229" s="37">
        <f t="shared" si="19"/>
        <v>-5.3380463137391046E-2</v>
      </c>
      <c r="K229" s="183">
        <f>VLOOKUP(B229,G!A1:F75,6,FALSE)</f>
        <v>-3.0387406296250674</v>
      </c>
      <c r="L229" s="49" t="str">
        <f t="shared" si="20"/>
        <v>N/A</v>
      </c>
      <c r="M229" s="52" t="str">
        <f>IF(Settings!$E$9="YAHOO",VLOOKUP(B229,ADP!A1:E731,2,FALSE),IF(Settings!$E$9="ESPN",VLOOKUP(B229,ADP!A1:E731,3,FALSE),IF(Settings!$E$9="FANTRAX",VLOOKUP(B229,ADP!A1:E731,4,FALSE),VLOOKUP(B229,ADP!A1:E731,5,FALSE))))</f>
        <v>-</v>
      </c>
      <c r="N229" s="52" t="str">
        <f t="shared" si="21"/>
        <v>N/A</v>
      </c>
      <c r="O229" s="38"/>
      <c r="P229" s="39" t="str">
        <f>IF(Settings!$E$27="ON",_xlfn.XLOOKUP(B229,ADP!A2:A731,ADP!H2:H731)," ")</f>
        <v xml:space="preserve"> </v>
      </c>
      <c r="Q229" s="40"/>
      <c r="R229" s="51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1"/>
      <c r="AI229" s="38"/>
      <c r="AJ229" s="42">
        <f>VLOOKUP(B229,'Player Data'!$A1:$AE734,24,FALSE)</f>
        <v>25</v>
      </c>
      <c r="AK229" s="40">
        <f>VLOOKUP(B229,'Player Data'!$A1:$AE734,25,FALSE)*$AJ229*IFERROR((VLOOKUP(P229,Settings!$E$28:$F$33,2,FALSE)+1),1)</f>
        <v>9.5670638981345739</v>
      </c>
      <c r="AL229" s="40">
        <f>AJ229-AK229-AM229</f>
        <v>12.307936101865426</v>
      </c>
      <c r="AM229" s="40">
        <f>VLOOKUP(B229,'Player Data'!$A1:$AE734,27,FALSE)*$AJ229</f>
        <v>3.125</v>
      </c>
      <c r="AN229" s="40">
        <f>VLOOKUP(B229,'Player Data'!$A1:$AE734,28,FALSE)*AJ229</f>
        <v>0.60048585365222251</v>
      </c>
      <c r="AO229" s="40">
        <f>VLOOKUP(B229,'Player Data'!$A1:$AE734,29,FALSE)*$AJ229*IFERROR((VLOOKUP(P229,Settings!$E$28:$F$33,2,FALSE)/4)+1,1)</f>
        <v>752.05115406858249</v>
      </c>
      <c r="AP229" s="40">
        <f>VLOOKUP(B229,'Player Data'!$A1:$AE734,31,FALSE)*$AJ229*(IFERROR(1-(VLOOKUP(P229,Settings!$E$28:$F$33,2,FALSE)/4),1))</f>
        <v>80.752802962667246</v>
      </c>
      <c r="AQ229" s="43">
        <f>1-(AP229/(AO229+AP229))</f>
        <v>0.90303503930200812</v>
      </c>
      <c r="AR229" s="44">
        <f>AP229/AJ229</f>
        <v>3.2301121185066899</v>
      </c>
      <c r="AS229" s="38"/>
    </row>
    <row r="230" spans="1:45" ht="21.2" customHeight="1">
      <c r="A230" s="181">
        <f t="shared" si="18"/>
        <v>229</v>
      </c>
      <c r="B230" s="8" t="s">
        <v>293</v>
      </c>
      <c r="C230" s="31" t="s">
        <v>104</v>
      </c>
      <c r="D230" s="32" t="str">
        <f>VLOOKUP(B230,'Player Data'!A1:D734,4,FALSE)</f>
        <v>C,LW</v>
      </c>
      <c r="E230" s="45">
        <f>VLOOKUP(B230,LW!A1:C227,3,FALSE)</f>
        <v>58</v>
      </c>
      <c r="F230" s="34" t="str">
        <f>VLOOKUP(B230,'Player Data'!A1:B734,2,FALSE)</f>
        <v>STL</v>
      </c>
      <c r="G230" s="9">
        <f>VLOOKUP(B230,'Player Data'!A1:D734,3,FALSE)</f>
        <v>31</v>
      </c>
      <c r="H230" s="35">
        <f>IFERROR(VLOOKUP(B230,ADP!A1:G731,7,FALSE)/1000000,VLOOKUP(B230,ADP!A1:G731,7,FALSE))</f>
        <v>6.5</v>
      </c>
      <c r="I230" s="36">
        <f>IF(Settings!$E$15="POINTS",((R230*Q230)*Settings!$B$12)+(S230*Settings!$B$2)+(T230*Settings!$B$3)+(U230*Settings!$B$4)+(V230*Settings!$B$5)+(X230*Settings!$B$9)+(AA230*Settings!$B$6)+(W230*Settings!$B$8)+(AB230*Settings!$B$7)+(AC230*Settings!$B$14)+(AD230*Settings!$B$15)+(AE230*Settings!$B$16)+(AF230*Settings!$B$17)+(AG230*Settings!$B$18)+(Y230*Settings!$B$10)+(Z230*Settings!$B$11),VLOOKUP(B230,'Standard Deviations'!A1:C731,3,FALSE))</f>
        <v>3.602259782883471</v>
      </c>
      <c r="J230" s="37">
        <f t="shared" si="19"/>
        <v>4.3929997352237453E-2</v>
      </c>
      <c r="K230" s="183">
        <f>IF(Settings!$E$18="C/LW/RW",VLOOKUP(B230,LW!A1:F227,6,FALSE),VLOOKUP(B230,F!A1:F431,6,FALSE))</f>
        <v>-3.0524092612409301</v>
      </c>
      <c r="L230" s="36">
        <f t="shared" si="20"/>
        <v>-0.46960142480629696</v>
      </c>
      <c r="M230" s="38">
        <f>IF(Settings!$E$9="YAHOO",VLOOKUP(B230,ADP!A1:E731,2,FALSE),IF(Settings!$E$9="ESPN",VLOOKUP(B230,ADP!A1:E731,3,FALSE),IF(Settings!$E$9="FANTRAX",VLOOKUP(B230,ADP!A1:E731,4,FALSE),VLOOKUP(B230,ADP!A1:E731,5,FALSE))))</f>
        <v>186.83</v>
      </c>
      <c r="N230" s="38">
        <f t="shared" si="21"/>
        <v>-42.169999999999987</v>
      </c>
      <c r="O230" s="38"/>
      <c r="P230" s="39" t="str">
        <f>IF(Settings!$E$27="ON",_xlfn.XLOOKUP(B230,ADP!A2:A731,ADP!H2:H731)," ")</f>
        <v xml:space="preserve"> </v>
      </c>
      <c r="Q230" s="40">
        <f>IF(Settings!$E$12="YES",VLOOKUP(B230,'Player Data'!A1:E734,5,FALSE),82)</f>
        <v>82</v>
      </c>
      <c r="R230" s="38">
        <f>VLOOKUP(B230,'Player Data'!$A1:$AE734,6,FALSE)</f>
        <v>17.9408705585452</v>
      </c>
      <c r="S230" s="40">
        <f>VLOOKUP(B230,'Player Data'!$A1:$AE734,7,FALSE)*$Q230*IFERROR((VLOOKUP(P230,Settings!$E$28:$F$33,2,FALSE)+1),1)</f>
        <v>22.709227401294239</v>
      </c>
      <c r="T230" s="40">
        <f>VLOOKUP(B230,'Player Data'!$A1:$AE734,8,FALSE)*$Q230*IFERROR((VLOOKUP(P230,Settings!$E$28:$F$33,2,FALSE)+1),1)</f>
        <v>39.361636252496027</v>
      </c>
      <c r="U230" s="40">
        <f>SUM(S230:T230)</f>
        <v>62.070863653790269</v>
      </c>
      <c r="V230" s="40">
        <f>VLOOKUP(B230,'Player Data'!$A1:$AE734,10,FALSE)*$Q230*IFERROR(((VLOOKUP(P230,Settings!$E$28:$F$33,2,FALSE)/2)+1),1)</f>
        <v>143.81949832752761</v>
      </c>
      <c r="W230" s="40">
        <f>VLOOKUP(B230,'Player Data'!$A1:$AE734,11,FALSE)*$Q230*IFERROR((VLOOKUP(P230,Settings!$E$28:$F$33,2,FALSE)+1),1)</f>
        <v>6.5645851541551421</v>
      </c>
      <c r="X230" s="40">
        <f>VLOOKUP(B230,'Player Data'!$A1:$AE734,12,FALSE)*$Q230*IFERROR((VLOOKUP(P230,Settings!$E$28:$F$33,2,FALSE)+1),1)</f>
        <v>15.309148793774735</v>
      </c>
      <c r="Y230" s="40">
        <f>VLOOKUP(B230,'Player Data'!$A1:$AE734,13,FALSE)*$Q230</f>
        <v>3.9715605608331969E-2</v>
      </c>
      <c r="Z230" s="40">
        <f>VLOOKUP(B230,'Player Data'!$A1:$AE734,14,FALSE)*$Q230</f>
        <v>1.7114012828280921E-2</v>
      </c>
      <c r="AA230" s="40">
        <f>VLOOKUP(B230,'Player Data'!$A1:$AE734,15,FALSE)*$Q230</f>
        <v>37.047267960761914</v>
      </c>
      <c r="AB230" s="40">
        <f>VLOOKUP(B230,'Player Data'!$A1:$AE734,16,FALSE)*$Q230</f>
        <v>133.337149231902</v>
      </c>
      <c r="AC230" s="40">
        <f>VLOOKUP(B230,'Player Data'!$A1:$AE734,17,FALSE)*$Q230*IFERROR((VLOOKUP(P230,Settings!$E$28:$F$33,2,FALSE)+1),1)</f>
        <v>-5.6633588261494729</v>
      </c>
      <c r="AD230" s="40">
        <f>VLOOKUP(B230,'Player Data'!$A1:$AE734,18,FALSE)*$Q230</f>
        <v>41.444630642468624</v>
      </c>
      <c r="AE230" s="40">
        <f>VLOOKUP(B230,'Player Data'!$A1:$AE734,19,FALSE)*$Q230*IFERROR((VLOOKUP(P230,Settings!$E$28:$F$33,2,FALSE)+1),1)</f>
        <v>2.6132128310473313</v>
      </c>
      <c r="AF230" s="40">
        <f>VLOOKUP(B230,'Player Data'!$A1:$AE734,20,FALSE)*$Q230</f>
        <v>459.89239383229176</v>
      </c>
      <c r="AG230" s="40">
        <f>VLOOKUP(B230,'Player Data'!$A1:$AE734,21,FALSE)*$Q230</f>
        <v>486.68186236768594</v>
      </c>
      <c r="AH230" s="41">
        <f>VLOOKUP(B230,'Player Data'!$A1:$AE734,22,FALSE)</f>
        <v>0.48584925146657798</v>
      </c>
      <c r="AI230" s="38"/>
      <c r="AJ230" s="42"/>
      <c r="AK230" s="40"/>
      <c r="AL230" s="40"/>
      <c r="AM230" s="40"/>
      <c r="AN230" s="40"/>
      <c r="AO230" s="40"/>
      <c r="AP230" s="40"/>
      <c r="AQ230" s="43"/>
      <c r="AR230" s="44"/>
      <c r="AS230" s="38"/>
    </row>
    <row r="231" spans="1:45" ht="21.2" customHeight="1">
      <c r="A231" s="181">
        <f t="shared" si="18"/>
        <v>230</v>
      </c>
      <c r="B231" s="8" t="s">
        <v>322</v>
      </c>
      <c r="C231" s="31" t="s">
        <v>104</v>
      </c>
      <c r="D231" s="32" t="str">
        <f>VLOOKUP(B231,'Player Data'!A1:D734,4,FALSE)</f>
        <v>D</v>
      </c>
      <c r="E231" s="47">
        <f>VLOOKUP(B231,D!A1:C229,3,FALSE)</f>
        <v>63</v>
      </c>
      <c r="F231" s="34" t="str">
        <f>VLOOKUP(B231,'Player Data'!A1:B734,2,FALSE)</f>
        <v>ARI</v>
      </c>
      <c r="G231" s="9">
        <f>VLOOKUP(B231,'Player Data'!A1:D734,3,FALSE)</f>
        <v>24</v>
      </c>
      <c r="H231" s="35">
        <f>IFERROR(VLOOKUP(B231,ADP!A1:G731,7,FALSE)/1000000,VLOOKUP(B231,ADP!A1:G731,7,FALSE))</f>
        <v>1</v>
      </c>
      <c r="I231" s="36">
        <f>IF(Settings!$E$15="POINTS",((R231*Q231)*Settings!$B$12)+(S231*Settings!$B$2)+(T231*Settings!$B$3)+(U231*Settings!$B$4)+(V231*Settings!$B$5)+(X231*Settings!$B$9)+(AA231*Settings!$B$6)+(W231*Settings!$B$8)+(AB231*Settings!$B$7)+(AC231*Settings!$B$14)+(AD231*Settings!$B$15)+(AE231*Settings!$B$16)+(AF231*Settings!$B$17)+(AG231*Settings!$B$18)+(U231*Settings!$B$13)+(Y231*Settings!$B$10)+(Z231*Settings!$B$11),VLOOKUP(B231,'Standard Deviations'!A1:C731,3,FALSE))</f>
        <v>-1.1112390336864659</v>
      </c>
      <c r="J231" s="37">
        <f t="shared" si="19"/>
        <v>-1.355169553276178E-2</v>
      </c>
      <c r="K231" s="183">
        <f>VLOOKUP(B231,D!A1:F229,6,FALSE)</f>
        <v>-3.0529795773207766</v>
      </c>
      <c r="L231" s="36">
        <f t="shared" si="20"/>
        <v>-3.0529795773207766</v>
      </c>
      <c r="M231" s="38">
        <f>IF(Settings!$E$9="YAHOO",VLOOKUP(B231,ADP!A1:E731,2,FALSE),IF(Settings!$E$9="ESPN",VLOOKUP(B231,ADP!A1:E731,3,FALSE),IF(Settings!$E$9="FANTRAX",VLOOKUP(B231,ADP!A1:E731,4,FALSE),VLOOKUP(B231,ADP!A1:E731,5,FALSE))))</f>
        <v>228.68</v>
      </c>
      <c r="N231" s="38">
        <f t="shared" si="21"/>
        <v>-1.3199999999999932</v>
      </c>
      <c r="O231" s="38"/>
      <c r="P231" s="39" t="str">
        <f>IF(Settings!$E$27="ON",_xlfn.XLOOKUP(B231,ADP!A2:A731,ADP!H2:H731)," ")</f>
        <v xml:space="preserve"> </v>
      </c>
      <c r="Q231" s="40">
        <f>IF(Settings!$E$12="YES",VLOOKUP(B231,'Player Data'!A1:E734,5,FALSE),82)</f>
        <v>82</v>
      </c>
      <c r="R231" s="38">
        <f>VLOOKUP(B231,'Player Data'!$A1:$AE734,6,FALSE)</f>
        <v>18.735645757788902</v>
      </c>
      <c r="S231" s="40">
        <f>VLOOKUP(B231,'Player Data'!$A1:$AE734,7,FALSE)*$Q231*IFERROR((VLOOKUP(P231,Settings!$E$28:$F$33,2,FALSE)+1),1)</f>
        <v>4.7777841165173367</v>
      </c>
      <c r="T231" s="40">
        <f>VLOOKUP(B231,'Player Data'!$A1:$AE734,8,FALSE)*$Q231*IFERROR((VLOOKUP(P231,Settings!$E$28:$F$33,2,FALSE)+1),1)</f>
        <v>29.109070921788209</v>
      </c>
      <c r="U231" s="40">
        <f>SUM(S231:T231)</f>
        <v>33.886855038305548</v>
      </c>
      <c r="V231" s="40">
        <f>VLOOKUP(B231,'Player Data'!$A1:$AE734,10,FALSE)*$Q231*IFERROR(((VLOOKUP(P231,Settings!$E$28:$F$33,2,FALSE)/2)+1),1)</f>
        <v>110.11314278368292</v>
      </c>
      <c r="W231" s="40">
        <f>VLOOKUP(B231,'Player Data'!$A1:$AE734,11,FALSE)*$Q231*IFERROR((VLOOKUP(P231,Settings!$E$28:$F$33,2,FALSE)+1),1)</f>
        <v>1.1454685134105598</v>
      </c>
      <c r="X231" s="40">
        <f>VLOOKUP(B231,'Player Data'!$A1:$AE734,12,FALSE)*$Q231*IFERROR((VLOOKUP(P231,Settings!$E$28:$F$33,2,FALSE)+1),1)</f>
        <v>10.891495988694535</v>
      </c>
      <c r="Y231" s="40">
        <f>VLOOKUP(B231,'Player Data'!$A1:$AE734,13,FALSE)*$Q231</f>
        <v>2.6260847376845101E-2</v>
      </c>
      <c r="Z231" s="40">
        <f>VLOOKUP(B231,'Player Data'!$A1:$AE734,14,FALSE)*$Q231</f>
        <v>0.12485690795540799</v>
      </c>
      <c r="AA231" s="40">
        <f>VLOOKUP(B231,'Player Data'!$A1:$AE734,15,FALSE)*$Q231</f>
        <v>104.52411761188839</v>
      </c>
      <c r="AB231" s="40">
        <f>VLOOKUP(B231,'Player Data'!$A1:$AE734,16,FALSE)*$Q231</f>
        <v>74.649187505994519</v>
      </c>
      <c r="AC231" s="40">
        <f>VLOOKUP(B231,'Player Data'!$A1:$AE734,17,FALSE)*$Q231*IFERROR((VLOOKUP(P231,Settings!$E$28:$F$33,2,FALSE)+1),1)</f>
        <v>-2.4848729920009176</v>
      </c>
      <c r="AD231" s="40">
        <f>VLOOKUP(B231,'Player Data'!$A1:$AE734,18,FALSE)*$Q231</f>
        <v>52.142417607854071</v>
      </c>
      <c r="AE231" s="40">
        <f>VLOOKUP(B231,'Player Data'!$A1:$AE734,19,FALSE)*$Q231*IFERROR((VLOOKUP(P231,Settings!$E$28:$F$33,2,FALSE)+1),1)</f>
        <v>0.60294010098027984</v>
      </c>
      <c r="AF231" s="40">
        <f>VLOOKUP(B231,'Player Data'!$A1:$AE734,20,FALSE)*$Q231</f>
        <v>0</v>
      </c>
      <c r="AG231" s="40">
        <f>VLOOKUP(B231,'Player Data'!$A1:$AE734,21,FALSE)*$Q231</f>
        <v>0</v>
      </c>
      <c r="AH231" s="41">
        <f>VLOOKUP(B231,'Player Data'!$A1:$AE734,22,FALSE)</f>
        <v>0</v>
      </c>
      <c r="AI231" s="38"/>
      <c r="AJ231" s="42"/>
      <c r="AK231" s="40"/>
      <c r="AL231" s="40"/>
      <c r="AM231" s="40"/>
      <c r="AN231" s="40"/>
      <c r="AO231" s="40"/>
      <c r="AP231" s="40"/>
      <c r="AQ231" s="43"/>
      <c r="AR231" s="44"/>
      <c r="AS231" s="38"/>
    </row>
    <row r="232" spans="1:45" ht="21.2" customHeight="1">
      <c r="A232" s="181">
        <f t="shared" si="18"/>
        <v>231</v>
      </c>
      <c r="B232" s="8" t="s">
        <v>516</v>
      </c>
      <c r="C232" s="31" t="s">
        <v>104</v>
      </c>
      <c r="D232" s="32" t="str">
        <f>VLOOKUP(B232,'Player Data'!A1:D734,4,FALSE)</f>
        <v>LW</v>
      </c>
      <c r="E232" s="48">
        <f>VLOOKUP(B232,LW!A1:C227,3,FALSE)</f>
        <v>59</v>
      </c>
      <c r="F232" s="34" t="str">
        <f>VLOOKUP(B232,'Player Data'!A1:B734,2,FALSE)</f>
        <v>WSH</v>
      </c>
      <c r="G232" s="9">
        <f>VLOOKUP(B232,'Player Data'!A1:D734,3,FALSE)</f>
        <v>34</v>
      </c>
      <c r="H232" s="35">
        <f>IFERROR(VLOOKUP(B232,ADP!A1:G731,7,FALSE)/1000000,VLOOKUP(B232,ADP!A1:G731,7,FALSE))</f>
        <v>2</v>
      </c>
      <c r="I232" s="36">
        <f>IF(Settings!$E$15="POINTS",((R232*Q232)*Settings!$B$12)+(S232*Settings!$B$2)+(T232*Settings!$B$3)+(U232*Settings!$B$4)+(V232*Settings!$B$5)+(X232*Settings!$B$9)+(AA232*Settings!$B$6)+(W232*Settings!$B$8)+(AB232*Settings!$B$7)+(AC232*Settings!$B$14)+(AD232*Settings!$B$15)+(AE232*Settings!$B$16)+(AF232*Settings!$B$17)+(AG232*Settings!$B$18)+(Y232*Settings!$B$10)+(Z232*Settings!$B$11),VLOOKUP(B232,'Standard Deviations'!A1:C731,3,FALSE))</f>
        <v>3.5492913929606389</v>
      </c>
      <c r="J232" s="37">
        <f t="shared" si="19"/>
        <v>4.328404137756877E-2</v>
      </c>
      <c r="K232" s="183">
        <f>IF(Settings!$E$18="C/LW/RW",VLOOKUP(B232,LW!A1:F227,6,FALSE),VLOOKUP(B232,F!A1:F431,6,FALSE))</f>
        <v>-3.1053776511637623</v>
      </c>
      <c r="L232" s="36">
        <f t="shared" si="20"/>
        <v>-1.5526888255818811</v>
      </c>
      <c r="M232" s="38">
        <f>IF(Settings!$E$9="YAHOO",VLOOKUP(B232,ADP!A1:E731,2,FALSE),IF(Settings!$E$9="ESPN",VLOOKUP(B232,ADP!A1:E731,3,FALSE),IF(Settings!$E$9="FANTRAX",VLOOKUP(B232,ADP!A1:E731,4,FALSE),VLOOKUP(B232,ADP!A1:E731,5,FALSE))))</f>
        <v>152.51</v>
      </c>
      <c r="N232" s="38">
        <f t="shared" si="21"/>
        <v>-78.490000000000009</v>
      </c>
      <c r="O232" s="38"/>
      <c r="P232" s="39" t="str">
        <f>IF(Settings!$E$27="ON",_xlfn.XLOOKUP(B232,ADP!A2:A731,ADP!H2:H731)," ")</f>
        <v xml:space="preserve"> </v>
      </c>
      <c r="Q232" s="40">
        <f>IF(Settings!$E$12="YES",VLOOKUP(B232,'Player Data'!A1:E734,5,FALSE),82)</f>
        <v>82</v>
      </c>
      <c r="R232" s="38">
        <f>VLOOKUP(B232,'Player Data'!$A1:$AE734,6,FALSE)</f>
        <v>14.8661020504058</v>
      </c>
      <c r="S232" s="40">
        <f>VLOOKUP(B232,'Player Data'!$A1:$AE734,7,FALSE)*$Q232*IFERROR((VLOOKUP(P232,Settings!$E$28:$F$33,2,FALSE)+1),1)</f>
        <v>27.634547626453813</v>
      </c>
      <c r="T232" s="40">
        <f>VLOOKUP(B232,'Player Data'!$A1:$AE734,8,FALSE)*$Q232*IFERROR((VLOOKUP(P232,Settings!$E$28:$F$33,2,FALSE)+1),1)</f>
        <v>25.941172105023796</v>
      </c>
      <c r="U232" s="40">
        <f>SUM(S232:T232)</f>
        <v>53.575719731477605</v>
      </c>
      <c r="V232" s="40">
        <f>VLOOKUP(B232,'Player Data'!$A1:$AE734,10,FALSE)*$Q232*IFERROR(((VLOOKUP(P232,Settings!$E$28:$F$33,2,FALSE)/2)+1),1)</f>
        <v>217.48359602920789</v>
      </c>
      <c r="W232" s="40">
        <f>VLOOKUP(B232,'Player Data'!$A1:$AE734,11,FALSE)*$Q232*IFERROR((VLOOKUP(P232,Settings!$E$28:$F$33,2,FALSE)+1),1)</f>
        <v>4.7413265427571138</v>
      </c>
      <c r="X232" s="40">
        <f>VLOOKUP(B232,'Player Data'!$A1:$AE734,12,FALSE)*$Q232*IFERROR((VLOOKUP(P232,Settings!$E$28:$F$33,2,FALSE)+1),1)</f>
        <v>11.19082417122878</v>
      </c>
      <c r="Y232" s="40">
        <f>VLOOKUP(B232,'Player Data'!$A1:$AE734,13,FALSE)*$Q232</f>
        <v>0</v>
      </c>
      <c r="Z232" s="40">
        <f>VLOOKUP(B232,'Player Data'!$A1:$AE734,14,FALSE)*$Q232</f>
        <v>0</v>
      </c>
      <c r="AA232" s="40">
        <f>VLOOKUP(B232,'Player Data'!$A1:$AE734,15,FALSE)*$Q232</f>
        <v>36.649912468006029</v>
      </c>
      <c r="AB232" s="40">
        <f>VLOOKUP(B232,'Player Data'!$A1:$AE734,16,FALSE)*$Q232</f>
        <v>70.870384485512815</v>
      </c>
      <c r="AC232" s="40">
        <f>VLOOKUP(B232,'Player Data'!$A1:$AE734,17,FALSE)*$Q232*IFERROR((VLOOKUP(P232,Settings!$E$28:$F$33,2,FALSE)+1),1)</f>
        <v>-1.187260964832469</v>
      </c>
      <c r="AD232" s="40">
        <f>VLOOKUP(B232,'Player Data'!$A1:$AE734,18,FALSE)*$Q232</f>
        <v>30.788828016427065</v>
      </c>
      <c r="AE232" s="40">
        <f>VLOOKUP(B232,'Player Data'!$A1:$AE734,19,FALSE)*$Q232*IFERROR((VLOOKUP(P232,Settings!$E$28:$F$33,2,FALSE)+1),1)</f>
        <v>3.3992120341356178</v>
      </c>
      <c r="AF232" s="40">
        <f>VLOOKUP(B232,'Player Data'!$A1:$AE734,20,FALSE)*$Q232</f>
        <v>10.747498130594201</v>
      </c>
      <c r="AG232" s="40">
        <f>VLOOKUP(B232,'Player Data'!$A1:$AE734,21,FALSE)*$Q232</f>
        <v>23.145316747213094</v>
      </c>
      <c r="AH232" s="41">
        <f>VLOOKUP(B232,'Player Data'!$A1:$AE734,22,FALSE)</f>
        <v>0.31710255313233199</v>
      </c>
      <c r="AI232" s="38"/>
      <c r="AJ232" s="42"/>
      <c r="AK232" s="40"/>
      <c r="AL232" s="40"/>
      <c r="AM232" s="40"/>
      <c r="AN232" s="40"/>
      <c r="AO232" s="40"/>
      <c r="AP232" s="40"/>
      <c r="AQ232" s="43"/>
      <c r="AR232" s="44"/>
      <c r="AS232" s="38"/>
    </row>
    <row r="233" spans="1:45" ht="21.2" customHeight="1">
      <c r="A233" s="181">
        <f t="shared" si="18"/>
        <v>232</v>
      </c>
      <c r="B233" s="8" t="s">
        <v>785</v>
      </c>
      <c r="C233" s="31" t="s">
        <v>104</v>
      </c>
      <c r="D233" s="32" t="str">
        <f>VLOOKUP(B233,'Player Data'!A1:D734,4,FALSE)</f>
        <v>G</v>
      </c>
      <c r="E233" s="50">
        <f>VLOOKUP(B233,G!A1:D75,3,FALSE)</f>
        <v>50</v>
      </c>
      <c r="F233" s="34" t="str">
        <f>VLOOKUP(B233,'Player Data'!A1:B734,2,FALSE)</f>
        <v>CAR</v>
      </c>
      <c r="G233" s="9">
        <f>VLOOKUP(B233,'Player Data'!A1:D734,3,FALSE)</f>
        <v>34</v>
      </c>
      <c r="H233" s="35">
        <f>IFERROR(VLOOKUP(B233,ADP!A1:G731,7,FALSE)/1000000,VLOOKUP(B233,ADP!A1:G731,7,FALSE))</f>
        <v>0</v>
      </c>
      <c r="I233" s="36">
        <f>IF(Settings!$E$15="POINTS",(AJ233*Settings!$B$29)+(AK233*Settings!$B$21)+(AL233*Settings!$B$22)+(AN233*Settings!$B$24)+(AO233*Settings!$B$25)+(AP233*Settings!$B$27)+(AM233*Settings!$B$23),VLOOKUP(B233,'Standard Deviations'!A1:C731,3,FALSE))</f>
        <v>-1.4056333044845402</v>
      </c>
      <c r="J233" s="37">
        <f t="shared" si="19"/>
        <v>-6.6934919261168582E-2</v>
      </c>
      <c r="K233" s="183">
        <f>VLOOKUP(B233,G!A1:F75,6,FALSE)</f>
        <v>-3.1098623556748315</v>
      </c>
      <c r="L233" s="49" t="str">
        <f t="shared" si="20"/>
        <v>N/A</v>
      </c>
      <c r="M233" s="38">
        <f>IF(Settings!$E$9="YAHOO",VLOOKUP(B233,ADP!A1:E731,2,FALSE),IF(Settings!$E$9="ESPN",VLOOKUP(B233,ADP!A1:E731,3,FALSE),IF(Settings!$E$9="FANTRAX",VLOOKUP(B233,ADP!A1:E731,4,FALSE),VLOOKUP(B233,ADP!A1:E731,5,FALSE))))</f>
        <v>384.74</v>
      </c>
      <c r="N233" s="38">
        <f t="shared" si="21"/>
        <v>152.74</v>
      </c>
      <c r="O233" s="38"/>
      <c r="P233" s="39" t="str">
        <f>IF(Settings!$E$27="ON",_xlfn.XLOOKUP(B233,ADP!A2:A731,ADP!H2:H731)," ")</f>
        <v xml:space="preserve"> </v>
      </c>
      <c r="Q233" s="40"/>
      <c r="R233" s="51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1"/>
      <c r="AI233" s="38"/>
      <c r="AJ233" s="42">
        <f>VLOOKUP(B233,'Player Data'!$A1:$AE734,24,FALSE)</f>
        <v>21</v>
      </c>
      <c r="AK233" s="40">
        <f>VLOOKUP(B233,'Player Data'!$A1:$AE734,25,FALSE)*$AJ233*IFERROR((VLOOKUP(P233,Settings!$E$28:$F$33,2,FALSE)+1),1)</f>
        <v>12.766063358141983</v>
      </c>
      <c r="AL233" s="40">
        <f>AJ233-AK233-AM233</f>
        <v>5.6089366418580173</v>
      </c>
      <c r="AM233" s="40">
        <f>VLOOKUP(B233,'Player Data'!$A1:$AE734,27,FALSE)*$AJ233</f>
        <v>2.625</v>
      </c>
      <c r="AN233" s="40">
        <f>VLOOKUP(B233,'Player Data'!$A1:$AE734,28,FALSE)*AJ233</f>
        <v>1.0036877693664255</v>
      </c>
      <c r="AO233" s="40">
        <f>VLOOKUP(B233,'Player Data'!$A1:$AE734,29,FALSE)*$AJ233*IFERROR((VLOOKUP(P233,Settings!$E$28:$F$33,2,FALSE)/4)+1,1)</f>
        <v>563.49224740057412</v>
      </c>
      <c r="AP233" s="40">
        <f>VLOOKUP(B233,'Player Data'!$A1:$AE734,31,FALSE)*$AJ233*(IFERROR(1-(VLOOKUP(P233,Settings!$E$28:$F$33,2,FALSE)/4),1))</f>
        <v>61.297280505675062</v>
      </c>
      <c r="AQ233" s="43">
        <f>1-(AP233/(AO233+AP233))</f>
        <v>0.90189131256554478</v>
      </c>
      <c r="AR233" s="44">
        <f>AP233/AJ233</f>
        <v>2.9189181193178602</v>
      </c>
      <c r="AS233" s="38"/>
    </row>
    <row r="234" spans="1:45" ht="21.2" customHeight="1">
      <c r="A234" s="181">
        <f t="shared" si="18"/>
        <v>233</v>
      </c>
      <c r="B234" s="8" t="s">
        <v>331</v>
      </c>
      <c r="C234" s="31" t="s">
        <v>104</v>
      </c>
      <c r="D234" s="32" t="str">
        <f>VLOOKUP(B234,'Player Data'!A1:D734,4,FALSE)</f>
        <v>LW</v>
      </c>
      <c r="E234" s="48">
        <f>VLOOKUP(B234,LW!A1:C227,3,FALSE)</f>
        <v>60</v>
      </c>
      <c r="F234" s="34" t="str">
        <f>VLOOKUP(B234,'Player Data'!A1:B734,2,FALSE)</f>
        <v>CHI</v>
      </c>
      <c r="G234" s="9">
        <f>VLOOKUP(B234,'Player Data'!A1:D734,3,FALSE)</f>
        <v>21</v>
      </c>
      <c r="H234" s="35">
        <f>IFERROR(VLOOKUP(B234,ADP!A1:G731,7,FALSE)/1000000,VLOOKUP(B234,ADP!A1:G731,7,FALSE))</f>
        <v>0</v>
      </c>
      <c r="I234" s="36">
        <f>IF(Settings!$E$15="POINTS",((R234*Q234)*Settings!$B$12)+(S234*Settings!$B$2)+(T234*Settings!$B$3)+(U234*Settings!$B$4)+(V234*Settings!$B$5)+(X234*Settings!$B$9)+(AA234*Settings!$B$6)+(W234*Settings!$B$8)+(AB234*Settings!$B$7)+(AC234*Settings!$B$14)+(AD234*Settings!$B$15)+(AE234*Settings!$B$16)+(AF234*Settings!$B$17)+(AG234*Settings!$B$18)+(Y234*Settings!$B$10)+(Z234*Settings!$B$11),VLOOKUP(B234,'Standard Deviations'!A1:C731,3,FALSE))</f>
        <v>3.5381743079370715</v>
      </c>
      <c r="J234" s="37">
        <f t="shared" si="19"/>
        <v>4.3148467169964289E-2</v>
      </c>
      <c r="K234" s="183">
        <f>IF(Settings!$E$18="C/LW/RW",VLOOKUP(B234,LW!A1:F227,6,FALSE),VLOOKUP(B234,F!A1:F431,6,FALSE))</f>
        <v>-3.1164947361873296</v>
      </c>
      <c r="L234" s="49" t="str">
        <f t="shared" si="20"/>
        <v>N/A</v>
      </c>
      <c r="M234" s="38">
        <f>IF(Settings!$E$9="YAHOO",VLOOKUP(B234,ADP!A1:E731,2,FALSE),IF(Settings!$E$9="ESPN",VLOOKUP(B234,ADP!A1:E731,3,FALSE),IF(Settings!$E$9="FANTRAX",VLOOKUP(B234,ADP!A1:E731,4,FALSE),VLOOKUP(B234,ADP!A1:E731,5,FALSE))))</f>
        <v>212.66</v>
      </c>
      <c r="N234" s="38">
        <f t="shared" si="21"/>
        <v>-20.340000000000003</v>
      </c>
      <c r="O234" s="38"/>
      <c r="P234" s="39" t="str">
        <f>IF(Settings!$E$27="ON",_xlfn.XLOOKUP(B234,ADP!A2:A731,ADP!H2:H731)," ")</f>
        <v xml:space="preserve"> </v>
      </c>
      <c r="Q234" s="40">
        <f>IF(Settings!$E$12="YES",VLOOKUP(B234,'Player Data'!A1:E734,5,FALSE),82)</f>
        <v>82</v>
      </c>
      <c r="R234" s="38">
        <f>VLOOKUP(B234,'Player Data'!$A1:$AE734,6,FALSE)</f>
        <v>17.1941798142972</v>
      </c>
      <c r="S234" s="40">
        <f>VLOOKUP(B234,'Player Data'!$A1:$AE734,7,FALSE)*$Q234*IFERROR((VLOOKUP(P234,Settings!$E$28:$F$33,2,FALSE)+1),1)</f>
        <v>24.207309889229183</v>
      </c>
      <c r="T234" s="40">
        <f>VLOOKUP(B234,'Player Data'!$A1:$AE734,8,FALSE)*$Q234*IFERROR((VLOOKUP(P234,Settings!$E$28:$F$33,2,FALSE)+1),1)</f>
        <v>33.134884784195016</v>
      </c>
      <c r="U234" s="40">
        <f>SUM(S234:T234)</f>
        <v>57.342194673424203</v>
      </c>
      <c r="V234" s="40">
        <f>VLOOKUP(B234,'Player Data'!$A1:$AE734,10,FALSE)*$Q234*IFERROR(((VLOOKUP(P234,Settings!$E$28:$F$33,2,FALSE)/2)+1),1)</f>
        <v>170.22467209253691</v>
      </c>
      <c r="W234" s="40">
        <f>VLOOKUP(B234,'Player Data'!$A1:$AE734,11,FALSE)*$Q234*IFERROR((VLOOKUP(P234,Settings!$E$28:$F$33,2,FALSE)+1),1)</f>
        <v>3.9642278129535615</v>
      </c>
      <c r="X234" s="40">
        <f>VLOOKUP(B234,'Player Data'!$A1:$AE734,12,FALSE)*$Q234*IFERROR((VLOOKUP(P234,Settings!$E$28:$F$33,2,FALSE)+1),1)</f>
        <v>15.405259569936003</v>
      </c>
      <c r="Y234" s="40">
        <f>VLOOKUP(B234,'Player Data'!$A1:$AE734,13,FALSE)*$Q234</f>
        <v>1.5998474763461521E-3</v>
      </c>
      <c r="Z234" s="40">
        <f>VLOOKUP(B234,'Player Data'!$A1:$AE734,14,FALSE)*$Q234</f>
        <v>3.2027421860170995E-3</v>
      </c>
      <c r="AA234" s="40">
        <f>VLOOKUP(B234,'Player Data'!$A1:$AE734,15,FALSE)*$Q234</f>
        <v>45.976727239907333</v>
      </c>
      <c r="AB234" s="40">
        <f>VLOOKUP(B234,'Player Data'!$A1:$AE734,16,FALSE)*$Q234</f>
        <v>43.226770177278418</v>
      </c>
      <c r="AC234" s="40">
        <f>VLOOKUP(B234,'Player Data'!$A1:$AE734,17,FALSE)*$Q234*IFERROR((VLOOKUP(P234,Settings!$E$28:$F$33,2,FALSE)+1),1)</f>
        <v>-6.7816075328545891</v>
      </c>
      <c r="AD234" s="40">
        <f>VLOOKUP(B234,'Player Data'!$A1:$AE734,18,FALSE)*$Q234</f>
        <v>27.242613023185417</v>
      </c>
      <c r="AE234" s="40">
        <f>VLOOKUP(B234,'Player Data'!$A1:$AE734,19,FALSE)*$Q234*IFERROR((VLOOKUP(P234,Settings!$E$28:$F$33,2,FALSE)+1),1)</f>
        <v>2.8366501414026097</v>
      </c>
      <c r="AF234" s="40">
        <f>VLOOKUP(B234,'Player Data'!$A1:$AE734,20,FALSE)*$Q234</f>
        <v>29.296933789245877</v>
      </c>
      <c r="AG234" s="40">
        <f>VLOOKUP(B234,'Player Data'!$A1:$AE734,21,FALSE)*$Q234</f>
        <v>48.682582448587318</v>
      </c>
      <c r="AH234" s="41">
        <f>VLOOKUP(B234,'Player Data'!$A1:$AE734,22,FALSE)</f>
        <v>0.37570037880065699</v>
      </c>
      <c r="AI234" s="38"/>
      <c r="AJ234" s="42"/>
      <c r="AK234" s="40"/>
      <c r="AL234" s="40"/>
      <c r="AM234" s="40"/>
      <c r="AN234" s="40"/>
      <c r="AO234" s="40"/>
      <c r="AP234" s="40"/>
      <c r="AQ234" s="43"/>
      <c r="AR234" s="44"/>
      <c r="AS234" s="38"/>
    </row>
    <row r="235" spans="1:45" ht="21.2" customHeight="1">
      <c r="A235" s="181">
        <f t="shared" si="18"/>
        <v>234</v>
      </c>
      <c r="B235" s="8" t="s">
        <v>330</v>
      </c>
      <c r="C235" s="31" t="s">
        <v>104</v>
      </c>
      <c r="D235" s="32" t="str">
        <f>VLOOKUP(B235,'Player Data'!A1:D734,4,FALSE)</f>
        <v>D</v>
      </c>
      <c r="E235" s="47">
        <f>VLOOKUP(B235,D!A1:C229,3,FALSE)</f>
        <v>64</v>
      </c>
      <c r="F235" s="34" t="str">
        <f>VLOOKUP(B235,'Player Data'!A1:B734,2,FALSE)</f>
        <v>SEA</v>
      </c>
      <c r="G235" s="9">
        <f>VLOOKUP(B235,'Player Data'!A1:D734,3,FALSE)</f>
        <v>33</v>
      </c>
      <c r="H235" s="35">
        <f>IFERROR(VLOOKUP(B235,ADP!A1:G731,7,FALSE)/1000000,VLOOKUP(B235,ADP!A1:G731,7,FALSE))</f>
        <v>3</v>
      </c>
      <c r="I235" s="36">
        <f>IF(Settings!$E$15="POINTS",((R235*Q235)*Settings!$B$12)+(S235*Settings!$B$2)+(T235*Settings!$B$3)+(U235*Settings!$B$4)+(V235*Settings!$B$5)+(X235*Settings!$B$9)+(AA235*Settings!$B$6)+(W235*Settings!$B$8)+(AB235*Settings!$B$7)+(AC235*Settings!$B$14)+(AD235*Settings!$B$15)+(AE235*Settings!$B$16)+(AF235*Settings!$B$17)+(AG235*Settings!$B$18)+(U235*Settings!$B$13)+(Y235*Settings!$B$10)+(Z235*Settings!$B$11),VLOOKUP(B235,'Standard Deviations'!A1:C731,3,FALSE))</f>
        <v>-1.1854015601676557</v>
      </c>
      <c r="J235" s="37">
        <f t="shared" si="19"/>
        <v>-1.4456116587410436E-2</v>
      </c>
      <c r="K235" s="183">
        <f>VLOOKUP(B235,D!A1:F229,6,FALSE)</f>
        <v>-3.1271421038019662</v>
      </c>
      <c r="L235" s="36">
        <f t="shared" si="20"/>
        <v>-1.0423807012673221</v>
      </c>
      <c r="M235" s="38">
        <f>IF(Settings!$E$9="YAHOO",VLOOKUP(B235,ADP!A1:E731,2,FALSE),IF(Settings!$E$9="ESPN",VLOOKUP(B235,ADP!A1:E731,3,FALSE),IF(Settings!$E$9="FANTRAX",VLOOKUP(B235,ADP!A1:E731,4,FALSE),VLOOKUP(B235,ADP!A1:E731,5,FALSE))))</f>
        <v>480.5</v>
      </c>
      <c r="N235" s="38">
        <f t="shared" si="21"/>
        <v>246.5</v>
      </c>
      <c r="O235" s="38"/>
      <c r="P235" s="39" t="str">
        <f>IF(Settings!$E$27="ON",_xlfn.XLOOKUP(B235,ADP!A2:A731,ADP!H2:H731)," ")</f>
        <v xml:space="preserve"> </v>
      </c>
      <c r="Q235" s="40">
        <f>IF(Settings!$E$12="YES",VLOOKUP(B235,'Player Data'!A1:E734,5,FALSE),82)</f>
        <v>82</v>
      </c>
      <c r="R235" s="38">
        <f>VLOOKUP(B235,'Player Data'!$A1:$AE734,6,FALSE)</f>
        <v>17.458222504210799</v>
      </c>
      <c r="S235" s="40">
        <f>VLOOKUP(B235,'Player Data'!$A1:$AE734,7,FALSE)*$Q235*IFERROR((VLOOKUP(P235,Settings!$E$28:$F$33,2,FALSE)+1),1)</f>
        <v>5.3861827972281553</v>
      </c>
      <c r="T235" s="40">
        <f>VLOOKUP(B235,'Player Data'!$A1:$AE734,8,FALSE)*$Q235*IFERROR((VLOOKUP(P235,Settings!$E$28:$F$33,2,FALSE)+1),1)</f>
        <v>27.284116438265439</v>
      </c>
      <c r="U235" s="40">
        <f>SUM(S235:T235)</f>
        <v>32.670299235493594</v>
      </c>
      <c r="V235" s="40">
        <f>VLOOKUP(B235,'Player Data'!$A1:$AE734,10,FALSE)*$Q235*IFERROR(((VLOOKUP(P235,Settings!$E$28:$F$33,2,FALSE)/2)+1),1)</f>
        <v>108.0958179496742</v>
      </c>
      <c r="W235" s="40">
        <f>VLOOKUP(B235,'Player Data'!$A1:$AE734,11,FALSE)*$Q235*IFERROR((VLOOKUP(P235,Settings!$E$28:$F$33,2,FALSE)+1),1)</f>
        <v>1.3833050262453377</v>
      </c>
      <c r="X235" s="40">
        <f>VLOOKUP(B235,'Player Data'!$A1:$AE734,12,FALSE)*$Q235*IFERROR((VLOOKUP(P235,Settings!$E$28:$F$33,2,FALSE)+1),1)</f>
        <v>11.764491680918866</v>
      </c>
      <c r="Y235" s="40">
        <f>VLOOKUP(B235,'Player Data'!$A1:$AE734,13,FALSE)*$Q235</f>
        <v>3.2001887219248537E-3</v>
      </c>
      <c r="Z235" s="40">
        <f>VLOOKUP(B235,'Player Data'!$A1:$AE734,14,FALSE)*$Q235</f>
        <v>1.0766517234003969E-2</v>
      </c>
      <c r="AA235" s="40">
        <f>VLOOKUP(B235,'Player Data'!$A1:$AE734,15,FALSE)*$Q235</f>
        <v>87.340223509092297</v>
      </c>
      <c r="AB235" s="40">
        <f>VLOOKUP(B235,'Player Data'!$A1:$AE734,16,FALSE)*$Q235</f>
        <v>53.680335672269614</v>
      </c>
      <c r="AC235" s="40">
        <f>VLOOKUP(B235,'Player Data'!$A1:$AE734,17,FALSE)*$Q235*IFERROR((VLOOKUP(P235,Settings!$E$28:$F$33,2,FALSE)+1),1)</f>
        <v>-0.30811836538564064</v>
      </c>
      <c r="AD235" s="40">
        <f>VLOOKUP(B235,'Player Data'!$A1:$AE734,18,FALSE)*$Q235</f>
        <v>31.788763407731416</v>
      </c>
      <c r="AE235" s="40">
        <f>VLOOKUP(B235,'Player Data'!$A1:$AE734,19,FALSE)*$Q235*IFERROR((VLOOKUP(P235,Settings!$E$28:$F$33,2,FALSE)+1),1)</f>
        <v>0.757087111793048</v>
      </c>
      <c r="AF235" s="40">
        <f>VLOOKUP(B235,'Player Data'!$A1:$AE734,20,FALSE)*$Q235</f>
        <v>0</v>
      </c>
      <c r="AG235" s="40">
        <f>VLOOKUP(B235,'Player Data'!$A1:$AE734,21,FALSE)*$Q235</f>
        <v>0</v>
      </c>
      <c r="AH235" s="41">
        <f>VLOOKUP(B235,'Player Data'!$A1:$AE734,22,FALSE)</f>
        <v>0</v>
      </c>
      <c r="AI235" s="38"/>
      <c r="AJ235" s="42"/>
      <c r="AK235" s="40"/>
      <c r="AL235" s="40"/>
      <c r="AM235" s="40"/>
      <c r="AN235" s="40"/>
      <c r="AO235" s="40"/>
      <c r="AP235" s="40"/>
      <c r="AQ235" s="43"/>
      <c r="AR235" s="44"/>
      <c r="AS235" s="38"/>
    </row>
    <row r="236" spans="1:45" ht="21.2" customHeight="1">
      <c r="A236" s="181">
        <f t="shared" si="18"/>
        <v>235</v>
      </c>
      <c r="B236" s="8" t="s">
        <v>754</v>
      </c>
      <c r="C236" s="31" t="s">
        <v>104</v>
      </c>
      <c r="D236" s="32" t="str">
        <f>VLOOKUP(B236,'Player Data'!A1:D734,4,FALSE)</f>
        <v>G</v>
      </c>
      <c r="E236" s="50">
        <f>VLOOKUP(B236,G!A1:D75,3,FALSE)</f>
        <v>51</v>
      </c>
      <c r="F236" s="34" t="str">
        <f>VLOOKUP(B236,'Player Data'!A1:B734,2,FALSE)</f>
        <v>WSH</v>
      </c>
      <c r="G236" s="9">
        <f>VLOOKUP(B236,'Player Data'!A1:D734,3,FALSE)</f>
        <v>29</v>
      </c>
      <c r="H236" s="35">
        <f>IFERROR(VLOOKUP(B236,ADP!A1:G731,7,FALSE)/1000000,VLOOKUP(B236,ADP!A1:G731,7,FALSE))</f>
        <v>1.1000000000000001</v>
      </c>
      <c r="I236" s="36">
        <f>IF(Settings!$E$15="POINTS",(AJ236*Settings!$B$29)+(AK236*Settings!$B$21)+(AL236*Settings!$B$22)+(AN236*Settings!$B$24)+(AO236*Settings!$B$25)+(AP236*Settings!$B$27)+(AM236*Settings!$B$23),VLOOKUP(B236,'Standard Deviations'!A1:C731,3,FALSE))</f>
        <v>-1.4301429385689137</v>
      </c>
      <c r="J236" s="37">
        <f t="shared" si="19"/>
        <v>-5.958928910703807E-2</v>
      </c>
      <c r="K236" s="183">
        <f>VLOOKUP(B236,G!A1:F75,6,FALSE)</f>
        <v>-3.1343719897592051</v>
      </c>
      <c r="L236" s="36">
        <f t="shared" si="20"/>
        <v>-2.8494290815992769</v>
      </c>
      <c r="M236" s="52" t="str">
        <f>IF(Settings!$E$9="YAHOO",VLOOKUP(B236,ADP!A1:E731,2,FALSE),IF(Settings!$E$9="ESPN",VLOOKUP(B236,ADP!A1:E731,3,FALSE),IF(Settings!$E$9="FANTRAX",VLOOKUP(B236,ADP!A1:E731,4,FALSE),VLOOKUP(B236,ADP!A1:E731,5,FALSE))))</f>
        <v>-</v>
      </c>
      <c r="N236" s="52" t="str">
        <f t="shared" si="21"/>
        <v>N/A</v>
      </c>
      <c r="O236" s="38"/>
      <c r="P236" s="39" t="str">
        <f>IF(Settings!$E$27="ON",_xlfn.XLOOKUP(B236,ADP!A2:A731,ADP!H2:H731)," ")</f>
        <v xml:space="preserve"> </v>
      </c>
      <c r="Q236" s="40"/>
      <c r="R236" s="51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1"/>
      <c r="AI236" s="38"/>
      <c r="AJ236" s="42">
        <f>VLOOKUP(B236,'Player Data'!$A1:$AE734,24,FALSE)</f>
        <v>24</v>
      </c>
      <c r="AK236" s="40">
        <f>VLOOKUP(B236,'Player Data'!$A1:$AE734,25,FALSE)*$AJ236*IFERROR((VLOOKUP(P236,Settings!$E$28:$F$33,2,FALSE)+1),1)</f>
        <v>9.7930071982325515</v>
      </c>
      <c r="AL236" s="40">
        <f>AJ236-AK236-AM236</f>
        <v>11.206992801767448</v>
      </c>
      <c r="AM236" s="40">
        <f>VLOOKUP(B236,'Player Data'!$A1:$AE734,27,FALSE)*$AJ236</f>
        <v>3</v>
      </c>
      <c r="AN236" s="40">
        <f>VLOOKUP(B236,'Player Data'!$A1:$AE734,28,FALSE)*AJ236</f>
        <v>0.77339346278491916</v>
      </c>
      <c r="AO236" s="40">
        <f>VLOOKUP(B236,'Player Data'!$A1:$AE734,29,FALSE)*$AJ236*IFERROR((VLOOKUP(P236,Settings!$E$28:$F$33,2,FALSE)/4)+1,1)</f>
        <v>698.16699820634631</v>
      </c>
      <c r="AP236" s="40">
        <f>VLOOKUP(B236,'Player Data'!$A1:$AE734,31,FALSE)*$AJ236*(IFERROR(1-(VLOOKUP(P236,Settings!$E$28:$F$33,2,FALSE)/4),1))</f>
        <v>74.945111743652873</v>
      </c>
      <c r="AQ236" s="43">
        <f>1-(AP236/(AO236+AP236))</f>
        <v>0.90306048659812099</v>
      </c>
      <c r="AR236" s="44">
        <f>AP236/AJ236</f>
        <v>3.1227129893188699</v>
      </c>
      <c r="AS236" s="38"/>
    </row>
    <row r="237" spans="1:45" ht="21.2" customHeight="1">
      <c r="A237" s="181">
        <f t="shared" si="18"/>
        <v>236</v>
      </c>
      <c r="B237" s="8" t="s">
        <v>280</v>
      </c>
      <c r="C237" s="31" t="s">
        <v>104</v>
      </c>
      <c r="D237" s="32" t="str">
        <f>VLOOKUP(B237,'Player Data'!A1:D734,4,FALSE)</f>
        <v>RW</v>
      </c>
      <c r="E237" s="46">
        <f>VLOOKUP(B237,RW!A1:F189,3,FALSE)</f>
        <v>54</v>
      </c>
      <c r="F237" s="34" t="str">
        <f>VLOOKUP(B237,'Player Data'!A1:B734,2,FALSE)</f>
        <v>CAR</v>
      </c>
      <c r="G237" s="9">
        <f>VLOOKUP(B237,'Player Data'!A1:D734,3,FALSE)</f>
        <v>21</v>
      </c>
      <c r="H237" s="35">
        <f>IFERROR(VLOOKUP(B237,ADP!A1:G731,7,FALSE)/1000000,VLOOKUP(B237,ADP!A1:G731,7,FALSE))</f>
        <v>0.89416700000000005</v>
      </c>
      <c r="I237" s="36">
        <f>IF(Settings!$E$15="POINTS",((R237*Q237)*Settings!$B$12)+(S237*Settings!$B$2)+(T237*Settings!$B$3)+(U237*Settings!$B$4)+(V237*Settings!$B$5)+(X237*Settings!$B$9)+(AA237*Settings!$B$6)+(W237*Settings!$B$8)+(AB237*Settings!$B$7)+(AC237*Settings!$B$14)+(AD237*Settings!$B$15)+(AE237*Settings!$B$16)+(AF237*Settings!$B$17)+(AG237*Settings!$B$18)+(Y237*Settings!$B$10)+(Z237*Settings!$B$11),VLOOKUP(B237,'Standard Deviations'!A1:C731,3,FALSE))</f>
        <v>3.1362584876266308</v>
      </c>
      <c r="J237" s="37">
        <f t="shared" si="19"/>
        <v>3.8247054727154034E-2</v>
      </c>
      <c r="K237" s="183">
        <f>IF(Settings!$E$18="C/LW/RW",VLOOKUP(B237,RW!A1:F189,6,FALSE),VLOOKUP(B237,F!A1:F431,6,FALSE))</f>
        <v>-3.14400023138445</v>
      </c>
      <c r="L237" s="36">
        <f t="shared" si="20"/>
        <v>-3.5161219675792661</v>
      </c>
      <c r="M237" s="38">
        <f>IF(Settings!$E$9="YAHOO",VLOOKUP(B237,ADP!A1:E731,2,FALSE),IF(Settings!$E$9="ESPN",VLOOKUP(B237,ADP!A1:E731,3,FALSE),IF(Settings!$E$9="FANTRAX",VLOOKUP(B237,ADP!A1:E731,4,FALSE),VLOOKUP(B237,ADP!A1:E731,5,FALSE))))</f>
        <v>201.38</v>
      </c>
      <c r="N237" s="38">
        <f t="shared" si="21"/>
        <v>-34.620000000000005</v>
      </c>
      <c r="O237" s="38"/>
      <c r="P237" s="39" t="str">
        <f>IF(Settings!$E$27="ON",_xlfn.XLOOKUP(B237,ADP!A2:A731,ADP!H2:H731)," ")</f>
        <v>+</v>
      </c>
      <c r="Q237" s="40">
        <f>IF(Settings!$E$12="YES",VLOOKUP(B237,'Player Data'!A1:E734,5,FALSE),82)</f>
        <v>82</v>
      </c>
      <c r="R237" s="38">
        <f>VLOOKUP(B237,'Player Data'!$A1:$AE734,6,FALSE)</f>
        <v>16.786392490932901</v>
      </c>
      <c r="S237" s="40">
        <f>VLOOKUP(B237,'Player Data'!$A1:$AE734,7,FALSE)*$Q237*IFERROR((VLOOKUP(P237,Settings!$E$28:$F$33,2,FALSE)+1),1)</f>
        <v>20.701105743066815</v>
      </c>
      <c r="T237" s="40">
        <f>VLOOKUP(B237,'Player Data'!$A1:$AE734,8,FALSE)*$Q237*IFERROR((VLOOKUP(P237,Settings!$E$28:$F$33,2,FALSE)+1),1)</f>
        <v>32.671054563885427</v>
      </c>
      <c r="U237" s="40">
        <f>SUM(S237:T237)</f>
        <v>53.372160306952239</v>
      </c>
      <c r="V237" s="40">
        <f>VLOOKUP(B237,'Player Data'!$A1:$AE734,10,FALSE)*$Q237*IFERROR(((VLOOKUP(P237,Settings!$E$28:$F$33,2,FALSE)/2)+1),1)</f>
        <v>202.00504826542783</v>
      </c>
      <c r="W237" s="40">
        <f>VLOOKUP(B237,'Player Data'!$A1:$AE734,11,FALSE)*$Q237*IFERROR((VLOOKUP(P237,Settings!$E$28:$F$33,2,FALSE)+1),1)</f>
        <v>2.8502961464112415</v>
      </c>
      <c r="X237" s="40">
        <f>VLOOKUP(B237,'Player Data'!$A1:$AE734,12,FALSE)*$Q237*IFERROR((VLOOKUP(P237,Settings!$E$28:$F$33,2,FALSE)+1),1)</f>
        <v>11.507827264541014</v>
      </c>
      <c r="Y237" s="40">
        <f>VLOOKUP(B237,'Player Data'!$A1:$AE734,13,FALSE)*$Q237</f>
        <v>0.35500372033385436</v>
      </c>
      <c r="Z237" s="40">
        <f>VLOOKUP(B237,'Player Data'!$A1:$AE734,14,FALSE)*$Q237</f>
        <v>0.41547198394972806</v>
      </c>
      <c r="AA237" s="40">
        <f>VLOOKUP(B237,'Player Data'!$A1:$AE734,15,FALSE)*$Q237</f>
        <v>43.7518398495287</v>
      </c>
      <c r="AB237" s="40">
        <f>VLOOKUP(B237,'Player Data'!$A1:$AE734,16,FALSE)*$Q237</f>
        <v>80.885900993864155</v>
      </c>
      <c r="AC237" s="40">
        <f>VLOOKUP(B237,'Player Data'!$A1:$AE734,17,FALSE)*$Q237*IFERROR((VLOOKUP(P237,Settings!$E$28:$F$33,2,FALSE)+1),1)</f>
        <v>8.6852237294018142</v>
      </c>
      <c r="AD237" s="40">
        <f>VLOOKUP(B237,'Player Data'!$A1:$AE734,18,FALSE)*$Q237</f>
        <v>20.94188635530374</v>
      </c>
      <c r="AE237" s="40">
        <f>VLOOKUP(B237,'Player Data'!$A1:$AE734,19,FALSE)*$Q237*IFERROR((VLOOKUP(P237,Settings!$E$28:$F$33,2,FALSE)+1),1)</f>
        <v>3.7142419031178631</v>
      </c>
      <c r="AF237" s="40">
        <f>VLOOKUP(B237,'Player Data'!$A1:$AE734,20,FALSE)*$Q237</f>
        <v>10.722125142064383</v>
      </c>
      <c r="AG237" s="40">
        <f>VLOOKUP(B237,'Player Data'!$A1:$AE734,21,FALSE)*$Q237</f>
        <v>17.424796712983774</v>
      </c>
      <c r="AH237" s="41">
        <f>VLOOKUP(B237,'Player Data'!$A1:$AE734,22,FALSE)</f>
        <v>0.38093419938711198</v>
      </c>
      <c r="AI237" s="38"/>
      <c r="AJ237" s="42"/>
      <c r="AK237" s="40"/>
      <c r="AL237" s="40"/>
      <c r="AM237" s="40"/>
      <c r="AN237" s="40"/>
      <c r="AO237" s="40"/>
      <c r="AP237" s="40"/>
      <c r="AQ237" s="43"/>
      <c r="AR237" s="44"/>
      <c r="AS237" s="38"/>
    </row>
    <row r="238" spans="1:45" ht="21.2" customHeight="1">
      <c r="A238" s="181">
        <f t="shared" si="18"/>
        <v>237</v>
      </c>
      <c r="B238" s="8" t="s">
        <v>306</v>
      </c>
      <c r="C238" s="31" t="s">
        <v>104</v>
      </c>
      <c r="D238" s="32" t="str">
        <f>VLOOKUP(B238,'Player Data'!A1:D734,4,FALSE)</f>
        <v>C</v>
      </c>
      <c r="E238" s="33">
        <f>VLOOKUP(B238,'C'!A1:C208,3,FALSE)</f>
        <v>59</v>
      </c>
      <c r="F238" s="34" t="str">
        <f>VLOOKUP(B238,'Player Data'!A1:B734,2,FALSE)</f>
        <v>NYR</v>
      </c>
      <c r="G238" s="9">
        <f>VLOOKUP(B238,'Player Data'!A1:D734,3,FALSE)</f>
        <v>30</v>
      </c>
      <c r="H238" s="35">
        <f>IFERROR(VLOOKUP(B238,ADP!A1:G731,7,FALSE)/1000000,VLOOKUP(B238,ADP!A1:G731,7,FALSE))</f>
        <v>5.625</v>
      </c>
      <c r="I238" s="36">
        <f>IF(Settings!$E$15="POINTS",((R238*Q238)*Settings!$B$12)+(S238*Settings!$B$2)+(T238*Settings!$B$3)+(U238*Settings!$B$4)+(V238*Settings!$B$5)+(X238*Settings!$B$9)+(AA238*Settings!$B$6)+(W238*Settings!$B$8)+(AB238*Settings!$B$7)+(AC238*Settings!$B$14)+(AD238*Settings!$B$15)+(AE238*Settings!$B$16)+(AF238*Settings!$B$17)+(AG238*Settings!$B$18)+(Y238*Settings!$B$10)+(Z238*Settings!$B$11),VLOOKUP(B238,'Standard Deviations'!A1:C731,3,FALSE))</f>
        <v>3.1744456712616489</v>
      </c>
      <c r="J238" s="37">
        <f t="shared" si="19"/>
        <v>3.8712752088556693E-2</v>
      </c>
      <c r="K238" s="183">
        <f>IF(Settings!$E$18="C/LW/RW",VLOOKUP(B238,'C'!A1:F208,6,FALSE),VLOOKUP(B238,F!A1:F431,6,FALSE))</f>
        <v>-3.1626050529449539</v>
      </c>
      <c r="L238" s="36">
        <f t="shared" si="20"/>
        <v>-0.56224089830132518</v>
      </c>
      <c r="M238" s="38">
        <f>IF(Settings!$E$9="YAHOO",VLOOKUP(B238,ADP!A1:E731,2,FALSE),IF(Settings!$E$9="ESPN",VLOOKUP(B238,ADP!A1:E731,3,FALSE),IF(Settings!$E$9="FANTRAX",VLOOKUP(B238,ADP!A1:E731,4,FALSE),VLOOKUP(B238,ADP!A1:E731,5,FALSE))))</f>
        <v>124.58</v>
      </c>
      <c r="N238" s="38">
        <f t="shared" si="21"/>
        <v>-112.42</v>
      </c>
      <c r="O238" s="38"/>
      <c r="P238" s="39" t="str">
        <f>IF(Settings!$E$27="ON",_xlfn.XLOOKUP(B238,ADP!A2:A731,ADP!H2:H731)," ")</f>
        <v xml:space="preserve"> </v>
      </c>
      <c r="Q238" s="40">
        <f>IF(Settings!$E$12="YES",VLOOKUP(B238,'Player Data'!A1:E734,5,FALSE),82)</f>
        <v>82</v>
      </c>
      <c r="R238" s="38">
        <f>VLOOKUP(B238,'Player Data'!$A1:$AE734,6,FALSE)</f>
        <v>18.287370724741699</v>
      </c>
      <c r="S238" s="40">
        <f>VLOOKUP(B238,'Player Data'!$A1:$AE734,7,FALSE)*$Q238*IFERROR((VLOOKUP(P238,Settings!$E$28:$F$33,2,FALSE)+1),1)</f>
        <v>21.449672153550612</v>
      </c>
      <c r="T238" s="40">
        <f>VLOOKUP(B238,'Player Data'!$A1:$AE734,8,FALSE)*$Q238*IFERROR((VLOOKUP(P238,Settings!$E$28:$F$33,2,FALSE)+1),1)</f>
        <v>36.389694208820138</v>
      </c>
      <c r="U238" s="40">
        <f>SUM(S238:T238)</f>
        <v>57.839366362370754</v>
      </c>
      <c r="V238" s="40">
        <f>VLOOKUP(B238,'Player Data'!$A1:$AE734,10,FALSE)*$Q238*IFERROR(((VLOOKUP(P238,Settings!$E$28:$F$33,2,FALSE)/2)+1),1)</f>
        <v>176.7551850347503</v>
      </c>
      <c r="W238" s="40">
        <f>VLOOKUP(B238,'Player Data'!$A1:$AE734,11,FALSE)*$Q238*IFERROR((VLOOKUP(P238,Settings!$E$28:$F$33,2,FALSE)+1),1)</f>
        <v>4.8964453754128163</v>
      </c>
      <c r="X238" s="40">
        <f>VLOOKUP(B238,'Player Data'!$A1:$AE734,12,FALSE)*$Q238*IFERROR((VLOOKUP(P238,Settings!$E$28:$F$33,2,FALSE)+1),1)</f>
        <v>10.742519674130799</v>
      </c>
      <c r="Y238" s="40">
        <f>VLOOKUP(B238,'Player Data'!$A1:$AE734,13,FALSE)*$Q238</f>
        <v>2.3856831301664293E-2</v>
      </c>
      <c r="Z238" s="40">
        <f>VLOOKUP(B238,'Player Data'!$A1:$AE734,14,FALSE)*$Q238</f>
        <v>1.7384375249344313E-2</v>
      </c>
      <c r="AA238" s="40">
        <f>VLOOKUP(B238,'Player Data'!$A1:$AE734,15,FALSE)*$Q238</f>
        <v>40.585852728230897</v>
      </c>
      <c r="AB238" s="40">
        <f>VLOOKUP(B238,'Player Data'!$A1:$AE734,16,FALSE)*$Q238</f>
        <v>159.74238485414918</v>
      </c>
      <c r="AC238" s="40">
        <f>VLOOKUP(B238,'Player Data'!$A1:$AE734,17,FALSE)*$Q238*IFERROR((VLOOKUP(P238,Settings!$E$28:$F$33,2,FALSE)+1),1)</f>
        <v>5.5920859823655871</v>
      </c>
      <c r="AD238" s="40">
        <f>VLOOKUP(B238,'Player Data'!$A1:$AE734,18,FALSE)*$Q238</f>
        <v>54.043957019269229</v>
      </c>
      <c r="AE238" s="40">
        <f>VLOOKUP(B238,'Player Data'!$A1:$AE734,19,FALSE)*$Q238*IFERROR((VLOOKUP(P238,Settings!$E$28:$F$33,2,FALSE)+1),1)</f>
        <v>3.6549840804163178</v>
      </c>
      <c r="AF238" s="40">
        <f>VLOOKUP(B238,'Player Data'!$A1:$AE734,20,FALSE)*$Q238</f>
        <v>688.09083140352811</v>
      </c>
      <c r="AG238" s="40">
        <f>VLOOKUP(B238,'Player Data'!$A1:$AE734,21,FALSE)*$Q238</f>
        <v>550.94938111278509</v>
      </c>
      <c r="AH238" s="41">
        <f>VLOOKUP(B238,'Player Data'!$A1:$AE734,22,FALSE)</f>
        <v>0.555341807677181</v>
      </c>
      <c r="AI238" s="38"/>
      <c r="AJ238" s="40"/>
      <c r="AK238" s="40"/>
      <c r="AL238" s="40"/>
      <c r="AM238" s="40"/>
      <c r="AN238" s="40"/>
      <c r="AO238" s="40"/>
      <c r="AP238" s="40"/>
      <c r="AQ238" s="43"/>
      <c r="AR238" s="44"/>
      <c r="AS238" s="38"/>
    </row>
    <row r="239" spans="1:45" ht="21.2" customHeight="1">
      <c r="A239" s="181">
        <f t="shared" si="18"/>
        <v>238</v>
      </c>
      <c r="B239" s="8" t="s">
        <v>277</v>
      </c>
      <c r="C239" s="31" t="s">
        <v>104</v>
      </c>
      <c r="D239" s="32" t="str">
        <f>VLOOKUP(B239,'Player Data'!A1:D734,4,FALSE)</f>
        <v>LW,RW</v>
      </c>
      <c r="E239" s="45">
        <f>VLOOKUP(B239,RW!A1:F189,3,FALSE)</f>
        <v>55</v>
      </c>
      <c r="F239" s="34" t="str">
        <f>VLOOKUP(B239,'Player Data'!A1:B734,2,FALSE)</f>
        <v>ANA</v>
      </c>
      <c r="G239" s="9">
        <f>VLOOKUP(B239,'Player Data'!A1:D734,3,FALSE)</f>
        <v>33</v>
      </c>
      <c r="H239" s="35">
        <f>IFERROR(VLOOKUP(B239,ADP!A1:G731,7,FALSE)/1000000,VLOOKUP(B239,ADP!A1:G731,7,FALSE))</f>
        <v>6.25</v>
      </c>
      <c r="I239" s="36">
        <f>IF(Settings!$E$15="POINTS",((R239*Q239)*Settings!$B$12)+(S239*Settings!$B$2)+(T239*Settings!$B$3)+(U239*Settings!$B$4)+(V239*Settings!$B$5)+(X239*Settings!$B$9)+(AA239*Settings!$B$6)+(W239*Settings!$B$8)+(AB239*Settings!$B$7)+(AC239*Settings!$B$14)+(AD239*Settings!$B$15)+(AE239*Settings!$B$16)+(AF239*Settings!$B$17)+(AG239*Settings!$B$18)+(Y239*Settings!$B$10)+(Z239*Settings!$B$11),VLOOKUP(B239,'Standard Deviations'!A1:C731,3,FALSE))</f>
        <v>3.1174885233035683</v>
      </c>
      <c r="J239" s="37">
        <f t="shared" si="19"/>
        <v>3.8018152723214245E-2</v>
      </c>
      <c r="K239" s="183">
        <f>IF(Settings!$E$18="C/LW/RW",VLOOKUP(B239,RW!A1:F189,6,FALSE),VLOOKUP(B239,F!A1:F431,6,FALSE))</f>
        <v>-3.1627701957075125</v>
      </c>
      <c r="L239" s="36">
        <f t="shared" si="20"/>
        <v>-0.50604323131320195</v>
      </c>
      <c r="M239" s="38">
        <f>IF(Settings!$E$9="YAHOO",VLOOKUP(B239,ADP!A1:E731,2,FALSE),IF(Settings!$E$9="ESPN",VLOOKUP(B239,ADP!A1:E731,3,FALSE),IF(Settings!$E$9="FANTRAX",VLOOKUP(B239,ADP!A1:E731,4,FALSE),VLOOKUP(B239,ADP!A1:E731,5,FALSE))))</f>
        <v>206.22</v>
      </c>
      <c r="N239" s="38">
        <f t="shared" si="21"/>
        <v>-31.78</v>
      </c>
      <c r="O239" s="38"/>
      <c r="P239" s="39" t="str">
        <f>IF(Settings!$E$27="ON",_xlfn.XLOOKUP(B239,ADP!A2:A731,ADP!H2:H731)," ")</f>
        <v xml:space="preserve"> </v>
      </c>
      <c r="Q239" s="40">
        <f>IF(Settings!$E$12="YES",VLOOKUP(B239,'Player Data'!A1:E734,5,FALSE),82)</f>
        <v>82</v>
      </c>
      <c r="R239" s="38">
        <f>VLOOKUP(B239,'Player Data'!$A1:$AE734,6,FALSE)</f>
        <v>18.421619118785401</v>
      </c>
      <c r="S239" s="40">
        <f>VLOOKUP(B239,'Player Data'!$A1:$AE734,7,FALSE)*$Q239*IFERROR((VLOOKUP(P239,Settings!$E$28:$F$33,2,FALSE)+1),1)</f>
        <v>24.63508179627447</v>
      </c>
      <c r="T239" s="40">
        <f>VLOOKUP(B239,'Player Data'!$A1:$AE734,8,FALSE)*$Q239*IFERROR((VLOOKUP(P239,Settings!$E$28:$F$33,2,FALSE)+1),1)</f>
        <v>33.618431986002726</v>
      </c>
      <c r="U239" s="40">
        <f>SUM(S239:T239)</f>
        <v>58.253513782277196</v>
      </c>
      <c r="V239" s="40">
        <f>VLOOKUP(B239,'Player Data'!$A1:$AE734,10,FALSE)*$Q239*IFERROR(((VLOOKUP(P239,Settings!$E$28:$F$33,2,FALSE)/2)+1),1)</f>
        <v>160.22199464125796</v>
      </c>
      <c r="W239" s="40">
        <f>VLOOKUP(B239,'Player Data'!$A1:$AE734,11,FALSE)*$Q239*IFERROR((VLOOKUP(P239,Settings!$E$28:$F$33,2,FALSE)+1),1)</f>
        <v>4.3742534128059409</v>
      </c>
      <c r="X239" s="40">
        <f>VLOOKUP(B239,'Player Data'!$A1:$AE734,12,FALSE)*$Q239*IFERROR((VLOOKUP(P239,Settings!$E$28:$F$33,2,FALSE)+1),1)</f>
        <v>11.721297882518899</v>
      </c>
      <c r="Y239" s="40">
        <f>VLOOKUP(B239,'Player Data'!$A1:$AE734,13,FALSE)*$Q239</f>
        <v>0.43329222859420974</v>
      </c>
      <c r="Z239" s="40">
        <f>VLOOKUP(B239,'Player Data'!$A1:$AE734,14,FALSE)*$Q239</f>
        <v>0.87604073336542221</v>
      </c>
      <c r="AA239" s="40">
        <f>VLOOKUP(B239,'Player Data'!$A1:$AE734,15,FALSE)*$Q239</f>
        <v>32.172335040747619</v>
      </c>
      <c r="AB239" s="40">
        <f>VLOOKUP(B239,'Player Data'!$A1:$AE734,16,FALSE)*$Q239</f>
        <v>74.226522790823907</v>
      </c>
      <c r="AC239" s="40">
        <f>VLOOKUP(B239,'Player Data'!$A1:$AE734,17,FALSE)*$Q239*IFERROR((VLOOKUP(P239,Settings!$E$28:$F$33,2,FALSE)+1),1)</f>
        <v>-6.3896190604037528</v>
      </c>
      <c r="AD239" s="40">
        <f>VLOOKUP(B239,'Player Data'!$A1:$AE734,18,FALSE)*$Q239</f>
        <v>52.973594673800783</v>
      </c>
      <c r="AE239" s="40">
        <f>VLOOKUP(B239,'Player Data'!$A1:$AE734,19,FALSE)*$Q239*IFERROR((VLOOKUP(P239,Settings!$E$28:$F$33,2,FALSE)+1),1)</f>
        <v>2.3615934785706436</v>
      </c>
      <c r="AF239" s="40">
        <f>VLOOKUP(B239,'Player Data'!$A1:$AE734,20,FALSE)*$Q239</f>
        <v>1.354087976138334</v>
      </c>
      <c r="AG239" s="40">
        <f>VLOOKUP(B239,'Player Data'!$A1:$AE734,21,FALSE)*$Q239</f>
        <v>2.6233849066790471</v>
      </c>
      <c r="AH239" s="41">
        <f>VLOOKUP(B239,'Player Data'!$A1:$AE734,22,FALSE)</f>
        <v>0.340439272883033</v>
      </c>
      <c r="AI239" s="38"/>
      <c r="AJ239" s="40"/>
      <c r="AK239" s="40"/>
      <c r="AL239" s="40"/>
      <c r="AM239" s="40"/>
      <c r="AN239" s="40"/>
      <c r="AO239" s="40"/>
      <c r="AP239" s="40"/>
      <c r="AQ239" s="43"/>
      <c r="AR239" s="44"/>
      <c r="AS239" s="42"/>
    </row>
    <row r="240" spans="1:45" ht="21.2" customHeight="1">
      <c r="A240" s="181">
        <f t="shared" si="18"/>
        <v>239</v>
      </c>
      <c r="B240" s="8" t="s">
        <v>295</v>
      </c>
      <c r="C240" s="31" t="s">
        <v>104</v>
      </c>
      <c r="D240" s="32" t="str">
        <f>VLOOKUP(B240,'Player Data'!A1:D734,4,FALSE)</f>
        <v>C,RW</v>
      </c>
      <c r="E240" s="45">
        <f>VLOOKUP(B240,RW!A1:F189,3,FALSE)</f>
        <v>56</v>
      </c>
      <c r="F240" s="34" t="str">
        <f>VLOOKUP(B240,'Player Data'!A1:B734,2,FALSE)</f>
        <v>DAL</v>
      </c>
      <c r="G240" s="9">
        <f>VLOOKUP(B240,'Player Data'!A1:D734,3,FALSE)</f>
        <v>32</v>
      </c>
      <c r="H240" s="35">
        <f>IFERROR(VLOOKUP(B240,ADP!A1:G731,7,FALSE)/1000000,VLOOKUP(B240,ADP!A1:G731,7,FALSE))</f>
        <v>3</v>
      </c>
      <c r="I240" s="36">
        <f>IF(Settings!$E$15="POINTS",((R240*Q240)*Settings!$B$12)+(S240*Settings!$B$2)+(T240*Settings!$B$3)+(U240*Settings!$B$4)+(V240*Settings!$B$5)+(X240*Settings!$B$9)+(AA240*Settings!$B$6)+(W240*Settings!$B$8)+(AB240*Settings!$B$7)+(AC240*Settings!$B$14)+(AD240*Settings!$B$15)+(AE240*Settings!$B$16)+(AF240*Settings!$B$17)+(AG240*Settings!$B$18)+(Y240*Settings!$B$10)+(Z240*Settings!$B$11),VLOOKUP(B240,'Standard Deviations'!A1:C731,3,FALSE))</f>
        <v>3.1171217542416638</v>
      </c>
      <c r="J240" s="37">
        <f t="shared" si="19"/>
        <v>3.8013679929776389E-2</v>
      </c>
      <c r="K240" s="183">
        <f>IF(Settings!$E$18="C/LW/RW",VLOOKUP(B240,RW!A1:F189,6,FALSE),VLOOKUP(B240,F!A1:F431,6,FALSE))</f>
        <v>-3.163136964769417</v>
      </c>
      <c r="L240" s="36">
        <f t="shared" si="20"/>
        <v>-1.0543789882564722</v>
      </c>
      <c r="M240" s="38">
        <f>IF(Settings!$E$9="YAHOO",VLOOKUP(B240,ADP!A1:E731,2,FALSE),IF(Settings!$E$9="ESPN",VLOOKUP(B240,ADP!A1:E731,3,FALSE),IF(Settings!$E$9="FANTRAX",VLOOKUP(B240,ADP!A1:E731,4,FALSE),VLOOKUP(B240,ADP!A1:E731,5,FALSE))))</f>
        <v>174.04</v>
      </c>
      <c r="N240" s="38">
        <f t="shared" si="21"/>
        <v>-64.960000000000008</v>
      </c>
      <c r="O240" s="38"/>
      <c r="P240" s="39" t="str">
        <f>IF(Settings!$E$27="ON",_xlfn.XLOOKUP(B240,ADP!A2:A731,ADP!H2:H731)," ")</f>
        <v xml:space="preserve"> </v>
      </c>
      <c r="Q240" s="40">
        <f>IF(Settings!$E$12="YES",VLOOKUP(B240,'Player Data'!A1:E734,5,FALSE),82)</f>
        <v>82</v>
      </c>
      <c r="R240" s="38">
        <f>VLOOKUP(B240,'Player Data'!$A1:$AE734,6,FALSE)</f>
        <v>15.8014523746662</v>
      </c>
      <c r="S240" s="40">
        <f>VLOOKUP(B240,'Player Data'!$A1:$AE734,7,FALSE)*$Q240*IFERROR((VLOOKUP(P240,Settings!$E$28:$F$33,2,FALSE)+1),1)</f>
        <v>24.609193218300273</v>
      </c>
      <c r="T240" s="40">
        <f>VLOOKUP(B240,'Player Data'!$A1:$AE734,8,FALSE)*$Q240*IFERROR((VLOOKUP(P240,Settings!$E$28:$F$33,2,FALSE)+1),1)</f>
        <v>32.017838278525275</v>
      </c>
      <c r="U240" s="40">
        <f>SUM(S240:T240)</f>
        <v>56.627031496825552</v>
      </c>
      <c r="V240" s="40">
        <f>VLOOKUP(B240,'Player Data'!$A1:$AE734,10,FALSE)*$Q240*IFERROR(((VLOOKUP(P240,Settings!$E$28:$F$33,2,FALSE)/2)+1),1)</f>
        <v>169.53305833809415</v>
      </c>
      <c r="W240" s="40">
        <f>VLOOKUP(B240,'Player Data'!$A1:$AE734,11,FALSE)*$Q240*IFERROR((VLOOKUP(P240,Settings!$E$28:$F$33,2,FALSE)+1),1)</f>
        <v>5.4717472563016258</v>
      </c>
      <c r="X240" s="40">
        <f>VLOOKUP(B240,'Player Data'!$A1:$AE734,12,FALSE)*$Q240*IFERROR((VLOOKUP(P240,Settings!$E$28:$F$33,2,FALSE)+1),1)</f>
        <v>12.058058464759185</v>
      </c>
      <c r="Y240" s="40">
        <f>VLOOKUP(B240,'Player Data'!$A1:$AE734,13,FALSE)*$Q240</f>
        <v>7.9601408641295883E-3</v>
      </c>
      <c r="Z240" s="40">
        <f>VLOOKUP(B240,'Player Data'!$A1:$AE734,14,FALSE)*$Q240</f>
        <v>1.3680357883025322E-2</v>
      </c>
      <c r="AA240" s="40">
        <f>VLOOKUP(B240,'Player Data'!$A1:$AE734,15,FALSE)*$Q240</f>
        <v>30.695825826700986</v>
      </c>
      <c r="AB240" s="40">
        <f>VLOOKUP(B240,'Player Data'!$A1:$AE734,16,FALSE)*$Q240</f>
        <v>34.152318182131083</v>
      </c>
      <c r="AC240" s="40">
        <f>VLOOKUP(B240,'Player Data'!$A1:$AE734,17,FALSE)*$Q240*IFERROR((VLOOKUP(P240,Settings!$E$28:$F$33,2,FALSE)+1),1)</f>
        <v>5.5960127073355093</v>
      </c>
      <c r="AD240" s="40">
        <f>VLOOKUP(B240,'Player Data'!$A1:$AE734,18,FALSE)*$Q240</f>
        <v>26.790191989857391</v>
      </c>
      <c r="AE240" s="40">
        <f>VLOOKUP(B240,'Player Data'!$A1:$AE734,19,FALSE)*$Q240*IFERROR((VLOOKUP(P240,Settings!$E$28:$F$33,2,FALSE)+1),1)</f>
        <v>3.9372964590171495</v>
      </c>
      <c r="AF240" s="40">
        <f>VLOOKUP(B240,'Player Data'!$A1:$AE734,20,FALSE)*$Q240</f>
        <v>148.10068741502329</v>
      </c>
      <c r="AG240" s="40">
        <f>VLOOKUP(B240,'Player Data'!$A1:$AE734,21,FALSE)*$Q240</f>
        <v>128.64360854662775</v>
      </c>
      <c r="AH240" s="41">
        <f>VLOOKUP(B240,'Player Data'!$A1:$AE734,22,FALSE)</f>
        <v>0.53515353189265202</v>
      </c>
      <c r="AI240" s="38"/>
      <c r="AJ240" s="42"/>
      <c r="AK240" s="40"/>
      <c r="AL240" s="40"/>
      <c r="AM240" s="40"/>
      <c r="AN240" s="40"/>
      <c r="AO240" s="40"/>
      <c r="AP240" s="40"/>
      <c r="AQ240" s="43"/>
      <c r="AR240" s="44"/>
      <c r="AS240" s="38"/>
    </row>
    <row r="241" spans="1:45" ht="21.2" customHeight="1">
      <c r="A241" s="181">
        <f t="shared" si="18"/>
        <v>240</v>
      </c>
      <c r="B241" s="8" t="s">
        <v>296</v>
      </c>
      <c r="C241" s="31" t="s">
        <v>104</v>
      </c>
      <c r="D241" s="32" t="str">
        <f>VLOOKUP(B241,'Player Data'!A1:D734,4,FALSE)</f>
        <v>LW</v>
      </c>
      <c r="E241" s="48">
        <f>VLOOKUP(B241,LW!A1:C227,3,FALSE)</f>
        <v>61</v>
      </c>
      <c r="F241" s="34" t="str">
        <f>VLOOKUP(B241,'Player Data'!A1:B734,2,FALSE)</f>
        <v>NYI</v>
      </c>
      <c r="G241" s="9">
        <f>VLOOKUP(B241,'Player Data'!A1:D734,3,FALSE)</f>
        <v>33</v>
      </c>
      <c r="H241" s="35">
        <f>IFERROR(VLOOKUP(B241,ADP!A1:G731,7,FALSE)/1000000,VLOOKUP(B241,ADP!A1:G731,7,FALSE))</f>
        <v>7</v>
      </c>
      <c r="I241" s="36">
        <f>IF(Settings!$E$15="POINTS",((R241*Q241)*Settings!$B$12)+(S241*Settings!$B$2)+(T241*Settings!$B$3)+(U241*Settings!$B$4)+(V241*Settings!$B$5)+(X241*Settings!$B$9)+(AA241*Settings!$B$6)+(W241*Settings!$B$8)+(AB241*Settings!$B$7)+(AC241*Settings!$B$14)+(AD241*Settings!$B$15)+(AE241*Settings!$B$16)+(AF241*Settings!$B$17)+(AG241*Settings!$B$18)+(Y241*Settings!$B$10)+(Z241*Settings!$B$11),VLOOKUP(B241,'Standard Deviations'!A1:C731,3,FALSE))</f>
        <v>3.4793713744958863</v>
      </c>
      <c r="J241" s="37">
        <f t="shared" si="19"/>
        <v>4.2431358225559587E-2</v>
      </c>
      <c r="K241" s="183">
        <f>IF(Settings!$E$18="C/LW/RW",VLOOKUP(B241,LW!A1:F227,6,FALSE),VLOOKUP(B241,F!A1:F431,6,FALSE))</f>
        <v>-3.1752976696285149</v>
      </c>
      <c r="L241" s="36">
        <f t="shared" si="20"/>
        <v>-0.45361395280407357</v>
      </c>
      <c r="M241" s="38">
        <f>IF(Settings!$E$9="YAHOO",VLOOKUP(B241,ADP!A1:E731,2,FALSE),IF(Settings!$E$9="ESPN",VLOOKUP(B241,ADP!A1:E731,3,FALSE),IF(Settings!$E$9="FANTRAX",VLOOKUP(B241,ADP!A1:E731,4,FALSE),VLOOKUP(B241,ADP!A1:E731,5,FALSE))))</f>
        <v>190.51</v>
      </c>
      <c r="N241" s="38">
        <f t="shared" si="21"/>
        <v>-49.490000000000009</v>
      </c>
      <c r="O241" s="38"/>
      <c r="P241" s="39" t="str">
        <f>IF(Settings!$E$27="ON",_xlfn.XLOOKUP(B241,ADP!A2:A731,ADP!H2:H731)," ")</f>
        <v xml:space="preserve"> </v>
      </c>
      <c r="Q241" s="40">
        <f>IF(Settings!$E$12="YES",VLOOKUP(B241,'Player Data'!A1:E734,5,FALSE),82)</f>
        <v>82</v>
      </c>
      <c r="R241" s="38">
        <f>VLOOKUP(B241,'Player Data'!$A1:$AE734,6,FALSE)</f>
        <v>17.360280597370402</v>
      </c>
      <c r="S241" s="40">
        <f>VLOOKUP(B241,'Player Data'!$A1:$AE734,7,FALSE)*$Q241*IFERROR((VLOOKUP(P241,Settings!$E$28:$F$33,2,FALSE)+1),1)</f>
        <v>27.648526673503437</v>
      </c>
      <c r="T241" s="40">
        <f>VLOOKUP(B241,'Player Data'!$A1:$AE734,8,FALSE)*$Q241*IFERROR((VLOOKUP(P241,Settings!$E$28:$F$33,2,FALSE)+1),1)</f>
        <v>22.47496658171282</v>
      </c>
      <c r="U241" s="40">
        <f>SUM(S241:T241)</f>
        <v>50.12349325521626</v>
      </c>
      <c r="V241" s="40">
        <f>VLOOKUP(B241,'Player Data'!$A1:$AE734,10,FALSE)*$Q241*IFERROR(((VLOOKUP(P241,Settings!$E$28:$F$33,2,FALSE)/2)+1),1)</f>
        <v>209.13710706623681</v>
      </c>
      <c r="W241" s="40">
        <f>VLOOKUP(B241,'Player Data'!$A1:$AE734,11,FALSE)*$Q241*IFERROR((VLOOKUP(P241,Settings!$E$28:$F$33,2,FALSE)+1),1)</f>
        <v>8.2480172393695863</v>
      </c>
      <c r="X241" s="40">
        <f>VLOOKUP(B241,'Player Data'!$A1:$AE734,12,FALSE)*$Q241*IFERROR((VLOOKUP(P241,Settings!$E$28:$F$33,2,FALSE)+1),1)</f>
        <v>15.907528857496631</v>
      </c>
      <c r="Y241" s="40">
        <f>VLOOKUP(B241,'Player Data'!$A1:$AE734,13,FALSE)*$Q241</f>
        <v>5.3219584855587702E-3</v>
      </c>
      <c r="Z241" s="40">
        <f>VLOOKUP(B241,'Player Data'!$A1:$AE734,14,FALSE)*$Q241</f>
        <v>9.00246597240968E-3</v>
      </c>
      <c r="AA241" s="40">
        <f>VLOOKUP(B241,'Player Data'!$A1:$AE734,15,FALSE)*$Q241</f>
        <v>48.388471174008124</v>
      </c>
      <c r="AB241" s="40">
        <f>VLOOKUP(B241,'Player Data'!$A1:$AE734,16,FALSE)*$Q241</f>
        <v>113.96333601168706</v>
      </c>
      <c r="AC241" s="40">
        <f>VLOOKUP(B241,'Player Data'!$A1:$AE734,17,FALSE)*$Q241*IFERROR((VLOOKUP(P241,Settings!$E$28:$F$33,2,FALSE)+1),1)</f>
        <v>2.58064340355768</v>
      </c>
      <c r="AD241" s="40">
        <f>VLOOKUP(B241,'Player Data'!$A1:$AE734,18,FALSE)*$Q241</f>
        <v>43.103078919190736</v>
      </c>
      <c r="AE241" s="40">
        <f>VLOOKUP(B241,'Player Data'!$A1:$AE734,19,FALSE)*$Q241*IFERROR((VLOOKUP(P241,Settings!$E$28:$F$33,2,FALSE)+1),1)</f>
        <v>4.2723016943758383</v>
      </c>
      <c r="AF241" s="40">
        <f>VLOOKUP(B241,'Player Data'!$A1:$AE734,20,FALSE)*$Q241</f>
        <v>42.982242126342712</v>
      </c>
      <c r="AG241" s="40">
        <f>VLOOKUP(B241,'Player Data'!$A1:$AE734,21,FALSE)*$Q241</f>
        <v>40.621289835775919</v>
      </c>
      <c r="AH241" s="41">
        <f>VLOOKUP(B241,'Player Data'!$A1:$AE734,22,FALSE)</f>
        <v>0.51411993150981095</v>
      </c>
      <c r="AI241" s="38"/>
      <c r="AJ241" s="40"/>
      <c r="AK241" s="40"/>
      <c r="AL241" s="40"/>
      <c r="AM241" s="40"/>
      <c r="AN241" s="40"/>
      <c r="AO241" s="40"/>
      <c r="AP241" s="40"/>
      <c r="AQ241" s="43"/>
      <c r="AR241" s="44"/>
      <c r="AS241" s="38"/>
    </row>
    <row r="242" spans="1:45" ht="21.2" customHeight="1">
      <c r="A242" s="181">
        <f t="shared" si="18"/>
        <v>241</v>
      </c>
      <c r="B242" s="8" t="s">
        <v>776</v>
      </c>
      <c r="C242" s="31" t="s">
        <v>104</v>
      </c>
      <c r="D242" s="32" t="str">
        <f>VLOOKUP(B242,'Player Data'!A1:D734,4,FALSE)</f>
        <v>G</v>
      </c>
      <c r="E242" s="50">
        <f>VLOOKUP(B242,G!A1:D75,3,FALSE)</f>
        <v>52</v>
      </c>
      <c r="F242" s="34" t="str">
        <f>VLOOKUP(B242,'Player Data'!A1:B734,2,FALSE)</f>
        <v>CAR</v>
      </c>
      <c r="G242" s="9">
        <f>VLOOKUP(B242,'Player Data'!A1:D734,3,FALSE)</f>
        <v>24</v>
      </c>
      <c r="H242" s="35">
        <f>IFERROR(VLOOKUP(B242,ADP!A1:G731,7,FALSE)/1000000,VLOOKUP(B242,ADP!A1:G731,7,FALSE))</f>
        <v>0</v>
      </c>
      <c r="I242" s="36">
        <f>IF(Settings!$E$15="POINTS",(AJ242*Settings!$B$29)+(AK242*Settings!$B$21)+(AL242*Settings!$B$22)+(AN242*Settings!$B$24)+(AO242*Settings!$B$25)+(AP242*Settings!$B$27)+(AM242*Settings!$B$23),VLOOKUP(B242,'Standard Deviations'!A1:C731,3,FALSE))</f>
        <v>-1.4711410207417539</v>
      </c>
      <c r="J242" s="37">
        <f t="shared" si="19"/>
        <v>-7.3557051037087692E-2</v>
      </c>
      <c r="K242" s="183">
        <f>VLOOKUP(B242,G!A1:F75,6,FALSE)</f>
        <v>-3.1753700719320452</v>
      </c>
      <c r="L242" s="49" t="str">
        <f t="shared" si="20"/>
        <v>N/A</v>
      </c>
      <c r="M242" s="38">
        <f>IF(Settings!$E$9="YAHOO",VLOOKUP(B242,ADP!A1:E731,2,FALSE),IF(Settings!$E$9="ESPN",VLOOKUP(B242,ADP!A1:E731,3,FALSE),IF(Settings!$E$9="FANTRAX",VLOOKUP(B242,ADP!A1:E731,4,FALSE),VLOOKUP(B242,ADP!A1:E731,5,FALSE))))</f>
        <v>449.9</v>
      </c>
      <c r="N242" s="38">
        <f t="shared" si="21"/>
        <v>208.89999999999998</v>
      </c>
      <c r="O242" s="38"/>
      <c r="P242" s="39" t="str">
        <f>IF(Settings!$E$27="ON",_xlfn.XLOOKUP(B242,ADP!A2:A731,ADP!H2:H731)," ")</f>
        <v>+</v>
      </c>
      <c r="Q242" s="40"/>
      <c r="R242" s="51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1"/>
      <c r="AI242" s="38"/>
      <c r="AJ242" s="42">
        <f>VLOOKUP(B242,'Player Data'!$A1:$AE734,24,FALSE)</f>
        <v>20</v>
      </c>
      <c r="AK242" s="40">
        <f>VLOOKUP(B242,'Player Data'!$A1:$AE734,25,FALSE)*$AJ242*IFERROR((VLOOKUP(P242,Settings!$E$28:$F$33,2,FALSE)+1),1)</f>
        <v>12.559620083162418</v>
      </c>
      <c r="AL242" s="40">
        <f>AJ242-AK242-AM242</f>
        <v>4.9403799168375819</v>
      </c>
      <c r="AM242" s="40">
        <f>VLOOKUP(B242,'Player Data'!$A1:$AE734,27,FALSE)*$AJ242</f>
        <v>2.5</v>
      </c>
      <c r="AN242" s="40">
        <f>VLOOKUP(B242,'Player Data'!$A1:$AE734,28,FALSE)*AJ242</f>
        <v>1.0245303557868481</v>
      </c>
      <c r="AO242" s="40">
        <f>VLOOKUP(B242,'Player Data'!$A1:$AE734,29,FALSE)*$AJ242*IFERROR((VLOOKUP(P242,Settings!$E$28:$F$33,2,FALSE)/4)+1,1)</f>
        <v>544.27714741565478</v>
      </c>
      <c r="AP242" s="40">
        <f>VLOOKUP(B242,'Player Data'!$A1:$AE734,31,FALSE)*$AJ242*(IFERROR(1-(VLOOKUP(P242,Settings!$E$28:$F$33,2,FALSE)/4),1))</f>
        <v>56.761469550529924</v>
      </c>
      <c r="AQ242" s="43">
        <f>1-(AP242/(AO242+AP242))</f>
        <v>0.90556102728134125</v>
      </c>
      <c r="AR242" s="44">
        <f>AP242/AJ242</f>
        <v>2.8380734775264962</v>
      </c>
      <c r="AS242" s="38"/>
    </row>
    <row r="243" spans="1:45" ht="21.2" customHeight="1">
      <c r="A243" s="181">
        <f t="shared" si="18"/>
        <v>242</v>
      </c>
      <c r="B243" s="8" t="s">
        <v>334</v>
      </c>
      <c r="C243" s="31" t="s">
        <v>104</v>
      </c>
      <c r="D243" s="32" t="str">
        <f>VLOOKUP(B243,'Player Data'!A1:D734,4,FALSE)</f>
        <v>D</v>
      </c>
      <c r="E243" s="47">
        <f>VLOOKUP(B243,D!A1:C229,3,FALSE)</f>
        <v>65</v>
      </c>
      <c r="F243" s="34" t="str">
        <f>VLOOKUP(B243,'Player Data'!A1:B734,2,FALSE)</f>
        <v>DAL</v>
      </c>
      <c r="G243" s="9">
        <f>VLOOKUP(B243,'Player Data'!A1:D734,3,FALSE)</f>
        <v>22</v>
      </c>
      <c r="H243" s="35">
        <f>IFERROR(VLOOKUP(B243,ADP!A1:G731,7,FALSE)/1000000,VLOOKUP(B243,ADP!A1:G731,7,FALSE))</f>
        <v>0.86299999999999999</v>
      </c>
      <c r="I243" s="36">
        <f>IF(Settings!$E$15="POINTS",((R243*Q243)*Settings!$B$12)+(S243*Settings!$B$2)+(T243*Settings!$B$3)+(U243*Settings!$B$4)+(V243*Settings!$B$5)+(X243*Settings!$B$9)+(AA243*Settings!$B$6)+(W243*Settings!$B$8)+(AB243*Settings!$B$7)+(AC243*Settings!$B$14)+(AD243*Settings!$B$15)+(AE243*Settings!$B$16)+(AF243*Settings!$B$17)+(AG243*Settings!$B$18)+(U243*Settings!$B$13)+(Y243*Settings!$B$10)+(Z243*Settings!$B$11),VLOOKUP(B243,'Standard Deviations'!A1:C731,3,FALSE))</f>
        <v>-1.2499509105377344</v>
      </c>
      <c r="J243" s="37">
        <f t="shared" si="19"/>
        <v>-1.5243303787045541E-2</v>
      </c>
      <c r="K243" s="183">
        <f>VLOOKUP(B243,D!A1:F229,6,FALSE)</f>
        <v>-3.1916914541720454</v>
      </c>
      <c r="L243" s="36">
        <f t="shared" si="20"/>
        <v>-3.6983678495620458</v>
      </c>
      <c r="M243" s="52" t="str">
        <f>IF(Settings!$E$9="YAHOO",VLOOKUP(B243,ADP!A1:E731,2,FALSE),IF(Settings!$E$9="ESPN",VLOOKUP(B243,ADP!A1:E731,3,FALSE),IF(Settings!$E$9="FANTRAX",VLOOKUP(B243,ADP!A1:E731,4,FALSE),VLOOKUP(B243,ADP!A1:E731,5,FALSE))))</f>
        <v>-</v>
      </c>
      <c r="N243" s="52" t="str">
        <f t="shared" si="21"/>
        <v>N/A</v>
      </c>
      <c r="O243" s="38"/>
      <c r="P243" s="39" t="str">
        <f>IF(Settings!$E$27="ON",_xlfn.XLOOKUP(B243,ADP!A2:A731,ADP!H2:H731)," ")</f>
        <v xml:space="preserve"> </v>
      </c>
      <c r="Q243" s="40">
        <f>IF(Settings!$E$12="YES",VLOOKUP(B243,'Player Data'!A1:E734,5,FALSE),82)</f>
        <v>82</v>
      </c>
      <c r="R243" s="38">
        <f>VLOOKUP(B243,'Player Data'!$A1:$AE734,6,FALSE)</f>
        <v>20.3589067745283</v>
      </c>
      <c r="S243" s="40">
        <f>VLOOKUP(B243,'Player Data'!$A1:$AE734,7,FALSE)*$Q243*IFERROR((VLOOKUP(P243,Settings!$E$28:$F$33,2,FALSE)+1),1)</f>
        <v>7.1952145565813668</v>
      </c>
      <c r="T243" s="40">
        <f>VLOOKUP(B243,'Player Data'!$A1:$AE734,8,FALSE)*$Q243*IFERROR((VLOOKUP(P243,Settings!$E$28:$F$33,2,FALSE)+1),1)</f>
        <v>28.047339084130435</v>
      </c>
      <c r="U243" s="40">
        <f>SUM(S243:T243)</f>
        <v>35.242553640711805</v>
      </c>
      <c r="V243" s="40">
        <f>VLOOKUP(B243,'Player Data'!$A1:$AE734,10,FALSE)*$Q243*IFERROR(((VLOOKUP(P243,Settings!$E$28:$F$33,2,FALSE)/2)+1),1)</f>
        <v>133.95731478429272</v>
      </c>
      <c r="W243" s="40">
        <f>VLOOKUP(B243,'Player Data'!$A1:$AE734,11,FALSE)*$Q243*IFERROR((VLOOKUP(P243,Settings!$E$28:$F$33,2,FALSE)+1),1)</f>
        <v>0.53586644755264823</v>
      </c>
      <c r="X243" s="40">
        <f>VLOOKUP(B243,'Player Data'!$A1:$AE734,12,FALSE)*$Q243*IFERROR((VLOOKUP(P243,Settings!$E$28:$F$33,2,FALSE)+1),1)</f>
        <v>3.3734463960984775</v>
      </c>
      <c r="Y243" s="40">
        <f>VLOOKUP(B243,'Player Data'!$A1:$AE734,13,FALSE)*$Q243</f>
        <v>2.44916969146079E-2</v>
      </c>
      <c r="Z243" s="40">
        <f>VLOOKUP(B243,'Player Data'!$A1:$AE734,14,FALSE)*$Q243</f>
        <v>0.10671573925153974</v>
      </c>
      <c r="AA243" s="40">
        <f>VLOOKUP(B243,'Player Data'!$A1:$AE734,15,FALSE)*$Q243</f>
        <v>106.49011504877686</v>
      </c>
      <c r="AB243" s="40">
        <f>VLOOKUP(B243,'Player Data'!$A1:$AE734,16,FALSE)*$Q243</f>
        <v>77.363284467779224</v>
      </c>
      <c r="AC243" s="40">
        <f>VLOOKUP(B243,'Player Data'!$A1:$AE734,17,FALSE)*$Q243*IFERROR((VLOOKUP(P243,Settings!$E$28:$F$33,2,FALSE)+1),1)</f>
        <v>5.3323443120343326</v>
      </c>
      <c r="AD243" s="40">
        <f>VLOOKUP(B243,'Player Data'!$A1:$AE734,18,FALSE)*$Q243</f>
        <v>34.256808568419395</v>
      </c>
      <c r="AE243" s="40">
        <f>VLOOKUP(B243,'Player Data'!$A1:$AE734,19,FALSE)*$Q243*IFERROR((VLOOKUP(P243,Settings!$E$28:$F$33,2,FALSE)+1),1)</f>
        <v>1.1511833217851928</v>
      </c>
      <c r="AF243" s="40">
        <f>VLOOKUP(B243,'Player Data'!$A1:$AE734,20,FALSE)*$Q243</f>
        <v>0</v>
      </c>
      <c r="AG243" s="40">
        <f>VLOOKUP(B243,'Player Data'!$A1:$AE734,21,FALSE)*$Q243</f>
        <v>0</v>
      </c>
      <c r="AH243" s="41">
        <f>VLOOKUP(B243,'Player Data'!$A1:$AE734,22,FALSE)</f>
        <v>0</v>
      </c>
      <c r="AI243" s="38"/>
      <c r="AJ243" s="42"/>
      <c r="AK243" s="40"/>
      <c r="AL243" s="40"/>
      <c r="AM243" s="40"/>
      <c r="AN243" s="40"/>
      <c r="AO243" s="40"/>
      <c r="AP243" s="40"/>
      <c r="AQ243" s="43"/>
      <c r="AR243" s="44"/>
      <c r="AS243" s="38"/>
    </row>
    <row r="244" spans="1:45" ht="21.2" customHeight="1">
      <c r="A244" s="181">
        <f t="shared" si="18"/>
        <v>243</v>
      </c>
      <c r="B244" s="8" t="s">
        <v>324</v>
      </c>
      <c r="C244" s="31" t="s">
        <v>104</v>
      </c>
      <c r="D244" s="32" t="str">
        <f>VLOOKUP(B244,'Player Data'!A1:D734,4,FALSE)</f>
        <v>RW</v>
      </c>
      <c r="E244" s="46">
        <f>VLOOKUP(B244,RW!A1:F189,3,FALSE)</f>
        <v>57</v>
      </c>
      <c r="F244" s="34" t="str">
        <f>VLOOKUP(B244,'Player Data'!A1:B734,2,FALSE)</f>
        <v>WSH</v>
      </c>
      <c r="G244" s="9">
        <f>VLOOKUP(B244,'Player Data'!A1:D734,3,FALSE)</f>
        <v>29</v>
      </c>
      <c r="H244" s="35">
        <f>IFERROR(VLOOKUP(B244,ADP!A1:G731,7,FALSE)/1000000,VLOOKUP(B244,ADP!A1:G731,7,FALSE))</f>
        <v>6.34375</v>
      </c>
      <c r="I244" s="36">
        <f>IF(Settings!$E$15="POINTS",((R244*Q244)*Settings!$B$12)+(S244*Settings!$B$2)+(T244*Settings!$B$3)+(U244*Settings!$B$4)+(V244*Settings!$B$5)+(X244*Settings!$B$9)+(AA244*Settings!$B$6)+(W244*Settings!$B$8)+(AB244*Settings!$B$7)+(AC244*Settings!$B$14)+(AD244*Settings!$B$15)+(AE244*Settings!$B$16)+(AF244*Settings!$B$17)+(AG244*Settings!$B$18)+(Y244*Settings!$B$10)+(Z244*Settings!$B$11),VLOOKUP(B244,'Standard Deviations'!A1:C731,3,FALSE))</f>
        <v>3.0788320137153238</v>
      </c>
      <c r="J244" s="37">
        <f t="shared" si="19"/>
        <v>3.7546731874577119E-2</v>
      </c>
      <c r="K244" s="183">
        <f>IF(Settings!$E$18="C/LW/RW",VLOOKUP(B244,RW!A1:F189,6,FALSE),VLOOKUP(B244,F!A1:F431,6,FALSE))</f>
        <v>-3.201426705295757</v>
      </c>
      <c r="L244" s="36">
        <f t="shared" si="20"/>
        <v>-0.50465839689391245</v>
      </c>
      <c r="M244" s="38">
        <f>IF(Settings!$E$9="YAHOO",VLOOKUP(B244,ADP!A1:E731,2,FALSE),IF(Settings!$E$9="ESPN",VLOOKUP(B244,ADP!A1:E731,3,FALSE),IF(Settings!$E$9="FANTRAX",VLOOKUP(B244,ADP!A1:E731,4,FALSE),VLOOKUP(B244,ADP!A1:E731,5,FALSE))))</f>
        <v>141.65</v>
      </c>
      <c r="N244" s="38">
        <f t="shared" si="21"/>
        <v>-101.35</v>
      </c>
      <c r="O244" s="38"/>
      <c r="P244" s="39" t="str">
        <f>IF(Settings!$E$27="ON",_xlfn.XLOOKUP(B244,ADP!A2:A731,ADP!H2:H731)," ")</f>
        <v xml:space="preserve"> </v>
      </c>
      <c r="Q244" s="40">
        <f>IF(Settings!$E$12="YES",VLOOKUP(B244,'Player Data'!A1:E734,5,FALSE),82)</f>
        <v>82</v>
      </c>
      <c r="R244" s="38">
        <f>VLOOKUP(B244,'Player Data'!$A1:$AE734,6,FALSE)</f>
        <v>18.257264103560502</v>
      </c>
      <c r="S244" s="40">
        <f>VLOOKUP(B244,'Player Data'!$A1:$AE734,7,FALSE)*$Q244*IFERROR((VLOOKUP(P244,Settings!$E$28:$F$33,2,FALSE)+1),1)</f>
        <v>25.200246598347793</v>
      </c>
      <c r="T244" s="40">
        <f>VLOOKUP(B244,'Player Data'!$A1:$AE734,8,FALSE)*$Q244*IFERROR((VLOOKUP(P244,Settings!$E$28:$F$33,2,FALSE)+1),1)</f>
        <v>27.87924901541103</v>
      </c>
      <c r="U244" s="40">
        <f>SUM(S244:T244)</f>
        <v>53.079495613758823</v>
      </c>
      <c r="V244" s="40">
        <f>VLOOKUP(B244,'Player Data'!$A1:$AE734,10,FALSE)*$Q244*IFERROR(((VLOOKUP(P244,Settings!$E$28:$F$33,2,FALSE)/2)+1),1)</f>
        <v>193.23318695684708</v>
      </c>
      <c r="W244" s="40">
        <f>VLOOKUP(B244,'Player Data'!$A1:$AE734,11,FALSE)*$Q244*IFERROR((VLOOKUP(P244,Settings!$E$28:$F$33,2,FALSE)+1),1)</f>
        <v>5.7758037093726013</v>
      </c>
      <c r="X244" s="40">
        <f>VLOOKUP(B244,'Player Data'!$A1:$AE734,12,FALSE)*$Q244*IFERROR((VLOOKUP(P244,Settings!$E$28:$F$33,2,FALSE)+1),1)</f>
        <v>11.699966422641698</v>
      </c>
      <c r="Y244" s="40">
        <f>VLOOKUP(B244,'Player Data'!$A1:$AE734,13,FALSE)*$Q244</f>
        <v>1.324361694461442</v>
      </c>
      <c r="Z244" s="40">
        <f>VLOOKUP(B244,'Player Data'!$A1:$AE734,14,FALSE)*$Q244</f>
        <v>1.8669089741991292</v>
      </c>
      <c r="AA244" s="40">
        <f>VLOOKUP(B244,'Player Data'!$A1:$AE734,15,FALSE)*$Q244</f>
        <v>65.603156710234217</v>
      </c>
      <c r="AB244" s="40">
        <f>VLOOKUP(B244,'Player Data'!$A1:$AE734,16,FALSE)*$Q244</f>
        <v>221.79834792661538</v>
      </c>
      <c r="AC244" s="40">
        <f>VLOOKUP(B244,'Player Data'!$A1:$AE734,17,FALSE)*$Q244*IFERROR((VLOOKUP(P244,Settings!$E$28:$F$33,2,FALSE)+1),1)</f>
        <v>-3.2553375470203543</v>
      </c>
      <c r="AD244" s="40">
        <f>VLOOKUP(B244,'Player Data'!$A1:$AE734,18,FALSE)*$Q244</f>
        <v>91.389430528166997</v>
      </c>
      <c r="AE244" s="40">
        <f>VLOOKUP(B244,'Player Data'!$A1:$AE734,19,FALSE)*$Q244*IFERROR((VLOOKUP(P244,Settings!$E$28:$F$33,2,FALSE)+1),1)</f>
        <v>3.0997786776971905</v>
      </c>
      <c r="AF244" s="40">
        <f>VLOOKUP(B244,'Player Data'!$A1:$AE734,20,FALSE)*$Q244</f>
        <v>17.877136957221623</v>
      </c>
      <c r="AG244" s="40">
        <f>VLOOKUP(B244,'Player Data'!$A1:$AE734,21,FALSE)*$Q244</f>
        <v>26.838978412935063</v>
      </c>
      <c r="AH244" s="41">
        <f>VLOOKUP(B244,'Player Data'!$A1:$AE734,22,FALSE)</f>
        <v>0.39979181575223999</v>
      </c>
      <c r="AI244" s="38"/>
      <c r="AJ244" s="42"/>
      <c r="AK244" s="40"/>
      <c r="AL244" s="40"/>
      <c r="AM244" s="40"/>
      <c r="AN244" s="40"/>
      <c r="AO244" s="40"/>
      <c r="AP244" s="40"/>
      <c r="AQ244" s="43"/>
      <c r="AR244" s="44"/>
      <c r="AS244" s="38"/>
    </row>
    <row r="245" spans="1:45" ht="21.2" customHeight="1">
      <c r="A245" s="181">
        <f t="shared" si="18"/>
        <v>244</v>
      </c>
      <c r="B245" s="8" t="s">
        <v>780</v>
      </c>
      <c r="C245" s="31" t="s">
        <v>104</v>
      </c>
      <c r="D245" s="32" t="str">
        <f>VLOOKUP(B245,'Player Data'!A1:D734,4,FALSE)</f>
        <v>G</v>
      </c>
      <c r="E245" s="50">
        <f>VLOOKUP(B245,G!A1:D75,3,FALSE)</f>
        <v>53</v>
      </c>
      <c r="F245" s="34" t="str">
        <f>VLOOKUP(B245,'Player Data'!A1:B734,2,FALSE)</f>
        <v>BUF</v>
      </c>
      <c r="G245" s="9">
        <f>VLOOKUP(B245,'Player Data'!A1:D734,3,FALSE)</f>
        <v>28</v>
      </c>
      <c r="H245" s="35">
        <f>IFERROR(VLOOKUP(B245,ADP!A1:G731,7,FALSE)/1000000,VLOOKUP(B245,ADP!A1:G731,7,FALSE))</f>
        <v>1.8</v>
      </c>
      <c r="I245" s="36">
        <f>IF(Settings!$E$15="POINTS",(AJ245*Settings!$B$29)+(AK245*Settings!$B$21)+(AL245*Settings!$B$22)+(AN245*Settings!$B$24)+(AO245*Settings!$B$25)+(AP245*Settings!$B$27)+(AM245*Settings!$B$23),VLOOKUP(B245,'Standard Deviations'!A1:C731,3,FALSE))</f>
        <v>-1.5637571513654489</v>
      </c>
      <c r="J245" s="37">
        <f t="shared" si="19"/>
        <v>-7.1079870516611313E-2</v>
      </c>
      <c r="K245" s="183">
        <f>VLOOKUP(B245,G!A1:F75,6,FALSE)</f>
        <v>-3.2679862025557407</v>
      </c>
      <c r="L245" s="36">
        <f t="shared" si="20"/>
        <v>-1.8155478903087447</v>
      </c>
      <c r="M245" s="38">
        <f>IF(Settings!$E$9="YAHOO",VLOOKUP(B245,ADP!A1:E731,2,FALSE),IF(Settings!$E$9="ESPN",VLOOKUP(B245,ADP!A1:E731,3,FALSE),IF(Settings!$E$9="FANTRAX",VLOOKUP(B245,ADP!A1:E731,4,FALSE),VLOOKUP(B245,ADP!A1:E731,5,FALSE))))</f>
        <v>446.9</v>
      </c>
      <c r="N245" s="38">
        <f t="shared" si="21"/>
        <v>202.89999999999998</v>
      </c>
      <c r="O245" s="38"/>
      <c r="P245" s="39" t="str">
        <f>IF(Settings!$E$27="ON",_xlfn.XLOOKUP(B245,ADP!A2:A731,ADP!H2:H731)," ")</f>
        <v xml:space="preserve"> </v>
      </c>
      <c r="Q245" s="40"/>
      <c r="R245" s="51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1"/>
      <c r="AI245" s="38"/>
      <c r="AJ245" s="42">
        <f>VLOOKUP(B245,'Player Data'!$A1:$AE734,24,FALSE)</f>
        <v>22</v>
      </c>
      <c r="AK245" s="40">
        <f>VLOOKUP(B245,'Player Data'!$A1:$AE734,25,FALSE)*$AJ245*IFERROR((VLOOKUP(P245,Settings!$E$28:$F$33,2,FALSE)+1),1)</f>
        <v>10.162383984521076</v>
      </c>
      <c r="AL245" s="40">
        <f>AJ245-AK245-AM245</f>
        <v>9.0876160154789236</v>
      </c>
      <c r="AM245" s="40">
        <f>VLOOKUP(B245,'Player Data'!$A1:$AE734,27,FALSE)*$AJ245</f>
        <v>2.75</v>
      </c>
      <c r="AN245" s="40">
        <f>VLOOKUP(B245,'Player Data'!$A1:$AE734,28,FALSE)*AJ245</f>
        <v>0.78649979655758495</v>
      </c>
      <c r="AO245" s="40">
        <f>VLOOKUP(B245,'Player Data'!$A1:$AE734,29,FALSE)*$AJ245*IFERROR((VLOOKUP(P245,Settings!$E$28:$F$33,2,FALSE)/4)+1,1)</f>
        <v>620.25073835081935</v>
      </c>
      <c r="AP245" s="40">
        <f>VLOOKUP(B245,'Player Data'!$A1:$AE734,31,FALSE)*$AJ245*(IFERROR(1-(VLOOKUP(P245,Settings!$E$28:$F$33,2,FALSE)/4),1))</f>
        <v>67.684557636680822</v>
      </c>
      <c r="AQ245" s="43">
        <f>1-(AP245/(AO245+AP245))</f>
        <v>0.9016120294576212</v>
      </c>
      <c r="AR245" s="44">
        <f>AP245/AJ245</f>
        <v>3.0765708016673101</v>
      </c>
      <c r="AS245" s="38"/>
    </row>
    <row r="246" spans="1:45" ht="21.2" customHeight="1">
      <c r="A246" s="181">
        <f t="shared" si="18"/>
        <v>245</v>
      </c>
      <c r="B246" s="8" t="s">
        <v>284</v>
      </c>
      <c r="C246" s="31" t="s">
        <v>104</v>
      </c>
      <c r="D246" s="32" t="str">
        <f>VLOOKUP(B246,'Player Data'!A1:D734,4,FALSE)</f>
        <v>D</v>
      </c>
      <c r="E246" s="47">
        <f>VLOOKUP(B246,D!A1:C229,3,FALSE)</f>
        <v>66</v>
      </c>
      <c r="F246" s="34" t="str">
        <f>VLOOKUP(B246,'Player Data'!A1:B734,2,FALSE)</f>
        <v>NYR</v>
      </c>
      <c r="G246" s="9">
        <f>VLOOKUP(B246,'Player Data'!A1:D734,3,FALSE)</f>
        <v>29</v>
      </c>
      <c r="H246" s="35">
        <f>IFERROR(VLOOKUP(B246,ADP!A1:G731,7,FALSE)/1000000,VLOOKUP(B246,ADP!A1:G731,7,FALSE))</f>
        <v>8</v>
      </c>
      <c r="I246" s="36">
        <f>IF(Settings!$E$15="POINTS",((R246*Q246)*Settings!$B$12)+(S246*Settings!$B$2)+(T246*Settings!$B$3)+(U246*Settings!$B$4)+(V246*Settings!$B$5)+(X246*Settings!$B$9)+(AA246*Settings!$B$6)+(W246*Settings!$B$8)+(AB246*Settings!$B$7)+(AC246*Settings!$B$14)+(AD246*Settings!$B$15)+(AE246*Settings!$B$16)+(AF246*Settings!$B$17)+(AG246*Settings!$B$18)+(U246*Settings!$B$13)+(Y246*Settings!$B$10)+(Z246*Settings!$B$11),VLOOKUP(B246,'Standard Deviations'!A1:C731,3,FALSE))</f>
        <v>-1.3285820349354824</v>
      </c>
      <c r="J246" s="37">
        <f t="shared" si="19"/>
        <v>-1.6202219938237592E-2</v>
      </c>
      <c r="K246" s="183">
        <f>VLOOKUP(B246,D!A1:F229,6,FALSE)</f>
        <v>-3.2703225785697931</v>
      </c>
      <c r="L246" s="36">
        <f t="shared" si="20"/>
        <v>-0.40879032232122414</v>
      </c>
      <c r="M246" s="38">
        <f>IF(Settings!$E$9="YAHOO",VLOOKUP(B246,ADP!A1:E731,2,FALSE),IF(Settings!$E$9="ESPN",VLOOKUP(B246,ADP!A1:E731,3,FALSE),IF(Settings!$E$9="FANTRAX",VLOOKUP(B246,ADP!A1:E731,4,FALSE),VLOOKUP(B246,ADP!A1:E731,5,FALSE))))</f>
        <v>117.16</v>
      </c>
      <c r="N246" s="38">
        <f t="shared" si="21"/>
        <v>-127.84</v>
      </c>
      <c r="O246" s="38"/>
      <c r="P246" s="39" t="str">
        <f>IF(Settings!$E$27="ON",_xlfn.XLOOKUP(B246,ADP!A2:A731,ADP!H2:H731)," ")</f>
        <v xml:space="preserve"> </v>
      </c>
      <c r="Q246" s="40">
        <f>IF(Settings!$E$12="YES",VLOOKUP(B246,'Player Data'!A1:E734,5,FALSE),82)</f>
        <v>82</v>
      </c>
      <c r="R246" s="38">
        <f>VLOOKUP(B246,'Player Data'!$A1:$AE734,6,FALSE)</f>
        <v>20.673119645579199</v>
      </c>
      <c r="S246" s="40">
        <f>VLOOKUP(B246,'Player Data'!$A1:$AE734,7,FALSE)*$Q246*IFERROR((VLOOKUP(P246,Settings!$E$28:$F$33,2,FALSE)+1),1)</f>
        <v>7.4474521874814492</v>
      </c>
      <c r="T246" s="40">
        <f>VLOOKUP(B246,'Player Data'!$A1:$AE734,8,FALSE)*$Q246*IFERROR((VLOOKUP(P246,Settings!$E$28:$F$33,2,FALSE)+1),1)</f>
        <v>22.454547499402199</v>
      </c>
      <c r="U246" s="40">
        <f>SUM(S246:T246)</f>
        <v>29.901999686883649</v>
      </c>
      <c r="V246" s="40">
        <f>VLOOKUP(B246,'Player Data'!$A1:$AE734,10,FALSE)*$Q246*IFERROR(((VLOOKUP(P246,Settings!$E$28:$F$33,2,FALSE)/2)+1),1)</f>
        <v>176.44906964529028</v>
      </c>
      <c r="W246" s="40">
        <f>VLOOKUP(B246,'Player Data'!$A1:$AE734,11,FALSE)*$Q246*IFERROR((VLOOKUP(P246,Settings!$E$28:$F$33,2,FALSE)+1),1)</f>
        <v>0.52887817851762409</v>
      </c>
      <c r="X246" s="40">
        <f>VLOOKUP(B246,'Player Data'!$A1:$AE734,12,FALSE)*$Q246*IFERROR((VLOOKUP(P246,Settings!$E$28:$F$33,2,FALSE)+1),1)</f>
        <v>1.631813766530402</v>
      </c>
      <c r="Y246" s="40">
        <f>VLOOKUP(B246,'Player Data'!$A1:$AE734,13,FALSE)*$Q246</f>
        <v>5.5965365207642512E-3</v>
      </c>
      <c r="Z246" s="40">
        <f>VLOOKUP(B246,'Player Data'!$A1:$AE734,14,FALSE)*$Q246</f>
        <v>0.88040259804252619</v>
      </c>
      <c r="AA246" s="40">
        <f>VLOOKUP(B246,'Player Data'!$A1:$AE734,15,FALSE)*$Q246</f>
        <v>177.97028924116526</v>
      </c>
      <c r="AB246" s="40">
        <f>VLOOKUP(B246,'Player Data'!$A1:$AE734,16,FALSE)*$Q246</f>
        <v>196.77424663734513</v>
      </c>
      <c r="AC246" s="40">
        <f>VLOOKUP(B246,'Player Data'!$A1:$AE734,17,FALSE)*$Q246*IFERROR((VLOOKUP(P246,Settings!$E$28:$F$33,2,FALSE)+1),1)</f>
        <v>3.5872239426933024</v>
      </c>
      <c r="AD246" s="40">
        <f>VLOOKUP(B246,'Player Data'!$A1:$AE734,18,FALSE)*$Q246</f>
        <v>63.69182851748802</v>
      </c>
      <c r="AE246" s="40">
        <f>VLOOKUP(B246,'Player Data'!$A1:$AE734,19,FALSE)*$Q246*IFERROR((VLOOKUP(P246,Settings!$E$28:$F$33,2,FALSE)+1),1)</f>
        <v>1.269031945572213</v>
      </c>
      <c r="AF246" s="40">
        <f>VLOOKUP(B246,'Player Data'!$A1:$AE734,20,FALSE)*$Q246</f>
        <v>0</v>
      </c>
      <c r="AG246" s="40">
        <f>VLOOKUP(B246,'Player Data'!$A1:$AE734,21,FALSE)*$Q246</f>
        <v>0.74318744210805399</v>
      </c>
      <c r="AH246" s="41">
        <f>VLOOKUP(B246,'Player Data'!$A1:$AE734,22,FALSE)</f>
        <v>0</v>
      </c>
      <c r="AI246" s="38"/>
      <c r="AJ246" s="42"/>
      <c r="AK246" s="40"/>
      <c r="AL246" s="40"/>
      <c r="AM246" s="40"/>
      <c r="AN246" s="40"/>
      <c r="AO246" s="40"/>
      <c r="AP246" s="40"/>
      <c r="AQ246" s="43"/>
      <c r="AR246" s="44"/>
      <c r="AS246" s="42"/>
    </row>
    <row r="247" spans="1:45" ht="21.2" customHeight="1">
      <c r="A247" s="181">
        <f t="shared" si="18"/>
        <v>246</v>
      </c>
      <c r="B247" s="8" t="s">
        <v>788</v>
      </c>
      <c r="C247" s="31" t="s">
        <v>104</v>
      </c>
      <c r="D247" s="32" t="str">
        <f>VLOOKUP(B247,'Player Data'!A1:D734,4,FALSE)</f>
        <v>G</v>
      </c>
      <c r="E247" s="50">
        <f>VLOOKUP(B247,G!A1:D75,3,FALSE)</f>
        <v>54</v>
      </c>
      <c r="F247" s="34" t="str">
        <f>VLOOKUP(B247,'Player Data'!A1:B734,2,FALSE)</f>
        <v>FLA</v>
      </c>
      <c r="G247" s="9">
        <f>VLOOKUP(B247,'Player Data'!A1:D734,3,FALSE)</f>
        <v>29</v>
      </c>
      <c r="H247" s="35">
        <f>IFERROR(VLOOKUP(B247,ADP!A1:G731,7,FALSE)/1000000,VLOOKUP(B247,ADP!A1:G731,7,FALSE))</f>
        <v>1.1000000000000001</v>
      </c>
      <c r="I247" s="36">
        <f>IF(Settings!$E$15="POINTS",(AJ247*Settings!$B$29)+(AK247*Settings!$B$21)+(AL247*Settings!$B$22)+(AN247*Settings!$B$24)+(AO247*Settings!$B$25)+(AP247*Settings!$B$27)+(AM247*Settings!$B$23),VLOOKUP(B247,'Standard Deviations'!A1:C731,3,FALSE))</f>
        <v>-1.5875459889654464</v>
      </c>
      <c r="J247" s="37">
        <f t="shared" si="19"/>
        <v>-7.937729944827232E-2</v>
      </c>
      <c r="K247" s="183">
        <f>VLOOKUP(B247,G!A1:F75,6,FALSE)</f>
        <v>-3.2917750401557377</v>
      </c>
      <c r="L247" s="36">
        <f t="shared" si="20"/>
        <v>-2.9925227637779432</v>
      </c>
      <c r="M247" s="52" t="str">
        <f>IF(Settings!$E$9="YAHOO",VLOOKUP(B247,ADP!A1:E731,2,FALSE),IF(Settings!$E$9="ESPN",VLOOKUP(B247,ADP!A1:E731,3,FALSE),IF(Settings!$E$9="FANTRAX",VLOOKUP(B247,ADP!A1:E731,4,FALSE),VLOOKUP(B247,ADP!A1:E731,5,FALSE))))</f>
        <v>-</v>
      </c>
      <c r="N247" s="52" t="str">
        <f t="shared" si="21"/>
        <v>N/A</v>
      </c>
      <c r="O247" s="38"/>
      <c r="P247" s="39" t="str">
        <f>IF(Settings!$E$27="ON",_xlfn.XLOOKUP(B247,ADP!A2:A731,ADP!H2:H731)," ")</f>
        <v xml:space="preserve"> </v>
      </c>
      <c r="Q247" s="40"/>
      <c r="R247" s="51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1"/>
      <c r="AI247" s="38"/>
      <c r="AJ247" s="42">
        <f>VLOOKUP(B247,'Player Data'!$A1:$AE734,24,FALSE)</f>
        <v>20</v>
      </c>
      <c r="AK247" s="40">
        <f>VLOOKUP(B247,'Player Data'!$A1:$AE734,25,FALSE)*$AJ247*IFERROR((VLOOKUP(P247,Settings!$E$28:$F$33,2,FALSE)+1),1)</f>
        <v>10.955128426017319</v>
      </c>
      <c r="AL247" s="40">
        <f>AJ247-AK247-AM247</f>
        <v>6.5448715739826806</v>
      </c>
      <c r="AM247" s="40">
        <f>VLOOKUP(B247,'Player Data'!$A1:$AE734,27,FALSE)*$AJ247</f>
        <v>2.5</v>
      </c>
      <c r="AN247" s="40">
        <f>VLOOKUP(B247,'Player Data'!$A1:$AE734,28,FALSE)*AJ247</f>
        <v>0.741782687268986</v>
      </c>
      <c r="AO247" s="40">
        <f>VLOOKUP(B247,'Player Data'!$A1:$AE734,29,FALSE)*$AJ247*IFERROR((VLOOKUP(P247,Settings!$E$28:$F$33,2,FALSE)/4)+1,1)</f>
        <v>570.76416474632197</v>
      </c>
      <c r="AP247" s="40">
        <f>VLOOKUP(B247,'Player Data'!$A1:$AE734,31,FALSE)*$AJ247*(IFERROR(1-(VLOOKUP(P247,Settings!$E$28:$F$33,2,FALSE)/4),1))</f>
        <v>61.180854878678197</v>
      </c>
      <c r="AQ247" s="43">
        <f>1-(AP247/(AO247+AP247))</f>
        <v>0.90318642765001411</v>
      </c>
      <c r="AR247" s="44">
        <f>AP247/AJ247</f>
        <v>3.0590427439339098</v>
      </c>
      <c r="AS247" s="38"/>
    </row>
    <row r="248" spans="1:45" ht="21.2" customHeight="1">
      <c r="A248" s="181">
        <f t="shared" si="18"/>
        <v>247</v>
      </c>
      <c r="B248" s="8" t="s">
        <v>773</v>
      </c>
      <c r="C248" s="31" t="s">
        <v>104</v>
      </c>
      <c r="D248" s="32" t="str">
        <f>VLOOKUP(B248,'Player Data'!A1:D734,4,FALSE)</f>
        <v>G</v>
      </c>
      <c r="E248" s="50">
        <f>VLOOKUP(B248,G!A1:D75,3,FALSE)</f>
        <v>55</v>
      </c>
      <c r="F248" s="34" t="str">
        <f>VLOOKUP(B248,'Player Data'!A1:B734,2,FALSE)</f>
        <v>PHI</v>
      </c>
      <c r="G248" s="9">
        <f>VLOOKUP(B248,'Player Data'!A1:D734,3,FALSE)</f>
        <v>28</v>
      </c>
      <c r="H248" s="35">
        <f>IFERROR(VLOOKUP(B248,ADP!A1:G731,7,FALSE)/1000000,VLOOKUP(B248,ADP!A1:G731,7,FALSE))</f>
        <v>5</v>
      </c>
      <c r="I248" s="36">
        <f>IF(Settings!$E$15="POINTS",(AJ248*Settings!$B$29)+(AK248*Settings!$B$21)+(AL248*Settings!$B$22)+(AN248*Settings!$B$24)+(AO248*Settings!$B$25)+(AP248*Settings!$B$27)+(AM248*Settings!$B$23),VLOOKUP(B248,'Standard Deviations'!A1:C731,3,FALSE))</f>
        <v>-1.5915124010553607</v>
      </c>
      <c r="J248" s="37">
        <f t="shared" si="19"/>
        <v>-6.6313016710640035E-2</v>
      </c>
      <c r="K248" s="183">
        <f>VLOOKUP(B248,G!A1:F75,6,FALSE)</f>
        <v>-3.2957414522456521</v>
      </c>
      <c r="L248" s="36">
        <f t="shared" si="20"/>
        <v>-0.65914829044913037</v>
      </c>
      <c r="M248" s="52" t="str">
        <f>IF(Settings!$E$9="YAHOO",VLOOKUP(B248,ADP!A1:E731,2,FALSE),IF(Settings!$E$9="ESPN",VLOOKUP(B248,ADP!A1:E731,3,FALSE),IF(Settings!$E$9="FANTRAX",VLOOKUP(B248,ADP!A1:E731,4,FALSE),VLOOKUP(B248,ADP!A1:E731,5,FALSE))))</f>
        <v>-</v>
      </c>
      <c r="N248" s="52" t="str">
        <f t="shared" si="21"/>
        <v>N/A</v>
      </c>
      <c r="O248" s="38"/>
      <c r="P248" s="39" t="str">
        <f>IF(Settings!$E$27="ON",_xlfn.XLOOKUP(B248,ADP!A2:A731,ADP!H2:H731)," ")</f>
        <v xml:space="preserve"> </v>
      </c>
      <c r="Q248" s="40"/>
      <c r="R248" s="51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1"/>
      <c r="AI248" s="38"/>
      <c r="AJ248" s="42">
        <f>VLOOKUP(B248,'Player Data'!$A1:$AE734,24,FALSE)</f>
        <v>24</v>
      </c>
      <c r="AK248" s="40">
        <f>VLOOKUP(B248,'Player Data'!$A1:$AE734,25,FALSE)*$AJ248*IFERROR((VLOOKUP(P248,Settings!$E$28:$F$33,2,FALSE)+1),1)</f>
        <v>8.6008917073644469</v>
      </c>
      <c r="AL248" s="40">
        <f>AJ248-AK248-AM248</f>
        <v>12.399108292635553</v>
      </c>
      <c r="AM248" s="40">
        <f>VLOOKUP(B248,'Player Data'!$A1:$AE734,27,FALSE)*$AJ248</f>
        <v>3</v>
      </c>
      <c r="AN248" s="40">
        <f>VLOOKUP(B248,'Player Data'!$A1:$AE734,28,FALSE)*AJ248</f>
        <v>0.74068414287064321</v>
      </c>
      <c r="AO248" s="40">
        <f>VLOOKUP(B248,'Player Data'!$A1:$AE734,29,FALSE)*$AJ248*IFERROR((VLOOKUP(P248,Settings!$E$28:$F$33,2,FALSE)/4)+1,1)</f>
        <v>684.32082334673521</v>
      </c>
      <c r="AP248" s="40">
        <f>VLOOKUP(B248,'Player Data'!$A1:$AE734,31,FALSE)*$AJ248*(IFERROR(1-(VLOOKUP(P248,Settings!$E$28:$F$33,2,FALSE)/4),1))</f>
        <v>75.373244203263837</v>
      </c>
      <c r="AQ248" s="43">
        <f>1-(AP248/(AO248+AP248))</f>
        <v>0.90078474030165678</v>
      </c>
      <c r="AR248" s="44">
        <f>AP248/AJ248</f>
        <v>3.1405518418026599</v>
      </c>
      <c r="AS248" s="38"/>
    </row>
    <row r="249" spans="1:45" ht="21.2" customHeight="1">
      <c r="A249" s="181">
        <f t="shared" si="18"/>
        <v>248</v>
      </c>
      <c r="B249" s="8" t="s">
        <v>300</v>
      </c>
      <c r="C249" s="31" t="s">
        <v>104</v>
      </c>
      <c r="D249" s="32" t="str">
        <f>VLOOKUP(B249,'Player Data'!A1:D734,4,FALSE)</f>
        <v>C,LW</v>
      </c>
      <c r="E249" s="45">
        <f>VLOOKUP(B249,LW!A1:C227,3,FALSE)</f>
        <v>62</v>
      </c>
      <c r="F249" s="34" t="str">
        <f>VLOOKUP(B249,'Player Data'!A1:B734,2,FALSE)</f>
        <v>BUF</v>
      </c>
      <c r="G249" s="9">
        <f>VLOOKUP(B249,'Player Data'!A1:D734,3,FALSE)</f>
        <v>24</v>
      </c>
      <c r="H249" s="35">
        <f>IFERROR(VLOOKUP(B249,ADP!A1:G731,7,FALSE)/1000000,VLOOKUP(B249,ADP!A1:G731,7,FALSE))</f>
        <v>2.5</v>
      </c>
      <c r="I249" s="36">
        <f>IF(Settings!$E$15="POINTS",((R249*Q249)*Settings!$B$12)+(S249*Settings!$B$2)+(T249*Settings!$B$3)+(U249*Settings!$B$4)+(V249*Settings!$B$5)+(X249*Settings!$B$9)+(AA249*Settings!$B$6)+(W249*Settings!$B$8)+(AB249*Settings!$B$7)+(AC249*Settings!$B$14)+(AD249*Settings!$B$15)+(AE249*Settings!$B$16)+(AF249*Settings!$B$17)+(AG249*Settings!$B$18)+(Y249*Settings!$B$10)+(Z249*Settings!$B$11),VLOOKUP(B249,'Standard Deviations'!A1:C731,3,FALSE))</f>
        <v>3.3242502705640726</v>
      </c>
      <c r="J249" s="37">
        <f t="shared" si="19"/>
        <v>4.0539637445903325E-2</v>
      </c>
      <c r="K249" s="183">
        <f>IF(Settings!$E$18="C/LW/RW",VLOOKUP(B249,LW!A1:F227,6,FALSE),VLOOKUP(B249,F!A1:F431,6,FALSE))</f>
        <v>-3.3304187735603286</v>
      </c>
      <c r="L249" s="36">
        <f t="shared" si="20"/>
        <v>-1.3321675094241314</v>
      </c>
      <c r="M249" s="38">
        <f>IF(Settings!$E$9="YAHOO",VLOOKUP(B249,ADP!A1:E731,2,FALSE),IF(Settings!$E$9="ESPN",VLOOKUP(B249,ADP!A1:E731,3,FALSE),IF(Settings!$E$9="FANTRAX",VLOOKUP(B249,ADP!A1:E731,4,FALSE),VLOOKUP(B249,ADP!A1:E731,5,FALSE))))</f>
        <v>222.41</v>
      </c>
      <c r="N249" s="38">
        <f t="shared" si="21"/>
        <v>-25.590000000000003</v>
      </c>
      <c r="O249" s="38"/>
      <c r="P249" s="39" t="str">
        <f>IF(Settings!$E$27="ON",_xlfn.XLOOKUP(B249,ADP!A2:A731,ADP!H2:H731)," ")</f>
        <v>+</v>
      </c>
      <c r="Q249" s="40">
        <f>IF(Settings!$E$12="YES",VLOOKUP(B249,'Player Data'!A1:E734,5,FALSE),82)</f>
        <v>82</v>
      </c>
      <c r="R249" s="38">
        <f>VLOOKUP(B249,'Player Data'!$A1:$AE734,6,FALSE)</f>
        <v>16.520296143100602</v>
      </c>
      <c r="S249" s="40">
        <f>VLOOKUP(B249,'Player Data'!$A1:$AE734,7,FALSE)*$Q249*IFERROR((VLOOKUP(P249,Settings!$E$28:$F$33,2,FALSE)+1),1)</f>
        <v>17.954292817066015</v>
      </c>
      <c r="T249" s="40">
        <f>VLOOKUP(B249,'Player Data'!$A1:$AE734,8,FALSE)*$Q249*IFERROR((VLOOKUP(P249,Settings!$E$28:$F$33,2,FALSE)+1),1)</f>
        <v>41.51822272717552</v>
      </c>
      <c r="U249" s="40">
        <f t="shared" ref="U249:U261" si="24">SUM(S249:T249)</f>
        <v>59.472515544241531</v>
      </c>
      <c r="V249" s="40">
        <f>VLOOKUP(B249,'Player Data'!$A1:$AE734,10,FALSE)*$Q249*IFERROR(((VLOOKUP(P249,Settings!$E$28:$F$33,2,FALSE)/2)+1),1)</f>
        <v>149.28496960688292</v>
      </c>
      <c r="W249" s="40">
        <f>VLOOKUP(B249,'Player Data'!$A1:$AE734,11,FALSE)*$Q249*IFERROR((VLOOKUP(P249,Settings!$E$28:$F$33,2,FALSE)+1),1)</f>
        <v>4.6003543282216892</v>
      </c>
      <c r="X249" s="40">
        <f>VLOOKUP(B249,'Player Data'!$A1:$AE734,12,FALSE)*$Q249*IFERROR((VLOOKUP(P249,Settings!$E$28:$F$33,2,FALSE)+1),1)</f>
        <v>15.748611698531496</v>
      </c>
      <c r="Y249" s="40">
        <f>VLOOKUP(B249,'Player Data'!$A1:$AE734,13,FALSE)*$Q249</f>
        <v>0.25358199861595099</v>
      </c>
      <c r="Z249" s="40">
        <f>VLOOKUP(B249,'Player Data'!$A1:$AE734,14,FALSE)*$Q249</f>
        <v>0.34924858579444934</v>
      </c>
      <c r="AA249" s="40">
        <f>VLOOKUP(B249,'Player Data'!$A1:$AE734,15,FALSE)*$Q249</f>
        <v>20.356760179748974</v>
      </c>
      <c r="AB249" s="40">
        <f>VLOOKUP(B249,'Player Data'!$A1:$AE734,16,FALSE)*$Q249</f>
        <v>39.026356321839401</v>
      </c>
      <c r="AC249" s="40">
        <f>VLOOKUP(B249,'Player Data'!$A1:$AE734,17,FALSE)*$Q249*IFERROR((VLOOKUP(P249,Settings!$E$28:$F$33,2,FALSE)+1),1)</f>
        <v>-2.4979282002421299</v>
      </c>
      <c r="AD249" s="40">
        <f>VLOOKUP(B249,'Player Data'!$A1:$AE734,18,FALSE)*$Q249</f>
        <v>17.50090876563538</v>
      </c>
      <c r="AE249" s="40">
        <f>VLOOKUP(B249,'Player Data'!$A1:$AE734,19,FALSE)*$Q249*IFERROR((VLOOKUP(P249,Settings!$E$28:$F$33,2,FALSE)+1),1)</f>
        <v>2.2984916266968618</v>
      </c>
      <c r="AF249" s="40">
        <f>VLOOKUP(B249,'Player Data'!$A1:$AE734,20,FALSE)*$Q249</f>
        <v>369.49770791133602</v>
      </c>
      <c r="AG249" s="40">
        <f>VLOOKUP(B249,'Player Data'!$A1:$AE734,21,FALSE)*$Q249</f>
        <v>431.0567191435639</v>
      </c>
      <c r="AH249" s="41">
        <f>VLOOKUP(B249,'Player Data'!$A1:$AE734,22,FALSE)</f>
        <v>0.46155226356145901</v>
      </c>
      <c r="AI249" s="38"/>
      <c r="AJ249" s="40"/>
      <c r="AK249" s="40"/>
      <c r="AL249" s="40"/>
      <c r="AM249" s="40"/>
      <c r="AN249" s="40"/>
      <c r="AO249" s="40"/>
      <c r="AP249" s="40"/>
      <c r="AQ249" s="43"/>
      <c r="AR249" s="44"/>
      <c r="AS249" s="38"/>
    </row>
    <row r="250" spans="1:45" ht="21.2" customHeight="1">
      <c r="A250" s="181">
        <f t="shared" si="18"/>
        <v>249</v>
      </c>
      <c r="B250" s="8" t="s">
        <v>314</v>
      </c>
      <c r="C250" s="31" t="s">
        <v>104</v>
      </c>
      <c r="D250" s="32" t="str">
        <f>VLOOKUP(B250,'Player Data'!A1:D734,4,FALSE)</f>
        <v>D</v>
      </c>
      <c r="E250" s="47">
        <f>VLOOKUP(B250,D!A1:C229,3,FALSE)</f>
        <v>67</v>
      </c>
      <c r="F250" s="34" t="str">
        <f>VLOOKUP(B250,'Player Data'!A1:B734,2,FALSE)</f>
        <v>CAR</v>
      </c>
      <c r="G250" s="9">
        <f>VLOOKUP(B250,'Player Data'!A1:D734,3,FALSE)</f>
        <v>29</v>
      </c>
      <c r="H250" s="35">
        <f>IFERROR(VLOOKUP(B250,ADP!A1:G731,7,FALSE)/1000000,VLOOKUP(B250,ADP!A1:G731,7,FALSE))</f>
        <v>5.25</v>
      </c>
      <c r="I250" s="36">
        <f>IF(Settings!$E$15="POINTS",((R250*Q250)*Settings!$B$12)+(S250*Settings!$B$2)+(T250*Settings!$B$3)+(U250*Settings!$B$4)+(V250*Settings!$B$5)+(X250*Settings!$B$9)+(AA250*Settings!$B$6)+(W250*Settings!$B$8)+(AB250*Settings!$B$7)+(AC250*Settings!$B$14)+(AD250*Settings!$B$15)+(AE250*Settings!$B$16)+(AF250*Settings!$B$17)+(AG250*Settings!$B$18)+(U250*Settings!$B$13)+(Y250*Settings!$B$10)+(Z250*Settings!$B$11),VLOOKUP(B250,'Standard Deviations'!A1:C731,3,FALSE))</f>
        <v>-1.4221021148618926</v>
      </c>
      <c r="J250" s="37">
        <f t="shared" si="19"/>
        <v>-1.7342708717827959E-2</v>
      </c>
      <c r="K250" s="183">
        <f>VLOOKUP(B250,D!A1:F229,6,FALSE)</f>
        <v>-3.3638426584962033</v>
      </c>
      <c r="L250" s="36">
        <f t="shared" si="20"/>
        <v>-0.64073193495165781</v>
      </c>
      <c r="M250" s="38">
        <f>IF(Settings!$E$9="YAHOO",VLOOKUP(B250,ADP!A1:E731,2,FALSE),IF(Settings!$E$9="ESPN",VLOOKUP(B250,ADP!A1:E731,3,FALSE),IF(Settings!$E$9="FANTRAX",VLOOKUP(B250,ADP!A1:E731,4,FALSE),VLOOKUP(B250,ADP!A1:E731,5,FALSE))))</f>
        <v>209.34</v>
      </c>
      <c r="N250" s="38">
        <f t="shared" si="21"/>
        <v>-39.659999999999997</v>
      </c>
      <c r="O250" s="38"/>
      <c r="P250" s="39" t="str">
        <f>IF(Settings!$E$27="ON",_xlfn.XLOOKUP(B250,ADP!A2:A731,ADP!H2:H731)," ")</f>
        <v xml:space="preserve"> </v>
      </c>
      <c r="Q250" s="40">
        <f>IF(Settings!$E$12="YES",VLOOKUP(B250,'Player Data'!A1:E734,5,FALSE),82)</f>
        <v>82</v>
      </c>
      <c r="R250" s="38">
        <f>VLOOKUP(B250,'Player Data'!$A1:$AE734,6,FALSE)</f>
        <v>19.164236317819601</v>
      </c>
      <c r="S250" s="40">
        <f>VLOOKUP(B250,'Player Data'!$A1:$AE734,7,FALSE)*$Q250*IFERROR((VLOOKUP(P250,Settings!$E$28:$F$33,2,FALSE)+1),1)</f>
        <v>9.9226036532045718</v>
      </c>
      <c r="T250" s="40">
        <f>VLOOKUP(B250,'Player Data'!$A1:$AE734,8,FALSE)*$Q250*IFERROR((VLOOKUP(P250,Settings!$E$28:$F$33,2,FALSE)+1),1)</f>
        <v>20.017112413965396</v>
      </c>
      <c r="U250" s="40">
        <f t="shared" si="24"/>
        <v>29.939716067169968</v>
      </c>
      <c r="V250" s="40">
        <f>VLOOKUP(B250,'Player Data'!$A1:$AE734,10,FALSE)*$Q250*IFERROR(((VLOOKUP(P250,Settings!$E$28:$F$33,2,FALSE)/2)+1),1)</f>
        <v>159.50172005610207</v>
      </c>
      <c r="W250" s="40">
        <f>VLOOKUP(B250,'Player Data'!$A1:$AE734,11,FALSE)*$Q250*IFERROR((VLOOKUP(P250,Settings!$E$28:$F$33,2,FALSE)+1),1)</f>
        <v>1.396894815270008</v>
      </c>
      <c r="X250" s="40">
        <f>VLOOKUP(B250,'Player Data'!$A1:$AE734,12,FALSE)*$Q250*IFERROR((VLOOKUP(P250,Settings!$E$28:$F$33,2,FALSE)+1),1)</f>
        <v>2.9182732882396167</v>
      </c>
      <c r="Y250" s="40">
        <f>VLOOKUP(B250,'Player Data'!$A1:$AE734,13,FALSE)*$Q250</f>
        <v>0.40751618584834809</v>
      </c>
      <c r="Z250" s="40">
        <f>VLOOKUP(B250,'Player Data'!$A1:$AE734,14,FALSE)*$Q250</f>
        <v>0.62374278454098997</v>
      </c>
      <c r="AA250" s="40">
        <f>VLOOKUP(B250,'Player Data'!$A1:$AE734,15,FALSE)*$Q250</f>
        <v>71.577988097505965</v>
      </c>
      <c r="AB250" s="40">
        <f>VLOOKUP(B250,'Player Data'!$A1:$AE734,16,FALSE)*$Q250</f>
        <v>80.694344629184812</v>
      </c>
      <c r="AC250" s="40">
        <f>VLOOKUP(B250,'Player Data'!$A1:$AE734,17,FALSE)*$Q250*IFERROR((VLOOKUP(P250,Settings!$E$28:$F$33,2,FALSE)+1),1)</f>
        <v>6.5482031853728691</v>
      </c>
      <c r="AD250" s="40">
        <f>VLOOKUP(B250,'Player Data'!$A1:$AE734,18,FALSE)*$Q250</f>
        <v>40.457251329291211</v>
      </c>
      <c r="AE250" s="40">
        <f>VLOOKUP(B250,'Player Data'!$A1:$AE734,19,FALSE)*$Q250*IFERROR((VLOOKUP(P250,Settings!$E$28:$F$33,2,FALSE)+1),1)</f>
        <v>1.7803372792830707</v>
      </c>
      <c r="AF250" s="40">
        <f>VLOOKUP(B250,'Player Data'!$A1:$AE734,20,FALSE)*$Q250</f>
        <v>0</v>
      </c>
      <c r="AG250" s="40">
        <f>VLOOKUP(B250,'Player Data'!$A1:$AE734,21,FALSE)*$Q250</f>
        <v>0</v>
      </c>
      <c r="AH250" s="41">
        <f>VLOOKUP(B250,'Player Data'!$A1:$AE734,22,FALSE)</f>
        <v>0</v>
      </c>
      <c r="AI250" s="38"/>
      <c r="AJ250" s="42"/>
      <c r="AK250" s="40"/>
      <c r="AL250" s="40"/>
      <c r="AM250" s="40"/>
      <c r="AN250" s="40"/>
      <c r="AO250" s="40"/>
      <c r="AP250" s="40"/>
      <c r="AQ250" s="43"/>
      <c r="AR250" s="44"/>
      <c r="AS250" s="38"/>
    </row>
    <row r="251" spans="1:45" ht="21.2" customHeight="1">
      <c r="A251" s="181">
        <f t="shared" si="18"/>
        <v>250</v>
      </c>
      <c r="B251" s="8" t="s">
        <v>346</v>
      </c>
      <c r="C251" s="31" t="s">
        <v>104</v>
      </c>
      <c r="D251" s="32" t="str">
        <f>VLOOKUP(B251,'Player Data'!A1:D734,4,FALSE)</f>
        <v>D</v>
      </c>
      <c r="E251" s="47">
        <f>VLOOKUP(B251,D!A1:C229,3,FALSE)</f>
        <v>68</v>
      </c>
      <c r="F251" s="34" t="str">
        <f>VLOOKUP(B251,'Player Data'!A1:B734,2,FALSE)</f>
        <v>MIN</v>
      </c>
      <c r="G251" s="9">
        <f>VLOOKUP(B251,'Player Data'!A1:D734,3,FALSE)</f>
        <v>20</v>
      </c>
      <c r="H251" s="35">
        <f>IFERROR(VLOOKUP(B251,ADP!A1:G731,7,FALSE)/1000000,VLOOKUP(B251,ADP!A1:G731,7,FALSE))</f>
        <v>0</v>
      </c>
      <c r="I251" s="36">
        <f>IF(Settings!$E$15="POINTS",((R251*Q251)*Settings!$B$12)+(S251*Settings!$B$2)+(T251*Settings!$B$3)+(U251*Settings!$B$4)+(V251*Settings!$B$5)+(X251*Settings!$B$9)+(AA251*Settings!$B$6)+(W251*Settings!$B$8)+(AB251*Settings!$B$7)+(AC251*Settings!$B$14)+(AD251*Settings!$B$15)+(AE251*Settings!$B$16)+(AF251*Settings!$B$17)+(AG251*Settings!$B$18)+(U251*Settings!$B$13)+(Y251*Settings!$B$10)+(Z251*Settings!$B$11),VLOOKUP(B251,'Standard Deviations'!A1:C731,3,FALSE))</f>
        <v>-1.4336469758821724</v>
      </c>
      <c r="J251" s="37">
        <f t="shared" si="19"/>
        <v>-1.7483499705880153E-2</v>
      </c>
      <c r="K251" s="183">
        <f>VLOOKUP(B251,D!A1:F229,6,FALSE)</f>
        <v>-3.3753875195164831</v>
      </c>
      <c r="L251" s="49" t="str">
        <f t="shared" si="20"/>
        <v>N/A</v>
      </c>
      <c r="M251" s="52" t="str">
        <f>IF(Settings!$E$9="YAHOO",VLOOKUP(B251,ADP!A1:E731,2,FALSE),IF(Settings!$E$9="ESPN",VLOOKUP(B251,ADP!A1:E731,3,FALSE),IF(Settings!$E$9="FANTRAX",VLOOKUP(B251,ADP!A1:E731,4,FALSE),VLOOKUP(B251,ADP!A1:E731,5,FALSE))))</f>
        <v>-</v>
      </c>
      <c r="N251" s="52" t="str">
        <f t="shared" si="21"/>
        <v>N/A</v>
      </c>
      <c r="O251" s="38"/>
      <c r="P251" s="39" t="str">
        <f>IF(Settings!$E$27="ON",_xlfn.XLOOKUP(B251,ADP!A2:A731,ADP!H2:H731)," ")</f>
        <v xml:space="preserve"> </v>
      </c>
      <c r="Q251" s="40">
        <f>IF(Settings!$E$12="YES",VLOOKUP(B251,'Player Data'!A1:E734,5,FALSE),82)</f>
        <v>82</v>
      </c>
      <c r="R251" s="38">
        <f>VLOOKUP(B251,'Player Data'!$A1:$AE734,6,FALSE)</f>
        <v>20</v>
      </c>
      <c r="S251" s="40">
        <f>VLOOKUP(B251,'Player Data'!$A1:$AE734,7,FALSE)*$Q251*IFERROR((VLOOKUP(P251,Settings!$E$28:$F$33,2,FALSE)+1),1)</f>
        <v>6.3399872169957767</v>
      </c>
      <c r="T251" s="40">
        <f>VLOOKUP(B251,'Player Data'!$A1:$AE734,8,FALSE)*$Q251*IFERROR((VLOOKUP(P251,Settings!$E$28:$F$33,2,FALSE)+1),1)</f>
        <v>26.061879150790308</v>
      </c>
      <c r="U251" s="40">
        <f t="shared" si="24"/>
        <v>32.401866367786084</v>
      </c>
      <c r="V251" s="40">
        <f>VLOOKUP(B251,'Player Data'!$A1:$AE734,10,FALSE)*$Q251*IFERROR(((VLOOKUP(P251,Settings!$E$28:$F$33,2,FALSE)/2)+1),1)</f>
        <v>128.49787600485908</v>
      </c>
      <c r="W251" s="40">
        <f>VLOOKUP(B251,'Player Data'!$A1:$AE734,11,FALSE)*$Q251*IFERROR((VLOOKUP(P251,Settings!$E$28:$F$33,2,FALSE)+1),1)</f>
        <v>1.1663234606148776</v>
      </c>
      <c r="X251" s="40">
        <f>VLOOKUP(B251,'Player Data'!$A1:$AE734,12,FALSE)*$Q251*IFERROR((VLOOKUP(P251,Settings!$E$28:$F$33,2,FALSE)+1),1)</f>
        <v>5.9607465471144376</v>
      </c>
      <c r="Y251" s="40">
        <f>VLOOKUP(B251,'Player Data'!$A1:$AE734,13,FALSE)*$Q251</f>
        <v>0</v>
      </c>
      <c r="Z251" s="40">
        <f>VLOOKUP(B251,'Player Data'!$A1:$AE734,14,FALSE)*$Q251</f>
        <v>0</v>
      </c>
      <c r="AA251" s="40">
        <f>VLOOKUP(B251,'Player Data'!$A1:$AE734,15,FALSE)*$Q251</f>
        <v>106.00000000000014</v>
      </c>
      <c r="AB251" s="40">
        <f>VLOOKUP(B251,'Player Data'!$A1:$AE734,16,FALSE)*$Q251</f>
        <v>108.07195124295129</v>
      </c>
      <c r="AC251" s="40">
        <f>VLOOKUP(B251,'Player Data'!$A1:$AE734,17,FALSE)*$Q251*IFERROR((VLOOKUP(P251,Settings!$E$28:$F$33,2,FALSE)+1),1)</f>
        <v>0.80999999999999961</v>
      </c>
      <c r="AD251" s="40">
        <f>VLOOKUP(B251,'Player Data'!$A1:$AE734,18,FALSE)*$Q251</f>
        <v>38.62282231639373</v>
      </c>
      <c r="AE251" s="40">
        <f>VLOOKUP(B251,'Player Data'!$A1:$AE734,19,FALSE)*$Q251*IFERROR((VLOOKUP(P251,Settings!$E$28:$F$33,2,FALSE)+1),1)</f>
        <v>1.0180524218406175</v>
      </c>
      <c r="AF251" s="40">
        <f>VLOOKUP(B251,'Player Data'!$A1:$AE734,20,FALSE)*$Q251</f>
        <v>0</v>
      </c>
      <c r="AG251" s="40">
        <f>VLOOKUP(B251,'Player Data'!$A1:$AE734,21,FALSE)*$Q251</f>
        <v>0</v>
      </c>
      <c r="AH251" s="41">
        <f>VLOOKUP(B251,'Player Data'!$A1:$AE734,22,FALSE)</f>
        <v>0</v>
      </c>
      <c r="AI251" s="38"/>
      <c r="AJ251" s="42"/>
      <c r="AK251" s="40"/>
      <c r="AL251" s="40"/>
      <c r="AM251" s="40"/>
      <c r="AN251" s="40"/>
      <c r="AO251" s="40"/>
      <c r="AP251" s="40"/>
      <c r="AQ251" s="43"/>
      <c r="AR251" s="44"/>
      <c r="AS251" s="38"/>
    </row>
    <row r="252" spans="1:45" ht="21.2" customHeight="1">
      <c r="A252" s="181">
        <f t="shared" si="18"/>
        <v>251</v>
      </c>
      <c r="B252" s="8" t="s">
        <v>328</v>
      </c>
      <c r="C252" s="31" t="s">
        <v>104</v>
      </c>
      <c r="D252" s="32" t="str">
        <f>VLOOKUP(B252,'Player Data'!A1:D734,4,FALSE)</f>
        <v>D</v>
      </c>
      <c r="E252" s="47">
        <f>VLOOKUP(B252,D!A1:C229,3,FALSE)</f>
        <v>69</v>
      </c>
      <c r="F252" s="34" t="str">
        <f>VLOOKUP(B252,'Player Data'!A1:B734,2,FALSE)</f>
        <v>DET</v>
      </c>
      <c r="G252" s="9">
        <f>VLOOKUP(B252,'Player Data'!A1:D734,3,FALSE)</f>
        <v>35</v>
      </c>
      <c r="H252" s="35">
        <f>IFERROR(VLOOKUP(B252,ADP!A1:G731,7,FALSE)/1000000,VLOOKUP(B252,ADP!A1:G731,7,FALSE))</f>
        <v>6.25</v>
      </c>
      <c r="I252" s="36">
        <f>IF(Settings!$E$15="POINTS",((R252*Q252)*Settings!$B$12)+(S252*Settings!$B$2)+(T252*Settings!$B$3)+(U252*Settings!$B$4)+(V252*Settings!$B$5)+(X252*Settings!$B$9)+(AA252*Settings!$B$6)+(W252*Settings!$B$8)+(AB252*Settings!$B$7)+(AC252*Settings!$B$14)+(AD252*Settings!$B$15)+(AE252*Settings!$B$16)+(AF252*Settings!$B$17)+(AG252*Settings!$B$18)+(U252*Settings!$B$13)+(Y252*Settings!$B$10)+(Z252*Settings!$B$11),VLOOKUP(B252,'Standard Deviations'!A1:C731,3,FALSE))</f>
        <v>-1.4624001430035323</v>
      </c>
      <c r="J252" s="37">
        <f t="shared" si="19"/>
        <v>-1.7834148085408931E-2</v>
      </c>
      <c r="K252" s="183">
        <f>VLOOKUP(B252,D!A1:F229,6,FALSE)</f>
        <v>-3.404140686637843</v>
      </c>
      <c r="L252" s="36">
        <f t="shared" si="20"/>
        <v>-0.54466250986205489</v>
      </c>
      <c r="M252" s="38">
        <f>IF(Settings!$E$9="YAHOO",VLOOKUP(B252,ADP!A1:E731,2,FALSE),IF(Settings!$E$9="ESPN",VLOOKUP(B252,ADP!A1:E731,3,FALSE),IF(Settings!$E$9="FANTRAX",VLOOKUP(B252,ADP!A1:E731,4,FALSE),VLOOKUP(B252,ADP!A1:E731,5,FALSE))))</f>
        <v>208.82</v>
      </c>
      <c r="N252" s="38">
        <f t="shared" si="21"/>
        <v>-42.180000000000007</v>
      </c>
      <c r="O252" s="38"/>
      <c r="P252" s="39" t="str">
        <f>IF(Settings!$E$27="ON",_xlfn.XLOOKUP(B252,ADP!A2:A731,ADP!H2:H731)," ")</f>
        <v xml:space="preserve"> </v>
      </c>
      <c r="Q252" s="40">
        <f>IF(Settings!$E$12="YES",VLOOKUP(B252,'Player Data'!A1:E734,5,FALSE),82)</f>
        <v>82</v>
      </c>
      <c r="R252" s="38">
        <f>VLOOKUP(B252,'Player Data'!$A1:$AE734,6,FALSE)</f>
        <v>19.9386875110429</v>
      </c>
      <c r="S252" s="40">
        <f>VLOOKUP(B252,'Player Data'!$A1:$AE734,7,FALSE)*$Q252*IFERROR((VLOOKUP(P252,Settings!$E$28:$F$33,2,FALSE)+1),1)</f>
        <v>7.0746541995938692</v>
      </c>
      <c r="T252" s="40">
        <f>VLOOKUP(B252,'Player Data'!$A1:$AE734,8,FALSE)*$Q252*IFERROR((VLOOKUP(P252,Settings!$E$28:$F$33,2,FALSE)+1),1)</f>
        <v>26.403360435053113</v>
      </c>
      <c r="U252" s="40">
        <f t="shared" si="24"/>
        <v>33.478014634646982</v>
      </c>
      <c r="V252" s="40">
        <f>VLOOKUP(B252,'Player Data'!$A1:$AE734,10,FALSE)*$Q252*IFERROR(((VLOOKUP(P252,Settings!$E$28:$F$33,2,FALSE)/2)+1),1)</f>
        <v>127.27256459388089</v>
      </c>
      <c r="W252" s="40">
        <f>VLOOKUP(B252,'Player Data'!$A1:$AE734,11,FALSE)*$Q252*IFERROR((VLOOKUP(P252,Settings!$E$28:$F$33,2,FALSE)+1),1)</f>
        <v>0.91574165562276666</v>
      </c>
      <c r="X252" s="40">
        <f>VLOOKUP(B252,'Player Data'!$A1:$AE734,12,FALSE)*$Q252*IFERROR((VLOOKUP(P252,Settings!$E$28:$F$33,2,FALSE)+1),1)</f>
        <v>4.4553105352846263</v>
      </c>
      <c r="Y252" s="40">
        <f>VLOOKUP(B252,'Player Data'!$A1:$AE734,13,FALSE)*$Q252</f>
        <v>-5.2000815359425363E-2</v>
      </c>
      <c r="Z252" s="40">
        <f>VLOOKUP(B252,'Player Data'!$A1:$AE734,14,FALSE)*$Q252</f>
        <v>0.20469520705443225</v>
      </c>
      <c r="AA252" s="40">
        <f>VLOOKUP(B252,'Player Data'!$A1:$AE734,15,FALSE)*$Q252</f>
        <v>125.32127491930075</v>
      </c>
      <c r="AB252" s="40">
        <f>VLOOKUP(B252,'Player Data'!$A1:$AE734,16,FALSE)*$Q252</f>
        <v>181.96037100730484</v>
      </c>
      <c r="AC252" s="40">
        <f>VLOOKUP(B252,'Player Data'!$A1:$AE734,17,FALSE)*$Q252*IFERROR((VLOOKUP(P252,Settings!$E$28:$F$33,2,FALSE)+1),1)</f>
        <v>-0.81958258151442587</v>
      </c>
      <c r="AD252" s="40">
        <f>VLOOKUP(B252,'Player Data'!$A1:$AE734,18,FALSE)*$Q252</f>
        <v>34.01921404279792</v>
      </c>
      <c r="AE252" s="40">
        <f>VLOOKUP(B252,'Player Data'!$A1:$AE734,19,FALSE)*$Q252*IFERROR((VLOOKUP(P252,Settings!$E$28:$F$33,2,FALSE)+1),1)</f>
        <v>1.1356236578731624</v>
      </c>
      <c r="AF252" s="40">
        <f>VLOOKUP(B252,'Player Data'!$A1:$AE734,20,FALSE)*$Q252</f>
        <v>0</v>
      </c>
      <c r="AG252" s="40">
        <f>VLOOKUP(B252,'Player Data'!$A1:$AE734,21,FALSE)*$Q252</f>
        <v>0</v>
      </c>
      <c r="AH252" s="41">
        <f>VLOOKUP(B252,'Player Data'!$A1:$AE734,22,FALSE)</f>
        <v>0</v>
      </c>
      <c r="AI252" s="38"/>
      <c r="AJ252" s="42"/>
      <c r="AK252" s="40"/>
      <c r="AL252" s="40"/>
      <c r="AM252" s="40"/>
      <c r="AN252" s="40"/>
      <c r="AO252" s="40"/>
      <c r="AP252" s="40"/>
      <c r="AQ252" s="43"/>
      <c r="AR252" s="44"/>
      <c r="AS252" s="38"/>
    </row>
    <row r="253" spans="1:45" ht="21.2" customHeight="1">
      <c r="A253" s="181">
        <f t="shared" si="18"/>
        <v>252</v>
      </c>
      <c r="B253" s="8" t="s">
        <v>326</v>
      </c>
      <c r="C253" s="31" t="s">
        <v>104</v>
      </c>
      <c r="D253" s="32" t="str">
        <f>VLOOKUP(B253,'Player Data'!A1:D734,4,FALSE)</f>
        <v>D</v>
      </c>
      <c r="E253" s="47">
        <f>VLOOKUP(B253,D!A1:C229,3,FALSE)</f>
        <v>70</v>
      </c>
      <c r="F253" s="34" t="str">
        <f>VLOOKUP(B253,'Player Data'!A1:B734,2,FALSE)</f>
        <v>ARI</v>
      </c>
      <c r="G253" s="9">
        <f>VLOOKUP(B253,'Player Data'!A1:D734,3,FALSE)</f>
        <v>23</v>
      </c>
      <c r="H253" s="35">
        <f>IFERROR(VLOOKUP(B253,ADP!A1:G731,7,FALSE)/1000000,VLOOKUP(B253,ADP!A1:G731,7,FALSE))</f>
        <v>0.88666699999999998</v>
      </c>
      <c r="I253" s="36">
        <f>IF(Settings!$E$15="POINTS",((R253*Q253)*Settings!$B$12)+(S253*Settings!$B$2)+(T253*Settings!$B$3)+(U253*Settings!$B$4)+(V253*Settings!$B$5)+(X253*Settings!$B$9)+(AA253*Settings!$B$6)+(W253*Settings!$B$8)+(AB253*Settings!$B$7)+(AC253*Settings!$B$14)+(AD253*Settings!$B$15)+(AE253*Settings!$B$16)+(AF253*Settings!$B$17)+(AG253*Settings!$B$18)+(U253*Settings!$B$13)+(Y253*Settings!$B$10)+(Z253*Settings!$B$11),VLOOKUP(B253,'Standard Deviations'!A1:C731,3,FALSE))</f>
        <v>-1.4690667908369488</v>
      </c>
      <c r="J253" s="37">
        <f t="shared" si="19"/>
        <v>-1.7915448668743277E-2</v>
      </c>
      <c r="K253" s="183">
        <f>VLOOKUP(B253,D!A1:F229,6,FALSE)</f>
        <v>-3.4108073344712597</v>
      </c>
      <c r="L253" s="36">
        <f t="shared" si="20"/>
        <v>-3.8467737430977582</v>
      </c>
      <c r="M253" s="38">
        <f>IF(Settings!$E$9="YAHOO",VLOOKUP(B253,ADP!A1:E731,2,FALSE),IF(Settings!$E$9="ESPN",VLOOKUP(B253,ADP!A1:E731,3,FALSE),IF(Settings!$E$9="FANTRAX",VLOOKUP(B253,ADP!A1:E731,4,FALSE),VLOOKUP(B253,ADP!A1:E731,5,FALSE))))</f>
        <v>400.07</v>
      </c>
      <c r="N253" s="38">
        <f t="shared" si="21"/>
        <v>148.07</v>
      </c>
      <c r="O253" s="38"/>
      <c r="P253" s="39" t="str">
        <f>IF(Settings!$E$27="ON",_xlfn.XLOOKUP(B253,ADP!A2:A731,ADP!H2:H731)," ")</f>
        <v xml:space="preserve"> </v>
      </c>
      <c r="Q253" s="40">
        <f>IF(Settings!$E$12="YES",VLOOKUP(B253,'Player Data'!A1:E734,5,FALSE),82)</f>
        <v>82</v>
      </c>
      <c r="R253" s="38">
        <f>VLOOKUP(B253,'Player Data'!$A1:$AE734,6,FALSE)</f>
        <v>22.409793154380399</v>
      </c>
      <c r="S253" s="40">
        <f>VLOOKUP(B253,'Player Data'!$A1:$AE734,7,FALSE)*$Q253*IFERROR((VLOOKUP(P253,Settings!$E$28:$F$33,2,FALSE)+1),1)</f>
        <v>8.1928142142551241</v>
      </c>
      <c r="T253" s="40">
        <f>VLOOKUP(B253,'Player Data'!$A1:$AE734,8,FALSE)*$Q253*IFERROR((VLOOKUP(P253,Settings!$E$28:$F$33,2,FALSE)+1),1)</f>
        <v>27.255212556821782</v>
      </c>
      <c r="U253" s="40">
        <f t="shared" si="24"/>
        <v>35.448026771076904</v>
      </c>
      <c r="V253" s="40">
        <f>VLOOKUP(B253,'Player Data'!$A1:$AE734,10,FALSE)*$Q253*IFERROR(((VLOOKUP(P253,Settings!$E$28:$F$33,2,FALSE)/2)+1),1)</f>
        <v>92.329265377074265</v>
      </c>
      <c r="W253" s="40">
        <f>VLOOKUP(B253,'Player Data'!$A1:$AE734,11,FALSE)*$Q253*IFERROR((VLOOKUP(P253,Settings!$E$28:$F$33,2,FALSE)+1),1)</f>
        <v>2.2119801522528739</v>
      </c>
      <c r="X253" s="40">
        <f>VLOOKUP(B253,'Player Data'!$A1:$AE734,12,FALSE)*$Q253*IFERROR((VLOOKUP(P253,Settings!$E$28:$F$33,2,FALSE)+1),1)</f>
        <v>7.6878536636972017</v>
      </c>
      <c r="Y253" s="40">
        <f>VLOOKUP(B253,'Player Data'!$A1:$AE734,13,FALSE)*$Q253</f>
        <v>7.7889816100346121E-2</v>
      </c>
      <c r="Z253" s="40">
        <f>VLOOKUP(B253,'Player Data'!$A1:$AE734,14,FALSE)*$Q253</f>
        <v>0.52862696731612868</v>
      </c>
      <c r="AA253" s="40">
        <f>VLOOKUP(B253,'Player Data'!$A1:$AE734,15,FALSE)*$Q253</f>
        <v>132.74117544490161</v>
      </c>
      <c r="AB253" s="40">
        <f>VLOOKUP(B253,'Player Data'!$A1:$AE734,16,FALSE)*$Q253</f>
        <v>91.302653988624954</v>
      </c>
      <c r="AC253" s="40">
        <f>VLOOKUP(B253,'Player Data'!$A1:$AE734,17,FALSE)*$Q253*IFERROR((VLOOKUP(P253,Settings!$E$28:$F$33,2,FALSE)+1),1)</f>
        <v>-5.2618480700035324</v>
      </c>
      <c r="AD253" s="40">
        <f>VLOOKUP(B253,'Player Data'!$A1:$AE734,18,FALSE)*$Q253</f>
        <v>38.89764531753336</v>
      </c>
      <c r="AE253" s="40">
        <f>VLOOKUP(B253,'Player Data'!$A1:$AE734,19,FALSE)*$Q253*IFERROR((VLOOKUP(P253,Settings!$E$28:$F$33,2,FALSE)+1),1)</f>
        <v>1.0339052810231175</v>
      </c>
      <c r="AF253" s="40">
        <f>VLOOKUP(B253,'Player Data'!$A1:$AE734,20,FALSE)*$Q253</f>
        <v>0</v>
      </c>
      <c r="AG253" s="40">
        <f>VLOOKUP(B253,'Player Data'!$A1:$AE734,21,FALSE)*$Q253</f>
        <v>0</v>
      </c>
      <c r="AH253" s="41">
        <f>VLOOKUP(B253,'Player Data'!$A1:$AE734,22,FALSE)</f>
        <v>0</v>
      </c>
      <c r="AI253" s="38"/>
      <c r="AJ253" s="40"/>
      <c r="AK253" s="40"/>
      <c r="AL253" s="40"/>
      <c r="AM253" s="40"/>
      <c r="AN253" s="40"/>
      <c r="AO253" s="40"/>
      <c r="AP253" s="40"/>
      <c r="AQ253" s="43"/>
      <c r="AR253" s="44"/>
      <c r="AS253" s="38"/>
    </row>
    <row r="254" spans="1:45" ht="21.2" customHeight="1">
      <c r="A254" s="181">
        <f t="shared" si="18"/>
        <v>253</v>
      </c>
      <c r="B254" s="8" t="s">
        <v>315</v>
      </c>
      <c r="C254" s="31" t="s">
        <v>104</v>
      </c>
      <c r="D254" s="32" t="str">
        <f>VLOOKUP(B254,'Player Data'!A1:D734,4,FALSE)</f>
        <v>D</v>
      </c>
      <c r="E254" s="47">
        <f>VLOOKUP(B254,D!A1:C229,3,FALSE)</f>
        <v>71</v>
      </c>
      <c r="F254" s="34" t="str">
        <f>VLOOKUP(B254,'Player Data'!A1:B734,2,FALSE)</f>
        <v>COL</v>
      </c>
      <c r="G254" s="9">
        <f>VLOOKUP(B254,'Player Data'!A1:D734,3,FALSE)</f>
        <v>25</v>
      </c>
      <c r="H254" s="35">
        <f>IFERROR(VLOOKUP(B254,ADP!A1:G731,7,FALSE)/1000000,VLOOKUP(B254,ADP!A1:G731,7,FALSE))</f>
        <v>5</v>
      </c>
      <c r="I254" s="36">
        <f>IF(Settings!$E$15="POINTS",((R254*Q254)*Settings!$B$12)+(S254*Settings!$B$2)+(T254*Settings!$B$3)+(U254*Settings!$B$4)+(V254*Settings!$B$5)+(X254*Settings!$B$9)+(AA254*Settings!$B$6)+(W254*Settings!$B$8)+(AB254*Settings!$B$7)+(AC254*Settings!$B$14)+(AD254*Settings!$B$15)+(AE254*Settings!$B$16)+(AF254*Settings!$B$17)+(AG254*Settings!$B$18)+(U254*Settings!$B$13)+(Y254*Settings!$B$10)+(Z254*Settings!$B$11),VLOOKUP(B254,'Standard Deviations'!A1:C731,3,FALSE))</f>
        <v>-1.4734191450253451</v>
      </c>
      <c r="J254" s="37">
        <f t="shared" si="19"/>
        <v>-1.7968526158845671E-2</v>
      </c>
      <c r="K254" s="183">
        <f>VLOOKUP(B254,D!A1:F229,6,FALSE)</f>
        <v>-3.4151596886596556</v>
      </c>
      <c r="L254" s="36">
        <f t="shared" si="20"/>
        <v>-0.68303193773193116</v>
      </c>
      <c r="M254" s="38">
        <f>IF(Settings!$E$9="YAHOO",VLOOKUP(B254,ADP!A1:E731,2,FALSE),IF(Settings!$E$9="ESPN",VLOOKUP(B254,ADP!A1:E731,3,FALSE),IF(Settings!$E$9="FANTRAX",VLOOKUP(B254,ADP!A1:E731,4,FALSE),VLOOKUP(B254,ADP!A1:E731,5,FALSE))))</f>
        <v>321.64999999999998</v>
      </c>
      <c r="N254" s="38">
        <f t="shared" si="21"/>
        <v>68.649999999999977</v>
      </c>
      <c r="O254" s="38"/>
      <c r="P254" s="39" t="str">
        <f>IF(Settings!$E$27="ON",_xlfn.XLOOKUP(B254,ADP!A2:A731,ADP!H2:H731)," ")</f>
        <v xml:space="preserve"> </v>
      </c>
      <c r="Q254" s="40">
        <f>IF(Settings!$E$12="YES",VLOOKUP(B254,'Player Data'!A1:E734,5,FALSE),82)</f>
        <v>82</v>
      </c>
      <c r="R254" s="38">
        <f>VLOOKUP(B254,'Player Data'!$A1:$AE734,6,FALSE)</f>
        <v>20.311455675405298</v>
      </c>
      <c r="S254" s="40">
        <f>VLOOKUP(B254,'Player Data'!$A1:$AE734,7,FALSE)*$Q254*IFERROR((VLOOKUP(P254,Settings!$E$28:$F$33,2,FALSE)+1),1)</f>
        <v>6.3516983079598095</v>
      </c>
      <c r="T254" s="40">
        <f>VLOOKUP(B254,'Player Data'!$A1:$AE734,8,FALSE)*$Q254*IFERROR((VLOOKUP(P254,Settings!$E$28:$F$33,2,FALSE)+1),1)</f>
        <v>29.065872949061472</v>
      </c>
      <c r="U254" s="40">
        <f t="shared" si="24"/>
        <v>35.41757125702128</v>
      </c>
      <c r="V254" s="40">
        <f>VLOOKUP(B254,'Player Data'!$A1:$AE734,10,FALSE)*$Q254*IFERROR(((VLOOKUP(P254,Settings!$E$28:$F$33,2,FALSE)/2)+1),1)</f>
        <v>113.1333472518684</v>
      </c>
      <c r="W254" s="40">
        <f>VLOOKUP(B254,'Player Data'!$A1:$AE734,11,FALSE)*$Q254*IFERROR((VLOOKUP(P254,Settings!$E$28:$F$33,2,FALSE)+1),1)</f>
        <v>0.31340347497338727</v>
      </c>
      <c r="X254" s="40">
        <f>VLOOKUP(B254,'Player Data'!$A1:$AE734,12,FALSE)*$Q254*IFERROR((VLOOKUP(P254,Settings!$E$28:$F$33,2,FALSE)+1),1)</f>
        <v>4.6229023185700999</v>
      </c>
      <c r="Y254" s="40">
        <f>VLOOKUP(B254,'Player Data'!$A1:$AE734,13,FALSE)*$Q254</f>
        <v>4.4565183340473456E-2</v>
      </c>
      <c r="Z254" s="40">
        <f>VLOOKUP(B254,'Player Data'!$A1:$AE734,14,FALSE)*$Q254</f>
        <v>0.76218199039253642</v>
      </c>
      <c r="AA254" s="40">
        <f>VLOOKUP(B254,'Player Data'!$A1:$AE734,15,FALSE)*$Q254</f>
        <v>117.88042720017518</v>
      </c>
      <c r="AB254" s="40">
        <f>VLOOKUP(B254,'Player Data'!$A1:$AE734,16,FALSE)*$Q254</f>
        <v>81.888304760043269</v>
      </c>
      <c r="AC254" s="40">
        <f>VLOOKUP(B254,'Player Data'!$A1:$AE734,17,FALSE)*$Q254*IFERROR((VLOOKUP(P254,Settings!$E$28:$F$33,2,FALSE)+1),1)</f>
        <v>3.0780900315605066</v>
      </c>
      <c r="AD254" s="40">
        <f>VLOOKUP(B254,'Player Data'!$A1:$AE734,18,FALSE)*$Q254</f>
        <v>23.063329884387173</v>
      </c>
      <c r="AE254" s="40">
        <f>VLOOKUP(B254,'Player Data'!$A1:$AE734,19,FALSE)*$Q254*IFERROR((VLOOKUP(P254,Settings!$E$28:$F$33,2,FALSE)+1),1)</f>
        <v>1.0049343717054811</v>
      </c>
      <c r="AF254" s="40">
        <f>VLOOKUP(B254,'Player Data'!$A1:$AE734,20,FALSE)*$Q254</f>
        <v>0</v>
      </c>
      <c r="AG254" s="40">
        <f>VLOOKUP(B254,'Player Data'!$A1:$AE734,21,FALSE)*$Q254</f>
        <v>0</v>
      </c>
      <c r="AH254" s="41">
        <f>VLOOKUP(B254,'Player Data'!$A1:$AE734,22,FALSE)</f>
        <v>0</v>
      </c>
      <c r="AI254" s="38"/>
      <c r="AJ254" s="42"/>
      <c r="AK254" s="40"/>
      <c r="AL254" s="40"/>
      <c r="AM254" s="40"/>
      <c r="AN254" s="40"/>
      <c r="AO254" s="40"/>
      <c r="AP254" s="40"/>
      <c r="AQ254" s="43"/>
      <c r="AR254" s="44"/>
      <c r="AS254" s="38"/>
    </row>
    <row r="255" spans="1:45" ht="21.2" customHeight="1">
      <c r="A255" s="181">
        <f t="shared" si="18"/>
        <v>254</v>
      </c>
      <c r="B255" s="8" t="s">
        <v>351</v>
      </c>
      <c r="C255" s="31" t="s">
        <v>104</v>
      </c>
      <c r="D255" s="32" t="str">
        <f>VLOOKUP(B255,'Player Data'!A1:D734,4,FALSE)</f>
        <v>LW</v>
      </c>
      <c r="E255" s="48">
        <f>VLOOKUP(B255,LW!A1:C227,3,FALSE)</f>
        <v>63</v>
      </c>
      <c r="F255" s="34" t="str">
        <f>VLOOKUP(B255,'Player Data'!A1:B734,2,FALSE)</f>
        <v>ARI</v>
      </c>
      <c r="G255" s="9">
        <f>VLOOKUP(B255,'Player Data'!A1:D734,3,FALSE)</f>
        <v>22</v>
      </c>
      <c r="H255" s="35">
        <f>IFERROR(VLOOKUP(B255,ADP!A1:G731,7,FALSE)/1000000,VLOOKUP(B255,ADP!A1:G731,7,FALSE))</f>
        <v>3.4249999999999998</v>
      </c>
      <c r="I255" s="36">
        <f>IF(Settings!$E$15="POINTS",((R255*Q255)*Settings!$B$12)+(S255*Settings!$B$2)+(T255*Settings!$B$3)+(U255*Settings!$B$4)+(V255*Settings!$B$5)+(X255*Settings!$B$9)+(AA255*Settings!$B$6)+(W255*Settings!$B$8)+(AB255*Settings!$B$7)+(AC255*Settings!$B$14)+(AD255*Settings!$B$15)+(AE255*Settings!$B$16)+(AF255*Settings!$B$17)+(AG255*Settings!$B$18)+(Y255*Settings!$B$10)+(Z255*Settings!$B$11),VLOOKUP(B255,'Standard Deviations'!A1:C731,3,FALSE))</f>
        <v>3.2061589803211241</v>
      </c>
      <c r="J255" s="37">
        <f t="shared" si="19"/>
        <v>3.9099499760013708E-2</v>
      </c>
      <c r="K255" s="183">
        <f>IF(Settings!$E$18="C/LW/RW",VLOOKUP(B255,LW!A1:F227,6,FALSE),VLOOKUP(B255,F!A1:F431,6,FALSE))</f>
        <v>-3.4485100638032771</v>
      </c>
      <c r="L255" s="36">
        <f t="shared" si="20"/>
        <v>-1.0068642522053364</v>
      </c>
      <c r="M255" s="38">
        <f>IF(Settings!$E$9="YAHOO",VLOOKUP(B255,ADP!A1:E731,2,FALSE),IF(Settings!$E$9="ESPN",VLOOKUP(B255,ADP!A1:E731,3,FALSE),IF(Settings!$E$9="FANTRAX",VLOOKUP(B255,ADP!A1:E731,4,FALSE),VLOOKUP(B255,ADP!A1:E731,5,FALSE))))</f>
        <v>294.7</v>
      </c>
      <c r="N255" s="38">
        <f t="shared" si="21"/>
        <v>40.699999999999989</v>
      </c>
      <c r="O255" s="38"/>
      <c r="P255" s="39" t="str">
        <f>IF(Settings!$E$27="ON",_xlfn.XLOOKUP(B255,ADP!A2:A731,ADP!H2:H731)," ")</f>
        <v xml:space="preserve"> </v>
      </c>
      <c r="Q255" s="40">
        <f>IF(Settings!$E$12="YES",VLOOKUP(B255,'Player Data'!A1:E734,5,FALSE),82)</f>
        <v>82</v>
      </c>
      <c r="R255" s="38">
        <f>VLOOKUP(B255,'Player Data'!$A1:$AE734,6,FALSE)</f>
        <v>16.532772008532</v>
      </c>
      <c r="S255" s="40">
        <f>VLOOKUP(B255,'Player Data'!$A1:$AE734,7,FALSE)*$Q255*IFERROR((VLOOKUP(P255,Settings!$E$28:$F$33,2,FALSE)+1),1)</f>
        <v>16.357982698496691</v>
      </c>
      <c r="T255" s="40">
        <f>VLOOKUP(B255,'Player Data'!$A1:$AE734,8,FALSE)*$Q255*IFERROR((VLOOKUP(P255,Settings!$E$28:$F$33,2,FALSE)+1),1)</f>
        <v>45.41699907177356</v>
      </c>
      <c r="U255" s="40">
        <f t="shared" si="24"/>
        <v>61.774981770270252</v>
      </c>
      <c r="V255" s="40">
        <f>VLOOKUP(B255,'Player Data'!$A1:$AE734,10,FALSE)*$Q255*IFERROR(((VLOOKUP(P255,Settings!$E$28:$F$33,2,FALSE)/2)+1),1)</f>
        <v>102.50387525455169</v>
      </c>
      <c r="W255" s="40">
        <f>VLOOKUP(B255,'Player Data'!$A1:$AE734,11,FALSE)*$Q255*IFERROR((VLOOKUP(P255,Settings!$E$28:$F$33,2,FALSE)+1),1)</f>
        <v>3.3970708233585096</v>
      </c>
      <c r="X255" s="40">
        <f>VLOOKUP(B255,'Player Data'!$A1:$AE734,12,FALSE)*$Q255*IFERROR((VLOOKUP(P255,Settings!$E$28:$F$33,2,FALSE)+1),1)</f>
        <v>20.094915794806138</v>
      </c>
      <c r="Y255" s="40">
        <f>VLOOKUP(B255,'Player Data'!$A1:$AE734,13,FALSE)*$Q255</f>
        <v>0.100903310617976</v>
      </c>
      <c r="Z255" s="40">
        <f>VLOOKUP(B255,'Player Data'!$A1:$AE734,14,FALSE)*$Q255</f>
        <v>0.21406852067979612</v>
      </c>
      <c r="AA255" s="40">
        <f>VLOOKUP(B255,'Player Data'!$A1:$AE734,15,FALSE)*$Q255</f>
        <v>29.200602577750811</v>
      </c>
      <c r="AB255" s="40">
        <f>VLOOKUP(B255,'Player Data'!$A1:$AE734,16,FALSE)*$Q255</f>
        <v>41.788914645551195</v>
      </c>
      <c r="AC255" s="40">
        <f>VLOOKUP(B255,'Player Data'!$A1:$AE734,17,FALSE)*$Q255*IFERROR((VLOOKUP(P255,Settings!$E$28:$F$33,2,FALSE)+1),1)</f>
        <v>-2.4552293894988741</v>
      </c>
      <c r="AD255" s="40">
        <f>VLOOKUP(B255,'Player Data'!$A1:$AE734,18,FALSE)*$Q255</f>
        <v>26.375187167090374</v>
      </c>
      <c r="AE255" s="40">
        <f>VLOOKUP(B255,'Player Data'!$A1:$AE734,19,FALSE)*$Q255*IFERROR((VLOOKUP(P255,Settings!$E$28:$F$33,2,FALSE)+1),1)</f>
        <v>2.0643217649722096</v>
      </c>
      <c r="AF255" s="40">
        <f>VLOOKUP(B255,'Player Data'!$A1:$AE734,20,FALSE)*$Q255</f>
        <v>1.994049862086392</v>
      </c>
      <c r="AG255" s="40">
        <f>VLOOKUP(B255,'Player Data'!$A1:$AE734,21,FALSE)*$Q255</f>
        <v>7.38919720486426</v>
      </c>
      <c r="AH255" s="41">
        <f>VLOOKUP(B255,'Player Data'!$A1:$AE734,22,FALSE)</f>
        <v>0.21251170813883399</v>
      </c>
      <c r="AI255" s="38"/>
      <c r="AJ255" s="42"/>
      <c r="AK255" s="40"/>
      <c r="AL255" s="40"/>
      <c r="AM255" s="40"/>
      <c r="AN255" s="40"/>
      <c r="AO255" s="40"/>
      <c r="AP255" s="40"/>
      <c r="AQ255" s="43"/>
      <c r="AR255" s="44"/>
      <c r="AS255" s="38"/>
    </row>
    <row r="256" spans="1:45" ht="21.2" customHeight="1">
      <c r="A256" s="181">
        <f t="shared" si="18"/>
        <v>255</v>
      </c>
      <c r="B256" s="8" t="s">
        <v>364</v>
      </c>
      <c r="C256" s="31" t="s">
        <v>104</v>
      </c>
      <c r="D256" s="32" t="str">
        <f>VLOOKUP(B256,'Player Data'!A1:D734,4,FALSE)</f>
        <v>D</v>
      </c>
      <c r="E256" s="47">
        <f>VLOOKUP(B256,D!A1:C229,3,FALSE)</f>
        <v>72</v>
      </c>
      <c r="F256" s="34" t="str">
        <f>VLOOKUP(B256,'Player Data'!A1:B734,2,FALSE)</f>
        <v>WSH</v>
      </c>
      <c r="G256" s="9">
        <f>VLOOKUP(B256,'Player Data'!A1:D734,3,FALSE)</f>
        <v>23</v>
      </c>
      <c r="H256" s="35">
        <f>IFERROR(VLOOKUP(B256,ADP!A1:G731,7,FALSE)/1000000,VLOOKUP(B256,ADP!A1:G731,7,FALSE))</f>
        <v>1.4</v>
      </c>
      <c r="I256" s="36">
        <f>IF(Settings!$E$15="POINTS",((R256*Q256)*Settings!$B$12)+(S256*Settings!$B$2)+(T256*Settings!$B$3)+(U256*Settings!$B$4)+(V256*Settings!$B$5)+(X256*Settings!$B$9)+(AA256*Settings!$B$6)+(W256*Settings!$B$8)+(AB256*Settings!$B$7)+(AC256*Settings!$B$14)+(AD256*Settings!$B$15)+(AE256*Settings!$B$16)+(AF256*Settings!$B$17)+(AG256*Settings!$B$18)+(U256*Settings!$B$13)+(Y256*Settings!$B$10)+(Z256*Settings!$B$11),VLOOKUP(B256,'Standard Deviations'!A1:C731,3,FALSE))</f>
        <v>-1.5256708090529725</v>
      </c>
      <c r="J256" s="37">
        <f t="shared" si="19"/>
        <v>-1.8605741573816739E-2</v>
      </c>
      <c r="K256" s="183">
        <f>VLOOKUP(B256,D!A1:F229,6,FALSE)</f>
        <v>-3.4674113526872832</v>
      </c>
      <c r="L256" s="36">
        <f t="shared" si="20"/>
        <v>-2.476722394776631</v>
      </c>
      <c r="M256" s="38">
        <f>IF(Settings!$E$9="YAHOO",VLOOKUP(B256,ADP!A1:E731,2,FALSE),IF(Settings!$E$9="ESPN",VLOOKUP(B256,ADP!A1:E731,3,FALSE),IF(Settings!$E$9="FANTRAX",VLOOKUP(B256,ADP!A1:E731,4,FALSE),VLOOKUP(B256,ADP!A1:E731,5,FALSE))))</f>
        <v>211.84</v>
      </c>
      <c r="N256" s="38">
        <f t="shared" si="21"/>
        <v>-43.16</v>
      </c>
      <c r="O256" s="38"/>
      <c r="P256" s="39" t="str">
        <f>IF(Settings!$E$27="ON",_xlfn.XLOOKUP(B256,ADP!A2:A731,ADP!H2:H731)," ")</f>
        <v xml:space="preserve"> </v>
      </c>
      <c r="Q256" s="40">
        <f>IF(Settings!$E$12="YES",VLOOKUP(B256,'Player Data'!A1:E734,5,FALSE),82)</f>
        <v>82</v>
      </c>
      <c r="R256" s="38">
        <f>VLOOKUP(B256,'Player Data'!$A1:$AE734,6,FALSE)</f>
        <v>18.639695703996701</v>
      </c>
      <c r="S256" s="40">
        <f>VLOOKUP(B256,'Player Data'!$A1:$AE734,7,FALSE)*$Q256*IFERROR((VLOOKUP(P256,Settings!$E$28:$F$33,2,FALSE)+1),1)</f>
        <v>7.9592988846245314</v>
      </c>
      <c r="T256" s="40">
        <f>VLOOKUP(B256,'Player Data'!$A1:$AE734,8,FALSE)*$Q256*IFERROR((VLOOKUP(P256,Settings!$E$28:$F$33,2,FALSE)+1),1)</f>
        <v>26.460145766238405</v>
      </c>
      <c r="U256" s="40">
        <f t="shared" si="24"/>
        <v>34.419444650862935</v>
      </c>
      <c r="V256" s="40">
        <f>VLOOKUP(B256,'Player Data'!$A1:$AE734,10,FALSE)*$Q256*IFERROR(((VLOOKUP(P256,Settings!$E$28:$F$33,2,FALSE)/2)+1),1)</f>
        <v>99.760638178229996</v>
      </c>
      <c r="W256" s="40">
        <f>VLOOKUP(B256,'Player Data'!$A1:$AE734,11,FALSE)*$Q256*IFERROR((VLOOKUP(P256,Settings!$E$28:$F$33,2,FALSE)+1),1)</f>
        <v>0.26798403709975205</v>
      </c>
      <c r="X256" s="40">
        <f>VLOOKUP(B256,'Player Data'!$A1:$AE734,12,FALSE)*$Q256*IFERROR((VLOOKUP(P256,Settings!$E$28:$F$33,2,FALSE)+1),1)</f>
        <v>7.1301449021630159</v>
      </c>
      <c r="Y256" s="40">
        <f>VLOOKUP(B256,'Player Data'!$A1:$AE734,13,FALSE)*$Q256</f>
        <v>1.0764994299928584E-2</v>
      </c>
      <c r="Z256" s="40">
        <f>VLOOKUP(B256,'Player Data'!$A1:$AE734,14,FALSE)*$Q256</f>
        <v>4.5877938935800909E-2</v>
      </c>
      <c r="AA256" s="40">
        <f>VLOOKUP(B256,'Player Data'!$A1:$AE734,15,FALSE)*$Q256</f>
        <v>102.68314995095533</v>
      </c>
      <c r="AB256" s="40">
        <f>VLOOKUP(B256,'Player Data'!$A1:$AE734,16,FALSE)*$Q256</f>
        <v>154.36298854948905</v>
      </c>
      <c r="AC256" s="40">
        <f>VLOOKUP(B256,'Player Data'!$A1:$AE734,17,FALSE)*$Q256*IFERROR((VLOOKUP(P256,Settings!$E$28:$F$33,2,FALSE)+1),1)</f>
        <v>-1.4069249606053376</v>
      </c>
      <c r="AD256" s="40">
        <f>VLOOKUP(B256,'Player Data'!$A1:$AE734,18,FALSE)*$Q256</f>
        <v>32.506076825734361</v>
      </c>
      <c r="AE256" s="40">
        <f>VLOOKUP(B256,'Player Data'!$A1:$AE734,19,FALSE)*$Q256*IFERROR((VLOOKUP(P256,Settings!$E$28:$F$33,2,FALSE)+1),1)</f>
        <v>0.97904061675316389</v>
      </c>
      <c r="AF256" s="40">
        <f>VLOOKUP(B256,'Player Data'!$A1:$AE734,20,FALSE)*$Q256</f>
        <v>0</v>
      </c>
      <c r="AG256" s="40">
        <f>VLOOKUP(B256,'Player Data'!$A1:$AE734,21,FALSE)*$Q256</f>
        <v>0</v>
      </c>
      <c r="AH256" s="41">
        <f>VLOOKUP(B256,'Player Data'!$A1:$AE734,22,FALSE)</f>
        <v>0</v>
      </c>
      <c r="AI256" s="38"/>
      <c r="AJ256" s="42"/>
      <c r="AK256" s="40"/>
      <c r="AL256" s="40"/>
      <c r="AM256" s="40"/>
      <c r="AN256" s="40"/>
      <c r="AO256" s="40"/>
      <c r="AP256" s="40"/>
      <c r="AQ256" s="43"/>
      <c r="AR256" s="44"/>
      <c r="AS256" s="38"/>
    </row>
    <row r="257" spans="1:45" ht="21.2" customHeight="1">
      <c r="A257" s="181">
        <f t="shared" si="18"/>
        <v>256</v>
      </c>
      <c r="B257" s="8" t="s">
        <v>359</v>
      </c>
      <c r="C257" s="31" t="s">
        <v>104</v>
      </c>
      <c r="D257" s="32" t="str">
        <f>VLOOKUP(B257,'Player Data'!A1:D734,4,FALSE)</f>
        <v>C</v>
      </c>
      <c r="E257" s="33">
        <f>VLOOKUP(B257,'C'!A1:C208,3,FALSE)</f>
        <v>63</v>
      </c>
      <c r="F257" s="34" t="str">
        <f>VLOOKUP(B257,'Player Data'!A1:B734,2,FALSE)</f>
        <v>CBJ</v>
      </c>
      <c r="G257" s="9">
        <f>VLOOKUP(B257,'Player Data'!A1:D734,3,FALSE)</f>
        <v>18</v>
      </c>
      <c r="H257" s="35">
        <f>IFERROR(VLOOKUP(B257,ADP!A1:G731,7,FALSE)/1000000,VLOOKUP(B257,ADP!A1:G731,7,FALSE))</f>
        <v>0</v>
      </c>
      <c r="I257" s="36">
        <f>IF(Settings!$E$15="POINTS",((R257*Q257)*Settings!$B$12)+(S257*Settings!$B$2)+(T257*Settings!$B$3)+(U257*Settings!$B$4)+(V257*Settings!$B$5)+(X257*Settings!$B$9)+(AA257*Settings!$B$6)+(W257*Settings!$B$8)+(AB257*Settings!$B$7)+(AC257*Settings!$B$14)+(AD257*Settings!$B$15)+(AE257*Settings!$B$16)+(AF257*Settings!$B$17)+(AG257*Settings!$B$18)+(Y257*Settings!$B$10)+(Z257*Settings!$B$11),VLOOKUP(B257,'Standard Deviations'!A1:C731,3,FALSE))</f>
        <v>2.8546313639836831</v>
      </c>
      <c r="J257" s="37">
        <f t="shared" si="19"/>
        <v>3.481257760955711E-2</v>
      </c>
      <c r="K257" s="183">
        <f>IF(Settings!$E$18="C/LW/RW",VLOOKUP(B257,'C'!A1:F208,6,FALSE),VLOOKUP(B257,F!A1:F431,6,FALSE))</f>
        <v>-3.4824193602229196</v>
      </c>
      <c r="L257" s="49" t="str">
        <f t="shared" si="20"/>
        <v>N/A</v>
      </c>
      <c r="M257" s="38">
        <f>IF(Settings!$E$9="YAHOO",VLOOKUP(B257,ADP!A1:E731,2,FALSE),IF(Settings!$E$9="ESPN",VLOOKUP(B257,ADP!A1:E731,3,FALSE),IF(Settings!$E$9="FANTRAX",VLOOKUP(B257,ADP!A1:E731,4,FALSE),VLOOKUP(B257,ADP!A1:E731,5,FALSE))))</f>
        <v>222.26</v>
      </c>
      <c r="N257" s="38">
        <f t="shared" si="21"/>
        <v>-33.740000000000009</v>
      </c>
      <c r="O257" s="38"/>
      <c r="P257" s="39" t="str">
        <f>IF(Settings!$E$27="ON",_xlfn.XLOOKUP(B257,ADP!A2:A731,ADP!H2:H731)," ")</f>
        <v xml:space="preserve"> </v>
      </c>
      <c r="Q257" s="40">
        <f>IF(Settings!$E$12="YES",VLOOKUP(B257,'Player Data'!A1:E734,5,FALSE),82)</f>
        <v>82</v>
      </c>
      <c r="R257" s="38">
        <f>VLOOKUP(B257,'Player Data'!$A1:$AE734,6,FALSE)</f>
        <v>16</v>
      </c>
      <c r="S257" s="40">
        <f>VLOOKUP(B257,'Player Data'!$A1:$AE734,7,FALSE)*$Q257*IFERROR((VLOOKUP(P257,Settings!$E$28:$F$33,2,FALSE)+1),1)</f>
        <v>22.014908001994485</v>
      </c>
      <c r="T257" s="40">
        <f>VLOOKUP(B257,'Player Data'!$A1:$AE734,8,FALSE)*$Q257*IFERROR((VLOOKUP(P257,Settings!$E$28:$F$33,2,FALSE)+1),1)</f>
        <v>31.35390495611481</v>
      </c>
      <c r="U257" s="40">
        <f t="shared" si="24"/>
        <v>53.368812958109295</v>
      </c>
      <c r="V257" s="40">
        <f>VLOOKUP(B257,'Player Data'!$A1:$AE734,10,FALSE)*$Q257*IFERROR(((VLOOKUP(P257,Settings!$E$28:$F$33,2,FALSE)/2)+1),1)</f>
        <v>166.47006760937373</v>
      </c>
      <c r="W257" s="40">
        <f>VLOOKUP(B257,'Player Data'!$A1:$AE734,11,FALSE)*$Q257*IFERROR((VLOOKUP(P257,Settings!$E$28:$F$33,2,FALSE)+1),1)</f>
        <v>5.9184274383868392</v>
      </c>
      <c r="X257" s="40">
        <f>VLOOKUP(B257,'Player Data'!$A1:$AE734,12,FALSE)*$Q257*IFERROR((VLOOKUP(P257,Settings!$E$28:$F$33,2,FALSE)+1),1)</f>
        <v>14.3475251832437</v>
      </c>
      <c r="Y257" s="40">
        <f>VLOOKUP(B257,'Player Data'!$A1:$AE734,13,FALSE)*$Q257</f>
        <v>0</v>
      </c>
      <c r="Z257" s="40">
        <f>VLOOKUP(B257,'Player Data'!$A1:$AE734,14,FALSE)*$Q257</f>
        <v>0</v>
      </c>
      <c r="AA257" s="40">
        <f>VLOOKUP(B257,'Player Data'!$A1:$AE734,15,FALSE)*$Q257</f>
        <v>35.60000000000003</v>
      </c>
      <c r="AB257" s="40">
        <f>VLOOKUP(B257,'Player Data'!$A1:$AE734,16,FALSE)*$Q257</f>
        <v>64.999999999999972</v>
      </c>
      <c r="AC257" s="40">
        <f>VLOOKUP(B257,'Player Data'!$A1:$AE734,17,FALSE)*$Q257*IFERROR((VLOOKUP(P257,Settings!$E$28:$F$33,2,FALSE)+1),1)</f>
        <v>0.17000000000000026</v>
      </c>
      <c r="AD257" s="40">
        <f>VLOOKUP(B257,'Player Data'!$A1:$AE734,18,FALSE)*$Q257</f>
        <v>37.999999999999957</v>
      </c>
      <c r="AE257" s="40">
        <f>VLOOKUP(B257,'Player Data'!$A1:$AE734,19,FALSE)*$Q257*IFERROR((VLOOKUP(P257,Settings!$E$28:$F$33,2,FALSE)+1),1)</f>
        <v>2.3590489691779601</v>
      </c>
      <c r="AF257" s="40">
        <f>VLOOKUP(B257,'Player Data'!$A1:$AE734,20,FALSE)*$Q257</f>
        <v>388.24128424927108</v>
      </c>
      <c r="AG257" s="40">
        <f>VLOOKUP(B257,'Player Data'!$A1:$AE734,21,FALSE)*$Q257</f>
        <v>536.14272586804088</v>
      </c>
      <c r="AH257" s="41">
        <f>VLOOKUP(B257,'Player Data'!$A1:$AE734,22,FALSE)</f>
        <v>0.42</v>
      </c>
      <c r="AI257" s="38"/>
      <c r="AJ257" s="42"/>
      <c r="AK257" s="40"/>
      <c r="AL257" s="40"/>
      <c r="AM257" s="40"/>
      <c r="AN257" s="40"/>
      <c r="AO257" s="40"/>
      <c r="AP257" s="40"/>
      <c r="AQ257" s="43"/>
      <c r="AR257" s="44"/>
      <c r="AS257" s="38"/>
    </row>
    <row r="258" spans="1:45" ht="21.2" customHeight="1">
      <c r="A258" s="181">
        <f t="shared" ref="A258:A321" si="25">RANK(K258,K$2:K$730)</f>
        <v>257</v>
      </c>
      <c r="B258" s="8" t="s">
        <v>387</v>
      </c>
      <c r="C258" s="31" t="s">
        <v>104</v>
      </c>
      <c r="D258" s="32" t="str">
        <f>VLOOKUP(B258,'Player Data'!A1:D734,4,FALSE)</f>
        <v>RW</v>
      </c>
      <c r="E258" s="46">
        <f>VLOOKUP(B258,RW!A1:F189,3,FALSE)</f>
        <v>58</v>
      </c>
      <c r="F258" s="34" t="str">
        <f>VLOOKUP(B258,'Player Data'!A1:B734,2,FALSE)</f>
        <v>SJS</v>
      </c>
      <c r="G258" s="9">
        <f>VLOOKUP(B258,'Player Data'!A1:D734,3,FALSE)</f>
        <v>27</v>
      </c>
      <c r="H258" s="35">
        <f>IFERROR(VLOOKUP(B258,ADP!A1:G731,7,FALSE)/1000000,VLOOKUP(B258,ADP!A1:G731,7,FALSE))</f>
        <v>3</v>
      </c>
      <c r="I258" s="36">
        <f>IF(Settings!$E$15="POINTS",((R258*Q258)*Settings!$B$12)+(S258*Settings!$B$2)+(T258*Settings!$B$3)+(U258*Settings!$B$4)+(V258*Settings!$B$5)+(X258*Settings!$B$9)+(AA258*Settings!$B$6)+(W258*Settings!$B$8)+(AB258*Settings!$B$7)+(AC258*Settings!$B$14)+(AD258*Settings!$B$15)+(AE258*Settings!$B$16)+(AF258*Settings!$B$17)+(AG258*Settings!$B$18)+(Y258*Settings!$B$10)+(Z258*Settings!$B$11),VLOOKUP(B258,'Standard Deviations'!A1:C731,3,FALSE))</f>
        <v>2.7884992695077098</v>
      </c>
      <c r="J258" s="37">
        <f t="shared" ref="J258:J321" si="26">IF(D258="G",I258/AJ258,I258/Q258)</f>
        <v>3.4006088652533045E-2</v>
      </c>
      <c r="K258" s="183">
        <f>IF(Settings!$E$18="C/LW/RW",VLOOKUP(B258,RW!A1:F189,6,FALSE),VLOOKUP(B258,F!A1:F431,6,FALSE))</f>
        <v>-3.491759449503371</v>
      </c>
      <c r="L258" s="36">
        <f t="shared" ref="L258:L321" si="27">IFERROR(K258/H258,"N/A")</f>
        <v>-1.1639198165011237</v>
      </c>
      <c r="M258" s="38">
        <f>IF(Settings!$E$9="YAHOO",VLOOKUP(B258,ADP!A1:E731,2,FALSE),IF(Settings!$E$9="ESPN",VLOOKUP(B258,ADP!A1:E731,3,FALSE),IF(Settings!$E$9="FANTRAX",VLOOKUP(B258,ADP!A1:E731,4,FALSE),VLOOKUP(B258,ADP!A1:E731,5,FALSE))))</f>
        <v>220.75</v>
      </c>
      <c r="N258" s="38">
        <f t="shared" ref="N258:N321" si="28">IFERROR(M258-A258,"N/A")</f>
        <v>-36.25</v>
      </c>
      <c r="O258" s="38"/>
      <c r="P258" s="39" t="str">
        <f>IF(Settings!$E$27="ON",_xlfn.XLOOKUP(B258,ADP!A2:A731,ADP!H2:H731)," ")</f>
        <v xml:space="preserve"> </v>
      </c>
      <c r="Q258" s="40">
        <f>IF(Settings!$E$12="YES",VLOOKUP(B258,'Player Data'!A1:E734,5,FALSE),82)</f>
        <v>82</v>
      </c>
      <c r="R258" s="38">
        <f>VLOOKUP(B258,'Player Data'!$A1:$AE734,6,FALSE)</f>
        <v>15.500003491192</v>
      </c>
      <c r="S258" s="40">
        <f>VLOOKUP(B258,'Player Data'!$A1:$AE734,7,FALSE)*$Q258*IFERROR((VLOOKUP(P258,Settings!$E$28:$F$33,2,FALSE)+1),1)</f>
        <v>23.669855728597312</v>
      </c>
      <c r="T258" s="40">
        <f>VLOOKUP(B258,'Player Data'!$A1:$AE734,8,FALSE)*$Q258*IFERROR((VLOOKUP(P258,Settings!$E$28:$F$33,2,FALSE)+1),1)</f>
        <v>30.774748719407665</v>
      </c>
      <c r="U258" s="40">
        <f t="shared" si="24"/>
        <v>54.444604448004981</v>
      </c>
      <c r="V258" s="40">
        <f>VLOOKUP(B258,'Player Data'!$A1:$AE734,10,FALSE)*$Q258*IFERROR(((VLOOKUP(P258,Settings!$E$28:$F$33,2,FALSE)/2)+1),1)</f>
        <v>180.1094309888139</v>
      </c>
      <c r="W258" s="40">
        <f>VLOOKUP(B258,'Player Data'!$A1:$AE734,11,FALSE)*$Q258*IFERROR((VLOOKUP(P258,Settings!$E$28:$F$33,2,FALSE)+1),1)</f>
        <v>4.1851759350319595</v>
      </c>
      <c r="X258" s="40">
        <f>VLOOKUP(B258,'Player Data'!$A1:$AE734,12,FALSE)*$Q258*IFERROR((VLOOKUP(P258,Settings!$E$28:$F$33,2,FALSE)+1),1)</f>
        <v>9.7660635764138597</v>
      </c>
      <c r="Y258" s="40">
        <f>VLOOKUP(B258,'Player Data'!$A1:$AE734,13,FALSE)*$Q258</f>
        <v>1.1455342518805322E-2</v>
      </c>
      <c r="Z258" s="40">
        <f>VLOOKUP(B258,'Player Data'!$A1:$AE734,14,FALSE)*$Q258</f>
        <v>4.2256212544032418E-2</v>
      </c>
      <c r="AA258" s="40">
        <f>VLOOKUP(B258,'Player Data'!$A1:$AE734,15,FALSE)*$Q258</f>
        <v>27.877098547223429</v>
      </c>
      <c r="AB258" s="40">
        <f>VLOOKUP(B258,'Player Data'!$A1:$AE734,16,FALSE)*$Q258</f>
        <v>64.305201075790876</v>
      </c>
      <c r="AC258" s="40">
        <f>VLOOKUP(B258,'Player Data'!$A1:$AE734,17,FALSE)*$Q258*IFERROR((VLOOKUP(P258,Settings!$E$28:$F$33,2,FALSE)+1),1)</f>
        <v>1.3485274996918875</v>
      </c>
      <c r="AD258" s="40">
        <f>VLOOKUP(B258,'Player Data'!$A1:$AE734,18,FALSE)*$Q258</f>
        <v>25.436959761412826</v>
      </c>
      <c r="AE258" s="40">
        <f>VLOOKUP(B258,'Player Data'!$A1:$AE734,19,FALSE)*$Q258*IFERROR((VLOOKUP(P258,Settings!$E$28:$F$33,2,FALSE)+1),1)</f>
        <v>2.9387487950761706</v>
      </c>
      <c r="AF258" s="40">
        <f>VLOOKUP(B258,'Player Data'!$A1:$AE734,20,FALSE)*$Q258</f>
        <v>0.44921186210906733</v>
      </c>
      <c r="AG258" s="40">
        <f>VLOOKUP(B258,'Player Data'!$A1:$AE734,21,FALSE)*$Q258</f>
        <v>1.1263484859781336</v>
      </c>
      <c r="AH258" s="41">
        <f>VLOOKUP(B258,'Player Data'!$A1:$AE734,22,FALSE)</f>
        <v>0.28511244437855399</v>
      </c>
      <c r="AI258" s="38"/>
      <c r="AJ258" s="42"/>
      <c r="AK258" s="40"/>
      <c r="AL258" s="40"/>
      <c r="AM258" s="40"/>
      <c r="AN258" s="40"/>
      <c r="AO258" s="40"/>
      <c r="AP258" s="40"/>
      <c r="AQ258" s="43"/>
      <c r="AR258" s="44"/>
      <c r="AS258" s="38"/>
    </row>
    <row r="259" spans="1:45" ht="21.2" customHeight="1">
      <c r="A259" s="181">
        <f t="shared" si="25"/>
        <v>258</v>
      </c>
      <c r="B259" s="8" t="s">
        <v>362</v>
      </c>
      <c r="C259" s="31" t="s">
        <v>104</v>
      </c>
      <c r="D259" s="32" t="str">
        <f>VLOOKUP(B259,'Player Data'!A1:D734,4,FALSE)</f>
        <v>C,RW</v>
      </c>
      <c r="E259" s="45">
        <f>VLOOKUP(B259,RW!A1:F189,3,FALSE)</f>
        <v>59</v>
      </c>
      <c r="F259" s="34" t="str">
        <f>VLOOKUP(B259,'Player Data'!A1:B734,2,FALSE)</f>
        <v>WPG</v>
      </c>
      <c r="G259" s="9">
        <f>VLOOKUP(B259,'Player Data'!A1:D734,3,FALSE)</f>
        <v>24</v>
      </c>
      <c r="H259" s="35">
        <f>IFERROR(VLOOKUP(B259,ADP!A1:G731,7,FALSE)/1000000,VLOOKUP(B259,ADP!A1:G731,7,FALSE))</f>
        <v>3.4375</v>
      </c>
      <c r="I259" s="36">
        <f>IF(Settings!$E$15="POINTS",((R259*Q259)*Settings!$B$12)+(S259*Settings!$B$2)+(T259*Settings!$B$3)+(U259*Settings!$B$4)+(V259*Settings!$B$5)+(X259*Settings!$B$9)+(AA259*Settings!$B$6)+(W259*Settings!$B$8)+(AB259*Settings!$B$7)+(AC259*Settings!$B$14)+(AD259*Settings!$B$15)+(AE259*Settings!$B$16)+(AF259*Settings!$B$17)+(AG259*Settings!$B$18)+(Y259*Settings!$B$10)+(Z259*Settings!$B$11),VLOOKUP(B259,'Standard Deviations'!A1:C731,3,FALSE))</f>
        <v>2.7758076656657602</v>
      </c>
      <c r="J259" s="37">
        <f t="shared" si="26"/>
        <v>3.3851312995923907E-2</v>
      </c>
      <c r="K259" s="183">
        <f>IF(Settings!$E$18="C/LW/RW",VLOOKUP(B259,RW!A1:F189,6,FALSE),VLOOKUP(B259,F!A1:F431,6,FALSE))</f>
        <v>-3.5044510533453206</v>
      </c>
      <c r="L259" s="36">
        <f t="shared" si="27"/>
        <v>-1.0194766700640934</v>
      </c>
      <c r="M259" s="38">
        <f>IF(Settings!$E$9="YAHOO",VLOOKUP(B259,ADP!A1:E731,2,FALSE),IF(Settings!$E$9="ESPN",VLOOKUP(B259,ADP!A1:E731,3,FALSE),IF(Settings!$E$9="FANTRAX",VLOOKUP(B259,ADP!A1:E731,4,FALSE),VLOOKUP(B259,ADP!A1:E731,5,FALSE))))</f>
        <v>203.3</v>
      </c>
      <c r="N259" s="38">
        <f t="shared" si="28"/>
        <v>-54.699999999999989</v>
      </c>
      <c r="O259" s="38"/>
      <c r="P259" s="39" t="str">
        <f>IF(Settings!$E$27="ON",_xlfn.XLOOKUP(B259,ADP!A2:A731,ADP!H2:H731)," ")</f>
        <v xml:space="preserve"> </v>
      </c>
      <c r="Q259" s="40">
        <f>IF(Settings!$E$12="YES",VLOOKUP(B259,'Player Data'!A1:E734,5,FALSE),82)</f>
        <v>82</v>
      </c>
      <c r="R259" s="38">
        <f>VLOOKUP(B259,'Player Data'!$A1:$AE734,6,FALSE)</f>
        <v>16.4654352775596</v>
      </c>
      <c r="S259" s="40">
        <f>VLOOKUP(B259,'Player Data'!$A1:$AE734,7,FALSE)*$Q259*IFERROR((VLOOKUP(P259,Settings!$E$28:$F$33,2,FALSE)+1),1)</f>
        <v>27.536446013107067</v>
      </c>
      <c r="T259" s="40">
        <f>VLOOKUP(B259,'Player Data'!$A1:$AE734,8,FALSE)*$Q259*IFERROR((VLOOKUP(P259,Settings!$E$28:$F$33,2,FALSE)+1),1)</f>
        <v>25.444023138801388</v>
      </c>
      <c r="U259" s="40">
        <f t="shared" si="24"/>
        <v>52.980469151908451</v>
      </c>
      <c r="V259" s="40">
        <f>VLOOKUP(B259,'Player Data'!$A1:$AE734,10,FALSE)*$Q259*IFERROR(((VLOOKUP(P259,Settings!$E$28:$F$33,2,FALSE)/2)+1),1)</f>
        <v>165.96441726305775</v>
      </c>
      <c r="W259" s="40">
        <f>VLOOKUP(B259,'Player Data'!$A1:$AE734,11,FALSE)*$Q259*IFERROR((VLOOKUP(P259,Settings!$E$28:$F$33,2,FALSE)+1),1)</f>
        <v>7.0579688623333796</v>
      </c>
      <c r="X259" s="40">
        <f>VLOOKUP(B259,'Player Data'!$A1:$AE734,12,FALSE)*$Q259*IFERROR((VLOOKUP(P259,Settings!$E$28:$F$33,2,FALSE)+1),1)</f>
        <v>12.815610749367391</v>
      </c>
      <c r="Y259" s="40">
        <f>VLOOKUP(B259,'Player Data'!$A1:$AE734,13,FALSE)*$Q259</f>
        <v>1.3874860604832938E-2</v>
      </c>
      <c r="Z259" s="40">
        <f>VLOOKUP(B259,'Player Data'!$A1:$AE734,14,FALSE)*$Q259</f>
        <v>2.7482541716244889E-2</v>
      </c>
      <c r="AA259" s="40">
        <f>VLOOKUP(B259,'Player Data'!$A1:$AE734,15,FALSE)*$Q259</f>
        <v>43.148229342187122</v>
      </c>
      <c r="AB259" s="40">
        <f>VLOOKUP(B259,'Player Data'!$A1:$AE734,16,FALSE)*$Q259</f>
        <v>57.000189529865878</v>
      </c>
      <c r="AC259" s="40">
        <f>VLOOKUP(B259,'Player Data'!$A1:$AE734,17,FALSE)*$Q259*IFERROR((VLOOKUP(P259,Settings!$E$28:$F$33,2,FALSE)+1),1)</f>
        <v>2.7777310837392175</v>
      </c>
      <c r="AD259" s="40">
        <f>VLOOKUP(B259,'Player Data'!$A1:$AE734,18,FALSE)*$Q259</f>
        <v>24.820729784873517</v>
      </c>
      <c r="AE259" s="40">
        <f>VLOOKUP(B259,'Player Data'!$A1:$AE734,19,FALSE)*$Q259*IFERROR((VLOOKUP(P259,Settings!$E$28:$F$33,2,FALSE)+1),1)</f>
        <v>4.2957777475416679</v>
      </c>
      <c r="AF259" s="40">
        <f>VLOOKUP(B259,'Player Data'!$A1:$AE734,20,FALSE)*$Q259</f>
        <v>139.45404959381599</v>
      </c>
      <c r="AG259" s="40">
        <f>VLOOKUP(B259,'Player Data'!$A1:$AE734,21,FALSE)*$Q259</f>
        <v>160.75096227713675</v>
      </c>
      <c r="AH259" s="41">
        <f>VLOOKUP(B259,'Player Data'!$A1:$AE734,22,FALSE)</f>
        <v>0.46452938518482201</v>
      </c>
      <c r="AI259" s="38"/>
      <c r="AJ259" s="42"/>
      <c r="AK259" s="40"/>
      <c r="AL259" s="40"/>
      <c r="AM259" s="40"/>
      <c r="AN259" s="40"/>
      <c r="AO259" s="40"/>
      <c r="AP259" s="40"/>
      <c r="AQ259" s="43"/>
      <c r="AR259" s="44"/>
      <c r="AS259" s="38"/>
    </row>
    <row r="260" spans="1:45" ht="21.2" customHeight="1">
      <c r="A260" s="181">
        <f t="shared" si="25"/>
        <v>259</v>
      </c>
      <c r="B260" s="8" t="s">
        <v>299</v>
      </c>
      <c r="C260" s="31" t="s">
        <v>104</v>
      </c>
      <c r="D260" s="32" t="str">
        <f>VLOOKUP(B260,'Player Data'!A1:D734,4,FALSE)</f>
        <v>C,RW</v>
      </c>
      <c r="E260" s="45">
        <f>VLOOKUP(B260,RW!A1:F189,3,FALSE)</f>
        <v>60</v>
      </c>
      <c r="F260" s="34" t="str">
        <f>VLOOKUP(B260,'Player Data'!A1:B734,2,FALSE)</f>
        <v>WSH</v>
      </c>
      <c r="G260" s="9">
        <f>VLOOKUP(B260,'Player Data'!A1:D734,3,FALSE)</f>
        <v>26</v>
      </c>
      <c r="H260" s="35">
        <f>IFERROR(VLOOKUP(B260,ADP!A1:G731,7,FALSE)/1000000,VLOOKUP(B260,ADP!A1:G731,7,FALSE))</f>
        <v>5</v>
      </c>
      <c r="I260" s="36">
        <f>IF(Settings!$E$15="POINTS",((R260*Q260)*Settings!$B$12)+(S260*Settings!$B$2)+(T260*Settings!$B$3)+(U260*Settings!$B$4)+(V260*Settings!$B$5)+(X260*Settings!$B$9)+(AA260*Settings!$B$6)+(W260*Settings!$B$8)+(AB260*Settings!$B$7)+(AC260*Settings!$B$14)+(AD260*Settings!$B$15)+(AE260*Settings!$B$16)+(AF260*Settings!$B$17)+(AG260*Settings!$B$18)+(Y260*Settings!$B$10)+(Z260*Settings!$B$11),VLOOKUP(B260,'Standard Deviations'!A1:C731,3,FALSE))</f>
        <v>2.7745477204679556</v>
      </c>
      <c r="J260" s="37">
        <f t="shared" si="26"/>
        <v>3.3835947810584827E-2</v>
      </c>
      <c r="K260" s="183">
        <f>IF(Settings!$E$18="C/LW/RW",VLOOKUP(B260,RW!A1:F189,6,FALSE),VLOOKUP(B260,F!A1:F431,6,FALSE))</f>
        <v>-3.5057109985431252</v>
      </c>
      <c r="L260" s="36">
        <f t="shared" si="27"/>
        <v>-0.70114219970862501</v>
      </c>
      <c r="M260" s="38">
        <f>IF(Settings!$E$9="YAHOO",VLOOKUP(B260,ADP!A1:E731,2,FALSE),IF(Settings!$E$9="ESPN",VLOOKUP(B260,ADP!A1:E731,3,FALSE),IF(Settings!$E$9="FANTRAX",VLOOKUP(B260,ADP!A1:E731,4,FALSE),VLOOKUP(B260,ADP!A1:E731,5,FALSE))))</f>
        <v>188.91</v>
      </c>
      <c r="N260" s="38">
        <f t="shared" si="28"/>
        <v>-70.09</v>
      </c>
      <c r="O260" s="38"/>
      <c r="P260" s="39" t="str">
        <f>IF(Settings!$E$27="ON",_xlfn.XLOOKUP(B260,ADP!A2:A731,ADP!H2:H731)," ")</f>
        <v xml:space="preserve"> </v>
      </c>
      <c r="Q260" s="40">
        <f>IF(Settings!$E$12="YES",VLOOKUP(B260,'Player Data'!A1:E734,5,FALSE),82)</f>
        <v>82</v>
      </c>
      <c r="R260" s="38">
        <f>VLOOKUP(B260,'Player Data'!$A1:$AE734,6,FALSE)</f>
        <v>15.472794847265501</v>
      </c>
      <c r="S260" s="40">
        <f>VLOOKUP(B260,'Player Data'!$A1:$AE734,7,FALSE)*$Q260*IFERROR((VLOOKUP(P260,Settings!$E$28:$F$33,2,FALSE)+1),1)</f>
        <v>21.44454876341004</v>
      </c>
      <c r="T260" s="40">
        <f>VLOOKUP(B260,'Player Data'!$A1:$AE734,8,FALSE)*$Q260*IFERROR((VLOOKUP(P260,Settings!$E$28:$F$33,2,FALSE)+1),1)</f>
        <v>30.392929030566233</v>
      </c>
      <c r="U260" s="40">
        <f t="shared" si="24"/>
        <v>51.837477793976277</v>
      </c>
      <c r="V260" s="40">
        <f>VLOOKUP(B260,'Player Data'!$A1:$AE734,10,FALSE)*$Q260*IFERROR(((VLOOKUP(P260,Settings!$E$28:$F$33,2,FALSE)/2)+1),1)</f>
        <v>160.64418400515072</v>
      </c>
      <c r="W260" s="40">
        <f>VLOOKUP(B260,'Player Data'!$A1:$AE734,11,FALSE)*$Q260*IFERROR((VLOOKUP(P260,Settings!$E$28:$F$33,2,FALSE)+1),1)</f>
        <v>4.4884842967702703</v>
      </c>
      <c r="X260" s="40">
        <f>VLOOKUP(B260,'Player Data'!$A1:$AE734,12,FALSE)*$Q260*IFERROR((VLOOKUP(P260,Settings!$E$28:$F$33,2,FALSE)+1),1)</f>
        <v>16.439556514680589</v>
      </c>
      <c r="Y260" s="40">
        <f>VLOOKUP(B260,'Player Data'!$A1:$AE734,13,FALSE)*$Q260</f>
        <v>9.9810852929358325E-3</v>
      </c>
      <c r="Z260" s="40">
        <f>VLOOKUP(B260,'Player Data'!$A1:$AE734,14,FALSE)*$Q260</f>
        <v>1.8242186433767269E-2</v>
      </c>
      <c r="AA260" s="40">
        <f>VLOOKUP(B260,'Player Data'!$A1:$AE734,15,FALSE)*$Q260</f>
        <v>41.961537774916337</v>
      </c>
      <c r="AB260" s="40">
        <f>VLOOKUP(B260,'Player Data'!$A1:$AE734,16,FALSE)*$Q260</f>
        <v>25.685828310569526</v>
      </c>
      <c r="AC260" s="40">
        <f>VLOOKUP(B260,'Player Data'!$A1:$AE734,17,FALSE)*$Q260*IFERROR((VLOOKUP(P260,Settings!$E$28:$F$33,2,FALSE)+1),1)</f>
        <v>-1.3069102777701624</v>
      </c>
      <c r="AD260" s="40">
        <f>VLOOKUP(B260,'Player Data'!$A1:$AE734,18,FALSE)*$Q260</f>
        <v>26.852713661413183</v>
      </c>
      <c r="AE260" s="40">
        <f>VLOOKUP(B260,'Player Data'!$A1:$AE734,19,FALSE)*$Q260*IFERROR((VLOOKUP(P260,Settings!$E$28:$F$33,2,FALSE)+1),1)</f>
        <v>2.6378057353618969</v>
      </c>
      <c r="AF260" s="40">
        <f>VLOOKUP(B260,'Player Data'!$A1:$AE734,20,FALSE)*$Q260</f>
        <v>494.3346097545292</v>
      </c>
      <c r="AG260" s="40">
        <f>VLOOKUP(B260,'Player Data'!$A1:$AE734,21,FALSE)*$Q260</f>
        <v>497.10926150673458</v>
      </c>
      <c r="AH260" s="41">
        <f>VLOOKUP(B260,'Player Data'!$A1:$AE734,22,FALSE)</f>
        <v>0.49860070154618202</v>
      </c>
      <c r="AI260" s="38"/>
      <c r="AJ260" s="42"/>
      <c r="AK260" s="40"/>
      <c r="AL260" s="40"/>
      <c r="AM260" s="40"/>
      <c r="AN260" s="40"/>
      <c r="AO260" s="40"/>
      <c r="AP260" s="40"/>
      <c r="AQ260" s="43"/>
      <c r="AR260" s="44"/>
      <c r="AS260" s="38"/>
    </row>
    <row r="261" spans="1:45" ht="21.2" customHeight="1">
      <c r="A261" s="181">
        <f t="shared" si="25"/>
        <v>260</v>
      </c>
      <c r="B261" s="8" t="s">
        <v>291</v>
      </c>
      <c r="C261" s="31" t="s">
        <v>104</v>
      </c>
      <c r="D261" s="32" t="str">
        <f>VLOOKUP(B261,'Player Data'!A1:D734,4,FALSE)</f>
        <v>RW</v>
      </c>
      <c r="E261" s="46">
        <f>VLOOKUP(B261,RW!A1:F189,3,FALSE)</f>
        <v>61</v>
      </c>
      <c r="F261" s="34" t="str">
        <f>VLOOKUP(B261,'Player Data'!A1:B734,2,FALSE)</f>
        <v>PIT</v>
      </c>
      <c r="G261" s="9">
        <f>VLOOKUP(B261,'Player Data'!A1:D734,3,FALSE)</f>
        <v>31</v>
      </c>
      <c r="H261" s="35">
        <f>IFERROR(VLOOKUP(B261,ADP!A1:G731,7,FALSE)/1000000,VLOOKUP(B261,ADP!A1:G731,7,FALSE))</f>
        <v>5.125</v>
      </c>
      <c r="I261" s="36">
        <f>IF(Settings!$E$15="POINTS",((R261*Q261)*Settings!$B$12)+(S261*Settings!$B$2)+(T261*Settings!$B$3)+(U261*Settings!$B$4)+(V261*Settings!$B$5)+(X261*Settings!$B$9)+(AA261*Settings!$B$6)+(W261*Settings!$B$8)+(AB261*Settings!$B$7)+(AC261*Settings!$B$14)+(AD261*Settings!$B$15)+(AE261*Settings!$B$16)+(AF261*Settings!$B$17)+(AG261*Settings!$B$18)+(Y261*Settings!$B$10)+(Z261*Settings!$B$11),VLOOKUP(B261,'Standard Deviations'!A1:C731,3,FALSE))</f>
        <v>2.766194022323075</v>
      </c>
      <c r="J261" s="37">
        <f t="shared" si="26"/>
        <v>3.3734073442964328E-2</v>
      </c>
      <c r="K261" s="183">
        <f>IF(Settings!$E$18="C/LW/RW",VLOOKUP(B261,RW!A1:F189,6,FALSE),VLOOKUP(B261,F!A1:F431,6,FALSE))</f>
        <v>-3.5140646966880058</v>
      </c>
      <c r="L261" s="36">
        <f t="shared" si="27"/>
        <v>-0.68567116032936704</v>
      </c>
      <c r="M261" s="38">
        <f>IF(Settings!$E$9="YAHOO",VLOOKUP(B261,ADP!A1:E731,2,FALSE),IF(Settings!$E$9="ESPN",VLOOKUP(B261,ADP!A1:E731,3,FALSE),IF(Settings!$E$9="FANTRAX",VLOOKUP(B261,ADP!A1:E731,4,FALSE),VLOOKUP(B261,ADP!A1:E731,5,FALSE))))</f>
        <v>189.4</v>
      </c>
      <c r="N261" s="38">
        <f t="shared" si="28"/>
        <v>-70.599999999999994</v>
      </c>
      <c r="O261" s="38"/>
      <c r="P261" s="39" t="str">
        <f>IF(Settings!$E$27="ON",_xlfn.XLOOKUP(B261,ADP!A2:A731,ADP!H2:H731)," ")</f>
        <v xml:space="preserve"> </v>
      </c>
      <c r="Q261" s="40">
        <f>IF(Settings!$E$12="YES",VLOOKUP(B261,'Player Data'!A1:E734,5,FALSE),82)</f>
        <v>82</v>
      </c>
      <c r="R261" s="38">
        <f>VLOOKUP(B261,'Player Data'!$A1:$AE734,6,FALSE)</f>
        <v>17.808556389030102</v>
      </c>
      <c r="S261" s="40">
        <f>VLOOKUP(B261,'Player Data'!$A1:$AE734,7,FALSE)*$Q261*IFERROR((VLOOKUP(P261,Settings!$E$28:$F$33,2,FALSE)+1),1)</f>
        <v>21.537720374571037</v>
      </c>
      <c r="T261" s="40">
        <f>VLOOKUP(B261,'Player Data'!$A1:$AE734,8,FALSE)*$Q261*IFERROR((VLOOKUP(P261,Settings!$E$28:$F$33,2,FALSE)+1),1)</f>
        <v>28.00536825436437</v>
      </c>
      <c r="U261" s="40">
        <f t="shared" si="24"/>
        <v>49.543088628935408</v>
      </c>
      <c r="V261" s="40">
        <f>VLOOKUP(B261,'Player Data'!$A1:$AE734,10,FALSE)*$Q261*IFERROR(((VLOOKUP(P261,Settings!$E$28:$F$33,2,FALSE)/2)+1),1)</f>
        <v>206.27815010430226</v>
      </c>
      <c r="W261" s="40">
        <f>VLOOKUP(B261,'Player Data'!$A1:$AE734,11,FALSE)*$Q261*IFERROR((VLOOKUP(P261,Settings!$E$28:$F$33,2,FALSE)+1),1)</f>
        <v>3.9052330613895192</v>
      </c>
      <c r="X261" s="40">
        <f>VLOOKUP(B261,'Player Data'!$A1:$AE734,12,FALSE)*$Q261*IFERROR((VLOOKUP(P261,Settings!$E$28:$F$33,2,FALSE)+1),1)</f>
        <v>11.362967239695436</v>
      </c>
      <c r="Y261" s="40">
        <f>VLOOKUP(B261,'Player Data'!$A1:$AE734,13,FALSE)*$Q261</f>
        <v>5.4867261860935199E-2</v>
      </c>
      <c r="Z261" s="40">
        <f>VLOOKUP(B261,'Player Data'!$A1:$AE734,14,FALSE)*$Q261</f>
        <v>0.76297583994266271</v>
      </c>
      <c r="AA261" s="40">
        <f>VLOOKUP(B261,'Player Data'!$A1:$AE734,15,FALSE)*$Q261</f>
        <v>49.324322021788667</v>
      </c>
      <c r="AB261" s="40">
        <f>VLOOKUP(B261,'Player Data'!$A1:$AE734,16,FALSE)*$Q261</f>
        <v>87.460235801935639</v>
      </c>
      <c r="AC261" s="40">
        <f>VLOOKUP(B261,'Player Data'!$A1:$AE734,17,FALSE)*$Q261*IFERROR((VLOOKUP(P261,Settings!$E$28:$F$33,2,FALSE)+1),1)</f>
        <v>3.1330506746848981</v>
      </c>
      <c r="AD261" s="40">
        <f>VLOOKUP(B261,'Player Data'!$A1:$AE734,18,FALSE)*$Q261</f>
        <v>27.680592230830886</v>
      </c>
      <c r="AE261" s="40">
        <f>VLOOKUP(B261,'Player Data'!$A1:$AE734,19,FALSE)*$Q261*IFERROR((VLOOKUP(P261,Settings!$E$28:$F$33,2,FALSE)+1),1)</f>
        <v>3.4572353791403097</v>
      </c>
      <c r="AF261" s="40">
        <f>VLOOKUP(B261,'Player Data'!$A1:$AE734,20,FALSE)*$Q261</f>
        <v>3.7903068030137885</v>
      </c>
      <c r="AG261" s="40">
        <f>VLOOKUP(B261,'Player Data'!$A1:$AE734,21,FALSE)*$Q261</f>
        <v>5.7483723643370688</v>
      </c>
      <c r="AH261" s="41">
        <f>VLOOKUP(B261,'Player Data'!$A1:$AE734,22,FALSE)</f>
        <v>0.39736180832953399</v>
      </c>
      <c r="AI261" s="38"/>
      <c r="AJ261" s="42"/>
      <c r="AK261" s="40"/>
      <c r="AL261" s="40"/>
      <c r="AM261" s="40"/>
      <c r="AN261" s="40"/>
      <c r="AO261" s="40"/>
      <c r="AP261" s="40"/>
      <c r="AQ261" s="43"/>
      <c r="AR261" s="44"/>
      <c r="AS261" s="38"/>
    </row>
    <row r="262" spans="1:45" ht="21.2" customHeight="1">
      <c r="A262" s="181">
        <f t="shared" si="25"/>
        <v>261</v>
      </c>
      <c r="B262" s="8" t="s">
        <v>793</v>
      </c>
      <c r="C262" s="31" t="s">
        <v>104</v>
      </c>
      <c r="D262" s="32" t="str">
        <f>VLOOKUP(B262,'Player Data'!A1:D734,4,FALSE)</f>
        <v>G</v>
      </c>
      <c r="E262" s="50">
        <f>VLOOKUP(B262,G!A1:D75,3,FALSE)</f>
        <v>56</v>
      </c>
      <c r="F262" s="34" t="str">
        <f>VLOOKUP(B262,'Player Data'!A1:B734,2,FALSE)</f>
        <v>NYI</v>
      </c>
      <c r="G262" s="9">
        <f>VLOOKUP(B262,'Player Data'!A1:D734,3,FALSE)</f>
        <v>35</v>
      </c>
      <c r="H262" s="35">
        <f>IFERROR(VLOOKUP(B262,ADP!A1:G731,7,FALSE)/1000000,VLOOKUP(B262,ADP!A1:G731,7,FALSE))</f>
        <v>2.75</v>
      </c>
      <c r="I262" s="36">
        <f>IF(Settings!$E$15="POINTS",(AJ262*Settings!$B$29)+(AK262*Settings!$B$21)+(AL262*Settings!$B$22)+(AN262*Settings!$B$24)+(AO262*Settings!$B$25)+(AP262*Settings!$B$27)+(AM262*Settings!$B$23),VLOOKUP(B262,'Standard Deviations'!A1:C731,3,FALSE))</f>
        <v>-1.8245775283859678</v>
      </c>
      <c r="J262" s="37">
        <f t="shared" si="26"/>
        <v>-9.1228876419298388E-2</v>
      </c>
      <c r="K262" s="183">
        <f>VLOOKUP(B262,G!A1:F75,6,FALSE)</f>
        <v>-3.5288065795762593</v>
      </c>
      <c r="L262" s="36">
        <f t="shared" si="27"/>
        <v>-1.2832023925731852</v>
      </c>
      <c r="M262" s="52" t="str">
        <f>IF(Settings!$E$9="YAHOO",VLOOKUP(B262,ADP!A1:E731,2,FALSE),IF(Settings!$E$9="ESPN",VLOOKUP(B262,ADP!A1:E731,3,FALSE),IF(Settings!$E$9="FANTRAX",VLOOKUP(B262,ADP!A1:E731,4,FALSE),VLOOKUP(B262,ADP!A1:E731,5,FALSE))))</f>
        <v>-</v>
      </c>
      <c r="N262" s="52" t="str">
        <f t="shared" si="28"/>
        <v>N/A</v>
      </c>
      <c r="O262" s="38"/>
      <c r="P262" s="39" t="str">
        <f>IF(Settings!$E$27="ON",_xlfn.XLOOKUP(B262,ADP!A2:A731,ADP!H2:H731)," ")</f>
        <v xml:space="preserve"> </v>
      </c>
      <c r="Q262" s="40"/>
      <c r="R262" s="51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1"/>
      <c r="AI262" s="38"/>
      <c r="AJ262" s="42">
        <f>VLOOKUP(B262,'Player Data'!$A1:$AE734,24,FALSE)</f>
        <v>20</v>
      </c>
      <c r="AK262" s="40">
        <f>VLOOKUP(B262,'Player Data'!$A1:$AE734,25,FALSE)*$AJ262*IFERROR((VLOOKUP(P262,Settings!$E$28:$F$33,2,FALSE)+1),1)</f>
        <v>9.1187410358756011</v>
      </c>
      <c r="AL262" s="40">
        <f>AJ262-AK262-AM262</f>
        <v>8.3812589641243989</v>
      </c>
      <c r="AM262" s="40">
        <f>VLOOKUP(B262,'Player Data'!$A1:$AE734,27,FALSE)*$AJ262</f>
        <v>2.5</v>
      </c>
      <c r="AN262" s="40">
        <f>VLOOKUP(B262,'Player Data'!$A1:$AE734,28,FALSE)*AJ262</f>
        <v>0.88422660905353001</v>
      </c>
      <c r="AO262" s="40">
        <f>VLOOKUP(B262,'Player Data'!$A1:$AE734,29,FALSE)*$AJ262*IFERROR((VLOOKUP(P262,Settings!$E$28:$F$33,2,FALSE)/4)+1,1)</f>
        <v>554.60558598434</v>
      </c>
      <c r="AP262" s="40">
        <f>VLOOKUP(B262,'Player Data'!$A1:$AE734,31,FALSE)*$AJ262*(IFERROR(1-(VLOOKUP(P262,Settings!$E$28:$F$33,2,FALSE)/4),1))</f>
        <v>59.316405640660605</v>
      </c>
      <c r="AQ262" s="43">
        <f>1-(AP262/(AO262+AP262))</f>
        <v>0.90338120078797801</v>
      </c>
      <c r="AR262" s="44">
        <f>AP262/AJ262</f>
        <v>2.9658202820330302</v>
      </c>
      <c r="AS262" s="42"/>
    </row>
    <row r="263" spans="1:45" ht="21.2" customHeight="1">
      <c r="A263" s="181">
        <f t="shared" si="25"/>
        <v>262</v>
      </c>
      <c r="B263" s="8" t="s">
        <v>363</v>
      </c>
      <c r="C263" s="31" t="s">
        <v>104</v>
      </c>
      <c r="D263" s="32" t="str">
        <f>VLOOKUP(B263,'Player Data'!A1:D734,4,FALSE)</f>
        <v>C</v>
      </c>
      <c r="E263" s="33">
        <f>VLOOKUP(B263,'C'!A1:C208,3,FALSE)</f>
        <v>64</v>
      </c>
      <c r="F263" s="34" t="str">
        <f>VLOOKUP(B263,'Player Data'!A1:B734,2,FALSE)</f>
        <v>CBJ</v>
      </c>
      <c r="G263" s="9">
        <f>VLOOKUP(B263,'Player Data'!A1:D734,3,FALSE)</f>
        <v>30</v>
      </c>
      <c r="H263" s="35">
        <f>IFERROR(VLOOKUP(B263,ADP!A1:G731,7,FALSE)/1000000,VLOOKUP(B263,ADP!A1:G731,7,FALSE))</f>
        <v>3.75</v>
      </c>
      <c r="I263" s="36">
        <f>IF(Settings!$E$15="POINTS",((R263*Q263)*Settings!$B$12)+(S263*Settings!$B$2)+(T263*Settings!$B$3)+(U263*Settings!$B$4)+(V263*Settings!$B$5)+(X263*Settings!$B$9)+(AA263*Settings!$B$6)+(W263*Settings!$B$8)+(AB263*Settings!$B$7)+(AC263*Settings!$B$14)+(AD263*Settings!$B$15)+(AE263*Settings!$B$16)+(AF263*Settings!$B$17)+(AG263*Settings!$B$18)+(Y263*Settings!$B$10)+(Z263*Settings!$B$11),VLOOKUP(B263,'Standard Deviations'!A1:C731,3,FALSE))</f>
        <v>2.793472323315016</v>
      </c>
      <c r="J263" s="37">
        <f t="shared" si="26"/>
        <v>3.4066735650183123E-2</v>
      </c>
      <c r="K263" s="183">
        <f>IF(Settings!$E$18="C/LW/RW",VLOOKUP(B263,'C'!A1:F208,6,FALSE),VLOOKUP(B263,F!A1:F431,6,FALSE))</f>
        <v>-3.5435784008915867</v>
      </c>
      <c r="L263" s="36">
        <f t="shared" si="27"/>
        <v>-0.94495424023775643</v>
      </c>
      <c r="M263" s="38">
        <f>IF(Settings!$E$9="YAHOO",VLOOKUP(B263,ADP!A1:E731,2,FALSE),IF(Settings!$E$9="ESPN",VLOOKUP(B263,ADP!A1:E731,3,FALSE),IF(Settings!$E$9="FANTRAX",VLOOKUP(B263,ADP!A1:E731,4,FALSE),VLOOKUP(B263,ADP!A1:E731,5,FALSE))))</f>
        <v>144.63</v>
      </c>
      <c r="N263" s="38">
        <f t="shared" si="28"/>
        <v>-117.37</v>
      </c>
      <c r="O263" s="38"/>
      <c r="P263" s="39" t="str">
        <f>IF(Settings!$E$27="ON",_xlfn.XLOOKUP(B263,ADP!A2:A731,ADP!H2:H731)," ")</f>
        <v xml:space="preserve"> </v>
      </c>
      <c r="Q263" s="40">
        <f>IF(Settings!$E$12="YES",VLOOKUP(B263,'Player Data'!A1:E734,5,FALSE),82)</f>
        <v>82</v>
      </c>
      <c r="R263" s="38">
        <f>VLOOKUP(B263,'Player Data'!$A1:$AE734,6,FALSE)</f>
        <v>18.172821028107698</v>
      </c>
      <c r="S263" s="40">
        <f>VLOOKUP(B263,'Player Data'!$A1:$AE734,7,FALSE)*$Q263*IFERROR((VLOOKUP(P263,Settings!$E$28:$F$33,2,FALSE)+1),1)</f>
        <v>25.404713862236175</v>
      </c>
      <c r="T263" s="40">
        <f>VLOOKUP(B263,'Player Data'!$A1:$AE734,8,FALSE)*$Q263*IFERROR((VLOOKUP(P263,Settings!$E$28:$F$33,2,FALSE)+1),1)</f>
        <v>23.788970838305971</v>
      </c>
      <c r="U263" s="40">
        <f>SUM(S263:T263)</f>
        <v>49.19368470054215</v>
      </c>
      <c r="V263" s="40">
        <f>VLOOKUP(B263,'Player Data'!$A1:$AE734,10,FALSE)*$Q263*IFERROR(((VLOOKUP(P263,Settings!$E$28:$F$33,2,FALSE)/2)+1),1)</f>
        <v>217.16081122675035</v>
      </c>
      <c r="W263" s="40">
        <f>VLOOKUP(B263,'Player Data'!$A1:$AE734,11,FALSE)*$Q263*IFERROR((VLOOKUP(P263,Settings!$E$28:$F$33,2,FALSE)+1),1)</f>
        <v>6.0493303766026596</v>
      </c>
      <c r="X263" s="40">
        <f>VLOOKUP(B263,'Player Data'!$A1:$AE734,12,FALSE)*$Q263*IFERROR((VLOOKUP(P263,Settings!$E$28:$F$33,2,FALSE)+1),1)</f>
        <v>9.3214530268796842</v>
      </c>
      <c r="Y263" s="40">
        <f>VLOOKUP(B263,'Player Data'!$A1:$AE734,13,FALSE)*$Q263</f>
        <v>0.15875018795103579</v>
      </c>
      <c r="Z263" s="40">
        <f>VLOOKUP(B263,'Player Data'!$A1:$AE734,14,FALSE)*$Q263</f>
        <v>0.16928100089033138</v>
      </c>
      <c r="AA263" s="40">
        <f>VLOOKUP(B263,'Player Data'!$A1:$AE734,15,FALSE)*$Q263</f>
        <v>72.170021790111562</v>
      </c>
      <c r="AB263" s="40">
        <f>VLOOKUP(B263,'Player Data'!$A1:$AE734,16,FALSE)*$Q263</f>
        <v>128.5995436022246</v>
      </c>
      <c r="AC263" s="40">
        <f>VLOOKUP(B263,'Player Data'!$A1:$AE734,17,FALSE)*$Q263*IFERROR((VLOOKUP(P263,Settings!$E$28:$F$33,2,FALSE)+1),1)</f>
        <v>-6.3358963723909216</v>
      </c>
      <c r="AD263" s="40">
        <f>VLOOKUP(B263,'Player Data'!$A1:$AE734,18,FALSE)*$Q263</f>
        <v>34.310090069519184</v>
      </c>
      <c r="AE263" s="40">
        <f>VLOOKUP(B263,'Player Data'!$A1:$AE734,19,FALSE)*$Q263*IFERROR((VLOOKUP(P263,Settings!$E$28:$F$33,2,FALSE)+1),1)</f>
        <v>2.722290006550999</v>
      </c>
      <c r="AF263" s="40">
        <f>VLOOKUP(B263,'Player Data'!$A1:$AE734,20,FALSE)*$Q263</f>
        <v>796.63997198679317</v>
      </c>
      <c r="AG263" s="40">
        <f>VLOOKUP(B263,'Player Data'!$A1:$AE734,21,FALSE)*$Q263</f>
        <v>668.7076326559328</v>
      </c>
      <c r="AH263" s="41">
        <f>VLOOKUP(B263,'Player Data'!$A1:$AE734,22,FALSE)</f>
        <v>0.54365255688326997</v>
      </c>
      <c r="AI263" s="38"/>
      <c r="AJ263" s="42"/>
      <c r="AK263" s="40"/>
      <c r="AL263" s="40"/>
      <c r="AM263" s="40"/>
      <c r="AN263" s="40"/>
      <c r="AO263" s="40"/>
      <c r="AP263" s="40"/>
      <c r="AQ263" s="43"/>
      <c r="AR263" s="44"/>
      <c r="AS263" s="38"/>
    </row>
    <row r="264" spans="1:45" ht="21.2" customHeight="1">
      <c r="A264" s="181">
        <f t="shared" si="25"/>
        <v>263</v>
      </c>
      <c r="B264" s="8" t="s">
        <v>812</v>
      </c>
      <c r="C264" s="31" t="s">
        <v>104</v>
      </c>
      <c r="D264" s="32" t="str">
        <f>VLOOKUP(B264,'Player Data'!A1:D734,4,FALSE)</f>
        <v>G</v>
      </c>
      <c r="E264" s="50">
        <f>VLOOKUP(B264,G!A1:D75,3,FALSE)</f>
        <v>57</v>
      </c>
      <c r="F264" s="34" t="str">
        <f>VLOOKUP(B264,'Player Data'!A1:B734,2,FALSE)</f>
        <v>SEA</v>
      </c>
      <c r="G264" s="9">
        <f>VLOOKUP(B264,'Player Data'!A1:D734,3,FALSE)</f>
        <v>27</v>
      </c>
      <c r="H264" s="35">
        <f>IFERROR(VLOOKUP(B264,ADP!A1:G731,7,FALSE)/1000000,VLOOKUP(B264,ADP!A1:G731,7,FALSE))</f>
        <v>0</v>
      </c>
      <c r="I264" s="36">
        <f>IF(Settings!$E$15="POINTS",(AJ264*Settings!$B$29)+(AK264*Settings!$B$21)+(AL264*Settings!$B$22)+(AN264*Settings!$B$24)+(AO264*Settings!$B$25)+(AP264*Settings!$B$27)+(AM264*Settings!$B$23),VLOOKUP(B264,'Standard Deviations'!A1:C731,3,FALSE))</f>
        <v>-1.8507891490850734</v>
      </c>
      <c r="J264" s="37">
        <f t="shared" si="26"/>
        <v>-9.2539457454253668E-2</v>
      </c>
      <c r="K264" s="183">
        <f>VLOOKUP(B264,G!A1:F75,6,FALSE)</f>
        <v>-3.5550182002753647</v>
      </c>
      <c r="L264" s="49" t="str">
        <f t="shared" si="27"/>
        <v>N/A</v>
      </c>
      <c r="M264" s="52" t="str">
        <f>IF(Settings!$E$9="YAHOO",VLOOKUP(B264,ADP!A1:E731,2,FALSE),IF(Settings!$E$9="ESPN",VLOOKUP(B264,ADP!A1:E731,3,FALSE),IF(Settings!$E$9="FANTRAX",VLOOKUP(B264,ADP!A1:E731,4,FALSE),VLOOKUP(B264,ADP!A1:E731,5,FALSE))))</f>
        <v>-</v>
      </c>
      <c r="N264" s="52" t="str">
        <f t="shared" si="28"/>
        <v>N/A</v>
      </c>
      <c r="O264" s="38"/>
      <c r="P264" s="39" t="str">
        <f>IF(Settings!$E$27="ON",_xlfn.XLOOKUP(B264,ADP!A2:A731,ADP!H2:H731)," ")</f>
        <v xml:space="preserve"> </v>
      </c>
      <c r="Q264" s="40"/>
      <c r="R264" s="51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1"/>
      <c r="AI264" s="38"/>
      <c r="AJ264" s="42">
        <f>VLOOKUP(B264,'Player Data'!$A1:$AE734,24,FALSE)</f>
        <v>20</v>
      </c>
      <c r="AK264" s="40">
        <f>VLOOKUP(B264,'Player Data'!$A1:$AE734,25,FALSE)*$AJ264*IFERROR((VLOOKUP(P264,Settings!$E$28:$F$33,2,FALSE)+1),1)</f>
        <v>9.4282591282404802</v>
      </c>
      <c r="AL264" s="40">
        <f>AJ264-AK264-AM264</f>
        <v>8.0717408717595198</v>
      </c>
      <c r="AM264" s="40">
        <f>VLOOKUP(B264,'Player Data'!$A1:$AE734,27,FALSE)*$AJ264</f>
        <v>2.5</v>
      </c>
      <c r="AN264" s="40">
        <f>VLOOKUP(B264,'Player Data'!$A1:$AE734,28,FALSE)*AJ264</f>
        <v>0.93076579027638606</v>
      </c>
      <c r="AO264" s="40">
        <f>VLOOKUP(B264,'Player Data'!$A1:$AE734,29,FALSE)*$AJ264*IFERROR((VLOOKUP(P264,Settings!$E$28:$F$33,2,FALSE)/4)+1,1)</f>
        <v>527.70723557102599</v>
      </c>
      <c r="AP264" s="40">
        <f>VLOOKUP(B264,'Player Data'!$A1:$AE734,31,FALSE)*$AJ264*(IFERROR(1-(VLOOKUP(P264,Settings!$E$28:$F$33,2,FALSE)/4),1))</f>
        <v>58.707254053974005</v>
      </c>
      <c r="AQ264" s="43">
        <f>1-(AP264/(AO264+AP264))</f>
        <v>0.89988778399470304</v>
      </c>
      <c r="AR264" s="44">
        <f>AP264/AJ264</f>
        <v>2.9353627026987001</v>
      </c>
      <c r="AS264" s="38"/>
    </row>
    <row r="265" spans="1:45" ht="21.2" customHeight="1">
      <c r="A265" s="181">
        <f t="shared" si="25"/>
        <v>264</v>
      </c>
      <c r="B265" s="8" t="s">
        <v>810</v>
      </c>
      <c r="C265" s="31" t="s">
        <v>104</v>
      </c>
      <c r="D265" s="32" t="str">
        <f>VLOOKUP(B265,'Player Data'!A1:D734,4,FALSE)</f>
        <v>G</v>
      </c>
      <c r="E265" s="50">
        <f>VLOOKUP(B265,G!A1:D75,3,FALSE)</f>
        <v>58</v>
      </c>
      <c r="F265" s="34" t="str">
        <f>VLOOKUP(B265,'Player Data'!A1:B734,2,FALSE)</f>
        <v>DET</v>
      </c>
      <c r="G265" s="9">
        <f>VLOOKUP(B265,'Player Data'!A1:D734,3,FALSE)</f>
        <v>35</v>
      </c>
      <c r="H265" s="35">
        <f>IFERROR(VLOOKUP(B265,ADP!A1:G731,7,FALSE)/1000000,VLOOKUP(B265,ADP!A1:G731,7,FALSE))</f>
        <v>1.5</v>
      </c>
      <c r="I265" s="36">
        <f>IF(Settings!$E$15="POINTS",(AJ265*Settings!$B$29)+(AK265*Settings!$B$21)+(AL265*Settings!$B$22)+(AN265*Settings!$B$24)+(AO265*Settings!$B$25)+(AP265*Settings!$B$27)+(AM265*Settings!$B$23),VLOOKUP(B265,'Standard Deviations'!A1:C731,3,FALSE))</f>
        <v>-1.8634189823249427</v>
      </c>
      <c r="J265" s="37">
        <f t="shared" si="26"/>
        <v>-9.317094911624714E-2</v>
      </c>
      <c r="K265" s="183">
        <f>VLOOKUP(B265,G!A1:F75,6,FALSE)</f>
        <v>-3.5676480335152343</v>
      </c>
      <c r="L265" s="36">
        <f t="shared" si="27"/>
        <v>-2.3784320223434894</v>
      </c>
      <c r="M265" s="52" t="str">
        <f>IF(Settings!$E$9="YAHOO",VLOOKUP(B265,ADP!A1:E731,2,FALSE),IF(Settings!$E$9="ESPN",VLOOKUP(B265,ADP!A1:E731,3,FALSE),IF(Settings!$E$9="FANTRAX",VLOOKUP(B265,ADP!A1:E731,4,FALSE),VLOOKUP(B265,ADP!A1:E731,5,FALSE))))</f>
        <v>-</v>
      </c>
      <c r="N265" s="52" t="str">
        <f t="shared" si="28"/>
        <v>N/A</v>
      </c>
      <c r="O265" s="38"/>
      <c r="P265" s="39" t="str">
        <f>IF(Settings!$E$27="ON",_xlfn.XLOOKUP(B265,ADP!A2:A731,ADP!H2:H731)," ")</f>
        <v xml:space="preserve"> </v>
      </c>
      <c r="Q265" s="40"/>
      <c r="R265" s="51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1"/>
      <c r="AI265" s="38"/>
      <c r="AJ265" s="42">
        <f>VLOOKUP(B265,'Player Data'!$A1:$AE734,24,FALSE)</f>
        <v>20</v>
      </c>
      <c r="AK265" s="40">
        <f>VLOOKUP(B265,'Player Data'!$A1:$AE734,25,FALSE)*$AJ265*IFERROR((VLOOKUP(P265,Settings!$E$28:$F$33,2,FALSE)+1),1)</f>
        <v>8.9891713113971399</v>
      </c>
      <c r="AL265" s="40">
        <f>AJ265-AK265-AM265</f>
        <v>8.5108286886028601</v>
      </c>
      <c r="AM265" s="40">
        <f>VLOOKUP(B265,'Player Data'!$A1:$AE734,27,FALSE)*$AJ265</f>
        <v>2.5</v>
      </c>
      <c r="AN265" s="40">
        <f>VLOOKUP(B265,'Player Data'!$A1:$AE734,28,FALSE)*AJ265</f>
        <v>0.7737738225675681</v>
      </c>
      <c r="AO265" s="40">
        <f>VLOOKUP(B265,'Player Data'!$A1:$AE734,29,FALSE)*$AJ265*IFERROR((VLOOKUP(P265,Settings!$E$28:$F$33,2,FALSE)/4)+1,1)</f>
        <v>543.56331888373802</v>
      </c>
      <c r="AP265" s="40">
        <f>VLOOKUP(B265,'Player Data'!$A1:$AE734,31,FALSE)*$AJ265*(IFERROR(1-(VLOOKUP(P265,Settings!$E$28:$F$33,2,FALSE)/4),1))</f>
        <v>60.762122741262203</v>
      </c>
      <c r="AQ265" s="43">
        <f>1-(AP265/(AO265+AP265))</f>
        <v>0.89945463395041592</v>
      </c>
      <c r="AR265" s="44">
        <f>AP265/AJ265</f>
        <v>3.0381061370631102</v>
      </c>
      <c r="AS265" s="38"/>
    </row>
    <row r="266" spans="1:45" ht="21.2" customHeight="1">
      <c r="A266" s="181">
        <f t="shared" si="25"/>
        <v>265</v>
      </c>
      <c r="B266" s="8" t="s">
        <v>325</v>
      </c>
      <c r="C266" s="31" t="s">
        <v>104</v>
      </c>
      <c r="D266" s="32" t="str">
        <f>VLOOKUP(B266,'Player Data'!A1:D734,4,FALSE)</f>
        <v>D</v>
      </c>
      <c r="E266" s="47">
        <f>VLOOKUP(B266,D!A1:C229,3,FALSE)</f>
        <v>73</v>
      </c>
      <c r="F266" s="34" t="str">
        <f>VLOOKUP(B266,'Player Data'!A1:B734,2,FALSE)</f>
        <v>BOS</v>
      </c>
      <c r="G266" s="9">
        <f>VLOOKUP(B266,'Player Data'!A1:D734,3,FALSE)</f>
        <v>34</v>
      </c>
      <c r="H266" s="35">
        <f>IFERROR(VLOOKUP(B266,ADP!A1:G731,7,FALSE)/1000000,VLOOKUP(B266,ADP!A1:G731,7,FALSE))</f>
        <v>1</v>
      </c>
      <c r="I266" s="36">
        <f>IF(Settings!$E$15="POINTS",((R266*Q266)*Settings!$B$12)+(S266*Settings!$B$2)+(T266*Settings!$B$3)+(U266*Settings!$B$4)+(V266*Settings!$B$5)+(X266*Settings!$B$9)+(AA266*Settings!$B$6)+(W266*Settings!$B$8)+(AB266*Settings!$B$7)+(AC266*Settings!$B$14)+(AD266*Settings!$B$15)+(AE266*Settings!$B$16)+(AF266*Settings!$B$17)+(AG266*Settings!$B$18)+(U266*Settings!$B$13)+(Y266*Settings!$B$10)+(Z266*Settings!$B$11),VLOOKUP(B266,'Standard Deviations'!A1:C731,3,FALSE))</f>
        <v>-1.6404727663840566</v>
      </c>
      <c r="J266" s="37">
        <f t="shared" si="26"/>
        <v>-2.0005765443708006E-2</v>
      </c>
      <c r="K266" s="183">
        <f>VLOOKUP(B266,D!A1:F229,6,FALSE)</f>
        <v>-3.5822133100183673</v>
      </c>
      <c r="L266" s="36">
        <f t="shared" si="27"/>
        <v>-3.5822133100183673</v>
      </c>
      <c r="M266" s="38">
        <f>IF(Settings!$E$9="YAHOO",VLOOKUP(B266,ADP!A1:E731,2,FALSE),IF(Settings!$E$9="ESPN",VLOOKUP(B266,ADP!A1:E731,3,FALSE),IF(Settings!$E$9="FANTRAX",VLOOKUP(B266,ADP!A1:E731,4,FALSE),VLOOKUP(B266,ADP!A1:E731,5,FALSE))))</f>
        <v>384.65</v>
      </c>
      <c r="N266" s="38">
        <f t="shared" si="28"/>
        <v>119.64999999999998</v>
      </c>
      <c r="O266" s="38"/>
      <c r="P266" s="39" t="str">
        <f>IF(Settings!$E$27="ON",_xlfn.XLOOKUP(B266,ADP!A2:A731,ADP!H2:H731)," ")</f>
        <v xml:space="preserve"> </v>
      </c>
      <c r="Q266" s="40">
        <f>IF(Settings!$E$12="YES",VLOOKUP(B266,'Player Data'!A1:E734,5,FALSE),82)</f>
        <v>82</v>
      </c>
      <c r="R266" s="38">
        <f>VLOOKUP(B266,'Player Data'!$A1:$AE734,6,FALSE)</f>
        <v>17.535369512403499</v>
      </c>
      <c r="S266" s="40">
        <f>VLOOKUP(B266,'Player Data'!$A1:$AE734,7,FALSE)*$Q266*IFERROR((VLOOKUP(P266,Settings!$E$28:$F$33,2,FALSE)+1),1)</f>
        <v>4.5805843083378122</v>
      </c>
      <c r="T266" s="40">
        <f>VLOOKUP(B266,'Player Data'!$A1:$AE734,8,FALSE)*$Q266*IFERROR((VLOOKUP(P266,Settings!$E$28:$F$33,2,FALSE)+1),1)</f>
        <v>21.507438188064402</v>
      </c>
      <c r="U266" s="40">
        <f>SUM(S266:T266)</f>
        <v>26.088022496402214</v>
      </c>
      <c r="V266" s="40">
        <f>VLOOKUP(B266,'Player Data'!$A1:$AE734,10,FALSE)*$Q266*IFERROR(((VLOOKUP(P266,Settings!$E$28:$F$33,2,FALSE)/2)+1),1)</f>
        <v>137.53207311218796</v>
      </c>
      <c r="W266" s="40">
        <f>VLOOKUP(B266,'Player Data'!$A1:$AE734,11,FALSE)*$Q266*IFERROR((VLOOKUP(P266,Settings!$E$28:$F$33,2,FALSE)+1),1)</f>
        <v>1.0521573294039164</v>
      </c>
      <c r="X266" s="40">
        <f>VLOOKUP(B266,'Player Data'!$A1:$AE734,12,FALSE)*$Q266*IFERROR((VLOOKUP(P266,Settings!$E$28:$F$33,2,FALSE)+1),1)</f>
        <v>10.143834170323936</v>
      </c>
      <c r="Y266" s="40">
        <f>VLOOKUP(B266,'Player Data'!$A1:$AE734,13,FALSE)*$Q266</f>
        <v>-8.6455998470374128E-3</v>
      </c>
      <c r="Z266" s="40">
        <f>VLOOKUP(B266,'Player Data'!$A1:$AE734,14,FALSE)*$Q266</f>
        <v>-4.8260326687577321E-2</v>
      </c>
      <c r="AA266" s="40">
        <f>VLOOKUP(B266,'Player Data'!$A1:$AE734,15,FALSE)*$Q266</f>
        <v>104.09025589714425</v>
      </c>
      <c r="AB266" s="40">
        <f>VLOOKUP(B266,'Player Data'!$A1:$AE734,16,FALSE)*$Q266</f>
        <v>81.676379767082992</v>
      </c>
      <c r="AC266" s="40">
        <f>VLOOKUP(B266,'Player Data'!$A1:$AE734,17,FALSE)*$Q266*IFERROR((VLOOKUP(P266,Settings!$E$28:$F$33,2,FALSE)+1),1)</f>
        <v>2.3793412564464487</v>
      </c>
      <c r="AD266" s="40">
        <f>VLOOKUP(B266,'Player Data'!$A1:$AE734,18,FALSE)*$Q266</f>
        <v>37.26408938474404</v>
      </c>
      <c r="AE266" s="40">
        <f>VLOOKUP(B266,'Player Data'!$A1:$AE734,19,FALSE)*$Q266*IFERROR((VLOOKUP(P266,Settings!$E$28:$F$33,2,FALSE)+1),1)</f>
        <v>0.76898996230884575</v>
      </c>
      <c r="AF266" s="40">
        <f>VLOOKUP(B266,'Player Data'!$A1:$AE734,20,FALSE)*$Q266</f>
        <v>0</v>
      </c>
      <c r="AG266" s="40">
        <f>VLOOKUP(B266,'Player Data'!$A1:$AE734,21,FALSE)*$Q266</f>
        <v>0.14463512904277565</v>
      </c>
      <c r="AH266" s="41">
        <f>VLOOKUP(B266,'Player Data'!$A1:$AE734,22,FALSE)</f>
        <v>0</v>
      </c>
      <c r="AI266" s="38"/>
      <c r="AJ266" s="42"/>
      <c r="AK266" s="40"/>
      <c r="AL266" s="40"/>
      <c r="AM266" s="40"/>
      <c r="AN266" s="40"/>
      <c r="AO266" s="40"/>
      <c r="AP266" s="40"/>
      <c r="AQ266" s="43"/>
      <c r="AR266" s="44"/>
      <c r="AS266" s="38"/>
    </row>
    <row r="267" spans="1:45" ht="21.2" customHeight="1">
      <c r="A267" s="181">
        <f t="shared" si="25"/>
        <v>266</v>
      </c>
      <c r="B267" s="8" t="s">
        <v>807</v>
      </c>
      <c r="C267" s="31" t="s">
        <v>104</v>
      </c>
      <c r="D267" s="32" t="str">
        <f>VLOOKUP(B267,'Player Data'!A1:D734,4,FALSE)</f>
        <v>G</v>
      </c>
      <c r="E267" s="50">
        <f>VLOOKUP(B267,G!A1:D75,3,FALSE)</f>
        <v>59</v>
      </c>
      <c r="F267" s="34" t="str">
        <f>VLOOKUP(B267,'Player Data'!A1:B734,2,FALSE)</f>
        <v>DAL</v>
      </c>
      <c r="G267" s="9">
        <f>VLOOKUP(B267,'Player Data'!A1:D734,3,FALSE)</f>
        <v>31</v>
      </c>
      <c r="H267" s="35">
        <f>IFERROR(VLOOKUP(B267,ADP!A1:G731,7,FALSE)/1000000,VLOOKUP(B267,ADP!A1:G731,7,FALSE))</f>
        <v>1</v>
      </c>
      <c r="I267" s="36">
        <f>IF(Settings!$E$15="POINTS",(AJ267*Settings!$B$29)+(AK267*Settings!$B$21)+(AL267*Settings!$B$22)+(AN267*Settings!$B$24)+(AO267*Settings!$B$25)+(AP267*Settings!$B$27)+(AM267*Settings!$B$23),VLOOKUP(B267,'Standard Deviations'!A1:C731,3,FALSE))</f>
        <v>-1.8941764597144568</v>
      </c>
      <c r="J267" s="37">
        <f t="shared" si="26"/>
        <v>-0.10523202553969205</v>
      </c>
      <c r="K267" s="183">
        <f>VLOOKUP(B267,G!A1:F75,6,FALSE)</f>
        <v>-3.5984055109047484</v>
      </c>
      <c r="L267" s="36">
        <f t="shared" si="27"/>
        <v>-3.5984055109047484</v>
      </c>
      <c r="M267" s="52" t="str">
        <f>IF(Settings!$E$9="YAHOO",VLOOKUP(B267,ADP!A1:E731,2,FALSE),IF(Settings!$E$9="ESPN",VLOOKUP(B267,ADP!A1:E731,3,FALSE),IF(Settings!$E$9="FANTRAX",VLOOKUP(B267,ADP!A1:E731,4,FALSE),VLOOKUP(B267,ADP!A1:E731,5,FALSE))))</f>
        <v>-</v>
      </c>
      <c r="N267" s="52" t="str">
        <f t="shared" si="28"/>
        <v>N/A</v>
      </c>
      <c r="O267" s="38"/>
      <c r="P267" s="39" t="str">
        <f>IF(Settings!$E$27="ON",_xlfn.XLOOKUP(B267,ADP!A2:A731,ADP!H2:H731)," ")</f>
        <v xml:space="preserve"> </v>
      </c>
      <c r="Q267" s="40"/>
      <c r="R267" s="51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1"/>
      <c r="AI267" s="38"/>
      <c r="AJ267" s="42">
        <f>VLOOKUP(B267,'Player Data'!$A1:$AE734,24,FALSE)</f>
        <v>18</v>
      </c>
      <c r="AK267" s="40">
        <f>VLOOKUP(B267,'Player Data'!$A1:$AE734,25,FALSE)*$AJ267*IFERROR((VLOOKUP(P267,Settings!$E$28:$F$33,2,FALSE)+1),1)</f>
        <v>10.031034636479772</v>
      </c>
      <c r="AL267" s="40">
        <f>AJ267-AK267-AM267</f>
        <v>5.718965363520228</v>
      </c>
      <c r="AM267" s="40">
        <f>VLOOKUP(B267,'Player Data'!$A1:$AE734,27,FALSE)*$AJ267</f>
        <v>2.25</v>
      </c>
      <c r="AN267" s="40">
        <f>VLOOKUP(B267,'Player Data'!$A1:$AE734,28,FALSE)*AJ267</f>
        <v>0.98676556485423117</v>
      </c>
      <c r="AO267" s="40">
        <f>VLOOKUP(B267,'Player Data'!$A1:$AE734,29,FALSE)*$AJ267*IFERROR((VLOOKUP(P267,Settings!$E$28:$F$33,2,FALSE)/4)+1,1)</f>
        <v>478.7526325867704</v>
      </c>
      <c r="AP267" s="40">
        <f>VLOOKUP(B267,'Player Data'!$A1:$AE734,31,FALSE)*$AJ267*(IFERROR(1-(VLOOKUP(P267,Settings!$E$28:$F$33,2,FALSE)/4),1))</f>
        <v>50.885267475729961</v>
      </c>
      <c r="AQ267" s="43">
        <f>1-(AP267/(AO267+AP267))</f>
        <v>0.90392442181776422</v>
      </c>
      <c r="AR267" s="44">
        <f>AP267/AJ267</f>
        <v>2.8269593042072199</v>
      </c>
      <c r="AS267" s="38"/>
    </row>
    <row r="268" spans="1:45" ht="21.2" customHeight="1">
      <c r="A268" s="181">
        <f t="shared" si="25"/>
        <v>267</v>
      </c>
      <c r="B268" s="8" t="s">
        <v>303</v>
      </c>
      <c r="C268" s="31" t="s">
        <v>104</v>
      </c>
      <c r="D268" s="32" t="str">
        <f>VLOOKUP(B268,'Player Data'!A1:D734,4,FALSE)</f>
        <v>D</v>
      </c>
      <c r="E268" s="47">
        <f>VLOOKUP(B268,D!A1:C229,3,FALSE)</f>
        <v>74</v>
      </c>
      <c r="F268" s="34" t="str">
        <f>VLOOKUP(B268,'Player Data'!A1:B734,2,FALSE)</f>
        <v>CAR</v>
      </c>
      <c r="G268" s="9">
        <f>VLOOKUP(B268,'Player Data'!A1:D734,3,FALSE)</f>
        <v>28</v>
      </c>
      <c r="H268" s="35">
        <f>IFERROR(VLOOKUP(B268,ADP!A1:G731,7,FALSE)/1000000,VLOOKUP(B268,ADP!A1:G731,7,FALSE))</f>
        <v>4.0250000000000004</v>
      </c>
      <c r="I268" s="36">
        <f>IF(Settings!$E$15="POINTS",((R268*Q268)*Settings!$B$12)+(S268*Settings!$B$2)+(T268*Settings!$B$3)+(U268*Settings!$B$4)+(V268*Settings!$B$5)+(X268*Settings!$B$9)+(AA268*Settings!$B$6)+(W268*Settings!$B$8)+(AB268*Settings!$B$7)+(AC268*Settings!$B$14)+(AD268*Settings!$B$15)+(AE268*Settings!$B$16)+(AF268*Settings!$B$17)+(AG268*Settings!$B$18)+(U268*Settings!$B$13)+(Y268*Settings!$B$10)+(Z268*Settings!$B$11),VLOOKUP(B268,'Standard Deviations'!A1:C731,3,FALSE))</f>
        <v>-1.6573014810760707</v>
      </c>
      <c r="J268" s="37">
        <f t="shared" si="26"/>
        <v>-2.0210993671659398E-2</v>
      </c>
      <c r="K268" s="183">
        <f>VLOOKUP(B268,D!A1:F229,6,FALSE)</f>
        <v>-3.5990420247103811</v>
      </c>
      <c r="L268" s="36">
        <f t="shared" si="27"/>
        <v>-0.89417193160506359</v>
      </c>
      <c r="M268" s="52" t="str">
        <f>IF(Settings!$E$9="YAHOO",VLOOKUP(B268,ADP!A1:E731,2,FALSE),IF(Settings!$E$9="ESPN",VLOOKUP(B268,ADP!A1:E731,3,FALSE),IF(Settings!$E$9="FANTRAX",VLOOKUP(B268,ADP!A1:E731,4,FALSE),VLOOKUP(B268,ADP!A1:E731,5,FALSE))))</f>
        <v>-</v>
      </c>
      <c r="N268" s="52" t="str">
        <f t="shared" si="28"/>
        <v>N/A</v>
      </c>
      <c r="O268" s="38"/>
      <c r="P268" s="39" t="str">
        <f>IF(Settings!$E$27="ON",_xlfn.XLOOKUP(B268,ADP!A2:A731,ADP!H2:H731)," ")</f>
        <v xml:space="preserve"> </v>
      </c>
      <c r="Q268" s="40">
        <f>IF(Settings!$E$12="YES",VLOOKUP(B268,'Player Data'!A1:E734,5,FALSE),82)</f>
        <v>82</v>
      </c>
      <c r="R268" s="38">
        <f>VLOOKUP(B268,'Player Data'!$A1:$AE734,6,FALSE)</f>
        <v>21.342498913871999</v>
      </c>
      <c r="S268" s="40">
        <f>VLOOKUP(B268,'Player Data'!$A1:$AE734,7,FALSE)*$Q268*IFERROR((VLOOKUP(P268,Settings!$E$28:$F$33,2,FALSE)+1),1)</f>
        <v>6.0231938108005911</v>
      </c>
      <c r="T268" s="40">
        <f>VLOOKUP(B268,'Player Data'!$A1:$AE734,8,FALSE)*$Q268*IFERROR((VLOOKUP(P268,Settings!$E$28:$F$33,2,FALSE)+1),1)</f>
        <v>25.065031242283304</v>
      </c>
      <c r="U268" s="40">
        <f>SUM(S268:T268)</f>
        <v>31.088225053083896</v>
      </c>
      <c r="V268" s="40">
        <f>VLOOKUP(B268,'Player Data'!$A1:$AE734,10,FALSE)*$Q268*IFERROR(((VLOOKUP(P268,Settings!$E$28:$F$33,2,FALSE)/2)+1),1)</f>
        <v>145.57151591009992</v>
      </c>
      <c r="W268" s="40">
        <f>VLOOKUP(B268,'Player Data'!$A1:$AE734,11,FALSE)*$Q268*IFERROR((VLOOKUP(P268,Settings!$E$28:$F$33,2,FALSE)+1),1)</f>
        <v>0.58268505672678561</v>
      </c>
      <c r="X268" s="40">
        <f>VLOOKUP(B268,'Player Data'!$A1:$AE734,12,FALSE)*$Q268*IFERROR((VLOOKUP(P268,Settings!$E$28:$F$33,2,FALSE)+1),1)</f>
        <v>2.4720109890079902</v>
      </c>
      <c r="Y268" s="40">
        <f>VLOOKUP(B268,'Player Data'!$A1:$AE734,13,FALSE)*$Q268</f>
        <v>1.202674403721672E-2</v>
      </c>
      <c r="Z268" s="40">
        <f>VLOOKUP(B268,'Player Data'!$A1:$AE734,14,FALSE)*$Q268</f>
        <v>1.0169748166394013</v>
      </c>
      <c r="AA268" s="40">
        <f>VLOOKUP(B268,'Player Data'!$A1:$AE734,15,FALSE)*$Q268</f>
        <v>113.68673634423374</v>
      </c>
      <c r="AB268" s="40">
        <f>VLOOKUP(B268,'Player Data'!$A1:$AE734,16,FALSE)*$Q268</f>
        <v>48.550554821925495</v>
      </c>
      <c r="AC268" s="40">
        <f>VLOOKUP(B268,'Player Data'!$A1:$AE734,17,FALSE)*$Q268*IFERROR((VLOOKUP(P268,Settings!$E$28:$F$33,2,FALSE)+1),1)</f>
        <v>7.3616592650624924</v>
      </c>
      <c r="AD268" s="40">
        <f>VLOOKUP(B268,'Player Data'!$A1:$AE734,18,FALSE)*$Q268</f>
        <v>33.280109331273522</v>
      </c>
      <c r="AE268" s="40">
        <f>VLOOKUP(B268,'Player Data'!$A1:$AE734,19,FALSE)*$Q268*IFERROR((VLOOKUP(P268,Settings!$E$28:$F$33,2,FALSE)+1),1)</f>
        <v>1.080695839166379</v>
      </c>
      <c r="AF268" s="40">
        <f>VLOOKUP(B268,'Player Data'!$A1:$AE734,20,FALSE)*$Q268</f>
        <v>0</v>
      </c>
      <c r="AG268" s="40">
        <f>VLOOKUP(B268,'Player Data'!$A1:$AE734,21,FALSE)*$Q268</f>
        <v>0</v>
      </c>
      <c r="AH268" s="41">
        <f>VLOOKUP(B268,'Player Data'!$A1:$AE734,22,FALSE)</f>
        <v>0</v>
      </c>
      <c r="AI268" s="38"/>
      <c r="AJ268" s="42"/>
      <c r="AK268" s="40"/>
      <c r="AL268" s="40"/>
      <c r="AM268" s="40"/>
      <c r="AN268" s="40"/>
      <c r="AO268" s="40"/>
      <c r="AP268" s="40"/>
      <c r="AQ268" s="43"/>
      <c r="AR268" s="44"/>
      <c r="AS268" s="42"/>
    </row>
    <row r="269" spans="1:45" ht="21.2" customHeight="1">
      <c r="A269" s="181">
        <f t="shared" si="25"/>
        <v>268</v>
      </c>
      <c r="B269" s="8" t="s">
        <v>290</v>
      </c>
      <c r="C269" s="31" t="s">
        <v>104</v>
      </c>
      <c r="D269" s="32" t="str">
        <f>VLOOKUP(B269,'Player Data'!A1:D734,4,FALSE)</f>
        <v>RW</v>
      </c>
      <c r="E269" s="46">
        <f>VLOOKUP(B269,RW!A1:F189,3,FALSE)</f>
        <v>62</v>
      </c>
      <c r="F269" s="34" t="str">
        <f>VLOOKUP(B269,'Player Data'!A1:B734,2,FALSE)</f>
        <v>SEA</v>
      </c>
      <c r="G269" s="9">
        <f>VLOOKUP(B269,'Player Data'!A1:D734,3,FALSE)</f>
        <v>33</v>
      </c>
      <c r="H269" s="35">
        <f>IFERROR(VLOOKUP(B269,ADP!A1:G731,7,FALSE)/1000000,VLOOKUP(B269,ADP!A1:G731,7,FALSE))</f>
        <v>5.5</v>
      </c>
      <c r="I269" s="36">
        <f>IF(Settings!$E$15="POINTS",((R269*Q269)*Settings!$B$12)+(S269*Settings!$B$2)+(T269*Settings!$B$3)+(U269*Settings!$B$4)+(V269*Settings!$B$5)+(X269*Settings!$B$9)+(AA269*Settings!$B$6)+(W269*Settings!$B$8)+(AB269*Settings!$B$7)+(AC269*Settings!$B$14)+(AD269*Settings!$B$15)+(AE269*Settings!$B$16)+(AF269*Settings!$B$17)+(AG269*Settings!$B$18)+(Y269*Settings!$B$10)+(Z269*Settings!$B$11),VLOOKUP(B269,'Standard Deviations'!A1:C731,3,FALSE))</f>
        <v>2.6791340713561493</v>
      </c>
      <c r="J269" s="37">
        <f t="shared" si="26"/>
        <v>3.2672366723855477E-2</v>
      </c>
      <c r="K269" s="183">
        <f>IF(Settings!$E$18="C/LW/RW",VLOOKUP(B269,RW!A1:F189,6,FALSE),VLOOKUP(B269,F!A1:F431,6,FALSE))</f>
        <v>-3.6011246476549315</v>
      </c>
      <c r="L269" s="36">
        <f t="shared" si="27"/>
        <v>-0.65474993593726027</v>
      </c>
      <c r="M269" s="38">
        <f>IF(Settings!$E$9="YAHOO",VLOOKUP(B269,ADP!A1:E731,2,FALSE),IF(Settings!$E$9="ESPN",VLOOKUP(B269,ADP!A1:E731,3,FALSE),IF(Settings!$E$9="FANTRAX",VLOOKUP(B269,ADP!A1:E731,4,FALSE),VLOOKUP(B269,ADP!A1:E731,5,FALSE))))</f>
        <v>216.09</v>
      </c>
      <c r="N269" s="38">
        <f t="shared" si="28"/>
        <v>-51.91</v>
      </c>
      <c r="O269" s="38"/>
      <c r="P269" s="39" t="str">
        <f>IF(Settings!$E$27="ON",_xlfn.XLOOKUP(B269,ADP!A2:A731,ADP!H2:H731)," ")</f>
        <v xml:space="preserve"> </v>
      </c>
      <c r="Q269" s="40">
        <f>IF(Settings!$E$12="YES",VLOOKUP(B269,'Player Data'!A1:E734,5,FALSE),82)</f>
        <v>82</v>
      </c>
      <c r="R269" s="38">
        <f>VLOOKUP(B269,'Player Data'!$A1:$AE734,6,FALSE)</f>
        <v>16.823215685175299</v>
      </c>
      <c r="S269" s="40">
        <f>VLOOKUP(B269,'Player Data'!$A1:$AE734,7,FALSE)*$Q269*IFERROR((VLOOKUP(P269,Settings!$E$28:$F$33,2,FALSE)+1),1)</f>
        <v>19.221596169551137</v>
      </c>
      <c r="T269" s="40">
        <f>VLOOKUP(B269,'Player Data'!$A1:$AE734,8,FALSE)*$Q269*IFERROR((VLOOKUP(P269,Settings!$E$28:$F$33,2,FALSE)+1),1)</f>
        <v>32.955034710946776</v>
      </c>
      <c r="U269" s="40">
        <f>SUM(S269:T269)</f>
        <v>52.17663088049791</v>
      </c>
      <c r="V269" s="40">
        <f>VLOOKUP(B269,'Player Data'!$A1:$AE734,10,FALSE)*$Q269*IFERROR(((VLOOKUP(P269,Settings!$E$28:$F$33,2,FALSE)/2)+1),1)</f>
        <v>177.491050421316</v>
      </c>
      <c r="W269" s="40">
        <f>VLOOKUP(B269,'Player Data'!$A1:$AE734,11,FALSE)*$Q269*IFERROR((VLOOKUP(P269,Settings!$E$28:$F$33,2,FALSE)+1),1)</f>
        <v>3.581435916525828</v>
      </c>
      <c r="X269" s="40">
        <f>VLOOKUP(B269,'Player Data'!$A1:$AE734,12,FALSE)*$Q269*IFERROR((VLOOKUP(P269,Settings!$E$28:$F$33,2,FALSE)+1),1)</f>
        <v>12.786804406845176</v>
      </c>
      <c r="Y269" s="40">
        <f>VLOOKUP(B269,'Player Data'!$A1:$AE734,13,FALSE)*$Q269</f>
        <v>7.3864728589298784E-3</v>
      </c>
      <c r="Z269" s="40">
        <f>VLOOKUP(B269,'Player Data'!$A1:$AE734,14,FALSE)*$Q269</f>
        <v>1.2454920468051496E-2</v>
      </c>
      <c r="AA269" s="40">
        <f>VLOOKUP(B269,'Player Data'!$A1:$AE734,15,FALSE)*$Q269</f>
        <v>29.688954575905079</v>
      </c>
      <c r="AB269" s="40">
        <f>VLOOKUP(B269,'Player Data'!$A1:$AE734,16,FALSE)*$Q269</f>
        <v>48.068006317057986</v>
      </c>
      <c r="AC269" s="40">
        <f>VLOOKUP(B269,'Player Data'!$A1:$AE734,17,FALSE)*$Q269*IFERROR((VLOOKUP(P269,Settings!$E$28:$F$33,2,FALSE)+1),1)</f>
        <v>1.0893667452705631</v>
      </c>
      <c r="AD269" s="40">
        <f>VLOOKUP(B269,'Player Data'!$A1:$AE734,18,FALSE)*$Q269</f>
        <v>27.277563693792061</v>
      </c>
      <c r="AE269" s="40">
        <f>VLOOKUP(B269,'Player Data'!$A1:$AE734,19,FALSE)*$Q269*IFERROR((VLOOKUP(P269,Settings!$E$28:$F$33,2,FALSE)+1),1)</f>
        <v>2.7018063210826697</v>
      </c>
      <c r="AF269" s="40">
        <f>VLOOKUP(B269,'Player Data'!$A1:$AE734,20,FALSE)*$Q269</f>
        <v>23.723271340850115</v>
      </c>
      <c r="AG269" s="40">
        <f>VLOOKUP(B269,'Player Data'!$A1:$AE734,21,FALSE)*$Q269</f>
        <v>37.843223058653606</v>
      </c>
      <c r="AH269" s="41">
        <f>VLOOKUP(B269,'Player Data'!$A1:$AE734,22,FALSE)</f>
        <v>0.38532762945556498</v>
      </c>
      <c r="AI269" s="38"/>
      <c r="AJ269" s="40"/>
      <c r="AK269" s="40"/>
      <c r="AL269" s="40"/>
      <c r="AM269" s="40"/>
      <c r="AN269" s="40"/>
      <c r="AO269" s="40"/>
      <c r="AP269" s="40"/>
      <c r="AQ269" s="43"/>
      <c r="AR269" s="44"/>
      <c r="AS269" s="38"/>
    </row>
    <row r="270" spans="1:45" ht="21.2" customHeight="1">
      <c r="A270" s="181">
        <f t="shared" si="25"/>
        <v>269</v>
      </c>
      <c r="B270" s="8" t="s">
        <v>803</v>
      </c>
      <c r="C270" s="31" t="s">
        <v>104</v>
      </c>
      <c r="D270" s="32" t="str">
        <f>VLOOKUP(B270,'Player Data'!A1:D734,4,FALSE)</f>
        <v>G</v>
      </c>
      <c r="E270" s="50">
        <f>VLOOKUP(B270,G!A1:D75,3,FALSE)</f>
        <v>60</v>
      </c>
      <c r="F270" s="34" t="str">
        <f>VLOOKUP(B270,'Player Data'!A1:B734,2,FALSE)</f>
        <v>STL</v>
      </c>
      <c r="G270" s="9">
        <f>VLOOKUP(B270,'Player Data'!A1:D734,3,FALSE)</f>
        <v>23</v>
      </c>
      <c r="H270" s="35">
        <f>IFERROR(VLOOKUP(B270,ADP!A1:G731,7,FALSE)/1000000,VLOOKUP(B270,ADP!A1:G731,7,FALSE))</f>
        <v>0</v>
      </c>
      <c r="I270" s="36">
        <f>IF(Settings!$E$15="POINTS",(AJ270*Settings!$B$29)+(AK270*Settings!$B$21)+(AL270*Settings!$B$22)+(AN270*Settings!$B$24)+(AO270*Settings!$B$25)+(AP270*Settings!$B$27)+(AM270*Settings!$B$23),VLOOKUP(B270,'Standard Deviations'!A1:C731,3,FALSE))</f>
        <v>-1.9199198745436696</v>
      </c>
      <c r="J270" s="37">
        <f t="shared" si="26"/>
        <v>-9.5995993727183482E-2</v>
      </c>
      <c r="K270" s="183">
        <f>VLOOKUP(B270,G!A1:F75,6,FALSE)</f>
        <v>-3.6241489257339614</v>
      </c>
      <c r="L270" s="49" t="str">
        <f t="shared" si="27"/>
        <v>N/A</v>
      </c>
      <c r="M270" s="38">
        <f>IF(Settings!$E$9="YAHOO",VLOOKUP(B270,ADP!A1:E731,2,FALSE),IF(Settings!$E$9="ESPN",VLOOKUP(B270,ADP!A1:E731,3,FALSE),IF(Settings!$E$9="FANTRAX",VLOOKUP(B270,ADP!A1:E731,4,FALSE),VLOOKUP(B270,ADP!A1:E731,5,FALSE))))</f>
        <v>416.73</v>
      </c>
      <c r="N270" s="38">
        <f t="shared" si="28"/>
        <v>147.73000000000002</v>
      </c>
      <c r="O270" s="38"/>
      <c r="P270" s="39" t="str">
        <f>IF(Settings!$E$27="ON",_xlfn.XLOOKUP(B270,ADP!A2:A731,ADP!H2:H731)," ")</f>
        <v xml:space="preserve"> </v>
      </c>
      <c r="Q270" s="40"/>
      <c r="R270" s="51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1"/>
      <c r="AI270" s="38"/>
      <c r="AJ270" s="42">
        <f>VLOOKUP(B270,'Player Data'!$A1:$AE734,24,FALSE)</f>
        <v>20</v>
      </c>
      <c r="AK270" s="40">
        <f>VLOOKUP(B270,'Player Data'!$A1:$AE734,25,FALSE)*$AJ270*IFERROR((VLOOKUP(P270,Settings!$E$28:$F$33,2,FALSE)+1),1)</f>
        <v>7.9978568358312394</v>
      </c>
      <c r="AL270" s="40">
        <f>AJ270-AK270-AM270</f>
        <v>9.5021431641687606</v>
      </c>
      <c r="AM270" s="40">
        <f>VLOOKUP(B270,'Player Data'!$A1:$AE734,27,FALSE)*$AJ270</f>
        <v>2.5</v>
      </c>
      <c r="AN270" s="40">
        <f>VLOOKUP(B270,'Player Data'!$A1:$AE734,28,FALSE)*AJ270</f>
        <v>0.65689420487997996</v>
      </c>
      <c r="AO270" s="40">
        <f>VLOOKUP(B270,'Player Data'!$A1:$AE734,29,FALSE)*$AJ270*IFERROR((VLOOKUP(P270,Settings!$E$28:$F$33,2,FALSE)/4)+1,1)</f>
        <v>566.83099695588999</v>
      </c>
      <c r="AP270" s="40">
        <f>VLOOKUP(B270,'Player Data'!$A1:$AE734,31,FALSE)*$AJ270*(IFERROR(1-(VLOOKUP(P270,Settings!$E$28:$F$33,2,FALSE)/4),1))</f>
        <v>62.291960669110196</v>
      </c>
      <c r="AQ270" s="43">
        <f>1-(AP270/(AO270+AP270))</f>
        <v>0.90098603156326018</v>
      </c>
      <c r="AR270" s="44">
        <f>AP270/AJ270</f>
        <v>3.1145980334555099</v>
      </c>
      <c r="AS270" s="42"/>
    </row>
    <row r="271" spans="1:45" ht="21.2" customHeight="1">
      <c r="A271" s="181">
        <f t="shared" si="25"/>
        <v>270</v>
      </c>
      <c r="B271" s="8" t="s">
        <v>285</v>
      </c>
      <c r="C271" s="31" t="s">
        <v>104</v>
      </c>
      <c r="D271" s="32" t="str">
        <f>VLOOKUP(B271,'Player Data'!A1:D734,4,FALSE)</f>
        <v>LW,RW</v>
      </c>
      <c r="E271" s="45">
        <f>VLOOKUP(B271,RW!A1:F189,3,FALSE)</f>
        <v>63</v>
      </c>
      <c r="F271" s="34" t="str">
        <f>VLOOKUP(B271,'Player Data'!A1:B734,2,FALSE)</f>
        <v>CGY</v>
      </c>
      <c r="G271" s="9">
        <f>VLOOKUP(B271,'Player Data'!A1:D734,3,FALSE)</f>
        <v>27</v>
      </c>
      <c r="H271" s="35">
        <f>IFERROR(VLOOKUP(B271,ADP!A1:G731,7,FALSE)/1000000,VLOOKUP(B271,ADP!A1:G731,7,FALSE))</f>
        <v>5.8</v>
      </c>
      <c r="I271" s="36">
        <f>IF(Settings!$E$15="POINTS",((R271*Q271)*Settings!$B$12)+(S271*Settings!$B$2)+(T271*Settings!$B$3)+(U271*Settings!$B$4)+(V271*Settings!$B$5)+(X271*Settings!$B$9)+(AA271*Settings!$B$6)+(W271*Settings!$B$8)+(AB271*Settings!$B$7)+(AC271*Settings!$B$14)+(AD271*Settings!$B$15)+(AE271*Settings!$B$16)+(AF271*Settings!$B$17)+(AG271*Settings!$B$18)+(Y271*Settings!$B$10)+(Z271*Settings!$B$11),VLOOKUP(B271,'Standard Deviations'!A1:C731,3,FALSE))</f>
        <v>2.6355153002385889</v>
      </c>
      <c r="J271" s="37">
        <f t="shared" si="26"/>
        <v>3.2140430490714501E-2</v>
      </c>
      <c r="K271" s="183">
        <f>IF(Settings!$E$18="C/LW/RW",VLOOKUP(B271,RW!A1:F189,6,FALSE),VLOOKUP(B271,F!A1:F431,6,FALSE))</f>
        <v>-3.6447434187724919</v>
      </c>
      <c r="L271" s="36">
        <f t="shared" si="27"/>
        <v>-0.62840403771939513</v>
      </c>
      <c r="M271" s="38">
        <f>IF(Settings!$E$9="YAHOO",VLOOKUP(B271,ADP!A1:E731,2,FALSE),IF(Settings!$E$9="ESPN",VLOOKUP(B271,ADP!A1:E731,3,FALSE),IF(Settings!$E$9="FANTRAX",VLOOKUP(B271,ADP!A1:E731,4,FALSE),VLOOKUP(B271,ADP!A1:E731,5,FALSE))))</f>
        <v>229.84</v>
      </c>
      <c r="N271" s="38">
        <f t="shared" si="28"/>
        <v>-40.159999999999997</v>
      </c>
      <c r="O271" s="38"/>
      <c r="P271" s="39" t="str">
        <f>IF(Settings!$E$27="ON",_xlfn.XLOOKUP(B271,ADP!A2:A731,ADP!H2:H731)," ")</f>
        <v xml:space="preserve"> </v>
      </c>
      <c r="Q271" s="40">
        <f>IF(Settings!$E$12="YES",VLOOKUP(B271,'Player Data'!A1:E734,5,FALSE),82)</f>
        <v>82</v>
      </c>
      <c r="R271" s="38">
        <f>VLOOKUP(B271,'Player Data'!$A1:$AE734,6,FALSE)</f>
        <v>17.548043859374999</v>
      </c>
      <c r="S271" s="40">
        <f>VLOOKUP(B271,'Player Data'!$A1:$AE734,7,FALSE)*$Q271*IFERROR((VLOOKUP(P271,Settings!$E$28:$F$33,2,FALSE)+1),1)</f>
        <v>26.194865227461381</v>
      </c>
      <c r="T271" s="40">
        <f>VLOOKUP(B271,'Player Data'!$A1:$AE734,8,FALSE)*$Q271*IFERROR((VLOOKUP(P271,Settings!$E$28:$F$33,2,FALSE)+1),1)</f>
        <v>26.83319944495771</v>
      </c>
      <c r="U271" s="40">
        <f>SUM(S271:T271)</f>
        <v>53.028064672419092</v>
      </c>
      <c r="V271" s="40">
        <f>VLOOKUP(B271,'Player Data'!$A1:$AE734,10,FALSE)*$Q271*IFERROR(((VLOOKUP(P271,Settings!$E$28:$F$33,2,FALSE)/2)+1),1)</f>
        <v>182.21631775228661</v>
      </c>
      <c r="W271" s="40">
        <f>VLOOKUP(B271,'Player Data'!$A1:$AE734,11,FALSE)*$Q271*IFERROR((VLOOKUP(P271,Settings!$E$28:$F$33,2,FALSE)+1),1)</f>
        <v>5.0198798250719001</v>
      </c>
      <c r="X271" s="40">
        <f>VLOOKUP(B271,'Player Data'!$A1:$AE734,12,FALSE)*$Q271*IFERROR((VLOOKUP(P271,Settings!$E$28:$F$33,2,FALSE)+1),1)</f>
        <v>8.9494271166638129</v>
      </c>
      <c r="Y271" s="40">
        <f>VLOOKUP(B271,'Player Data'!$A1:$AE734,13,FALSE)*$Q271</f>
        <v>0.7314950393344114</v>
      </c>
      <c r="Z271" s="40">
        <f>VLOOKUP(B271,'Player Data'!$A1:$AE734,14,FALSE)*$Q271</f>
        <v>1.9584347537715576</v>
      </c>
      <c r="AA271" s="40">
        <f>VLOOKUP(B271,'Player Data'!$A1:$AE734,15,FALSE)*$Q271</f>
        <v>30.148742223752361</v>
      </c>
      <c r="AB271" s="40">
        <f>VLOOKUP(B271,'Player Data'!$A1:$AE734,16,FALSE)*$Q271</f>
        <v>82.988564423576307</v>
      </c>
      <c r="AC271" s="40">
        <f>VLOOKUP(B271,'Player Data'!$A1:$AE734,17,FALSE)*$Q271*IFERROR((VLOOKUP(P271,Settings!$E$28:$F$33,2,FALSE)+1),1)</f>
        <v>5.0802222141788675</v>
      </c>
      <c r="AD271" s="40">
        <f>VLOOKUP(B271,'Player Data'!$A1:$AE734,18,FALSE)*$Q271</f>
        <v>37.231472200023205</v>
      </c>
      <c r="AE271" s="40">
        <f>VLOOKUP(B271,'Player Data'!$A1:$AE734,19,FALSE)*$Q271*IFERROR((VLOOKUP(P271,Settings!$E$28:$F$33,2,FALSE)+1),1)</f>
        <v>4.3771161400828511</v>
      </c>
      <c r="AF271" s="40">
        <f>VLOOKUP(B271,'Player Data'!$A1:$AE734,20,FALSE)*$Q271</f>
        <v>7.2726868801535902</v>
      </c>
      <c r="AG271" s="40">
        <f>VLOOKUP(B271,'Player Data'!$A1:$AE734,21,FALSE)*$Q271</f>
        <v>15.307430910689286</v>
      </c>
      <c r="AH271" s="41">
        <f>VLOOKUP(B271,'Player Data'!$A1:$AE734,22,FALSE)</f>
        <v>0.322083655520298</v>
      </c>
      <c r="AI271" s="38"/>
      <c r="AJ271" s="40"/>
      <c r="AK271" s="40"/>
      <c r="AL271" s="40"/>
      <c r="AM271" s="40"/>
      <c r="AN271" s="40"/>
      <c r="AO271" s="40"/>
      <c r="AP271" s="40"/>
      <c r="AQ271" s="43"/>
      <c r="AR271" s="44"/>
      <c r="AS271" s="38"/>
    </row>
    <row r="272" spans="1:45" ht="21.2" customHeight="1">
      <c r="A272" s="181">
        <f t="shared" si="25"/>
        <v>271</v>
      </c>
      <c r="B272" s="8" t="s">
        <v>301</v>
      </c>
      <c r="C272" s="31" t="s">
        <v>104</v>
      </c>
      <c r="D272" s="32" t="str">
        <f>VLOOKUP(B272,'Player Data'!A1:D734,4,FALSE)</f>
        <v>D</v>
      </c>
      <c r="E272" s="47">
        <f>VLOOKUP(B272,D!A1:C229,3,FALSE)</f>
        <v>75</v>
      </c>
      <c r="F272" s="34" t="str">
        <f>VLOOKUP(B272,'Player Data'!A1:B734,2,FALSE)</f>
        <v>STL</v>
      </c>
      <c r="G272" s="9">
        <f>VLOOKUP(B272,'Player Data'!A1:D734,3,FALSE)</f>
        <v>30</v>
      </c>
      <c r="H272" s="35">
        <f>IFERROR(VLOOKUP(B272,ADP!A1:G731,7,FALSE)/1000000,VLOOKUP(B272,ADP!A1:G731,7,FALSE))</f>
        <v>6.5</v>
      </c>
      <c r="I272" s="36">
        <f>IF(Settings!$E$15="POINTS",((R272*Q272)*Settings!$B$12)+(S272*Settings!$B$2)+(T272*Settings!$B$3)+(U272*Settings!$B$4)+(V272*Settings!$B$5)+(X272*Settings!$B$9)+(AA272*Settings!$B$6)+(W272*Settings!$B$8)+(AB272*Settings!$B$7)+(AC272*Settings!$B$14)+(AD272*Settings!$B$15)+(AE272*Settings!$B$16)+(AF272*Settings!$B$17)+(AG272*Settings!$B$18)+(U272*Settings!$B$13)+(Y272*Settings!$B$10)+(Z272*Settings!$B$11),VLOOKUP(B272,'Standard Deviations'!A1:C731,3,FALSE))</f>
        <v>-1.7168462244865428</v>
      </c>
      <c r="J272" s="37">
        <f t="shared" si="26"/>
        <v>-2.093714907910418E-2</v>
      </c>
      <c r="K272" s="183">
        <f>VLOOKUP(B272,D!A1:F229,6,FALSE)</f>
        <v>-3.6585867681208537</v>
      </c>
      <c r="L272" s="36">
        <f t="shared" si="27"/>
        <v>-0.5628595027878236</v>
      </c>
      <c r="M272" s="38">
        <f>IF(Settings!$E$9="YAHOO",VLOOKUP(B272,ADP!A1:E731,2,FALSE),IF(Settings!$E$9="ESPN",VLOOKUP(B272,ADP!A1:E731,3,FALSE),IF(Settings!$E$9="FANTRAX",VLOOKUP(B272,ADP!A1:E731,4,FALSE),VLOOKUP(B272,ADP!A1:E731,5,FALSE))))</f>
        <v>434.62</v>
      </c>
      <c r="N272" s="38">
        <f t="shared" si="28"/>
        <v>163.62</v>
      </c>
      <c r="O272" s="38"/>
      <c r="P272" s="39" t="str">
        <f>IF(Settings!$E$27="ON",_xlfn.XLOOKUP(B272,ADP!A2:A731,ADP!H2:H731)," ")</f>
        <v xml:space="preserve"> </v>
      </c>
      <c r="Q272" s="40">
        <f>IF(Settings!$E$12="YES",VLOOKUP(B272,'Player Data'!A1:E734,5,FALSE),82)</f>
        <v>82</v>
      </c>
      <c r="R272" s="38">
        <f>VLOOKUP(B272,'Player Data'!$A1:$AE734,6,FALSE)</f>
        <v>23.0827304398059</v>
      </c>
      <c r="S272" s="40">
        <f>VLOOKUP(B272,'Player Data'!$A1:$AE734,7,FALSE)*$Q272*IFERROR((VLOOKUP(P272,Settings!$E$28:$F$33,2,FALSE)+1),1)</f>
        <v>5.3917534151377389</v>
      </c>
      <c r="T272" s="40">
        <f>VLOOKUP(B272,'Player Data'!$A1:$AE734,8,FALSE)*$Q272*IFERROR((VLOOKUP(P272,Settings!$E$28:$F$33,2,FALSE)+1),1)</f>
        <v>26.881461010233583</v>
      </c>
      <c r="U272" s="40">
        <f>SUM(S272:T272)</f>
        <v>32.273214425371322</v>
      </c>
      <c r="V272" s="40">
        <f>VLOOKUP(B272,'Player Data'!$A1:$AE734,10,FALSE)*$Q272*IFERROR(((VLOOKUP(P272,Settings!$E$28:$F$33,2,FALSE)/2)+1),1)</f>
        <v>139.41298850837111</v>
      </c>
      <c r="W272" s="40">
        <f>VLOOKUP(B272,'Player Data'!$A1:$AE734,11,FALSE)*$Q272*IFERROR((VLOOKUP(P272,Settings!$E$28:$F$33,2,FALSE)+1),1)</f>
        <v>0.10426915740514693</v>
      </c>
      <c r="X272" s="40">
        <f>VLOOKUP(B272,'Player Data'!$A1:$AE734,12,FALSE)*$Q272*IFERROR((VLOOKUP(P272,Settings!$E$28:$F$33,2,FALSE)+1),1)</f>
        <v>1.6759768132778963</v>
      </c>
      <c r="Y272" s="40">
        <f>VLOOKUP(B272,'Player Data'!$A1:$AE734,13,FALSE)*$Q272</f>
        <v>-2.890367086026439E-3</v>
      </c>
      <c r="Z272" s="40">
        <f>VLOOKUP(B272,'Player Data'!$A1:$AE734,14,FALSE)*$Q272</f>
        <v>0.57764535224429014</v>
      </c>
      <c r="AA272" s="40">
        <f>VLOOKUP(B272,'Player Data'!$A1:$AE734,15,FALSE)*$Q272</f>
        <v>152.96312348500783</v>
      </c>
      <c r="AB272" s="40">
        <f>VLOOKUP(B272,'Player Data'!$A1:$AE734,16,FALSE)*$Q272</f>
        <v>105.55380041798236</v>
      </c>
      <c r="AC272" s="40">
        <f>VLOOKUP(B272,'Player Data'!$A1:$AE734,17,FALSE)*$Q272*IFERROR((VLOOKUP(P272,Settings!$E$28:$F$33,2,FALSE)+1),1)</f>
        <v>-6.4799737930768853</v>
      </c>
      <c r="AD272" s="40">
        <f>VLOOKUP(B272,'Player Data'!$A1:$AE734,18,FALSE)*$Q272</f>
        <v>30.52734363021532</v>
      </c>
      <c r="AE272" s="40">
        <f>VLOOKUP(B272,'Player Data'!$A1:$AE734,19,FALSE)*$Q272*IFERROR((VLOOKUP(P272,Settings!$E$28:$F$33,2,FALSE)+1),1)</f>
        <v>0.62044379393894389</v>
      </c>
      <c r="AF272" s="40">
        <f>VLOOKUP(B272,'Player Data'!$A1:$AE734,20,FALSE)*$Q272</f>
        <v>0</v>
      </c>
      <c r="AG272" s="40">
        <f>VLOOKUP(B272,'Player Data'!$A1:$AE734,21,FALSE)*$Q272</f>
        <v>0</v>
      </c>
      <c r="AH272" s="41">
        <f>VLOOKUP(B272,'Player Data'!$A1:$AE734,22,FALSE)</f>
        <v>0</v>
      </c>
      <c r="AI272" s="38"/>
      <c r="AJ272" s="42"/>
      <c r="AK272" s="40"/>
      <c r="AL272" s="40"/>
      <c r="AM272" s="40"/>
      <c r="AN272" s="40"/>
      <c r="AO272" s="40"/>
      <c r="AP272" s="40"/>
      <c r="AQ272" s="43"/>
      <c r="AR272" s="44"/>
      <c r="AS272" s="42"/>
    </row>
    <row r="273" spans="1:45" ht="21.2" customHeight="1">
      <c r="A273" s="181">
        <f t="shared" si="25"/>
        <v>272</v>
      </c>
      <c r="B273" s="8" t="s">
        <v>816</v>
      </c>
      <c r="C273" s="31" t="s">
        <v>104</v>
      </c>
      <c r="D273" s="32" t="str">
        <f>VLOOKUP(B273,'Player Data'!A1:D734,4,FALSE)</f>
        <v>G</v>
      </c>
      <c r="E273" s="50">
        <f>VLOOKUP(B273,G!A1:D75,3,FALSE)</f>
        <v>61</v>
      </c>
      <c r="F273" s="34" t="str">
        <f>VLOOKUP(B273,'Player Data'!A1:B734,2,FALSE)</f>
        <v>CGY</v>
      </c>
      <c r="G273" s="9">
        <f>VLOOKUP(B273,'Player Data'!A1:D734,3,FALSE)</f>
        <v>26</v>
      </c>
      <c r="H273" s="35">
        <f>IFERROR(VLOOKUP(B273,ADP!A1:G731,7,FALSE)/1000000,VLOOKUP(B273,ADP!A1:G731,7,FALSE))</f>
        <v>0</v>
      </c>
      <c r="I273" s="36">
        <f>IF(Settings!$E$15="POINTS",(AJ273*Settings!$B$29)+(AK273*Settings!$B$21)+(AL273*Settings!$B$22)+(AN273*Settings!$B$24)+(AO273*Settings!$B$25)+(AP273*Settings!$B$27)+(AM273*Settings!$B$23),VLOOKUP(B273,'Standard Deviations'!A1:C731,3,FALSE))</f>
        <v>-1.9955415366596088</v>
      </c>
      <c r="J273" s="37">
        <f t="shared" si="26"/>
        <v>-0.11086341870331159</v>
      </c>
      <c r="K273" s="183">
        <f>VLOOKUP(B273,G!A1:F75,6,FALSE)</f>
        <v>-3.6997705878499003</v>
      </c>
      <c r="L273" s="49" t="str">
        <f t="shared" si="27"/>
        <v>N/A</v>
      </c>
      <c r="M273" s="38">
        <f>IF(Settings!$E$9="YAHOO",VLOOKUP(B273,ADP!A1:E731,2,FALSE),IF(Settings!$E$9="ESPN",VLOOKUP(B273,ADP!A1:E731,3,FALSE),IF(Settings!$E$9="FANTRAX",VLOOKUP(B273,ADP!A1:E731,4,FALSE),VLOOKUP(B273,ADP!A1:E731,5,FALSE))))</f>
        <v>500.1</v>
      </c>
      <c r="N273" s="38">
        <f t="shared" si="28"/>
        <v>228.10000000000002</v>
      </c>
      <c r="O273" s="38"/>
      <c r="P273" s="39" t="str">
        <f>IF(Settings!$E$27="ON",_xlfn.XLOOKUP(B273,ADP!A2:A731,ADP!H2:H731)," ")</f>
        <v xml:space="preserve"> </v>
      </c>
      <c r="Q273" s="40"/>
      <c r="R273" s="51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1"/>
      <c r="AI273" s="38"/>
      <c r="AJ273" s="42">
        <f>VLOOKUP(B273,'Player Data'!$A1:$AE734,24,FALSE)</f>
        <v>18</v>
      </c>
      <c r="AK273" s="40">
        <f>VLOOKUP(B273,'Player Data'!$A1:$AE734,25,FALSE)*$AJ273*IFERROR((VLOOKUP(P273,Settings!$E$28:$F$33,2,FALSE)+1),1)</f>
        <v>9.0399816299393994</v>
      </c>
      <c r="AL273" s="40">
        <f>AJ273-AK273-AM273</f>
        <v>6.7100183700606006</v>
      </c>
      <c r="AM273" s="40">
        <f>VLOOKUP(B273,'Player Data'!$A1:$AE734,27,FALSE)*$AJ273</f>
        <v>2.25</v>
      </c>
      <c r="AN273" s="40">
        <f>VLOOKUP(B273,'Player Data'!$A1:$AE734,28,FALSE)*AJ273</f>
        <v>0.85108665406127038</v>
      </c>
      <c r="AO273" s="40">
        <f>VLOOKUP(B273,'Player Data'!$A1:$AE734,29,FALSE)*$AJ273*IFERROR((VLOOKUP(P273,Settings!$E$28:$F$33,2,FALSE)/4)+1,1)</f>
        <v>481.92124961304</v>
      </c>
      <c r="AP273" s="40">
        <f>VLOOKUP(B273,'Player Data'!$A1:$AE734,31,FALSE)*$AJ273*(IFERROR(1-(VLOOKUP(P273,Settings!$E$28:$F$33,2,FALSE)/4),1))</f>
        <v>52.66116944945982</v>
      </c>
      <c r="AQ273" s="43">
        <f>1-(AP273/(AO273+AP273))</f>
        <v>0.90149101883707283</v>
      </c>
      <c r="AR273" s="44">
        <f>AP273/AJ273</f>
        <v>2.92562052496999</v>
      </c>
      <c r="AS273" s="38"/>
    </row>
    <row r="274" spans="1:45" ht="21.2" customHeight="1">
      <c r="A274" s="181">
        <f t="shared" si="25"/>
        <v>273</v>
      </c>
      <c r="B274" s="8" t="s">
        <v>345</v>
      </c>
      <c r="C274" s="31" t="s">
        <v>104</v>
      </c>
      <c r="D274" s="32" t="str">
        <f>VLOOKUP(B274,'Player Data'!A1:D734,4,FALSE)</f>
        <v>D</v>
      </c>
      <c r="E274" s="47">
        <f>VLOOKUP(B274,D!A1:C229,3,FALSE)</f>
        <v>76</v>
      </c>
      <c r="F274" s="34" t="str">
        <f>VLOOKUP(B274,'Player Data'!A1:B734,2,FALSE)</f>
        <v>MTL</v>
      </c>
      <c r="G274" s="9">
        <f>VLOOKUP(B274,'Player Data'!A1:D734,3,FALSE)</f>
        <v>21</v>
      </c>
      <c r="H274" s="35">
        <f>IFERROR(VLOOKUP(B274,ADP!A1:G731,7,FALSE)/1000000,VLOOKUP(B274,ADP!A1:G731,7,FALSE))</f>
        <v>0.86333300000000002</v>
      </c>
      <c r="I274" s="36">
        <f>IF(Settings!$E$15="POINTS",((R274*Q274)*Settings!$B$12)+(S274*Settings!$B$2)+(T274*Settings!$B$3)+(U274*Settings!$B$4)+(V274*Settings!$B$5)+(X274*Settings!$B$9)+(AA274*Settings!$B$6)+(W274*Settings!$B$8)+(AB274*Settings!$B$7)+(AC274*Settings!$B$14)+(AD274*Settings!$B$15)+(AE274*Settings!$B$16)+(AF274*Settings!$B$17)+(AG274*Settings!$B$18)+(U274*Settings!$B$13)+(Y274*Settings!$B$10)+(Z274*Settings!$B$11),VLOOKUP(B274,'Standard Deviations'!A1:C731,3,FALSE))</f>
        <v>-1.7634012996426018</v>
      </c>
      <c r="J274" s="37">
        <f t="shared" si="26"/>
        <v>-2.150489389808051E-2</v>
      </c>
      <c r="K274" s="183">
        <f>VLOOKUP(B274,D!A1:F229,6,FALSE)</f>
        <v>-3.7051418432769125</v>
      </c>
      <c r="L274" s="36">
        <f t="shared" si="27"/>
        <v>-4.2916717457538542</v>
      </c>
      <c r="M274" s="52" t="str">
        <f>IF(Settings!$E$9="YAHOO",VLOOKUP(B274,ADP!A1:E731,2,FALSE),IF(Settings!$E$9="ESPN",VLOOKUP(B274,ADP!A1:E731,3,FALSE),IF(Settings!$E$9="FANTRAX",VLOOKUP(B274,ADP!A1:E731,4,FALSE),VLOOKUP(B274,ADP!A1:E731,5,FALSE))))</f>
        <v>-</v>
      </c>
      <c r="N274" s="52" t="str">
        <f t="shared" si="28"/>
        <v>N/A</v>
      </c>
      <c r="O274" s="38"/>
      <c r="P274" s="39" t="str">
        <f>IF(Settings!$E$27="ON",_xlfn.XLOOKUP(B274,ADP!A2:A731,ADP!H2:H731)," ")</f>
        <v xml:space="preserve"> </v>
      </c>
      <c r="Q274" s="40">
        <f>IF(Settings!$E$12="YES",VLOOKUP(B274,'Player Data'!A1:E734,5,FALSE),82)</f>
        <v>82</v>
      </c>
      <c r="R274" s="38">
        <f>VLOOKUP(B274,'Player Data'!$A1:$AE734,6,FALSE)</f>
        <v>20.604517182303201</v>
      </c>
      <c r="S274" s="40">
        <f>VLOOKUP(B274,'Player Data'!$A1:$AE734,7,FALSE)*$Q274*IFERROR((VLOOKUP(P274,Settings!$E$28:$F$33,2,FALSE)+1),1)</f>
        <v>7.5997542594277796</v>
      </c>
      <c r="T274" s="40">
        <f>VLOOKUP(B274,'Player Data'!$A1:$AE734,8,FALSE)*$Q274*IFERROR((VLOOKUP(P274,Settings!$E$28:$F$33,2,FALSE)+1),1)</f>
        <v>26.936289348522415</v>
      </c>
      <c r="U274" s="40">
        <f>SUM(S274:T274)</f>
        <v>34.536043607950191</v>
      </c>
      <c r="V274" s="40">
        <f>VLOOKUP(B274,'Player Data'!$A1:$AE734,10,FALSE)*$Q274*IFERROR(((VLOOKUP(P274,Settings!$E$28:$F$33,2,FALSE)/2)+1),1)</f>
        <v>113.46252569543441</v>
      </c>
      <c r="W274" s="40">
        <f>VLOOKUP(B274,'Player Data'!$A1:$AE734,11,FALSE)*$Q274*IFERROR((VLOOKUP(P274,Settings!$E$28:$F$33,2,FALSE)+1),1)</f>
        <v>0.37890536043706557</v>
      </c>
      <c r="X274" s="40">
        <f>VLOOKUP(B274,'Player Data'!$A1:$AE734,12,FALSE)*$Q274*IFERROR((VLOOKUP(P274,Settings!$E$28:$F$33,2,FALSE)+1),1)</f>
        <v>2.4101702053866929</v>
      </c>
      <c r="Y274" s="40">
        <f>VLOOKUP(B274,'Player Data'!$A1:$AE734,13,FALSE)*$Q274</f>
        <v>7.7925458859313498E-2</v>
      </c>
      <c r="Z274" s="40">
        <f>VLOOKUP(B274,'Player Data'!$A1:$AE734,14,FALSE)*$Q274</f>
        <v>0.50027557361519515</v>
      </c>
      <c r="AA274" s="40">
        <f>VLOOKUP(B274,'Player Data'!$A1:$AE734,15,FALSE)*$Q274</f>
        <v>141.51639319946932</v>
      </c>
      <c r="AB274" s="40">
        <f>VLOOKUP(B274,'Player Data'!$A1:$AE734,16,FALSE)*$Q274</f>
        <v>134.7648264167176</v>
      </c>
      <c r="AC274" s="40">
        <f>VLOOKUP(B274,'Player Data'!$A1:$AE734,17,FALSE)*$Q274*IFERROR((VLOOKUP(P274,Settings!$E$28:$F$33,2,FALSE)+1),1)</f>
        <v>-9.6227422668472737</v>
      </c>
      <c r="AD274" s="40">
        <f>VLOOKUP(B274,'Player Data'!$A1:$AE734,18,FALSE)*$Q274</f>
        <v>47.530905387302298</v>
      </c>
      <c r="AE274" s="40">
        <f>VLOOKUP(B274,'Player Data'!$A1:$AE734,19,FALSE)*$Q274*IFERROR((VLOOKUP(P274,Settings!$E$28:$F$33,2,FALSE)+1),1)</f>
        <v>0.77853489664962616</v>
      </c>
      <c r="AF274" s="40">
        <f>VLOOKUP(B274,'Player Data'!$A1:$AE734,20,FALSE)*$Q274</f>
        <v>0</v>
      </c>
      <c r="AG274" s="40">
        <f>VLOOKUP(B274,'Player Data'!$A1:$AE734,21,FALSE)*$Q274</f>
        <v>0</v>
      </c>
      <c r="AH274" s="41">
        <f>VLOOKUP(B274,'Player Data'!$A1:$AE734,22,FALSE)</f>
        <v>0</v>
      </c>
      <c r="AI274" s="38"/>
      <c r="AJ274" s="42"/>
      <c r="AK274" s="40"/>
      <c r="AL274" s="40"/>
      <c r="AM274" s="40"/>
      <c r="AN274" s="40"/>
      <c r="AO274" s="40"/>
      <c r="AP274" s="40"/>
      <c r="AQ274" s="43"/>
      <c r="AR274" s="44"/>
      <c r="AS274" s="38"/>
    </row>
    <row r="275" spans="1:45" ht="21.2" customHeight="1">
      <c r="A275" s="181">
        <f t="shared" si="25"/>
        <v>274</v>
      </c>
      <c r="B275" s="8" t="s">
        <v>367</v>
      </c>
      <c r="C275" s="31" t="s">
        <v>104</v>
      </c>
      <c r="D275" s="32" t="str">
        <f>VLOOKUP(B275,'Player Data'!A1:D734,4,FALSE)</f>
        <v>C,RW</v>
      </c>
      <c r="E275" s="45">
        <f>VLOOKUP(B275,RW!A1:F189,3,FALSE)</f>
        <v>64</v>
      </c>
      <c r="F275" s="34" t="str">
        <f>VLOOKUP(B275,'Player Data'!A1:B734,2,FALSE)</f>
        <v>NSH</v>
      </c>
      <c r="G275" s="9">
        <f>VLOOKUP(B275,'Player Data'!A1:D734,3,FALSE)</f>
        <v>24</v>
      </c>
      <c r="H275" s="35">
        <f>IFERROR(VLOOKUP(B275,ADP!A1:G731,7,FALSE)/1000000,VLOOKUP(B275,ADP!A1:G731,7,FALSE))</f>
        <v>2.5</v>
      </c>
      <c r="I275" s="36">
        <f>IF(Settings!$E$15="POINTS",((R275*Q275)*Settings!$B$12)+(S275*Settings!$B$2)+(T275*Settings!$B$3)+(U275*Settings!$B$4)+(V275*Settings!$B$5)+(X275*Settings!$B$9)+(AA275*Settings!$B$6)+(W275*Settings!$B$8)+(AB275*Settings!$B$7)+(AC275*Settings!$B$14)+(AD275*Settings!$B$15)+(AE275*Settings!$B$16)+(AF275*Settings!$B$17)+(AG275*Settings!$B$18)+(Y275*Settings!$B$10)+(Z275*Settings!$B$11),VLOOKUP(B275,'Standard Deviations'!A1:C731,3,FALSE))</f>
        <v>2.5671777929696864</v>
      </c>
      <c r="J275" s="37">
        <f t="shared" si="26"/>
        <v>3.1307046255727881E-2</v>
      </c>
      <c r="K275" s="183">
        <f>IF(Settings!$E$18="C/LW/RW",VLOOKUP(B275,RW!A1:F189,6,FALSE),VLOOKUP(B275,F!A1:F431,6,FALSE))</f>
        <v>-3.7130809260413944</v>
      </c>
      <c r="L275" s="36">
        <f t="shared" si="27"/>
        <v>-1.4852323704165578</v>
      </c>
      <c r="M275" s="52" t="str">
        <f>IF(Settings!$E$9="YAHOO",VLOOKUP(B275,ADP!A1:E731,2,FALSE),IF(Settings!$E$9="ESPN",VLOOKUP(B275,ADP!A1:E731,3,FALSE),IF(Settings!$E$9="FANTRAX",VLOOKUP(B275,ADP!A1:E731,4,FALSE),VLOOKUP(B275,ADP!A1:E731,5,FALSE))))</f>
        <v>-</v>
      </c>
      <c r="N275" s="52" t="str">
        <f t="shared" si="28"/>
        <v>N/A</v>
      </c>
      <c r="O275" s="38"/>
      <c r="P275" s="39" t="str">
        <f>IF(Settings!$E$27="ON",_xlfn.XLOOKUP(B275,ADP!A2:A731,ADP!H2:H731)," ")</f>
        <v>+</v>
      </c>
      <c r="Q275" s="40">
        <f>IF(Settings!$E$12="YES",VLOOKUP(B275,'Player Data'!A1:E734,5,FALSE),82)</f>
        <v>82</v>
      </c>
      <c r="R275" s="38">
        <f>VLOOKUP(B275,'Player Data'!$A1:$AE734,6,FALSE)</f>
        <v>16.462381640232898</v>
      </c>
      <c r="S275" s="40">
        <f>VLOOKUP(B275,'Player Data'!$A1:$AE734,7,FALSE)*$Q275*IFERROR((VLOOKUP(P275,Settings!$E$28:$F$33,2,FALSE)+1),1)</f>
        <v>20.504959321092866</v>
      </c>
      <c r="T275" s="40">
        <f>VLOOKUP(B275,'Player Data'!$A1:$AE734,8,FALSE)*$Q275*IFERROR((VLOOKUP(P275,Settings!$E$28:$F$33,2,FALSE)+1),1)</f>
        <v>30.216159978687063</v>
      </c>
      <c r="U275" s="40">
        <f>SUM(S275:T275)</f>
        <v>50.721119299779929</v>
      </c>
      <c r="V275" s="40">
        <f>VLOOKUP(B275,'Player Data'!$A1:$AE734,10,FALSE)*$Q275*IFERROR(((VLOOKUP(P275,Settings!$E$28:$F$33,2,FALSE)/2)+1),1)</f>
        <v>168.54372966218429</v>
      </c>
      <c r="W275" s="40">
        <f>VLOOKUP(B275,'Player Data'!$A1:$AE734,11,FALSE)*$Q275*IFERROR((VLOOKUP(P275,Settings!$E$28:$F$33,2,FALSE)+1),1)</f>
        <v>8.6451110998580134</v>
      </c>
      <c r="X275" s="40">
        <f>VLOOKUP(B275,'Player Data'!$A1:$AE734,12,FALSE)*$Q275*IFERROR((VLOOKUP(P275,Settings!$E$28:$F$33,2,FALSE)+1),1)</f>
        <v>14.564811655862888</v>
      </c>
      <c r="Y275" s="40">
        <f>VLOOKUP(B275,'Player Data'!$A1:$AE734,13,FALSE)*$Q275</f>
        <v>7.0884931225280043E-2</v>
      </c>
      <c r="Z275" s="40">
        <f>VLOOKUP(B275,'Player Data'!$A1:$AE734,14,FALSE)*$Q275</f>
        <v>0.14208324085028914</v>
      </c>
      <c r="AA275" s="40">
        <f>VLOOKUP(B275,'Player Data'!$A1:$AE734,15,FALSE)*$Q275</f>
        <v>38.965655390585816</v>
      </c>
      <c r="AB275" s="40">
        <f>VLOOKUP(B275,'Player Data'!$A1:$AE734,16,FALSE)*$Q275</f>
        <v>79.708140668623486</v>
      </c>
      <c r="AC275" s="40">
        <f>VLOOKUP(B275,'Player Data'!$A1:$AE734,17,FALSE)*$Q275*IFERROR((VLOOKUP(P275,Settings!$E$28:$F$33,2,FALSE)+1),1)</f>
        <v>1.228445223457274</v>
      </c>
      <c r="AD275" s="40">
        <f>VLOOKUP(B275,'Player Data'!$A1:$AE734,18,FALSE)*$Q275</f>
        <v>27.298047122208537</v>
      </c>
      <c r="AE275" s="40">
        <f>VLOOKUP(B275,'Player Data'!$A1:$AE734,19,FALSE)*$Q275*IFERROR((VLOOKUP(P275,Settings!$E$28:$F$33,2,FALSE)+1),1)</f>
        <v>2.9942603491709194</v>
      </c>
      <c r="AF275" s="40">
        <f>VLOOKUP(B275,'Player Data'!$A1:$AE734,20,FALSE)*$Q275</f>
        <v>437.9719338648178</v>
      </c>
      <c r="AG275" s="40">
        <f>VLOOKUP(B275,'Player Data'!$A1:$AE734,21,FALSE)*$Q275</f>
        <v>480.34565900721913</v>
      </c>
      <c r="AH275" s="41">
        <f>VLOOKUP(B275,'Player Data'!$A1:$AE734,22,FALSE)</f>
        <v>0.47692861082521698</v>
      </c>
      <c r="AI275" s="38"/>
      <c r="AJ275" s="42"/>
      <c r="AK275" s="40"/>
      <c r="AL275" s="40"/>
      <c r="AM275" s="40"/>
      <c r="AN275" s="40"/>
      <c r="AO275" s="40"/>
      <c r="AP275" s="40"/>
      <c r="AQ275" s="43"/>
      <c r="AR275" s="44"/>
      <c r="AS275" s="38"/>
    </row>
    <row r="276" spans="1:45" ht="21.2" customHeight="1">
      <c r="A276" s="181">
        <f t="shared" si="25"/>
        <v>275</v>
      </c>
      <c r="B276" s="8" t="s">
        <v>815</v>
      </c>
      <c r="C276" s="31" t="s">
        <v>104</v>
      </c>
      <c r="D276" s="32" t="str">
        <f>VLOOKUP(B276,'Player Data'!A1:D734,4,FALSE)</f>
        <v>G</v>
      </c>
      <c r="E276" s="50">
        <f>VLOOKUP(B276,G!A1:D75,3,FALSE)</f>
        <v>62</v>
      </c>
      <c r="F276" s="34" t="str">
        <f>VLOOKUP(B276,'Player Data'!A1:B734,2,FALSE)</f>
        <v>WPG</v>
      </c>
      <c r="G276" s="9">
        <f>VLOOKUP(B276,'Player Data'!A1:D734,3,FALSE)</f>
        <v>30</v>
      </c>
      <c r="H276" s="35">
        <f>IFERROR(VLOOKUP(B276,ADP!A1:G731,7,FALSE)/1000000,VLOOKUP(B276,ADP!A1:G731,7,FALSE))</f>
        <v>1.75</v>
      </c>
      <c r="I276" s="36">
        <f>IF(Settings!$E$15="POINTS",(AJ276*Settings!$B$29)+(AK276*Settings!$B$21)+(AL276*Settings!$B$22)+(AN276*Settings!$B$24)+(AO276*Settings!$B$25)+(AP276*Settings!$B$27)+(AM276*Settings!$B$23),VLOOKUP(B276,'Standard Deviations'!A1:C731,3,FALSE))</f>
        <v>-2.032959178886641</v>
      </c>
      <c r="J276" s="37">
        <f t="shared" si="26"/>
        <v>-0.11294217660481339</v>
      </c>
      <c r="K276" s="183">
        <f>VLOOKUP(B276,G!A1:F75,6,FALSE)</f>
        <v>-3.7371882300769323</v>
      </c>
      <c r="L276" s="36">
        <f t="shared" si="27"/>
        <v>-2.135536131472533</v>
      </c>
      <c r="M276" s="38">
        <f>IF(Settings!$E$9="YAHOO",VLOOKUP(B276,ADP!A1:E731,2,FALSE),IF(Settings!$E$9="ESPN",VLOOKUP(B276,ADP!A1:E731,3,FALSE),IF(Settings!$E$9="FANTRAX",VLOOKUP(B276,ADP!A1:E731,4,FALSE),VLOOKUP(B276,ADP!A1:E731,5,FALSE))))</f>
        <v>465.9</v>
      </c>
      <c r="N276" s="38">
        <f t="shared" si="28"/>
        <v>190.89999999999998</v>
      </c>
      <c r="O276" s="38"/>
      <c r="P276" s="39" t="str">
        <f>IF(Settings!$E$27="ON",_xlfn.XLOOKUP(B276,ADP!A2:A731,ADP!H2:H731)," ")</f>
        <v xml:space="preserve"> </v>
      </c>
      <c r="Q276" s="40"/>
      <c r="R276" s="51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1"/>
      <c r="AI276" s="38"/>
      <c r="AJ276" s="42">
        <f>VLOOKUP(B276,'Player Data'!$A1:$AE734,24,FALSE)</f>
        <v>18</v>
      </c>
      <c r="AK276" s="40">
        <f>VLOOKUP(B276,'Player Data'!$A1:$AE734,25,FALSE)*$AJ276*IFERROR((VLOOKUP(P276,Settings!$E$28:$F$33,2,FALSE)+1),1)</f>
        <v>8.6684484560001671</v>
      </c>
      <c r="AL276" s="40">
        <f>AJ276-AK276-AM276</f>
        <v>7.0815515439998329</v>
      </c>
      <c r="AM276" s="40">
        <f>VLOOKUP(B276,'Player Data'!$A1:$AE734,27,FALSE)*$AJ276</f>
        <v>2.25</v>
      </c>
      <c r="AN276" s="40">
        <f>VLOOKUP(B276,'Player Data'!$A1:$AE734,28,FALSE)*AJ276</f>
        <v>0.86717588323673345</v>
      </c>
      <c r="AO276" s="40">
        <f>VLOOKUP(B276,'Player Data'!$A1:$AE734,29,FALSE)*$AJ276*IFERROR((VLOOKUP(P276,Settings!$E$28:$F$33,2,FALSE)/4)+1,1)</f>
        <v>483.3700670179548</v>
      </c>
      <c r="AP276" s="40">
        <f>VLOOKUP(B276,'Player Data'!$A1:$AE734,31,FALSE)*$AJ276*(IFERROR(1-(VLOOKUP(P276,Settings!$E$28:$F$33,2,FALSE)/4),1))</f>
        <v>52.450577444545374</v>
      </c>
      <c r="AQ276" s="43">
        <f>1-(AP276/(AO276+AP276))</f>
        <v>0.90211168982270118</v>
      </c>
      <c r="AR276" s="44">
        <f>AP276/AJ276</f>
        <v>2.9139209691414099</v>
      </c>
      <c r="AS276" s="42"/>
    </row>
    <row r="277" spans="1:45" ht="21.2" customHeight="1">
      <c r="A277" s="181">
        <f t="shared" si="25"/>
        <v>276</v>
      </c>
      <c r="B277" s="8" t="s">
        <v>316</v>
      </c>
      <c r="C277" s="31" t="s">
        <v>104</v>
      </c>
      <c r="D277" s="32" t="str">
        <f>VLOOKUP(B277,'Player Data'!A1:D734,4,FALSE)</f>
        <v>D</v>
      </c>
      <c r="E277" s="47">
        <f>VLOOKUP(B277,D!A1:C229,3,FALSE)</f>
        <v>77</v>
      </c>
      <c r="F277" s="34" t="str">
        <f>VLOOKUP(B277,'Player Data'!A1:B734,2,FALSE)</f>
        <v>NYR</v>
      </c>
      <c r="G277" s="9">
        <f>VLOOKUP(B277,'Player Data'!A1:D734,3,FALSE)</f>
        <v>23</v>
      </c>
      <c r="H277" s="35">
        <f>IFERROR(VLOOKUP(B277,ADP!A1:G731,7,FALSE)/1000000,VLOOKUP(B277,ADP!A1:G731,7,FALSE))</f>
        <v>3.8719999999999999</v>
      </c>
      <c r="I277" s="36">
        <f>IF(Settings!$E$15="POINTS",((R277*Q277)*Settings!$B$12)+(S277*Settings!$B$2)+(T277*Settings!$B$3)+(U277*Settings!$B$4)+(V277*Settings!$B$5)+(X277*Settings!$B$9)+(AA277*Settings!$B$6)+(W277*Settings!$B$8)+(AB277*Settings!$B$7)+(AC277*Settings!$B$14)+(AD277*Settings!$B$15)+(AE277*Settings!$B$16)+(AF277*Settings!$B$17)+(AG277*Settings!$B$18)+(U277*Settings!$B$13)+(Y277*Settings!$B$10)+(Z277*Settings!$B$11),VLOOKUP(B277,'Standard Deviations'!A1:C731,3,FALSE))</f>
        <v>-1.8079946255179389</v>
      </c>
      <c r="J277" s="37">
        <f t="shared" si="26"/>
        <v>-2.2048714945340719E-2</v>
      </c>
      <c r="K277" s="183">
        <f>VLOOKUP(B277,D!A1:F229,6,FALSE)</f>
        <v>-3.7497351691522498</v>
      </c>
      <c r="L277" s="36">
        <f t="shared" si="27"/>
        <v>-0.96842333914056045</v>
      </c>
      <c r="M277" s="38">
        <f>IF(Settings!$E$9="YAHOO",VLOOKUP(B277,ADP!A1:E731,2,FALSE),IF(Settings!$E$9="ESPN",VLOOKUP(B277,ADP!A1:E731,3,FALSE),IF(Settings!$E$9="FANTRAX",VLOOKUP(B277,ADP!A1:E731,4,FALSE),VLOOKUP(B277,ADP!A1:E731,5,FALSE))))</f>
        <v>178.36</v>
      </c>
      <c r="N277" s="38">
        <f t="shared" si="28"/>
        <v>-97.639999999999986</v>
      </c>
      <c r="O277" s="38"/>
      <c r="P277" s="39" t="str">
        <f>IF(Settings!$E$27="ON",_xlfn.XLOOKUP(B277,ADP!A2:A731,ADP!H2:H731)," ")</f>
        <v xml:space="preserve"> </v>
      </c>
      <c r="Q277" s="40">
        <f>IF(Settings!$E$12="YES",VLOOKUP(B277,'Player Data'!A1:E734,5,FALSE),82)</f>
        <v>82</v>
      </c>
      <c r="R277" s="38">
        <f>VLOOKUP(B277,'Player Data'!$A1:$AE734,6,FALSE)</f>
        <v>22.101937710086101</v>
      </c>
      <c r="S277" s="40">
        <f>VLOOKUP(B277,'Player Data'!$A1:$AE734,7,FALSE)*$Q277*IFERROR((VLOOKUP(P277,Settings!$E$28:$F$33,2,FALSE)+1),1)</f>
        <v>8.7140496295059275</v>
      </c>
      <c r="T277" s="40">
        <f>VLOOKUP(B277,'Player Data'!$A1:$AE734,8,FALSE)*$Q277*IFERROR((VLOOKUP(P277,Settings!$E$28:$F$33,2,FALSE)+1),1)</f>
        <v>25.80042797486589</v>
      </c>
      <c r="U277" s="40">
        <f>SUM(S277:T277)</f>
        <v>34.51447760437182</v>
      </c>
      <c r="V277" s="40">
        <f>VLOOKUP(B277,'Player Data'!$A1:$AE734,10,FALSE)*$Q277*IFERROR(((VLOOKUP(P277,Settings!$E$28:$F$33,2,FALSE)/2)+1),1)</f>
        <v>116.18622977684939</v>
      </c>
      <c r="W277" s="40">
        <f>VLOOKUP(B277,'Player Data'!$A1:$AE734,11,FALSE)*$Q277*IFERROR((VLOOKUP(P277,Settings!$E$28:$F$33,2,FALSE)+1),1)</f>
        <v>0.30826137696648714</v>
      </c>
      <c r="X277" s="40">
        <f>VLOOKUP(B277,'Player Data'!$A1:$AE734,12,FALSE)*$Q277*IFERROR((VLOOKUP(P277,Settings!$E$28:$F$33,2,FALSE)+1),1)</f>
        <v>1.275274825544962</v>
      </c>
      <c r="Y277" s="40">
        <f>VLOOKUP(B277,'Player Data'!$A1:$AE734,13,FALSE)*$Q277</f>
        <v>5.4118834594189882E-2</v>
      </c>
      <c r="Z277" s="40">
        <f>VLOOKUP(B277,'Player Data'!$A1:$AE734,14,FALSE)*$Q277</f>
        <v>1.0841099577072795</v>
      </c>
      <c r="AA277" s="40">
        <f>VLOOKUP(B277,'Player Data'!$A1:$AE734,15,FALSE)*$Q277</f>
        <v>113.46673174658379</v>
      </c>
      <c r="AB277" s="40">
        <f>VLOOKUP(B277,'Player Data'!$A1:$AE734,16,FALSE)*$Q277</f>
        <v>153.84672708110409</v>
      </c>
      <c r="AC277" s="40">
        <f>VLOOKUP(B277,'Player Data'!$A1:$AE734,17,FALSE)*$Q277*IFERROR((VLOOKUP(P277,Settings!$E$28:$F$33,2,FALSE)+1),1)</f>
        <v>4.3413367684752417</v>
      </c>
      <c r="AD277" s="40">
        <f>VLOOKUP(B277,'Player Data'!$A1:$AE734,18,FALSE)*$Q277</f>
        <v>34.840511065441916</v>
      </c>
      <c r="AE277" s="40">
        <f>VLOOKUP(B277,'Player Data'!$A1:$AE734,19,FALSE)*$Q277*IFERROR((VLOOKUP(P277,Settings!$E$28:$F$33,2,FALSE)+1),1)</f>
        <v>1.4848577844827209</v>
      </c>
      <c r="AF277" s="40">
        <f>VLOOKUP(B277,'Player Data'!$A1:$AE734,20,FALSE)*$Q277</f>
        <v>0</v>
      </c>
      <c r="AG277" s="40">
        <f>VLOOKUP(B277,'Player Data'!$A1:$AE734,21,FALSE)*$Q277</f>
        <v>0</v>
      </c>
      <c r="AH277" s="41">
        <f>VLOOKUP(B277,'Player Data'!$A1:$AE734,22,FALSE)</f>
        <v>0</v>
      </c>
      <c r="AI277" s="38"/>
      <c r="AJ277" s="42"/>
      <c r="AK277" s="40"/>
      <c r="AL277" s="40"/>
      <c r="AM277" s="40"/>
      <c r="AN277" s="40"/>
      <c r="AO277" s="40"/>
      <c r="AP277" s="40"/>
      <c r="AQ277" s="43"/>
      <c r="AR277" s="44"/>
      <c r="AS277" s="38"/>
    </row>
    <row r="278" spans="1:45" ht="21.2" customHeight="1">
      <c r="A278" s="181">
        <f t="shared" si="25"/>
        <v>277</v>
      </c>
      <c r="B278" s="8" t="s">
        <v>347</v>
      </c>
      <c r="C278" s="31" t="s">
        <v>104</v>
      </c>
      <c r="D278" s="32" t="str">
        <f>VLOOKUP(B278,'Player Data'!A1:D734,4,FALSE)</f>
        <v>C,LW</v>
      </c>
      <c r="E278" s="45">
        <f>VLOOKUP(B278,LW!A1:C227,3,FALSE)</f>
        <v>65</v>
      </c>
      <c r="F278" s="34" t="str">
        <f>VLOOKUP(B278,'Player Data'!A1:B734,2,FALSE)</f>
        <v>ANA</v>
      </c>
      <c r="G278" s="9">
        <f>VLOOKUP(B278,'Player Data'!A1:D734,3,FALSE)</f>
        <v>33</v>
      </c>
      <c r="H278" s="35">
        <f>IFERROR(VLOOKUP(B278,ADP!A1:G731,7,FALSE)/1000000,VLOOKUP(B278,ADP!A1:G731,7,FALSE))</f>
        <v>5.8250000000000002</v>
      </c>
      <c r="I278" s="36">
        <f>IF(Settings!$E$15="POINTS",((R278*Q278)*Settings!$B$12)+(S278*Settings!$B$2)+(T278*Settings!$B$3)+(U278*Settings!$B$4)+(V278*Settings!$B$5)+(X278*Settings!$B$9)+(AA278*Settings!$B$6)+(W278*Settings!$B$8)+(AB278*Settings!$B$7)+(AC278*Settings!$B$14)+(AD278*Settings!$B$15)+(AE278*Settings!$B$16)+(AF278*Settings!$B$17)+(AG278*Settings!$B$18)+(Y278*Settings!$B$10)+(Z278*Settings!$B$11),VLOOKUP(B278,'Standard Deviations'!A1:C731,3,FALSE))</f>
        <v>2.8890221651686572</v>
      </c>
      <c r="J278" s="37">
        <f t="shared" si="26"/>
        <v>3.5231977624008017E-2</v>
      </c>
      <c r="K278" s="183">
        <f>IF(Settings!$E$18="C/LW/RW",VLOOKUP(B278,LW!A1:F227,6,FALSE),VLOOKUP(B278,F!A1:F431,6,FALSE))</f>
        <v>-3.765646878955744</v>
      </c>
      <c r="L278" s="36">
        <f t="shared" si="27"/>
        <v>-0.64646298351171572</v>
      </c>
      <c r="M278" s="38">
        <f>IF(Settings!$E$9="YAHOO",VLOOKUP(B278,ADP!A1:E731,2,FALSE),IF(Settings!$E$9="ESPN",VLOOKUP(B278,ADP!A1:E731,3,FALSE),IF(Settings!$E$9="FANTRAX",VLOOKUP(B278,ADP!A1:E731,4,FALSE),VLOOKUP(B278,ADP!A1:E731,5,FALSE))))</f>
        <v>350.23</v>
      </c>
      <c r="N278" s="38">
        <f t="shared" si="28"/>
        <v>73.230000000000018</v>
      </c>
      <c r="O278" s="38"/>
      <c r="P278" s="39" t="str">
        <f>IF(Settings!$E$27="ON",_xlfn.XLOOKUP(B278,ADP!A2:A731,ADP!H2:H731)," ")</f>
        <v xml:space="preserve"> </v>
      </c>
      <c r="Q278" s="40">
        <f>IF(Settings!$E$12="YES",VLOOKUP(B278,'Player Data'!A1:E734,5,FALSE),82)</f>
        <v>82</v>
      </c>
      <c r="R278" s="38">
        <f>VLOOKUP(B278,'Player Data'!$A1:$AE734,6,FALSE)</f>
        <v>19.085270646253299</v>
      </c>
      <c r="S278" s="40">
        <f>VLOOKUP(B278,'Player Data'!$A1:$AE734,7,FALSE)*$Q278*IFERROR((VLOOKUP(P278,Settings!$E$28:$F$33,2,FALSE)+1),1)</f>
        <v>25.357372223532327</v>
      </c>
      <c r="T278" s="40">
        <f>VLOOKUP(B278,'Player Data'!$A1:$AE734,8,FALSE)*$Q278*IFERROR((VLOOKUP(P278,Settings!$E$28:$F$33,2,FALSE)+1),1)</f>
        <v>25.094704893003364</v>
      </c>
      <c r="U278" s="40">
        <f>SUM(S278:T278)</f>
        <v>50.45207711653569</v>
      </c>
      <c r="V278" s="40">
        <f>VLOOKUP(B278,'Player Data'!$A1:$AE734,10,FALSE)*$Q278*IFERROR(((VLOOKUP(P278,Settings!$E$28:$F$33,2,FALSE)/2)+1),1)</f>
        <v>185.12201552881899</v>
      </c>
      <c r="W278" s="40">
        <f>VLOOKUP(B278,'Player Data'!$A1:$AE734,11,FALSE)*$Q278*IFERROR((VLOOKUP(P278,Settings!$E$28:$F$33,2,FALSE)+1),1)</f>
        <v>6.1579143887036034</v>
      </c>
      <c r="X278" s="40">
        <f>VLOOKUP(B278,'Player Data'!$A1:$AE734,12,FALSE)*$Q278*IFERROR((VLOOKUP(P278,Settings!$E$28:$F$33,2,FALSE)+1),1)</f>
        <v>14.18698490372979</v>
      </c>
      <c r="Y278" s="40">
        <f>VLOOKUP(B278,'Player Data'!$A1:$AE734,13,FALSE)*$Q278</f>
        <v>-0.11064554629624482</v>
      </c>
      <c r="Z278" s="40">
        <f>VLOOKUP(B278,'Player Data'!$A1:$AE734,14,FALSE)*$Q278</f>
        <v>-4.4964397619249509E-2</v>
      </c>
      <c r="AA278" s="40">
        <f>VLOOKUP(B278,'Player Data'!$A1:$AE734,15,FALSE)*$Q278</f>
        <v>63.552069522646839</v>
      </c>
      <c r="AB278" s="40">
        <f>VLOOKUP(B278,'Player Data'!$A1:$AE734,16,FALSE)*$Q278</f>
        <v>44.597791850688658</v>
      </c>
      <c r="AC278" s="40">
        <f>VLOOKUP(B278,'Player Data'!$A1:$AE734,17,FALSE)*$Q278*IFERROR((VLOOKUP(P278,Settings!$E$28:$F$33,2,FALSE)+1),1)</f>
        <v>-6.4911492612850799</v>
      </c>
      <c r="AD278" s="40">
        <f>VLOOKUP(B278,'Player Data'!$A1:$AE734,18,FALSE)*$Q278</f>
        <v>29.034868168006767</v>
      </c>
      <c r="AE278" s="40">
        <f>VLOOKUP(B278,'Player Data'!$A1:$AE734,19,FALSE)*$Q278*IFERROR((VLOOKUP(P278,Settings!$E$28:$F$33,2,FALSE)+1),1)</f>
        <v>2.4308344243386402</v>
      </c>
      <c r="AF278" s="40">
        <f>VLOOKUP(B278,'Player Data'!$A1:$AE734,20,FALSE)*$Q278</f>
        <v>0.41618572438610968</v>
      </c>
      <c r="AG278" s="40">
        <f>VLOOKUP(B278,'Player Data'!$A1:$AE734,21,FALSE)*$Q278</f>
        <v>0.36328937608190087</v>
      </c>
      <c r="AH278" s="41">
        <f>VLOOKUP(B278,'Player Data'!$A1:$AE734,22,FALSE)</f>
        <v>0.53393074921344497</v>
      </c>
      <c r="AI278" s="38"/>
      <c r="AJ278" s="40"/>
      <c r="AK278" s="40"/>
      <c r="AL278" s="40"/>
      <c r="AM278" s="40"/>
      <c r="AN278" s="40"/>
      <c r="AO278" s="40"/>
      <c r="AP278" s="40"/>
      <c r="AQ278" s="43"/>
      <c r="AR278" s="44"/>
      <c r="AS278" s="38"/>
    </row>
    <row r="279" spans="1:45" ht="21.2" customHeight="1">
      <c r="A279" s="181">
        <f t="shared" si="25"/>
        <v>278</v>
      </c>
      <c r="B279" s="8" t="s">
        <v>308</v>
      </c>
      <c r="C279" s="31" t="s">
        <v>104</v>
      </c>
      <c r="D279" s="32" t="str">
        <f>VLOOKUP(B279,'Player Data'!A1:D734,4,FALSE)</f>
        <v>D</v>
      </c>
      <c r="E279" s="47">
        <f>VLOOKUP(B279,D!A1:C229,3,FALSE)</f>
        <v>78</v>
      </c>
      <c r="F279" s="34" t="str">
        <f>VLOOKUP(B279,'Player Data'!A1:B734,2,FALSE)</f>
        <v>CAR</v>
      </c>
      <c r="G279" s="9">
        <f>VLOOKUP(B279,'Player Data'!A1:D734,3,FALSE)</f>
        <v>29</v>
      </c>
      <c r="H279" s="35">
        <f>IFERROR(VLOOKUP(B279,ADP!A1:G731,7,FALSE)/1000000,VLOOKUP(B279,ADP!A1:G731,7,FALSE))</f>
        <v>5.3</v>
      </c>
      <c r="I279" s="36">
        <f>IF(Settings!$E$15="POINTS",((R279*Q279)*Settings!$B$12)+(S279*Settings!$B$2)+(T279*Settings!$B$3)+(U279*Settings!$B$4)+(V279*Settings!$B$5)+(X279*Settings!$B$9)+(AA279*Settings!$B$6)+(W279*Settings!$B$8)+(AB279*Settings!$B$7)+(AC279*Settings!$B$14)+(AD279*Settings!$B$15)+(AE279*Settings!$B$16)+(AF279*Settings!$B$17)+(AG279*Settings!$B$18)+(U279*Settings!$B$13)+(Y279*Settings!$B$10)+(Z279*Settings!$B$11),VLOOKUP(B279,'Standard Deviations'!A1:C731,3,FALSE))</f>
        <v>-1.8312770084705303</v>
      </c>
      <c r="J279" s="37">
        <f t="shared" si="26"/>
        <v>-2.2332646444762565E-2</v>
      </c>
      <c r="K279" s="183">
        <f>VLOOKUP(B279,D!A1:F229,6,FALSE)</f>
        <v>-3.7730175521048412</v>
      </c>
      <c r="L279" s="36">
        <f t="shared" si="27"/>
        <v>-0.71189010417072474</v>
      </c>
      <c r="M279" s="52" t="str">
        <f>IF(Settings!$E$9="YAHOO",VLOOKUP(B279,ADP!A1:E731,2,FALSE),IF(Settings!$E$9="ESPN",VLOOKUP(B279,ADP!A1:E731,3,FALSE),IF(Settings!$E$9="FANTRAX",VLOOKUP(B279,ADP!A1:E731,4,FALSE),VLOOKUP(B279,ADP!A1:E731,5,FALSE))))</f>
        <v>-</v>
      </c>
      <c r="N279" s="52" t="str">
        <f t="shared" si="28"/>
        <v>N/A</v>
      </c>
      <c r="O279" s="38"/>
      <c r="P279" s="39" t="str">
        <f>IF(Settings!$E$27="ON",_xlfn.XLOOKUP(B279,ADP!A2:A731,ADP!H2:H731)," ")</f>
        <v xml:space="preserve"> </v>
      </c>
      <c r="Q279" s="40">
        <f>IF(Settings!$E$12="YES",VLOOKUP(B279,'Player Data'!A1:E734,5,FALSE),82)</f>
        <v>82</v>
      </c>
      <c r="R279" s="38">
        <f>VLOOKUP(B279,'Player Data'!$A1:$AE734,6,FALSE)</f>
        <v>21.899566867578599</v>
      </c>
      <c r="S279" s="40">
        <f>VLOOKUP(B279,'Player Data'!$A1:$AE734,7,FALSE)*$Q279*IFERROR((VLOOKUP(P279,Settings!$E$28:$F$33,2,FALSE)+1),1)</f>
        <v>5.460021583227336</v>
      </c>
      <c r="T279" s="40">
        <f>VLOOKUP(B279,'Player Data'!$A1:$AE734,8,FALSE)*$Q279*IFERROR((VLOOKUP(P279,Settings!$E$28:$F$33,2,FALSE)+1),1)</f>
        <v>25.890525887143195</v>
      </c>
      <c r="U279" s="40">
        <f>SUM(S279:T279)</f>
        <v>31.350547470370529</v>
      </c>
      <c r="V279" s="40">
        <f>VLOOKUP(B279,'Player Data'!$A1:$AE734,10,FALSE)*$Q279*IFERROR(((VLOOKUP(P279,Settings!$E$28:$F$33,2,FALSE)/2)+1),1)</f>
        <v>146.62268149750906</v>
      </c>
      <c r="W279" s="40">
        <f>VLOOKUP(B279,'Player Data'!$A1:$AE734,11,FALSE)*$Q279*IFERROR((VLOOKUP(P279,Settings!$E$28:$F$33,2,FALSE)+1),1)</f>
        <v>6.1883013235100932E-2</v>
      </c>
      <c r="X279" s="40">
        <f>VLOOKUP(B279,'Player Data'!$A1:$AE734,12,FALSE)*$Q279*IFERROR((VLOOKUP(P279,Settings!$E$28:$F$33,2,FALSE)+1),1)</f>
        <v>0.38483167300532267</v>
      </c>
      <c r="Y279" s="40">
        <f>VLOOKUP(B279,'Player Data'!$A1:$AE734,13,FALSE)*$Q279</f>
        <v>-2.5565782030500498E-4</v>
      </c>
      <c r="Z279" s="40">
        <f>VLOOKUP(B279,'Player Data'!$A1:$AE734,14,FALSE)*$Q279</f>
        <v>1.2448373594287432</v>
      </c>
      <c r="AA279" s="40">
        <f>VLOOKUP(B279,'Player Data'!$A1:$AE734,15,FALSE)*$Q279</f>
        <v>118.03055923530968</v>
      </c>
      <c r="AB279" s="40">
        <f>VLOOKUP(B279,'Player Data'!$A1:$AE734,16,FALSE)*$Q279</f>
        <v>52.469686034306989</v>
      </c>
      <c r="AC279" s="40">
        <f>VLOOKUP(B279,'Player Data'!$A1:$AE734,17,FALSE)*$Q279*IFERROR((VLOOKUP(P279,Settings!$E$28:$F$33,2,FALSE)+1),1)</f>
        <v>9.3711698262409531</v>
      </c>
      <c r="AD279" s="40">
        <f>VLOOKUP(B279,'Player Data'!$A1:$AE734,18,FALSE)*$Q279</f>
        <v>12.808943259650826</v>
      </c>
      <c r="AE279" s="40">
        <f>VLOOKUP(B279,'Player Data'!$A1:$AE734,19,FALSE)*$Q279*IFERROR((VLOOKUP(P279,Settings!$E$28:$F$33,2,FALSE)+1),1)</f>
        <v>0.97965013115992705</v>
      </c>
      <c r="AF279" s="40">
        <f>VLOOKUP(B279,'Player Data'!$A1:$AE734,20,FALSE)*$Q279</f>
        <v>0</v>
      </c>
      <c r="AG279" s="40">
        <f>VLOOKUP(B279,'Player Data'!$A1:$AE734,21,FALSE)*$Q279</f>
        <v>0</v>
      </c>
      <c r="AH279" s="41">
        <f>VLOOKUP(B279,'Player Data'!$A1:$AE734,22,FALSE)</f>
        <v>0</v>
      </c>
      <c r="AI279" s="38"/>
      <c r="AJ279" s="42"/>
      <c r="AK279" s="40"/>
      <c r="AL279" s="40"/>
      <c r="AM279" s="40"/>
      <c r="AN279" s="40"/>
      <c r="AO279" s="40"/>
      <c r="AP279" s="40"/>
      <c r="AQ279" s="43"/>
      <c r="AR279" s="44"/>
      <c r="AS279" s="38"/>
    </row>
    <row r="280" spans="1:45" ht="21.2" customHeight="1">
      <c r="A280" s="181">
        <f t="shared" si="25"/>
        <v>279</v>
      </c>
      <c r="B280" s="8" t="s">
        <v>544</v>
      </c>
      <c r="C280" s="31" t="s">
        <v>104</v>
      </c>
      <c r="D280" s="32" t="str">
        <f>VLOOKUP(B280,'Player Data'!A1:D734,4,FALSE)</f>
        <v>C,LW</v>
      </c>
      <c r="E280" s="45">
        <f>VLOOKUP(B280,LW!A1:C227,3,FALSE)</f>
        <v>66</v>
      </c>
      <c r="F280" s="34" t="str">
        <f>VLOOKUP(B280,'Player Data'!A1:B734,2,FALSE)</f>
        <v>SJS</v>
      </c>
      <c r="G280" s="9">
        <f>VLOOKUP(B280,'Player Data'!A1:D734,3,FALSE)</f>
        <v>24</v>
      </c>
      <c r="H280" s="35">
        <f>IFERROR(VLOOKUP(B280,ADP!A1:G731,7,FALSE)/1000000,VLOOKUP(B280,ADP!A1:G731,7,FALSE))</f>
        <v>0.77500000000000002</v>
      </c>
      <c r="I280" s="36">
        <f>IF(Settings!$E$15="POINTS",((R280*Q280)*Settings!$B$12)+(S280*Settings!$B$2)+(T280*Settings!$B$3)+(U280*Settings!$B$4)+(V280*Settings!$B$5)+(X280*Settings!$B$9)+(AA280*Settings!$B$6)+(W280*Settings!$B$8)+(AB280*Settings!$B$7)+(AC280*Settings!$B$14)+(AD280*Settings!$B$15)+(AE280*Settings!$B$16)+(AF280*Settings!$B$17)+(AG280*Settings!$B$18)+(Y280*Settings!$B$10)+(Z280*Settings!$B$11),VLOOKUP(B280,'Standard Deviations'!A1:C731,3,FALSE))</f>
        <v>2.8686888003324329</v>
      </c>
      <c r="J280" s="37">
        <f t="shared" si="26"/>
        <v>3.4984009760151619E-2</v>
      </c>
      <c r="K280" s="183">
        <f>IF(Settings!$E$18="C/LW/RW",VLOOKUP(B280,LW!A1:F227,6,FALSE),VLOOKUP(B280,F!A1:F431,6,FALSE))</f>
        <v>-3.7859802437919683</v>
      </c>
      <c r="L280" s="36">
        <f t="shared" si="27"/>
        <v>-4.8851357984412491</v>
      </c>
      <c r="M280" s="52" t="str">
        <f>IF(Settings!$E$9="YAHOO",VLOOKUP(B280,ADP!A1:E731,2,FALSE),IF(Settings!$E$9="ESPN",VLOOKUP(B280,ADP!A1:E731,3,FALSE),IF(Settings!$E$9="FANTRAX",VLOOKUP(B280,ADP!A1:E731,4,FALSE),VLOOKUP(B280,ADP!A1:E731,5,FALSE))))</f>
        <v>-</v>
      </c>
      <c r="N280" s="52" t="str">
        <f t="shared" si="28"/>
        <v>N/A</v>
      </c>
      <c r="O280" s="38"/>
      <c r="P280" s="39" t="str">
        <f>IF(Settings!$E$27="ON",_xlfn.XLOOKUP(B280,ADP!A2:A731,ADP!H2:H731)," ")</f>
        <v xml:space="preserve"> </v>
      </c>
      <c r="Q280" s="40">
        <f>IF(Settings!$E$12="YES",VLOOKUP(B280,'Player Data'!A1:E734,5,FALSE),82)</f>
        <v>82</v>
      </c>
      <c r="R280" s="38">
        <f>VLOOKUP(B280,'Player Data'!$A1:$AE734,6,FALSE)</f>
        <v>17.439166666666701</v>
      </c>
      <c r="S280" s="40">
        <f>VLOOKUP(B280,'Player Data'!$A1:$AE734,7,FALSE)*$Q280*IFERROR((VLOOKUP(P280,Settings!$E$28:$F$33,2,FALSE)+1),1)</f>
        <v>24.78355763651442</v>
      </c>
      <c r="T280" s="40">
        <f>VLOOKUP(B280,'Player Data'!$A1:$AE734,8,FALSE)*$Q280*IFERROR((VLOOKUP(P280,Settings!$E$28:$F$33,2,FALSE)+1),1)</f>
        <v>26.737477119120104</v>
      </c>
      <c r="U280" s="40">
        <f>SUM(S280:T280)</f>
        <v>51.521034755634524</v>
      </c>
      <c r="V280" s="40">
        <f>VLOOKUP(B280,'Player Data'!$A1:$AE734,10,FALSE)*$Q280*IFERROR(((VLOOKUP(P280,Settings!$E$28:$F$33,2,FALSE)/2)+1),1)</f>
        <v>172.15063274539213</v>
      </c>
      <c r="W280" s="40">
        <f>VLOOKUP(B280,'Player Data'!$A1:$AE734,11,FALSE)*$Q280*IFERROR((VLOOKUP(P280,Settings!$E$28:$F$33,2,FALSE)+1),1)</f>
        <v>7.8623795691735516</v>
      </c>
      <c r="X280" s="40">
        <f>VLOOKUP(B280,'Player Data'!$A1:$AE734,12,FALSE)*$Q280*IFERROR((VLOOKUP(P280,Settings!$E$28:$F$33,2,FALSE)+1),1)</f>
        <v>15.045128997949977</v>
      </c>
      <c r="Y280" s="40">
        <f>VLOOKUP(B280,'Player Data'!$A1:$AE734,13,FALSE)*$Q280</f>
        <v>0.32428587371445428</v>
      </c>
      <c r="Z280" s="40">
        <f>VLOOKUP(B280,'Player Data'!$A1:$AE734,14,FALSE)*$Q280</f>
        <v>0.64253508538307813</v>
      </c>
      <c r="AA280" s="40">
        <f>VLOOKUP(B280,'Player Data'!$A1:$AE734,15,FALSE)*$Q280</f>
        <v>38.96670870832822</v>
      </c>
      <c r="AB280" s="40">
        <f>VLOOKUP(B280,'Player Data'!$A1:$AE734,16,FALSE)*$Q280</f>
        <v>63.797977536370894</v>
      </c>
      <c r="AC280" s="40">
        <f>VLOOKUP(B280,'Player Data'!$A1:$AE734,17,FALSE)*$Q280*IFERROR((VLOOKUP(P280,Settings!$E$28:$F$33,2,FALSE)+1),1)</f>
        <v>-0.81518819024390876</v>
      </c>
      <c r="AD280" s="40">
        <f>VLOOKUP(B280,'Player Data'!$A1:$AE734,18,FALSE)*$Q280</f>
        <v>29.730430545867677</v>
      </c>
      <c r="AE280" s="40">
        <f>VLOOKUP(B280,'Player Data'!$A1:$AE734,19,FALSE)*$Q280*IFERROR((VLOOKUP(P280,Settings!$E$28:$F$33,2,FALSE)+1),1)</f>
        <v>3.0770212956563618</v>
      </c>
      <c r="AF280" s="40">
        <f>VLOOKUP(B280,'Player Data'!$A1:$AE734,20,FALSE)*$Q280</f>
        <v>52.377131317832415</v>
      </c>
      <c r="AG280" s="40">
        <f>VLOOKUP(B280,'Player Data'!$A1:$AE734,21,FALSE)*$Q280</f>
        <v>50.392507491802796</v>
      </c>
      <c r="AH280" s="41">
        <f>VLOOKUP(B280,'Player Data'!$A1:$AE734,22,FALSE)</f>
        <v>0.50965569135503996</v>
      </c>
      <c r="AI280" s="38"/>
      <c r="AJ280" s="42"/>
      <c r="AK280" s="40"/>
      <c r="AL280" s="40"/>
      <c r="AM280" s="40"/>
      <c r="AN280" s="40"/>
      <c r="AO280" s="40"/>
      <c r="AP280" s="40"/>
      <c r="AQ280" s="43"/>
      <c r="AR280" s="44"/>
      <c r="AS280" s="38"/>
    </row>
    <row r="281" spans="1:45" ht="21.2" customHeight="1">
      <c r="A281" s="181">
        <f t="shared" si="25"/>
        <v>280</v>
      </c>
      <c r="B281" s="8" t="s">
        <v>817</v>
      </c>
      <c r="C281" s="31" t="s">
        <v>104</v>
      </c>
      <c r="D281" s="32" t="str">
        <f>VLOOKUP(B281,'Player Data'!A1:D734,4,FALSE)</f>
        <v>G</v>
      </c>
      <c r="E281" s="50">
        <f>VLOOKUP(B281,G!A1:D75,3,FALSE)</f>
        <v>63</v>
      </c>
      <c r="F281" s="34" t="str">
        <f>VLOOKUP(B281,'Player Data'!A1:B734,2,FALSE)</f>
        <v>DET</v>
      </c>
      <c r="G281" s="9">
        <f>VLOOKUP(B281,'Player Data'!A1:D734,3,FALSE)</f>
        <v>30</v>
      </c>
      <c r="H281" s="35">
        <f>IFERROR(VLOOKUP(B281,ADP!A1:G731,7,FALSE)/1000000,VLOOKUP(B281,ADP!A1:G731,7,FALSE))</f>
        <v>0.9</v>
      </c>
      <c r="I281" s="36">
        <f>IF(Settings!$E$15="POINTS",(AJ281*Settings!$B$29)+(AK281*Settings!$B$21)+(AL281*Settings!$B$22)+(AN281*Settings!$B$24)+(AO281*Settings!$B$25)+(AP281*Settings!$B$27)+(AM281*Settings!$B$23),VLOOKUP(B281,'Standard Deviations'!A1:C731,3,FALSE))</f>
        <v>-2.0887163812656229</v>
      </c>
      <c r="J281" s="37">
        <f t="shared" si="26"/>
        <v>-0.11603979895920127</v>
      </c>
      <c r="K281" s="183">
        <f>VLOOKUP(B281,G!A1:F75,6,FALSE)</f>
        <v>-3.7929454324559142</v>
      </c>
      <c r="L281" s="36">
        <f t="shared" si="27"/>
        <v>-4.2143838138399046</v>
      </c>
      <c r="M281" s="52" t="str">
        <f>IF(Settings!$E$9="YAHOO",VLOOKUP(B281,ADP!A1:E731,2,FALSE),IF(Settings!$E$9="ESPN",VLOOKUP(B281,ADP!A1:E731,3,FALSE),IF(Settings!$E$9="FANTRAX",VLOOKUP(B281,ADP!A1:E731,4,FALSE),VLOOKUP(B281,ADP!A1:E731,5,FALSE))))</f>
        <v>-</v>
      </c>
      <c r="N281" s="52" t="str">
        <f t="shared" si="28"/>
        <v>N/A</v>
      </c>
      <c r="O281" s="38"/>
      <c r="P281" s="39" t="str">
        <f>IF(Settings!$E$27="ON",_xlfn.XLOOKUP(B281,ADP!A2:A731,ADP!H2:H731)," ")</f>
        <v xml:space="preserve"> </v>
      </c>
      <c r="Q281" s="40"/>
      <c r="R281" s="51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1"/>
      <c r="AI281" s="38"/>
      <c r="AJ281" s="42">
        <f>VLOOKUP(B281,'Player Data'!$A1:$AE734,24,FALSE)</f>
        <v>18</v>
      </c>
      <c r="AK281" s="40">
        <f>VLOOKUP(B281,'Player Data'!$A1:$AE734,25,FALSE)*$AJ281*IFERROR((VLOOKUP(P281,Settings!$E$28:$F$33,2,FALSE)+1),1)</f>
        <v>8.0192567738549165</v>
      </c>
      <c r="AL281" s="40">
        <f>AJ281-AK281-AM281</f>
        <v>7.7307432261450835</v>
      </c>
      <c r="AM281" s="40">
        <f>VLOOKUP(B281,'Player Data'!$A1:$AE734,27,FALSE)*$AJ281</f>
        <v>2.25</v>
      </c>
      <c r="AN281" s="40">
        <f>VLOOKUP(B281,'Player Data'!$A1:$AE734,28,FALSE)*AJ281</f>
        <v>0.77305254403423329</v>
      </c>
      <c r="AO281" s="40">
        <f>VLOOKUP(B281,'Player Data'!$A1:$AE734,29,FALSE)*$AJ281*IFERROR((VLOOKUP(P281,Settings!$E$28:$F$33,2,FALSE)/4)+1,1)</f>
        <v>490.21033913834037</v>
      </c>
      <c r="AP281" s="40">
        <f>VLOOKUP(B281,'Player Data'!$A1:$AE734,31,FALSE)*$AJ281*(IFERROR(1-(VLOOKUP(P281,Settings!$E$28:$F$33,2,FALSE)/4),1))</f>
        <v>53.682558324159238</v>
      </c>
      <c r="AQ281" s="43">
        <f>1-(AP281/(AO281+AP281))</f>
        <v>0.90129939446789609</v>
      </c>
      <c r="AR281" s="44">
        <f>AP281/AJ281</f>
        <v>2.9823643513421798</v>
      </c>
      <c r="AS281" s="38"/>
    </row>
    <row r="282" spans="1:45" ht="21.2" customHeight="1">
      <c r="A282" s="181">
        <f t="shared" si="25"/>
        <v>281</v>
      </c>
      <c r="B282" s="8" t="s">
        <v>311</v>
      </c>
      <c r="C282" s="31" t="s">
        <v>104</v>
      </c>
      <c r="D282" s="32" t="str">
        <f>VLOOKUP(B282,'Player Data'!A1:D734,4,FALSE)</f>
        <v>C</v>
      </c>
      <c r="E282" s="33">
        <f>VLOOKUP(B282,'C'!A1:C208,3,FALSE)</f>
        <v>68</v>
      </c>
      <c r="F282" s="34" t="str">
        <f>VLOOKUP(B282,'Player Data'!A1:B734,2,FALSE)</f>
        <v>CGY</v>
      </c>
      <c r="G282" s="9">
        <f>VLOOKUP(B282,'Player Data'!A1:D734,3,FALSE)</f>
        <v>34</v>
      </c>
      <c r="H282" s="35">
        <f>IFERROR(VLOOKUP(B282,ADP!A1:G731,7,FALSE)/1000000,VLOOKUP(B282,ADP!A1:G731,7,FALSE))</f>
        <v>5.35</v>
      </c>
      <c r="I282" s="36">
        <f>IF(Settings!$E$15="POINTS",((R282*Q282)*Settings!$B$12)+(S282*Settings!$B$2)+(T282*Settings!$B$3)+(U282*Settings!$B$4)+(V282*Settings!$B$5)+(X282*Settings!$B$9)+(AA282*Settings!$B$6)+(W282*Settings!$B$8)+(AB282*Settings!$B$7)+(AC282*Settings!$B$14)+(AD282*Settings!$B$15)+(AE282*Settings!$B$16)+(AF282*Settings!$B$17)+(AG282*Settings!$B$18)+(Y282*Settings!$B$10)+(Z282*Settings!$B$11),VLOOKUP(B282,'Standard Deviations'!A1:C731,3,FALSE))</f>
        <v>2.5440194089903927</v>
      </c>
      <c r="J282" s="37">
        <f t="shared" si="26"/>
        <v>3.1024626938907229E-2</v>
      </c>
      <c r="K282" s="183">
        <f>IF(Settings!$E$18="C/LW/RW",VLOOKUP(B282,'C'!A1:F208,6,FALSE),VLOOKUP(B282,F!A1:F431,6,FALSE))</f>
        <v>-3.7930313152162101</v>
      </c>
      <c r="L282" s="36">
        <f t="shared" si="27"/>
        <v>-0.70897781592826359</v>
      </c>
      <c r="M282" s="38">
        <f>IF(Settings!$E$9="YAHOO",VLOOKUP(B282,ADP!A1:E731,2,FALSE),IF(Settings!$E$9="ESPN",VLOOKUP(B282,ADP!A1:E731,3,FALSE),IF(Settings!$E$9="FANTRAX",VLOOKUP(B282,ADP!A1:E731,4,FALSE),VLOOKUP(B282,ADP!A1:E731,5,FALSE))))</f>
        <v>209.31</v>
      </c>
      <c r="N282" s="38">
        <f t="shared" si="28"/>
        <v>-71.69</v>
      </c>
      <c r="O282" s="38"/>
      <c r="P282" s="39" t="str">
        <f>IF(Settings!$E$27="ON",_xlfn.XLOOKUP(B282,ADP!A2:A731,ADP!H2:H731)," ")</f>
        <v xml:space="preserve"> </v>
      </c>
      <c r="Q282" s="40">
        <f>IF(Settings!$E$12="YES",VLOOKUP(B282,'Player Data'!A1:E734,5,FALSE),82)</f>
        <v>82</v>
      </c>
      <c r="R282" s="38">
        <f>VLOOKUP(B282,'Player Data'!$A1:$AE734,6,FALSE)</f>
        <v>17.7318138532363</v>
      </c>
      <c r="S282" s="40">
        <f>VLOOKUP(B282,'Player Data'!$A1:$AE734,7,FALSE)*$Q282*IFERROR((VLOOKUP(P282,Settings!$E$28:$F$33,2,FALSE)+1),1)</f>
        <v>14.733037476652694</v>
      </c>
      <c r="T282" s="40">
        <f>VLOOKUP(B282,'Player Data'!$A1:$AE734,8,FALSE)*$Q282*IFERROR((VLOOKUP(P282,Settings!$E$28:$F$33,2,FALSE)+1),1)</f>
        <v>31.165774278222528</v>
      </c>
      <c r="U282" s="40">
        <f>SUM(S282:T282)</f>
        <v>45.898811754875226</v>
      </c>
      <c r="V282" s="40">
        <f>VLOOKUP(B282,'Player Data'!$A1:$AE734,10,FALSE)*$Q282*IFERROR(((VLOOKUP(P282,Settings!$E$28:$F$33,2,FALSE)/2)+1),1)</f>
        <v>236.29326803770809</v>
      </c>
      <c r="W282" s="40">
        <f>VLOOKUP(B282,'Player Data'!$A1:$AE734,11,FALSE)*$Q282*IFERROR((VLOOKUP(P282,Settings!$E$28:$F$33,2,FALSE)+1),1)</f>
        <v>2.8138820187766007</v>
      </c>
      <c r="X282" s="40">
        <f>VLOOKUP(B282,'Player Data'!$A1:$AE734,12,FALSE)*$Q282*IFERROR((VLOOKUP(P282,Settings!$E$28:$F$33,2,FALSE)+1),1)</f>
        <v>9.9417440586942973</v>
      </c>
      <c r="Y282" s="40">
        <f>VLOOKUP(B282,'Player Data'!$A1:$AE734,13,FALSE)*$Q282</f>
        <v>0.52336746088387875</v>
      </c>
      <c r="Z282" s="40">
        <f>VLOOKUP(B282,'Player Data'!$A1:$AE734,14,FALSE)*$Q282</f>
        <v>2.0089400972265614</v>
      </c>
      <c r="AA282" s="40">
        <f>VLOOKUP(B282,'Player Data'!$A1:$AE734,15,FALSE)*$Q282</f>
        <v>31.243432815505894</v>
      </c>
      <c r="AB282" s="40">
        <f>VLOOKUP(B282,'Player Data'!$A1:$AE734,16,FALSE)*$Q282</f>
        <v>84.245038269658465</v>
      </c>
      <c r="AC282" s="40">
        <f>VLOOKUP(B282,'Player Data'!$A1:$AE734,17,FALSE)*$Q282*IFERROR((VLOOKUP(P282,Settings!$E$28:$F$33,2,FALSE)+1),1)</f>
        <v>5.5683771423644517</v>
      </c>
      <c r="AD282" s="40">
        <f>VLOOKUP(B282,'Player Data'!$A1:$AE734,18,FALSE)*$Q282</f>
        <v>35.89575329303301</v>
      </c>
      <c r="AE282" s="40">
        <f>VLOOKUP(B282,'Player Data'!$A1:$AE734,19,FALSE)*$Q282*IFERROR((VLOOKUP(P282,Settings!$E$28:$F$33,2,FALSE)+1),1)</f>
        <v>2.4618647804263509</v>
      </c>
      <c r="AF282" s="40">
        <f>VLOOKUP(B282,'Player Data'!$A1:$AE734,20,FALSE)*$Q282</f>
        <v>672.43513784375125</v>
      </c>
      <c r="AG282" s="40">
        <f>VLOOKUP(B282,'Player Data'!$A1:$AE734,21,FALSE)*$Q282</f>
        <v>647.83400185936296</v>
      </c>
      <c r="AH282" s="41">
        <f>VLOOKUP(B282,'Player Data'!$A1:$AE734,22,FALSE)</f>
        <v>0.50931671249618105</v>
      </c>
      <c r="AI282" s="38"/>
      <c r="AJ282" s="40"/>
      <c r="AK282" s="40"/>
      <c r="AL282" s="40"/>
      <c r="AM282" s="40"/>
      <c r="AN282" s="40"/>
      <c r="AO282" s="40"/>
      <c r="AP282" s="40"/>
      <c r="AQ282" s="43"/>
      <c r="AR282" s="44"/>
      <c r="AS282" s="38"/>
    </row>
    <row r="283" spans="1:45" ht="21.2" customHeight="1">
      <c r="A283" s="181">
        <f t="shared" si="25"/>
        <v>282</v>
      </c>
      <c r="B283" s="8" t="s">
        <v>336</v>
      </c>
      <c r="C283" s="31" t="s">
        <v>104</v>
      </c>
      <c r="D283" s="32" t="str">
        <f>VLOOKUP(B283,'Player Data'!A1:D734,4,FALSE)</f>
        <v>LW,RW</v>
      </c>
      <c r="E283" s="45">
        <f>VLOOKUP(B283,RW!A1:F189,3,FALSE)</f>
        <v>65</v>
      </c>
      <c r="F283" s="34" t="str">
        <f>VLOOKUP(B283,'Player Data'!A1:B734,2,FALSE)</f>
        <v>CAR</v>
      </c>
      <c r="G283" s="9">
        <f>VLOOKUP(B283,'Player Data'!A1:D734,3,FALSE)</f>
        <v>28</v>
      </c>
      <c r="H283" s="35">
        <f>IFERROR(VLOOKUP(B283,ADP!A1:G731,7,FALSE)/1000000,VLOOKUP(B283,ADP!A1:G731,7,FALSE))</f>
        <v>5.4</v>
      </c>
      <c r="I283" s="36">
        <f>IF(Settings!$E$15="POINTS",((R283*Q283)*Settings!$B$12)+(S283*Settings!$B$2)+(T283*Settings!$B$3)+(U283*Settings!$B$4)+(V283*Settings!$B$5)+(X283*Settings!$B$9)+(AA283*Settings!$B$6)+(W283*Settings!$B$8)+(AB283*Settings!$B$7)+(AC283*Settings!$B$14)+(AD283*Settings!$B$15)+(AE283*Settings!$B$16)+(AF283*Settings!$B$17)+(AG283*Settings!$B$18)+(Y283*Settings!$B$10)+(Z283*Settings!$B$11),VLOOKUP(B283,'Standard Deviations'!A1:C731,3,FALSE))</f>
        <v>2.4864447378146495</v>
      </c>
      <c r="J283" s="37">
        <f t="shared" si="26"/>
        <v>3.0322496802617678E-2</v>
      </c>
      <c r="K283" s="183">
        <f>IF(Settings!$E$18="C/LW/RW",VLOOKUP(B283,RW!A1:F189,6,FALSE),VLOOKUP(B283,F!A1:F431,6,FALSE))</f>
        <v>-3.7938139811964313</v>
      </c>
      <c r="L283" s="36">
        <f t="shared" si="27"/>
        <v>-0.70255814466600575</v>
      </c>
      <c r="M283" s="38">
        <f>IF(Settings!$E$9="YAHOO",VLOOKUP(B283,ADP!A1:E731,2,FALSE),IF(Settings!$E$9="ESPN",VLOOKUP(B283,ADP!A1:E731,3,FALSE),IF(Settings!$E$9="FANTRAX",VLOOKUP(B283,ADP!A1:E731,4,FALSE),VLOOKUP(B283,ADP!A1:E731,5,FALSE))))</f>
        <v>217.68</v>
      </c>
      <c r="N283" s="38">
        <f t="shared" si="28"/>
        <v>-64.319999999999993</v>
      </c>
      <c r="O283" s="38"/>
      <c r="P283" s="39" t="str">
        <f>IF(Settings!$E$27="ON",_xlfn.XLOOKUP(B283,ADP!A2:A731,ADP!H2:H731)," ")</f>
        <v xml:space="preserve"> </v>
      </c>
      <c r="Q283" s="40">
        <f>IF(Settings!$E$12="YES",VLOOKUP(B283,'Player Data'!A1:E734,5,FALSE),82)</f>
        <v>82</v>
      </c>
      <c r="R283" s="38">
        <f>VLOOKUP(B283,'Player Data'!$A1:$AE734,6,FALSE)</f>
        <v>16.590954767082099</v>
      </c>
      <c r="S283" s="40">
        <f>VLOOKUP(B283,'Player Data'!$A1:$AE734,7,FALSE)*$Q283*IFERROR((VLOOKUP(P283,Settings!$E$28:$F$33,2,FALSE)+1),1)</f>
        <v>16.811849284227925</v>
      </c>
      <c r="T283" s="40">
        <f>VLOOKUP(B283,'Player Data'!$A1:$AE734,8,FALSE)*$Q283*IFERROR((VLOOKUP(P283,Settings!$E$28:$F$33,2,FALSE)+1),1)</f>
        <v>32.33459024923097</v>
      </c>
      <c r="U283" s="40">
        <f>SUM(S283:T283)</f>
        <v>49.146439533458896</v>
      </c>
      <c r="V283" s="40">
        <f>VLOOKUP(B283,'Player Data'!$A1:$AE734,10,FALSE)*$Q283*IFERROR(((VLOOKUP(P283,Settings!$E$28:$F$33,2,FALSE)/2)+1),1)</f>
        <v>172.99381307878039</v>
      </c>
      <c r="W283" s="40">
        <f>VLOOKUP(B283,'Player Data'!$A1:$AE734,11,FALSE)*$Q283*IFERROR((VLOOKUP(P283,Settings!$E$28:$F$33,2,FALSE)+1),1)</f>
        <v>5.5937478032147725</v>
      </c>
      <c r="X283" s="40">
        <f>VLOOKUP(B283,'Player Data'!$A1:$AE734,12,FALSE)*$Q283*IFERROR((VLOOKUP(P283,Settings!$E$28:$F$33,2,FALSE)+1),1)</f>
        <v>15.704799756998478</v>
      </c>
      <c r="Y283" s="40">
        <f>VLOOKUP(B283,'Player Data'!$A1:$AE734,13,FALSE)*$Q283</f>
        <v>2.0564039766431113</v>
      </c>
      <c r="Z283" s="40">
        <f>VLOOKUP(B283,'Player Data'!$A1:$AE734,14,FALSE)*$Q283</f>
        <v>3.0925753818296311</v>
      </c>
      <c r="AA283" s="40">
        <f>VLOOKUP(B283,'Player Data'!$A1:$AE734,15,FALSE)*$Q283</f>
        <v>27.394536404523205</v>
      </c>
      <c r="AB283" s="40">
        <f>VLOOKUP(B283,'Player Data'!$A1:$AE734,16,FALSE)*$Q283</f>
        <v>28.43896984140272</v>
      </c>
      <c r="AC283" s="40">
        <f>VLOOKUP(B283,'Player Data'!$A1:$AE734,17,FALSE)*$Q283*IFERROR((VLOOKUP(P283,Settings!$E$28:$F$33,2,FALSE)+1),1)</f>
        <v>6.7173535764376435</v>
      </c>
      <c r="AD283" s="40">
        <f>VLOOKUP(B283,'Player Data'!$A1:$AE734,18,FALSE)*$Q283</f>
        <v>23.937509595816376</v>
      </c>
      <c r="AE283" s="40">
        <f>VLOOKUP(B283,'Player Data'!$A1:$AE734,19,FALSE)*$Q283*IFERROR((VLOOKUP(P283,Settings!$E$28:$F$33,2,FALSE)+1),1)</f>
        <v>3.0164222073641858</v>
      </c>
      <c r="AF283" s="40">
        <f>VLOOKUP(B283,'Player Data'!$A1:$AE734,20,FALSE)*$Q283</f>
        <v>34.628584210275569</v>
      </c>
      <c r="AG283" s="40">
        <f>VLOOKUP(B283,'Player Data'!$A1:$AE734,21,FALSE)*$Q283</f>
        <v>24.425950708155998</v>
      </c>
      <c r="AH283" s="41">
        <f>VLOOKUP(B283,'Player Data'!$A1:$AE734,22,FALSE)</f>
        <v>0.58638315005115105</v>
      </c>
      <c r="AI283" s="38"/>
      <c r="AJ283" s="42"/>
      <c r="AK283" s="40"/>
      <c r="AL283" s="40"/>
      <c r="AM283" s="40"/>
      <c r="AN283" s="40"/>
      <c r="AO283" s="40"/>
      <c r="AP283" s="40"/>
      <c r="AQ283" s="43"/>
      <c r="AR283" s="44"/>
      <c r="AS283" s="38"/>
    </row>
    <row r="284" spans="1:45" ht="21.2" customHeight="1">
      <c r="A284" s="181">
        <f t="shared" si="25"/>
        <v>283</v>
      </c>
      <c r="B284" s="8" t="s">
        <v>391</v>
      </c>
      <c r="C284" s="31" t="s">
        <v>104</v>
      </c>
      <c r="D284" s="32" t="str">
        <f>VLOOKUP(B284,'Player Data'!A1:D734,4,FALSE)</f>
        <v>RW</v>
      </c>
      <c r="E284" s="46">
        <f>VLOOKUP(B284,RW!A1:F189,3,FALSE)</f>
        <v>66</v>
      </c>
      <c r="F284" s="34" t="str">
        <f>VLOOKUP(B284,'Player Data'!A1:B734,2,FALSE)</f>
        <v>PHI</v>
      </c>
      <c r="G284" s="9">
        <f>VLOOKUP(B284,'Player Data'!A1:D734,3,FALSE)</f>
        <v>34</v>
      </c>
      <c r="H284" s="35">
        <f>IFERROR(VLOOKUP(B284,ADP!A1:G731,7,FALSE)/1000000,VLOOKUP(B284,ADP!A1:G731,7,FALSE))</f>
        <v>5.875</v>
      </c>
      <c r="I284" s="36">
        <f>IF(Settings!$E$15="POINTS",((R284*Q284)*Settings!$B$12)+(S284*Settings!$B$2)+(T284*Settings!$B$3)+(U284*Settings!$B$4)+(V284*Settings!$B$5)+(X284*Settings!$B$9)+(AA284*Settings!$B$6)+(W284*Settings!$B$8)+(AB284*Settings!$B$7)+(AC284*Settings!$B$14)+(AD284*Settings!$B$15)+(AE284*Settings!$B$16)+(AF284*Settings!$B$17)+(AG284*Settings!$B$18)+(Y284*Settings!$B$10)+(Z284*Settings!$B$11),VLOOKUP(B284,'Standard Deviations'!A1:C731,3,FALSE))</f>
        <v>2.4729723519051721</v>
      </c>
      <c r="J284" s="37">
        <f t="shared" si="26"/>
        <v>3.0158199413477707E-2</v>
      </c>
      <c r="K284" s="183">
        <f>IF(Settings!$E$18="C/LW/RW",VLOOKUP(B284,RW!A1:F189,6,FALSE),VLOOKUP(B284,F!A1:F431,6,FALSE))</f>
        <v>-3.8072863671059087</v>
      </c>
      <c r="L284" s="36">
        <f t="shared" si="27"/>
        <v>-0.64804874333717599</v>
      </c>
      <c r="M284" s="38">
        <f>IF(Settings!$E$9="YAHOO",VLOOKUP(B284,ADP!A1:E731,2,FALSE),IF(Settings!$E$9="ESPN",VLOOKUP(B284,ADP!A1:E731,3,FALSE),IF(Settings!$E$9="FANTRAX",VLOOKUP(B284,ADP!A1:E731,4,FALSE),VLOOKUP(B284,ADP!A1:E731,5,FALSE))))</f>
        <v>232.43</v>
      </c>
      <c r="N284" s="38">
        <f t="shared" si="28"/>
        <v>-50.569999999999993</v>
      </c>
      <c r="O284" s="38"/>
      <c r="P284" s="39" t="str">
        <f>IF(Settings!$E$27="ON",_xlfn.XLOOKUP(B284,ADP!A2:A731,ADP!H2:H731)," ")</f>
        <v xml:space="preserve"> </v>
      </c>
      <c r="Q284" s="40">
        <f>IF(Settings!$E$12="YES",VLOOKUP(B284,'Player Data'!A1:E734,5,FALSE),82)</f>
        <v>82</v>
      </c>
      <c r="R284" s="38">
        <f>VLOOKUP(B284,'Player Data'!$A1:$AE734,6,FALSE)</f>
        <v>16.277828060859299</v>
      </c>
      <c r="S284" s="40">
        <f>VLOOKUP(B284,'Player Data'!$A1:$AE734,7,FALSE)*$Q284*IFERROR((VLOOKUP(P284,Settings!$E$28:$F$33,2,FALSE)+1),1)</f>
        <v>19.201587969933865</v>
      </c>
      <c r="T284" s="40">
        <f>VLOOKUP(B284,'Player Data'!$A1:$AE734,8,FALSE)*$Q284*IFERROR((VLOOKUP(P284,Settings!$E$28:$F$33,2,FALSE)+1),1)</f>
        <v>28.988836516583071</v>
      </c>
      <c r="U284" s="40">
        <f>SUM(S284:T284)</f>
        <v>48.190424486516932</v>
      </c>
      <c r="V284" s="40">
        <f>VLOOKUP(B284,'Player Data'!$A1:$AE734,10,FALSE)*$Q284*IFERROR(((VLOOKUP(P284,Settings!$E$28:$F$33,2,FALSE)/2)+1),1)</f>
        <v>203.77013685370733</v>
      </c>
      <c r="W284" s="40">
        <f>VLOOKUP(B284,'Player Data'!$A1:$AE734,11,FALSE)*$Q284*IFERROR((VLOOKUP(P284,Settings!$E$28:$F$33,2,FALSE)+1),1)</f>
        <v>3.4655393621110311</v>
      </c>
      <c r="X284" s="40">
        <f>VLOOKUP(B284,'Player Data'!$A1:$AE734,12,FALSE)*$Q284*IFERROR((VLOOKUP(P284,Settings!$E$28:$F$33,2,FALSE)+1),1)</f>
        <v>10.973936368118578</v>
      </c>
      <c r="Y284" s="40">
        <f>VLOOKUP(B284,'Player Data'!$A1:$AE734,13,FALSE)*$Q284</f>
        <v>8.1384228765804673E-2</v>
      </c>
      <c r="Z284" s="40">
        <f>VLOOKUP(B284,'Player Data'!$A1:$AE734,14,FALSE)*$Q284</f>
        <v>7.9312200771871802E-2</v>
      </c>
      <c r="AA284" s="40">
        <f>VLOOKUP(B284,'Player Data'!$A1:$AE734,15,FALSE)*$Q284</f>
        <v>40.013533690260886</v>
      </c>
      <c r="AB284" s="40">
        <f>VLOOKUP(B284,'Player Data'!$A1:$AE734,16,FALSE)*$Q284</f>
        <v>45.152231042932733</v>
      </c>
      <c r="AC284" s="40">
        <f>VLOOKUP(B284,'Player Data'!$A1:$AE734,17,FALSE)*$Q284*IFERROR((VLOOKUP(P284,Settings!$E$28:$F$33,2,FALSE)+1),1)</f>
        <v>-4.8671487013394286</v>
      </c>
      <c r="AD284" s="40">
        <f>VLOOKUP(B284,'Player Data'!$A1:$AE734,18,FALSE)*$Q284</f>
        <v>0</v>
      </c>
      <c r="AE284" s="40">
        <f>VLOOKUP(B284,'Player Data'!$A1:$AE734,19,FALSE)*$Q284*IFERROR((VLOOKUP(P284,Settings!$E$28:$F$33,2,FALSE)+1),1)</f>
        <v>2.257062993078883</v>
      </c>
      <c r="AF284" s="40">
        <f>VLOOKUP(B284,'Player Data'!$A1:$AE734,20,FALSE)*$Q284</f>
        <v>7.1373679067491897</v>
      </c>
      <c r="AG284" s="40">
        <f>VLOOKUP(B284,'Player Data'!$A1:$AE734,21,FALSE)*$Q284</f>
        <v>19.085148964380664</v>
      </c>
      <c r="AH284" s="41">
        <f>VLOOKUP(B284,'Player Data'!$A1:$AE734,22,FALSE)</f>
        <v>0.27218470072211798</v>
      </c>
      <c r="AI284" s="38"/>
      <c r="AJ284" s="42"/>
      <c r="AK284" s="40"/>
      <c r="AL284" s="40"/>
      <c r="AM284" s="40"/>
      <c r="AN284" s="40"/>
      <c r="AO284" s="40"/>
      <c r="AP284" s="40"/>
      <c r="AQ284" s="43"/>
      <c r="AR284" s="44"/>
      <c r="AS284" s="38"/>
    </row>
    <row r="285" spans="1:45" ht="21.2" customHeight="1">
      <c r="A285" s="181">
        <f t="shared" si="25"/>
        <v>284</v>
      </c>
      <c r="B285" s="8" t="s">
        <v>808</v>
      </c>
      <c r="C285" s="31" t="s">
        <v>104</v>
      </c>
      <c r="D285" s="32" t="str">
        <f>VLOOKUP(B285,'Player Data'!A1:D734,4,FALSE)</f>
        <v>G</v>
      </c>
      <c r="E285" s="50">
        <f>VLOOKUP(B285,G!A1:D75,3,FALSE)</f>
        <v>64</v>
      </c>
      <c r="F285" s="34" t="str">
        <f>VLOOKUP(B285,'Player Data'!A1:B734,2,FALSE)</f>
        <v>ANA</v>
      </c>
      <c r="G285" s="9">
        <f>VLOOKUP(B285,'Player Data'!A1:D734,3,FALSE)</f>
        <v>23</v>
      </c>
      <c r="H285" s="35">
        <f>IFERROR(VLOOKUP(B285,ADP!A1:G731,7,FALSE)/1000000,VLOOKUP(B285,ADP!A1:G731,7,FALSE))</f>
        <v>0</v>
      </c>
      <c r="I285" s="36">
        <f>IF(Settings!$E$15="POINTS",(AJ285*Settings!$B$29)+(AK285*Settings!$B$21)+(AL285*Settings!$B$22)+(AN285*Settings!$B$24)+(AO285*Settings!$B$25)+(AP285*Settings!$B$27)+(AM285*Settings!$B$23),VLOOKUP(B285,'Standard Deviations'!A1:C731,3,FALSE))</f>
        <v>-2.1181348887636737</v>
      </c>
      <c r="J285" s="37">
        <f t="shared" si="26"/>
        <v>-0.11767416048687077</v>
      </c>
      <c r="K285" s="183">
        <f>VLOOKUP(B285,G!A1:F75,6,FALSE)</f>
        <v>-3.8223639399539655</v>
      </c>
      <c r="L285" s="49" t="str">
        <f t="shared" si="27"/>
        <v>N/A</v>
      </c>
      <c r="M285" s="38">
        <f>IF(Settings!$E$9="YAHOO",VLOOKUP(B285,ADP!A1:E731,2,FALSE),IF(Settings!$E$9="ESPN",VLOOKUP(B285,ADP!A1:E731,3,FALSE),IF(Settings!$E$9="FANTRAX",VLOOKUP(B285,ADP!A1:E731,4,FALSE),VLOOKUP(B285,ADP!A1:E731,5,FALSE))))</f>
        <v>372.6</v>
      </c>
      <c r="N285" s="38">
        <f t="shared" si="28"/>
        <v>88.600000000000023</v>
      </c>
      <c r="O285" s="38"/>
      <c r="P285" s="39" t="str">
        <f>IF(Settings!$E$27="ON",_xlfn.XLOOKUP(B285,ADP!A2:A731,ADP!H2:H731)," ")</f>
        <v xml:space="preserve"> </v>
      </c>
      <c r="Q285" s="40"/>
      <c r="R285" s="51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1"/>
      <c r="AI285" s="38"/>
      <c r="AJ285" s="42">
        <f>VLOOKUP(B285,'Player Data'!$A1:$AE734,24,FALSE)</f>
        <v>18</v>
      </c>
      <c r="AK285" s="40">
        <f>VLOOKUP(B285,'Player Data'!$A1:$AE734,25,FALSE)*$AJ285*IFERROR((VLOOKUP(P285,Settings!$E$28:$F$33,2,FALSE)+1),1)</f>
        <v>6.4261430668740962</v>
      </c>
      <c r="AL285" s="40">
        <f>AJ285-AK285-AM285</f>
        <v>9.3238569331259029</v>
      </c>
      <c r="AM285" s="40">
        <f>VLOOKUP(B285,'Player Data'!$A1:$AE734,27,FALSE)*$AJ285</f>
        <v>2.25</v>
      </c>
      <c r="AN285" s="40">
        <f>VLOOKUP(B285,'Player Data'!$A1:$AE734,28,FALSE)*AJ285</f>
        <v>0.31087823038772761</v>
      </c>
      <c r="AO285" s="40">
        <f>VLOOKUP(B285,'Player Data'!$A1:$AE734,29,FALSE)*$AJ285*IFERROR((VLOOKUP(P285,Settings!$E$28:$F$33,2,FALSE)/4)+1,1)</f>
        <v>555.08487552726115</v>
      </c>
      <c r="AP285" s="40">
        <f>VLOOKUP(B285,'Player Data'!$A1:$AE734,31,FALSE)*$AJ285*(IFERROR(1-(VLOOKUP(P285,Settings!$E$28:$F$33,2,FALSE)/4),1))</f>
        <v>59.731960335239165</v>
      </c>
      <c r="AQ285" s="43">
        <f>1-(AP285/(AO285+AP285))</f>
        <v>0.90284592605301095</v>
      </c>
      <c r="AR285" s="44">
        <f>AP285/AJ285</f>
        <v>3.3184422408466201</v>
      </c>
      <c r="AS285" s="38"/>
    </row>
    <row r="286" spans="1:45" ht="21.2" customHeight="1">
      <c r="A286" s="181">
        <f t="shared" si="25"/>
        <v>285</v>
      </c>
      <c r="B286" s="8" t="s">
        <v>379</v>
      </c>
      <c r="C286" s="31" t="s">
        <v>104</v>
      </c>
      <c r="D286" s="32" t="str">
        <f>VLOOKUP(B286,'Player Data'!A1:D734,4,FALSE)</f>
        <v>LW</v>
      </c>
      <c r="E286" s="48">
        <f>VLOOKUP(B286,LW!A1:C227,3,FALSE)</f>
        <v>67</v>
      </c>
      <c r="F286" s="34" t="str">
        <f>VLOOKUP(B286,'Player Data'!A1:B734,2,FALSE)</f>
        <v>EDM</v>
      </c>
      <c r="G286" s="9">
        <f>VLOOKUP(B286,'Player Data'!A1:D734,3,FALSE)</f>
        <v>32</v>
      </c>
      <c r="H286" s="35">
        <f>IFERROR(VLOOKUP(B286,ADP!A1:G731,7,FALSE)/1000000,VLOOKUP(B286,ADP!A1:G731,7,FALSE))</f>
        <v>5.125</v>
      </c>
      <c r="I286" s="36">
        <f>IF(Settings!$E$15="POINTS",((R286*Q286)*Settings!$B$12)+(S286*Settings!$B$2)+(T286*Settings!$B$3)+(U286*Settings!$B$4)+(V286*Settings!$B$5)+(X286*Settings!$B$9)+(AA286*Settings!$B$6)+(W286*Settings!$B$8)+(AB286*Settings!$B$7)+(AC286*Settings!$B$14)+(AD286*Settings!$B$15)+(AE286*Settings!$B$16)+(AF286*Settings!$B$17)+(AG286*Settings!$B$18)+(Y286*Settings!$B$10)+(Z286*Settings!$B$11),VLOOKUP(B286,'Standard Deviations'!A1:C731,3,FALSE))</f>
        <v>2.8180413842784593</v>
      </c>
      <c r="J286" s="37">
        <f t="shared" si="26"/>
        <v>3.4366358344859259E-2</v>
      </c>
      <c r="K286" s="183">
        <f>IF(Settings!$E$18="C/LW/RW",VLOOKUP(B286,LW!A1:F227,6,FALSE),VLOOKUP(B286,F!A1:F431,6,FALSE))</f>
        <v>-3.8366276598459419</v>
      </c>
      <c r="L286" s="36">
        <f t="shared" si="27"/>
        <v>-0.74861027509189115</v>
      </c>
      <c r="M286" s="38">
        <f>IF(Settings!$E$9="YAHOO",VLOOKUP(B286,ADP!A1:E731,2,FALSE),IF(Settings!$E$9="ESPN",VLOOKUP(B286,ADP!A1:E731,3,FALSE),IF(Settings!$E$9="FANTRAX",VLOOKUP(B286,ADP!A1:E731,4,FALSE),VLOOKUP(B286,ADP!A1:E731,5,FALSE))))</f>
        <v>50.86</v>
      </c>
      <c r="N286" s="38">
        <f t="shared" si="28"/>
        <v>-234.14</v>
      </c>
      <c r="O286" s="38"/>
      <c r="P286" s="39" t="str">
        <f>IF(Settings!$E$27="ON",_xlfn.XLOOKUP(B286,ADP!A2:A731,ADP!H2:H731)," ")</f>
        <v xml:space="preserve"> </v>
      </c>
      <c r="Q286" s="40">
        <f>IF(Settings!$E$12="YES",VLOOKUP(B286,'Player Data'!A1:E734,5,FALSE),82)</f>
        <v>82</v>
      </c>
      <c r="R286" s="38">
        <f>VLOOKUP(B286,'Player Data'!$A1:$AE734,6,FALSE)</f>
        <v>16.1606972173239</v>
      </c>
      <c r="S286" s="40">
        <f>VLOOKUP(B286,'Player Data'!$A1:$AE734,7,FALSE)*$Q286*IFERROR((VLOOKUP(P286,Settings!$E$28:$F$33,2,FALSE)+1),1)</f>
        <v>26.458823327804865</v>
      </c>
      <c r="T286" s="40">
        <f>VLOOKUP(B286,'Player Data'!$A1:$AE734,8,FALSE)*$Q286*IFERROR((VLOOKUP(P286,Settings!$E$28:$F$33,2,FALSE)+1),1)</f>
        <v>24.189410961804011</v>
      </c>
      <c r="U286" s="40">
        <f t="shared" ref="U286:U291" si="29">SUM(S286:T286)</f>
        <v>50.64823428960888</v>
      </c>
      <c r="V286" s="40">
        <f>VLOOKUP(B286,'Player Data'!$A1:$AE734,10,FALSE)*$Q286*IFERROR(((VLOOKUP(P286,Settings!$E$28:$F$33,2,FALSE)/2)+1),1)</f>
        <v>235.42051890070866</v>
      </c>
      <c r="W286" s="40">
        <f>VLOOKUP(B286,'Player Data'!$A1:$AE734,11,FALSE)*$Q286*IFERROR((VLOOKUP(P286,Settings!$E$28:$F$33,2,FALSE)+1),1)</f>
        <v>2.0779498387859268</v>
      </c>
      <c r="X286" s="40">
        <f>VLOOKUP(B286,'Player Data'!$A1:$AE734,12,FALSE)*$Q286*IFERROR((VLOOKUP(P286,Settings!$E$28:$F$33,2,FALSE)+1),1)</f>
        <v>4.5698847129034874</v>
      </c>
      <c r="Y286" s="40">
        <f>VLOOKUP(B286,'Player Data'!$A1:$AE734,13,FALSE)*$Q286</f>
        <v>0.78249871493436385</v>
      </c>
      <c r="Z286" s="40">
        <f>VLOOKUP(B286,'Player Data'!$A1:$AE734,14,FALSE)*$Q286</f>
        <v>1.7419471818591017</v>
      </c>
      <c r="AA286" s="40">
        <f>VLOOKUP(B286,'Player Data'!$A1:$AE734,15,FALSE)*$Q286</f>
        <v>26.244051404653074</v>
      </c>
      <c r="AB286" s="40">
        <f>VLOOKUP(B286,'Player Data'!$A1:$AE734,16,FALSE)*$Q286</f>
        <v>185.92528060333515</v>
      </c>
      <c r="AC286" s="40">
        <f>VLOOKUP(B286,'Player Data'!$A1:$AE734,17,FALSE)*$Q286*IFERROR((VLOOKUP(P286,Settings!$E$28:$F$33,2,FALSE)+1),1)</f>
        <v>4.9568538910610362</v>
      </c>
      <c r="AD286" s="40">
        <f>VLOOKUP(B286,'Player Data'!$A1:$AE734,18,FALSE)*$Q286</f>
        <v>65.388309077112936</v>
      </c>
      <c r="AE286" s="40">
        <f>VLOOKUP(B286,'Player Data'!$A1:$AE734,19,FALSE)*$Q286*IFERROR((VLOOKUP(P286,Settings!$E$28:$F$33,2,FALSE)+1),1)</f>
        <v>4.1881476808408218</v>
      </c>
      <c r="AF286" s="40">
        <f>VLOOKUP(B286,'Player Data'!$A1:$AE734,20,FALSE)*$Q286</f>
        <v>22.5741489534322</v>
      </c>
      <c r="AG286" s="40">
        <f>VLOOKUP(B286,'Player Data'!$A1:$AE734,21,FALSE)*$Q286</f>
        <v>33.799287712199664</v>
      </c>
      <c r="AH286" s="41">
        <f>VLOOKUP(B286,'Player Data'!$A1:$AE734,22,FALSE)</f>
        <v>0.40043946739182101</v>
      </c>
      <c r="AI286" s="38"/>
      <c r="AJ286" s="42"/>
      <c r="AK286" s="40"/>
      <c r="AL286" s="40"/>
      <c r="AM286" s="40"/>
      <c r="AN286" s="40"/>
      <c r="AO286" s="40"/>
      <c r="AP286" s="40"/>
      <c r="AQ286" s="43"/>
      <c r="AR286" s="44"/>
      <c r="AS286" s="38"/>
    </row>
    <row r="287" spans="1:45" ht="21.2" customHeight="1">
      <c r="A287" s="181">
        <f t="shared" si="25"/>
        <v>286</v>
      </c>
      <c r="B287" s="8" t="s">
        <v>397</v>
      </c>
      <c r="C287" s="31" t="s">
        <v>104</v>
      </c>
      <c r="D287" s="32" t="str">
        <f>VLOOKUP(B287,'Player Data'!A1:D734,4,FALSE)</f>
        <v>D</v>
      </c>
      <c r="E287" s="47">
        <f>VLOOKUP(B287,D!A1:C229,3,FALSE)</f>
        <v>79</v>
      </c>
      <c r="F287" s="34" t="str">
        <f>VLOOKUP(B287,'Player Data'!A1:B734,2,FALSE)</f>
        <v>CBJ</v>
      </c>
      <c r="G287" s="9">
        <f>VLOOKUP(B287,'Player Data'!A1:D734,3,FALSE)</f>
        <v>23</v>
      </c>
      <c r="H287" s="35">
        <f>IFERROR(VLOOKUP(B287,ADP!A1:G731,7,FALSE)/1000000,VLOOKUP(B287,ADP!A1:G731,7,FALSE))</f>
        <v>2.6</v>
      </c>
      <c r="I287" s="36">
        <f>IF(Settings!$E$15="POINTS",((R287*Q287)*Settings!$B$12)+(S287*Settings!$B$2)+(T287*Settings!$B$3)+(U287*Settings!$B$4)+(V287*Settings!$B$5)+(X287*Settings!$B$9)+(AA287*Settings!$B$6)+(W287*Settings!$B$8)+(AB287*Settings!$B$7)+(AC287*Settings!$B$14)+(AD287*Settings!$B$15)+(AE287*Settings!$B$16)+(AF287*Settings!$B$17)+(AG287*Settings!$B$18)+(U287*Settings!$B$13)+(Y287*Settings!$B$10)+(Z287*Settings!$B$11),VLOOKUP(B287,'Standard Deviations'!A1:C731,3,FALSE))</f>
        <v>-1.941205247102086</v>
      </c>
      <c r="J287" s="37">
        <f t="shared" si="26"/>
        <v>-2.3673234720757146E-2</v>
      </c>
      <c r="K287" s="183">
        <f>VLOOKUP(B287,D!A1:F229,6,FALSE)</f>
        <v>-3.8829457907363967</v>
      </c>
      <c r="L287" s="36">
        <f t="shared" si="27"/>
        <v>-1.493440688744768</v>
      </c>
      <c r="M287" s="52" t="str">
        <f>IF(Settings!$E$9="YAHOO",VLOOKUP(B287,ADP!A1:E731,2,FALSE),IF(Settings!$E$9="ESPN",VLOOKUP(B287,ADP!A1:E731,3,FALSE),IF(Settings!$E$9="FANTRAX",VLOOKUP(B287,ADP!A1:E731,4,FALSE),VLOOKUP(B287,ADP!A1:E731,5,FALSE))))</f>
        <v>-</v>
      </c>
      <c r="N287" s="52" t="str">
        <f t="shared" si="28"/>
        <v>N/A</v>
      </c>
      <c r="O287" s="38"/>
      <c r="P287" s="39" t="str">
        <f>IF(Settings!$E$27="ON",_xlfn.XLOOKUP(B287,ADP!A2:A731,ADP!H2:H731)," ")</f>
        <v xml:space="preserve"> </v>
      </c>
      <c r="Q287" s="40">
        <f>IF(Settings!$E$12="YES",VLOOKUP(B287,'Player Data'!A1:E734,5,FALSE),82)</f>
        <v>82</v>
      </c>
      <c r="R287" s="38">
        <f>VLOOKUP(B287,'Player Data'!$A1:$AE734,6,FALSE)</f>
        <v>16.758948498417599</v>
      </c>
      <c r="S287" s="40">
        <f>VLOOKUP(B287,'Player Data'!$A1:$AE734,7,FALSE)*$Q287*IFERROR((VLOOKUP(P287,Settings!$E$28:$F$33,2,FALSE)+1),1)</f>
        <v>9.2107507847903385</v>
      </c>
      <c r="T287" s="40">
        <f>VLOOKUP(B287,'Player Data'!$A1:$AE734,8,FALSE)*$Q287*IFERROR((VLOOKUP(P287,Settings!$E$28:$F$33,2,FALSE)+1),1)</f>
        <v>21.267273112373207</v>
      </c>
      <c r="U287" s="40">
        <f t="shared" si="29"/>
        <v>30.478023897163546</v>
      </c>
      <c r="V287" s="40">
        <f>VLOOKUP(B287,'Player Data'!$A1:$AE734,10,FALSE)*$Q287*IFERROR(((VLOOKUP(P287,Settings!$E$28:$F$33,2,FALSE)/2)+1),1)</f>
        <v>101.43937408640375</v>
      </c>
      <c r="W287" s="40">
        <f>VLOOKUP(B287,'Player Data'!$A1:$AE734,11,FALSE)*$Q287*IFERROR((VLOOKUP(P287,Settings!$E$28:$F$33,2,FALSE)+1),1)</f>
        <v>1.1446917980607594</v>
      </c>
      <c r="X287" s="40">
        <f>VLOOKUP(B287,'Player Data'!$A1:$AE734,12,FALSE)*$Q287*IFERROR((VLOOKUP(P287,Settings!$E$28:$F$33,2,FALSE)+1),1)</f>
        <v>7.000483110633267</v>
      </c>
      <c r="Y287" s="40">
        <f>VLOOKUP(B287,'Player Data'!$A1:$AE734,13,FALSE)*$Q287</f>
        <v>3.9285796597034808E-3</v>
      </c>
      <c r="Z287" s="40">
        <f>VLOOKUP(B287,'Player Data'!$A1:$AE734,14,FALSE)*$Q287</f>
        <v>1.6603797984766317E-2</v>
      </c>
      <c r="AA287" s="40">
        <f>VLOOKUP(B287,'Player Data'!$A1:$AE734,15,FALSE)*$Q287</f>
        <v>83.561132215274498</v>
      </c>
      <c r="AB287" s="40">
        <f>VLOOKUP(B287,'Player Data'!$A1:$AE734,16,FALSE)*$Q287</f>
        <v>62.546515934876631</v>
      </c>
      <c r="AC287" s="40">
        <f>VLOOKUP(B287,'Player Data'!$A1:$AE734,17,FALSE)*$Q287*IFERROR((VLOOKUP(P287,Settings!$E$28:$F$33,2,FALSE)+1),1)</f>
        <v>-5.6653292009374097</v>
      </c>
      <c r="AD287" s="40">
        <f>VLOOKUP(B287,'Player Data'!$A1:$AE734,18,FALSE)*$Q287</f>
        <v>22.926845238198002</v>
      </c>
      <c r="AE287" s="40">
        <f>VLOOKUP(B287,'Player Data'!$A1:$AE734,19,FALSE)*$Q287*IFERROR((VLOOKUP(P287,Settings!$E$28:$F$33,2,FALSE)+1),1)</f>
        <v>0.98699536433430635</v>
      </c>
      <c r="AF287" s="40">
        <f>VLOOKUP(B287,'Player Data'!$A1:$AE734,20,FALSE)*$Q287</f>
        <v>0</v>
      </c>
      <c r="AG287" s="40">
        <f>VLOOKUP(B287,'Player Data'!$A1:$AE734,21,FALSE)*$Q287</f>
        <v>0</v>
      </c>
      <c r="AH287" s="41">
        <f>VLOOKUP(B287,'Player Data'!$A1:$AE734,22,FALSE)</f>
        <v>0</v>
      </c>
      <c r="AI287" s="38"/>
      <c r="AJ287" s="42"/>
      <c r="AK287" s="40"/>
      <c r="AL287" s="40"/>
      <c r="AM287" s="40"/>
      <c r="AN287" s="40"/>
      <c r="AO287" s="40"/>
      <c r="AP287" s="40"/>
      <c r="AQ287" s="43"/>
      <c r="AR287" s="44"/>
      <c r="AS287" s="42"/>
    </row>
    <row r="288" spans="1:45" ht="21.2" customHeight="1">
      <c r="A288" s="181">
        <f t="shared" si="25"/>
        <v>287</v>
      </c>
      <c r="B288" s="8" t="s">
        <v>349</v>
      </c>
      <c r="C288" s="31" t="s">
        <v>104</v>
      </c>
      <c r="D288" s="32" t="str">
        <f>VLOOKUP(B288,'Player Data'!A1:D734,4,FALSE)</f>
        <v>C,RW</v>
      </c>
      <c r="E288" s="45">
        <f>VLOOKUP(B288,RW!A1:F189,3,FALSE)</f>
        <v>67</v>
      </c>
      <c r="F288" s="34" t="str">
        <f>VLOOKUP(B288,'Player Data'!A1:B734,2,FALSE)</f>
        <v>DAL</v>
      </c>
      <c r="G288" s="9">
        <f>VLOOKUP(B288,'Player Data'!A1:D734,3,FALSE)</f>
        <v>31</v>
      </c>
      <c r="H288" s="35">
        <f>IFERROR(VLOOKUP(B288,ADP!A1:G731,7,FALSE)/1000000,VLOOKUP(B288,ADP!A1:G731,7,FALSE))</f>
        <v>9.85</v>
      </c>
      <c r="I288" s="36">
        <f>IF(Settings!$E$15="POINTS",((R288*Q288)*Settings!$B$12)+(S288*Settings!$B$2)+(T288*Settings!$B$3)+(U288*Settings!$B$4)+(V288*Settings!$B$5)+(X288*Settings!$B$9)+(AA288*Settings!$B$6)+(W288*Settings!$B$8)+(AB288*Settings!$B$7)+(AC288*Settings!$B$14)+(AD288*Settings!$B$15)+(AE288*Settings!$B$16)+(AF288*Settings!$B$17)+(AG288*Settings!$B$18)+(Y288*Settings!$B$10)+(Z288*Settings!$B$11),VLOOKUP(B288,'Standard Deviations'!A1:C731,3,FALSE))</f>
        <v>2.348789467429456</v>
      </c>
      <c r="J288" s="37">
        <f t="shared" si="26"/>
        <v>2.8643773993042146E-2</v>
      </c>
      <c r="K288" s="183">
        <f>IF(Settings!$E$18="C/LW/RW",VLOOKUP(B288,RW!A1:F189,6,FALSE),VLOOKUP(B288,F!A1:F431,6,FALSE))</f>
        <v>-3.9314692515816247</v>
      </c>
      <c r="L288" s="36">
        <f t="shared" si="27"/>
        <v>-0.39913393417072335</v>
      </c>
      <c r="M288" s="38">
        <f>IF(Settings!$E$9="YAHOO",VLOOKUP(B288,ADP!A1:E731,2,FALSE),IF(Settings!$E$9="ESPN",VLOOKUP(B288,ADP!A1:E731,3,FALSE),IF(Settings!$E$9="FANTRAX",VLOOKUP(B288,ADP!A1:E731,4,FALSE),VLOOKUP(B288,ADP!A1:E731,5,FALSE))))</f>
        <v>220.86</v>
      </c>
      <c r="N288" s="38">
        <f t="shared" si="28"/>
        <v>-66.139999999999986</v>
      </c>
      <c r="O288" s="38"/>
      <c r="P288" s="39" t="str">
        <f>IF(Settings!$E$27="ON",_xlfn.XLOOKUP(B288,ADP!A2:A731,ADP!H2:H731)," ")</f>
        <v xml:space="preserve"> </v>
      </c>
      <c r="Q288" s="40">
        <f>IF(Settings!$E$12="YES",VLOOKUP(B288,'Player Data'!A1:E734,5,FALSE),82)</f>
        <v>82</v>
      </c>
      <c r="R288" s="38">
        <f>VLOOKUP(B288,'Player Data'!$A1:$AE734,6,FALSE)</f>
        <v>16.814175211007701</v>
      </c>
      <c r="S288" s="40">
        <f>VLOOKUP(B288,'Player Data'!$A1:$AE734,7,FALSE)*$Q288*IFERROR((VLOOKUP(P288,Settings!$E$28:$F$33,2,FALSE)+1),1)</f>
        <v>21.375452540258721</v>
      </c>
      <c r="T288" s="40">
        <f>VLOOKUP(B288,'Player Data'!$A1:$AE734,8,FALSE)*$Q288*IFERROR((VLOOKUP(P288,Settings!$E$28:$F$33,2,FALSE)+1),1)</f>
        <v>26.842860331673172</v>
      </c>
      <c r="U288" s="40">
        <f t="shared" si="29"/>
        <v>48.218312871931893</v>
      </c>
      <c r="V288" s="40">
        <f>VLOOKUP(B288,'Player Data'!$A1:$AE734,10,FALSE)*$Q288*IFERROR(((VLOOKUP(P288,Settings!$E$28:$F$33,2,FALSE)/2)+1),1)</f>
        <v>197.00287985972233</v>
      </c>
      <c r="W288" s="40">
        <f>VLOOKUP(B288,'Player Data'!$A1:$AE734,11,FALSE)*$Q288*IFERROR((VLOOKUP(P288,Settings!$E$28:$F$33,2,FALSE)+1),1)</f>
        <v>4.8607198216063425</v>
      </c>
      <c r="X288" s="40">
        <f>VLOOKUP(B288,'Player Data'!$A1:$AE734,12,FALSE)*$Q288*IFERROR((VLOOKUP(P288,Settings!$E$28:$F$33,2,FALSE)+1),1)</f>
        <v>10.330693252482613</v>
      </c>
      <c r="Y288" s="40">
        <f>VLOOKUP(B288,'Player Data'!$A1:$AE734,13,FALSE)*$Q288</f>
        <v>0.98245396719513622</v>
      </c>
      <c r="Z288" s="40">
        <f>VLOOKUP(B288,'Player Data'!$A1:$AE734,14,FALSE)*$Q288</f>
        <v>1.9330925738631806</v>
      </c>
      <c r="AA288" s="40">
        <f>VLOOKUP(B288,'Player Data'!$A1:$AE734,15,FALSE)*$Q288</f>
        <v>29.492523108705981</v>
      </c>
      <c r="AB288" s="40">
        <f>VLOOKUP(B288,'Player Data'!$A1:$AE734,16,FALSE)*$Q288</f>
        <v>89.754826840320604</v>
      </c>
      <c r="AC288" s="40">
        <f>VLOOKUP(B288,'Player Data'!$A1:$AE734,17,FALSE)*$Q288*IFERROR((VLOOKUP(P288,Settings!$E$28:$F$33,2,FALSE)+1),1)</f>
        <v>3.8493582165708036</v>
      </c>
      <c r="AD288" s="40">
        <f>VLOOKUP(B288,'Player Data'!$A1:$AE734,18,FALSE)*$Q288</f>
        <v>28.47626479417476</v>
      </c>
      <c r="AE288" s="40">
        <f>VLOOKUP(B288,'Player Data'!$A1:$AE734,19,FALSE)*$Q288*IFERROR((VLOOKUP(P288,Settings!$E$28:$F$33,2,FALSE)+1),1)</f>
        <v>3.4199208746942595</v>
      </c>
      <c r="AF288" s="40">
        <f>VLOOKUP(B288,'Player Data'!$A1:$AE734,20,FALSE)*$Q288</f>
        <v>509.03938814740098</v>
      </c>
      <c r="AG288" s="40">
        <f>VLOOKUP(B288,'Player Data'!$A1:$AE734,21,FALSE)*$Q288</f>
        <v>410.71660545096034</v>
      </c>
      <c r="AH288" s="41">
        <f>VLOOKUP(B288,'Player Data'!$A1:$AE734,22,FALSE)</f>
        <v>0.55345047131020697</v>
      </c>
      <c r="AI288" s="38"/>
      <c r="AJ288" s="42"/>
      <c r="AK288" s="40"/>
      <c r="AL288" s="40"/>
      <c r="AM288" s="40"/>
      <c r="AN288" s="40"/>
      <c r="AO288" s="40"/>
      <c r="AP288" s="40"/>
      <c r="AQ288" s="43"/>
      <c r="AR288" s="44"/>
      <c r="AS288" s="38"/>
    </row>
    <row r="289" spans="1:45" ht="21.2" customHeight="1">
      <c r="A289" s="181">
        <f t="shared" si="25"/>
        <v>288</v>
      </c>
      <c r="B289" s="8" t="s">
        <v>297</v>
      </c>
      <c r="C289" s="31" t="s">
        <v>104</v>
      </c>
      <c r="D289" s="32" t="str">
        <f>VLOOKUP(B289,'Player Data'!A1:D734,4,FALSE)</f>
        <v>RW</v>
      </c>
      <c r="E289" s="46">
        <f>VLOOKUP(B289,RW!A1:F189,3,FALSE)</f>
        <v>68</v>
      </c>
      <c r="F289" s="34" t="str">
        <f>VLOOKUP(B289,'Player Data'!A1:B734,2,FALSE)</f>
        <v>PIT</v>
      </c>
      <c r="G289" s="9">
        <f>VLOOKUP(B289,'Player Data'!A1:D734,3,FALSE)</f>
        <v>32</v>
      </c>
      <c r="H289" s="35">
        <f>IFERROR(VLOOKUP(B289,ADP!A1:G731,7,FALSE)/1000000,VLOOKUP(B289,ADP!A1:G731,7,FALSE))</f>
        <v>5</v>
      </c>
      <c r="I289" s="36">
        <f>IF(Settings!$E$15="POINTS",((R289*Q289)*Settings!$B$12)+(S289*Settings!$B$2)+(T289*Settings!$B$3)+(U289*Settings!$B$4)+(V289*Settings!$B$5)+(X289*Settings!$B$9)+(AA289*Settings!$B$6)+(W289*Settings!$B$8)+(AB289*Settings!$B$7)+(AC289*Settings!$B$14)+(AD289*Settings!$B$15)+(AE289*Settings!$B$16)+(AF289*Settings!$B$17)+(AG289*Settings!$B$18)+(Y289*Settings!$B$10)+(Z289*Settings!$B$11),VLOOKUP(B289,'Standard Deviations'!A1:C731,3,FALSE))</f>
        <v>2.348026173315596</v>
      </c>
      <c r="J289" s="37">
        <f t="shared" si="26"/>
        <v>2.8634465528238975E-2</v>
      </c>
      <c r="K289" s="183">
        <f>IF(Settings!$E$18="C/LW/RW",VLOOKUP(B289,RW!A1:F189,6,FALSE),VLOOKUP(B289,F!A1:F431,6,FALSE))</f>
        <v>-3.9322325456954847</v>
      </c>
      <c r="L289" s="36">
        <f t="shared" si="27"/>
        <v>-0.78644650913909697</v>
      </c>
      <c r="M289" s="38">
        <f>IF(Settings!$E$9="YAHOO",VLOOKUP(B289,ADP!A1:E731,2,FALSE),IF(Settings!$E$9="ESPN",VLOOKUP(B289,ADP!A1:E731,3,FALSE),IF(Settings!$E$9="FANTRAX",VLOOKUP(B289,ADP!A1:E731,4,FALSE),VLOOKUP(B289,ADP!A1:E731,5,FALSE))))</f>
        <v>164.82</v>
      </c>
      <c r="N289" s="38">
        <f t="shared" si="28"/>
        <v>-123.18</v>
      </c>
      <c r="O289" s="38"/>
      <c r="P289" s="39" t="str">
        <f>IF(Settings!$E$27="ON",_xlfn.XLOOKUP(B289,ADP!A2:A731,ADP!H2:H731)," ")</f>
        <v xml:space="preserve"> </v>
      </c>
      <c r="Q289" s="40">
        <f>IF(Settings!$E$12="YES",VLOOKUP(B289,'Player Data'!A1:E734,5,FALSE),82)</f>
        <v>82</v>
      </c>
      <c r="R289" s="38">
        <f>VLOOKUP(B289,'Player Data'!$A1:$AE734,6,FALSE)</f>
        <v>17.372599281242302</v>
      </c>
      <c r="S289" s="40">
        <f>VLOOKUP(B289,'Player Data'!$A1:$AE734,7,FALSE)*$Q289*IFERROR((VLOOKUP(P289,Settings!$E$28:$F$33,2,FALSE)+1),1)</f>
        <v>23.291113486848996</v>
      </c>
      <c r="T289" s="40">
        <f>VLOOKUP(B289,'Player Data'!$A1:$AE734,8,FALSE)*$Q289*IFERROR((VLOOKUP(P289,Settings!$E$28:$F$33,2,FALSE)+1),1)</f>
        <v>28.262181397648341</v>
      </c>
      <c r="U289" s="40">
        <f t="shared" si="29"/>
        <v>51.553294884497333</v>
      </c>
      <c r="V289" s="40">
        <f>VLOOKUP(B289,'Player Data'!$A1:$AE734,10,FALSE)*$Q289*IFERROR(((VLOOKUP(P289,Settings!$E$28:$F$33,2,FALSE)/2)+1),1)</f>
        <v>187.96814234309898</v>
      </c>
      <c r="W289" s="40">
        <f>VLOOKUP(B289,'Player Data'!$A1:$AE734,11,FALSE)*$Q289*IFERROR((VLOOKUP(P289,Settings!$E$28:$F$33,2,FALSE)+1),1)</f>
        <v>3.9839413338594318</v>
      </c>
      <c r="X289" s="40">
        <f>VLOOKUP(B289,'Player Data'!$A1:$AE734,12,FALSE)*$Q289*IFERROR((VLOOKUP(P289,Settings!$E$28:$F$33,2,FALSE)+1),1)</f>
        <v>7.5081547027201161</v>
      </c>
      <c r="Y289" s="40">
        <f>VLOOKUP(B289,'Player Data'!$A1:$AE734,13,FALSE)*$Q289</f>
        <v>3.6887927466918011</v>
      </c>
      <c r="Z289" s="40">
        <f>VLOOKUP(B289,'Player Data'!$A1:$AE734,14,FALSE)*$Q289</f>
        <v>4.4279800624371388</v>
      </c>
      <c r="AA289" s="40">
        <f>VLOOKUP(B289,'Player Data'!$A1:$AE734,15,FALSE)*$Q289</f>
        <v>36.077769028043029</v>
      </c>
      <c r="AB289" s="40">
        <f>VLOOKUP(B289,'Player Data'!$A1:$AE734,16,FALSE)*$Q289</f>
        <v>75.425441541332333</v>
      </c>
      <c r="AC289" s="40">
        <f>VLOOKUP(B289,'Player Data'!$A1:$AE734,17,FALSE)*$Q289*IFERROR((VLOOKUP(P289,Settings!$E$28:$F$33,2,FALSE)+1),1)</f>
        <v>2.2152293632134525</v>
      </c>
      <c r="AD289" s="40">
        <f>VLOOKUP(B289,'Player Data'!$A1:$AE734,18,FALSE)*$Q289</f>
        <v>20.940314981941288</v>
      </c>
      <c r="AE289" s="40">
        <f>VLOOKUP(B289,'Player Data'!$A1:$AE734,19,FALSE)*$Q289*IFERROR((VLOOKUP(P289,Settings!$E$28:$F$33,2,FALSE)+1),1)</f>
        <v>3.7386900826039891</v>
      </c>
      <c r="AF289" s="40">
        <f>VLOOKUP(B289,'Player Data'!$A1:$AE734,20,FALSE)*$Q289</f>
        <v>3.381594883744127</v>
      </c>
      <c r="AG289" s="40">
        <f>VLOOKUP(B289,'Player Data'!$A1:$AE734,21,FALSE)*$Q289</f>
        <v>4.4457404034380703</v>
      </c>
      <c r="AH289" s="41">
        <f>VLOOKUP(B289,'Player Data'!$A1:$AE734,22,FALSE)</f>
        <v>0.432023767945871</v>
      </c>
      <c r="AI289" s="38"/>
      <c r="AJ289" s="42"/>
      <c r="AK289" s="40"/>
      <c r="AL289" s="40"/>
      <c r="AM289" s="40"/>
      <c r="AN289" s="40"/>
      <c r="AO289" s="40"/>
      <c r="AP289" s="40"/>
      <c r="AQ289" s="43"/>
      <c r="AR289" s="44"/>
      <c r="AS289" s="38"/>
    </row>
    <row r="290" spans="1:45" ht="21.2" customHeight="1">
      <c r="A290" s="181">
        <f t="shared" si="25"/>
        <v>289</v>
      </c>
      <c r="B290" s="8" t="s">
        <v>491</v>
      </c>
      <c r="C290" s="31" t="s">
        <v>104</v>
      </c>
      <c r="D290" s="32" t="str">
        <f>VLOOKUP(B290,'Player Data'!A1:D734,4,FALSE)</f>
        <v>C</v>
      </c>
      <c r="E290" s="33">
        <f>VLOOKUP(B290,'C'!A1:C208,3,FALSE)</f>
        <v>69</v>
      </c>
      <c r="F290" s="34" t="str">
        <f>VLOOKUP(B290,'Player Data'!A1:B734,2,FALSE)</f>
        <v>WSH</v>
      </c>
      <c r="G290" s="9">
        <f>VLOOKUP(B290,'Player Data'!A1:D734,3,FALSE)</f>
        <v>35</v>
      </c>
      <c r="H290" s="35">
        <f>IFERROR(VLOOKUP(B290,ADP!A1:G731,7,FALSE)/1000000,VLOOKUP(B290,ADP!A1:G731,7,FALSE))</f>
        <v>9.1999999999999993</v>
      </c>
      <c r="I290" s="36">
        <f>IF(Settings!$E$15="POINTS",((R290*Q290)*Settings!$B$12)+(S290*Settings!$B$2)+(T290*Settings!$B$3)+(U290*Settings!$B$4)+(V290*Settings!$B$5)+(X290*Settings!$B$9)+(AA290*Settings!$B$6)+(W290*Settings!$B$8)+(AB290*Settings!$B$7)+(AC290*Settings!$B$14)+(AD290*Settings!$B$15)+(AE290*Settings!$B$16)+(AF290*Settings!$B$17)+(AG290*Settings!$B$18)+(Y290*Settings!$B$10)+(Z290*Settings!$B$11),VLOOKUP(B290,'Standard Deviations'!A1:C731,3,FALSE))</f>
        <v>2.3844870982587514</v>
      </c>
      <c r="J290" s="37">
        <f t="shared" si="26"/>
        <v>2.9079110954375018E-2</v>
      </c>
      <c r="K290" s="183">
        <f>IF(Settings!$E$18="C/LW/RW",VLOOKUP(B290,'C'!A1:F208,6,FALSE),VLOOKUP(B290,F!A1:F431,6,FALSE))</f>
        <v>-3.9525636259478514</v>
      </c>
      <c r="L290" s="36">
        <f t="shared" si="27"/>
        <v>-0.4296264810812882</v>
      </c>
      <c r="M290" s="38">
        <f>IF(Settings!$E$9="YAHOO",VLOOKUP(B290,ADP!A1:E731,2,FALSE),IF(Settings!$E$9="ESPN",VLOOKUP(B290,ADP!A1:E731,3,FALSE),IF(Settings!$E$9="FANTRAX",VLOOKUP(B290,ADP!A1:E731,4,FALSE),VLOOKUP(B290,ADP!A1:E731,5,FALSE))))</f>
        <v>330.03</v>
      </c>
      <c r="N290" s="38">
        <f t="shared" si="28"/>
        <v>41.029999999999973</v>
      </c>
      <c r="O290" s="38"/>
      <c r="P290" s="39" t="str">
        <f>IF(Settings!$E$27="ON",_xlfn.XLOOKUP(B290,ADP!A2:A731,ADP!H2:H731)," ")</f>
        <v xml:space="preserve"> </v>
      </c>
      <c r="Q290" s="40">
        <f>IF(Settings!$E$12="YES",VLOOKUP(B290,'Player Data'!A1:E734,5,FALSE),82)</f>
        <v>82</v>
      </c>
      <c r="R290" s="38">
        <f>VLOOKUP(B290,'Player Data'!$A1:$AE734,6,FALSE)</f>
        <v>16.9030468764843</v>
      </c>
      <c r="S290" s="40">
        <f>VLOOKUP(B290,'Player Data'!$A1:$AE734,7,FALSE)*$Q290*IFERROR((VLOOKUP(P290,Settings!$E$28:$F$33,2,FALSE)+1),1)</f>
        <v>14.240922035693625</v>
      </c>
      <c r="T290" s="40">
        <f>VLOOKUP(B290,'Player Data'!$A1:$AE734,8,FALSE)*$Q290*IFERROR((VLOOKUP(P290,Settings!$E$28:$F$33,2,FALSE)+1),1)</f>
        <v>35.560518782935873</v>
      </c>
      <c r="U290" s="40">
        <f t="shared" si="29"/>
        <v>49.801440818629501</v>
      </c>
      <c r="V290" s="40">
        <f>VLOOKUP(B290,'Player Data'!$A1:$AE734,10,FALSE)*$Q290*IFERROR(((VLOOKUP(P290,Settings!$E$28:$F$33,2,FALSE)/2)+1),1)</f>
        <v>129.19741121300899</v>
      </c>
      <c r="W290" s="40">
        <f>VLOOKUP(B290,'Player Data'!$A1:$AE734,11,FALSE)*$Q290*IFERROR((VLOOKUP(P290,Settings!$E$28:$F$33,2,FALSE)+1),1)</f>
        <v>6.1253474631782066</v>
      </c>
      <c r="X290" s="40">
        <f>VLOOKUP(B290,'Player Data'!$A1:$AE734,12,FALSE)*$Q290*IFERROR((VLOOKUP(P290,Settings!$E$28:$F$33,2,FALSE)+1),1)</f>
        <v>21.856878696295798</v>
      </c>
      <c r="Y290" s="40">
        <f>VLOOKUP(B290,'Player Data'!$A1:$AE734,13,FALSE)*$Q290</f>
        <v>3.103617798559128E-2</v>
      </c>
      <c r="Z290" s="40">
        <f>VLOOKUP(B290,'Player Data'!$A1:$AE734,14,FALSE)*$Q290</f>
        <v>4.4333491858681642E-2</v>
      </c>
      <c r="AA290" s="40">
        <f>VLOOKUP(B290,'Player Data'!$A1:$AE734,15,FALSE)*$Q290</f>
        <v>39.990112240085026</v>
      </c>
      <c r="AB290" s="40">
        <f>VLOOKUP(B290,'Player Data'!$A1:$AE734,16,FALSE)*$Q290</f>
        <v>52.087589297473862</v>
      </c>
      <c r="AC290" s="40">
        <f>VLOOKUP(B290,'Player Data'!$A1:$AE734,17,FALSE)*$Q290*IFERROR((VLOOKUP(P290,Settings!$E$28:$F$33,2,FALSE)+1),1)</f>
        <v>-4.2388798556314589</v>
      </c>
      <c r="AD290" s="40">
        <f>VLOOKUP(B290,'Player Data'!$A1:$AE734,18,FALSE)*$Q290</f>
        <v>25.867528125739096</v>
      </c>
      <c r="AE290" s="40">
        <f>VLOOKUP(B290,'Player Data'!$A1:$AE734,19,FALSE)*$Q290*IFERROR((VLOOKUP(P290,Settings!$E$28:$F$33,2,FALSE)+1),1)</f>
        <v>1.7517172423179874</v>
      </c>
      <c r="AF290" s="40">
        <f>VLOOKUP(B290,'Player Data'!$A1:$AE734,20,FALSE)*$Q290</f>
        <v>515.03786479227495</v>
      </c>
      <c r="AG290" s="40">
        <f>VLOOKUP(B290,'Player Data'!$A1:$AE734,21,FALSE)*$Q290</f>
        <v>550.61851851573192</v>
      </c>
      <c r="AH290" s="41">
        <f>VLOOKUP(B290,'Player Data'!$A1:$AE734,22,FALSE)</f>
        <v>0.48330575677076698</v>
      </c>
      <c r="AI290" s="38"/>
      <c r="AJ290" s="42"/>
      <c r="AK290" s="40"/>
      <c r="AL290" s="40"/>
      <c r="AM290" s="40"/>
      <c r="AN290" s="40"/>
      <c r="AO290" s="40"/>
      <c r="AP290" s="40"/>
      <c r="AQ290" s="43"/>
      <c r="AR290" s="44"/>
      <c r="AS290" s="38"/>
    </row>
    <row r="291" spans="1:45" ht="21.2" customHeight="1">
      <c r="A291" s="181">
        <f t="shared" si="25"/>
        <v>290</v>
      </c>
      <c r="B291" s="8" t="s">
        <v>337</v>
      </c>
      <c r="C291" s="31" t="s">
        <v>104</v>
      </c>
      <c r="D291" s="32" t="str">
        <f>VLOOKUP(B291,'Player Data'!A1:D734,4,FALSE)</f>
        <v>D</v>
      </c>
      <c r="E291" s="47">
        <f>VLOOKUP(B291,D!A1:C229,3,FALSE)</f>
        <v>80</v>
      </c>
      <c r="F291" s="34" t="str">
        <f>VLOOKUP(B291,'Player Data'!A1:B734,2,FALSE)</f>
        <v>SJS</v>
      </c>
      <c r="G291" s="9">
        <f>VLOOKUP(B291,'Player Data'!A1:D734,3,FALSE)</f>
        <v>24</v>
      </c>
      <c r="H291" s="35">
        <f>IFERROR(VLOOKUP(B291,ADP!A1:G731,7,FALSE)/1000000,VLOOKUP(B291,ADP!A1:G731,7,FALSE))</f>
        <v>3.25</v>
      </c>
      <c r="I291" s="36">
        <f>IF(Settings!$E$15="POINTS",((R291*Q291)*Settings!$B$12)+(S291*Settings!$B$2)+(T291*Settings!$B$3)+(U291*Settings!$B$4)+(V291*Settings!$B$5)+(X291*Settings!$B$9)+(AA291*Settings!$B$6)+(W291*Settings!$B$8)+(AB291*Settings!$B$7)+(AC291*Settings!$B$14)+(AD291*Settings!$B$15)+(AE291*Settings!$B$16)+(AF291*Settings!$B$17)+(AG291*Settings!$B$18)+(U291*Settings!$B$13)+(Y291*Settings!$B$10)+(Z291*Settings!$B$11),VLOOKUP(B291,'Standard Deviations'!A1:C731,3,FALSE))</f>
        <v>-2.0593409076692457</v>
      </c>
      <c r="J291" s="37">
        <f t="shared" si="26"/>
        <v>-2.5113913508161532E-2</v>
      </c>
      <c r="K291" s="183">
        <f>VLOOKUP(B291,D!A1:F229,6,FALSE)</f>
        <v>-4.0010814513035564</v>
      </c>
      <c r="L291" s="36">
        <f t="shared" si="27"/>
        <v>-1.2311019850164788</v>
      </c>
      <c r="M291" s="52" t="str">
        <f>IF(Settings!$E$9="YAHOO",VLOOKUP(B291,ADP!A1:E731,2,FALSE),IF(Settings!$E$9="ESPN",VLOOKUP(B291,ADP!A1:E731,3,FALSE),IF(Settings!$E$9="FANTRAX",VLOOKUP(B291,ADP!A1:E731,4,FALSE),VLOOKUP(B291,ADP!A1:E731,5,FALSE))))</f>
        <v>-</v>
      </c>
      <c r="N291" s="52" t="str">
        <f t="shared" si="28"/>
        <v>N/A</v>
      </c>
      <c r="O291" s="38"/>
      <c r="P291" s="39" t="str">
        <f>IF(Settings!$E$27="ON",_xlfn.XLOOKUP(B291,ADP!A2:A731,ADP!H2:H731)," ")</f>
        <v xml:space="preserve"> </v>
      </c>
      <c r="Q291" s="40">
        <f>IF(Settings!$E$12="YES",VLOOKUP(B291,'Player Data'!A1:E734,5,FALSE),82)</f>
        <v>82</v>
      </c>
      <c r="R291" s="38">
        <f>VLOOKUP(B291,'Player Data'!$A1:$AE734,6,FALSE)</f>
        <v>25.8324009612213</v>
      </c>
      <c r="S291" s="40">
        <f>VLOOKUP(B291,'Player Data'!$A1:$AE734,7,FALSE)*$Q291*IFERROR((VLOOKUP(P291,Settings!$E$28:$F$33,2,FALSE)+1),1)</f>
        <v>5.5559674113892097</v>
      </c>
      <c r="T291" s="40">
        <f>VLOOKUP(B291,'Player Data'!$A1:$AE734,8,FALSE)*$Q291*IFERROR((VLOOKUP(P291,Settings!$E$28:$F$33,2,FALSE)+1),1)</f>
        <v>24.234566551496734</v>
      </c>
      <c r="U291" s="40">
        <f t="shared" si="29"/>
        <v>29.790533962885945</v>
      </c>
      <c r="V291" s="40">
        <f>VLOOKUP(B291,'Player Data'!$A1:$AE734,10,FALSE)*$Q291*IFERROR(((VLOOKUP(P291,Settings!$E$28:$F$33,2,FALSE)/2)+1),1)</f>
        <v>100.68593422585433</v>
      </c>
      <c r="W291" s="40">
        <f>VLOOKUP(B291,'Player Data'!$A1:$AE734,11,FALSE)*$Q291*IFERROR((VLOOKUP(P291,Settings!$E$28:$F$33,2,FALSE)+1),1)</f>
        <v>0.65683710067705792</v>
      </c>
      <c r="X291" s="40">
        <f>VLOOKUP(B291,'Player Data'!$A1:$AE734,12,FALSE)*$Q291*IFERROR((VLOOKUP(P291,Settings!$E$28:$F$33,2,FALSE)+1),1)</f>
        <v>7.5967308718054101</v>
      </c>
      <c r="Y291" s="40">
        <f>VLOOKUP(B291,'Player Data'!$A1:$AE734,13,FALSE)*$Q291</f>
        <v>5.3193073797316914E-2</v>
      </c>
      <c r="Z291" s="40">
        <f>VLOOKUP(B291,'Player Data'!$A1:$AE734,14,FALSE)*$Q291</f>
        <v>0.40874328656786679</v>
      </c>
      <c r="AA291" s="40">
        <f>VLOOKUP(B291,'Player Data'!$A1:$AE734,15,FALSE)*$Q291</f>
        <v>181.27332295782372</v>
      </c>
      <c r="AB291" s="40">
        <f>VLOOKUP(B291,'Player Data'!$A1:$AE734,16,FALSE)*$Q291</f>
        <v>161.9543249815878</v>
      </c>
      <c r="AC291" s="40">
        <f>VLOOKUP(B291,'Player Data'!$A1:$AE734,17,FALSE)*$Q291*IFERROR((VLOOKUP(P291,Settings!$E$28:$F$33,2,FALSE)+1),1)</f>
        <v>-2.1282828347989362</v>
      </c>
      <c r="AD291" s="40">
        <f>VLOOKUP(B291,'Player Data'!$A1:$AE734,18,FALSE)*$Q291</f>
        <v>33.990869696688165</v>
      </c>
      <c r="AE291" s="40">
        <f>VLOOKUP(B291,'Player Data'!$A1:$AE734,19,FALSE)*$Q291*IFERROR((VLOOKUP(P291,Settings!$E$28:$F$33,2,FALSE)+1),1)</f>
        <v>0.68980532551264928</v>
      </c>
      <c r="AF291" s="40">
        <f>VLOOKUP(B291,'Player Data'!$A1:$AE734,20,FALSE)*$Q291</f>
        <v>0</v>
      </c>
      <c r="AG291" s="40">
        <f>VLOOKUP(B291,'Player Data'!$A1:$AE734,21,FALSE)*$Q291</f>
        <v>1.0027242590473697</v>
      </c>
      <c r="AH291" s="41">
        <f>VLOOKUP(B291,'Player Data'!$A1:$AE734,22,FALSE)</f>
        <v>0</v>
      </c>
      <c r="AI291" s="38"/>
      <c r="AJ291" s="42"/>
      <c r="AK291" s="40"/>
      <c r="AL291" s="40"/>
      <c r="AM291" s="40"/>
      <c r="AN291" s="40"/>
      <c r="AO291" s="40"/>
      <c r="AP291" s="40"/>
      <c r="AQ291" s="43"/>
      <c r="AR291" s="44"/>
      <c r="AS291" s="38"/>
    </row>
    <row r="292" spans="1:45" ht="21.2" customHeight="1">
      <c r="A292" s="181">
        <f t="shared" si="25"/>
        <v>291</v>
      </c>
      <c r="B292" s="8" t="s">
        <v>823</v>
      </c>
      <c r="C292" s="31" t="s">
        <v>104</v>
      </c>
      <c r="D292" s="32" t="str">
        <f>VLOOKUP(B292,'Player Data'!A1:D734,4,FALSE)</f>
        <v>G</v>
      </c>
      <c r="E292" s="50">
        <f>VLOOKUP(B292,G!A1:D75,3,FALSE)</f>
        <v>65</v>
      </c>
      <c r="F292" s="34" t="str">
        <f>VLOOKUP(B292,'Player Data'!A1:B734,2,FALSE)</f>
        <v>NSH</v>
      </c>
      <c r="G292" s="9">
        <f>VLOOKUP(B292,'Player Data'!A1:D734,3,FALSE)</f>
        <v>28</v>
      </c>
      <c r="H292" s="35">
        <f>IFERROR(VLOOKUP(B292,ADP!A1:G731,7,FALSE)/1000000,VLOOKUP(B292,ADP!A1:G731,7,FALSE))</f>
        <v>0</v>
      </c>
      <c r="I292" s="36">
        <f>IF(Settings!$E$15="POINTS",(AJ292*Settings!$B$29)+(AK292*Settings!$B$21)+(AL292*Settings!$B$22)+(AN292*Settings!$B$24)+(AO292*Settings!$B$25)+(AP292*Settings!$B$27)+(AM292*Settings!$B$23),VLOOKUP(B292,'Standard Deviations'!A1:C731,3,FALSE))</f>
        <v>-2.3124813013207266</v>
      </c>
      <c r="J292" s="37">
        <f t="shared" si="26"/>
        <v>-0.14453008133254541</v>
      </c>
      <c r="K292" s="183">
        <f>VLOOKUP(B292,G!A1:F75,6,FALSE)</f>
        <v>-4.0167103525110184</v>
      </c>
      <c r="L292" s="49" t="str">
        <f t="shared" si="27"/>
        <v>N/A</v>
      </c>
      <c r="M292" s="52" t="str">
        <f>IF(Settings!$E$9="YAHOO",VLOOKUP(B292,ADP!A1:E731,2,FALSE),IF(Settings!$E$9="ESPN",VLOOKUP(B292,ADP!A1:E731,3,FALSE),IF(Settings!$E$9="FANTRAX",VLOOKUP(B292,ADP!A1:E731,4,FALSE),VLOOKUP(B292,ADP!A1:E731,5,FALSE))))</f>
        <v>-</v>
      </c>
      <c r="N292" s="52" t="str">
        <f t="shared" si="28"/>
        <v>N/A</v>
      </c>
      <c r="O292" s="38"/>
      <c r="P292" s="39" t="str">
        <f>IF(Settings!$E$27="ON",_xlfn.XLOOKUP(B292,ADP!A2:A731,ADP!H2:H731)," ")</f>
        <v xml:space="preserve"> </v>
      </c>
      <c r="Q292" s="40"/>
      <c r="R292" s="51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1"/>
      <c r="AI292" s="38"/>
      <c r="AJ292" s="42">
        <f>VLOOKUP(B292,'Player Data'!$A1:$AE734,24,FALSE)</f>
        <v>16</v>
      </c>
      <c r="AK292" s="40">
        <f>VLOOKUP(B292,'Player Data'!$A1:$AE734,25,FALSE)*$AJ292*IFERROR((VLOOKUP(P292,Settings!$E$28:$F$33,2,FALSE)+1),1)</f>
        <v>6.6600196733672963</v>
      </c>
      <c r="AL292" s="40">
        <f>AJ292-AK292-AM292</f>
        <v>7.3399803266327037</v>
      </c>
      <c r="AM292" s="40">
        <f>VLOOKUP(B292,'Player Data'!$A1:$AE734,27,FALSE)*$AJ292</f>
        <v>2</v>
      </c>
      <c r="AN292" s="40">
        <f>VLOOKUP(B292,'Player Data'!$A1:$AE734,28,FALSE)*AJ292</f>
        <v>0.53381864187496963</v>
      </c>
      <c r="AO292" s="40">
        <f>VLOOKUP(B292,'Player Data'!$A1:$AE734,29,FALSE)*$AJ292*IFERROR((VLOOKUP(P292,Settings!$E$28:$F$33,2,FALSE)/4)+1,1)</f>
        <v>456.61611921354722</v>
      </c>
      <c r="AP292" s="40">
        <f>VLOOKUP(B292,'Player Data'!$A1:$AE734,31,FALSE)*$AJ292*(IFERROR(1-(VLOOKUP(P292,Settings!$E$28:$F$33,2,FALSE)/4),1))</f>
        <v>49.724886886453277</v>
      </c>
      <c r="AQ292" s="43">
        <f>1-(AP292/(AO292+AP292))</f>
        <v>0.9017956549293723</v>
      </c>
      <c r="AR292" s="44">
        <f>AP292/AJ292</f>
        <v>3.1078054304033298</v>
      </c>
      <c r="AS292" s="38"/>
    </row>
    <row r="293" spans="1:45" ht="21.2" customHeight="1">
      <c r="A293" s="181">
        <f t="shared" si="25"/>
        <v>292</v>
      </c>
      <c r="B293" s="8" t="s">
        <v>309</v>
      </c>
      <c r="C293" s="31" t="s">
        <v>104</v>
      </c>
      <c r="D293" s="32" t="str">
        <f>VLOOKUP(B293,'Player Data'!A1:D734,4,FALSE)</f>
        <v>C,LW,RW</v>
      </c>
      <c r="E293" s="45">
        <f>VLOOKUP(B293,RW!A1:F189,3,FALSE)</f>
        <v>69</v>
      </c>
      <c r="F293" s="34" t="str">
        <f>VLOOKUP(B293,'Player Data'!A1:B734,2,FALSE)</f>
        <v>CBJ</v>
      </c>
      <c r="G293" s="9">
        <f>VLOOKUP(B293,'Player Data'!A1:D734,3,FALSE)</f>
        <v>20</v>
      </c>
      <c r="H293" s="35">
        <f>IFERROR(VLOOKUP(B293,ADP!A1:G731,7,FALSE)/1000000,VLOOKUP(B293,ADP!A1:G731,7,FALSE))</f>
        <v>0.92500000000000004</v>
      </c>
      <c r="I293" s="36">
        <f>IF(Settings!$E$15="POINTS",((R293*Q293)*Settings!$B$12)+(S293*Settings!$B$2)+(T293*Settings!$B$3)+(U293*Settings!$B$4)+(V293*Settings!$B$5)+(X293*Settings!$B$9)+(AA293*Settings!$B$6)+(W293*Settings!$B$8)+(AB293*Settings!$B$7)+(AC293*Settings!$B$14)+(AD293*Settings!$B$15)+(AE293*Settings!$B$16)+(AF293*Settings!$B$17)+(AG293*Settings!$B$18)+(Y293*Settings!$B$10)+(Z293*Settings!$B$11),VLOOKUP(B293,'Standard Deviations'!A1:C731,3,FALSE))</f>
        <v>2.2297803244112213</v>
      </c>
      <c r="J293" s="37">
        <f t="shared" si="26"/>
        <v>2.7192442980624652E-2</v>
      </c>
      <c r="K293" s="183">
        <f>IF(Settings!$E$18="C/LW/RW",VLOOKUP(B293,RW!A1:F189,6,FALSE),VLOOKUP(B293,F!A1:F431,6,FALSE))</f>
        <v>-4.0504783945998595</v>
      </c>
      <c r="L293" s="36">
        <f t="shared" si="27"/>
        <v>-4.3788955617295775</v>
      </c>
      <c r="M293" s="38">
        <f>IF(Settings!$E$9="YAHOO",VLOOKUP(B293,ADP!A1:E731,2,FALSE),IF(Settings!$E$9="ESPN",VLOOKUP(B293,ADP!A1:E731,3,FALSE),IF(Settings!$E$9="FANTRAX",VLOOKUP(B293,ADP!A1:E731,4,FALSE),VLOOKUP(B293,ADP!A1:E731,5,FALSE))))</f>
        <v>225.65</v>
      </c>
      <c r="N293" s="38">
        <f t="shared" si="28"/>
        <v>-66.349999999999994</v>
      </c>
      <c r="O293" s="38"/>
      <c r="P293" s="39" t="str">
        <f>IF(Settings!$E$27="ON",_xlfn.XLOOKUP(B293,ADP!A2:A731,ADP!H2:H731)," ")</f>
        <v>+</v>
      </c>
      <c r="Q293" s="40">
        <f>IF(Settings!$E$12="YES",VLOOKUP(B293,'Player Data'!A1:E734,5,FALSE),82)</f>
        <v>82</v>
      </c>
      <c r="R293" s="38">
        <f>VLOOKUP(B293,'Player Data'!$A1:$AE734,6,FALSE)</f>
        <v>15.947180340111601</v>
      </c>
      <c r="S293" s="40">
        <f>VLOOKUP(B293,'Player Data'!$A1:$AE734,7,FALSE)*$Q293*IFERROR((VLOOKUP(P293,Settings!$E$28:$F$33,2,FALSE)+1),1)</f>
        <v>20.568096101619425</v>
      </c>
      <c r="T293" s="40">
        <f>VLOOKUP(B293,'Player Data'!$A1:$AE734,8,FALSE)*$Q293*IFERROR((VLOOKUP(P293,Settings!$E$28:$F$33,2,FALSE)+1),1)</f>
        <v>30.69867016957495</v>
      </c>
      <c r="U293" s="40">
        <f>SUM(S293:T293)</f>
        <v>51.266766271194371</v>
      </c>
      <c r="V293" s="40">
        <f>VLOOKUP(B293,'Player Data'!$A1:$AE734,10,FALSE)*$Q293*IFERROR(((VLOOKUP(P293,Settings!$E$28:$F$33,2,FALSE)/2)+1),1)</f>
        <v>149.02895512414565</v>
      </c>
      <c r="W293" s="40">
        <f>VLOOKUP(B293,'Player Data'!$A1:$AE734,11,FALSE)*$Q293*IFERROR((VLOOKUP(P293,Settings!$E$28:$F$33,2,FALSE)+1),1)</f>
        <v>4.6953230788457381</v>
      </c>
      <c r="X293" s="40">
        <f>VLOOKUP(B293,'Player Data'!$A1:$AE734,12,FALSE)*$Q293*IFERROR((VLOOKUP(P293,Settings!$E$28:$F$33,2,FALSE)+1),1)</f>
        <v>13.815785376861109</v>
      </c>
      <c r="Y293" s="40">
        <f>VLOOKUP(B293,'Player Data'!$A1:$AE734,13,FALSE)*$Q293</f>
        <v>4.8513406713129531E-3</v>
      </c>
      <c r="Z293" s="40">
        <f>VLOOKUP(B293,'Player Data'!$A1:$AE734,14,FALSE)*$Q293</f>
        <v>9.8391332851532533E-3</v>
      </c>
      <c r="AA293" s="40">
        <f>VLOOKUP(B293,'Player Data'!$A1:$AE734,15,FALSE)*$Q293</f>
        <v>33.62129478452156</v>
      </c>
      <c r="AB293" s="40">
        <f>VLOOKUP(B293,'Player Data'!$A1:$AE734,16,FALSE)*$Q293</f>
        <v>28.216160533656577</v>
      </c>
      <c r="AC293" s="40">
        <f>VLOOKUP(B293,'Player Data'!$A1:$AE734,17,FALSE)*$Q293*IFERROR((VLOOKUP(P293,Settings!$E$28:$F$33,2,FALSE)+1),1)</f>
        <v>-6.2673257330375973</v>
      </c>
      <c r="AD293" s="40">
        <f>VLOOKUP(B293,'Player Data'!$A1:$AE734,18,FALSE)*$Q293</f>
        <v>21.61884307878238</v>
      </c>
      <c r="AE293" s="40">
        <f>VLOOKUP(B293,'Player Data'!$A1:$AE734,19,FALSE)*$Q293*IFERROR((VLOOKUP(P293,Settings!$E$28:$F$33,2,FALSE)+1),1)</f>
        <v>2.2040131124818987</v>
      </c>
      <c r="AF293" s="40">
        <f>VLOOKUP(B293,'Player Data'!$A1:$AE734,20,FALSE)*$Q293</f>
        <v>42.396079866807597</v>
      </c>
      <c r="AG293" s="40">
        <f>VLOOKUP(B293,'Player Data'!$A1:$AE734,21,FALSE)*$Q293</f>
        <v>112.97808156415623</v>
      </c>
      <c r="AH293" s="41">
        <f>VLOOKUP(B293,'Player Data'!$A1:$AE734,22,FALSE)</f>
        <v>0.27286441629900798</v>
      </c>
      <c r="AI293" s="38"/>
      <c r="AJ293" s="42"/>
      <c r="AK293" s="40"/>
      <c r="AL293" s="40"/>
      <c r="AM293" s="40"/>
      <c r="AN293" s="40"/>
      <c r="AO293" s="40"/>
      <c r="AP293" s="40"/>
      <c r="AQ293" s="43"/>
      <c r="AR293" s="44"/>
      <c r="AS293" s="38"/>
    </row>
    <row r="294" spans="1:45" ht="21.2" customHeight="1">
      <c r="A294" s="181">
        <f t="shared" si="25"/>
        <v>293</v>
      </c>
      <c r="B294" s="8" t="s">
        <v>370</v>
      </c>
      <c r="C294" s="31" t="s">
        <v>104</v>
      </c>
      <c r="D294" s="32" t="str">
        <f>VLOOKUP(B294,'Player Data'!A1:D734,4,FALSE)</f>
        <v>D</v>
      </c>
      <c r="E294" s="47">
        <f>VLOOKUP(B294,D!A1:C229,3,FALSE)</f>
        <v>81</v>
      </c>
      <c r="F294" s="34" t="str">
        <f>VLOOKUP(B294,'Player Data'!A1:B734,2,FALSE)</f>
        <v>DET</v>
      </c>
      <c r="G294" s="9">
        <f>VLOOKUP(B294,'Player Data'!A1:D734,3,FALSE)</f>
        <v>27</v>
      </c>
      <c r="H294" s="35">
        <f>IFERROR(VLOOKUP(B294,ADP!A1:G731,7,FALSE)/1000000,VLOOKUP(B294,ADP!A1:G731,7,FALSE))</f>
        <v>3.4</v>
      </c>
      <c r="I294" s="36">
        <f>IF(Settings!$E$15="POINTS",((R294*Q294)*Settings!$B$12)+(S294*Settings!$B$2)+(T294*Settings!$B$3)+(U294*Settings!$B$4)+(V294*Settings!$B$5)+(X294*Settings!$B$9)+(AA294*Settings!$B$6)+(W294*Settings!$B$8)+(AB294*Settings!$B$7)+(AC294*Settings!$B$14)+(AD294*Settings!$B$15)+(AE294*Settings!$B$16)+(AF294*Settings!$B$17)+(AG294*Settings!$B$18)+(U294*Settings!$B$13)+(Y294*Settings!$B$10)+(Z294*Settings!$B$11),VLOOKUP(B294,'Standard Deviations'!A1:C731,3,FALSE))</f>
        <v>-2.1123319613830294</v>
      </c>
      <c r="J294" s="37">
        <f t="shared" si="26"/>
        <v>-2.5760145870524748E-2</v>
      </c>
      <c r="K294" s="183">
        <f>VLOOKUP(B294,D!A1:F229,6,FALSE)</f>
        <v>-4.0540725050173396</v>
      </c>
      <c r="L294" s="36">
        <f t="shared" si="27"/>
        <v>-1.1923742661815706</v>
      </c>
      <c r="M294" s="38">
        <f>IF(Settings!$E$9="YAHOO",VLOOKUP(B294,ADP!A1:E731,2,FALSE),IF(Settings!$E$9="ESPN",VLOOKUP(B294,ADP!A1:E731,3,FALSE),IF(Settings!$E$9="FANTRAX",VLOOKUP(B294,ADP!A1:E731,4,FALSE),VLOOKUP(B294,ADP!A1:E731,5,FALSE))))</f>
        <v>291.37</v>
      </c>
      <c r="N294" s="38">
        <f t="shared" si="28"/>
        <v>-1.6299999999999955</v>
      </c>
      <c r="O294" s="38"/>
      <c r="P294" s="39" t="str">
        <f>IF(Settings!$E$27="ON",_xlfn.XLOOKUP(B294,ADP!A2:A731,ADP!H2:H731)," ")</f>
        <v xml:space="preserve"> </v>
      </c>
      <c r="Q294" s="40">
        <f>IF(Settings!$E$12="YES",VLOOKUP(B294,'Player Data'!A1:E734,5,FALSE),82)</f>
        <v>82</v>
      </c>
      <c r="R294" s="38">
        <f>VLOOKUP(B294,'Player Data'!$A1:$AE734,6,FALSE)</f>
        <v>20.133092868455002</v>
      </c>
      <c r="S294" s="40">
        <f>VLOOKUP(B294,'Player Data'!$A1:$AE734,7,FALSE)*$Q294*IFERROR((VLOOKUP(P294,Settings!$E$28:$F$33,2,FALSE)+1),1)</f>
        <v>8.7846909833966009</v>
      </c>
      <c r="T294" s="40">
        <f>VLOOKUP(B294,'Player Data'!$A1:$AE734,8,FALSE)*$Q294*IFERROR((VLOOKUP(P294,Settings!$E$28:$F$33,2,FALSE)+1),1)</f>
        <v>14.289958644305825</v>
      </c>
      <c r="U294" s="40">
        <f>SUM(S294:T294)</f>
        <v>23.074649627702428</v>
      </c>
      <c r="V294" s="40">
        <f>VLOOKUP(B294,'Player Data'!$A1:$AE734,10,FALSE)*$Q294*IFERROR(((VLOOKUP(P294,Settings!$E$28:$F$33,2,FALSE)/2)+1),1)</f>
        <v>176.7477332213561</v>
      </c>
      <c r="W294" s="40">
        <f>VLOOKUP(B294,'Player Data'!$A1:$AE734,11,FALSE)*$Q294*IFERROR((VLOOKUP(P294,Settings!$E$28:$F$33,2,FALSE)+1),1)</f>
        <v>9.3481127899822977E-2</v>
      </c>
      <c r="X294" s="40">
        <f>VLOOKUP(B294,'Player Data'!$A1:$AE734,12,FALSE)*$Q294*IFERROR((VLOOKUP(P294,Settings!$E$28:$F$33,2,FALSE)+1),1)</f>
        <v>1.3987142447212224</v>
      </c>
      <c r="Y294" s="40">
        <f>VLOOKUP(B294,'Player Data'!$A1:$AE734,13,FALSE)*$Q294</f>
        <v>4.4253362696659915E-2</v>
      </c>
      <c r="Z294" s="40">
        <f>VLOOKUP(B294,'Player Data'!$A1:$AE734,14,FALSE)*$Q294</f>
        <v>0.24023488538213517</v>
      </c>
      <c r="AA294" s="40">
        <f>VLOOKUP(B294,'Player Data'!$A1:$AE734,15,FALSE)*$Q294</f>
        <v>151.27705003480722</v>
      </c>
      <c r="AB294" s="40">
        <f>VLOOKUP(B294,'Player Data'!$A1:$AE734,16,FALSE)*$Q294</f>
        <v>89.684357199110977</v>
      </c>
      <c r="AC294" s="40">
        <f>VLOOKUP(B294,'Player Data'!$A1:$AE734,17,FALSE)*$Q294*IFERROR((VLOOKUP(P294,Settings!$E$28:$F$33,2,FALSE)+1),1)</f>
        <v>-1.0194773881980683</v>
      </c>
      <c r="AD294" s="40">
        <f>VLOOKUP(B294,'Player Data'!$A1:$AE734,18,FALSE)*$Q294</f>
        <v>46.514442163282098</v>
      </c>
      <c r="AE294" s="40">
        <f>VLOOKUP(B294,'Player Data'!$A1:$AE734,19,FALSE)*$Q294*IFERROR((VLOOKUP(P294,Settings!$E$28:$F$33,2,FALSE)+1),1)</f>
        <v>1.1625296342559723</v>
      </c>
      <c r="AF294" s="40">
        <f>VLOOKUP(B294,'Player Data'!$A1:$AE734,20,FALSE)*$Q294</f>
        <v>0</v>
      </c>
      <c r="AG294" s="40">
        <f>VLOOKUP(B294,'Player Data'!$A1:$AE734,21,FALSE)*$Q294</f>
        <v>0</v>
      </c>
      <c r="AH294" s="41">
        <f>VLOOKUP(B294,'Player Data'!$A1:$AE734,22,FALSE)</f>
        <v>0</v>
      </c>
      <c r="AI294" s="38"/>
      <c r="AJ294" s="42"/>
      <c r="AK294" s="40"/>
      <c r="AL294" s="40"/>
      <c r="AM294" s="40"/>
      <c r="AN294" s="40"/>
      <c r="AO294" s="40"/>
      <c r="AP294" s="40"/>
      <c r="AQ294" s="43"/>
      <c r="AR294" s="44"/>
      <c r="AS294" s="38"/>
    </row>
    <row r="295" spans="1:45" ht="21.2" customHeight="1">
      <c r="A295" s="181">
        <f t="shared" si="25"/>
        <v>294</v>
      </c>
      <c r="B295" s="8" t="s">
        <v>416</v>
      </c>
      <c r="C295" s="31" t="s">
        <v>104</v>
      </c>
      <c r="D295" s="32" t="str">
        <f>VLOOKUP(B295,'Player Data'!A1:D734,4,FALSE)</f>
        <v>D</v>
      </c>
      <c r="E295" s="47">
        <f>VLOOKUP(B295,D!A1:C229,3,FALSE)</f>
        <v>82</v>
      </c>
      <c r="F295" s="34" t="str">
        <f>VLOOKUP(B295,'Player Data'!A1:B734,2,FALSE)</f>
        <v>NYR</v>
      </c>
      <c r="G295" s="9">
        <f>VLOOKUP(B295,'Player Data'!A1:D734,3,FALSE)</f>
        <v>31</v>
      </c>
      <c r="H295" s="35">
        <f>IFERROR(VLOOKUP(B295,ADP!A1:G731,7,FALSE)/1000000,VLOOKUP(B295,ADP!A1:G731,7,FALSE))</f>
        <v>0.82499999999999996</v>
      </c>
      <c r="I295" s="36">
        <f>IF(Settings!$E$15="POINTS",((R295*Q295)*Settings!$B$12)+(S295*Settings!$B$2)+(T295*Settings!$B$3)+(U295*Settings!$B$4)+(V295*Settings!$B$5)+(X295*Settings!$B$9)+(AA295*Settings!$B$6)+(W295*Settings!$B$8)+(AB295*Settings!$B$7)+(AC295*Settings!$B$14)+(AD295*Settings!$B$15)+(AE295*Settings!$B$16)+(AF295*Settings!$B$17)+(AG295*Settings!$B$18)+(U295*Settings!$B$13)+(Y295*Settings!$B$10)+(Z295*Settings!$B$11),VLOOKUP(B295,'Standard Deviations'!A1:C731,3,FALSE))</f>
        <v>-2.1470053278708616</v>
      </c>
      <c r="J295" s="37">
        <f t="shared" si="26"/>
        <v>-2.6182991803303191E-2</v>
      </c>
      <c r="K295" s="183">
        <f>VLOOKUP(B295,D!A1:F229,6,FALSE)</f>
        <v>-4.0887458715051723</v>
      </c>
      <c r="L295" s="36">
        <f t="shared" si="27"/>
        <v>-4.9560556018244517</v>
      </c>
      <c r="M295" s="38">
        <f>IF(Settings!$E$9="YAHOO",VLOOKUP(B295,ADP!A1:E731,2,FALSE),IF(Settings!$E$9="ESPN",VLOOKUP(B295,ADP!A1:E731,3,FALSE),IF(Settings!$E$9="FANTRAX",VLOOKUP(B295,ADP!A1:E731,4,FALSE),VLOOKUP(B295,ADP!A1:E731,5,FALSE))))</f>
        <v>467.5</v>
      </c>
      <c r="N295" s="38">
        <f t="shared" si="28"/>
        <v>173.5</v>
      </c>
      <c r="O295" s="38"/>
      <c r="P295" s="39" t="str">
        <f>IF(Settings!$E$27="ON",_xlfn.XLOOKUP(B295,ADP!A2:A731,ADP!H2:H731)," ")</f>
        <v xml:space="preserve"> </v>
      </c>
      <c r="Q295" s="40">
        <f>IF(Settings!$E$12="YES",VLOOKUP(B295,'Player Data'!A1:E734,5,FALSE),82)</f>
        <v>82</v>
      </c>
      <c r="R295" s="38">
        <f>VLOOKUP(B295,'Player Data'!$A1:$AE734,6,FALSE)</f>
        <v>15.9357560849304</v>
      </c>
      <c r="S295" s="40">
        <f>VLOOKUP(B295,'Player Data'!$A1:$AE734,7,FALSE)*$Q295*IFERROR((VLOOKUP(P295,Settings!$E$28:$F$33,2,FALSE)+1),1)</f>
        <v>4.9142104583787667</v>
      </c>
      <c r="T295" s="40">
        <f>VLOOKUP(B295,'Player Data'!$A1:$AE734,8,FALSE)*$Q295*IFERROR((VLOOKUP(P295,Settings!$E$28:$F$33,2,FALSE)+1),1)</f>
        <v>23.885068903649124</v>
      </c>
      <c r="U295" s="40">
        <f>SUM(S295:T295)</f>
        <v>28.799279362027889</v>
      </c>
      <c r="V295" s="40">
        <f>VLOOKUP(B295,'Player Data'!$A1:$AE734,10,FALSE)*$Q295*IFERROR(((VLOOKUP(P295,Settings!$E$28:$F$33,2,FALSE)/2)+1),1)</f>
        <v>109.25269719947204</v>
      </c>
      <c r="W295" s="40">
        <f>VLOOKUP(B295,'Player Data'!$A1:$AE734,11,FALSE)*$Q295*IFERROR((VLOOKUP(P295,Settings!$E$28:$F$33,2,FALSE)+1),1)</f>
        <v>7.5757313113234512E-2</v>
      </c>
      <c r="X295" s="40">
        <f>VLOOKUP(B295,'Player Data'!$A1:$AE734,12,FALSE)*$Q295*IFERROR((VLOOKUP(P295,Settings!$E$28:$F$33,2,FALSE)+1),1)</f>
        <v>6.5901718691395219</v>
      </c>
      <c r="Y295" s="40">
        <f>VLOOKUP(B295,'Player Data'!$A1:$AE734,13,FALSE)*$Q295</f>
        <v>8.199996934457306E-3</v>
      </c>
      <c r="Z295" s="40">
        <f>VLOOKUP(B295,'Player Data'!$A1:$AE734,14,FALSE)*$Q295</f>
        <v>3.0452482456935319E-2</v>
      </c>
      <c r="AA295" s="40">
        <f>VLOOKUP(B295,'Player Data'!$A1:$AE734,15,FALSE)*$Q295</f>
        <v>70.524658338306438</v>
      </c>
      <c r="AB295" s="40">
        <f>VLOOKUP(B295,'Player Data'!$A1:$AE734,16,FALSE)*$Q295</f>
        <v>65.303862703430298</v>
      </c>
      <c r="AC295" s="40">
        <f>VLOOKUP(B295,'Player Data'!$A1:$AE734,17,FALSE)*$Q295*IFERROR((VLOOKUP(P295,Settings!$E$28:$F$33,2,FALSE)+1),1)</f>
        <v>6.0220941645356065</v>
      </c>
      <c r="AD295" s="40">
        <f>VLOOKUP(B295,'Player Data'!$A1:$AE734,18,FALSE)*$Q295</f>
        <v>21.14661221667631</v>
      </c>
      <c r="AE295" s="40">
        <f>VLOOKUP(B295,'Player Data'!$A1:$AE734,19,FALSE)*$Q295*IFERROR((VLOOKUP(P295,Settings!$E$28:$F$33,2,FALSE)+1),1)</f>
        <v>0.83737228544150921</v>
      </c>
      <c r="AF295" s="40">
        <f>VLOOKUP(B295,'Player Data'!$A1:$AE734,20,FALSE)*$Q295</f>
        <v>0</v>
      </c>
      <c r="AG295" s="40">
        <f>VLOOKUP(B295,'Player Data'!$A1:$AE734,21,FALSE)*$Q295</f>
        <v>0</v>
      </c>
      <c r="AH295" s="41">
        <f>VLOOKUP(B295,'Player Data'!$A1:$AE734,22,FALSE)</f>
        <v>0</v>
      </c>
      <c r="AI295" s="38"/>
      <c r="AJ295" s="42"/>
      <c r="AK295" s="40"/>
      <c r="AL295" s="40"/>
      <c r="AM295" s="40"/>
      <c r="AN295" s="40"/>
      <c r="AO295" s="40"/>
      <c r="AP295" s="40"/>
      <c r="AQ295" s="43"/>
      <c r="AR295" s="44"/>
      <c r="AS295" s="38"/>
    </row>
    <row r="296" spans="1:45" ht="21.2" customHeight="1">
      <c r="A296" s="181">
        <f t="shared" si="25"/>
        <v>295</v>
      </c>
      <c r="B296" s="8" t="s">
        <v>825</v>
      </c>
      <c r="C296" s="31" t="s">
        <v>104</v>
      </c>
      <c r="D296" s="32" t="str">
        <f>VLOOKUP(B296,'Player Data'!A1:D734,4,FALSE)</f>
        <v>G</v>
      </c>
      <c r="E296" s="50">
        <f>VLOOKUP(B296,G!A1:D75,3,FALSE)</f>
        <v>66</v>
      </c>
      <c r="F296" s="34" t="str">
        <f>VLOOKUP(B296,'Player Data'!A1:B734,2,FALSE)</f>
        <v>SEA</v>
      </c>
      <c r="G296" s="9">
        <f>VLOOKUP(B296,'Player Data'!A1:D734,3,FALSE)</f>
        <v>29</v>
      </c>
      <c r="H296" s="35">
        <f>IFERROR(VLOOKUP(B296,ADP!A1:G731,7,FALSE)/1000000,VLOOKUP(B296,ADP!A1:G731,7,FALSE))</f>
        <v>3.5</v>
      </c>
      <c r="I296" s="36">
        <f>IF(Settings!$E$15="POINTS",(AJ296*Settings!$B$29)+(AK296*Settings!$B$21)+(AL296*Settings!$B$22)+(AN296*Settings!$B$24)+(AO296*Settings!$B$25)+(AP296*Settings!$B$27)+(AM296*Settings!$B$23),VLOOKUP(B296,'Standard Deviations'!A1:C731,3,FALSE))</f>
        <v>-2.3924408381179418</v>
      </c>
      <c r="J296" s="37">
        <f t="shared" si="26"/>
        <v>-0.15949605587452945</v>
      </c>
      <c r="K296" s="183">
        <f>VLOOKUP(B296,G!A1:F75,6,FALSE)</f>
        <v>-4.0966698893082336</v>
      </c>
      <c r="L296" s="36">
        <f t="shared" si="27"/>
        <v>-1.1704771112309238</v>
      </c>
      <c r="M296" s="52" t="str">
        <f>IF(Settings!$E$9="YAHOO",VLOOKUP(B296,ADP!A1:E731,2,FALSE),IF(Settings!$E$9="ESPN",VLOOKUP(B296,ADP!A1:E731,3,FALSE),IF(Settings!$E$9="FANTRAX",VLOOKUP(B296,ADP!A1:E731,4,FALSE),VLOOKUP(B296,ADP!A1:E731,5,FALSE))))</f>
        <v>-</v>
      </c>
      <c r="N296" s="52" t="str">
        <f t="shared" si="28"/>
        <v>N/A</v>
      </c>
      <c r="O296" s="38"/>
      <c r="P296" s="39" t="str">
        <f>IF(Settings!$E$27="ON",_xlfn.XLOOKUP(B296,ADP!A2:A731,ADP!H2:H731)," ")</f>
        <v xml:space="preserve"> </v>
      </c>
      <c r="Q296" s="40"/>
      <c r="R296" s="51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1"/>
      <c r="AI296" s="38"/>
      <c r="AJ296" s="42">
        <f>VLOOKUP(B296,'Player Data'!$A1:$AE734,24,FALSE)</f>
        <v>15</v>
      </c>
      <c r="AK296" s="40">
        <f>VLOOKUP(B296,'Player Data'!$A1:$AE734,25,FALSE)*$AJ296*IFERROR((VLOOKUP(P296,Settings!$E$28:$F$33,2,FALSE)+1),1)</f>
        <v>7.1629023095233348</v>
      </c>
      <c r="AL296" s="40">
        <f>AJ296-AK296-AM296</f>
        <v>5.9620976904766652</v>
      </c>
      <c r="AM296" s="40">
        <f>VLOOKUP(B296,'Player Data'!$A1:$AE734,27,FALSE)*$AJ296</f>
        <v>1.875</v>
      </c>
      <c r="AN296" s="40">
        <f>VLOOKUP(B296,'Player Data'!$A1:$AE734,28,FALSE)*AJ296</f>
        <v>0.7287057661866434</v>
      </c>
      <c r="AO296" s="40">
        <f>VLOOKUP(B296,'Player Data'!$A1:$AE734,29,FALSE)*$AJ296*IFERROR((VLOOKUP(P296,Settings!$E$28:$F$33,2,FALSE)/4)+1,1)</f>
        <v>396.18136154056504</v>
      </c>
      <c r="AP296" s="40">
        <f>VLOOKUP(B296,'Player Data'!$A1:$AE734,31,FALSE)*$AJ296*(IFERROR(1-(VLOOKUP(P296,Settings!$E$28:$F$33,2,FALSE)/4),1))</f>
        <v>43.629505678185303</v>
      </c>
      <c r="AQ296" s="43">
        <f>1-(AP296/(AO296+AP296))</f>
        <v>0.900799391442765</v>
      </c>
      <c r="AR296" s="44">
        <f>AP296/AJ296</f>
        <v>2.9086337118790202</v>
      </c>
      <c r="AS296" s="38"/>
    </row>
    <row r="297" spans="1:45" ht="21.2" customHeight="1">
      <c r="A297" s="181">
        <f t="shared" si="25"/>
        <v>296</v>
      </c>
      <c r="B297" s="8" t="s">
        <v>360</v>
      </c>
      <c r="C297" s="31" t="s">
        <v>104</v>
      </c>
      <c r="D297" s="32" t="str">
        <f>VLOOKUP(B297,'Player Data'!A1:D734,4,FALSE)</f>
        <v>LW</v>
      </c>
      <c r="E297" s="48">
        <f>VLOOKUP(B297,LW!A1:C227,3,FALSE)</f>
        <v>69</v>
      </c>
      <c r="F297" s="34" t="str">
        <f>VLOOKUP(B297,'Player Data'!A1:B734,2,FALSE)</f>
        <v>CAR</v>
      </c>
      <c r="G297" s="9">
        <f>VLOOKUP(B297,'Player Data'!A1:D734,3,FALSE)</f>
        <v>27</v>
      </c>
      <c r="H297" s="35">
        <f>IFERROR(VLOOKUP(B297,ADP!A1:G731,7,FALSE)/1000000,VLOOKUP(B297,ADP!A1:G731,7,FALSE))</f>
        <v>4.5</v>
      </c>
      <c r="I297" s="36">
        <f>IF(Settings!$E$15="POINTS",((R297*Q297)*Settings!$B$12)+(S297*Settings!$B$2)+(T297*Settings!$B$3)+(U297*Settings!$B$4)+(V297*Settings!$B$5)+(X297*Settings!$B$9)+(AA297*Settings!$B$6)+(W297*Settings!$B$8)+(AB297*Settings!$B$7)+(AC297*Settings!$B$14)+(AD297*Settings!$B$15)+(AE297*Settings!$B$16)+(AF297*Settings!$B$17)+(AG297*Settings!$B$18)+(Y297*Settings!$B$10)+(Z297*Settings!$B$11),VLOOKUP(B297,'Standard Deviations'!A1:C731,3,FALSE))</f>
        <v>2.5350095114518889</v>
      </c>
      <c r="J297" s="37">
        <f t="shared" si="26"/>
        <v>3.0914750139657183E-2</v>
      </c>
      <c r="K297" s="183">
        <f>IF(Settings!$E$18="C/LW/RW",VLOOKUP(B297,LW!A1:F227,6,FALSE),VLOOKUP(B297,F!A1:F431,6,FALSE))</f>
        <v>-4.1196595326725127</v>
      </c>
      <c r="L297" s="36">
        <f t="shared" si="27"/>
        <v>-0.91547989614944725</v>
      </c>
      <c r="M297" s="38">
        <f>IF(Settings!$E$9="YAHOO",VLOOKUP(B297,ADP!A1:E731,2,FALSE),IF(Settings!$E$9="ESPN",VLOOKUP(B297,ADP!A1:E731,3,FALSE),IF(Settings!$E$9="FANTRAX",VLOOKUP(B297,ADP!A1:E731,4,FALSE),VLOOKUP(B297,ADP!A1:E731,5,FALSE))))</f>
        <v>229.51</v>
      </c>
      <c r="N297" s="38">
        <f t="shared" si="28"/>
        <v>-66.490000000000009</v>
      </c>
      <c r="O297" s="38"/>
      <c r="P297" s="39" t="str">
        <f>IF(Settings!$E$27="ON",_xlfn.XLOOKUP(B297,ADP!A2:A731,ADP!H2:H731)," ")</f>
        <v xml:space="preserve"> </v>
      </c>
      <c r="Q297" s="40">
        <f>IF(Settings!$E$12="YES",VLOOKUP(B297,'Player Data'!A1:E734,5,FALSE),82)</f>
        <v>82</v>
      </c>
      <c r="R297" s="38">
        <f>VLOOKUP(B297,'Player Data'!$A1:$AE734,6,FALSE)</f>
        <v>15.6598361464939</v>
      </c>
      <c r="S297" s="40">
        <f>VLOOKUP(B297,'Player Data'!$A1:$AE734,7,FALSE)*$Q297*IFERROR((VLOOKUP(P297,Settings!$E$28:$F$33,2,FALSE)+1),1)</f>
        <v>23.375893537089706</v>
      </c>
      <c r="T297" s="40">
        <f>VLOOKUP(B297,'Player Data'!$A1:$AE734,8,FALSE)*$Q297*IFERROR((VLOOKUP(P297,Settings!$E$28:$F$33,2,FALSE)+1),1)</f>
        <v>30.527570193059962</v>
      </c>
      <c r="U297" s="40">
        <f t="shared" ref="U297:U307" si="30">SUM(S297:T297)</f>
        <v>53.903463730149667</v>
      </c>
      <c r="V297" s="40">
        <f>VLOOKUP(B297,'Player Data'!$A1:$AE734,10,FALSE)*$Q297*IFERROR(((VLOOKUP(P297,Settings!$E$28:$F$33,2,FALSE)/2)+1),1)</f>
        <v>173.65477554372762</v>
      </c>
      <c r="W297" s="40">
        <f>VLOOKUP(B297,'Player Data'!$A1:$AE734,11,FALSE)*$Q297*IFERROR((VLOOKUP(P297,Settings!$E$28:$F$33,2,FALSE)+1),1)</f>
        <v>5.4996344371419701</v>
      </c>
      <c r="X297" s="40">
        <f>VLOOKUP(B297,'Player Data'!$A1:$AE734,12,FALSE)*$Q297*IFERROR((VLOOKUP(P297,Settings!$E$28:$F$33,2,FALSE)+1),1)</f>
        <v>9.0154743875926169</v>
      </c>
      <c r="Y297" s="40">
        <f>VLOOKUP(B297,'Player Data'!$A1:$AE734,13,FALSE)*$Q297</f>
        <v>1.099156375625138E-3</v>
      </c>
      <c r="Z297" s="40">
        <f>VLOOKUP(B297,'Player Data'!$A1:$AE734,14,FALSE)*$Q297</f>
        <v>2.0544737738963934E-3</v>
      </c>
      <c r="AA297" s="40">
        <f>VLOOKUP(B297,'Player Data'!$A1:$AE734,15,FALSE)*$Q297</f>
        <v>20.584662099375787</v>
      </c>
      <c r="AB297" s="40">
        <f>VLOOKUP(B297,'Player Data'!$A1:$AE734,16,FALSE)*$Q297</f>
        <v>84.894505826200458</v>
      </c>
      <c r="AC297" s="40">
        <f>VLOOKUP(B297,'Player Data'!$A1:$AE734,17,FALSE)*$Q297*IFERROR((VLOOKUP(P297,Settings!$E$28:$F$33,2,FALSE)+1),1)</f>
        <v>8.898796826253534</v>
      </c>
      <c r="AD297" s="40">
        <f>VLOOKUP(B297,'Player Data'!$A1:$AE734,18,FALSE)*$Q297</f>
        <v>64.303204203120373</v>
      </c>
      <c r="AE297" s="40">
        <f>VLOOKUP(B297,'Player Data'!$A1:$AE734,19,FALSE)*$Q297*IFERROR((VLOOKUP(P297,Settings!$E$28:$F$33,2,FALSE)+1),1)</f>
        <v>4.1941587263936029</v>
      </c>
      <c r="AF297" s="40">
        <f>VLOOKUP(B297,'Player Data'!$A1:$AE734,20,FALSE)*$Q297</f>
        <v>2.9254569406854167</v>
      </c>
      <c r="AG297" s="40">
        <f>VLOOKUP(B297,'Player Data'!$A1:$AE734,21,FALSE)*$Q297</f>
        <v>4.0209560364834473</v>
      </c>
      <c r="AH297" s="41">
        <f>VLOOKUP(B297,'Player Data'!$A1:$AE734,22,FALSE)</f>
        <v>0.42114641762599903</v>
      </c>
      <c r="AI297" s="38"/>
      <c r="AJ297" s="40"/>
      <c r="AK297" s="40"/>
      <c r="AL297" s="40"/>
      <c r="AM297" s="40"/>
      <c r="AN297" s="40"/>
      <c r="AO297" s="40"/>
      <c r="AP297" s="40"/>
      <c r="AQ297" s="43"/>
      <c r="AR297" s="44"/>
      <c r="AS297" s="38"/>
    </row>
    <row r="298" spans="1:45" ht="21.2" customHeight="1">
      <c r="A298" s="181">
        <f t="shared" si="25"/>
        <v>297</v>
      </c>
      <c r="B298" s="8" t="s">
        <v>344</v>
      </c>
      <c r="C298" s="31" t="s">
        <v>104</v>
      </c>
      <c r="D298" s="32" t="str">
        <f>VLOOKUP(B298,'Player Data'!A1:D734,4,FALSE)</f>
        <v>RW</v>
      </c>
      <c r="E298" s="46">
        <f>VLOOKUP(B298,RW!A1:F189,3,FALSE)</f>
        <v>70</v>
      </c>
      <c r="F298" s="34" t="str">
        <f>VLOOKUP(B298,'Player Data'!A1:B734,2,FALSE)</f>
        <v>NYR</v>
      </c>
      <c r="G298" s="9">
        <f>VLOOKUP(B298,'Player Data'!A1:D734,3,FALSE)</f>
        <v>36</v>
      </c>
      <c r="H298" s="35">
        <f>IFERROR(VLOOKUP(B298,ADP!A1:G731,7,FALSE)/1000000,VLOOKUP(B298,ADP!A1:G731,7,FALSE))</f>
        <v>0.88</v>
      </c>
      <c r="I298" s="36">
        <f>IF(Settings!$E$15="POINTS",((R298*Q298)*Settings!$B$12)+(S298*Settings!$B$2)+(T298*Settings!$B$3)+(U298*Settings!$B$4)+(V298*Settings!$B$5)+(X298*Settings!$B$9)+(AA298*Settings!$B$6)+(W298*Settings!$B$8)+(AB298*Settings!$B$7)+(AC298*Settings!$B$14)+(AD298*Settings!$B$15)+(AE298*Settings!$B$16)+(AF298*Settings!$B$17)+(AG298*Settings!$B$18)+(Y298*Settings!$B$10)+(Z298*Settings!$B$11),VLOOKUP(B298,'Standard Deviations'!A1:C731,3,FALSE))</f>
        <v>2.1356922715073319</v>
      </c>
      <c r="J298" s="37">
        <f t="shared" si="26"/>
        <v>2.6045027701308926E-2</v>
      </c>
      <c r="K298" s="183">
        <f>IF(Settings!$E$18="C/LW/RW",VLOOKUP(B298,RW!A1:F189,6,FALSE),VLOOKUP(B298,F!A1:F431,6,FALSE))</f>
        <v>-4.1445664475037489</v>
      </c>
      <c r="L298" s="36">
        <f t="shared" si="27"/>
        <v>-4.7097345994360786</v>
      </c>
      <c r="M298" s="38">
        <f>IF(Settings!$E$9="YAHOO",VLOOKUP(B298,ADP!A1:E731,2,FALSE),IF(Settings!$E$9="ESPN",VLOOKUP(B298,ADP!A1:E731,3,FALSE),IF(Settings!$E$9="FANTRAX",VLOOKUP(B298,ADP!A1:E731,4,FALSE),VLOOKUP(B298,ADP!A1:E731,5,FALSE))))</f>
        <v>180.76</v>
      </c>
      <c r="N298" s="38">
        <f t="shared" si="28"/>
        <v>-116.24000000000001</v>
      </c>
      <c r="O298" s="38"/>
      <c r="P298" s="39" t="str">
        <f>IF(Settings!$E$27="ON",_xlfn.XLOOKUP(B298,ADP!A2:A731,ADP!H2:H731)," ")</f>
        <v>-</v>
      </c>
      <c r="Q298" s="40">
        <f>IF(Settings!$E$12="YES",VLOOKUP(B298,'Player Data'!A1:E734,5,FALSE),82)</f>
        <v>82</v>
      </c>
      <c r="R298" s="38">
        <f>VLOOKUP(B298,'Player Data'!$A1:$AE734,6,FALSE)</f>
        <v>15.9155208675902</v>
      </c>
      <c r="S298" s="40">
        <f>VLOOKUP(B298,'Player Data'!$A1:$AE734,7,FALSE)*$Q298*IFERROR((VLOOKUP(P298,Settings!$E$28:$F$33,2,FALSE)+1),1)</f>
        <v>14.69310564521802</v>
      </c>
      <c r="T298" s="40">
        <f>VLOOKUP(B298,'Player Data'!$A1:$AE734,8,FALSE)*$Q298*IFERROR((VLOOKUP(P298,Settings!$E$28:$F$33,2,FALSE)+1),1)</f>
        <v>35.502328044311191</v>
      </c>
      <c r="U298" s="40">
        <f t="shared" si="30"/>
        <v>50.19543368952921</v>
      </c>
      <c r="V298" s="40">
        <f>VLOOKUP(B298,'Player Data'!$A1:$AE734,10,FALSE)*$Q298*IFERROR(((VLOOKUP(P298,Settings!$E$28:$F$33,2,FALSE)/2)+1),1)</f>
        <v>155.06672212800589</v>
      </c>
      <c r="W298" s="40">
        <f>VLOOKUP(B298,'Player Data'!$A1:$AE734,11,FALSE)*$Q298*IFERROR((VLOOKUP(P298,Settings!$E$28:$F$33,2,FALSE)+1),1)</f>
        <v>4.2353671651042042</v>
      </c>
      <c r="X298" s="40">
        <f>VLOOKUP(B298,'Player Data'!$A1:$AE734,12,FALSE)*$Q298*IFERROR((VLOOKUP(P298,Settings!$E$28:$F$33,2,FALSE)+1),1)</f>
        <v>14.477068740389042</v>
      </c>
      <c r="Y298" s="40">
        <f>VLOOKUP(B298,'Player Data'!$A1:$AE734,13,FALSE)*$Q298</f>
        <v>3.2840328897195389E-2</v>
      </c>
      <c r="Z298" s="40">
        <f>VLOOKUP(B298,'Player Data'!$A1:$AE734,14,FALSE)*$Q298</f>
        <v>5.3732801846633708E-3</v>
      </c>
      <c r="AA298" s="40">
        <f>VLOOKUP(B298,'Player Data'!$A1:$AE734,15,FALSE)*$Q298</f>
        <v>39.939122818236086</v>
      </c>
      <c r="AB298" s="40">
        <f>VLOOKUP(B298,'Player Data'!$A1:$AE734,16,FALSE)*$Q298</f>
        <v>66.545357523822304</v>
      </c>
      <c r="AC298" s="40">
        <f>VLOOKUP(B298,'Player Data'!$A1:$AE734,17,FALSE)*$Q298*IFERROR((VLOOKUP(P298,Settings!$E$28:$F$33,2,FALSE)+1),1)</f>
        <v>3.8025676336360688</v>
      </c>
      <c r="AD298" s="40">
        <f>VLOOKUP(B298,'Player Data'!$A1:$AE734,18,FALSE)*$Q298</f>
        <v>44.115782811437995</v>
      </c>
      <c r="AE298" s="40">
        <f>VLOOKUP(B298,'Player Data'!$A1:$AE734,19,FALSE)*$Q298*IFERROR((VLOOKUP(P298,Settings!$E$28:$F$33,2,FALSE)+1),1)</f>
        <v>2.5036777644294803</v>
      </c>
      <c r="AF298" s="40">
        <f>VLOOKUP(B298,'Player Data'!$A1:$AE734,20,FALSE)*$Q298</f>
        <v>37.364340130623681</v>
      </c>
      <c r="AG298" s="40">
        <f>VLOOKUP(B298,'Player Data'!$A1:$AE734,21,FALSE)*$Q298</f>
        <v>65.307069702417394</v>
      </c>
      <c r="AH298" s="41">
        <f>VLOOKUP(B298,'Player Data'!$A1:$AE734,22,FALSE)</f>
        <v>0.36392156483858201</v>
      </c>
      <c r="AI298" s="38"/>
      <c r="AJ298" s="42"/>
      <c r="AK298" s="40"/>
      <c r="AL298" s="40"/>
      <c r="AM298" s="40"/>
      <c r="AN298" s="40"/>
      <c r="AO298" s="40"/>
      <c r="AP298" s="40"/>
      <c r="AQ298" s="43"/>
      <c r="AR298" s="44"/>
      <c r="AS298" s="38"/>
    </row>
    <row r="299" spans="1:45" ht="21.2" customHeight="1">
      <c r="A299" s="181">
        <f t="shared" si="25"/>
        <v>298</v>
      </c>
      <c r="B299" s="8" t="s">
        <v>369</v>
      </c>
      <c r="C299" s="31" t="s">
        <v>104</v>
      </c>
      <c r="D299" s="32" t="str">
        <f>VLOOKUP(B299,'Player Data'!A1:D734,4,FALSE)</f>
        <v>C</v>
      </c>
      <c r="E299" s="33">
        <f>VLOOKUP(B299,'C'!A1:C208,3,FALSE)</f>
        <v>72</v>
      </c>
      <c r="F299" s="34" t="str">
        <f>VLOOKUP(B299,'Player Data'!A1:B734,2,FALSE)</f>
        <v>DAL</v>
      </c>
      <c r="G299" s="9">
        <f>VLOOKUP(B299,'Player Data'!A1:D734,3,FALSE)</f>
        <v>20</v>
      </c>
      <c r="H299" s="35">
        <f>IFERROR(VLOOKUP(B299,ADP!A1:G731,7,FALSE)/1000000,VLOOKUP(B299,ADP!A1:G731,7,FALSE))</f>
        <v>0.89416700000000005</v>
      </c>
      <c r="I299" s="36">
        <f>IF(Settings!$E$15="POINTS",((R299*Q299)*Settings!$B$12)+(S299*Settings!$B$2)+(T299*Settings!$B$3)+(U299*Settings!$B$4)+(V299*Settings!$B$5)+(X299*Settings!$B$9)+(AA299*Settings!$B$6)+(W299*Settings!$B$8)+(AB299*Settings!$B$7)+(AC299*Settings!$B$14)+(AD299*Settings!$B$15)+(AE299*Settings!$B$16)+(AF299*Settings!$B$17)+(AG299*Settings!$B$18)+(Y299*Settings!$B$10)+(Z299*Settings!$B$11),VLOOKUP(B299,'Standard Deviations'!A1:C731,3,FALSE))</f>
        <v>2.1771678867997832</v>
      </c>
      <c r="J299" s="37">
        <f t="shared" si="26"/>
        <v>2.6550827887802234E-2</v>
      </c>
      <c r="K299" s="183">
        <f>IF(Settings!$E$18="C/LW/RW",VLOOKUP(B299,'C'!A1:F208,6,FALSE),VLOOKUP(B299,F!A1:F431,6,FALSE))</f>
        <v>-4.1598828374068191</v>
      </c>
      <c r="L299" s="36">
        <f t="shared" si="27"/>
        <v>-4.6522437502243079</v>
      </c>
      <c r="M299" s="38">
        <f>IF(Settings!$E$9="YAHOO",VLOOKUP(B299,ADP!A1:E731,2,FALSE),IF(Settings!$E$9="ESPN",VLOOKUP(B299,ADP!A1:E731,3,FALSE),IF(Settings!$E$9="FANTRAX",VLOOKUP(B299,ADP!A1:E731,4,FALSE),VLOOKUP(B299,ADP!A1:E731,5,FALSE))))</f>
        <v>221.28</v>
      </c>
      <c r="N299" s="38">
        <f t="shared" si="28"/>
        <v>-76.72</v>
      </c>
      <c r="O299" s="38"/>
      <c r="P299" s="39" t="str">
        <f>IF(Settings!$E$27="ON",_xlfn.XLOOKUP(B299,ADP!A2:A731,ADP!H2:H731)," ")</f>
        <v>+</v>
      </c>
      <c r="Q299" s="40">
        <f>IF(Settings!$E$12="YES",VLOOKUP(B299,'Player Data'!A1:E734,5,FALSE),82)</f>
        <v>82</v>
      </c>
      <c r="R299" s="38">
        <f>VLOOKUP(B299,'Player Data'!$A1:$AE734,6,FALSE)</f>
        <v>16.282738376672199</v>
      </c>
      <c r="S299" s="40">
        <f>VLOOKUP(B299,'Player Data'!$A1:$AE734,7,FALSE)*$Q299*IFERROR((VLOOKUP(P299,Settings!$E$28:$F$33,2,FALSE)+1),1)</f>
        <v>27.057333218792227</v>
      </c>
      <c r="T299" s="40">
        <f>VLOOKUP(B299,'Player Data'!$A1:$AE734,8,FALSE)*$Q299*IFERROR((VLOOKUP(P299,Settings!$E$28:$F$33,2,FALSE)+1),1)</f>
        <v>23.891417849594948</v>
      </c>
      <c r="U299" s="40">
        <f t="shared" si="30"/>
        <v>50.948751068387175</v>
      </c>
      <c r="V299" s="40">
        <f>VLOOKUP(B299,'Player Data'!$A1:$AE734,10,FALSE)*$Q299*IFERROR(((VLOOKUP(P299,Settings!$E$28:$F$33,2,FALSE)/2)+1),1)</f>
        <v>170.59354070489954</v>
      </c>
      <c r="W299" s="40">
        <f>VLOOKUP(B299,'Player Data'!$A1:$AE734,11,FALSE)*$Q299*IFERROR((VLOOKUP(P299,Settings!$E$28:$F$33,2,FALSE)+1),1)</f>
        <v>3.6950586661363745</v>
      </c>
      <c r="X299" s="40">
        <f>VLOOKUP(B299,'Player Data'!$A1:$AE734,12,FALSE)*$Q299*IFERROR((VLOOKUP(P299,Settings!$E$28:$F$33,2,FALSE)+1),1)</f>
        <v>8.5423556432465908</v>
      </c>
      <c r="Y299" s="40">
        <f>VLOOKUP(B299,'Player Data'!$A1:$AE734,13,FALSE)*$Q299</f>
        <v>0.21602490398337304</v>
      </c>
      <c r="Z299" s="40">
        <f>VLOOKUP(B299,'Player Data'!$A1:$AE734,14,FALSE)*$Q299</f>
        <v>0.47224214316024976</v>
      </c>
      <c r="AA299" s="40">
        <f>VLOOKUP(B299,'Player Data'!$A1:$AE734,15,FALSE)*$Q299</f>
        <v>33.620432727358619</v>
      </c>
      <c r="AB299" s="40">
        <f>VLOOKUP(B299,'Player Data'!$A1:$AE734,16,FALSE)*$Q299</f>
        <v>31.972594786728887</v>
      </c>
      <c r="AC299" s="40">
        <f>VLOOKUP(B299,'Player Data'!$A1:$AE734,17,FALSE)*$Q299*IFERROR((VLOOKUP(P299,Settings!$E$28:$F$33,2,FALSE)+1),1)</f>
        <v>5.6197988469305571</v>
      </c>
      <c r="AD299" s="40">
        <f>VLOOKUP(B299,'Player Data'!$A1:$AE734,18,FALSE)*$Q299</f>
        <v>24.898917736788064</v>
      </c>
      <c r="AE299" s="40">
        <f>VLOOKUP(B299,'Player Data'!$A1:$AE734,19,FALSE)*$Q299*IFERROR((VLOOKUP(P299,Settings!$E$28:$F$33,2,FALSE)+1),1)</f>
        <v>4.3289815040980661</v>
      </c>
      <c r="AF299" s="40">
        <f>VLOOKUP(B299,'Player Data'!$A1:$AE734,20,FALSE)*$Q299</f>
        <v>152.50237045973381</v>
      </c>
      <c r="AG299" s="40">
        <f>VLOOKUP(B299,'Player Data'!$A1:$AE734,21,FALSE)*$Q299</f>
        <v>199.83069232654816</v>
      </c>
      <c r="AH299" s="41">
        <f>VLOOKUP(B299,'Player Data'!$A1:$AE734,22,FALSE)</f>
        <v>0.43283582089552203</v>
      </c>
      <c r="AI299" s="38"/>
      <c r="AJ299" s="42"/>
      <c r="AK299" s="40"/>
      <c r="AL299" s="40"/>
      <c r="AM299" s="40"/>
      <c r="AN299" s="40"/>
      <c r="AO299" s="40"/>
      <c r="AP299" s="40"/>
      <c r="AQ299" s="43"/>
      <c r="AR299" s="44"/>
      <c r="AS299" s="38"/>
    </row>
    <row r="300" spans="1:45" ht="21.2" customHeight="1">
      <c r="A300" s="181">
        <f t="shared" si="25"/>
        <v>299</v>
      </c>
      <c r="B300" s="8" t="s">
        <v>342</v>
      </c>
      <c r="C300" s="31" t="s">
        <v>104</v>
      </c>
      <c r="D300" s="32" t="str">
        <f>VLOOKUP(B300,'Player Data'!A1:D734,4,FALSE)</f>
        <v>D</v>
      </c>
      <c r="E300" s="47">
        <f>VLOOKUP(B300,D!A1:C229,3,FALSE)</f>
        <v>83</v>
      </c>
      <c r="F300" s="34" t="str">
        <f>VLOOKUP(B300,'Player Data'!A1:B734,2,FALSE)</f>
        <v>NYI</v>
      </c>
      <c r="G300" s="9">
        <f>VLOOKUP(B300,'Player Data'!A1:D734,3,FALSE)</f>
        <v>28</v>
      </c>
      <c r="H300" s="35">
        <f>IFERROR(VLOOKUP(B300,ADP!A1:G731,7,FALSE)/1000000,VLOOKUP(B300,ADP!A1:G731,7,FALSE))</f>
        <v>6.15</v>
      </c>
      <c r="I300" s="36">
        <f>IF(Settings!$E$15="POINTS",((R300*Q300)*Settings!$B$12)+(S300*Settings!$B$2)+(T300*Settings!$B$3)+(U300*Settings!$B$4)+(V300*Settings!$B$5)+(X300*Settings!$B$9)+(AA300*Settings!$B$6)+(W300*Settings!$B$8)+(AB300*Settings!$B$7)+(AC300*Settings!$B$14)+(AD300*Settings!$B$15)+(AE300*Settings!$B$16)+(AF300*Settings!$B$17)+(AG300*Settings!$B$18)+(U300*Settings!$B$13)+(Y300*Settings!$B$10)+(Z300*Settings!$B$11),VLOOKUP(B300,'Standard Deviations'!A1:C731,3,FALSE))</f>
        <v>-2.2281052678362059</v>
      </c>
      <c r="J300" s="37">
        <f t="shared" si="26"/>
        <v>-2.7172015461417145E-2</v>
      </c>
      <c r="K300" s="183">
        <f>VLOOKUP(B300,D!A1:F229,6,FALSE)</f>
        <v>-4.1698458114705161</v>
      </c>
      <c r="L300" s="36">
        <f t="shared" si="27"/>
        <v>-0.67802370918219768</v>
      </c>
      <c r="M300" s="38">
        <f>IF(Settings!$E$9="YAHOO",VLOOKUP(B300,ADP!A1:E731,2,FALSE),IF(Settings!$E$9="ESPN",VLOOKUP(B300,ADP!A1:E731,3,FALSE),IF(Settings!$E$9="FANTRAX",VLOOKUP(B300,ADP!A1:E731,4,FALSE),VLOOKUP(B300,ADP!A1:E731,5,FALSE))))</f>
        <v>480.82</v>
      </c>
      <c r="N300" s="38">
        <f t="shared" si="28"/>
        <v>181.82</v>
      </c>
      <c r="O300" s="38"/>
      <c r="P300" s="39" t="str">
        <f>IF(Settings!$E$27="ON",_xlfn.XLOOKUP(B300,ADP!A2:A731,ADP!H2:H731)," ")</f>
        <v xml:space="preserve"> </v>
      </c>
      <c r="Q300" s="40">
        <f>IF(Settings!$E$12="YES",VLOOKUP(B300,'Player Data'!A1:E734,5,FALSE),82)</f>
        <v>82</v>
      </c>
      <c r="R300" s="38">
        <f>VLOOKUP(B300,'Player Data'!$A1:$AE734,6,FALSE)</f>
        <v>20.772920297141798</v>
      </c>
      <c r="S300" s="40">
        <f>VLOOKUP(B300,'Player Data'!$A1:$AE734,7,FALSE)*$Q300*IFERROR((VLOOKUP(P300,Settings!$E$28:$F$33,2,FALSE)+1),1)</f>
        <v>4.9163251536702166</v>
      </c>
      <c r="T300" s="40">
        <f>VLOOKUP(B300,'Player Data'!$A1:$AE734,8,FALSE)*$Q300*IFERROR((VLOOKUP(P300,Settings!$E$28:$F$33,2,FALSE)+1),1)</f>
        <v>20.825857593268072</v>
      </c>
      <c r="U300" s="40">
        <f t="shared" si="30"/>
        <v>25.74218274693829</v>
      </c>
      <c r="V300" s="40">
        <f>VLOOKUP(B300,'Player Data'!$A1:$AE734,10,FALSE)*$Q300*IFERROR(((VLOOKUP(P300,Settings!$E$28:$F$33,2,FALSE)/2)+1),1)</f>
        <v>139.36177019839204</v>
      </c>
      <c r="W300" s="40">
        <f>VLOOKUP(B300,'Player Data'!$A1:$AE734,11,FALSE)*$Q300*IFERROR((VLOOKUP(P300,Settings!$E$28:$F$33,2,FALSE)+1),1)</f>
        <v>0.99114013987411509</v>
      </c>
      <c r="X300" s="40">
        <f>VLOOKUP(B300,'Player Data'!$A1:$AE734,12,FALSE)*$Q300*IFERROR((VLOOKUP(P300,Settings!$E$28:$F$33,2,FALSE)+1),1)</f>
        <v>4.2970313259228385</v>
      </c>
      <c r="Y300" s="40">
        <f>VLOOKUP(B300,'Player Data'!$A1:$AE734,13,FALSE)*$Q300</f>
        <v>2.1894564480479287E-2</v>
      </c>
      <c r="Z300" s="40">
        <f>VLOOKUP(B300,'Player Data'!$A1:$AE734,14,FALSE)*$Q300</f>
        <v>0.41213869722850227</v>
      </c>
      <c r="AA300" s="40">
        <f>VLOOKUP(B300,'Player Data'!$A1:$AE734,15,FALSE)*$Q300</f>
        <v>141.39616919053324</v>
      </c>
      <c r="AB300" s="40">
        <f>VLOOKUP(B300,'Player Data'!$A1:$AE734,16,FALSE)*$Q300</f>
        <v>136.58451871827026</v>
      </c>
      <c r="AC300" s="40">
        <f>VLOOKUP(B300,'Player Data'!$A1:$AE734,17,FALSE)*$Q300*IFERROR((VLOOKUP(P300,Settings!$E$28:$F$33,2,FALSE)+1),1)</f>
        <v>1.1314662865927687</v>
      </c>
      <c r="AD300" s="40">
        <f>VLOOKUP(B300,'Player Data'!$A1:$AE734,18,FALSE)*$Q300</f>
        <v>15.082134509043524</v>
      </c>
      <c r="AE300" s="40">
        <f>VLOOKUP(B300,'Player Data'!$A1:$AE734,19,FALSE)*$Q300*IFERROR((VLOOKUP(P300,Settings!$E$28:$F$33,2,FALSE)+1),1)</f>
        <v>0.75967969404520896</v>
      </c>
      <c r="AF300" s="40">
        <f>VLOOKUP(B300,'Player Data'!$A1:$AE734,20,FALSE)*$Q300</f>
        <v>0</v>
      </c>
      <c r="AG300" s="40">
        <f>VLOOKUP(B300,'Player Data'!$A1:$AE734,21,FALSE)*$Q300</f>
        <v>0</v>
      </c>
      <c r="AH300" s="41">
        <f>VLOOKUP(B300,'Player Data'!$A1:$AE734,22,FALSE)</f>
        <v>0</v>
      </c>
      <c r="AI300" s="38"/>
      <c r="AJ300" s="42"/>
      <c r="AK300" s="40"/>
      <c r="AL300" s="40"/>
      <c r="AM300" s="40"/>
      <c r="AN300" s="40"/>
      <c r="AO300" s="40"/>
      <c r="AP300" s="40"/>
      <c r="AQ300" s="43"/>
      <c r="AR300" s="44"/>
      <c r="AS300" s="38"/>
    </row>
    <row r="301" spans="1:45" ht="21.2" customHeight="1">
      <c r="A301" s="181">
        <f t="shared" si="25"/>
        <v>300</v>
      </c>
      <c r="B301" s="8" t="s">
        <v>394</v>
      </c>
      <c r="C301" s="31" t="s">
        <v>104</v>
      </c>
      <c r="D301" s="32" t="str">
        <f>VLOOKUP(B301,'Player Data'!A1:D734,4,FALSE)</f>
        <v>C</v>
      </c>
      <c r="E301" s="33">
        <f>VLOOKUP(B301,'C'!A1:C208,3,FALSE)</f>
        <v>73</v>
      </c>
      <c r="F301" s="34" t="str">
        <f>VLOOKUP(B301,'Player Data'!A1:B734,2,FALSE)</f>
        <v>NSH</v>
      </c>
      <c r="G301" s="9">
        <f>VLOOKUP(B301,'Player Data'!A1:D734,3,FALSE)</f>
        <v>32</v>
      </c>
      <c r="H301" s="35">
        <f>IFERROR(VLOOKUP(B301,ADP!A1:G731,7,FALSE)/1000000,VLOOKUP(B301,ADP!A1:G731,7,FALSE))</f>
        <v>4.5</v>
      </c>
      <c r="I301" s="36">
        <f>IF(Settings!$E$15="POINTS",((R301*Q301)*Settings!$B$12)+(S301*Settings!$B$2)+(T301*Settings!$B$3)+(U301*Settings!$B$4)+(V301*Settings!$B$5)+(X301*Settings!$B$9)+(AA301*Settings!$B$6)+(W301*Settings!$B$8)+(AB301*Settings!$B$7)+(AC301*Settings!$B$14)+(AD301*Settings!$B$15)+(AE301*Settings!$B$16)+(AF301*Settings!$B$17)+(AG301*Settings!$B$18)+(Y301*Settings!$B$10)+(Z301*Settings!$B$11),VLOOKUP(B301,'Standard Deviations'!A1:C731,3,FALSE))</f>
        <v>2.1557682259631124</v>
      </c>
      <c r="J301" s="37">
        <f t="shared" si="26"/>
        <v>2.6289856414184298E-2</v>
      </c>
      <c r="K301" s="183">
        <f>IF(Settings!$E$18="C/LW/RW",VLOOKUP(B301,'C'!A1:F208,6,FALSE),VLOOKUP(B301,F!A1:F431,6,FALSE))</f>
        <v>-4.1812824982434904</v>
      </c>
      <c r="L301" s="36">
        <f t="shared" si="27"/>
        <v>-0.92917388849855342</v>
      </c>
      <c r="M301" s="38">
        <f>IF(Settings!$E$9="YAHOO",VLOOKUP(B301,ADP!A1:E731,2,FALSE),IF(Settings!$E$9="ESPN",VLOOKUP(B301,ADP!A1:E731,3,FALSE),IF(Settings!$E$9="FANTRAX",VLOOKUP(B301,ADP!A1:E731,4,FALSE),VLOOKUP(B301,ADP!A1:E731,5,FALSE))))</f>
        <v>211.37</v>
      </c>
      <c r="N301" s="38">
        <f t="shared" si="28"/>
        <v>-88.63</v>
      </c>
      <c r="O301" s="38"/>
      <c r="P301" s="39" t="str">
        <f>IF(Settings!$E$27="ON",_xlfn.XLOOKUP(B301,ADP!A2:A731,ADP!H2:H731)," ")</f>
        <v xml:space="preserve"> </v>
      </c>
      <c r="Q301" s="40">
        <f>IF(Settings!$E$12="YES",VLOOKUP(B301,'Player Data'!A1:E734,5,FALSE),82)</f>
        <v>82</v>
      </c>
      <c r="R301" s="38">
        <f>VLOOKUP(B301,'Player Data'!$A1:$AE734,6,FALSE)</f>
        <v>18.4505426505694</v>
      </c>
      <c r="S301" s="40">
        <f>VLOOKUP(B301,'Player Data'!$A1:$AE734,7,FALSE)*$Q301*IFERROR((VLOOKUP(P301,Settings!$E$28:$F$33,2,FALSE)+1),1)</f>
        <v>21.876248752888987</v>
      </c>
      <c r="T301" s="40">
        <f>VLOOKUP(B301,'Player Data'!$A1:$AE734,8,FALSE)*$Q301*IFERROR((VLOOKUP(P301,Settings!$E$28:$F$33,2,FALSE)+1),1)</f>
        <v>29.101016073543978</v>
      </c>
      <c r="U301" s="40">
        <f t="shared" si="30"/>
        <v>50.977264826432965</v>
      </c>
      <c r="V301" s="40">
        <f>VLOOKUP(B301,'Player Data'!$A1:$AE734,10,FALSE)*$Q301*IFERROR(((VLOOKUP(P301,Settings!$E$28:$F$33,2,FALSE)/2)+1),1)</f>
        <v>167.19937080142427</v>
      </c>
      <c r="W301" s="40">
        <f>VLOOKUP(B301,'Player Data'!$A1:$AE734,11,FALSE)*$Q301*IFERROR((VLOOKUP(P301,Settings!$E$28:$F$33,2,FALSE)+1),1)</f>
        <v>3.8935626068040472</v>
      </c>
      <c r="X301" s="40">
        <f>VLOOKUP(B301,'Player Data'!$A1:$AE734,12,FALSE)*$Q301*IFERROR((VLOOKUP(P301,Settings!$E$28:$F$33,2,FALSE)+1),1)</f>
        <v>10.067075965390414</v>
      </c>
      <c r="Y301" s="40">
        <f>VLOOKUP(B301,'Player Data'!$A1:$AE734,13,FALSE)*$Q301</f>
        <v>1.1912193839260126</v>
      </c>
      <c r="Z301" s="40">
        <f>VLOOKUP(B301,'Player Data'!$A1:$AE734,14,FALSE)*$Q301</f>
        <v>1.4685559323612076</v>
      </c>
      <c r="AA301" s="40">
        <f>VLOOKUP(B301,'Player Data'!$A1:$AE734,15,FALSE)*$Q301</f>
        <v>38.803545057684204</v>
      </c>
      <c r="AB301" s="40">
        <f>VLOOKUP(B301,'Player Data'!$A1:$AE734,16,FALSE)*$Q301</f>
        <v>33.661060009939455</v>
      </c>
      <c r="AC301" s="40">
        <f>VLOOKUP(B301,'Player Data'!$A1:$AE734,17,FALSE)*$Q301*IFERROR((VLOOKUP(P301,Settings!$E$28:$F$33,2,FALSE)+1),1)</f>
        <v>-0.59081071811770436</v>
      </c>
      <c r="AD301" s="40">
        <f>VLOOKUP(B301,'Player Data'!$A1:$AE734,18,FALSE)*$Q301</f>
        <v>22.839265060859372</v>
      </c>
      <c r="AE301" s="40">
        <f>VLOOKUP(B301,'Player Data'!$A1:$AE734,19,FALSE)*$Q301*IFERROR((VLOOKUP(P301,Settings!$E$28:$F$33,2,FALSE)+1),1)</f>
        <v>3.1945044710229702</v>
      </c>
      <c r="AF301" s="40">
        <f>VLOOKUP(B301,'Player Data'!$A1:$AE734,20,FALSE)*$Q301</f>
        <v>844.25727495577996</v>
      </c>
      <c r="AG301" s="40">
        <f>VLOOKUP(B301,'Player Data'!$A1:$AE734,21,FALSE)*$Q301</f>
        <v>639.05144578020634</v>
      </c>
      <c r="AH301" s="41">
        <f>VLOOKUP(B301,'Player Data'!$A1:$AE734,22,FALSE)</f>
        <v>0.56917165196526198</v>
      </c>
      <c r="AI301" s="38"/>
      <c r="AJ301" s="40"/>
      <c r="AK301" s="40"/>
      <c r="AL301" s="40"/>
      <c r="AM301" s="40"/>
      <c r="AN301" s="40"/>
      <c r="AO301" s="40"/>
      <c r="AP301" s="40"/>
      <c r="AQ301" s="43"/>
      <c r="AR301" s="44"/>
      <c r="AS301" s="38"/>
    </row>
    <row r="302" spans="1:45" ht="21.2" customHeight="1">
      <c r="A302" s="181">
        <f t="shared" si="25"/>
        <v>301</v>
      </c>
      <c r="B302" s="8" t="s">
        <v>352</v>
      </c>
      <c r="C302" s="31" t="s">
        <v>104</v>
      </c>
      <c r="D302" s="32" t="str">
        <f>VLOOKUP(B302,'Player Data'!A1:D734,4,FALSE)</f>
        <v>C</v>
      </c>
      <c r="E302" s="33">
        <f>VLOOKUP(B302,'C'!A1:C208,3,FALSE)</f>
        <v>74</v>
      </c>
      <c r="F302" s="34" t="str">
        <f>VLOOKUP(B302,'Player Data'!A1:B734,2,FALSE)</f>
        <v>LAK</v>
      </c>
      <c r="G302" s="9">
        <f>VLOOKUP(B302,'Player Data'!A1:D734,3,FALSE)</f>
        <v>30</v>
      </c>
      <c r="H302" s="35">
        <f>IFERROR(VLOOKUP(B302,ADP!A1:G731,7,FALSE)/1000000,VLOOKUP(B302,ADP!A1:G731,7,FALSE))</f>
        <v>5.5</v>
      </c>
      <c r="I302" s="36">
        <f>IF(Settings!$E$15="POINTS",((R302*Q302)*Settings!$B$12)+(S302*Settings!$B$2)+(T302*Settings!$B$3)+(U302*Settings!$B$4)+(V302*Settings!$B$5)+(X302*Settings!$B$9)+(AA302*Settings!$B$6)+(W302*Settings!$B$8)+(AB302*Settings!$B$7)+(AC302*Settings!$B$14)+(AD302*Settings!$B$15)+(AE302*Settings!$B$16)+(AF302*Settings!$B$17)+(AG302*Settings!$B$18)+(Y302*Settings!$B$10)+(Z302*Settings!$B$11),VLOOKUP(B302,'Standard Deviations'!A1:C731,3,FALSE))</f>
        <v>2.1476600641781207</v>
      </c>
      <c r="J302" s="37">
        <f t="shared" si="26"/>
        <v>2.6190976392416108E-2</v>
      </c>
      <c r="K302" s="183">
        <f>IF(Settings!$E$18="C/LW/RW",VLOOKUP(B302,'C'!A1:F208,6,FALSE),VLOOKUP(B302,F!A1:F431,6,FALSE))</f>
        <v>-4.189390660028482</v>
      </c>
      <c r="L302" s="36">
        <f t="shared" si="27"/>
        <v>-0.76170739273245125</v>
      </c>
      <c r="M302" s="38">
        <f>IF(Settings!$E$9="YAHOO",VLOOKUP(B302,ADP!A1:E731,2,FALSE),IF(Settings!$E$9="ESPN",VLOOKUP(B302,ADP!A1:E731,3,FALSE),IF(Settings!$E$9="FANTRAX",VLOOKUP(B302,ADP!A1:E731,4,FALSE),VLOOKUP(B302,ADP!A1:E731,5,FALSE))))</f>
        <v>226.95</v>
      </c>
      <c r="N302" s="38">
        <f t="shared" si="28"/>
        <v>-74.050000000000011</v>
      </c>
      <c r="O302" s="38"/>
      <c r="P302" s="39" t="str">
        <f>IF(Settings!$E$27="ON",_xlfn.XLOOKUP(B302,ADP!A2:A731,ADP!H2:H731)," ")</f>
        <v xml:space="preserve"> </v>
      </c>
      <c r="Q302" s="40">
        <f>IF(Settings!$E$12="YES",VLOOKUP(B302,'Player Data'!A1:E734,5,FALSE),82)</f>
        <v>82</v>
      </c>
      <c r="R302" s="38">
        <f>VLOOKUP(B302,'Player Data'!$A1:$AE734,6,FALSE)</f>
        <v>17.865425551579701</v>
      </c>
      <c r="S302" s="40">
        <f>VLOOKUP(B302,'Player Data'!$A1:$AE734,7,FALSE)*$Q302*IFERROR((VLOOKUP(P302,Settings!$E$28:$F$33,2,FALSE)+1),1)</f>
        <v>19.060968086259432</v>
      </c>
      <c r="T302" s="40">
        <f>VLOOKUP(B302,'Player Data'!$A1:$AE734,8,FALSE)*$Q302*IFERROR((VLOOKUP(P302,Settings!$E$28:$F$33,2,FALSE)+1),1)</f>
        <v>31.260604112402525</v>
      </c>
      <c r="U302" s="40">
        <f t="shared" si="30"/>
        <v>50.321572198661954</v>
      </c>
      <c r="V302" s="40">
        <f>VLOOKUP(B302,'Player Data'!$A1:$AE734,10,FALSE)*$Q302*IFERROR(((VLOOKUP(P302,Settings!$E$28:$F$33,2,FALSE)/2)+1),1)</f>
        <v>155.60297356708108</v>
      </c>
      <c r="W302" s="40">
        <f>VLOOKUP(B302,'Player Data'!$A1:$AE734,11,FALSE)*$Q302*IFERROR((VLOOKUP(P302,Settings!$E$28:$F$33,2,FALSE)+1),1)</f>
        <v>2.8087440265736503</v>
      </c>
      <c r="X302" s="40">
        <f>VLOOKUP(B302,'Player Data'!$A1:$AE734,12,FALSE)*$Q302*IFERROR((VLOOKUP(P302,Settings!$E$28:$F$33,2,FALSE)+1),1)</f>
        <v>13.345627073815187</v>
      </c>
      <c r="Y302" s="40">
        <f>VLOOKUP(B302,'Player Data'!$A1:$AE734,13,FALSE)*$Q302</f>
        <v>1.6838376198004268E-2</v>
      </c>
      <c r="Z302" s="40">
        <f>VLOOKUP(B302,'Player Data'!$A1:$AE734,14,FALSE)*$Q302</f>
        <v>2.0657601750751726</v>
      </c>
      <c r="AA302" s="40">
        <f>VLOOKUP(B302,'Player Data'!$A1:$AE734,15,FALSE)*$Q302</f>
        <v>62.261554086757634</v>
      </c>
      <c r="AB302" s="40">
        <f>VLOOKUP(B302,'Player Data'!$A1:$AE734,16,FALSE)*$Q302</f>
        <v>77.961875483821515</v>
      </c>
      <c r="AC302" s="40">
        <f>VLOOKUP(B302,'Player Data'!$A1:$AE734,17,FALSE)*$Q302*IFERROR((VLOOKUP(P302,Settings!$E$28:$F$33,2,FALSE)+1),1)</f>
        <v>0.67636893274425758</v>
      </c>
      <c r="AD302" s="40">
        <f>VLOOKUP(B302,'Player Data'!$A1:$AE734,18,FALSE)*$Q302</f>
        <v>45.132312799633596</v>
      </c>
      <c r="AE302" s="40">
        <f>VLOOKUP(B302,'Player Data'!$A1:$AE734,19,FALSE)*$Q302*IFERROR((VLOOKUP(P302,Settings!$E$28:$F$33,2,FALSE)+1),1)</f>
        <v>2.8221870576748769</v>
      </c>
      <c r="AF302" s="40">
        <f>VLOOKUP(B302,'Player Data'!$A1:$AE734,20,FALSE)*$Q302</f>
        <v>683.71202139873594</v>
      </c>
      <c r="AG302" s="40">
        <f>VLOOKUP(B302,'Player Data'!$A1:$AE734,21,FALSE)*$Q302</f>
        <v>587.22001953745269</v>
      </c>
      <c r="AH302" s="41">
        <f>VLOOKUP(B302,'Player Data'!$A1:$AE734,22,FALSE)</f>
        <v>0.53796111780697797</v>
      </c>
      <c r="AI302" s="38"/>
      <c r="AJ302" s="42"/>
      <c r="AK302" s="40"/>
      <c r="AL302" s="40"/>
      <c r="AM302" s="40"/>
      <c r="AN302" s="40"/>
      <c r="AO302" s="40"/>
      <c r="AP302" s="40"/>
      <c r="AQ302" s="43"/>
      <c r="AR302" s="44"/>
      <c r="AS302" s="38"/>
    </row>
    <row r="303" spans="1:45" ht="21.2" customHeight="1">
      <c r="A303" s="181">
        <f t="shared" si="25"/>
        <v>302</v>
      </c>
      <c r="B303" s="8" t="s">
        <v>368</v>
      </c>
      <c r="C303" s="31" t="s">
        <v>104</v>
      </c>
      <c r="D303" s="32" t="str">
        <f>VLOOKUP(B303,'Player Data'!A1:D734,4,FALSE)</f>
        <v>LW,RW</v>
      </c>
      <c r="E303" s="45">
        <f>VLOOKUP(B303,RW!A1:F189,3,FALSE)</f>
        <v>71</v>
      </c>
      <c r="F303" s="34" t="str">
        <f>VLOOKUP(B303,'Player Data'!A1:B734,2,FALSE)</f>
        <v>SJS</v>
      </c>
      <c r="G303" s="9">
        <f>VLOOKUP(B303,'Player Data'!A1:D734,3,FALSE)</f>
        <v>29</v>
      </c>
      <c r="H303" s="35">
        <f>IFERROR(VLOOKUP(B303,ADP!A1:G731,7,FALSE)/1000000,VLOOKUP(B303,ADP!A1:G731,7,FALSE))</f>
        <v>2.5</v>
      </c>
      <c r="I303" s="36">
        <f>IF(Settings!$E$15="POINTS",((R303*Q303)*Settings!$B$12)+(S303*Settings!$B$2)+(T303*Settings!$B$3)+(U303*Settings!$B$4)+(V303*Settings!$B$5)+(X303*Settings!$B$9)+(AA303*Settings!$B$6)+(W303*Settings!$B$8)+(AB303*Settings!$B$7)+(AC303*Settings!$B$14)+(AD303*Settings!$B$15)+(AE303*Settings!$B$16)+(AF303*Settings!$B$17)+(AG303*Settings!$B$18)+(Y303*Settings!$B$10)+(Z303*Settings!$B$11),VLOOKUP(B303,'Standard Deviations'!A1:C731,3,FALSE))</f>
        <v>2.0406029877718854</v>
      </c>
      <c r="J303" s="37">
        <f t="shared" si="26"/>
        <v>2.4885402289901042E-2</v>
      </c>
      <c r="K303" s="183">
        <f>IF(Settings!$E$18="C/LW/RW",VLOOKUP(B303,RW!A1:F189,6,FALSE),VLOOKUP(B303,F!A1:F431,6,FALSE))</f>
        <v>-4.2396557312391954</v>
      </c>
      <c r="L303" s="36">
        <f t="shared" si="27"/>
        <v>-1.6958622924956781</v>
      </c>
      <c r="M303" s="38">
        <f>IF(Settings!$E$9="YAHOO",VLOOKUP(B303,ADP!A1:E731,2,FALSE),IF(Settings!$E$9="ESPN",VLOOKUP(B303,ADP!A1:E731,3,FALSE),IF(Settings!$E$9="FANTRAX",VLOOKUP(B303,ADP!A1:E731,4,FALSE),VLOOKUP(B303,ADP!A1:E731,5,FALSE))))</f>
        <v>424.9</v>
      </c>
      <c r="N303" s="38">
        <f t="shared" si="28"/>
        <v>122.89999999999998</v>
      </c>
      <c r="O303" s="38"/>
      <c r="P303" s="39" t="str">
        <f>IF(Settings!$E$27="ON",_xlfn.XLOOKUP(B303,ADP!A2:A731,ADP!H2:H731)," ")</f>
        <v xml:space="preserve"> </v>
      </c>
      <c r="Q303" s="40">
        <f>IF(Settings!$E$12="YES",VLOOKUP(B303,'Player Data'!A1:E734,5,FALSE),82)</f>
        <v>82</v>
      </c>
      <c r="R303" s="38">
        <f>VLOOKUP(B303,'Player Data'!$A1:$AE734,6,FALSE)</f>
        <v>17.477731624681201</v>
      </c>
      <c r="S303" s="40">
        <f>VLOOKUP(B303,'Player Data'!$A1:$AE734,7,FALSE)*$Q303*IFERROR((VLOOKUP(P303,Settings!$E$28:$F$33,2,FALSE)+1),1)</f>
        <v>16.542483867567903</v>
      </c>
      <c r="T303" s="40">
        <f>VLOOKUP(B303,'Player Data'!$A1:$AE734,8,FALSE)*$Q303*IFERROR((VLOOKUP(P303,Settings!$E$28:$F$33,2,FALSE)+1),1)</f>
        <v>36.489669834610829</v>
      </c>
      <c r="U303" s="40">
        <f t="shared" si="30"/>
        <v>53.032153702178732</v>
      </c>
      <c r="V303" s="40">
        <f>VLOOKUP(B303,'Player Data'!$A1:$AE734,10,FALSE)*$Q303*IFERROR(((VLOOKUP(P303,Settings!$E$28:$F$33,2,FALSE)/2)+1),1)</f>
        <v>136.39544923061914</v>
      </c>
      <c r="W303" s="40">
        <f>VLOOKUP(B303,'Player Data'!$A1:$AE734,11,FALSE)*$Q303*IFERROR((VLOOKUP(P303,Settings!$E$28:$F$33,2,FALSE)+1),1)</f>
        <v>3.506425774343886</v>
      </c>
      <c r="X303" s="40">
        <f>VLOOKUP(B303,'Player Data'!$A1:$AE734,12,FALSE)*$Q303*IFERROR((VLOOKUP(P303,Settings!$E$28:$F$33,2,FALSE)+1),1)</f>
        <v>12.922674282634103</v>
      </c>
      <c r="Y303" s="40">
        <f>VLOOKUP(B303,'Player Data'!$A1:$AE734,13,FALSE)*$Q303</f>
        <v>8.2651871639309437E-3</v>
      </c>
      <c r="Z303" s="40">
        <f>VLOOKUP(B303,'Player Data'!$A1:$AE734,14,FALSE)*$Q303</f>
        <v>1.5230727483448409E-2</v>
      </c>
      <c r="AA303" s="40">
        <f>VLOOKUP(B303,'Player Data'!$A1:$AE734,15,FALSE)*$Q303</f>
        <v>42.604789937560319</v>
      </c>
      <c r="AB303" s="40">
        <f>VLOOKUP(B303,'Player Data'!$A1:$AE734,16,FALSE)*$Q303</f>
        <v>53.746768156490894</v>
      </c>
      <c r="AC303" s="40">
        <f>VLOOKUP(B303,'Player Data'!$A1:$AE734,17,FALSE)*$Q303*IFERROR((VLOOKUP(P303,Settings!$E$28:$F$33,2,FALSE)+1),1)</f>
        <v>0.10332752618493665</v>
      </c>
      <c r="AD303" s="40">
        <f>VLOOKUP(B303,'Player Data'!$A1:$AE734,18,FALSE)*$Q303</f>
        <v>24.303361002951902</v>
      </c>
      <c r="AE303" s="40">
        <f>VLOOKUP(B303,'Player Data'!$A1:$AE734,19,FALSE)*$Q303*IFERROR((VLOOKUP(P303,Settings!$E$28:$F$33,2,FALSE)+1),1)</f>
        <v>2.0538445646142072</v>
      </c>
      <c r="AF303" s="40">
        <f>VLOOKUP(B303,'Player Data'!$A1:$AE734,20,FALSE)*$Q303</f>
        <v>0.51500725463296593</v>
      </c>
      <c r="AG303" s="40">
        <f>VLOOKUP(B303,'Player Data'!$A1:$AE734,21,FALSE)*$Q303</f>
        <v>2.4859829015205803</v>
      </c>
      <c r="AH303" s="41">
        <f>VLOOKUP(B303,'Player Data'!$A1:$AE734,22,FALSE)</f>
        <v>0.171612443838558</v>
      </c>
      <c r="AI303" s="38"/>
      <c r="AJ303" s="42"/>
      <c r="AK303" s="40"/>
      <c r="AL303" s="40"/>
      <c r="AM303" s="40"/>
      <c r="AN303" s="40"/>
      <c r="AO303" s="40"/>
      <c r="AP303" s="40"/>
      <c r="AQ303" s="43"/>
      <c r="AR303" s="44"/>
      <c r="AS303" s="38"/>
    </row>
    <row r="304" spans="1:45" ht="21.2" customHeight="1">
      <c r="A304" s="181">
        <f t="shared" si="25"/>
        <v>303</v>
      </c>
      <c r="B304" s="8" t="s">
        <v>313</v>
      </c>
      <c r="C304" s="31" t="s">
        <v>104</v>
      </c>
      <c r="D304" s="32" t="str">
        <f>VLOOKUP(B304,'Player Data'!A1:D734,4,FALSE)</f>
        <v>C,RW</v>
      </c>
      <c r="E304" s="45">
        <f>VLOOKUP(B304,RW!A1:F189,3,FALSE)</f>
        <v>72</v>
      </c>
      <c r="F304" s="34" t="str">
        <f>VLOOKUP(B304,'Player Data'!A1:B734,2,FALSE)</f>
        <v>MIN</v>
      </c>
      <c r="G304" s="9">
        <f>VLOOKUP(B304,'Player Data'!A1:D734,3,FALSE)</f>
        <v>28</v>
      </c>
      <c r="H304" s="35">
        <f>IFERROR(VLOOKUP(B304,ADP!A1:G731,7,FALSE)/1000000,VLOOKUP(B304,ADP!A1:G731,7,FALSE))</f>
        <v>1.7</v>
      </c>
      <c r="I304" s="36">
        <f>IF(Settings!$E$15="POINTS",((R304*Q304)*Settings!$B$12)+(S304*Settings!$B$2)+(T304*Settings!$B$3)+(U304*Settings!$B$4)+(V304*Settings!$B$5)+(X304*Settings!$B$9)+(AA304*Settings!$B$6)+(W304*Settings!$B$8)+(AB304*Settings!$B$7)+(AC304*Settings!$B$14)+(AD304*Settings!$B$15)+(AE304*Settings!$B$16)+(AF304*Settings!$B$17)+(AG304*Settings!$B$18)+(Y304*Settings!$B$10)+(Z304*Settings!$B$11),VLOOKUP(B304,'Standard Deviations'!A1:C731,3,FALSE))</f>
        <v>2.0391096416805512</v>
      </c>
      <c r="J304" s="37">
        <f t="shared" si="26"/>
        <v>2.4867190752201843E-2</v>
      </c>
      <c r="K304" s="183">
        <f>IF(Settings!$E$18="C/LW/RW",VLOOKUP(B304,RW!A1:F189,6,FALSE),VLOOKUP(B304,F!A1:F431,6,FALSE))</f>
        <v>-4.2411490773305296</v>
      </c>
      <c r="L304" s="36">
        <f t="shared" si="27"/>
        <v>-2.4947935749003114</v>
      </c>
      <c r="M304" s="38">
        <f>IF(Settings!$E$9="YAHOO",VLOOKUP(B304,ADP!A1:E731,2,FALSE),IF(Settings!$E$9="ESPN",VLOOKUP(B304,ADP!A1:E731,3,FALSE),IF(Settings!$E$9="FANTRAX",VLOOKUP(B304,ADP!A1:E731,4,FALSE),VLOOKUP(B304,ADP!A1:E731,5,FALSE))))</f>
        <v>175.12</v>
      </c>
      <c r="N304" s="38">
        <f t="shared" si="28"/>
        <v>-127.88</v>
      </c>
      <c r="O304" s="38"/>
      <c r="P304" s="39" t="str">
        <f>IF(Settings!$E$27="ON",_xlfn.XLOOKUP(B304,ADP!A2:A731,ADP!H2:H731)," ")</f>
        <v xml:space="preserve"> </v>
      </c>
      <c r="Q304" s="40">
        <f>IF(Settings!$E$12="YES",VLOOKUP(B304,'Player Data'!A1:E734,5,FALSE),82)</f>
        <v>82</v>
      </c>
      <c r="R304" s="38">
        <f>VLOOKUP(B304,'Player Data'!$A1:$AE734,6,FALSE)</f>
        <v>16.268800686773901</v>
      </c>
      <c r="S304" s="40">
        <f>VLOOKUP(B304,'Player Data'!$A1:$AE734,7,FALSE)*$Q304*IFERROR((VLOOKUP(P304,Settings!$E$28:$F$33,2,FALSE)+1),1)</f>
        <v>23.045969293112904</v>
      </c>
      <c r="T304" s="40">
        <f>VLOOKUP(B304,'Player Data'!$A1:$AE734,8,FALSE)*$Q304*IFERROR((VLOOKUP(P304,Settings!$E$28:$F$33,2,FALSE)+1),1)</f>
        <v>27.943841131381483</v>
      </c>
      <c r="U304" s="40">
        <f t="shared" si="30"/>
        <v>50.989810424494387</v>
      </c>
      <c r="V304" s="40">
        <f>VLOOKUP(B304,'Player Data'!$A1:$AE734,10,FALSE)*$Q304*IFERROR(((VLOOKUP(P304,Settings!$E$28:$F$33,2,FALSE)/2)+1),1)</f>
        <v>191.99722357658237</v>
      </c>
      <c r="W304" s="40">
        <f>VLOOKUP(B304,'Player Data'!$A1:$AE734,11,FALSE)*$Q304*IFERROR((VLOOKUP(P304,Settings!$E$28:$F$33,2,FALSE)+1),1)</f>
        <v>0.95628263160544302</v>
      </c>
      <c r="X304" s="40">
        <f>VLOOKUP(B304,'Player Data'!$A1:$AE734,12,FALSE)*$Q304*IFERROR((VLOOKUP(P304,Settings!$E$28:$F$33,2,FALSE)+1),1)</f>
        <v>4.4631202626506221</v>
      </c>
      <c r="Y304" s="40">
        <f>VLOOKUP(B304,'Player Data'!$A1:$AE734,13,FALSE)*$Q304</f>
        <v>1.1157819300951304</v>
      </c>
      <c r="Z304" s="40">
        <f>VLOOKUP(B304,'Player Data'!$A1:$AE734,14,FALSE)*$Q304</f>
        <v>1.7758024174181126</v>
      </c>
      <c r="AA304" s="40">
        <f>VLOOKUP(B304,'Player Data'!$A1:$AE734,15,FALSE)*$Q304</f>
        <v>56.3545873105314</v>
      </c>
      <c r="AB304" s="40">
        <f>VLOOKUP(B304,'Player Data'!$A1:$AE734,16,FALSE)*$Q304</f>
        <v>79.972518680384866</v>
      </c>
      <c r="AC304" s="40">
        <f>VLOOKUP(B304,'Player Data'!$A1:$AE734,17,FALSE)*$Q304*IFERROR((VLOOKUP(P304,Settings!$E$28:$F$33,2,FALSE)+1),1)</f>
        <v>3.7416000810005983</v>
      </c>
      <c r="AD304" s="40">
        <f>VLOOKUP(B304,'Player Data'!$A1:$AE734,18,FALSE)*$Q304</f>
        <v>72.212439527659583</v>
      </c>
      <c r="AE304" s="40">
        <f>VLOOKUP(B304,'Player Data'!$A1:$AE734,19,FALSE)*$Q304*IFERROR((VLOOKUP(P304,Settings!$E$28:$F$33,2,FALSE)+1),1)</f>
        <v>3.7006391416094631</v>
      </c>
      <c r="AF304" s="40">
        <f>VLOOKUP(B304,'Player Data'!$A1:$AE734,20,FALSE)*$Q304</f>
        <v>365.9476322821759</v>
      </c>
      <c r="AG304" s="40">
        <f>VLOOKUP(B304,'Player Data'!$A1:$AE734,21,FALSE)*$Q304</f>
        <v>473.9176444696547</v>
      </c>
      <c r="AH304" s="41">
        <f>VLOOKUP(B304,'Player Data'!$A1:$AE734,22,FALSE)</f>
        <v>0.43572182635943002</v>
      </c>
      <c r="AI304" s="38"/>
      <c r="AJ304" s="42"/>
      <c r="AK304" s="40"/>
      <c r="AL304" s="40"/>
      <c r="AM304" s="40"/>
      <c r="AN304" s="40"/>
      <c r="AO304" s="40"/>
      <c r="AP304" s="40"/>
      <c r="AQ304" s="43"/>
      <c r="AR304" s="44"/>
      <c r="AS304" s="38"/>
    </row>
    <row r="305" spans="1:45" ht="21.2" customHeight="1">
      <c r="A305" s="181">
        <f t="shared" si="25"/>
        <v>304</v>
      </c>
      <c r="B305" s="8" t="s">
        <v>329</v>
      </c>
      <c r="C305" s="31" t="s">
        <v>104</v>
      </c>
      <c r="D305" s="32" t="str">
        <f>VLOOKUP(B305,'Player Data'!A1:D734,4,FALSE)</f>
        <v>LW,RW</v>
      </c>
      <c r="E305" s="45">
        <f>VLOOKUP(B305,RW!A1:F189,3,FALSE)</f>
        <v>73</v>
      </c>
      <c r="F305" s="34" t="str">
        <f>VLOOKUP(B305,'Player Data'!A1:B734,2,FALSE)</f>
        <v>VAN</v>
      </c>
      <c r="G305" s="9">
        <f>VLOOKUP(B305,'Player Data'!A1:D734,3,FALSE)</f>
        <v>26</v>
      </c>
      <c r="H305" s="35">
        <f>IFERROR(VLOOKUP(B305,ADP!A1:G731,7,FALSE)/1000000,VLOOKUP(B305,ADP!A1:G731,7,FALSE))</f>
        <v>4.1500000000000004</v>
      </c>
      <c r="I305" s="36">
        <f>IF(Settings!$E$15="POINTS",((R305*Q305)*Settings!$B$12)+(S305*Settings!$B$2)+(T305*Settings!$B$3)+(U305*Settings!$B$4)+(V305*Settings!$B$5)+(X305*Settings!$B$9)+(AA305*Settings!$B$6)+(W305*Settings!$B$8)+(AB305*Settings!$B$7)+(AC305*Settings!$B$14)+(AD305*Settings!$B$15)+(AE305*Settings!$B$16)+(AF305*Settings!$B$17)+(AG305*Settings!$B$18)+(Y305*Settings!$B$10)+(Z305*Settings!$B$11),VLOOKUP(B305,'Standard Deviations'!A1:C731,3,FALSE))</f>
        <v>2.0269604016104097</v>
      </c>
      <c r="J305" s="37">
        <f t="shared" si="26"/>
        <v>2.4719029287931824E-2</v>
      </c>
      <c r="K305" s="183">
        <f>IF(Settings!$E$18="C/LW/RW",VLOOKUP(B305,RW!A1:F189,6,FALSE),VLOOKUP(B305,F!A1:F431,6,FALSE))</f>
        <v>-4.2532983174006711</v>
      </c>
      <c r="L305" s="36">
        <f t="shared" si="27"/>
        <v>-1.0248911608194387</v>
      </c>
      <c r="M305" s="38">
        <f>IF(Settings!$E$9="YAHOO",VLOOKUP(B305,ADP!A1:E731,2,FALSE),IF(Settings!$E$9="ESPN",VLOOKUP(B305,ADP!A1:E731,3,FALSE),IF(Settings!$E$9="FANTRAX",VLOOKUP(B305,ADP!A1:E731,4,FALSE),VLOOKUP(B305,ADP!A1:E731,5,FALSE))))</f>
        <v>226.35</v>
      </c>
      <c r="N305" s="38">
        <f t="shared" si="28"/>
        <v>-77.650000000000006</v>
      </c>
      <c r="O305" s="38"/>
      <c r="P305" s="39" t="str">
        <f>IF(Settings!$E$27="ON",_xlfn.XLOOKUP(B305,ADP!A2:A731,ADP!H2:H731)," ")</f>
        <v xml:space="preserve"> </v>
      </c>
      <c r="Q305" s="40">
        <f>IF(Settings!$E$12="YES",VLOOKUP(B305,'Player Data'!A1:E734,5,FALSE),82)</f>
        <v>82</v>
      </c>
      <c r="R305" s="38">
        <f>VLOOKUP(B305,'Player Data'!$A1:$AE734,6,FALSE)</f>
        <v>17.043815998666201</v>
      </c>
      <c r="S305" s="40">
        <f>VLOOKUP(B305,'Player Data'!$A1:$AE734,7,FALSE)*$Q305*IFERROR((VLOOKUP(P305,Settings!$E$28:$F$33,2,FALSE)+1),1)</f>
        <v>20.155026323756829</v>
      </c>
      <c r="T305" s="40">
        <f>VLOOKUP(B305,'Player Data'!$A1:$AE734,8,FALSE)*$Q305*IFERROR((VLOOKUP(P305,Settings!$E$28:$F$33,2,FALSE)+1),1)</f>
        <v>26.216643147425312</v>
      </c>
      <c r="U305" s="40">
        <f t="shared" si="30"/>
        <v>46.371669471182145</v>
      </c>
      <c r="V305" s="40">
        <f>VLOOKUP(B305,'Player Data'!$A1:$AE734,10,FALSE)*$Q305*IFERROR(((VLOOKUP(P305,Settings!$E$28:$F$33,2,FALSE)/2)+1),1)</f>
        <v>185.92150746424531</v>
      </c>
      <c r="W305" s="40">
        <f>VLOOKUP(B305,'Player Data'!$A1:$AE734,11,FALSE)*$Q305*IFERROR((VLOOKUP(P305,Settings!$E$28:$F$33,2,FALSE)+1),1)</f>
        <v>6.0513031300901394</v>
      </c>
      <c r="X305" s="40">
        <f>VLOOKUP(B305,'Player Data'!$A1:$AE734,12,FALSE)*$Q305*IFERROR((VLOOKUP(P305,Settings!$E$28:$F$33,2,FALSE)+1),1)</f>
        <v>11.408226574512485</v>
      </c>
      <c r="Y305" s="40">
        <f>VLOOKUP(B305,'Player Data'!$A1:$AE734,13,FALSE)*$Q305</f>
        <v>6.1748628966463909E-2</v>
      </c>
      <c r="Z305" s="40">
        <f>VLOOKUP(B305,'Player Data'!$A1:$AE734,14,FALSE)*$Q305</f>
        <v>0.1264746574744349</v>
      </c>
      <c r="AA305" s="40">
        <f>VLOOKUP(B305,'Player Data'!$A1:$AE734,15,FALSE)*$Q305</f>
        <v>28.057265131846577</v>
      </c>
      <c r="AB305" s="40">
        <f>VLOOKUP(B305,'Player Data'!$A1:$AE734,16,FALSE)*$Q305</f>
        <v>69.26587864051038</v>
      </c>
      <c r="AC305" s="40">
        <f>VLOOKUP(B305,'Player Data'!$A1:$AE734,17,FALSE)*$Q305*IFERROR((VLOOKUP(P305,Settings!$E$28:$F$33,2,FALSE)+1),1)</f>
        <v>-0.39092732533787733</v>
      </c>
      <c r="AD305" s="40">
        <f>VLOOKUP(B305,'Player Data'!$A1:$AE734,18,FALSE)*$Q305</f>
        <v>23.090201414846387</v>
      </c>
      <c r="AE305" s="40">
        <f>VLOOKUP(B305,'Player Data'!$A1:$AE734,19,FALSE)*$Q305*IFERROR((VLOOKUP(P305,Settings!$E$28:$F$33,2,FALSE)+1),1)</f>
        <v>2.8531384510494595</v>
      </c>
      <c r="AF305" s="40">
        <f>VLOOKUP(B305,'Player Data'!$A1:$AE734,20,FALSE)*$Q305</f>
        <v>3.9758546087978233</v>
      </c>
      <c r="AG305" s="40">
        <f>VLOOKUP(B305,'Player Data'!$A1:$AE734,21,FALSE)*$Q305</f>
        <v>9.1853577203656691</v>
      </c>
      <c r="AH305" s="41">
        <f>VLOOKUP(B305,'Player Data'!$A1:$AE734,22,FALSE)</f>
        <v>0.30208878250431898</v>
      </c>
      <c r="AI305" s="38"/>
      <c r="AJ305" s="42"/>
      <c r="AK305" s="40"/>
      <c r="AL305" s="40"/>
      <c r="AM305" s="40"/>
      <c r="AN305" s="40"/>
      <c r="AO305" s="40"/>
      <c r="AP305" s="40"/>
      <c r="AQ305" s="43"/>
      <c r="AR305" s="44"/>
      <c r="AS305" s="38"/>
    </row>
    <row r="306" spans="1:45" ht="21.2" customHeight="1">
      <c r="A306" s="181">
        <f t="shared" si="25"/>
        <v>305</v>
      </c>
      <c r="B306" s="8" t="s">
        <v>317</v>
      </c>
      <c r="C306" s="31" t="s">
        <v>104</v>
      </c>
      <c r="D306" s="32" t="str">
        <f>VLOOKUP(B306,'Player Data'!A1:D734,4,FALSE)</f>
        <v>D</v>
      </c>
      <c r="E306" s="47">
        <f>VLOOKUP(B306,D!A1:C229,3,FALSE)</f>
        <v>84</v>
      </c>
      <c r="F306" s="34" t="str">
        <f>VLOOKUP(B306,'Player Data'!A1:B734,2,FALSE)</f>
        <v>SEA</v>
      </c>
      <c r="G306" s="9">
        <f>VLOOKUP(B306,'Player Data'!A1:D734,3,FALSE)</f>
        <v>30</v>
      </c>
      <c r="H306" s="35">
        <f>IFERROR(VLOOKUP(B306,ADP!A1:G731,7,FALSE)/1000000,VLOOKUP(B306,ADP!A1:G731,7,FALSE))</f>
        <v>4</v>
      </c>
      <c r="I306" s="36">
        <f>IF(Settings!$E$15="POINTS",((R306*Q306)*Settings!$B$12)+(S306*Settings!$B$2)+(T306*Settings!$B$3)+(U306*Settings!$B$4)+(V306*Settings!$B$5)+(X306*Settings!$B$9)+(AA306*Settings!$B$6)+(W306*Settings!$B$8)+(AB306*Settings!$B$7)+(AC306*Settings!$B$14)+(AD306*Settings!$B$15)+(AE306*Settings!$B$16)+(AF306*Settings!$B$17)+(AG306*Settings!$B$18)+(U306*Settings!$B$13)+(Y306*Settings!$B$10)+(Z306*Settings!$B$11),VLOOKUP(B306,'Standard Deviations'!A1:C731,3,FALSE))</f>
        <v>-2.3205697347603951</v>
      </c>
      <c r="J306" s="37">
        <f t="shared" si="26"/>
        <v>-2.8299630911712136E-2</v>
      </c>
      <c r="K306" s="183">
        <f>VLOOKUP(B306,D!A1:F229,6,FALSE)</f>
        <v>-4.2623102783947058</v>
      </c>
      <c r="L306" s="36">
        <f t="shared" si="27"/>
        <v>-1.0655775695986764</v>
      </c>
      <c r="M306" s="38">
        <f>IF(Settings!$E$9="YAHOO",VLOOKUP(B306,ADP!A1:E731,2,FALSE),IF(Settings!$E$9="ESPN",VLOOKUP(B306,ADP!A1:E731,3,FALSE),IF(Settings!$E$9="FANTRAX",VLOOKUP(B306,ADP!A1:E731,4,FALSE),VLOOKUP(B306,ADP!A1:E731,5,FALSE))))</f>
        <v>170.06</v>
      </c>
      <c r="N306" s="38">
        <f t="shared" si="28"/>
        <v>-134.94</v>
      </c>
      <c r="O306" s="38"/>
      <c r="P306" s="39" t="str">
        <f>IF(Settings!$E$27="ON",_xlfn.XLOOKUP(B306,ADP!A2:A731,ADP!H2:H731)," ")</f>
        <v xml:space="preserve"> </v>
      </c>
      <c r="Q306" s="40">
        <f>IF(Settings!$E$12="YES",VLOOKUP(B306,'Player Data'!A1:E734,5,FALSE),82)</f>
        <v>82</v>
      </c>
      <c r="R306" s="38">
        <f>VLOOKUP(B306,'Player Data'!$A1:$AE734,6,FALSE)</f>
        <v>23.771965354420701</v>
      </c>
      <c r="S306" s="40">
        <f>VLOOKUP(B306,'Player Data'!$A1:$AE734,7,FALSE)*$Q306*IFERROR((VLOOKUP(P306,Settings!$E$28:$F$33,2,FALSE)+1),1)</f>
        <v>7.7870446176864103</v>
      </c>
      <c r="T306" s="40">
        <f>VLOOKUP(B306,'Player Data'!$A1:$AE734,8,FALSE)*$Q306*IFERROR((VLOOKUP(P306,Settings!$E$28:$F$33,2,FALSE)+1),1)</f>
        <v>20.549594809145926</v>
      </c>
      <c r="U306" s="40">
        <f t="shared" si="30"/>
        <v>28.336639426832335</v>
      </c>
      <c r="V306" s="40">
        <f>VLOOKUP(B306,'Player Data'!$A1:$AE734,10,FALSE)*$Q306*IFERROR(((VLOOKUP(P306,Settings!$E$28:$F$33,2,FALSE)/2)+1),1)</f>
        <v>135.53680821820984</v>
      </c>
      <c r="W306" s="40">
        <f>VLOOKUP(B306,'Player Data'!$A1:$AE734,11,FALSE)*$Q306*IFERROR((VLOOKUP(P306,Settings!$E$28:$F$33,2,FALSE)+1),1)</f>
        <v>3.6765062491977668E-2</v>
      </c>
      <c r="X306" s="40">
        <f>VLOOKUP(B306,'Player Data'!$A1:$AE734,12,FALSE)*$Q306*IFERROR((VLOOKUP(P306,Settings!$E$28:$F$33,2,FALSE)+1),1)</f>
        <v>0.32717653980063433</v>
      </c>
      <c r="Y306" s="40">
        <f>VLOOKUP(B306,'Player Data'!$A1:$AE734,13,FALSE)*$Q306</f>
        <v>-1.5030988182077796E-2</v>
      </c>
      <c r="Z306" s="40">
        <f>VLOOKUP(B306,'Player Data'!$A1:$AE734,14,FALSE)*$Q306</f>
        <v>1.0142396336591225E-2</v>
      </c>
      <c r="AA306" s="40">
        <f>VLOOKUP(B306,'Player Data'!$A1:$AE734,15,FALSE)*$Q306</f>
        <v>166.30737733077825</v>
      </c>
      <c r="AB306" s="40">
        <f>VLOOKUP(B306,'Player Data'!$A1:$AE734,16,FALSE)*$Q306</f>
        <v>199.05119305284313</v>
      </c>
      <c r="AC306" s="40">
        <f>VLOOKUP(B306,'Player Data'!$A1:$AE734,17,FALSE)*$Q306*IFERROR((VLOOKUP(P306,Settings!$E$28:$F$33,2,FALSE)+1),1)</f>
        <v>0.14879705270508839</v>
      </c>
      <c r="AD306" s="40">
        <f>VLOOKUP(B306,'Player Data'!$A1:$AE734,18,FALSE)*$Q306</f>
        <v>51.079840760565375</v>
      </c>
      <c r="AE306" s="40">
        <f>VLOOKUP(B306,'Player Data'!$A1:$AE734,19,FALSE)*$Q306*IFERROR((VLOOKUP(P306,Settings!$E$28:$F$33,2,FALSE)+1),1)</f>
        <v>1.0945545929190792</v>
      </c>
      <c r="AF306" s="40">
        <f>VLOOKUP(B306,'Player Data'!$A1:$AE734,20,FALSE)*$Q306</f>
        <v>2.4922314980776305E-2</v>
      </c>
      <c r="AG306" s="40">
        <f>VLOOKUP(B306,'Player Data'!$A1:$AE734,21,FALSE)*$Q306</f>
        <v>0.13299774550748036</v>
      </c>
      <c r="AH306" s="41">
        <f>VLOOKUP(B306,'Player Data'!$A1:$AE734,22,FALSE)</f>
        <v>0.15781601719073299</v>
      </c>
      <c r="AI306" s="38"/>
      <c r="AJ306" s="42"/>
      <c r="AK306" s="40"/>
      <c r="AL306" s="40"/>
      <c r="AM306" s="40"/>
      <c r="AN306" s="40"/>
      <c r="AO306" s="40"/>
      <c r="AP306" s="40"/>
      <c r="AQ306" s="43"/>
      <c r="AR306" s="44"/>
      <c r="AS306" s="38"/>
    </row>
    <row r="307" spans="1:45" ht="21.2" customHeight="1">
      <c r="A307" s="181">
        <f t="shared" si="25"/>
        <v>306</v>
      </c>
      <c r="B307" s="8" t="s">
        <v>332</v>
      </c>
      <c r="C307" s="31" t="s">
        <v>104</v>
      </c>
      <c r="D307" s="32" t="str">
        <f>VLOOKUP(B307,'Player Data'!A1:D734,4,FALSE)</f>
        <v>D</v>
      </c>
      <c r="E307" s="47">
        <f>VLOOKUP(B307,D!A1:C229,3,FALSE)</f>
        <v>85</v>
      </c>
      <c r="F307" s="34" t="str">
        <f>VLOOKUP(B307,'Player Data'!A1:B734,2,FALSE)</f>
        <v>PIT</v>
      </c>
      <c r="G307" s="9">
        <f>VLOOKUP(B307,'Player Data'!A1:D734,3,FALSE)</f>
        <v>28</v>
      </c>
      <c r="H307" s="35">
        <f>IFERROR(VLOOKUP(B307,ADP!A1:G731,7,FALSE)/1000000,VLOOKUP(B307,ADP!A1:G731,7,FALSE))</f>
        <v>4.5</v>
      </c>
      <c r="I307" s="36">
        <f>IF(Settings!$E$15="POINTS",((R307*Q307)*Settings!$B$12)+(S307*Settings!$B$2)+(T307*Settings!$B$3)+(U307*Settings!$B$4)+(V307*Settings!$B$5)+(X307*Settings!$B$9)+(AA307*Settings!$B$6)+(W307*Settings!$B$8)+(AB307*Settings!$B$7)+(AC307*Settings!$B$14)+(AD307*Settings!$B$15)+(AE307*Settings!$B$16)+(AF307*Settings!$B$17)+(AG307*Settings!$B$18)+(U307*Settings!$B$13)+(Y307*Settings!$B$10)+(Z307*Settings!$B$11),VLOOKUP(B307,'Standard Deviations'!A1:C731,3,FALSE))</f>
        <v>-2.3619480638132382</v>
      </c>
      <c r="J307" s="37">
        <f t="shared" si="26"/>
        <v>-2.8804244680649245E-2</v>
      </c>
      <c r="K307" s="183">
        <f>VLOOKUP(B307,D!A1:F229,6,FALSE)</f>
        <v>-4.3036886074475493</v>
      </c>
      <c r="L307" s="36">
        <f t="shared" si="27"/>
        <v>-0.95637524609945546</v>
      </c>
      <c r="M307" s="38">
        <f>IF(Settings!$E$9="YAHOO",VLOOKUP(B307,ADP!A1:E731,2,FALSE),IF(Settings!$E$9="ESPN",VLOOKUP(B307,ADP!A1:E731,3,FALSE),IF(Settings!$E$9="FANTRAX",VLOOKUP(B307,ADP!A1:E731,4,FALSE),VLOOKUP(B307,ADP!A1:E731,5,FALSE))))</f>
        <v>432.1</v>
      </c>
      <c r="N307" s="38">
        <f t="shared" si="28"/>
        <v>126.10000000000002</v>
      </c>
      <c r="O307" s="38"/>
      <c r="P307" s="39" t="str">
        <f>IF(Settings!$E$27="ON",_xlfn.XLOOKUP(B307,ADP!A2:A731,ADP!H2:H731)," ")</f>
        <v xml:space="preserve"> </v>
      </c>
      <c r="Q307" s="40">
        <f>IF(Settings!$E$12="YES",VLOOKUP(B307,'Player Data'!A1:E734,5,FALSE),82)</f>
        <v>82</v>
      </c>
      <c r="R307" s="38">
        <f>VLOOKUP(B307,'Player Data'!$A1:$AE734,6,FALSE)</f>
        <v>20.0840416037368</v>
      </c>
      <c r="S307" s="40">
        <f>VLOOKUP(B307,'Player Data'!$A1:$AE734,7,FALSE)*$Q307*IFERROR((VLOOKUP(P307,Settings!$E$28:$F$33,2,FALSE)+1),1)</f>
        <v>6.4822257544828688</v>
      </c>
      <c r="T307" s="40">
        <f>VLOOKUP(B307,'Player Data'!$A1:$AE734,8,FALSE)*$Q307*IFERROR((VLOOKUP(P307,Settings!$E$28:$F$33,2,FALSE)+1),1)</f>
        <v>21.413417188905527</v>
      </c>
      <c r="U307" s="40">
        <f t="shared" si="30"/>
        <v>27.895642943388395</v>
      </c>
      <c r="V307" s="40">
        <f>VLOOKUP(B307,'Player Data'!$A1:$AE734,10,FALSE)*$Q307*IFERROR(((VLOOKUP(P307,Settings!$E$28:$F$33,2,FALSE)/2)+1),1)</f>
        <v>138.91837508797093</v>
      </c>
      <c r="W307" s="40">
        <f>VLOOKUP(B307,'Player Data'!$A1:$AE734,11,FALSE)*$Q307*IFERROR((VLOOKUP(P307,Settings!$E$28:$F$33,2,FALSE)+1),1)</f>
        <v>2.5834074956520223E-2</v>
      </c>
      <c r="X307" s="40">
        <f>VLOOKUP(B307,'Player Data'!$A1:$AE734,12,FALSE)*$Q307*IFERROR((VLOOKUP(P307,Settings!$E$28:$F$33,2,FALSE)+1),1)</f>
        <v>0.16428607795457192</v>
      </c>
      <c r="Y307" s="40">
        <f>VLOOKUP(B307,'Player Data'!$A1:$AE734,13,FALSE)*$Q307</f>
        <v>1.4267796856065735E-2</v>
      </c>
      <c r="Z307" s="40">
        <f>VLOOKUP(B307,'Player Data'!$A1:$AE734,14,FALSE)*$Q307</f>
        <v>1.1603812972563263</v>
      </c>
      <c r="AA307" s="40">
        <f>VLOOKUP(B307,'Player Data'!$A1:$AE734,15,FALSE)*$Q307</f>
        <v>152.65456995284381</v>
      </c>
      <c r="AB307" s="40">
        <f>VLOOKUP(B307,'Player Data'!$A1:$AE734,16,FALSE)*$Q307</f>
        <v>98.982474745771583</v>
      </c>
      <c r="AC307" s="40">
        <f>VLOOKUP(B307,'Player Data'!$A1:$AE734,17,FALSE)*$Q307*IFERROR((VLOOKUP(P307,Settings!$E$28:$F$33,2,FALSE)+1),1)</f>
        <v>2.1249833183255915</v>
      </c>
      <c r="AD307" s="40">
        <f>VLOOKUP(B307,'Player Data'!$A1:$AE734,18,FALSE)*$Q307</f>
        <v>34.887089759732312</v>
      </c>
      <c r="AE307" s="40">
        <f>VLOOKUP(B307,'Player Data'!$A1:$AE734,19,FALSE)*$Q307*IFERROR((VLOOKUP(P307,Settings!$E$28:$F$33,2,FALSE)+1),1)</f>
        <v>1.0405270299837441</v>
      </c>
      <c r="AF307" s="40">
        <f>VLOOKUP(B307,'Player Data'!$A1:$AE734,20,FALSE)*$Q307</f>
        <v>0</v>
      </c>
      <c r="AG307" s="40">
        <f>VLOOKUP(B307,'Player Data'!$A1:$AE734,21,FALSE)*$Q307</f>
        <v>0</v>
      </c>
      <c r="AH307" s="41">
        <f>VLOOKUP(B307,'Player Data'!$A1:$AE734,22,FALSE)</f>
        <v>0</v>
      </c>
      <c r="AI307" s="38"/>
      <c r="AJ307" s="42"/>
      <c r="AK307" s="40"/>
      <c r="AL307" s="40"/>
      <c r="AM307" s="40"/>
      <c r="AN307" s="40"/>
      <c r="AO307" s="40"/>
      <c r="AP307" s="40"/>
      <c r="AQ307" s="43"/>
      <c r="AR307" s="44"/>
      <c r="AS307" s="38"/>
    </row>
    <row r="308" spans="1:45" ht="21.2" customHeight="1">
      <c r="A308" s="181">
        <f t="shared" si="25"/>
        <v>307</v>
      </c>
      <c r="B308" s="8" t="s">
        <v>826</v>
      </c>
      <c r="C308" s="31" t="s">
        <v>104</v>
      </c>
      <c r="D308" s="32" t="str">
        <f>VLOOKUP(B308,'Player Data'!A1:D734,4,FALSE)</f>
        <v>G</v>
      </c>
      <c r="E308" s="50">
        <f>VLOOKUP(B308,G!A1:D75,3,FALSE)</f>
        <v>67</v>
      </c>
      <c r="F308" s="34" t="str">
        <f>VLOOKUP(B308,'Player Data'!A1:B734,2,FALSE)</f>
        <v>MTL</v>
      </c>
      <c r="G308" s="9">
        <f>VLOOKUP(B308,'Player Data'!A1:D734,3,FALSE)</f>
        <v>32</v>
      </c>
      <c r="H308" s="35">
        <f>IFERROR(VLOOKUP(B308,ADP!A1:G731,7,FALSE)/1000000,VLOOKUP(B308,ADP!A1:G731,7,FALSE))</f>
        <v>1.8</v>
      </c>
      <c r="I308" s="36">
        <f>IF(Settings!$E$15="POINTS",(AJ308*Settings!$B$29)+(AK308*Settings!$B$21)+(AL308*Settings!$B$22)+(AN308*Settings!$B$24)+(AO308*Settings!$B$25)+(AP308*Settings!$B$27)+(AM308*Settings!$B$23),VLOOKUP(B308,'Standard Deviations'!A1:C731,3,FALSE))</f>
        <v>-2.6242568375108122</v>
      </c>
      <c r="J308" s="37">
        <f t="shared" si="26"/>
        <v>-0.18744691696505802</v>
      </c>
      <c r="K308" s="183">
        <f>VLOOKUP(B308,G!A1:F75,6,FALSE)</f>
        <v>-4.3284858887011035</v>
      </c>
      <c r="L308" s="36">
        <f t="shared" si="27"/>
        <v>-2.4047143826117243</v>
      </c>
      <c r="M308" s="52" t="str">
        <f>IF(Settings!$E$9="YAHOO",VLOOKUP(B308,ADP!A1:E731,2,FALSE),IF(Settings!$E$9="ESPN",VLOOKUP(B308,ADP!A1:E731,3,FALSE),IF(Settings!$E$9="FANTRAX",VLOOKUP(B308,ADP!A1:E731,4,FALSE),VLOOKUP(B308,ADP!A1:E731,5,FALSE))))</f>
        <v>-</v>
      </c>
      <c r="N308" s="52" t="str">
        <f t="shared" si="28"/>
        <v>N/A</v>
      </c>
      <c r="O308" s="38"/>
      <c r="P308" s="39" t="str">
        <f>IF(Settings!$E$27="ON",_xlfn.XLOOKUP(B308,ADP!A2:A731,ADP!H2:H731)," ")</f>
        <v xml:space="preserve"> </v>
      </c>
      <c r="Q308" s="40"/>
      <c r="R308" s="51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1"/>
      <c r="AI308" s="38"/>
      <c r="AJ308" s="42">
        <f>VLOOKUP(B308,'Player Data'!$A1:$AE734,24,FALSE)</f>
        <v>14</v>
      </c>
      <c r="AK308" s="40">
        <f>VLOOKUP(B308,'Player Data'!$A1:$AE734,25,FALSE)*$AJ308*IFERROR((VLOOKUP(P308,Settings!$E$28:$F$33,2,FALSE)+1),1)</f>
        <v>5.0128971863232357</v>
      </c>
      <c r="AL308" s="40">
        <f>AJ308-AK308-AM308</f>
        <v>7.2371028136767634</v>
      </c>
      <c r="AM308" s="40">
        <f>VLOOKUP(B308,'Player Data'!$A1:$AE734,27,FALSE)*$AJ308</f>
        <v>1.75</v>
      </c>
      <c r="AN308" s="40">
        <f>VLOOKUP(B308,'Player Data'!$A1:$AE734,28,FALSE)*AJ308</f>
        <v>0.42181089809250705</v>
      </c>
      <c r="AO308" s="40">
        <f>VLOOKUP(B308,'Player Data'!$A1:$AE734,29,FALSE)*$AJ308*IFERROR((VLOOKUP(P308,Settings!$E$28:$F$33,2,FALSE)/4)+1,1)</f>
        <v>397.72176614185264</v>
      </c>
      <c r="AP308" s="40">
        <f>VLOOKUP(B308,'Player Data'!$A1:$AE734,31,FALSE)*$AJ308*(IFERROR(1-(VLOOKUP(P308,Settings!$E$28:$F$33,2,FALSE)/4),1))</f>
        <v>44.101951595647819</v>
      </c>
      <c r="AQ308" s="43">
        <f>1-(AP308/(AO308+AP308))</f>
        <v>0.90018201869857517</v>
      </c>
      <c r="AR308" s="44">
        <f>AP308/AJ308</f>
        <v>3.15013939968913</v>
      </c>
      <c r="AS308" s="38"/>
    </row>
    <row r="309" spans="1:45" ht="21.2" customHeight="1">
      <c r="A309" s="181">
        <f t="shared" si="25"/>
        <v>308</v>
      </c>
      <c r="B309" s="8" t="s">
        <v>312</v>
      </c>
      <c r="C309" s="31" t="s">
        <v>104</v>
      </c>
      <c r="D309" s="32" t="str">
        <f>VLOOKUP(B309,'Player Data'!A1:D734,4,FALSE)</f>
        <v>RW</v>
      </c>
      <c r="E309" s="46">
        <f>VLOOKUP(B309,RW!A1:F189,3,FALSE)</f>
        <v>74</v>
      </c>
      <c r="F309" s="34" t="str">
        <f>VLOOKUP(B309,'Player Data'!A1:B734,2,FALSE)</f>
        <v>SEA</v>
      </c>
      <c r="G309" s="9">
        <f>VLOOKUP(B309,'Player Data'!A1:D734,3,FALSE)</f>
        <v>28</v>
      </c>
      <c r="H309" s="35">
        <f>IFERROR(VLOOKUP(B309,ADP!A1:G731,7,FALSE)/1000000,VLOOKUP(B309,ADP!A1:G731,7,FALSE))</f>
        <v>5.4</v>
      </c>
      <c r="I309" s="36">
        <f>IF(Settings!$E$15="POINTS",((R309*Q309)*Settings!$B$12)+(S309*Settings!$B$2)+(T309*Settings!$B$3)+(U309*Settings!$B$4)+(V309*Settings!$B$5)+(X309*Settings!$B$9)+(AA309*Settings!$B$6)+(W309*Settings!$B$8)+(AB309*Settings!$B$7)+(AC309*Settings!$B$14)+(AD309*Settings!$B$15)+(AE309*Settings!$B$16)+(AF309*Settings!$B$17)+(AG309*Settings!$B$18)+(Y309*Settings!$B$10)+(Z309*Settings!$B$11),VLOOKUP(B309,'Standard Deviations'!A1:C731,3,FALSE))</f>
        <v>1.9427837536120243</v>
      </c>
      <c r="J309" s="37">
        <f t="shared" si="26"/>
        <v>2.3692484800146636E-2</v>
      </c>
      <c r="K309" s="183">
        <f>IF(Settings!$E$18="C/LW/RW",VLOOKUP(B309,RW!A1:F189,6,FALSE),VLOOKUP(B309,F!A1:F431,6,FALSE))</f>
        <v>-4.337474965399057</v>
      </c>
      <c r="L309" s="36">
        <f t="shared" si="27"/>
        <v>-0.80323610470352902</v>
      </c>
      <c r="M309" s="38">
        <f>IF(Settings!$E$9="YAHOO",VLOOKUP(B309,ADP!A1:E731,2,FALSE),IF(Settings!$E$9="ESPN",VLOOKUP(B309,ADP!A1:E731,3,FALSE),IF(Settings!$E$9="FANTRAX",VLOOKUP(B309,ADP!A1:E731,4,FALSE),VLOOKUP(B309,ADP!A1:E731,5,FALSE))))</f>
        <v>218.25</v>
      </c>
      <c r="N309" s="38">
        <f t="shared" si="28"/>
        <v>-89.75</v>
      </c>
      <c r="O309" s="38"/>
      <c r="P309" s="39" t="str">
        <f>IF(Settings!$E$27="ON",_xlfn.XLOOKUP(B309,ADP!A2:A731,ADP!H2:H731)," ")</f>
        <v xml:space="preserve"> </v>
      </c>
      <c r="Q309" s="40">
        <f>IF(Settings!$E$12="YES",VLOOKUP(B309,'Player Data'!A1:E734,5,FALSE),82)</f>
        <v>82</v>
      </c>
      <c r="R309" s="38">
        <f>VLOOKUP(B309,'Player Data'!$A1:$AE734,6,FALSE)</f>
        <v>15.2982097371024</v>
      </c>
      <c r="S309" s="40">
        <f>VLOOKUP(B309,'Player Data'!$A1:$AE734,7,FALSE)*$Q309*IFERROR((VLOOKUP(P309,Settings!$E$28:$F$33,2,FALSE)+1),1)</f>
        <v>20.690795047952296</v>
      </c>
      <c r="T309" s="40">
        <f>VLOOKUP(B309,'Player Data'!$A1:$AE734,8,FALSE)*$Q309*IFERROR((VLOOKUP(P309,Settings!$E$28:$F$33,2,FALSE)+1),1)</f>
        <v>25.616904280887479</v>
      </c>
      <c r="U309" s="40">
        <f>SUM(S309:T309)</f>
        <v>46.307699328839774</v>
      </c>
      <c r="V309" s="40">
        <f>VLOOKUP(B309,'Player Data'!$A1:$AE734,10,FALSE)*$Q309*IFERROR(((VLOOKUP(P309,Settings!$E$28:$F$33,2,FALSE)/2)+1),1)</f>
        <v>187.92945871890095</v>
      </c>
      <c r="W309" s="40">
        <f>VLOOKUP(B309,'Player Data'!$A1:$AE734,11,FALSE)*$Q309*IFERROR((VLOOKUP(P309,Settings!$E$28:$F$33,2,FALSE)+1),1)</f>
        <v>4.5840577386179966</v>
      </c>
      <c r="X309" s="40">
        <f>VLOOKUP(B309,'Player Data'!$A1:$AE734,12,FALSE)*$Q309*IFERROR((VLOOKUP(P309,Settings!$E$28:$F$33,2,FALSE)+1),1)</f>
        <v>10.181843166106519</v>
      </c>
      <c r="Y309" s="40">
        <f>VLOOKUP(B309,'Player Data'!$A1:$AE734,13,FALSE)*$Q309</f>
        <v>2.2340609295458122E-3</v>
      </c>
      <c r="Z309" s="40">
        <f>VLOOKUP(B309,'Player Data'!$A1:$AE734,14,FALSE)*$Q309</f>
        <v>4.1791906969046609E-3</v>
      </c>
      <c r="AA309" s="40">
        <f>VLOOKUP(B309,'Player Data'!$A1:$AE734,15,FALSE)*$Q309</f>
        <v>35.535723610686631</v>
      </c>
      <c r="AB309" s="40">
        <f>VLOOKUP(B309,'Player Data'!$A1:$AE734,16,FALSE)*$Q309</f>
        <v>70.02097262827229</v>
      </c>
      <c r="AC309" s="40">
        <f>VLOOKUP(B309,'Player Data'!$A1:$AE734,17,FALSE)*$Q309*IFERROR((VLOOKUP(P309,Settings!$E$28:$F$33,2,FALSE)+1),1)</f>
        <v>-0.8140976650351347</v>
      </c>
      <c r="AD309" s="40">
        <f>VLOOKUP(B309,'Player Data'!$A1:$AE734,18,FALSE)*$Q309</f>
        <v>17.968041874778198</v>
      </c>
      <c r="AE309" s="40">
        <f>VLOOKUP(B309,'Player Data'!$A1:$AE734,19,FALSE)*$Q309*IFERROR((VLOOKUP(P309,Settings!$E$28:$F$33,2,FALSE)+1),1)</f>
        <v>2.9083183496144103</v>
      </c>
      <c r="AF309" s="40">
        <f>VLOOKUP(B309,'Player Data'!$A1:$AE734,20,FALSE)*$Q309</f>
        <v>17.589752099492131</v>
      </c>
      <c r="AG309" s="40">
        <f>VLOOKUP(B309,'Player Data'!$A1:$AE734,21,FALSE)*$Q309</f>
        <v>28.754524539929221</v>
      </c>
      <c r="AH309" s="41">
        <f>VLOOKUP(B309,'Player Data'!$A1:$AE734,22,FALSE)</f>
        <v>0.37954529393884101</v>
      </c>
      <c r="AI309" s="38"/>
      <c r="AJ309" s="42"/>
      <c r="AK309" s="40"/>
      <c r="AL309" s="40"/>
      <c r="AM309" s="40"/>
      <c r="AN309" s="40"/>
      <c r="AO309" s="40"/>
      <c r="AP309" s="40"/>
      <c r="AQ309" s="43"/>
      <c r="AR309" s="44"/>
      <c r="AS309" s="38"/>
    </row>
    <row r="310" spans="1:45" ht="21.2" customHeight="1">
      <c r="A310" s="181">
        <f t="shared" si="25"/>
        <v>309</v>
      </c>
      <c r="B310" s="8" t="s">
        <v>333</v>
      </c>
      <c r="C310" s="31" t="s">
        <v>104</v>
      </c>
      <c r="D310" s="32" t="str">
        <f>VLOOKUP(B310,'Player Data'!A1:D734,4,FALSE)</f>
        <v>D</v>
      </c>
      <c r="E310" s="47">
        <f>VLOOKUP(B310,D!A1:C229,3,FALSE)</f>
        <v>86</v>
      </c>
      <c r="F310" s="34" t="str">
        <f>VLOOKUP(B310,'Player Data'!A1:B734,2,FALSE)</f>
        <v>CBJ</v>
      </c>
      <c r="G310" s="9">
        <f>VLOOKUP(B310,'Player Data'!A1:D734,3,FALSE)</f>
        <v>26</v>
      </c>
      <c r="H310" s="35">
        <f>IFERROR(VLOOKUP(B310,ADP!A1:G731,7,FALSE)/1000000,VLOOKUP(B310,ADP!A1:G731,7,FALSE))</f>
        <v>4.7249999999999996</v>
      </c>
      <c r="I310" s="36">
        <f>IF(Settings!$E$15="POINTS",((R310*Q310)*Settings!$B$12)+(S310*Settings!$B$2)+(T310*Settings!$B$3)+(U310*Settings!$B$4)+(V310*Settings!$B$5)+(X310*Settings!$B$9)+(AA310*Settings!$B$6)+(W310*Settings!$B$8)+(AB310*Settings!$B$7)+(AC310*Settings!$B$14)+(AD310*Settings!$B$15)+(AE310*Settings!$B$16)+(AF310*Settings!$B$17)+(AG310*Settings!$B$18)+(U310*Settings!$B$13)+(Y310*Settings!$B$10)+(Z310*Settings!$B$11),VLOOKUP(B310,'Standard Deviations'!A1:C731,3,FALSE))</f>
        <v>-2.4510525203842652</v>
      </c>
      <c r="J310" s="37">
        <f t="shared" si="26"/>
        <v>-2.9890884394930064E-2</v>
      </c>
      <c r="K310" s="183">
        <f>VLOOKUP(B310,D!A1:F229,6,FALSE)</f>
        <v>-4.3927930640185764</v>
      </c>
      <c r="L310" s="36">
        <f t="shared" si="27"/>
        <v>-0.9296916537605453</v>
      </c>
      <c r="M310" s="38">
        <f>IF(Settings!$E$9="YAHOO",VLOOKUP(B310,ADP!A1:E731,2,FALSE),IF(Settings!$E$9="ESPN",VLOOKUP(B310,ADP!A1:E731,3,FALSE),IF(Settings!$E$9="FANTRAX",VLOOKUP(B310,ADP!A1:E731,4,FALSE),VLOOKUP(B310,ADP!A1:E731,5,FALSE))))</f>
        <v>323.82</v>
      </c>
      <c r="N310" s="38">
        <f t="shared" si="28"/>
        <v>14.819999999999993</v>
      </c>
      <c r="O310" s="38"/>
      <c r="P310" s="39" t="str">
        <f>IF(Settings!$E$27="ON",_xlfn.XLOOKUP(B310,ADP!A2:A731,ADP!H2:H731)," ")</f>
        <v xml:space="preserve"> </v>
      </c>
      <c r="Q310" s="40">
        <f>IF(Settings!$E$12="YES",VLOOKUP(B310,'Player Data'!A1:E734,5,FALSE),82)</f>
        <v>82</v>
      </c>
      <c r="R310" s="38">
        <f>VLOOKUP(B310,'Player Data'!$A1:$AE734,6,FALSE)</f>
        <v>21.6247563504729</v>
      </c>
      <c r="S310" s="40">
        <f>VLOOKUP(B310,'Player Data'!$A1:$AE734,7,FALSE)*$Q310*IFERROR((VLOOKUP(P310,Settings!$E$28:$F$33,2,FALSE)+1),1)</f>
        <v>7.2608865742313924</v>
      </c>
      <c r="T310" s="40">
        <f>VLOOKUP(B310,'Player Data'!$A1:$AE734,8,FALSE)*$Q310*IFERROR((VLOOKUP(P310,Settings!$E$28:$F$33,2,FALSE)+1),1)</f>
        <v>19.709147605572117</v>
      </c>
      <c r="U310" s="40">
        <f>SUM(S310:T310)</f>
        <v>26.970034179803509</v>
      </c>
      <c r="V310" s="40">
        <f>VLOOKUP(B310,'Player Data'!$A1:$AE734,10,FALSE)*$Q310*IFERROR(((VLOOKUP(P310,Settings!$E$28:$F$33,2,FALSE)/2)+1),1)</f>
        <v>123.47303071752826</v>
      </c>
      <c r="W310" s="40">
        <f>VLOOKUP(B310,'Player Data'!$A1:$AE734,11,FALSE)*$Q310*IFERROR((VLOOKUP(P310,Settings!$E$28:$F$33,2,FALSE)+1),1)</f>
        <v>0.20274061559504414</v>
      </c>
      <c r="X310" s="40">
        <f>VLOOKUP(B310,'Player Data'!$A1:$AE734,12,FALSE)*$Q310*IFERROR((VLOOKUP(P310,Settings!$E$28:$F$33,2,FALSE)+1),1)</f>
        <v>2.7588842265891165</v>
      </c>
      <c r="Y310" s="40">
        <f>VLOOKUP(B310,'Player Data'!$A1:$AE734,13,FALSE)*$Q310</f>
        <v>3.4726520312788882E-2</v>
      </c>
      <c r="Z310" s="40">
        <f>VLOOKUP(B310,'Player Data'!$A1:$AE734,14,FALSE)*$Q310</f>
        <v>1.7555306774577282</v>
      </c>
      <c r="AA310" s="40">
        <f>VLOOKUP(B310,'Player Data'!$A1:$AE734,15,FALSE)*$Q310</f>
        <v>153.59558540638034</v>
      </c>
      <c r="AB310" s="40">
        <f>VLOOKUP(B310,'Player Data'!$A1:$AE734,16,FALSE)*$Q310</f>
        <v>93.308715746105264</v>
      </c>
      <c r="AC310" s="40">
        <f>VLOOKUP(B310,'Player Data'!$A1:$AE734,17,FALSE)*$Q310*IFERROR((VLOOKUP(P310,Settings!$E$28:$F$33,2,FALSE)+1),1)</f>
        <v>-6.7625455579817224</v>
      </c>
      <c r="AD310" s="40">
        <f>VLOOKUP(B310,'Player Data'!$A1:$AE734,18,FALSE)*$Q310</f>
        <v>30.344967052409096</v>
      </c>
      <c r="AE310" s="40">
        <f>VLOOKUP(B310,'Player Data'!$A1:$AE734,19,FALSE)*$Q310*IFERROR((VLOOKUP(P310,Settings!$E$28:$F$33,2,FALSE)+1),1)</f>
        <v>0.77805398899267786</v>
      </c>
      <c r="AF310" s="40">
        <f>VLOOKUP(B310,'Player Data'!$A1:$AE734,20,FALSE)*$Q310</f>
        <v>0</v>
      </c>
      <c r="AG310" s="40">
        <f>VLOOKUP(B310,'Player Data'!$A1:$AE734,21,FALSE)*$Q310</f>
        <v>0</v>
      </c>
      <c r="AH310" s="41">
        <f>VLOOKUP(B310,'Player Data'!$A1:$AE734,22,FALSE)</f>
        <v>0</v>
      </c>
      <c r="AI310" s="38"/>
      <c r="AJ310" s="42"/>
      <c r="AK310" s="40"/>
      <c r="AL310" s="40"/>
      <c r="AM310" s="40"/>
      <c r="AN310" s="40"/>
      <c r="AO310" s="40"/>
      <c r="AP310" s="40"/>
      <c r="AQ310" s="43"/>
      <c r="AR310" s="44"/>
      <c r="AS310" s="38"/>
    </row>
    <row r="311" spans="1:45" ht="21.2" customHeight="1">
      <c r="A311" s="181">
        <f t="shared" si="25"/>
        <v>310</v>
      </c>
      <c r="B311" s="8" t="s">
        <v>340</v>
      </c>
      <c r="C311" s="31" t="s">
        <v>104</v>
      </c>
      <c r="D311" s="32" t="str">
        <f>VLOOKUP(B311,'Player Data'!A1:D734,4,FALSE)</f>
        <v>D</v>
      </c>
      <c r="E311" s="47">
        <f>VLOOKUP(B311,D!A1:C229,3,FALSE)</f>
        <v>87</v>
      </c>
      <c r="F311" s="34" t="str">
        <f>VLOOKUP(B311,'Player Data'!A1:B734,2,FALSE)</f>
        <v>PHI</v>
      </c>
      <c r="G311" s="9">
        <f>VLOOKUP(B311,'Player Data'!A1:D734,3,FALSE)</f>
        <v>27</v>
      </c>
      <c r="H311" s="35">
        <f>IFERROR(VLOOKUP(B311,ADP!A1:G731,7,FALSE)/1000000,VLOOKUP(B311,ADP!A1:G731,7,FALSE))</f>
        <v>6.25</v>
      </c>
      <c r="I311" s="36">
        <f>IF(Settings!$E$15="POINTS",((R311*Q311)*Settings!$B$12)+(S311*Settings!$B$2)+(T311*Settings!$B$3)+(U311*Settings!$B$4)+(V311*Settings!$B$5)+(X311*Settings!$B$9)+(AA311*Settings!$B$6)+(W311*Settings!$B$8)+(AB311*Settings!$B$7)+(AC311*Settings!$B$14)+(AD311*Settings!$B$15)+(AE311*Settings!$B$16)+(AF311*Settings!$B$17)+(AG311*Settings!$B$18)+(U311*Settings!$B$13)+(Y311*Settings!$B$10)+(Z311*Settings!$B$11),VLOOKUP(B311,'Standard Deviations'!A1:C731,3,FALSE))</f>
        <v>-2.4623612641078871</v>
      </c>
      <c r="J311" s="37">
        <f t="shared" si="26"/>
        <v>-3.0028795903754721E-2</v>
      </c>
      <c r="K311" s="183">
        <f>VLOOKUP(B311,D!A1:F229,6,FALSE)</f>
        <v>-4.4041018077421974</v>
      </c>
      <c r="L311" s="36">
        <f t="shared" si="27"/>
        <v>-0.70465628923875157</v>
      </c>
      <c r="M311" s="52" t="str">
        <f>IF(Settings!$E$9="YAHOO",VLOOKUP(B311,ADP!A1:E731,2,FALSE),IF(Settings!$E$9="ESPN",VLOOKUP(B311,ADP!A1:E731,3,FALSE),IF(Settings!$E$9="FANTRAX",VLOOKUP(B311,ADP!A1:E731,4,FALSE),VLOOKUP(B311,ADP!A1:E731,5,FALSE))))</f>
        <v>-</v>
      </c>
      <c r="N311" s="52" t="str">
        <f t="shared" si="28"/>
        <v>N/A</v>
      </c>
      <c r="O311" s="38"/>
      <c r="P311" s="39" t="str">
        <f>IF(Settings!$E$27="ON",_xlfn.XLOOKUP(B311,ADP!A2:A731,ADP!H2:H731)," ")</f>
        <v xml:space="preserve"> </v>
      </c>
      <c r="Q311" s="40">
        <f>IF(Settings!$E$12="YES",VLOOKUP(B311,'Player Data'!A1:E734,5,FALSE),82)</f>
        <v>82</v>
      </c>
      <c r="R311" s="38">
        <f>VLOOKUP(B311,'Player Data'!$A1:$AE734,6,FALSE)</f>
        <v>21.562490076345298</v>
      </c>
      <c r="S311" s="40">
        <f>VLOOKUP(B311,'Player Data'!$A1:$AE734,7,FALSE)*$Q311*IFERROR((VLOOKUP(P311,Settings!$E$28:$F$33,2,FALSE)+1),1)</f>
        <v>6.9683852111531426</v>
      </c>
      <c r="T311" s="40">
        <f>VLOOKUP(B311,'Player Data'!$A1:$AE734,8,FALSE)*$Q311*IFERROR((VLOOKUP(P311,Settings!$E$28:$F$33,2,FALSE)+1),1)</f>
        <v>21.358510993278262</v>
      </c>
      <c r="U311" s="40">
        <f>SUM(S311:T311)</f>
        <v>28.326896204431407</v>
      </c>
      <c r="V311" s="40">
        <f>VLOOKUP(B311,'Player Data'!$A1:$AE734,10,FALSE)*$Q311*IFERROR(((VLOOKUP(P311,Settings!$E$28:$F$33,2,FALSE)/2)+1),1)</f>
        <v>124.08507628805522</v>
      </c>
      <c r="W311" s="40">
        <f>VLOOKUP(B311,'Player Data'!$A1:$AE734,11,FALSE)*$Q311*IFERROR((VLOOKUP(P311,Settings!$E$28:$F$33,2,FALSE)+1),1)</f>
        <v>0.10628845248091512</v>
      </c>
      <c r="X311" s="40">
        <f>VLOOKUP(B311,'Player Data'!$A1:$AE734,12,FALSE)*$Q311*IFERROR((VLOOKUP(P311,Settings!$E$28:$F$33,2,FALSE)+1),1)</f>
        <v>1.0314532806870973</v>
      </c>
      <c r="Y311" s="40">
        <f>VLOOKUP(B311,'Player Data'!$A1:$AE734,13,FALSE)*$Q311</f>
        <v>0.48677495867597059</v>
      </c>
      <c r="Z311" s="40">
        <f>VLOOKUP(B311,'Player Data'!$A1:$AE734,14,FALSE)*$Q311</f>
        <v>0.63016280906675215</v>
      </c>
      <c r="AA311" s="40">
        <f>VLOOKUP(B311,'Player Data'!$A1:$AE734,15,FALSE)*$Q311</f>
        <v>138.85722233834505</v>
      </c>
      <c r="AB311" s="40">
        <f>VLOOKUP(B311,'Player Data'!$A1:$AE734,16,FALSE)*$Q311</f>
        <v>70.141068823554988</v>
      </c>
      <c r="AC311" s="40">
        <f>VLOOKUP(B311,'Player Data'!$A1:$AE734,17,FALSE)*$Q311*IFERROR((VLOOKUP(P311,Settings!$E$28:$F$33,2,FALSE)+1),1)</f>
        <v>-5.848108221197367</v>
      </c>
      <c r="AD311" s="40">
        <f>VLOOKUP(B311,'Player Data'!$A1:$AE734,18,FALSE)*$Q311</f>
        <v>38.385877578668492</v>
      </c>
      <c r="AE311" s="40">
        <f>VLOOKUP(B311,'Player Data'!$A1:$AE734,19,FALSE)*$Q311*IFERROR((VLOOKUP(P311,Settings!$E$28:$F$33,2,FALSE)+1),1)</f>
        <v>0.81910331615484699</v>
      </c>
      <c r="AF311" s="40">
        <f>VLOOKUP(B311,'Player Data'!$A1:$AE734,20,FALSE)*$Q311</f>
        <v>0</v>
      </c>
      <c r="AG311" s="40">
        <f>VLOOKUP(B311,'Player Data'!$A1:$AE734,21,FALSE)*$Q311</f>
        <v>0</v>
      </c>
      <c r="AH311" s="41">
        <f>VLOOKUP(B311,'Player Data'!$A1:$AE734,22,FALSE)</f>
        <v>0</v>
      </c>
      <c r="AI311" s="38"/>
      <c r="AJ311" s="42"/>
      <c r="AK311" s="40"/>
      <c r="AL311" s="40"/>
      <c r="AM311" s="40"/>
      <c r="AN311" s="40"/>
      <c r="AO311" s="40"/>
      <c r="AP311" s="40"/>
      <c r="AQ311" s="43"/>
      <c r="AR311" s="44"/>
      <c r="AS311" s="38"/>
    </row>
    <row r="312" spans="1:45" ht="21.2" customHeight="1">
      <c r="A312" s="181">
        <f t="shared" si="25"/>
        <v>311</v>
      </c>
      <c r="B312" s="8" t="s">
        <v>827</v>
      </c>
      <c r="C312" s="31" t="s">
        <v>104</v>
      </c>
      <c r="D312" s="32" t="str">
        <f>VLOOKUP(B312,'Player Data'!A1:D734,4,FALSE)</f>
        <v>G</v>
      </c>
      <c r="E312" s="50">
        <f>VLOOKUP(B312,G!A1:D75,3,FALSE)</f>
        <v>68</v>
      </c>
      <c r="F312" s="34" t="str">
        <f>VLOOKUP(B312,'Player Data'!A1:B734,2,FALSE)</f>
        <v>BUF</v>
      </c>
      <c r="G312" s="9">
        <f>VLOOKUP(B312,'Player Data'!A1:D734,3,FALSE)</f>
        <v>24</v>
      </c>
      <c r="H312" s="35">
        <f>IFERROR(VLOOKUP(B312,ADP!A1:G731,7,FALSE)/1000000,VLOOKUP(B312,ADP!A1:G731,7,FALSE))</f>
        <v>0.83750000000000002</v>
      </c>
      <c r="I312" s="36">
        <f>IF(Settings!$E$15="POINTS",(AJ312*Settings!$B$29)+(AK312*Settings!$B$21)+(AL312*Settings!$B$22)+(AN312*Settings!$B$24)+(AO312*Settings!$B$25)+(AP312*Settings!$B$27)+(AM312*Settings!$B$23),VLOOKUP(B312,'Standard Deviations'!A1:C731,3,FALSE))</f>
        <v>-2.7206743852082984</v>
      </c>
      <c r="J312" s="37">
        <f t="shared" si="26"/>
        <v>-0.22672286543402487</v>
      </c>
      <c r="K312" s="183">
        <f>VLOOKUP(B312,G!A1:F75,6,FALSE)</f>
        <v>-4.4249034363985897</v>
      </c>
      <c r="L312" s="36">
        <f t="shared" si="27"/>
        <v>-5.2834667897296592</v>
      </c>
      <c r="M312" s="38">
        <f>IF(Settings!$E$9="YAHOO",VLOOKUP(B312,ADP!A1:E731,2,FALSE),IF(Settings!$E$9="ESPN",VLOOKUP(B312,ADP!A1:E731,3,FALSE),IF(Settings!$E$9="FANTRAX",VLOOKUP(B312,ADP!A1:E731,4,FALSE),VLOOKUP(B312,ADP!A1:E731,5,FALSE))))</f>
        <v>234.4</v>
      </c>
      <c r="N312" s="38">
        <f t="shared" si="28"/>
        <v>-76.599999999999994</v>
      </c>
      <c r="O312" s="38"/>
      <c r="P312" s="39" t="str">
        <f>IF(Settings!$E$27="ON",_xlfn.XLOOKUP(B312,ADP!A2:A731,ADP!H2:H731)," ")</f>
        <v xml:space="preserve"> </v>
      </c>
      <c r="Q312" s="40"/>
      <c r="R312" s="51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1"/>
      <c r="AI312" s="38"/>
      <c r="AJ312" s="42">
        <f>VLOOKUP(B312,'Player Data'!$A1:$AE734,24,FALSE)</f>
        <v>12</v>
      </c>
      <c r="AK312" s="40">
        <f>VLOOKUP(B312,'Player Data'!$A1:$AE734,25,FALSE)*$AJ312*IFERROR((VLOOKUP(P312,Settings!$E$28:$F$33,2,FALSE)+1),1)</f>
        <v>5.3547878274571445</v>
      </c>
      <c r="AL312" s="40">
        <f>AJ312-AK312-AM312</f>
        <v>5.1452121725428555</v>
      </c>
      <c r="AM312" s="40">
        <f>VLOOKUP(B312,'Player Data'!$A1:$AE734,27,FALSE)*$AJ312</f>
        <v>1.5</v>
      </c>
      <c r="AN312" s="40">
        <f>VLOOKUP(B312,'Player Data'!$A1:$AE734,28,FALSE)*AJ312</f>
        <v>0.38979581694218157</v>
      </c>
      <c r="AO312" s="40">
        <f>VLOOKUP(B312,'Player Data'!$A1:$AE734,29,FALSE)*$AJ312*IFERROR((VLOOKUP(P312,Settings!$E$28:$F$33,2,FALSE)/4)+1,1)</f>
        <v>337.80544225015922</v>
      </c>
      <c r="AP312" s="40">
        <f>VLOOKUP(B312,'Player Data'!$A1:$AE734,31,FALSE)*$AJ312*(IFERROR(1-(VLOOKUP(P312,Settings!$E$28:$F$33,2,FALSE)/4),1))</f>
        <v>37.43199192484056</v>
      </c>
      <c r="AQ312" s="43">
        <f>1-(AP312/(AO312+AP312))</f>
        <v>0.90024451582998677</v>
      </c>
      <c r="AR312" s="44">
        <f>AP312/AJ312</f>
        <v>3.11933266040338</v>
      </c>
      <c r="AS312" s="38"/>
    </row>
    <row r="313" spans="1:45" ht="21.2" customHeight="1">
      <c r="A313" s="181">
        <f t="shared" si="25"/>
        <v>312</v>
      </c>
      <c r="B313" s="8" t="s">
        <v>378</v>
      </c>
      <c r="C313" s="31" t="s">
        <v>104</v>
      </c>
      <c r="D313" s="32" t="str">
        <f>VLOOKUP(B313,'Player Data'!A1:D734,4,FALSE)</f>
        <v>D</v>
      </c>
      <c r="E313" s="47">
        <f>VLOOKUP(B313,D!A1:C229,3,FALSE)</f>
        <v>88</v>
      </c>
      <c r="F313" s="34" t="str">
        <f>VLOOKUP(B313,'Player Data'!A1:B734,2,FALSE)</f>
        <v>TBL</v>
      </c>
      <c r="G313" s="9">
        <f>VLOOKUP(B313,'Player Data'!A1:D734,3,FALSE)</f>
        <v>25</v>
      </c>
      <c r="H313" s="35">
        <f>IFERROR(VLOOKUP(B313,ADP!A1:G731,7,FALSE)/1000000,VLOOKUP(B313,ADP!A1:G731,7,FALSE))</f>
        <v>1.125</v>
      </c>
      <c r="I313" s="36">
        <f>IF(Settings!$E$15="POINTS",((R313*Q313)*Settings!$B$12)+(S313*Settings!$B$2)+(T313*Settings!$B$3)+(U313*Settings!$B$4)+(V313*Settings!$B$5)+(X313*Settings!$B$9)+(AA313*Settings!$B$6)+(W313*Settings!$B$8)+(AB313*Settings!$B$7)+(AC313*Settings!$B$14)+(AD313*Settings!$B$15)+(AE313*Settings!$B$16)+(AF313*Settings!$B$17)+(AG313*Settings!$B$18)+(U313*Settings!$B$13)+(Y313*Settings!$B$10)+(Z313*Settings!$B$11),VLOOKUP(B313,'Standard Deviations'!A1:C731,3,FALSE))</f>
        <v>-2.4934381968305086</v>
      </c>
      <c r="J313" s="37">
        <f t="shared" si="26"/>
        <v>-3.0407782888176933E-2</v>
      </c>
      <c r="K313" s="183">
        <f>VLOOKUP(B313,D!A1:F229,6,FALSE)</f>
        <v>-4.4351787404648189</v>
      </c>
      <c r="L313" s="36">
        <f t="shared" si="27"/>
        <v>-3.9423811026353945</v>
      </c>
      <c r="M313" s="52" t="str">
        <f>IF(Settings!$E$9="YAHOO",VLOOKUP(B313,ADP!A1:E731,2,FALSE),IF(Settings!$E$9="ESPN",VLOOKUP(B313,ADP!A1:E731,3,FALSE),IF(Settings!$E$9="FANTRAX",VLOOKUP(B313,ADP!A1:E731,4,FALSE),VLOOKUP(B313,ADP!A1:E731,5,FALSE))))</f>
        <v>-</v>
      </c>
      <c r="N313" s="52" t="str">
        <f t="shared" si="28"/>
        <v>N/A</v>
      </c>
      <c r="O313" s="38"/>
      <c r="P313" s="39" t="str">
        <f>IF(Settings!$E$27="ON",_xlfn.XLOOKUP(B313,ADP!A2:A731,ADP!H2:H731)," ")</f>
        <v xml:space="preserve"> </v>
      </c>
      <c r="Q313" s="40">
        <f>IF(Settings!$E$12="YES",VLOOKUP(B313,'Player Data'!A1:E734,5,FALSE),82)</f>
        <v>82</v>
      </c>
      <c r="R313" s="38">
        <f>VLOOKUP(B313,'Player Data'!$A1:$AE734,6,FALSE)</f>
        <v>17.1333307564481</v>
      </c>
      <c r="S313" s="40">
        <f>VLOOKUP(B313,'Player Data'!$A1:$AE734,7,FALSE)*$Q313*IFERROR((VLOOKUP(P313,Settings!$E$28:$F$33,2,FALSE)+1),1)</f>
        <v>6.4938727822243667</v>
      </c>
      <c r="T313" s="40">
        <f>VLOOKUP(B313,'Player Data'!$A1:$AE734,8,FALSE)*$Q313*IFERROR((VLOOKUP(P313,Settings!$E$28:$F$33,2,FALSE)+1),1)</f>
        <v>20.264714436245136</v>
      </c>
      <c r="U313" s="40">
        <f t="shared" ref="U313:U319" si="31">SUM(S313:T313)</f>
        <v>26.758587218469501</v>
      </c>
      <c r="V313" s="40">
        <f>VLOOKUP(B313,'Player Data'!$A1:$AE734,10,FALSE)*$Q313*IFERROR(((VLOOKUP(P313,Settings!$E$28:$F$33,2,FALSE)/2)+1),1)</f>
        <v>139.04252018828529</v>
      </c>
      <c r="W313" s="40">
        <f>VLOOKUP(B313,'Player Data'!$A1:$AE734,11,FALSE)*$Q313*IFERROR((VLOOKUP(P313,Settings!$E$28:$F$33,2,FALSE)+1),1)</f>
        <v>2.4544624555822462E-2</v>
      </c>
      <c r="X313" s="40">
        <f>VLOOKUP(B313,'Player Data'!$A1:$AE734,12,FALSE)*$Q313*IFERROR((VLOOKUP(P313,Settings!$E$28:$F$33,2,FALSE)+1),1)</f>
        <v>0.15241759730590598</v>
      </c>
      <c r="Y313" s="40">
        <f>VLOOKUP(B313,'Player Data'!$A1:$AE734,13,FALSE)*$Q313</f>
        <v>6.0055995345905909E-3</v>
      </c>
      <c r="Z313" s="40">
        <f>VLOOKUP(B313,'Player Data'!$A1:$AE734,14,FALSE)*$Q313</f>
        <v>2.5041885906611709E-2</v>
      </c>
      <c r="AA313" s="40">
        <f>VLOOKUP(B313,'Player Data'!$A1:$AE734,15,FALSE)*$Q313</f>
        <v>93.449780372273111</v>
      </c>
      <c r="AB313" s="40">
        <f>VLOOKUP(B313,'Player Data'!$A1:$AE734,16,FALSE)*$Q313</f>
        <v>102.42167346710424</v>
      </c>
      <c r="AC313" s="40">
        <f>VLOOKUP(B313,'Player Data'!$A1:$AE734,17,FALSE)*$Q313*IFERROR((VLOOKUP(P313,Settings!$E$28:$F$33,2,FALSE)+1),1)</f>
        <v>0.4869176781755436</v>
      </c>
      <c r="AD313" s="40">
        <f>VLOOKUP(B313,'Player Data'!$A1:$AE734,18,FALSE)*$Q313</f>
        <v>31.287313342761426</v>
      </c>
      <c r="AE313" s="40">
        <f>VLOOKUP(B313,'Player Data'!$A1:$AE734,19,FALSE)*$Q313*IFERROR((VLOOKUP(P313,Settings!$E$28:$F$33,2,FALSE)+1),1)</f>
        <v>1.0162934493214575</v>
      </c>
      <c r="AF313" s="40">
        <f>VLOOKUP(B313,'Player Data'!$A1:$AE734,20,FALSE)*$Q313</f>
        <v>0</v>
      </c>
      <c r="AG313" s="40">
        <f>VLOOKUP(B313,'Player Data'!$A1:$AE734,21,FALSE)*$Q313</f>
        <v>0</v>
      </c>
      <c r="AH313" s="41">
        <f>VLOOKUP(B313,'Player Data'!$A1:$AE734,22,FALSE)</f>
        <v>0</v>
      </c>
      <c r="AI313" s="38"/>
      <c r="AJ313" s="42"/>
      <c r="AK313" s="40"/>
      <c r="AL313" s="40"/>
      <c r="AM313" s="40"/>
      <c r="AN313" s="40"/>
      <c r="AO313" s="40"/>
      <c r="AP313" s="40"/>
      <c r="AQ313" s="43"/>
      <c r="AR313" s="44"/>
      <c r="AS313" s="38"/>
    </row>
    <row r="314" spans="1:45" ht="21.2" customHeight="1">
      <c r="A314" s="181">
        <f t="shared" si="25"/>
        <v>313</v>
      </c>
      <c r="B314" s="8" t="s">
        <v>335</v>
      </c>
      <c r="C314" s="31" t="s">
        <v>104</v>
      </c>
      <c r="D314" s="32" t="str">
        <f>VLOOKUP(B314,'Player Data'!A1:D734,4,FALSE)</f>
        <v>LW,RW</v>
      </c>
      <c r="E314" s="45">
        <f>VLOOKUP(B314,RW!A1:F189,3,FALSE)</f>
        <v>75</v>
      </c>
      <c r="F314" s="34" t="str">
        <f>VLOOKUP(B314,'Player Data'!A1:B734,2,FALSE)</f>
        <v>VAN</v>
      </c>
      <c r="G314" s="9">
        <f>VLOOKUP(B314,'Player Data'!A1:D734,3,FALSE)</f>
        <v>27</v>
      </c>
      <c r="H314" s="35">
        <f>IFERROR(VLOOKUP(B314,ADP!A1:G731,7,FALSE)/1000000,VLOOKUP(B314,ADP!A1:G731,7,FALSE))</f>
        <v>4.95</v>
      </c>
      <c r="I314" s="36">
        <f>IF(Settings!$E$15="POINTS",((R314*Q314)*Settings!$B$12)+(S314*Settings!$B$2)+(T314*Settings!$B$3)+(U314*Settings!$B$4)+(V314*Settings!$B$5)+(X314*Settings!$B$9)+(AA314*Settings!$B$6)+(W314*Settings!$B$8)+(AB314*Settings!$B$7)+(AC314*Settings!$B$14)+(AD314*Settings!$B$15)+(AE314*Settings!$B$16)+(AF314*Settings!$B$17)+(AG314*Settings!$B$18)+(Y314*Settings!$B$10)+(Z314*Settings!$B$11),VLOOKUP(B314,'Standard Deviations'!A1:C731,3,FALSE))</f>
        <v>1.8195772606404146</v>
      </c>
      <c r="J314" s="37">
        <f t="shared" si="26"/>
        <v>2.2189966593175788E-2</v>
      </c>
      <c r="K314" s="183">
        <f>IF(Settings!$E$18="C/LW/RW",VLOOKUP(B314,RW!A1:F189,6,FALSE),VLOOKUP(B314,F!A1:F431,6,FALSE))</f>
        <v>-4.460681458370666</v>
      </c>
      <c r="L314" s="36">
        <f t="shared" si="27"/>
        <v>-0.90114776936781127</v>
      </c>
      <c r="M314" s="38">
        <f>IF(Settings!$E$9="YAHOO",VLOOKUP(B314,ADP!A1:E731,2,FALSE),IF(Settings!$E$9="ESPN",VLOOKUP(B314,ADP!A1:E731,3,FALSE),IF(Settings!$E$9="FANTRAX",VLOOKUP(B314,ADP!A1:E731,4,FALSE),VLOOKUP(B314,ADP!A1:E731,5,FALSE))))</f>
        <v>1210.5999999999999</v>
      </c>
      <c r="N314" s="38">
        <f t="shared" si="28"/>
        <v>897.59999999999991</v>
      </c>
      <c r="O314" s="38"/>
      <c r="P314" s="39" t="str">
        <f>IF(Settings!$E$27="ON",_xlfn.XLOOKUP(B314,ADP!A2:A731,ADP!H2:H731)," ")</f>
        <v xml:space="preserve"> </v>
      </c>
      <c r="Q314" s="40">
        <f>IF(Settings!$E$12="YES",VLOOKUP(B314,'Player Data'!A1:E734,5,FALSE),82)</f>
        <v>82</v>
      </c>
      <c r="R314" s="38">
        <f>VLOOKUP(B314,'Player Data'!$A1:$AE734,6,FALSE)</f>
        <v>15.157856458244</v>
      </c>
      <c r="S314" s="40">
        <f>VLOOKUP(B314,'Player Data'!$A1:$AE734,7,FALSE)*$Q314*IFERROR((VLOOKUP(P314,Settings!$E$28:$F$33,2,FALSE)+1),1)</f>
        <v>17.91285651839226</v>
      </c>
      <c r="T314" s="40">
        <f>VLOOKUP(B314,'Player Data'!$A1:$AE734,8,FALSE)*$Q314*IFERROR((VLOOKUP(P314,Settings!$E$28:$F$33,2,FALSE)+1),1)</f>
        <v>31.22807467896596</v>
      </c>
      <c r="U314" s="40">
        <f t="shared" si="31"/>
        <v>49.140931197358221</v>
      </c>
      <c r="V314" s="40">
        <f>VLOOKUP(B314,'Player Data'!$A1:$AE734,10,FALSE)*$Q314*IFERROR(((VLOOKUP(P314,Settings!$E$28:$F$33,2,FALSE)/2)+1),1)</f>
        <v>170.7986542247582</v>
      </c>
      <c r="W314" s="40">
        <f>VLOOKUP(B314,'Player Data'!$A1:$AE734,11,FALSE)*$Q314*IFERROR((VLOOKUP(P314,Settings!$E$28:$F$33,2,FALSE)+1),1)</f>
        <v>2.2834050007092759</v>
      </c>
      <c r="X314" s="40">
        <f>VLOOKUP(B314,'Player Data'!$A1:$AE734,12,FALSE)*$Q314*IFERROR((VLOOKUP(P314,Settings!$E$28:$F$33,2,FALSE)+1),1)</f>
        <v>9.1673020918549621</v>
      </c>
      <c r="Y314" s="40">
        <f>VLOOKUP(B314,'Player Data'!$A1:$AE734,13,FALSE)*$Q314</f>
        <v>5.6529432343844881E-3</v>
      </c>
      <c r="Z314" s="40">
        <f>VLOOKUP(B314,'Player Data'!$A1:$AE734,14,FALSE)*$Q314</f>
        <v>1.0691400549992508E-2</v>
      </c>
      <c r="AA314" s="40">
        <f>VLOOKUP(B314,'Player Data'!$A1:$AE734,15,FALSE)*$Q314</f>
        <v>22.140760726052935</v>
      </c>
      <c r="AB314" s="40">
        <f>VLOOKUP(B314,'Player Data'!$A1:$AE734,16,FALSE)*$Q314</f>
        <v>51.880197870341625</v>
      </c>
      <c r="AC314" s="40">
        <f>VLOOKUP(B314,'Player Data'!$A1:$AE734,17,FALSE)*$Q314*IFERROR((VLOOKUP(P314,Settings!$E$28:$F$33,2,FALSE)+1),1)</f>
        <v>1.8788076113640233</v>
      </c>
      <c r="AD314" s="40">
        <f>VLOOKUP(B314,'Player Data'!$A1:$AE734,18,FALSE)*$Q314</f>
        <v>26.76390672225849</v>
      </c>
      <c r="AE314" s="40">
        <f>VLOOKUP(B314,'Player Data'!$A1:$AE734,19,FALSE)*$Q314*IFERROR((VLOOKUP(P314,Settings!$E$28:$F$33,2,FALSE)+1),1)</f>
        <v>2.5357376805068226</v>
      </c>
      <c r="AF314" s="40">
        <f>VLOOKUP(B314,'Player Data'!$A1:$AE734,20,FALSE)*$Q314</f>
        <v>5.2291062492666871</v>
      </c>
      <c r="AG314" s="40">
        <f>VLOOKUP(B314,'Player Data'!$A1:$AE734,21,FALSE)*$Q314</f>
        <v>9.9883664447763127</v>
      </c>
      <c r="AH314" s="41">
        <f>VLOOKUP(B314,'Player Data'!$A1:$AE734,22,FALSE)</f>
        <v>0.343625144227376</v>
      </c>
      <c r="AI314" s="38"/>
      <c r="AJ314" s="42"/>
      <c r="AK314" s="40"/>
      <c r="AL314" s="40"/>
      <c r="AM314" s="40"/>
      <c r="AN314" s="40"/>
      <c r="AO314" s="40"/>
      <c r="AP314" s="40"/>
      <c r="AQ314" s="43"/>
      <c r="AR314" s="44"/>
      <c r="AS314" s="38"/>
    </row>
    <row r="315" spans="1:45" ht="21.2" customHeight="1">
      <c r="A315" s="181">
        <f t="shared" si="25"/>
        <v>314</v>
      </c>
      <c r="B315" s="8" t="s">
        <v>404</v>
      </c>
      <c r="C315" s="31" t="s">
        <v>104</v>
      </c>
      <c r="D315" s="32" t="str">
        <f>VLOOKUP(B315,'Player Data'!A1:D734,4,FALSE)</f>
        <v>C</v>
      </c>
      <c r="E315" s="33">
        <f>VLOOKUP(B315,'C'!A1:C208,3,FALSE)</f>
        <v>76</v>
      </c>
      <c r="F315" s="34" t="str">
        <f>VLOOKUP(B315,'Player Data'!A1:B734,2,FALSE)</f>
        <v>ARI</v>
      </c>
      <c r="G315" s="9">
        <f>VLOOKUP(B315,'Player Data'!A1:D734,3,FALSE)</f>
        <v>23</v>
      </c>
      <c r="H315" s="35">
        <f>IFERROR(VLOOKUP(B315,ADP!A1:G731,7,FALSE)/1000000,VLOOKUP(B315,ADP!A1:G731,7,FALSE))</f>
        <v>1.7749999999999999</v>
      </c>
      <c r="I315" s="36">
        <f>IF(Settings!$E$15="POINTS",((R315*Q315)*Settings!$B$12)+(S315*Settings!$B$2)+(T315*Settings!$B$3)+(U315*Settings!$B$4)+(V315*Settings!$B$5)+(X315*Settings!$B$9)+(AA315*Settings!$B$6)+(W315*Settings!$B$8)+(AB315*Settings!$B$7)+(AC315*Settings!$B$14)+(AD315*Settings!$B$15)+(AE315*Settings!$B$16)+(AF315*Settings!$B$17)+(AG315*Settings!$B$18)+(Y315*Settings!$B$10)+(Z315*Settings!$B$11),VLOOKUP(B315,'Standard Deviations'!A1:C731,3,FALSE))</f>
        <v>1.8735331282164676</v>
      </c>
      <c r="J315" s="37">
        <f t="shared" si="26"/>
        <v>2.2847964978249605E-2</v>
      </c>
      <c r="K315" s="183">
        <f>IF(Settings!$E$18="C/LW/RW",VLOOKUP(B315,'C'!A1:F208,6,FALSE),VLOOKUP(B315,F!A1:F431,6,FALSE))</f>
        <v>-4.463517595990135</v>
      </c>
      <c r="L315" s="36">
        <f t="shared" si="27"/>
        <v>-2.5146578005578228</v>
      </c>
      <c r="M315" s="38">
        <f>IF(Settings!$E$9="YAHOO",VLOOKUP(B315,ADP!A1:E731,2,FALSE),IF(Settings!$E$9="ESPN",VLOOKUP(B315,ADP!A1:E731,3,FALSE),IF(Settings!$E$9="FANTRAX",VLOOKUP(B315,ADP!A1:E731,4,FALSE),VLOOKUP(B315,ADP!A1:E731,5,FALSE))))</f>
        <v>202.81</v>
      </c>
      <c r="N315" s="38">
        <f t="shared" si="28"/>
        <v>-111.19</v>
      </c>
      <c r="O315" s="38"/>
      <c r="P315" s="39" t="str">
        <f>IF(Settings!$E$27="ON",_xlfn.XLOOKUP(B315,ADP!A2:A731,ADP!H2:H731)," ")</f>
        <v xml:space="preserve"> </v>
      </c>
      <c r="Q315" s="40">
        <f>IF(Settings!$E$12="YES",VLOOKUP(B315,'Player Data'!A1:E734,5,FALSE),82)</f>
        <v>82</v>
      </c>
      <c r="R315" s="38">
        <f>VLOOKUP(B315,'Player Data'!$A1:$AE734,6,FALSE)</f>
        <v>17.855118617800301</v>
      </c>
      <c r="S315" s="40">
        <f>VLOOKUP(B315,'Player Data'!$A1:$AE734,7,FALSE)*$Q315*IFERROR((VLOOKUP(P315,Settings!$E$28:$F$33,2,FALSE)+1),1)</f>
        <v>20.15187455164223</v>
      </c>
      <c r="T315" s="40">
        <f>VLOOKUP(B315,'Player Data'!$A1:$AE734,8,FALSE)*$Q315*IFERROR((VLOOKUP(P315,Settings!$E$28:$F$33,2,FALSE)+1),1)</f>
        <v>26.587834178369885</v>
      </c>
      <c r="U315" s="40">
        <f t="shared" si="31"/>
        <v>46.739708730012111</v>
      </c>
      <c r="V315" s="40">
        <f>VLOOKUP(B315,'Player Data'!$A1:$AE734,10,FALSE)*$Q315*IFERROR(((VLOOKUP(P315,Settings!$E$28:$F$33,2,FALSE)/2)+1),1)</f>
        <v>173.45823836503462</v>
      </c>
      <c r="W315" s="40">
        <f>VLOOKUP(B315,'Player Data'!$A1:$AE734,11,FALSE)*$Q315*IFERROR((VLOOKUP(P315,Settings!$E$28:$F$33,2,FALSE)+1),1)</f>
        <v>4.4676314059855606</v>
      </c>
      <c r="X315" s="40">
        <f>VLOOKUP(B315,'Player Data'!$A1:$AE734,12,FALSE)*$Q315*IFERROR((VLOOKUP(P315,Settings!$E$28:$F$33,2,FALSE)+1),1)</f>
        <v>11.536533952869414</v>
      </c>
      <c r="Y315" s="40">
        <f>VLOOKUP(B315,'Player Data'!$A1:$AE734,13,FALSE)*$Q315</f>
        <v>0.17776367083527486</v>
      </c>
      <c r="Z315" s="40">
        <f>VLOOKUP(B315,'Player Data'!$A1:$AE734,14,FALSE)*$Q315</f>
        <v>0.97074105154707124</v>
      </c>
      <c r="AA315" s="40">
        <f>VLOOKUP(B315,'Player Data'!$A1:$AE734,15,FALSE)*$Q315</f>
        <v>36.554050067598538</v>
      </c>
      <c r="AB315" s="40">
        <f>VLOOKUP(B315,'Player Data'!$A1:$AE734,16,FALSE)*$Q315</f>
        <v>92.332882757974303</v>
      </c>
      <c r="AC315" s="40">
        <f>VLOOKUP(B315,'Player Data'!$A1:$AE734,17,FALSE)*$Q315*IFERROR((VLOOKUP(P315,Settings!$E$28:$F$33,2,FALSE)+1),1)</f>
        <v>-2.7056982047951532</v>
      </c>
      <c r="AD315" s="40">
        <f>VLOOKUP(B315,'Player Data'!$A1:$AE734,18,FALSE)*$Q315</f>
        <v>37.079098403422741</v>
      </c>
      <c r="AE315" s="40">
        <f>VLOOKUP(B315,'Player Data'!$A1:$AE734,19,FALSE)*$Q315*IFERROR((VLOOKUP(P315,Settings!$E$28:$F$33,2,FALSE)+1),1)</f>
        <v>2.5430980096199498</v>
      </c>
      <c r="AF315" s="40">
        <f>VLOOKUP(B315,'Player Data'!$A1:$AE734,20,FALSE)*$Q315</f>
        <v>625.45442153861211</v>
      </c>
      <c r="AG315" s="40">
        <f>VLOOKUP(B315,'Player Data'!$A1:$AE734,21,FALSE)*$Q315</f>
        <v>625.15839185522145</v>
      </c>
      <c r="AH315" s="41">
        <f>VLOOKUP(B315,'Player Data'!$A1:$AE734,22,FALSE)</f>
        <v>0.50011835385029701</v>
      </c>
      <c r="AI315" s="38"/>
      <c r="AJ315" s="42"/>
      <c r="AK315" s="40"/>
      <c r="AL315" s="40"/>
      <c r="AM315" s="40"/>
      <c r="AN315" s="40"/>
      <c r="AO315" s="40"/>
      <c r="AP315" s="40"/>
      <c r="AQ315" s="43"/>
      <c r="AR315" s="44"/>
      <c r="AS315" s="42"/>
    </row>
    <row r="316" spans="1:45" ht="21.2" customHeight="1">
      <c r="A316" s="181">
        <f t="shared" si="25"/>
        <v>315</v>
      </c>
      <c r="B316" s="8" t="s">
        <v>354</v>
      </c>
      <c r="C316" s="31" t="s">
        <v>104</v>
      </c>
      <c r="D316" s="32" t="str">
        <f>VLOOKUP(B316,'Player Data'!A1:D734,4,FALSE)</f>
        <v>D</v>
      </c>
      <c r="E316" s="47">
        <f>VLOOKUP(B316,D!A1:C229,3,FALSE)</f>
        <v>89</v>
      </c>
      <c r="F316" s="34" t="str">
        <f>VLOOKUP(B316,'Player Data'!A1:B734,2,FALSE)</f>
        <v>MIN</v>
      </c>
      <c r="G316" s="9">
        <f>VLOOKUP(B316,'Player Data'!A1:D734,3,FALSE)</f>
        <v>30</v>
      </c>
      <c r="H316" s="35">
        <f>IFERROR(VLOOKUP(B316,ADP!A1:G731,7,FALSE)/1000000,VLOOKUP(B316,ADP!A1:G731,7,FALSE))</f>
        <v>6</v>
      </c>
      <c r="I316" s="36">
        <f>IF(Settings!$E$15="POINTS",((R316*Q316)*Settings!$B$12)+(S316*Settings!$B$2)+(T316*Settings!$B$3)+(U316*Settings!$B$4)+(V316*Settings!$B$5)+(X316*Settings!$B$9)+(AA316*Settings!$B$6)+(W316*Settings!$B$8)+(AB316*Settings!$B$7)+(AC316*Settings!$B$14)+(AD316*Settings!$B$15)+(AE316*Settings!$B$16)+(AF316*Settings!$B$17)+(AG316*Settings!$B$18)+(U316*Settings!$B$13)+(Y316*Settings!$B$10)+(Z316*Settings!$B$11),VLOOKUP(B316,'Standard Deviations'!A1:C731,3,FALSE))</f>
        <v>-2.5563201063410528</v>
      </c>
      <c r="J316" s="37">
        <f t="shared" si="26"/>
        <v>-3.1174635443183569E-2</v>
      </c>
      <c r="K316" s="183">
        <f>VLOOKUP(B316,D!A1:F229,6,FALSE)</f>
        <v>-4.498060649975363</v>
      </c>
      <c r="L316" s="36">
        <f t="shared" si="27"/>
        <v>-0.7496767749958938</v>
      </c>
      <c r="M316" s="52" t="str">
        <f>IF(Settings!$E$9="YAHOO",VLOOKUP(B316,ADP!A1:E731,2,FALSE),IF(Settings!$E$9="ESPN",VLOOKUP(B316,ADP!A1:E731,3,FALSE),IF(Settings!$E$9="FANTRAX",VLOOKUP(B316,ADP!A1:E731,4,FALSE),VLOOKUP(B316,ADP!A1:E731,5,FALSE))))</f>
        <v>-</v>
      </c>
      <c r="N316" s="52" t="str">
        <f t="shared" si="28"/>
        <v>N/A</v>
      </c>
      <c r="O316" s="38"/>
      <c r="P316" s="39" t="str">
        <f>IF(Settings!$E$27="ON",_xlfn.XLOOKUP(B316,ADP!A2:A731,ADP!H2:H731)," ")</f>
        <v xml:space="preserve"> </v>
      </c>
      <c r="Q316" s="40">
        <f>IF(Settings!$E$12="YES",VLOOKUP(B316,'Player Data'!A1:E734,5,FALSE),82)</f>
        <v>82</v>
      </c>
      <c r="R316" s="38">
        <f>VLOOKUP(B316,'Player Data'!$A1:$AE734,6,FALSE)</f>
        <v>22.577507709603701</v>
      </c>
      <c r="S316" s="40">
        <f>VLOOKUP(B316,'Player Data'!$A1:$AE734,7,FALSE)*$Q316*IFERROR((VLOOKUP(P316,Settings!$E$28:$F$33,2,FALSE)+1),1)</f>
        <v>6.3053430775997494</v>
      </c>
      <c r="T316" s="40">
        <f>VLOOKUP(B316,'Player Data'!$A1:$AE734,8,FALSE)*$Q316*IFERROR((VLOOKUP(P316,Settings!$E$28:$F$33,2,FALSE)+1),1)</f>
        <v>20.83356429801788</v>
      </c>
      <c r="U316" s="40">
        <f t="shared" si="31"/>
        <v>27.138907375617627</v>
      </c>
      <c r="V316" s="40">
        <f>VLOOKUP(B316,'Player Data'!$A1:$AE734,10,FALSE)*$Q316*IFERROR(((VLOOKUP(P316,Settings!$E$28:$F$33,2,FALSE)/2)+1),1)</f>
        <v>126.31061285189303</v>
      </c>
      <c r="W316" s="40">
        <f>VLOOKUP(B316,'Player Data'!$A1:$AE734,11,FALSE)*$Q316*IFERROR((VLOOKUP(P316,Settings!$E$28:$F$33,2,FALSE)+1),1)</f>
        <v>0.23654174912286011</v>
      </c>
      <c r="X316" s="40">
        <f>VLOOKUP(B316,'Player Data'!$A1:$AE734,12,FALSE)*$Q316*IFERROR((VLOOKUP(P316,Settings!$E$28:$F$33,2,FALSE)+1),1)</f>
        <v>1.2581859732038125</v>
      </c>
      <c r="Y316" s="40">
        <f>VLOOKUP(B316,'Player Data'!$A1:$AE734,13,FALSE)*$Q316</f>
        <v>-8.7255594946956706E-3</v>
      </c>
      <c r="Z316" s="40">
        <f>VLOOKUP(B316,'Player Data'!$A1:$AE734,14,FALSE)*$Q316</f>
        <v>1.536286486512378</v>
      </c>
      <c r="AA316" s="40">
        <f>VLOOKUP(B316,'Player Data'!$A1:$AE734,15,FALSE)*$Q316</f>
        <v>158.48009915908233</v>
      </c>
      <c r="AB316" s="40">
        <f>VLOOKUP(B316,'Player Data'!$A1:$AE734,16,FALSE)*$Q316</f>
        <v>67.501640983755962</v>
      </c>
      <c r="AC316" s="40">
        <f>VLOOKUP(B316,'Player Data'!$A1:$AE734,17,FALSE)*$Q316*IFERROR((VLOOKUP(P316,Settings!$E$28:$F$33,2,FALSE)+1),1)</f>
        <v>3.3167066460748624</v>
      </c>
      <c r="AD316" s="40">
        <f>VLOOKUP(B316,'Player Data'!$A1:$AE734,18,FALSE)*$Q316</f>
        <v>32.41883544395084</v>
      </c>
      <c r="AE316" s="40">
        <f>VLOOKUP(B316,'Player Data'!$A1:$AE734,19,FALSE)*$Q316*IFERROR((VLOOKUP(P316,Settings!$E$28:$F$33,2,FALSE)+1),1)</f>
        <v>1.0124893901171326</v>
      </c>
      <c r="AF316" s="40">
        <f>VLOOKUP(B316,'Player Data'!$A1:$AE734,20,FALSE)*$Q316</f>
        <v>0</v>
      </c>
      <c r="AG316" s="40">
        <f>VLOOKUP(B316,'Player Data'!$A1:$AE734,21,FALSE)*$Q316</f>
        <v>0</v>
      </c>
      <c r="AH316" s="41">
        <f>VLOOKUP(B316,'Player Data'!$A1:$AE734,22,FALSE)</f>
        <v>0</v>
      </c>
      <c r="AI316" s="38"/>
      <c r="AJ316" s="42"/>
      <c r="AK316" s="40"/>
      <c r="AL316" s="40"/>
      <c r="AM316" s="40"/>
      <c r="AN316" s="40"/>
      <c r="AO316" s="40"/>
      <c r="AP316" s="40"/>
      <c r="AQ316" s="43"/>
      <c r="AR316" s="44"/>
      <c r="AS316" s="38"/>
    </row>
    <row r="317" spans="1:45" ht="21.2" customHeight="1">
      <c r="A317" s="181">
        <f t="shared" si="25"/>
        <v>316</v>
      </c>
      <c r="B317" s="8" t="s">
        <v>356</v>
      </c>
      <c r="C317" s="31" t="s">
        <v>104</v>
      </c>
      <c r="D317" s="32" t="str">
        <f>VLOOKUP(B317,'Player Data'!A1:D734,4,FALSE)</f>
        <v>D</v>
      </c>
      <c r="E317" s="47">
        <f>VLOOKUP(B317,D!A1:C229,3,FALSE)</f>
        <v>90</v>
      </c>
      <c r="F317" s="34" t="str">
        <f>VLOOKUP(B317,'Player Data'!A1:B734,2,FALSE)</f>
        <v>NYI</v>
      </c>
      <c r="G317" s="9">
        <f>VLOOKUP(B317,'Player Data'!A1:D734,3,FALSE)</f>
        <v>29</v>
      </c>
      <c r="H317" s="35">
        <f>IFERROR(VLOOKUP(B317,ADP!A1:G731,7,FALSE)/1000000,VLOOKUP(B317,ADP!A1:G731,7,FALSE))</f>
        <v>5.75</v>
      </c>
      <c r="I317" s="36">
        <f>IF(Settings!$E$15="POINTS",((R317*Q317)*Settings!$B$12)+(S317*Settings!$B$2)+(T317*Settings!$B$3)+(U317*Settings!$B$4)+(V317*Settings!$B$5)+(X317*Settings!$B$9)+(AA317*Settings!$B$6)+(W317*Settings!$B$8)+(AB317*Settings!$B$7)+(AC317*Settings!$B$14)+(AD317*Settings!$B$15)+(AE317*Settings!$B$16)+(AF317*Settings!$B$17)+(AG317*Settings!$B$18)+(U317*Settings!$B$13)+(Y317*Settings!$B$10)+(Z317*Settings!$B$11),VLOOKUP(B317,'Standard Deviations'!A1:C731,3,FALSE))</f>
        <v>-2.5598520797341382</v>
      </c>
      <c r="J317" s="37">
        <f t="shared" si="26"/>
        <v>-3.1217708289440711E-2</v>
      </c>
      <c r="K317" s="183">
        <f>VLOOKUP(B317,D!A1:F229,6,FALSE)</f>
        <v>-4.5015926233684489</v>
      </c>
      <c r="L317" s="36">
        <f t="shared" si="27"/>
        <v>-0.78288567362929551</v>
      </c>
      <c r="M317" s="52" t="str">
        <f>IF(Settings!$E$9="YAHOO",VLOOKUP(B317,ADP!A1:E731,2,FALSE),IF(Settings!$E$9="ESPN",VLOOKUP(B317,ADP!A1:E731,3,FALSE),IF(Settings!$E$9="FANTRAX",VLOOKUP(B317,ADP!A1:E731,4,FALSE),VLOOKUP(B317,ADP!A1:E731,5,FALSE))))</f>
        <v>-</v>
      </c>
      <c r="N317" s="52" t="str">
        <f t="shared" si="28"/>
        <v>N/A</v>
      </c>
      <c r="O317" s="38"/>
      <c r="P317" s="39" t="str">
        <f>IF(Settings!$E$27="ON",_xlfn.XLOOKUP(B317,ADP!A2:A731,ADP!H2:H731)," ")</f>
        <v xml:space="preserve"> </v>
      </c>
      <c r="Q317" s="40">
        <f>IF(Settings!$E$12="YES",VLOOKUP(B317,'Player Data'!A1:E734,5,FALSE),82)</f>
        <v>82</v>
      </c>
      <c r="R317" s="38">
        <f>VLOOKUP(B317,'Player Data'!$A1:$AE734,6,FALSE)</f>
        <v>21.800020605478402</v>
      </c>
      <c r="S317" s="40">
        <f>VLOOKUP(B317,'Player Data'!$A1:$AE734,7,FALSE)*$Q317*IFERROR((VLOOKUP(P317,Settings!$E$28:$F$33,2,FALSE)+1),1)</f>
        <v>5.6676243909453614</v>
      </c>
      <c r="T317" s="40">
        <f>VLOOKUP(B317,'Player Data'!$A1:$AE734,8,FALSE)*$Q317*IFERROR((VLOOKUP(P317,Settings!$E$28:$F$33,2,FALSE)+1),1)</f>
        <v>22.405320156098021</v>
      </c>
      <c r="U317" s="40">
        <f t="shared" si="31"/>
        <v>28.072944547043384</v>
      </c>
      <c r="V317" s="40">
        <f>VLOOKUP(B317,'Player Data'!$A1:$AE734,10,FALSE)*$Q317*IFERROR(((VLOOKUP(P317,Settings!$E$28:$F$33,2,FALSE)/2)+1),1)</f>
        <v>126.55877066254676</v>
      </c>
      <c r="W317" s="40">
        <f>VLOOKUP(B317,'Player Data'!$A1:$AE734,11,FALSE)*$Q317*IFERROR((VLOOKUP(P317,Settings!$E$28:$F$33,2,FALSE)+1),1)</f>
        <v>3.7172860693994968E-2</v>
      </c>
      <c r="X317" s="40">
        <f>VLOOKUP(B317,'Player Data'!$A1:$AE734,12,FALSE)*$Q317*IFERROR((VLOOKUP(P317,Settings!$E$28:$F$33,2,FALSE)+1),1)</f>
        <v>0.24182758572355961</v>
      </c>
      <c r="Y317" s="40">
        <f>VLOOKUP(B317,'Player Data'!$A1:$AE734,13,FALSE)*$Q317</f>
        <v>0.21833988230900733</v>
      </c>
      <c r="Z317" s="40">
        <f>VLOOKUP(B317,'Player Data'!$A1:$AE734,14,FALSE)*$Q317</f>
        <v>1.865418302729609</v>
      </c>
      <c r="AA317" s="40">
        <f>VLOOKUP(B317,'Player Data'!$A1:$AE734,15,FALSE)*$Q317</f>
        <v>143.4129484957636</v>
      </c>
      <c r="AB317" s="40">
        <f>VLOOKUP(B317,'Player Data'!$A1:$AE734,16,FALSE)*$Q317</f>
        <v>101.94374363026672</v>
      </c>
      <c r="AC317" s="40">
        <f>VLOOKUP(B317,'Player Data'!$A1:$AE734,17,FALSE)*$Q317*IFERROR((VLOOKUP(P317,Settings!$E$28:$F$33,2,FALSE)+1),1)</f>
        <v>2.4827214006480673</v>
      </c>
      <c r="AD317" s="40">
        <f>VLOOKUP(B317,'Player Data'!$A1:$AE734,18,FALSE)*$Q317</f>
        <v>40.686772094790896</v>
      </c>
      <c r="AE317" s="40">
        <f>VLOOKUP(B317,'Player Data'!$A1:$AE734,19,FALSE)*$Q317*IFERROR((VLOOKUP(P317,Settings!$E$28:$F$33,2,FALSE)+1),1)</f>
        <v>0.87577184760903404</v>
      </c>
      <c r="AF317" s="40">
        <f>VLOOKUP(B317,'Player Data'!$A1:$AE734,20,FALSE)*$Q317</f>
        <v>0</v>
      </c>
      <c r="AG317" s="40">
        <f>VLOOKUP(B317,'Player Data'!$A1:$AE734,21,FALSE)*$Q317</f>
        <v>0</v>
      </c>
      <c r="AH317" s="41">
        <f>VLOOKUP(B317,'Player Data'!$A1:$AE734,22,FALSE)</f>
        <v>0</v>
      </c>
      <c r="AI317" s="38"/>
      <c r="AJ317" s="42"/>
      <c r="AK317" s="40"/>
      <c r="AL317" s="40"/>
      <c r="AM317" s="40"/>
      <c r="AN317" s="40"/>
      <c r="AO317" s="40"/>
      <c r="AP317" s="40"/>
      <c r="AQ317" s="43"/>
      <c r="AR317" s="44"/>
      <c r="AS317" s="38"/>
    </row>
    <row r="318" spans="1:45" ht="21.2" customHeight="1">
      <c r="A318" s="181">
        <f t="shared" si="25"/>
        <v>317</v>
      </c>
      <c r="B318" s="8" t="s">
        <v>353</v>
      </c>
      <c r="C318" s="31" t="s">
        <v>104</v>
      </c>
      <c r="D318" s="32" t="str">
        <f>VLOOKUP(B318,'Player Data'!A1:D734,4,FALSE)</f>
        <v>LW,RW</v>
      </c>
      <c r="E318" s="45">
        <f>VLOOKUP(B318,RW!A1:F189,3,FALSE)</f>
        <v>76</v>
      </c>
      <c r="F318" s="34" t="str">
        <f>VLOOKUP(B318,'Player Data'!A1:B734,2,FALSE)</f>
        <v>CBJ</v>
      </c>
      <c r="G318" s="9">
        <f>VLOOKUP(B318,'Player Data'!A1:D734,3,FALSE)</f>
        <v>23</v>
      </c>
      <c r="H318" s="35">
        <f>IFERROR(VLOOKUP(B318,ADP!A1:G731,7,FALSE)/1000000,VLOOKUP(B318,ADP!A1:G731,7,FALSE))</f>
        <v>0.92500000000000004</v>
      </c>
      <c r="I318" s="36">
        <f>IF(Settings!$E$15="POINTS",((R318*Q318)*Settings!$B$12)+(S318*Settings!$B$2)+(T318*Settings!$B$3)+(U318*Settings!$B$4)+(V318*Settings!$B$5)+(X318*Settings!$B$9)+(AA318*Settings!$B$6)+(W318*Settings!$B$8)+(AB318*Settings!$B$7)+(AC318*Settings!$B$14)+(AD318*Settings!$B$15)+(AE318*Settings!$B$16)+(AF318*Settings!$B$17)+(AG318*Settings!$B$18)+(Y318*Settings!$B$10)+(Z318*Settings!$B$11),VLOOKUP(B318,'Standard Deviations'!A1:C731,3,FALSE))</f>
        <v>1.7550229536737803</v>
      </c>
      <c r="J318" s="37">
        <f t="shared" si="26"/>
        <v>2.1402718947241224E-2</v>
      </c>
      <c r="K318" s="183">
        <f>IF(Settings!$E$18="C/LW/RW",VLOOKUP(B318,RW!A1:F189,6,FALSE),VLOOKUP(B318,F!A1:F431,6,FALSE))</f>
        <v>-4.5252357653373005</v>
      </c>
      <c r="L318" s="36">
        <f t="shared" si="27"/>
        <v>-4.8921467733376218</v>
      </c>
      <c r="M318" s="38">
        <f>IF(Settings!$E$9="YAHOO",VLOOKUP(B318,ADP!A1:E731,2,FALSE),IF(Settings!$E$9="ESPN",VLOOKUP(B318,ADP!A1:E731,3,FALSE),IF(Settings!$E$9="FANTRAX",VLOOKUP(B318,ADP!A1:E731,4,FALSE),VLOOKUP(B318,ADP!A1:E731,5,FALSE))))</f>
        <v>241.82</v>
      </c>
      <c r="N318" s="38">
        <f t="shared" si="28"/>
        <v>-75.180000000000007</v>
      </c>
      <c r="O318" s="38"/>
      <c r="P318" s="39" t="str">
        <f>IF(Settings!$E$27="ON",_xlfn.XLOOKUP(B318,ADP!A2:A731,ADP!H2:H731)," ")</f>
        <v xml:space="preserve"> </v>
      </c>
      <c r="Q318" s="40">
        <f>IF(Settings!$E$12="YES",VLOOKUP(B318,'Player Data'!A1:E734,5,FALSE),82)</f>
        <v>82</v>
      </c>
      <c r="R318" s="38">
        <f>VLOOKUP(B318,'Player Data'!$A1:$AE734,6,FALSE)</f>
        <v>16.1156868027497</v>
      </c>
      <c r="S318" s="40">
        <f>VLOOKUP(B318,'Player Data'!$A1:$AE734,7,FALSE)*$Q318*IFERROR((VLOOKUP(P318,Settings!$E$28:$F$33,2,FALSE)+1),1)</f>
        <v>27.726022842781312</v>
      </c>
      <c r="T318" s="40">
        <f>VLOOKUP(B318,'Player Data'!$A1:$AE734,8,FALSE)*$Q318*IFERROR((VLOOKUP(P318,Settings!$E$28:$F$33,2,FALSE)+1),1)</f>
        <v>14.02515573473918</v>
      </c>
      <c r="U318" s="40">
        <f t="shared" si="31"/>
        <v>41.751178577520491</v>
      </c>
      <c r="V318" s="40">
        <f>VLOOKUP(B318,'Player Data'!$A1:$AE734,10,FALSE)*$Q318*IFERROR(((VLOOKUP(P318,Settings!$E$28:$F$33,2,FALSE)/2)+1),1)</f>
        <v>180.65282013848591</v>
      </c>
      <c r="W318" s="40">
        <f>VLOOKUP(B318,'Player Data'!$A1:$AE734,11,FALSE)*$Q318*IFERROR((VLOOKUP(P318,Settings!$E$28:$F$33,2,FALSE)+1),1)</f>
        <v>9.0575270497511688</v>
      </c>
      <c r="X318" s="40">
        <f>VLOOKUP(B318,'Player Data'!$A1:$AE734,12,FALSE)*$Q318*IFERROR((VLOOKUP(P318,Settings!$E$28:$F$33,2,FALSE)+1),1)</f>
        <v>13.198774185580403</v>
      </c>
      <c r="Y318" s="40">
        <f>VLOOKUP(B318,'Player Data'!$A1:$AE734,13,FALSE)*$Q318</f>
        <v>3.6173814466883017E-2</v>
      </c>
      <c r="Z318" s="40">
        <f>VLOOKUP(B318,'Player Data'!$A1:$AE734,14,FALSE)*$Q318</f>
        <v>7.1649149552605665E-2</v>
      </c>
      <c r="AA318" s="40">
        <f>VLOOKUP(B318,'Player Data'!$A1:$AE734,15,FALSE)*$Q318</f>
        <v>50.979696534729989</v>
      </c>
      <c r="AB318" s="40">
        <f>VLOOKUP(B318,'Player Data'!$A1:$AE734,16,FALSE)*$Q318</f>
        <v>57.676915642077468</v>
      </c>
      <c r="AC318" s="40">
        <f>VLOOKUP(B318,'Player Data'!$A1:$AE734,17,FALSE)*$Q318*IFERROR((VLOOKUP(P318,Settings!$E$28:$F$33,2,FALSE)+1),1)</f>
        <v>-6.067089597449308</v>
      </c>
      <c r="AD318" s="40">
        <f>VLOOKUP(B318,'Player Data'!$A1:$AE734,18,FALSE)*$Q318</f>
        <v>26.270777152296738</v>
      </c>
      <c r="AE318" s="40">
        <f>VLOOKUP(B318,'Player Data'!$A1:$AE734,19,FALSE)*$Q318*IFERROR((VLOOKUP(P318,Settings!$E$28:$F$33,2,FALSE)+1),1)</f>
        <v>2.9710342464634381</v>
      </c>
      <c r="AF318" s="40">
        <f>VLOOKUP(B318,'Player Data'!$A1:$AE734,20,FALSE)*$Q318</f>
        <v>12.451581247766706</v>
      </c>
      <c r="AG318" s="40">
        <f>VLOOKUP(B318,'Player Data'!$A1:$AE734,21,FALSE)*$Q318</f>
        <v>9.6845631927074383</v>
      </c>
      <c r="AH318" s="41">
        <f>VLOOKUP(B318,'Player Data'!$A1:$AE734,22,FALSE)</f>
        <v>0.5625</v>
      </c>
      <c r="AI318" s="38"/>
      <c r="AJ318" s="42"/>
      <c r="AK318" s="40"/>
      <c r="AL318" s="40"/>
      <c r="AM318" s="40"/>
      <c r="AN318" s="40"/>
      <c r="AO318" s="40"/>
      <c r="AP318" s="40"/>
      <c r="AQ318" s="43"/>
      <c r="AR318" s="44"/>
      <c r="AS318" s="38"/>
    </row>
    <row r="319" spans="1:45" ht="21.2" customHeight="1">
      <c r="A319" s="181">
        <f t="shared" si="25"/>
        <v>318</v>
      </c>
      <c r="B319" s="8" t="s">
        <v>341</v>
      </c>
      <c r="C319" s="31" t="s">
        <v>104</v>
      </c>
      <c r="D319" s="32" t="str">
        <f>VLOOKUP(B319,'Player Data'!A1:D734,4,FALSE)</f>
        <v>C,LW,RW</v>
      </c>
      <c r="E319" s="45">
        <f>VLOOKUP(B319,RW!A1:F189,3,FALSE)</f>
        <v>77</v>
      </c>
      <c r="F319" s="34" t="str">
        <f>VLOOKUP(B319,'Player Data'!A1:B734,2,FALSE)</f>
        <v>VGK</v>
      </c>
      <c r="G319" s="9">
        <f>VLOOKUP(B319,'Player Data'!A1:D734,3,FALSE)</f>
        <v>27</v>
      </c>
      <c r="H319" s="35">
        <f>IFERROR(VLOOKUP(B319,ADP!A1:G731,7,FALSE)/1000000,VLOOKUP(B319,ADP!A1:G731,7,FALSE))</f>
        <v>5</v>
      </c>
      <c r="I319" s="36">
        <f>IF(Settings!$E$15="POINTS",((R319*Q319)*Settings!$B$12)+(S319*Settings!$B$2)+(T319*Settings!$B$3)+(U319*Settings!$B$4)+(V319*Settings!$B$5)+(X319*Settings!$B$9)+(AA319*Settings!$B$6)+(W319*Settings!$B$8)+(AB319*Settings!$B$7)+(AC319*Settings!$B$14)+(AD319*Settings!$B$15)+(AE319*Settings!$B$16)+(AF319*Settings!$B$17)+(AG319*Settings!$B$18)+(Y319*Settings!$B$10)+(Z319*Settings!$B$11),VLOOKUP(B319,'Standard Deviations'!A1:C731,3,FALSE))</f>
        <v>1.7549357413741777</v>
      </c>
      <c r="J319" s="37">
        <f t="shared" si="26"/>
        <v>2.1401655382611923E-2</v>
      </c>
      <c r="K319" s="183">
        <f>IF(Settings!$E$18="C/LW/RW",VLOOKUP(B319,RW!A1:F189,6,FALSE),VLOOKUP(B319,F!A1:F431,6,FALSE))</f>
        <v>-4.5253229776369031</v>
      </c>
      <c r="L319" s="36">
        <f t="shared" si="27"/>
        <v>-0.90506459552738061</v>
      </c>
      <c r="M319" s="38">
        <f>IF(Settings!$E$9="YAHOO",VLOOKUP(B319,ADP!A1:E731,2,FALSE),IF(Settings!$E$9="ESPN",VLOOKUP(B319,ADP!A1:E731,3,FALSE),IF(Settings!$E$9="FANTRAX",VLOOKUP(B319,ADP!A1:E731,4,FALSE),VLOOKUP(B319,ADP!A1:E731,5,FALSE))))</f>
        <v>161.62</v>
      </c>
      <c r="N319" s="38">
        <f t="shared" si="28"/>
        <v>-156.38</v>
      </c>
      <c r="O319" s="38"/>
      <c r="P319" s="39" t="str">
        <f>IF(Settings!$E$27="ON",_xlfn.XLOOKUP(B319,ADP!A2:A731,ADP!H2:H731)," ")</f>
        <v>+</v>
      </c>
      <c r="Q319" s="40">
        <f>IF(Settings!$E$12="YES",VLOOKUP(B319,'Player Data'!A1:E734,5,FALSE),82)</f>
        <v>82</v>
      </c>
      <c r="R319" s="38">
        <f>VLOOKUP(B319,'Player Data'!$A1:$AE734,6,FALSE)</f>
        <v>17.26152693653</v>
      </c>
      <c r="S319" s="40">
        <f>VLOOKUP(B319,'Player Data'!$A1:$AE734,7,FALSE)*$Q319*IFERROR((VLOOKUP(P319,Settings!$E$28:$F$33,2,FALSE)+1),1)</f>
        <v>21.424829661358309</v>
      </c>
      <c r="T319" s="40">
        <f>VLOOKUP(B319,'Player Data'!$A1:$AE734,8,FALSE)*$Q319*IFERROR((VLOOKUP(P319,Settings!$E$28:$F$33,2,FALSE)+1),1)</f>
        <v>33.135244886272908</v>
      </c>
      <c r="U319" s="40">
        <f t="shared" si="31"/>
        <v>54.560074547631217</v>
      </c>
      <c r="V319" s="40">
        <f>VLOOKUP(B319,'Player Data'!$A1:$AE734,10,FALSE)*$Q319*IFERROR(((VLOOKUP(P319,Settings!$E$28:$F$33,2,FALSE)/2)+1),1)</f>
        <v>131.14898115294025</v>
      </c>
      <c r="W319" s="40">
        <f>VLOOKUP(B319,'Player Data'!$A1:$AE734,11,FALSE)*$Q319*IFERROR((VLOOKUP(P319,Settings!$E$28:$F$33,2,FALSE)+1),1)</f>
        <v>3.4898776600307673</v>
      </c>
      <c r="X319" s="40">
        <f>VLOOKUP(B319,'Player Data'!$A1:$AE734,12,FALSE)*$Q319*IFERROR((VLOOKUP(P319,Settings!$E$28:$F$33,2,FALSE)+1),1)</f>
        <v>8.0373846453394311</v>
      </c>
      <c r="Y319" s="40">
        <f>VLOOKUP(B319,'Player Data'!$A1:$AE734,13,FALSE)*$Q319</f>
        <v>0.33723350534667262</v>
      </c>
      <c r="Z319" s="40">
        <f>VLOOKUP(B319,'Player Data'!$A1:$AE734,14,FALSE)*$Q319</f>
        <v>0.69211046639252038</v>
      </c>
      <c r="AA319" s="40">
        <f>VLOOKUP(B319,'Player Data'!$A1:$AE734,15,FALSE)*$Q319</f>
        <v>40.215918507500142</v>
      </c>
      <c r="AB319" s="40">
        <f>VLOOKUP(B319,'Player Data'!$A1:$AE734,16,FALSE)*$Q319</f>
        <v>164.94184167917498</v>
      </c>
      <c r="AC319" s="40">
        <f>VLOOKUP(B319,'Player Data'!$A1:$AE734,17,FALSE)*$Q319*IFERROR((VLOOKUP(P319,Settings!$E$28:$F$33,2,FALSE)+1),1)</f>
        <v>4.045901276632712</v>
      </c>
      <c r="AD319" s="40">
        <f>VLOOKUP(B319,'Player Data'!$A1:$AE734,18,FALSE)*$Q319</f>
        <v>39.25563920103999</v>
      </c>
      <c r="AE319" s="40">
        <f>VLOOKUP(B319,'Player Data'!$A1:$AE734,19,FALSE)*$Q319*IFERROR((VLOOKUP(P319,Settings!$E$28:$F$33,2,FALSE)+1),1)</f>
        <v>3.5014017379566318</v>
      </c>
      <c r="AF319" s="40">
        <f>VLOOKUP(B319,'Player Data'!$A1:$AE734,20,FALSE)*$Q319</f>
        <v>80.454963120890497</v>
      </c>
      <c r="AG319" s="40">
        <f>VLOOKUP(B319,'Player Data'!$A1:$AE734,21,FALSE)*$Q319</f>
        <v>121.74503782013763</v>
      </c>
      <c r="AH319" s="41">
        <f>VLOOKUP(B319,'Player Data'!$A1:$AE734,22,FALSE)</f>
        <v>0.39789793643153898</v>
      </c>
      <c r="AI319" s="38"/>
      <c r="AJ319" s="42"/>
      <c r="AK319" s="40"/>
      <c r="AL319" s="40"/>
      <c r="AM319" s="40"/>
      <c r="AN319" s="40"/>
      <c r="AO319" s="40"/>
      <c r="AP319" s="40"/>
      <c r="AQ319" s="43"/>
      <c r="AR319" s="44"/>
      <c r="AS319" s="38"/>
    </row>
    <row r="320" spans="1:45" ht="21.2" customHeight="1">
      <c r="A320" s="181">
        <f t="shared" si="25"/>
        <v>319</v>
      </c>
      <c r="B320" s="8" t="s">
        <v>828</v>
      </c>
      <c r="C320" s="31" t="s">
        <v>104</v>
      </c>
      <c r="D320" s="32" t="str">
        <f>VLOOKUP(B320,'Player Data'!A1:D734,4,FALSE)</f>
        <v>G</v>
      </c>
      <c r="E320" s="50">
        <f>VLOOKUP(B320,G!A1:D75,3,FALSE)</f>
        <v>69</v>
      </c>
      <c r="F320" s="34" t="str">
        <f>VLOOKUP(B320,'Player Data'!A1:B734,2,FALSE)</f>
        <v>FLA</v>
      </c>
      <c r="G320" s="9">
        <f>VLOOKUP(B320,'Player Data'!A1:D734,3,FALSE)</f>
        <v>22</v>
      </c>
      <c r="H320" s="35">
        <f>IFERROR(VLOOKUP(B320,ADP!A1:G731,7,FALSE)/1000000,VLOOKUP(B320,ADP!A1:G731,7,FALSE))</f>
        <v>0</v>
      </c>
      <c r="I320" s="36">
        <f>IF(Settings!$E$15="POINTS",(AJ320*Settings!$B$29)+(AK320*Settings!$B$21)+(AL320*Settings!$B$22)+(AN320*Settings!$B$24)+(AO320*Settings!$B$25)+(AP320*Settings!$B$27)+(AM320*Settings!$B$23),VLOOKUP(B320,'Standard Deviations'!A1:C731,3,FALSE))</f>
        <v>-2.834071883832662</v>
      </c>
      <c r="J320" s="37">
        <f t="shared" si="26"/>
        <v>-0.28340718838326617</v>
      </c>
      <c r="K320" s="183">
        <f>VLOOKUP(B320,G!A1:F75,6,FALSE)</f>
        <v>-4.5383009350229537</v>
      </c>
      <c r="L320" s="49" t="str">
        <f t="shared" si="27"/>
        <v>N/A</v>
      </c>
      <c r="M320" s="52" t="str">
        <f>IF(Settings!$E$9="YAHOO",VLOOKUP(B320,ADP!A1:E731,2,FALSE),IF(Settings!$E$9="ESPN",VLOOKUP(B320,ADP!A1:E731,3,FALSE),IF(Settings!$E$9="FANTRAX",VLOOKUP(B320,ADP!A1:E731,4,FALSE),VLOOKUP(B320,ADP!A1:E731,5,FALSE))))</f>
        <v>-</v>
      </c>
      <c r="N320" s="52" t="str">
        <f t="shared" si="28"/>
        <v>N/A</v>
      </c>
      <c r="O320" s="38"/>
      <c r="P320" s="39" t="str">
        <f>IF(Settings!$E$27="ON",_xlfn.XLOOKUP(B320,ADP!A2:A731,ADP!H2:H731)," ")</f>
        <v xml:space="preserve"> </v>
      </c>
      <c r="Q320" s="40"/>
      <c r="R320" s="51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1"/>
      <c r="AI320" s="38"/>
      <c r="AJ320" s="42">
        <f>VLOOKUP(B320,'Player Data'!$A1:$AE734,24,FALSE)</f>
        <v>10</v>
      </c>
      <c r="AK320" s="40">
        <f>VLOOKUP(B320,'Player Data'!$A1:$AE734,25,FALSE)*$AJ320*IFERROR((VLOOKUP(P320,Settings!$E$28:$F$33,2,FALSE)+1),1)</f>
        <v>5.39492371837476</v>
      </c>
      <c r="AL320" s="40">
        <f>AJ320-AK320-AM320</f>
        <v>3.35507628162524</v>
      </c>
      <c r="AM320" s="40">
        <f>VLOOKUP(B320,'Player Data'!$A1:$AE734,27,FALSE)*$AJ320</f>
        <v>1.25</v>
      </c>
      <c r="AN320" s="40">
        <f>VLOOKUP(B320,'Player Data'!$A1:$AE734,28,FALSE)*AJ320</f>
        <v>0.34702881748520598</v>
      </c>
      <c r="AO320" s="40">
        <f>VLOOKUP(B320,'Player Data'!$A1:$AE734,29,FALSE)*$AJ320*IFERROR((VLOOKUP(P320,Settings!$E$28:$F$33,2,FALSE)/4)+1,1)</f>
        <v>285.06974564345802</v>
      </c>
      <c r="AP320" s="40">
        <f>VLOOKUP(B320,'Player Data'!$A1:$AE734,31,FALSE)*$AJ320*(IFERROR(1-(VLOOKUP(P320,Settings!$E$28:$F$33,2,FALSE)/4),1))</f>
        <v>30.902764169041799</v>
      </c>
      <c r="AQ320" s="43">
        <f>1-(AP320/(AO320+AP320))</f>
        <v>0.90219793428428408</v>
      </c>
      <c r="AR320" s="44">
        <f>AP320/AJ320</f>
        <v>3.0902764169041799</v>
      </c>
      <c r="AS320" s="38"/>
    </row>
    <row r="321" spans="1:45" ht="21.2" customHeight="1">
      <c r="A321" s="181">
        <f t="shared" si="25"/>
        <v>320</v>
      </c>
      <c r="B321" s="8" t="s">
        <v>450</v>
      </c>
      <c r="C321" s="31" t="s">
        <v>104</v>
      </c>
      <c r="D321" s="32" t="str">
        <f>VLOOKUP(B321,'Player Data'!A1:D734,4,FALSE)</f>
        <v>D</v>
      </c>
      <c r="E321" s="47">
        <f>VLOOKUP(B321,D!A1:C229,3,FALSE)</f>
        <v>91</v>
      </c>
      <c r="F321" s="34" t="str">
        <f>VLOOKUP(B321,'Player Data'!A1:B734,2,FALSE)</f>
        <v>PIT</v>
      </c>
      <c r="G321" s="9">
        <f>VLOOKUP(B321,'Player Data'!A1:D734,3,FALSE)</f>
        <v>24</v>
      </c>
      <c r="H321" s="35">
        <f>IFERROR(VLOOKUP(B321,ADP!A1:G731,7,FALSE)/1000000,VLOOKUP(B321,ADP!A1:G731,7,FALSE))</f>
        <v>0.82499999999999996</v>
      </c>
      <c r="I321" s="36">
        <f>IF(Settings!$E$15="POINTS",((R321*Q321)*Settings!$B$12)+(S321*Settings!$B$2)+(T321*Settings!$B$3)+(U321*Settings!$B$4)+(V321*Settings!$B$5)+(X321*Settings!$B$9)+(AA321*Settings!$B$6)+(W321*Settings!$B$8)+(AB321*Settings!$B$7)+(AC321*Settings!$B$14)+(AD321*Settings!$B$15)+(AE321*Settings!$B$16)+(AF321*Settings!$B$17)+(AG321*Settings!$B$18)+(U321*Settings!$B$13)+(Y321*Settings!$B$10)+(Z321*Settings!$B$11),VLOOKUP(B321,'Standard Deviations'!A1:C731,3,FALSE))</f>
        <v>-2.6161713664567845</v>
      </c>
      <c r="J321" s="37">
        <f t="shared" si="26"/>
        <v>-3.1904528859229078E-2</v>
      </c>
      <c r="K321" s="183">
        <f>VLOOKUP(B321,D!A1:F229,6,FALSE)</f>
        <v>-4.5579119100910948</v>
      </c>
      <c r="L321" s="36">
        <f t="shared" si="27"/>
        <v>-5.5247417092013276</v>
      </c>
      <c r="M321" s="52" t="str">
        <f>IF(Settings!$E$9="YAHOO",VLOOKUP(B321,ADP!A1:E731,2,FALSE),IF(Settings!$E$9="ESPN",VLOOKUP(B321,ADP!A1:E731,3,FALSE),IF(Settings!$E$9="FANTRAX",VLOOKUP(B321,ADP!A1:E731,4,FALSE),VLOOKUP(B321,ADP!A1:E731,5,FALSE))))</f>
        <v>-</v>
      </c>
      <c r="N321" s="52" t="str">
        <f t="shared" si="28"/>
        <v>N/A</v>
      </c>
      <c r="O321" s="38"/>
      <c r="P321" s="39" t="str">
        <f>IF(Settings!$E$27="ON",_xlfn.XLOOKUP(B321,ADP!A2:A731,ADP!H2:H731)," ")</f>
        <v xml:space="preserve"> </v>
      </c>
      <c r="Q321" s="40">
        <f>IF(Settings!$E$12="YES",VLOOKUP(B321,'Player Data'!A1:E734,5,FALSE),82)</f>
        <v>82</v>
      </c>
      <c r="R321" s="38">
        <f>VLOOKUP(B321,'Player Data'!$A1:$AE734,6,FALSE)</f>
        <v>16.901523157703799</v>
      </c>
      <c r="S321" s="40">
        <f>VLOOKUP(B321,'Player Data'!$A1:$AE734,7,FALSE)*$Q321*IFERROR((VLOOKUP(P321,Settings!$E$28:$F$33,2,FALSE)+1),1)</f>
        <v>5.3588872579963471</v>
      </c>
      <c r="T321" s="40">
        <f>VLOOKUP(B321,'Player Data'!$A1:$AE734,8,FALSE)*$Q321*IFERROR((VLOOKUP(P321,Settings!$E$28:$F$33,2,FALSE)+1),1)</f>
        <v>18.78459487586354</v>
      </c>
      <c r="U321" s="40">
        <f t="shared" ref="U321:U331" si="32">SUM(S321:T321)</f>
        <v>24.143482133859887</v>
      </c>
      <c r="V321" s="40">
        <f>VLOOKUP(B321,'Player Data'!$A1:$AE734,10,FALSE)*$Q321*IFERROR(((VLOOKUP(P321,Settings!$E$28:$F$33,2,FALSE)/2)+1),1)</f>
        <v>130.91835542853619</v>
      </c>
      <c r="W321" s="40">
        <f>VLOOKUP(B321,'Player Data'!$A1:$AE734,11,FALSE)*$Q321*IFERROR((VLOOKUP(P321,Settings!$E$28:$F$33,2,FALSE)+1),1)</f>
        <v>0.94531706896474088</v>
      </c>
      <c r="X321" s="40">
        <f>VLOOKUP(B321,'Player Data'!$A1:$AE734,12,FALSE)*$Q321*IFERROR((VLOOKUP(P321,Settings!$E$28:$F$33,2,FALSE)+1),1)</f>
        <v>3.5967807337633375</v>
      </c>
      <c r="Y321" s="40">
        <f>VLOOKUP(B321,'Player Data'!$A1:$AE734,13,FALSE)*$Q321</f>
        <v>1.3029064856774793E-2</v>
      </c>
      <c r="Z321" s="40">
        <f>VLOOKUP(B321,'Player Data'!$A1:$AE734,14,FALSE)*$Q321</f>
        <v>5.7922814634310926E-2</v>
      </c>
      <c r="AA321" s="40">
        <f>VLOOKUP(B321,'Player Data'!$A1:$AE734,15,FALSE)*$Q321</f>
        <v>62.311650289719836</v>
      </c>
      <c r="AB321" s="40">
        <f>VLOOKUP(B321,'Player Data'!$A1:$AE734,16,FALSE)*$Q321</f>
        <v>109.42242871905501</v>
      </c>
      <c r="AC321" s="40">
        <f>VLOOKUP(B321,'Player Data'!$A1:$AE734,17,FALSE)*$Q321*IFERROR((VLOOKUP(P321,Settings!$E$28:$F$33,2,FALSE)+1),1)</f>
        <v>3.5993520285759293</v>
      </c>
      <c r="AD321" s="40">
        <f>VLOOKUP(B321,'Player Data'!$A1:$AE734,18,FALSE)*$Q321</f>
        <v>45.720577656419515</v>
      </c>
      <c r="AE321" s="40">
        <f>VLOOKUP(B321,'Player Data'!$A1:$AE734,19,FALSE)*$Q321*IFERROR((VLOOKUP(P321,Settings!$E$28:$F$33,2,FALSE)+1),1)</f>
        <v>0.86020870820866746</v>
      </c>
      <c r="AF321" s="40">
        <f>VLOOKUP(B321,'Player Data'!$A1:$AE734,20,FALSE)*$Q321</f>
        <v>0</v>
      </c>
      <c r="AG321" s="40">
        <f>VLOOKUP(B321,'Player Data'!$A1:$AE734,21,FALSE)*$Q321</f>
        <v>0</v>
      </c>
      <c r="AH321" s="41">
        <f>VLOOKUP(B321,'Player Data'!$A1:$AE734,22,FALSE)</f>
        <v>0</v>
      </c>
      <c r="AI321" s="38"/>
      <c r="AJ321" s="42"/>
      <c r="AK321" s="40"/>
      <c r="AL321" s="40"/>
      <c r="AM321" s="40"/>
      <c r="AN321" s="40"/>
      <c r="AO321" s="40"/>
      <c r="AP321" s="40"/>
      <c r="AQ321" s="43"/>
      <c r="AR321" s="44"/>
      <c r="AS321" s="42"/>
    </row>
    <row r="322" spans="1:45" ht="21.2" customHeight="1">
      <c r="A322" s="181">
        <f t="shared" ref="A322:A385" si="33">RANK(K322,K$2:K$730)</f>
        <v>321</v>
      </c>
      <c r="B322" s="8" t="s">
        <v>411</v>
      </c>
      <c r="C322" s="31" t="s">
        <v>104</v>
      </c>
      <c r="D322" s="32" t="str">
        <f>VLOOKUP(B322,'Player Data'!A1:D734,4,FALSE)</f>
        <v>LW,RW</v>
      </c>
      <c r="E322" s="45">
        <f>VLOOKUP(B322,RW!A1:F189,3,FALSE)</f>
        <v>78</v>
      </c>
      <c r="F322" s="34" t="str">
        <f>VLOOKUP(B322,'Player Data'!A1:B734,2,FALSE)</f>
        <v>WPG</v>
      </c>
      <c r="G322" s="9">
        <f>VLOOKUP(B322,'Player Data'!A1:D734,3,FALSE)</f>
        <v>21</v>
      </c>
      <c r="H322" s="35">
        <f>IFERROR(VLOOKUP(B322,ADP!A1:G731,7,FALSE)/1000000,VLOOKUP(B322,ADP!A1:G731,7,FALSE))</f>
        <v>0.84916700000000001</v>
      </c>
      <c r="I322" s="36">
        <f>IF(Settings!$E$15="POINTS",((R322*Q322)*Settings!$B$12)+(S322*Settings!$B$2)+(T322*Settings!$B$3)+(U322*Settings!$B$4)+(V322*Settings!$B$5)+(X322*Settings!$B$9)+(AA322*Settings!$B$6)+(W322*Settings!$B$8)+(AB322*Settings!$B$7)+(AC322*Settings!$B$14)+(AD322*Settings!$B$15)+(AE322*Settings!$B$16)+(AF322*Settings!$B$17)+(AG322*Settings!$B$18)+(Y322*Settings!$B$10)+(Z322*Settings!$B$11),VLOOKUP(B322,'Standard Deviations'!A1:C731,3,FALSE))</f>
        <v>1.7146893879121561</v>
      </c>
      <c r="J322" s="37">
        <f t="shared" ref="J322:J385" si="34">IF(D322="G",I322/AJ322,I322/Q322)</f>
        <v>2.0910846194050686E-2</v>
      </c>
      <c r="K322" s="183">
        <f>IF(Settings!$E$18="C/LW/RW",VLOOKUP(B322,RW!A1:F189,6,FALSE),VLOOKUP(B322,F!A1:F431,6,FALSE))</f>
        <v>-4.5655693310989243</v>
      </c>
      <c r="L322" s="36">
        <f t="shared" ref="L322:L385" si="35">IFERROR(K322/H322,"N/A")</f>
        <v>-5.3765270330793875</v>
      </c>
      <c r="M322" s="38">
        <f>IF(Settings!$E$9="YAHOO",VLOOKUP(B322,ADP!A1:E731,2,FALSE),IF(Settings!$E$9="ESPN",VLOOKUP(B322,ADP!A1:E731,3,FALSE),IF(Settings!$E$9="FANTRAX",VLOOKUP(B322,ADP!A1:E731,4,FALSE),VLOOKUP(B322,ADP!A1:E731,5,FALSE))))</f>
        <v>239.55</v>
      </c>
      <c r="N322" s="38">
        <f t="shared" ref="N322:N385" si="36">IFERROR(M322-A322,"N/A")</f>
        <v>-81.449999999999989</v>
      </c>
      <c r="O322" s="38"/>
      <c r="P322" s="39" t="str">
        <f>IF(Settings!$E$27="ON",_xlfn.XLOOKUP(B322,ADP!A2:A731,ADP!H2:H731)," ")</f>
        <v xml:space="preserve"> </v>
      </c>
      <c r="Q322" s="40">
        <f>IF(Settings!$E$12="YES",VLOOKUP(B322,'Player Data'!A1:E734,5,FALSE),82)</f>
        <v>82</v>
      </c>
      <c r="R322" s="38">
        <f>VLOOKUP(B322,'Player Data'!$A1:$AE734,6,FALSE)</f>
        <v>15.659942964647501</v>
      </c>
      <c r="S322" s="40">
        <f>VLOOKUP(B322,'Player Data'!$A1:$AE734,7,FALSE)*$Q322*IFERROR((VLOOKUP(P322,Settings!$E$28:$F$33,2,FALSE)+1),1)</f>
        <v>16.625688008262991</v>
      </c>
      <c r="T322" s="40">
        <f>VLOOKUP(B322,'Player Data'!$A1:$AE734,8,FALSE)*$Q322*IFERROR((VLOOKUP(P322,Settings!$E$28:$F$33,2,FALSE)+1),1)</f>
        <v>35.018390502148662</v>
      </c>
      <c r="U322" s="40">
        <f t="shared" si="32"/>
        <v>51.644078510411653</v>
      </c>
      <c r="V322" s="40">
        <f>VLOOKUP(B322,'Player Data'!$A1:$AE734,10,FALSE)*$Q322*IFERROR(((VLOOKUP(P322,Settings!$E$28:$F$33,2,FALSE)/2)+1),1)</f>
        <v>151.70855265095889</v>
      </c>
      <c r="W322" s="40">
        <f>VLOOKUP(B322,'Player Data'!$A1:$AE734,11,FALSE)*$Q322*IFERROR((VLOOKUP(P322,Settings!$E$28:$F$33,2,FALSE)+1),1)</f>
        <v>2.7356876815246767</v>
      </c>
      <c r="X322" s="40">
        <f>VLOOKUP(B322,'Player Data'!$A1:$AE734,12,FALSE)*$Q322*IFERROR((VLOOKUP(P322,Settings!$E$28:$F$33,2,FALSE)+1),1)</f>
        <v>8.7019693584057887</v>
      </c>
      <c r="Y322" s="40">
        <f>VLOOKUP(B322,'Player Data'!$A1:$AE734,13,FALSE)*$Q322</f>
        <v>1.3127223149781884E-3</v>
      </c>
      <c r="Z322" s="40">
        <f>VLOOKUP(B322,'Player Data'!$A1:$AE734,14,FALSE)*$Q322</f>
        <v>2.6474989342571225E-3</v>
      </c>
      <c r="AA322" s="40">
        <f>VLOOKUP(B322,'Player Data'!$A1:$AE734,15,FALSE)*$Q322</f>
        <v>33.429236485071606</v>
      </c>
      <c r="AB322" s="40">
        <f>VLOOKUP(B322,'Player Data'!$A1:$AE734,16,FALSE)*$Q322</f>
        <v>64.328071300918822</v>
      </c>
      <c r="AC322" s="40">
        <f>VLOOKUP(B322,'Player Data'!$A1:$AE734,17,FALSE)*$Q322*IFERROR((VLOOKUP(P322,Settings!$E$28:$F$33,2,FALSE)+1),1)</f>
        <v>3.0061699951823062</v>
      </c>
      <c r="AD322" s="40">
        <f>VLOOKUP(B322,'Player Data'!$A1:$AE734,18,FALSE)*$Q322</f>
        <v>25.660439198814963</v>
      </c>
      <c r="AE322" s="40">
        <f>VLOOKUP(B322,'Player Data'!$A1:$AE734,19,FALSE)*$Q322*IFERROR((VLOOKUP(P322,Settings!$E$28:$F$33,2,FALSE)+1),1)</f>
        <v>2.5936629784929783</v>
      </c>
      <c r="AF322" s="40">
        <f>VLOOKUP(B322,'Player Data'!$A1:$AE734,20,FALSE)*$Q322</f>
        <v>3.9061375532866007</v>
      </c>
      <c r="AG322" s="40">
        <f>VLOOKUP(B322,'Player Data'!$A1:$AE734,21,FALSE)*$Q322</f>
        <v>14.379261255483904</v>
      </c>
      <c r="AH322" s="41">
        <f>VLOOKUP(B322,'Player Data'!$A1:$AE734,22,FALSE)</f>
        <v>0.213620582965521</v>
      </c>
      <c r="AI322" s="38"/>
      <c r="AJ322" s="42"/>
      <c r="AK322" s="40"/>
      <c r="AL322" s="40"/>
      <c r="AM322" s="40"/>
      <c r="AN322" s="40"/>
      <c r="AO322" s="40"/>
      <c r="AP322" s="40"/>
      <c r="AQ322" s="43"/>
      <c r="AR322" s="44"/>
      <c r="AS322" s="38"/>
    </row>
    <row r="323" spans="1:45" ht="21.2" customHeight="1">
      <c r="A323" s="181">
        <f t="shared" si="33"/>
        <v>322</v>
      </c>
      <c r="B323" s="8" t="s">
        <v>385</v>
      </c>
      <c r="C323" s="31" t="s">
        <v>104</v>
      </c>
      <c r="D323" s="32" t="str">
        <f>VLOOKUP(B323,'Player Data'!A1:D734,4,FALSE)</f>
        <v>RW</v>
      </c>
      <c r="E323" s="46">
        <f>VLOOKUP(B323,RW!A1:F189,3,FALSE)</f>
        <v>79</v>
      </c>
      <c r="F323" s="34" t="str">
        <f>VLOOKUP(B323,'Player Data'!A1:B734,2,FALSE)</f>
        <v>DET</v>
      </c>
      <c r="G323" s="9">
        <f>VLOOKUP(B323,'Player Data'!A1:D734,3,FALSE)</f>
        <v>26</v>
      </c>
      <c r="H323" s="35">
        <f>IFERROR(VLOOKUP(B323,ADP!A1:G731,7,FALSE)/1000000,VLOOKUP(B323,ADP!A1:G731,7,FALSE))</f>
        <v>2</v>
      </c>
      <c r="I323" s="36">
        <f>IF(Settings!$E$15="POINTS",((R323*Q323)*Settings!$B$12)+(S323*Settings!$B$2)+(T323*Settings!$B$3)+(U323*Settings!$B$4)+(V323*Settings!$B$5)+(X323*Settings!$B$9)+(AA323*Settings!$B$6)+(W323*Settings!$B$8)+(AB323*Settings!$B$7)+(AC323*Settings!$B$14)+(AD323*Settings!$B$15)+(AE323*Settings!$B$16)+(AF323*Settings!$B$17)+(AG323*Settings!$B$18)+(Y323*Settings!$B$10)+(Z323*Settings!$B$11),VLOOKUP(B323,'Standard Deviations'!A1:C731,3,FALSE))</f>
        <v>1.6891318392193773</v>
      </c>
      <c r="J323" s="37">
        <f t="shared" si="34"/>
        <v>2.0599168770968016E-2</v>
      </c>
      <c r="K323" s="183">
        <f>IF(Settings!$E$18="C/LW/RW",VLOOKUP(B323,RW!A1:F189,6,FALSE),VLOOKUP(B323,F!A1:F431,6,FALSE))</f>
        <v>-4.5911268797917035</v>
      </c>
      <c r="L323" s="36">
        <f t="shared" si="35"/>
        <v>-2.2955634398958518</v>
      </c>
      <c r="M323" s="52" t="str">
        <f>IF(Settings!$E$9="YAHOO",VLOOKUP(B323,ADP!A1:E731,2,FALSE),IF(Settings!$E$9="ESPN",VLOOKUP(B323,ADP!A1:E731,3,FALSE),IF(Settings!$E$9="FANTRAX",VLOOKUP(B323,ADP!A1:E731,4,FALSE),VLOOKUP(B323,ADP!A1:E731,5,FALSE))))</f>
        <v>-</v>
      </c>
      <c r="N323" s="52" t="str">
        <f t="shared" si="36"/>
        <v>N/A</v>
      </c>
      <c r="O323" s="38"/>
      <c r="P323" s="39" t="str">
        <f>IF(Settings!$E$27="ON",_xlfn.XLOOKUP(B323,ADP!A2:A731,ADP!H2:H731)," ")</f>
        <v xml:space="preserve"> </v>
      </c>
      <c r="Q323" s="40">
        <f>IF(Settings!$E$12="YES",VLOOKUP(B323,'Player Data'!A1:E734,5,FALSE),82)</f>
        <v>82</v>
      </c>
      <c r="R323" s="38">
        <f>VLOOKUP(B323,'Player Data'!$A1:$AE734,6,FALSE)</f>
        <v>12.7138915523403</v>
      </c>
      <c r="S323" s="40">
        <f>VLOOKUP(B323,'Player Data'!$A1:$AE734,7,FALSE)*$Q323*IFERROR((VLOOKUP(P323,Settings!$E$28:$F$33,2,FALSE)+1),1)</f>
        <v>22.472394694474101</v>
      </c>
      <c r="T323" s="40">
        <f>VLOOKUP(B323,'Player Data'!$A1:$AE734,8,FALSE)*$Q323*IFERROR((VLOOKUP(P323,Settings!$E$28:$F$33,2,FALSE)+1),1)</f>
        <v>21.989486229705438</v>
      </c>
      <c r="U323" s="40">
        <f t="shared" si="32"/>
        <v>44.461880924179539</v>
      </c>
      <c r="V323" s="40">
        <f>VLOOKUP(B323,'Player Data'!$A1:$AE734,10,FALSE)*$Q323*IFERROR(((VLOOKUP(P323,Settings!$E$28:$F$33,2,FALSE)/2)+1),1)</f>
        <v>184.15541057600498</v>
      </c>
      <c r="W323" s="40">
        <f>VLOOKUP(B323,'Player Data'!$A1:$AE734,11,FALSE)*$Q323*IFERROR((VLOOKUP(P323,Settings!$E$28:$F$33,2,FALSE)+1),1)</f>
        <v>4.6351258166975615</v>
      </c>
      <c r="X323" s="40">
        <f>VLOOKUP(B323,'Player Data'!$A1:$AE734,12,FALSE)*$Q323*IFERROR((VLOOKUP(P323,Settings!$E$28:$F$33,2,FALSE)+1),1)</f>
        <v>10.017927020698634</v>
      </c>
      <c r="Y323" s="40">
        <f>VLOOKUP(B323,'Player Data'!$A1:$AE734,13,FALSE)*$Q323</f>
        <v>1.4142014806426734E-3</v>
      </c>
      <c r="Z323" s="40">
        <f>VLOOKUP(B323,'Player Data'!$A1:$AE734,14,FALSE)*$Q323</f>
        <v>2.7127848803236219E-3</v>
      </c>
      <c r="AA323" s="40">
        <f>VLOOKUP(B323,'Player Data'!$A1:$AE734,15,FALSE)*$Q323</f>
        <v>22.91290195514301</v>
      </c>
      <c r="AB323" s="40">
        <f>VLOOKUP(B323,'Player Data'!$A1:$AE734,16,FALSE)*$Q323</f>
        <v>59.566421201496638</v>
      </c>
      <c r="AC323" s="40">
        <f>VLOOKUP(B323,'Player Data'!$A1:$AE734,17,FALSE)*$Q323*IFERROR((VLOOKUP(P323,Settings!$E$28:$F$33,2,FALSE)+1),1)</f>
        <v>0.67273203581603003</v>
      </c>
      <c r="AD323" s="40">
        <f>VLOOKUP(B323,'Player Data'!$A1:$AE734,18,FALSE)*$Q323</f>
        <v>19.464697554446971</v>
      </c>
      <c r="AE323" s="40">
        <f>VLOOKUP(B323,'Player Data'!$A1:$AE734,19,FALSE)*$Q323*IFERROR((VLOOKUP(P323,Settings!$E$28:$F$33,2,FALSE)+1),1)</f>
        <v>2.9739036733790503</v>
      </c>
      <c r="AF323" s="40">
        <f>VLOOKUP(B323,'Player Data'!$A1:$AE734,20,FALSE)*$Q323</f>
        <v>1.9718135073711625</v>
      </c>
      <c r="AG323" s="40">
        <f>VLOOKUP(B323,'Player Data'!$A1:$AE734,21,FALSE)*$Q323</f>
        <v>5.642103875471757</v>
      </c>
      <c r="AH323" s="41">
        <f>VLOOKUP(B323,'Player Data'!$A1:$AE734,22,FALSE)</f>
        <v>0.25897490190981198</v>
      </c>
      <c r="AI323" s="38"/>
      <c r="AJ323" s="42"/>
      <c r="AK323" s="40"/>
      <c r="AL323" s="40"/>
      <c r="AM323" s="40"/>
      <c r="AN323" s="40"/>
      <c r="AO323" s="40"/>
      <c r="AP323" s="40"/>
      <c r="AQ323" s="43"/>
      <c r="AR323" s="44"/>
      <c r="AS323" s="38"/>
    </row>
    <row r="324" spans="1:45" ht="21.2" customHeight="1">
      <c r="A324" s="181">
        <f t="shared" si="33"/>
        <v>323</v>
      </c>
      <c r="B324" s="8" t="s">
        <v>541</v>
      </c>
      <c r="C324" s="31" t="s">
        <v>104</v>
      </c>
      <c r="D324" s="32" t="str">
        <f>VLOOKUP(B324,'Player Data'!A1:D734,4,FALSE)</f>
        <v>D</v>
      </c>
      <c r="E324" s="47">
        <f>VLOOKUP(B324,D!A1:C229,3,FALSE)</f>
        <v>92</v>
      </c>
      <c r="F324" s="34" t="str">
        <f>VLOOKUP(B324,'Player Data'!A1:B734,2,FALSE)</f>
        <v>CGY</v>
      </c>
      <c r="G324" s="9">
        <f>VLOOKUP(B324,'Player Data'!A1:D734,3,FALSE)</f>
        <v>26</v>
      </c>
      <c r="H324" s="35">
        <f>IFERROR(VLOOKUP(B324,ADP!A1:G731,7,FALSE)/1000000,VLOOKUP(B324,ADP!A1:G731,7,FALSE))</f>
        <v>2.5</v>
      </c>
      <c r="I324" s="36">
        <f>IF(Settings!$E$15="POINTS",((R324*Q324)*Settings!$B$12)+(S324*Settings!$B$2)+(T324*Settings!$B$3)+(U324*Settings!$B$4)+(V324*Settings!$B$5)+(X324*Settings!$B$9)+(AA324*Settings!$B$6)+(W324*Settings!$B$8)+(AB324*Settings!$B$7)+(AC324*Settings!$B$14)+(AD324*Settings!$B$15)+(AE324*Settings!$B$16)+(AF324*Settings!$B$17)+(AG324*Settings!$B$18)+(U324*Settings!$B$13)+(Y324*Settings!$B$10)+(Z324*Settings!$B$11),VLOOKUP(B324,'Standard Deviations'!A1:C731,3,FALSE))</f>
        <v>-2.6614220904772212</v>
      </c>
      <c r="J324" s="37">
        <f t="shared" si="34"/>
        <v>-3.2456366957039282E-2</v>
      </c>
      <c r="K324" s="183">
        <f>VLOOKUP(B324,D!A1:F229,6,FALSE)</f>
        <v>-4.6031626341115324</v>
      </c>
      <c r="L324" s="36">
        <f t="shared" si="35"/>
        <v>-1.8412650536446129</v>
      </c>
      <c r="M324" s="52" t="str">
        <f>IF(Settings!$E$9="YAHOO",VLOOKUP(B324,ADP!A1:E731,2,FALSE),IF(Settings!$E$9="ESPN",VLOOKUP(B324,ADP!A1:E731,3,FALSE),IF(Settings!$E$9="FANTRAX",VLOOKUP(B324,ADP!A1:E731,4,FALSE),VLOOKUP(B324,ADP!A1:E731,5,FALSE))))</f>
        <v>-</v>
      </c>
      <c r="N324" s="52" t="str">
        <f t="shared" si="36"/>
        <v>N/A</v>
      </c>
      <c r="O324" s="38"/>
      <c r="P324" s="39" t="str">
        <f>IF(Settings!$E$27="ON",_xlfn.XLOOKUP(B324,ADP!A2:A731,ADP!H2:H731)," ")</f>
        <v xml:space="preserve"> </v>
      </c>
      <c r="Q324" s="40">
        <f>IF(Settings!$E$12="YES",VLOOKUP(B324,'Player Data'!A1:E734,5,FALSE),82)</f>
        <v>82</v>
      </c>
      <c r="R324" s="38">
        <f>VLOOKUP(B324,'Player Data'!$A1:$AE734,6,FALSE)</f>
        <v>15.760745007622001</v>
      </c>
      <c r="S324" s="40">
        <f>VLOOKUP(B324,'Player Data'!$A1:$AE734,7,FALSE)*$Q324*IFERROR((VLOOKUP(P324,Settings!$E$28:$F$33,2,FALSE)+1),1)</f>
        <v>7.0208719808066586</v>
      </c>
      <c r="T324" s="40">
        <f>VLOOKUP(B324,'Player Data'!$A1:$AE734,8,FALSE)*$Q324*IFERROR((VLOOKUP(P324,Settings!$E$28:$F$33,2,FALSE)+1),1)</f>
        <v>20.042081484272362</v>
      </c>
      <c r="U324" s="40">
        <f t="shared" si="32"/>
        <v>27.062953465079019</v>
      </c>
      <c r="V324" s="40">
        <f>VLOOKUP(B324,'Player Data'!$A1:$AE734,10,FALSE)*$Q324*IFERROR(((VLOOKUP(P324,Settings!$E$28:$F$33,2,FALSE)/2)+1),1)</f>
        <v>116.20962637555263</v>
      </c>
      <c r="W324" s="40">
        <f>VLOOKUP(B324,'Player Data'!$A1:$AE734,11,FALSE)*$Q324*IFERROR((VLOOKUP(P324,Settings!$E$28:$F$33,2,FALSE)+1),1)</f>
        <v>0.45140010488567206</v>
      </c>
      <c r="X324" s="40">
        <f>VLOOKUP(B324,'Player Data'!$A1:$AE734,12,FALSE)*$Q324*IFERROR((VLOOKUP(P324,Settings!$E$28:$F$33,2,FALSE)+1),1)</f>
        <v>1.8232876815279717</v>
      </c>
      <c r="Y324" s="40">
        <f>VLOOKUP(B324,'Player Data'!$A1:$AE734,13,FALSE)*$Q324</f>
        <v>0</v>
      </c>
      <c r="Z324" s="40">
        <f>VLOOKUP(B324,'Player Data'!$A1:$AE734,14,FALSE)*$Q324</f>
        <v>0</v>
      </c>
      <c r="AA324" s="40">
        <f>VLOOKUP(B324,'Player Data'!$A1:$AE734,15,FALSE)*$Q324</f>
        <v>81.99767026103973</v>
      </c>
      <c r="AB324" s="40">
        <f>VLOOKUP(B324,'Player Data'!$A1:$AE734,16,FALSE)*$Q324</f>
        <v>70.383519452162872</v>
      </c>
      <c r="AC324" s="40">
        <f>VLOOKUP(B324,'Player Data'!$A1:$AE734,17,FALSE)*$Q324*IFERROR((VLOOKUP(P324,Settings!$E$28:$F$33,2,FALSE)+1),1)</f>
        <v>3.6759291849386928</v>
      </c>
      <c r="AD324" s="40">
        <f>VLOOKUP(B324,'Player Data'!$A1:$AE734,18,FALSE)*$Q324</f>
        <v>0</v>
      </c>
      <c r="AE324" s="40">
        <f>VLOOKUP(B324,'Player Data'!$A1:$AE734,19,FALSE)*$Q324*IFERROR((VLOOKUP(P324,Settings!$E$28:$F$33,2,FALSE)+1),1)</f>
        <v>1.1731754218924968</v>
      </c>
      <c r="AF324" s="40">
        <f>VLOOKUP(B324,'Player Data'!$A1:$AE734,20,FALSE)*$Q324</f>
        <v>0</v>
      </c>
      <c r="AG324" s="40">
        <f>VLOOKUP(B324,'Player Data'!$A1:$AE734,21,FALSE)*$Q324</f>
        <v>0</v>
      </c>
      <c r="AH324" s="41">
        <f>VLOOKUP(B324,'Player Data'!$A1:$AE734,22,FALSE)</f>
        <v>0</v>
      </c>
      <c r="AI324" s="38"/>
      <c r="AJ324" s="42"/>
      <c r="AK324" s="40"/>
      <c r="AL324" s="40"/>
      <c r="AM324" s="40"/>
      <c r="AN324" s="40"/>
      <c r="AO324" s="40"/>
      <c r="AP324" s="40"/>
      <c r="AQ324" s="43"/>
      <c r="AR324" s="44"/>
      <c r="AS324" s="38"/>
    </row>
    <row r="325" spans="1:45" ht="21.2" customHeight="1">
      <c r="A325" s="181">
        <f t="shared" si="33"/>
        <v>324</v>
      </c>
      <c r="B325" s="8" t="s">
        <v>386</v>
      </c>
      <c r="C325" s="31" t="s">
        <v>104</v>
      </c>
      <c r="D325" s="32" t="str">
        <f>VLOOKUP(B325,'Player Data'!A1:D734,4,FALSE)</f>
        <v>D</v>
      </c>
      <c r="E325" s="47">
        <f>VLOOKUP(B325,D!A1:C229,3,FALSE)</f>
        <v>93</v>
      </c>
      <c r="F325" s="34" t="str">
        <f>VLOOKUP(B325,'Player Data'!A1:B734,2,FALSE)</f>
        <v>UFA</v>
      </c>
      <c r="G325" s="9">
        <f>VLOOKUP(B325,'Player Data'!A1:D734,3,FALSE)</f>
        <v>29</v>
      </c>
      <c r="H325" s="35">
        <f>IFERROR(VLOOKUP(B325,ADP!A1:G731,7,FALSE)/1000000,VLOOKUP(B325,ADP!A1:G731,7,FALSE))</f>
        <v>5.45</v>
      </c>
      <c r="I325" s="36">
        <f>IF(Settings!$E$15="POINTS",((R325*Q325)*Settings!$B$12)+(S325*Settings!$B$2)+(T325*Settings!$B$3)+(U325*Settings!$B$4)+(V325*Settings!$B$5)+(X325*Settings!$B$9)+(AA325*Settings!$B$6)+(W325*Settings!$B$8)+(AB325*Settings!$B$7)+(AC325*Settings!$B$14)+(AD325*Settings!$B$15)+(AE325*Settings!$B$16)+(AF325*Settings!$B$17)+(AG325*Settings!$B$18)+(U325*Settings!$B$13)+(Y325*Settings!$B$10)+(Z325*Settings!$B$11),VLOOKUP(B325,'Standard Deviations'!A1:C731,3,FALSE))</f>
        <v>-2.6988792595058766</v>
      </c>
      <c r="J325" s="37">
        <f t="shared" si="34"/>
        <v>-3.2913161701291181E-2</v>
      </c>
      <c r="K325" s="183">
        <f>VLOOKUP(B325,D!A1:F229,6,FALSE)</f>
        <v>-4.6406198031401873</v>
      </c>
      <c r="L325" s="36">
        <f t="shared" si="35"/>
        <v>-0.85148987213581417</v>
      </c>
      <c r="M325" s="52" t="str">
        <f>IF(Settings!$E$9="YAHOO",VLOOKUP(B325,ADP!A1:E731,2,FALSE),IF(Settings!$E$9="ESPN",VLOOKUP(B325,ADP!A1:E731,3,FALSE),IF(Settings!$E$9="FANTRAX",VLOOKUP(B325,ADP!A1:E731,4,FALSE),VLOOKUP(B325,ADP!A1:E731,5,FALSE))))</f>
        <v>-</v>
      </c>
      <c r="N325" s="52" t="str">
        <f t="shared" si="36"/>
        <v>N/A</v>
      </c>
      <c r="O325" s="38"/>
      <c r="P325" s="39" t="str">
        <f>IF(Settings!$E$27="ON",_xlfn.XLOOKUP(B325,ADP!A2:A731,ADP!H2:H731)," ")</f>
        <v xml:space="preserve"> </v>
      </c>
      <c r="Q325" s="40">
        <f>IF(Settings!$E$12="YES",VLOOKUP(B325,'Player Data'!A1:E734,5,FALSE),82)</f>
        <v>82</v>
      </c>
      <c r="R325" s="38">
        <f>VLOOKUP(B325,'Player Data'!$A1:$AE734,6,FALSE)</f>
        <v>21.6868044566707</v>
      </c>
      <c r="S325" s="40">
        <f>VLOOKUP(B325,'Player Data'!$A1:$AE734,7,FALSE)*$Q325*IFERROR((VLOOKUP(P325,Settings!$E$28:$F$33,2,FALSE)+1),1)</f>
        <v>6.8503167784791907</v>
      </c>
      <c r="T325" s="40">
        <f>VLOOKUP(B325,'Player Data'!$A1:$AE734,8,FALSE)*$Q325*IFERROR((VLOOKUP(P325,Settings!$E$28:$F$33,2,FALSE)+1),1)</f>
        <v>18.974872323617472</v>
      </c>
      <c r="U325" s="40">
        <f t="shared" si="32"/>
        <v>25.825189102096662</v>
      </c>
      <c r="V325" s="40">
        <f>VLOOKUP(B325,'Player Data'!$A1:$AE734,10,FALSE)*$Q325*IFERROR(((VLOOKUP(P325,Settings!$E$28:$F$33,2,FALSE)/2)+1),1)</f>
        <v>122.52851653057679</v>
      </c>
      <c r="W325" s="40">
        <f>VLOOKUP(B325,'Player Data'!$A1:$AE734,11,FALSE)*$Q325*IFERROR((VLOOKUP(P325,Settings!$E$28:$F$33,2,FALSE)+1),1)</f>
        <v>0.3491258802907114</v>
      </c>
      <c r="X325" s="40">
        <f>VLOOKUP(B325,'Player Data'!$A1:$AE734,12,FALSE)*$Q325*IFERROR((VLOOKUP(P325,Settings!$E$28:$F$33,2,FALSE)+1),1)</f>
        <v>1.8719692523912079</v>
      </c>
      <c r="Y325" s="40">
        <f>VLOOKUP(B325,'Player Data'!$A1:$AE734,13,FALSE)*$Q325</f>
        <v>1.2482219174647268E-2</v>
      </c>
      <c r="Z325" s="40">
        <f>VLOOKUP(B325,'Player Data'!$A1:$AE734,14,FALSE)*$Q325</f>
        <v>8.3802281298449174E-2</v>
      </c>
      <c r="AA325" s="40">
        <f>VLOOKUP(B325,'Player Data'!$A1:$AE734,15,FALSE)*$Q325</f>
        <v>122.02260358649484</v>
      </c>
      <c r="AB325" s="40">
        <f>VLOOKUP(B325,'Player Data'!$A1:$AE734,16,FALSE)*$Q325</f>
        <v>114.84709103844693</v>
      </c>
      <c r="AC325" s="40">
        <f>VLOOKUP(B325,'Player Data'!$A1:$AE734,17,FALSE)*$Q325*IFERROR((VLOOKUP(P325,Settings!$E$28:$F$33,2,FALSE)+1),1)</f>
        <v>-3.429872195681908</v>
      </c>
      <c r="AD325" s="40">
        <f>VLOOKUP(B325,'Player Data'!$A1:$AE734,18,FALSE)*$Q325</f>
        <v>61.945944338775817</v>
      </c>
      <c r="AE325" s="40">
        <f>VLOOKUP(B325,'Player Data'!$A1:$AE734,19,FALSE)*$Q325*IFERROR((VLOOKUP(P325,Settings!$E$28:$F$33,2,FALSE)+1),1)</f>
        <v>0</v>
      </c>
      <c r="AF325" s="40">
        <f>VLOOKUP(B325,'Player Data'!$A1:$AE734,20,FALSE)*$Q325</f>
        <v>0</v>
      </c>
      <c r="AG325" s="40">
        <f>VLOOKUP(B325,'Player Data'!$A1:$AE734,21,FALSE)*$Q325</f>
        <v>0</v>
      </c>
      <c r="AH325" s="41">
        <f>VLOOKUP(B325,'Player Data'!$A1:$AE734,22,FALSE)</f>
        <v>0</v>
      </c>
      <c r="AI325" s="38"/>
      <c r="AJ325" s="42"/>
      <c r="AK325" s="40"/>
      <c r="AL325" s="40"/>
      <c r="AM325" s="40"/>
      <c r="AN325" s="40"/>
      <c r="AO325" s="40"/>
      <c r="AP325" s="40"/>
      <c r="AQ325" s="43"/>
      <c r="AR325" s="44"/>
      <c r="AS325" s="38"/>
    </row>
    <row r="326" spans="1:45" ht="21.2" customHeight="1">
      <c r="A326" s="181">
        <f t="shared" si="33"/>
        <v>325</v>
      </c>
      <c r="B326" s="8" t="s">
        <v>393</v>
      </c>
      <c r="C326" s="31" t="s">
        <v>104</v>
      </c>
      <c r="D326" s="32" t="str">
        <f>VLOOKUP(B326,'Player Data'!A1:D734,4,FALSE)</f>
        <v>D</v>
      </c>
      <c r="E326" s="47">
        <f>VLOOKUP(B326,D!A1:C229,3,FALSE)</f>
        <v>94</v>
      </c>
      <c r="F326" s="34" t="str">
        <f>VLOOKUP(B326,'Player Data'!A1:B734,2,FALSE)</f>
        <v>TOR</v>
      </c>
      <c r="G326" s="9">
        <f>VLOOKUP(B326,'Player Data'!A1:D734,3,FALSE)</f>
        <v>24</v>
      </c>
      <c r="H326" s="35">
        <f>IFERROR(VLOOKUP(B326,ADP!A1:G731,7,FALSE)/1000000,VLOOKUP(B326,ADP!A1:G731,7,FALSE))</f>
        <v>1.4</v>
      </c>
      <c r="I326" s="36">
        <f>IF(Settings!$E$15="POINTS",((R326*Q326)*Settings!$B$12)+(S326*Settings!$B$2)+(T326*Settings!$B$3)+(U326*Settings!$B$4)+(V326*Settings!$B$5)+(X326*Settings!$B$9)+(AA326*Settings!$B$6)+(W326*Settings!$B$8)+(AB326*Settings!$B$7)+(AC326*Settings!$B$14)+(AD326*Settings!$B$15)+(AE326*Settings!$B$16)+(AF326*Settings!$B$17)+(AG326*Settings!$B$18)+(U326*Settings!$B$13)+(Y326*Settings!$B$10)+(Z326*Settings!$B$11),VLOOKUP(B326,'Standard Deviations'!A1:C731,3,FALSE))</f>
        <v>-2.7204318082011154</v>
      </c>
      <c r="J326" s="37">
        <f t="shared" si="34"/>
        <v>-3.3175997660989213E-2</v>
      </c>
      <c r="K326" s="183">
        <f>VLOOKUP(B326,D!A1:F229,6,FALSE)</f>
        <v>-4.6621723518354266</v>
      </c>
      <c r="L326" s="36">
        <f t="shared" si="35"/>
        <v>-3.3301231084538765</v>
      </c>
      <c r="M326" s="52" t="str">
        <f>IF(Settings!$E$9="YAHOO",VLOOKUP(B326,ADP!A1:E731,2,FALSE),IF(Settings!$E$9="ESPN",VLOOKUP(B326,ADP!A1:E731,3,FALSE),IF(Settings!$E$9="FANTRAX",VLOOKUP(B326,ADP!A1:E731,4,FALSE),VLOOKUP(B326,ADP!A1:E731,5,FALSE))))</f>
        <v>-</v>
      </c>
      <c r="N326" s="52" t="str">
        <f t="shared" si="36"/>
        <v>N/A</v>
      </c>
      <c r="O326" s="38"/>
      <c r="P326" s="39" t="str">
        <f>IF(Settings!$E$27="ON",_xlfn.XLOOKUP(B326,ADP!A2:A731,ADP!H2:H731)," ")</f>
        <v xml:space="preserve"> </v>
      </c>
      <c r="Q326" s="40">
        <f>IF(Settings!$E$12="YES",VLOOKUP(B326,'Player Data'!A1:E734,5,FALSE),82)</f>
        <v>82</v>
      </c>
      <c r="R326" s="38">
        <f>VLOOKUP(B326,'Player Data'!$A1:$AE734,6,FALSE)</f>
        <v>18.9095921721681</v>
      </c>
      <c r="S326" s="40">
        <f>VLOOKUP(B326,'Player Data'!$A1:$AE734,7,FALSE)*$Q326*IFERROR((VLOOKUP(P326,Settings!$E$28:$F$33,2,FALSE)+1),1)</f>
        <v>7.0682615154144539</v>
      </c>
      <c r="T326" s="40">
        <f>VLOOKUP(B326,'Player Data'!$A1:$AE734,8,FALSE)*$Q326*IFERROR((VLOOKUP(P326,Settings!$E$28:$F$33,2,FALSE)+1),1)</f>
        <v>19.566325373785183</v>
      </c>
      <c r="U326" s="40">
        <f t="shared" si="32"/>
        <v>26.634586889199639</v>
      </c>
      <c r="V326" s="40">
        <f>VLOOKUP(B326,'Player Data'!$A1:$AE734,10,FALSE)*$Q326*IFERROR(((VLOOKUP(P326,Settings!$E$28:$F$33,2,FALSE)/2)+1),1)</f>
        <v>112.77080205775103</v>
      </c>
      <c r="W326" s="40">
        <f>VLOOKUP(B326,'Player Data'!$A1:$AE734,11,FALSE)*$Q326*IFERROR((VLOOKUP(P326,Settings!$E$28:$F$33,2,FALSE)+1),1)</f>
        <v>0.54038229581237007</v>
      </c>
      <c r="X326" s="40">
        <f>VLOOKUP(B326,'Player Data'!$A1:$AE734,12,FALSE)*$Q326*IFERROR((VLOOKUP(P326,Settings!$E$28:$F$33,2,FALSE)+1),1)</f>
        <v>2.2980839054567435</v>
      </c>
      <c r="Y326" s="40">
        <f>VLOOKUP(B326,'Player Data'!$A1:$AE734,13,FALSE)*$Q326</f>
        <v>0.76633046733372689</v>
      </c>
      <c r="Z326" s="40">
        <f>VLOOKUP(B326,'Player Data'!$A1:$AE734,14,FALSE)*$Q326</f>
        <v>1.6870782428617197</v>
      </c>
      <c r="AA326" s="40">
        <f>VLOOKUP(B326,'Player Data'!$A1:$AE734,15,FALSE)*$Q326</f>
        <v>116.62785887464216</v>
      </c>
      <c r="AB326" s="40">
        <f>VLOOKUP(B326,'Player Data'!$A1:$AE734,16,FALSE)*$Q326</f>
        <v>135.18616188056725</v>
      </c>
      <c r="AC326" s="40">
        <f>VLOOKUP(B326,'Player Data'!$A1:$AE734,17,FALSE)*$Q326*IFERROR((VLOOKUP(P326,Settings!$E$28:$F$33,2,FALSE)+1),1)</f>
        <v>7.6016483874377574</v>
      </c>
      <c r="AD326" s="40">
        <f>VLOOKUP(B326,'Player Data'!$A1:$AE734,18,FALSE)*$Q326</f>
        <v>34.365037167385886</v>
      </c>
      <c r="AE326" s="40">
        <f>VLOOKUP(B326,'Player Data'!$A1:$AE734,19,FALSE)*$Q326*IFERROR((VLOOKUP(P326,Settings!$E$28:$F$33,2,FALSE)+1),1)</f>
        <v>1.1355143337359022</v>
      </c>
      <c r="AF326" s="40">
        <f>VLOOKUP(B326,'Player Data'!$A1:$AE734,20,FALSE)*$Q326</f>
        <v>0</v>
      </c>
      <c r="AG326" s="40">
        <f>VLOOKUP(B326,'Player Data'!$A1:$AE734,21,FALSE)*$Q326</f>
        <v>0</v>
      </c>
      <c r="AH326" s="41">
        <f>VLOOKUP(B326,'Player Data'!$A1:$AE734,22,FALSE)</f>
        <v>0</v>
      </c>
      <c r="AI326" s="38"/>
      <c r="AJ326" s="42"/>
      <c r="AK326" s="40"/>
      <c r="AL326" s="40"/>
      <c r="AM326" s="40"/>
      <c r="AN326" s="40"/>
      <c r="AO326" s="40"/>
      <c r="AP326" s="40"/>
      <c r="AQ326" s="43"/>
      <c r="AR326" s="44"/>
      <c r="AS326" s="38"/>
    </row>
    <row r="327" spans="1:45" ht="21.2" customHeight="1">
      <c r="A327" s="181">
        <f t="shared" si="33"/>
        <v>326</v>
      </c>
      <c r="B327" s="8" t="s">
        <v>401</v>
      </c>
      <c r="C327" s="31" t="s">
        <v>104</v>
      </c>
      <c r="D327" s="32" t="str">
        <f>VLOOKUP(B327,'Player Data'!A1:D734,4,FALSE)</f>
        <v>RW</v>
      </c>
      <c r="E327" s="46">
        <f>VLOOKUP(B327,RW!A1:F189,3,FALSE)</f>
        <v>80</v>
      </c>
      <c r="F327" s="34" t="str">
        <f>VLOOKUP(B327,'Player Data'!A1:B734,2,FALSE)</f>
        <v>WSH</v>
      </c>
      <c r="G327" s="9">
        <f>VLOOKUP(B327,'Player Data'!A1:D734,3,FALSE)</f>
        <v>36</v>
      </c>
      <c r="H327" s="35">
        <f>IFERROR(VLOOKUP(B327,ADP!A1:G731,7,FALSE)/1000000,VLOOKUP(B327,ADP!A1:G731,7,FALSE))</f>
        <v>5.75</v>
      </c>
      <c r="I327" s="36">
        <f>IF(Settings!$E$15="POINTS",((R327*Q327)*Settings!$B$12)+(S327*Settings!$B$2)+(T327*Settings!$B$3)+(U327*Settings!$B$4)+(V327*Settings!$B$5)+(X327*Settings!$B$9)+(AA327*Settings!$B$6)+(W327*Settings!$B$8)+(AB327*Settings!$B$7)+(AC327*Settings!$B$14)+(AD327*Settings!$B$15)+(AE327*Settings!$B$16)+(AF327*Settings!$B$17)+(AG327*Settings!$B$18)+(Y327*Settings!$B$10)+(Z327*Settings!$B$11),VLOOKUP(B327,'Standard Deviations'!A1:C731,3,FALSE))</f>
        <v>1.573525419067165</v>
      </c>
      <c r="J327" s="37">
        <f t="shared" si="34"/>
        <v>1.9189334378867866E-2</v>
      </c>
      <c r="K327" s="183">
        <f>IF(Settings!$E$18="C/LW/RW",VLOOKUP(B327,RW!A1:F189,6,FALSE),VLOOKUP(B327,F!A1:F431,6,FALSE))</f>
        <v>-4.7067332999439158</v>
      </c>
      <c r="L327" s="36">
        <f t="shared" si="35"/>
        <v>-0.81856231303372451</v>
      </c>
      <c r="M327" s="38">
        <f>IF(Settings!$E$9="YAHOO",VLOOKUP(B327,ADP!A1:E731,2,FALSE),IF(Settings!$E$9="ESPN",VLOOKUP(B327,ADP!A1:E731,3,FALSE),IF(Settings!$E$9="FANTRAX",VLOOKUP(B327,ADP!A1:E731,4,FALSE),VLOOKUP(B327,ADP!A1:E731,5,FALSE))))</f>
        <v>241.34</v>
      </c>
      <c r="N327" s="38">
        <f t="shared" si="36"/>
        <v>-84.66</v>
      </c>
      <c r="O327" s="38"/>
      <c r="P327" s="39" t="str">
        <f>IF(Settings!$E$27="ON",_xlfn.XLOOKUP(B327,ADP!A2:A731,ADP!H2:H731)," ")</f>
        <v xml:space="preserve"> </v>
      </c>
      <c r="Q327" s="40">
        <f>IF(Settings!$E$12="YES",VLOOKUP(B327,'Player Data'!A1:E734,5,FALSE),82)</f>
        <v>82</v>
      </c>
      <c r="R327" s="38">
        <f>VLOOKUP(B327,'Player Data'!$A1:$AE734,6,FALSE)</f>
        <v>16.587066733611501</v>
      </c>
      <c r="S327" s="40">
        <f>VLOOKUP(B327,'Player Data'!$A1:$AE734,7,FALSE)*$Q327*IFERROR((VLOOKUP(P327,Settings!$E$28:$F$33,2,FALSE)+1),1)</f>
        <v>23.288138722744367</v>
      </c>
      <c r="T327" s="40">
        <f>VLOOKUP(B327,'Player Data'!$A1:$AE734,8,FALSE)*$Q327*IFERROR((VLOOKUP(P327,Settings!$E$28:$F$33,2,FALSE)+1),1)</f>
        <v>23.404461496593317</v>
      </c>
      <c r="U327" s="40">
        <f t="shared" si="32"/>
        <v>46.692600219337685</v>
      </c>
      <c r="V327" s="40">
        <f>VLOOKUP(B327,'Player Data'!$A1:$AE734,10,FALSE)*$Q327*IFERROR(((VLOOKUP(P327,Settings!$E$28:$F$33,2,FALSE)/2)+1),1)</f>
        <v>149.95537952416603</v>
      </c>
      <c r="W327" s="40">
        <f>VLOOKUP(B327,'Player Data'!$A1:$AE734,11,FALSE)*$Q327*IFERROR((VLOOKUP(P327,Settings!$E$28:$F$33,2,FALSE)+1),1)</f>
        <v>8.5196589872104695</v>
      </c>
      <c r="X327" s="40">
        <f>VLOOKUP(B327,'Player Data'!$A1:$AE734,12,FALSE)*$Q327*IFERROR((VLOOKUP(P327,Settings!$E$28:$F$33,2,FALSE)+1),1)</f>
        <v>11.80530975296506</v>
      </c>
      <c r="Y327" s="40">
        <f>VLOOKUP(B327,'Player Data'!$A1:$AE734,13,FALSE)*$Q327</f>
        <v>1.4503129751920134E-2</v>
      </c>
      <c r="Z327" s="40">
        <f>VLOOKUP(B327,'Player Data'!$A1:$AE734,14,FALSE)*$Q327</f>
        <v>8.5706388720765525E-2</v>
      </c>
      <c r="AA327" s="40">
        <f>VLOOKUP(B327,'Player Data'!$A1:$AE734,15,FALSE)*$Q327</f>
        <v>46.332732896593193</v>
      </c>
      <c r="AB327" s="40">
        <f>VLOOKUP(B327,'Player Data'!$A1:$AE734,16,FALSE)*$Q327</f>
        <v>149.25842456843307</v>
      </c>
      <c r="AC327" s="40">
        <f>VLOOKUP(B327,'Player Data'!$A1:$AE734,17,FALSE)*$Q327*IFERROR((VLOOKUP(P327,Settings!$E$28:$F$33,2,FALSE)+1),1)</f>
        <v>-4.3332048275463704</v>
      </c>
      <c r="AD327" s="40">
        <f>VLOOKUP(B327,'Player Data'!$A1:$AE734,18,FALSE)*$Q327</f>
        <v>44.600326031148334</v>
      </c>
      <c r="AE327" s="40">
        <f>VLOOKUP(B327,'Player Data'!$A1:$AE734,19,FALSE)*$Q327*IFERROR((VLOOKUP(P327,Settings!$E$28:$F$33,2,FALSE)+1),1)</f>
        <v>2.8645781530070482</v>
      </c>
      <c r="AF327" s="40">
        <f>VLOOKUP(B327,'Player Data'!$A1:$AE734,20,FALSE)*$Q327</f>
        <v>128.34991695268087</v>
      </c>
      <c r="AG327" s="40">
        <f>VLOOKUP(B327,'Player Data'!$A1:$AE734,21,FALSE)*$Q327</f>
        <v>153.4031657666722</v>
      </c>
      <c r="AH327" s="41">
        <f>VLOOKUP(B327,'Player Data'!$A1:$AE734,22,FALSE)</f>
        <v>0.45554041756670799</v>
      </c>
      <c r="AI327" s="38"/>
      <c r="AJ327" s="42"/>
      <c r="AK327" s="40"/>
      <c r="AL327" s="40"/>
      <c r="AM327" s="40"/>
      <c r="AN327" s="40"/>
      <c r="AO327" s="40"/>
      <c r="AP327" s="40"/>
      <c r="AQ327" s="43"/>
      <c r="AR327" s="44"/>
      <c r="AS327" s="38"/>
    </row>
    <row r="328" spans="1:45" ht="21.2" customHeight="1">
      <c r="A328" s="181">
        <f t="shared" si="33"/>
        <v>327</v>
      </c>
      <c r="B328" s="8" t="s">
        <v>413</v>
      </c>
      <c r="C328" s="31" t="s">
        <v>104</v>
      </c>
      <c r="D328" s="32" t="str">
        <f>VLOOKUP(B328,'Player Data'!A1:D734,4,FALSE)</f>
        <v>C</v>
      </c>
      <c r="E328" s="33">
        <f>VLOOKUP(B328,'C'!A1:C208,3,FALSE)</f>
        <v>79</v>
      </c>
      <c r="F328" s="34" t="str">
        <f>VLOOKUP(B328,'Player Data'!A1:B734,2,FALSE)</f>
        <v>STL</v>
      </c>
      <c r="G328" s="9">
        <f>VLOOKUP(B328,'Player Data'!A1:D734,3,FALSE)</f>
        <v>31</v>
      </c>
      <c r="H328" s="35">
        <f>IFERROR(VLOOKUP(B328,ADP!A1:G731,7,FALSE)/1000000,VLOOKUP(B328,ADP!A1:G731,7,FALSE))</f>
        <v>3.5714290000000002</v>
      </c>
      <c r="I328" s="36">
        <f>IF(Settings!$E$15="POINTS",((R328*Q328)*Settings!$B$12)+(S328*Settings!$B$2)+(T328*Settings!$B$3)+(U328*Settings!$B$4)+(V328*Settings!$B$5)+(X328*Settings!$B$9)+(AA328*Settings!$B$6)+(W328*Settings!$B$8)+(AB328*Settings!$B$7)+(AC328*Settings!$B$14)+(AD328*Settings!$B$15)+(AE328*Settings!$B$16)+(AF328*Settings!$B$17)+(AG328*Settings!$B$18)+(Y328*Settings!$B$10)+(Z328*Settings!$B$11),VLOOKUP(B328,'Standard Deviations'!A1:C731,3,FALSE))</f>
        <v>1.628679847574904</v>
      </c>
      <c r="J328" s="37">
        <f t="shared" si="34"/>
        <v>1.986194936066956E-2</v>
      </c>
      <c r="K328" s="183">
        <f>IF(Settings!$E$18="C/LW/RW",VLOOKUP(B328,'C'!A1:F208,6,FALSE),VLOOKUP(B328,F!A1:F431,6,FALSE))</f>
        <v>-4.7083708766316992</v>
      </c>
      <c r="L328" s="36">
        <f t="shared" si="35"/>
        <v>-1.3183436872556333</v>
      </c>
      <c r="M328" s="38">
        <f>IF(Settings!$E$9="YAHOO",VLOOKUP(B328,ADP!A1:E731,2,FALSE),IF(Settings!$E$9="ESPN",VLOOKUP(B328,ADP!A1:E731,3,FALSE),IF(Settings!$E$9="FANTRAX",VLOOKUP(B328,ADP!A1:E731,4,FALSE),VLOOKUP(B328,ADP!A1:E731,5,FALSE))))</f>
        <v>220.12</v>
      </c>
      <c r="N328" s="38">
        <f t="shared" si="36"/>
        <v>-106.88</v>
      </c>
      <c r="O328" s="38"/>
      <c r="P328" s="39" t="str">
        <f>IF(Settings!$E$27="ON",_xlfn.XLOOKUP(B328,ADP!A2:A731,ADP!H2:H731)," ")</f>
        <v xml:space="preserve"> </v>
      </c>
      <c r="Q328" s="40">
        <f>IF(Settings!$E$12="YES",VLOOKUP(B328,'Player Data'!A1:E734,5,FALSE),82)</f>
        <v>82</v>
      </c>
      <c r="R328" s="38">
        <f>VLOOKUP(B328,'Player Data'!$A1:$AE734,6,FALSE)</f>
        <v>15.7061840258178</v>
      </c>
      <c r="S328" s="40">
        <f>VLOOKUP(B328,'Player Data'!$A1:$AE734,7,FALSE)*$Q328*IFERROR((VLOOKUP(P328,Settings!$E$28:$F$33,2,FALSE)+1),1)</f>
        <v>15.176715256822817</v>
      </c>
      <c r="T328" s="40">
        <f>VLOOKUP(B328,'Player Data'!$A1:$AE734,8,FALSE)*$Q328*IFERROR((VLOOKUP(P328,Settings!$E$28:$F$33,2,FALSE)+1),1)</f>
        <v>29.494050276765183</v>
      </c>
      <c r="U328" s="40">
        <f t="shared" si="32"/>
        <v>44.670765533587996</v>
      </c>
      <c r="V328" s="40">
        <f>VLOOKUP(B328,'Player Data'!$A1:$AE734,10,FALSE)*$Q328*IFERROR(((VLOOKUP(P328,Settings!$E$28:$F$33,2,FALSE)/2)+1),1)</f>
        <v>185.26263906410873</v>
      </c>
      <c r="W328" s="40">
        <f>VLOOKUP(B328,'Player Data'!$A1:$AE734,11,FALSE)*$Q328*IFERROR((VLOOKUP(P328,Settings!$E$28:$F$33,2,FALSE)+1),1)</f>
        <v>3.8812563385969221</v>
      </c>
      <c r="X328" s="40">
        <f>VLOOKUP(B328,'Player Data'!$A1:$AE734,12,FALSE)*$Q328*IFERROR((VLOOKUP(P328,Settings!$E$28:$F$33,2,FALSE)+1),1)</f>
        <v>10.67990155546503</v>
      </c>
      <c r="Y328" s="40">
        <f>VLOOKUP(B328,'Player Data'!$A1:$AE734,13,FALSE)*$Q328</f>
        <v>1.4625170665608263E-2</v>
      </c>
      <c r="Z328" s="40">
        <f>VLOOKUP(B328,'Player Data'!$A1:$AE734,14,FALSE)*$Q328</f>
        <v>9.3225476019571943E-2</v>
      </c>
      <c r="AA328" s="40">
        <f>VLOOKUP(B328,'Player Data'!$A1:$AE734,15,FALSE)*$Q328</f>
        <v>22.297895291270329</v>
      </c>
      <c r="AB328" s="40">
        <f>VLOOKUP(B328,'Player Data'!$A1:$AE734,16,FALSE)*$Q328</f>
        <v>56.371398024871198</v>
      </c>
      <c r="AC328" s="40">
        <f>VLOOKUP(B328,'Player Data'!$A1:$AE734,17,FALSE)*$Q328*IFERROR((VLOOKUP(P328,Settings!$E$28:$F$33,2,FALSE)+1),1)</f>
        <v>-4.2575681299741035</v>
      </c>
      <c r="AD328" s="40">
        <f>VLOOKUP(B328,'Player Data'!$A1:$AE734,18,FALSE)*$Q328</f>
        <v>25.021052502305114</v>
      </c>
      <c r="AE328" s="40">
        <f>VLOOKUP(B328,'Player Data'!$A1:$AE734,19,FALSE)*$Q328*IFERROR((VLOOKUP(P328,Settings!$E$28:$F$33,2,FALSE)+1),1)</f>
        <v>1.7464260822902729</v>
      </c>
      <c r="AF328" s="40">
        <f>VLOOKUP(B328,'Player Data'!$A1:$AE734,20,FALSE)*$Q328</f>
        <v>306.50143306083692</v>
      </c>
      <c r="AG328" s="40">
        <f>VLOOKUP(B328,'Player Data'!$A1:$AE734,21,FALSE)*$Q328</f>
        <v>337.71660983504393</v>
      </c>
      <c r="AH328" s="41">
        <f>VLOOKUP(B328,'Player Data'!$A1:$AE734,22,FALSE)</f>
        <v>0.475772817046625</v>
      </c>
      <c r="AI328" s="38"/>
      <c r="AJ328" s="42"/>
      <c r="AK328" s="40"/>
      <c r="AL328" s="40"/>
      <c r="AM328" s="40"/>
      <c r="AN328" s="40"/>
      <c r="AO328" s="40"/>
      <c r="AP328" s="40"/>
      <c r="AQ328" s="43"/>
      <c r="AR328" s="44"/>
      <c r="AS328" s="38"/>
    </row>
    <row r="329" spans="1:45" ht="21.2" customHeight="1">
      <c r="A329" s="181">
        <f t="shared" si="33"/>
        <v>328</v>
      </c>
      <c r="B329" s="8" t="s">
        <v>426</v>
      </c>
      <c r="C329" s="31" t="s">
        <v>104</v>
      </c>
      <c r="D329" s="32" t="str">
        <f>VLOOKUP(B329,'Player Data'!A1:D734,4,FALSE)</f>
        <v>D</v>
      </c>
      <c r="E329" s="47">
        <f>VLOOKUP(B329,D!A1:C229,3,FALSE)</f>
        <v>95</v>
      </c>
      <c r="F329" s="34" t="str">
        <f>VLOOKUP(B329,'Player Data'!A1:B734,2,FALSE)</f>
        <v>CBJ</v>
      </c>
      <c r="G329" s="9">
        <f>VLOOKUP(B329,'Player Data'!A1:D734,3,FALSE)</f>
        <v>19</v>
      </c>
      <c r="H329" s="35">
        <f>IFERROR(VLOOKUP(B329,ADP!A1:G731,7,FALSE)/1000000,VLOOKUP(B329,ADP!A1:G731,7,FALSE))</f>
        <v>0</v>
      </c>
      <c r="I329" s="36">
        <f>IF(Settings!$E$15="POINTS",((R329*Q329)*Settings!$B$12)+(S329*Settings!$B$2)+(T329*Settings!$B$3)+(U329*Settings!$B$4)+(V329*Settings!$B$5)+(X329*Settings!$B$9)+(AA329*Settings!$B$6)+(W329*Settings!$B$8)+(AB329*Settings!$B$7)+(AC329*Settings!$B$14)+(AD329*Settings!$B$15)+(AE329*Settings!$B$16)+(AF329*Settings!$B$17)+(AG329*Settings!$B$18)+(U329*Settings!$B$13)+(Y329*Settings!$B$10)+(Z329*Settings!$B$11),VLOOKUP(B329,'Standard Deviations'!A1:C731,3,FALSE))</f>
        <v>-2.7869626266004035</v>
      </c>
      <c r="J329" s="37">
        <f t="shared" si="34"/>
        <v>-3.398734910488297E-2</v>
      </c>
      <c r="K329" s="183">
        <f>VLOOKUP(B329,D!A1:F229,6,FALSE)</f>
        <v>-4.7287031702347146</v>
      </c>
      <c r="L329" s="49" t="str">
        <f t="shared" si="35"/>
        <v>N/A</v>
      </c>
      <c r="M329" s="52" t="str">
        <f>IF(Settings!$E$9="YAHOO",VLOOKUP(B329,ADP!A1:E731,2,FALSE),IF(Settings!$E$9="ESPN",VLOOKUP(B329,ADP!A1:E731,3,FALSE),IF(Settings!$E$9="FANTRAX",VLOOKUP(B329,ADP!A1:E731,4,FALSE),VLOOKUP(B329,ADP!A1:E731,5,FALSE))))</f>
        <v>-</v>
      </c>
      <c r="N329" s="52" t="str">
        <f t="shared" si="36"/>
        <v>N/A</v>
      </c>
      <c r="O329" s="38"/>
      <c r="P329" s="39" t="str">
        <f>IF(Settings!$E$27="ON",_xlfn.XLOOKUP(B329,ADP!A2:A731,ADP!H2:H731)," ")</f>
        <v xml:space="preserve"> </v>
      </c>
      <c r="Q329" s="40">
        <f>IF(Settings!$E$12="YES",VLOOKUP(B329,'Player Data'!A1:E734,5,FALSE),82)</f>
        <v>82</v>
      </c>
      <c r="R329" s="38">
        <f>VLOOKUP(B329,'Player Data'!$A1:$AE734,6,FALSE)</f>
        <v>16</v>
      </c>
      <c r="S329" s="40">
        <f>VLOOKUP(B329,'Player Data'!$A1:$AE734,7,FALSE)*$Q329*IFERROR((VLOOKUP(P329,Settings!$E$28:$F$33,2,FALSE)+1),1)</f>
        <v>4.7697826361809925</v>
      </c>
      <c r="T329" s="40">
        <f>VLOOKUP(B329,'Player Data'!$A1:$AE734,8,FALSE)*$Q329*IFERROR((VLOOKUP(P329,Settings!$E$28:$F$33,2,FALSE)+1),1)</f>
        <v>20.861763901680689</v>
      </c>
      <c r="U329" s="40">
        <f t="shared" si="32"/>
        <v>25.631546537861681</v>
      </c>
      <c r="V329" s="40">
        <f>VLOOKUP(B329,'Player Data'!$A1:$AE734,10,FALSE)*$Q329*IFERROR(((VLOOKUP(P329,Settings!$E$28:$F$33,2,FALSE)/2)+1),1)</f>
        <v>113.26689157095633</v>
      </c>
      <c r="W329" s="40">
        <f>VLOOKUP(B329,'Player Data'!$A1:$AE734,11,FALSE)*$Q329*IFERROR((VLOOKUP(P329,Settings!$E$28:$F$33,2,FALSE)+1),1)</f>
        <v>0.6052808311710357</v>
      </c>
      <c r="X329" s="40">
        <f>VLOOKUP(B329,'Player Data'!$A1:$AE734,12,FALSE)*$Q329*IFERROR((VLOOKUP(P329,Settings!$E$28:$F$33,2,FALSE)+1),1)</f>
        <v>3.2526186151446392</v>
      </c>
      <c r="Y329" s="40">
        <f>VLOOKUP(B329,'Player Data'!$A1:$AE734,13,FALSE)*$Q329</f>
        <v>0</v>
      </c>
      <c r="Z329" s="40">
        <f>VLOOKUP(B329,'Player Data'!$A1:$AE734,14,FALSE)*$Q329</f>
        <v>0</v>
      </c>
      <c r="AA329" s="40">
        <f>VLOOKUP(B329,'Player Data'!$A1:$AE734,15,FALSE)*$Q329</f>
        <v>90.399999999999679</v>
      </c>
      <c r="AB329" s="40">
        <f>VLOOKUP(B329,'Player Data'!$A1:$AE734,16,FALSE)*$Q329</f>
        <v>100.88793347819092</v>
      </c>
      <c r="AC329" s="40">
        <f>VLOOKUP(B329,'Player Data'!$A1:$AE734,17,FALSE)*$Q329*IFERROR((VLOOKUP(P329,Settings!$E$28:$F$33,2,FALSE)+1),1)</f>
        <v>0.17000000000000026</v>
      </c>
      <c r="AD329" s="40">
        <f>VLOOKUP(B329,'Player Data'!$A1:$AE734,18,FALSE)*$Q329</f>
        <v>33.491381055850688</v>
      </c>
      <c r="AE329" s="40">
        <f>VLOOKUP(B329,'Player Data'!$A1:$AE734,19,FALSE)*$Q329*IFERROR((VLOOKUP(P329,Settings!$E$28:$F$33,2,FALSE)+1),1)</f>
        <v>0.51111505031346405</v>
      </c>
      <c r="AF329" s="40">
        <f>VLOOKUP(B329,'Player Data'!$A1:$AE734,20,FALSE)*$Q329</f>
        <v>0</v>
      </c>
      <c r="AG329" s="40">
        <f>VLOOKUP(B329,'Player Data'!$A1:$AE734,21,FALSE)*$Q329</f>
        <v>0</v>
      </c>
      <c r="AH329" s="41">
        <f>VLOOKUP(B329,'Player Data'!$A1:$AE734,22,FALSE)</f>
        <v>0</v>
      </c>
      <c r="AI329" s="38"/>
      <c r="AJ329" s="42"/>
      <c r="AK329" s="40"/>
      <c r="AL329" s="40"/>
      <c r="AM329" s="40"/>
      <c r="AN329" s="40"/>
      <c r="AO329" s="40"/>
      <c r="AP329" s="40"/>
      <c r="AQ329" s="43"/>
      <c r="AR329" s="44"/>
      <c r="AS329" s="38"/>
    </row>
    <row r="330" spans="1:45" ht="21.2" customHeight="1">
      <c r="A330" s="181">
        <f t="shared" si="33"/>
        <v>329</v>
      </c>
      <c r="B330" s="8" t="s">
        <v>480</v>
      </c>
      <c r="C330" s="31" t="s">
        <v>104</v>
      </c>
      <c r="D330" s="32" t="str">
        <f>VLOOKUP(B330,'Player Data'!A1:D734,4,FALSE)</f>
        <v>LW</v>
      </c>
      <c r="E330" s="48">
        <f>VLOOKUP(B330,LW!A1:C227,3,FALSE)</f>
        <v>74</v>
      </c>
      <c r="F330" s="34" t="str">
        <f>VLOOKUP(B330,'Player Data'!A1:B734,2,FALSE)</f>
        <v>SJS</v>
      </c>
      <c r="G330" s="9">
        <f>VLOOKUP(B330,'Player Data'!A1:D734,3,FALSE)</f>
        <v>20</v>
      </c>
      <c r="H330" s="35">
        <f>IFERROR(VLOOKUP(B330,ADP!A1:G731,7,FALSE)/1000000,VLOOKUP(B330,ADP!A1:G731,7,FALSE))</f>
        <v>0.89416700000000005</v>
      </c>
      <c r="I330" s="36">
        <f>IF(Settings!$E$15="POINTS",((R330*Q330)*Settings!$B$12)+(S330*Settings!$B$2)+(T330*Settings!$B$3)+(U330*Settings!$B$4)+(V330*Settings!$B$5)+(X330*Settings!$B$9)+(AA330*Settings!$B$6)+(W330*Settings!$B$8)+(AB330*Settings!$B$7)+(AC330*Settings!$B$14)+(AD330*Settings!$B$15)+(AE330*Settings!$B$16)+(AF330*Settings!$B$17)+(AG330*Settings!$B$18)+(Y330*Settings!$B$10)+(Z330*Settings!$B$11),VLOOKUP(B330,'Standard Deviations'!A1:C731,3,FALSE))</f>
        <v>1.9204458945272571</v>
      </c>
      <c r="J330" s="37">
        <f t="shared" si="34"/>
        <v>2.3420071884478744E-2</v>
      </c>
      <c r="K330" s="183">
        <f>IF(Settings!$E$18="C/LW/RW",VLOOKUP(B330,LW!A1:F227,6,FALSE),VLOOKUP(B330,F!A1:F431,6,FALSE))</f>
        <v>-4.7342231495971436</v>
      </c>
      <c r="L330" s="36">
        <f t="shared" si="35"/>
        <v>-5.2945625924431825</v>
      </c>
      <c r="M330" s="38">
        <f>IF(Settings!$E$9="YAHOO",VLOOKUP(B330,ADP!A1:E731,2,FALSE),IF(Settings!$E$9="ESPN",VLOOKUP(B330,ADP!A1:E731,3,FALSE),IF(Settings!$E$9="FANTRAX",VLOOKUP(B330,ADP!A1:E731,4,FALSE),VLOOKUP(B330,ADP!A1:E731,5,FALSE))))</f>
        <v>235.44</v>
      </c>
      <c r="N330" s="38">
        <f t="shared" si="36"/>
        <v>-93.56</v>
      </c>
      <c r="O330" s="38"/>
      <c r="P330" s="39" t="str">
        <f>IF(Settings!$E$27="ON",_xlfn.XLOOKUP(B330,ADP!A2:A731,ADP!H2:H731)," ")</f>
        <v>-</v>
      </c>
      <c r="Q330" s="40">
        <f>IF(Settings!$E$12="YES",VLOOKUP(B330,'Player Data'!A1:E734,5,FALSE),82)</f>
        <v>82</v>
      </c>
      <c r="R330" s="38">
        <f>VLOOKUP(B330,'Player Data'!$A1:$AE734,6,FALSE)</f>
        <v>18.072691487144699</v>
      </c>
      <c r="S330" s="40">
        <f>VLOOKUP(B330,'Player Data'!$A1:$AE734,7,FALSE)*$Q330*IFERROR((VLOOKUP(P330,Settings!$E$28:$F$33,2,FALSE)+1),1)</f>
        <v>23.60968261730801</v>
      </c>
      <c r="T330" s="40">
        <f>VLOOKUP(B330,'Player Data'!$A1:$AE734,8,FALSE)*$Q330*IFERROR((VLOOKUP(P330,Settings!$E$28:$F$33,2,FALSE)+1),1)</f>
        <v>34.629945009344922</v>
      </c>
      <c r="U330" s="40">
        <f t="shared" si="32"/>
        <v>58.239627626652933</v>
      </c>
      <c r="V330" s="40">
        <f>VLOOKUP(B330,'Player Data'!$A1:$AE734,10,FALSE)*$Q330*IFERROR(((VLOOKUP(P330,Settings!$E$28:$F$33,2,FALSE)/2)+1),1)</f>
        <v>123.79121668282704</v>
      </c>
      <c r="W330" s="40">
        <f>VLOOKUP(B330,'Player Data'!$A1:$AE734,11,FALSE)*$Q330*IFERROR((VLOOKUP(P330,Settings!$E$28:$F$33,2,FALSE)+1),1)</f>
        <v>1.1422691397410929</v>
      </c>
      <c r="X330" s="40">
        <f>VLOOKUP(B330,'Player Data'!$A1:$AE734,12,FALSE)*$Q330*IFERROR((VLOOKUP(P330,Settings!$E$28:$F$33,2,FALSE)+1),1)</f>
        <v>6.1297944575274892</v>
      </c>
      <c r="Y330" s="40">
        <f>VLOOKUP(B330,'Player Data'!$A1:$AE734,13,FALSE)*$Q330</f>
        <v>0.24901616915348368</v>
      </c>
      <c r="Z330" s="40">
        <f>VLOOKUP(B330,'Player Data'!$A1:$AE734,14,FALSE)*$Q330</f>
        <v>0.56389992639944508</v>
      </c>
      <c r="AA330" s="40">
        <f>VLOOKUP(B330,'Player Data'!$A1:$AE734,15,FALSE)*$Q330</f>
        <v>37.80011256404913</v>
      </c>
      <c r="AB330" s="40">
        <f>VLOOKUP(B330,'Player Data'!$A1:$AE734,16,FALSE)*$Q330</f>
        <v>76.187246089272577</v>
      </c>
      <c r="AC330" s="40">
        <f>VLOOKUP(B330,'Player Data'!$A1:$AE734,17,FALSE)*$Q330*IFERROR((VLOOKUP(P330,Settings!$E$28:$F$33,2,FALSE)+1),1)</f>
        <v>-0.778647265833039</v>
      </c>
      <c r="AD330" s="40">
        <f>VLOOKUP(B330,'Player Data'!$A1:$AE734,18,FALSE)*$Q330</f>
        <v>39.408767781722801</v>
      </c>
      <c r="AE330" s="40">
        <f>VLOOKUP(B330,'Player Data'!$A1:$AE734,19,FALSE)*$Q330*IFERROR((VLOOKUP(P330,Settings!$E$28:$F$33,2,FALSE)+1),1)</f>
        <v>2.9312779570480525</v>
      </c>
      <c r="AF330" s="40">
        <f>VLOOKUP(B330,'Player Data'!$A1:$AE734,20,FALSE)*$Q330</f>
        <v>21.420744268876881</v>
      </c>
      <c r="AG330" s="40">
        <f>VLOOKUP(B330,'Player Data'!$A1:$AE734,21,FALSE)*$Q330</f>
        <v>39.76213978928957</v>
      </c>
      <c r="AH330" s="41">
        <f>VLOOKUP(B330,'Player Data'!$A1:$AE734,22,FALSE)</f>
        <v>0.35011007732999699</v>
      </c>
      <c r="AI330" s="38"/>
      <c r="AJ330" s="42"/>
      <c r="AK330" s="40"/>
      <c r="AL330" s="40"/>
      <c r="AM330" s="40"/>
      <c r="AN330" s="40"/>
      <c r="AO330" s="40"/>
      <c r="AP330" s="40"/>
      <c r="AQ330" s="43"/>
      <c r="AR330" s="44"/>
      <c r="AS330" s="38"/>
    </row>
    <row r="331" spans="1:45" ht="21.2" customHeight="1">
      <c r="A331" s="181">
        <f t="shared" si="33"/>
        <v>330</v>
      </c>
      <c r="B331" s="8" t="s">
        <v>338</v>
      </c>
      <c r="C331" s="31" t="s">
        <v>104</v>
      </c>
      <c r="D331" s="32" t="str">
        <f>VLOOKUP(B331,'Player Data'!A1:D734,4,FALSE)</f>
        <v>LW,RW</v>
      </c>
      <c r="E331" s="45">
        <f>VLOOKUP(B331,RW!A1:F189,3,FALSE)</f>
        <v>81</v>
      </c>
      <c r="F331" s="34" t="str">
        <f>VLOOKUP(B331,'Player Data'!A1:B734,2,FALSE)</f>
        <v>LAK</v>
      </c>
      <c r="G331" s="9">
        <f>VLOOKUP(B331,'Player Data'!A1:D734,3,FALSE)</f>
        <v>28</v>
      </c>
      <c r="H331" s="35">
        <f>IFERROR(VLOOKUP(B331,ADP!A1:G731,7,FALSE)/1000000,VLOOKUP(B331,ADP!A1:G731,7,FALSE))</f>
        <v>4.2</v>
      </c>
      <c r="I331" s="36">
        <f>IF(Settings!$E$15="POINTS",((R331*Q331)*Settings!$B$12)+(S331*Settings!$B$2)+(T331*Settings!$B$3)+(U331*Settings!$B$4)+(V331*Settings!$B$5)+(X331*Settings!$B$9)+(AA331*Settings!$B$6)+(W331*Settings!$B$8)+(AB331*Settings!$B$7)+(AC331*Settings!$B$14)+(AD331*Settings!$B$15)+(AE331*Settings!$B$16)+(AF331*Settings!$B$17)+(AG331*Settings!$B$18)+(Y331*Settings!$B$10)+(Z331*Settings!$B$11),VLOOKUP(B331,'Standard Deviations'!A1:C731,3,FALSE))</f>
        <v>1.532331179249053</v>
      </c>
      <c r="J331" s="37">
        <f t="shared" si="34"/>
        <v>1.8686965600598206E-2</v>
      </c>
      <c r="K331" s="183">
        <f>IF(Settings!$E$18="C/LW/RW",VLOOKUP(B331,RW!A1:F189,6,FALSE),VLOOKUP(B331,F!A1:F431,6,FALSE))</f>
        <v>-4.7479275397620277</v>
      </c>
      <c r="L331" s="36">
        <f t="shared" si="35"/>
        <v>-1.1304589380385779</v>
      </c>
      <c r="M331" s="38">
        <f>IF(Settings!$E$9="YAHOO",VLOOKUP(B331,ADP!A1:E731,2,FALSE),IF(Settings!$E$9="ESPN",VLOOKUP(B331,ADP!A1:E731,3,FALSE),IF(Settings!$E$9="FANTRAX",VLOOKUP(B331,ADP!A1:E731,4,FALSE),VLOOKUP(B331,ADP!A1:E731,5,FALSE))))</f>
        <v>346.16</v>
      </c>
      <c r="N331" s="38">
        <f t="shared" si="36"/>
        <v>16.160000000000025</v>
      </c>
      <c r="O331" s="38"/>
      <c r="P331" s="39" t="str">
        <f>IF(Settings!$E$27="ON",_xlfn.XLOOKUP(B331,ADP!A2:A731,ADP!H2:H731)," ")</f>
        <v xml:space="preserve"> </v>
      </c>
      <c r="Q331" s="40">
        <f>IF(Settings!$E$12="YES",VLOOKUP(B331,'Player Data'!A1:E734,5,FALSE),82)</f>
        <v>82</v>
      </c>
      <c r="R331" s="38">
        <f>VLOOKUP(B331,'Player Data'!$A1:$AE734,6,FALSE)</f>
        <v>16.481895358064499</v>
      </c>
      <c r="S331" s="40">
        <f>VLOOKUP(B331,'Player Data'!$A1:$AE734,7,FALSE)*$Q331*IFERROR((VLOOKUP(P331,Settings!$E$28:$F$33,2,FALSE)+1),1)</f>
        <v>15.81929276946863</v>
      </c>
      <c r="T331" s="40">
        <f>VLOOKUP(B331,'Player Data'!$A1:$AE734,8,FALSE)*$Q331*IFERROR((VLOOKUP(P331,Settings!$E$28:$F$33,2,FALSE)+1),1)</f>
        <v>27.882358630755807</v>
      </c>
      <c r="U331" s="40">
        <f t="shared" si="32"/>
        <v>43.701651400224435</v>
      </c>
      <c r="V331" s="40">
        <f>VLOOKUP(B331,'Player Data'!$A1:$AE734,10,FALSE)*$Q331*IFERROR(((VLOOKUP(P331,Settings!$E$28:$F$33,2,FALSE)/2)+1),1)</f>
        <v>203.67803627383915</v>
      </c>
      <c r="W331" s="40">
        <f>VLOOKUP(B331,'Player Data'!$A1:$AE734,11,FALSE)*$Q331*IFERROR((VLOOKUP(P331,Settings!$E$28:$F$33,2,FALSE)+1),1)</f>
        <v>2.6594775185150681</v>
      </c>
      <c r="X331" s="40">
        <f>VLOOKUP(B331,'Player Data'!$A1:$AE734,12,FALSE)*$Q331*IFERROR((VLOOKUP(P331,Settings!$E$28:$F$33,2,FALSE)+1),1)</f>
        <v>7.6131232891286835</v>
      </c>
      <c r="Y331" s="40">
        <f>VLOOKUP(B331,'Player Data'!$A1:$AE734,13,FALSE)*$Q331</f>
        <v>2.6475742742746209</v>
      </c>
      <c r="Z331" s="40">
        <f>VLOOKUP(B331,'Player Data'!$A1:$AE734,14,FALSE)*$Q331</f>
        <v>3.6604695138589669</v>
      </c>
      <c r="AA331" s="40">
        <f>VLOOKUP(B331,'Player Data'!$A1:$AE734,15,FALSE)*$Q331</f>
        <v>32.645988951134171</v>
      </c>
      <c r="AB331" s="40">
        <f>VLOOKUP(B331,'Player Data'!$A1:$AE734,16,FALSE)*$Q331</f>
        <v>79.684400526449011</v>
      </c>
      <c r="AC331" s="40">
        <f>VLOOKUP(B331,'Player Data'!$A1:$AE734,17,FALSE)*$Q331*IFERROR((VLOOKUP(P331,Settings!$E$28:$F$33,2,FALSE)+1),1)</f>
        <v>0.33289716304402989</v>
      </c>
      <c r="AD331" s="40">
        <f>VLOOKUP(B331,'Player Data'!$A1:$AE734,18,FALSE)*$Q331</f>
        <v>24.27021561706098</v>
      </c>
      <c r="AE331" s="40">
        <f>VLOOKUP(B331,'Player Data'!$A1:$AE734,19,FALSE)*$Q331*IFERROR((VLOOKUP(P331,Settings!$E$28:$F$33,2,FALSE)+1),1)</f>
        <v>2.3422211880071142</v>
      </c>
      <c r="AF331" s="40">
        <f>VLOOKUP(B331,'Player Data'!$A1:$AE734,20,FALSE)*$Q331</f>
        <v>19.538128127473215</v>
      </c>
      <c r="AG331" s="40">
        <f>VLOOKUP(B331,'Player Data'!$A1:$AE734,21,FALSE)*$Q331</f>
        <v>32.063343812580193</v>
      </c>
      <c r="AH331" s="41">
        <f>VLOOKUP(B331,'Player Data'!$A1:$AE734,22,FALSE)</f>
        <v>0.37863509300996501</v>
      </c>
      <c r="AI331" s="38"/>
      <c r="AJ331" s="42"/>
      <c r="AK331" s="40"/>
      <c r="AL331" s="40"/>
      <c r="AM331" s="40"/>
      <c r="AN331" s="40"/>
      <c r="AO331" s="40"/>
      <c r="AP331" s="40"/>
      <c r="AQ331" s="43"/>
      <c r="AR331" s="44"/>
      <c r="AS331" s="38"/>
    </row>
    <row r="332" spans="1:45" ht="21.2" customHeight="1">
      <c r="A332" s="181">
        <f t="shared" si="33"/>
        <v>331</v>
      </c>
      <c r="B332" s="8" t="s">
        <v>829</v>
      </c>
      <c r="C332" s="31" t="s">
        <v>104</v>
      </c>
      <c r="D332" s="32" t="str">
        <f>VLOOKUP(B332,'Player Data'!A1:D734,4,FALSE)</f>
        <v>G</v>
      </c>
      <c r="E332" s="50">
        <f>VLOOKUP(B332,G!A1:D75,3,FALSE)</f>
        <v>70</v>
      </c>
      <c r="F332" s="34" t="str">
        <f>VLOOKUP(B332,'Player Data'!A1:B734,2,FALSE)</f>
        <v>PHI</v>
      </c>
      <c r="G332" s="9">
        <f>VLOOKUP(B332,'Player Data'!A1:D734,3,FALSE)</f>
        <v>26</v>
      </c>
      <c r="H332" s="35">
        <f>IFERROR(VLOOKUP(B332,ADP!A1:G731,7,FALSE)/1000000,VLOOKUP(B332,ADP!A1:G731,7,FALSE))</f>
        <v>0.77500000000000002</v>
      </c>
      <c r="I332" s="36">
        <f>IF(Settings!$E$15="POINTS",(AJ332*Settings!$B$29)+(AK332*Settings!$B$21)+(AL332*Settings!$B$22)+(AN332*Settings!$B$24)+(AO332*Settings!$B$25)+(AP332*Settings!$B$27)+(AM332*Settings!$B$23),VLOOKUP(B332,'Standard Deviations'!A1:C731,3,FALSE))</f>
        <v>-3.0494229753074489</v>
      </c>
      <c r="J332" s="37">
        <f t="shared" si="34"/>
        <v>-0.30494229753074487</v>
      </c>
      <c r="K332" s="183">
        <f>VLOOKUP(B332,G!A1:F75,6,FALSE)</f>
        <v>-4.7536520264977407</v>
      </c>
      <c r="L332" s="36">
        <f t="shared" si="35"/>
        <v>-6.1337445503196655</v>
      </c>
      <c r="M332" s="52" t="str">
        <f>IF(Settings!$E$9="YAHOO",VLOOKUP(B332,ADP!A1:E731,2,FALSE),IF(Settings!$E$9="ESPN",VLOOKUP(B332,ADP!A1:E731,3,FALSE),IF(Settings!$E$9="FANTRAX",VLOOKUP(B332,ADP!A1:E731,4,FALSE),VLOOKUP(B332,ADP!A1:E731,5,FALSE))))</f>
        <v>-</v>
      </c>
      <c r="N332" s="52" t="str">
        <f t="shared" si="36"/>
        <v>N/A</v>
      </c>
      <c r="O332" s="38"/>
      <c r="P332" s="39" t="str">
        <f>IF(Settings!$E$27="ON",_xlfn.XLOOKUP(B332,ADP!A2:A731,ADP!H2:H731)," ")</f>
        <v xml:space="preserve"> </v>
      </c>
      <c r="Q332" s="40"/>
      <c r="R332" s="51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1"/>
      <c r="AI332" s="38"/>
      <c r="AJ332" s="42">
        <f>VLOOKUP(B332,'Player Data'!$A1:$AE734,24,FALSE)</f>
        <v>10</v>
      </c>
      <c r="AK332" s="40">
        <f>VLOOKUP(B332,'Player Data'!$A1:$AE734,25,FALSE)*$AJ332*IFERROR((VLOOKUP(P332,Settings!$E$28:$F$33,2,FALSE)+1),1)</f>
        <v>3.4446584467286998</v>
      </c>
      <c r="AL332" s="40">
        <f>AJ332-AK332-AM332</f>
        <v>5.3053415532713002</v>
      </c>
      <c r="AM332" s="40">
        <f>VLOOKUP(B332,'Player Data'!$A1:$AE734,27,FALSE)*$AJ332</f>
        <v>1.25</v>
      </c>
      <c r="AN332" s="40">
        <f>VLOOKUP(B332,'Player Data'!$A1:$AE734,28,FALSE)*AJ332</f>
        <v>0.23702369062350401</v>
      </c>
      <c r="AO332" s="40">
        <f>VLOOKUP(B332,'Player Data'!$A1:$AE734,29,FALSE)*$AJ332*IFERROR((VLOOKUP(P332,Settings!$E$28:$F$33,2,FALSE)/4)+1,1)</f>
        <v>284.196572962022</v>
      </c>
      <c r="AP332" s="40">
        <f>VLOOKUP(B332,'Player Data'!$A1:$AE734,31,FALSE)*$AJ332*(IFERROR(1-(VLOOKUP(P332,Settings!$E$28:$F$33,2,FALSE)/4),1))</f>
        <v>32.342621850477698</v>
      </c>
      <c r="AQ332" s="43">
        <f>1-(AP332/(AO332+AP332))</f>
        <v>0.89782427459059</v>
      </c>
      <c r="AR332" s="44">
        <f>AP332/AJ332</f>
        <v>3.2342621850477697</v>
      </c>
      <c r="AS332" s="38"/>
    </row>
    <row r="333" spans="1:45" ht="21.2" customHeight="1">
      <c r="A333" s="181">
        <f t="shared" si="33"/>
        <v>332</v>
      </c>
      <c r="B333" s="8" t="s">
        <v>831</v>
      </c>
      <c r="C333" s="31" t="s">
        <v>104</v>
      </c>
      <c r="D333" s="32" t="str">
        <f>VLOOKUP(B333,'Player Data'!A1:D734,4,FALSE)</f>
        <v>G</v>
      </c>
      <c r="E333" s="50">
        <f>VLOOKUP(B333,G!A1:D75,3,FALSE)</f>
        <v>71</v>
      </c>
      <c r="F333" s="34" t="str">
        <f>VLOOKUP(B333,'Player Data'!A1:B734,2,FALSE)</f>
        <v>TOR</v>
      </c>
      <c r="G333" s="9">
        <f>VLOOKUP(B333,'Player Data'!A1:D734,3,FALSE)</f>
        <v>29</v>
      </c>
      <c r="H333" s="35">
        <f>IFERROR(VLOOKUP(B333,ADP!A1:G731,7,FALSE)/1000000,VLOOKUP(B333,ADP!A1:G731,7,FALSE))</f>
        <v>4.6875</v>
      </c>
      <c r="I333" s="36">
        <f>IF(Settings!$E$15="POINTS",(AJ333*Settings!$B$29)+(AK333*Settings!$B$21)+(AL333*Settings!$B$22)+(AN333*Settings!$B$24)+(AO333*Settings!$B$25)+(AP333*Settings!$B$27)+(AM333*Settings!$B$23),VLOOKUP(B333,'Standard Deviations'!A1:C731,3,FALSE))</f>
        <v>-3.0725494053036346</v>
      </c>
      <c r="J333" s="37">
        <f t="shared" si="34"/>
        <v>-0.38406867566295433</v>
      </c>
      <c r="K333" s="183">
        <f>VLOOKUP(B333,G!A1:F75,6,FALSE)</f>
        <v>-4.7767784564939264</v>
      </c>
      <c r="L333" s="36">
        <f t="shared" si="35"/>
        <v>-1.0190460707187043</v>
      </c>
      <c r="M333" s="52" t="str">
        <f>IF(Settings!$E$9="YAHOO",VLOOKUP(B333,ADP!A1:E731,2,FALSE),IF(Settings!$E$9="ESPN",VLOOKUP(B333,ADP!A1:E731,3,FALSE),IF(Settings!$E$9="FANTRAX",VLOOKUP(B333,ADP!A1:E731,4,FALSE),VLOOKUP(B333,ADP!A1:E731,5,FALSE))))</f>
        <v>-</v>
      </c>
      <c r="N333" s="52" t="str">
        <f t="shared" si="36"/>
        <v>N/A</v>
      </c>
      <c r="O333" s="38"/>
      <c r="P333" s="39" t="str">
        <f>IF(Settings!$E$27="ON",_xlfn.XLOOKUP(B333,ADP!A2:A731,ADP!H2:H731)," ")</f>
        <v xml:space="preserve"> </v>
      </c>
      <c r="Q333" s="40"/>
      <c r="R333" s="51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1"/>
      <c r="AI333" s="38"/>
      <c r="AJ333" s="42">
        <f>VLOOKUP(B333,'Player Data'!$A1:$AE734,24,FALSE)</f>
        <v>8</v>
      </c>
      <c r="AK333" s="40">
        <f>VLOOKUP(B333,'Player Data'!$A1:$AE734,25,FALSE)*$AJ333*IFERROR((VLOOKUP(P333,Settings!$E$28:$F$33,2,FALSE)+1),1)</f>
        <v>4.4272556611501361</v>
      </c>
      <c r="AL333" s="40">
        <f>AJ333-AK333-AM333</f>
        <v>2.5727443388498639</v>
      </c>
      <c r="AM333" s="40">
        <f>VLOOKUP(B333,'Player Data'!$A1:$AE734,27,FALSE)*$AJ333</f>
        <v>1</v>
      </c>
      <c r="AN333" s="40">
        <f>VLOOKUP(B333,'Player Data'!$A1:$AE734,28,FALSE)*AJ333</f>
        <v>0.27819913483409919</v>
      </c>
      <c r="AO333" s="40">
        <f>VLOOKUP(B333,'Player Data'!$A1:$AE734,29,FALSE)*$AJ333*IFERROR((VLOOKUP(P333,Settings!$E$28:$F$33,2,FALSE)/4)+1,1)</f>
        <v>225.70580803997521</v>
      </c>
      <c r="AP333" s="40">
        <f>VLOOKUP(B333,'Player Data'!$A1:$AE734,31,FALSE)*$AJ333*(IFERROR(1-(VLOOKUP(P333,Settings!$E$28:$F$33,2,FALSE)/4),1))</f>
        <v>24.71467101002488</v>
      </c>
      <c r="AQ333" s="43">
        <f>1-(AP333/(AO333+AP333))</f>
        <v>0.90130730879605803</v>
      </c>
      <c r="AR333" s="44">
        <f>AP333/AJ333</f>
        <v>3.08933387625311</v>
      </c>
      <c r="AS333" s="38"/>
    </row>
    <row r="334" spans="1:45" ht="21.2" customHeight="1">
      <c r="A334" s="181">
        <f t="shared" si="33"/>
        <v>333</v>
      </c>
      <c r="B334" s="8" t="s">
        <v>403</v>
      </c>
      <c r="C334" s="31" t="s">
        <v>104</v>
      </c>
      <c r="D334" s="32" t="str">
        <f>VLOOKUP(B334,'Player Data'!A1:D734,4,FALSE)</f>
        <v>D</v>
      </c>
      <c r="E334" s="47">
        <f>VLOOKUP(B334,D!A1:C229,3,FALSE)</f>
        <v>96</v>
      </c>
      <c r="F334" s="34" t="str">
        <f>VLOOKUP(B334,'Player Data'!A1:B734,2,FALSE)</f>
        <v>BOS</v>
      </c>
      <c r="G334" s="9">
        <f>VLOOKUP(B334,'Player Data'!A1:D734,3,FALSE)</f>
        <v>29</v>
      </c>
      <c r="H334" s="35">
        <f>IFERROR(VLOOKUP(B334,ADP!A1:G731,7,FALSE)/1000000,VLOOKUP(B334,ADP!A1:G731,7,FALSE))</f>
        <v>3.6875</v>
      </c>
      <c r="I334" s="36">
        <f>IF(Settings!$E$15="POINTS",((R334*Q334)*Settings!$B$12)+(S334*Settings!$B$2)+(T334*Settings!$B$3)+(U334*Settings!$B$4)+(V334*Settings!$B$5)+(X334*Settings!$B$9)+(AA334*Settings!$B$6)+(W334*Settings!$B$8)+(AB334*Settings!$B$7)+(AC334*Settings!$B$14)+(AD334*Settings!$B$15)+(AE334*Settings!$B$16)+(AF334*Settings!$B$17)+(AG334*Settings!$B$18)+(U334*Settings!$B$13)+(Y334*Settings!$B$10)+(Z334*Settings!$B$11),VLOOKUP(B334,'Standard Deviations'!A1:C731,3,FALSE))</f>
        <v>-2.8366520779994189</v>
      </c>
      <c r="J334" s="37">
        <f t="shared" si="34"/>
        <v>-3.459331802438316E-2</v>
      </c>
      <c r="K334" s="183">
        <f>VLOOKUP(B334,D!A1:F229,6,FALSE)</f>
        <v>-4.7783926216337296</v>
      </c>
      <c r="L334" s="36">
        <f t="shared" si="35"/>
        <v>-1.2958352872227064</v>
      </c>
      <c r="M334" s="52" t="str">
        <f>IF(Settings!$E$9="YAHOO",VLOOKUP(B334,ADP!A1:E731,2,FALSE),IF(Settings!$E$9="ESPN",VLOOKUP(B334,ADP!A1:E731,3,FALSE),IF(Settings!$E$9="FANTRAX",VLOOKUP(B334,ADP!A1:E731,4,FALSE),VLOOKUP(B334,ADP!A1:E731,5,FALSE))))</f>
        <v>-</v>
      </c>
      <c r="N334" s="52" t="str">
        <f t="shared" si="36"/>
        <v>N/A</v>
      </c>
      <c r="O334" s="38"/>
      <c r="P334" s="39" t="str">
        <f>IF(Settings!$E$27="ON",_xlfn.XLOOKUP(B334,ADP!A2:A731,ADP!H2:H731)," ")</f>
        <v xml:space="preserve"> </v>
      </c>
      <c r="Q334" s="40">
        <f>IF(Settings!$E$12="YES",VLOOKUP(B334,'Player Data'!A1:E734,5,FALSE),82)</f>
        <v>82</v>
      </c>
      <c r="R334" s="38">
        <f>VLOOKUP(B334,'Player Data'!$A1:$AE734,6,FALSE)</f>
        <v>17.3033809175813</v>
      </c>
      <c r="S334" s="40">
        <f>VLOOKUP(B334,'Player Data'!$A1:$AE734,7,FALSE)*$Q334*IFERROR((VLOOKUP(P334,Settings!$E$28:$F$33,2,FALSE)+1),1)</f>
        <v>4.9203215536653993</v>
      </c>
      <c r="T334" s="40">
        <f>VLOOKUP(B334,'Player Data'!$A1:$AE734,8,FALSE)*$Q334*IFERROR((VLOOKUP(P334,Settings!$E$28:$F$33,2,FALSE)+1),1)</f>
        <v>21.050615214477581</v>
      </c>
      <c r="U334" s="40">
        <f>SUM(S334:T334)</f>
        <v>25.97093676814298</v>
      </c>
      <c r="V334" s="40">
        <f>VLOOKUP(B334,'Player Data'!$A1:$AE734,10,FALSE)*$Q334*IFERROR(((VLOOKUP(P334,Settings!$E$28:$F$33,2,FALSE)/2)+1),1)</f>
        <v>115.80050379008141</v>
      </c>
      <c r="W334" s="40">
        <f>VLOOKUP(B334,'Player Data'!$A1:$AE734,11,FALSE)*$Q334*IFERROR((VLOOKUP(P334,Settings!$E$28:$F$33,2,FALSE)+1),1)</f>
        <v>0.16867517764885234</v>
      </c>
      <c r="X334" s="40">
        <f>VLOOKUP(B334,'Player Data'!$A1:$AE734,12,FALSE)*$Q334*IFERROR((VLOOKUP(P334,Settings!$E$28:$F$33,2,FALSE)+1),1)</f>
        <v>1.9021702699922389</v>
      </c>
      <c r="Y334" s="40">
        <f>VLOOKUP(B334,'Player Data'!$A1:$AE734,13,FALSE)*$Q334</f>
        <v>9.4796952847240202E-3</v>
      </c>
      <c r="Z334" s="40">
        <f>VLOOKUP(B334,'Player Data'!$A1:$AE734,14,FALSE)*$Q334</f>
        <v>3.8351225204329688E-2</v>
      </c>
      <c r="AA334" s="40">
        <f>VLOOKUP(B334,'Player Data'!$A1:$AE734,15,FALSE)*$Q334</f>
        <v>89.702973339618481</v>
      </c>
      <c r="AB334" s="40">
        <f>VLOOKUP(B334,'Player Data'!$A1:$AE734,16,FALSE)*$Q334</f>
        <v>65.20540954118816</v>
      </c>
      <c r="AC334" s="40">
        <f>VLOOKUP(B334,'Player Data'!$A1:$AE734,17,FALSE)*$Q334*IFERROR((VLOOKUP(P334,Settings!$E$28:$F$33,2,FALSE)+1),1)</f>
        <v>7.4559712919804593</v>
      </c>
      <c r="AD334" s="40">
        <f>VLOOKUP(B334,'Player Data'!$A1:$AE734,18,FALSE)*$Q334</f>
        <v>31.376134526346611</v>
      </c>
      <c r="AE334" s="40">
        <f>VLOOKUP(B334,'Player Data'!$A1:$AE734,19,FALSE)*$Q334*IFERROR((VLOOKUP(P334,Settings!$E$28:$F$33,2,FALSE)+1),1)</f>
        <v>0.82602515998086035</v>
      </c>
      <c r="AF334" s="40">
        <f>VLOOKUP(B334,'Player Data'!$A1:$AE734,20,FALSE)*$Q334</f>
        <v>0</v>
      </c>
      <c r="AG334" s="40">
        <f>VLOOKUP(B334,'Player Data'!$A1:$AE734,21,FALSE)*$Q334</f>
        <v>0</v>
      </c>
      <c r="AH334" s="41">
        <f>VLOOKUP(B334,'Player Data'!$A1:$AE734,22,FALSE)</f>
        <v>0</v>
      </c>
      <c r="AI334" s="38"/>
      <c r="AJ334" s="42"/>
      <c r="AK334" s="40"/>
      <c r="AL334" s="40"/>
      <c r="AM334" s="40"/>
      <c r="AN334" s="40"/>
      <c r="AO334" s="40"/>
      <c r="AP334" s="40"/>
      <c r="AQ334" s="43"/>
      <c r="AR334" s="44"/>
      <c r="AS334" s="38"/>
    </row>
    <row r="335" spans="1:45" ht="21.2" customHeight="1">
      <c r="A335" s="181">
        <f t="shared" si="33"/>
        <v>334</v>
      </c>
      <c r="B335" s="8" t="s">
        <v>398</v>
      </c>
      <c r="C335" s="31" t="s">
        <v>104</v>
      </c>
      <c r="D335" s="32" t="str">
        <f>VLOOKUP(B335,'Player Data'!A1:D734,4,FALSE)</f>
        <v>LW,RW</v>
      </c>
      <c r="E335" s="45">
        <f>VLOOKUP(B335,RW!A1:F189,3,FALSE)</f>
        <v>82</v>
      </c>
      <c r="F335" s="34" t="str">
        <f>VLOOKUP(B335,'Player Data'!A1:B734,2,FALSE)</f>
        <v>VAN</v>
      </c>
      <c r="G335" s="9">
        <f>VLOOKUP(B335,'Player Data'!A1:D734,3,FALSE)</f>
        <v>28</v>
      </c>
      <c r="H335" s="35">
        <f>IFERROR(VLOOKUP(B335,ADP!A1:G731,7,FALSE)/1000000,VLOOKUP(B335,ADP!A1:G731,7,FALSE))</f>
        <v>4.75</v>
      </c>
      <c r="I335" s="36">
        <f>IF(Settings!$E$15="POINTS",((R335*Q335)*Settings!$B$12)+(S335*Settings!$B$2)+(T335*Settings!$B$3)+(U335*Settings!$B$4)+(V335*Settings!$B$5)+(X335*Settings!$B$9)+(AA335*Settings!$B$6)+(W335*Settings!$B$8)+(AB335*Settings!$B$7)+(AC335*Settings!$B$14)+(AD335*Settings!$B$15)+(AE335*Settings!$B$16)+(AF335*Settings!$B$17)+(AG335*Settings!$B$18)+(Y335*Settings!$B$10)+(Z335*Settings!$B$11),VLOOKUP(B335,'Standard Deviations'!A1:C731,3,FALSE))</f>
        <v>1.496402365959153</v>
      </c>
      <c r="J335" s="37">
        <f t="shared" si="34"/>
        <v>1.8248809340965282E-2</v>
      </c>
      <c r="K335" s="183">
        <f>IF(Settings!$E$18="C/LW/RW",VLOOKUP(B335,RW!A1:F189,6,FALSE),VLOOKUP(B335,F!A1:F431,6,FALSE))</f>
        <v>-4.7838563530519274</v>
      </c>
      <c r="L335" s="36">
        <f t="shared" si="35"/>
        <v>-1.00712765327409</v>
      </c>
      <c r="M335" s="38">
        <f>IF(Settings!$E$9="YAHOO",VLOOKUP(B335,ADP!A1:E731,2,FALSE),IF(Settings!$E$9="ESPN",VLOOKUP(B335,ADP!A1:E731,3,FALSE),IF(Settings!$E$9="FANTRAX",VLOOKUP(B335,ADP!A1:E731,4,FALSE),VLOOKUP(B335,ADP!A1:E731,5,FALSE))))</f>
        <v>446.55</v>
      </c>
      <c r="N335" s="38">
        <f t="shared" si="36"/>
        <v>112.55000000000001</v>
      </c>
      <c r="O335" s="38"/>
      <c r="P335" s="39" t="str">
        <f>IF(Settings!$E$27="ON",_xlfn.XLOOKUP(B335,ADP!A2:A731,ADP!H2:H731)," ")</f>
        <v xml:space="preserve"> </v>
      </c>
      <c r="Q335" s="40">
        <f>IF(Settings!$E$12="YES",VLOOKUP(B335,'Player Data'!A1:E734,5,FALSE),82)</f>
        <v>82</v>
      </c>
      <c r="R335" s="38">
        <f>VLOOKUP(B335,'Player Data'!$A1:$AE734,6,FALSE)</f>
        <v>16.977162616814699</v>
      </c>
      <c r="S335" s="40">
        <f>VLOOKUP(B335,'Player Data'!$A1:$AE734,7,FALSE)*$Q335*IFERROR((VLOOKUP(P335,Settings!$E$28:$F$33,2,FALSE)+1),1)</f>
        <v>23.914732376834962</v>
      </c>
      <c r="T335" s="40">
        <f>VLOOKUP(B335,'Player Data'!$A1:$AE734,8,FALSE)*$Q335*IFERROR((VLOOKUP(P335,Settings!$E$28:$F$33,2,FALSE)+1),1)</f>
        <v>23.809078515153885</v>
      </c>
      <c r="U335" s="40">
        <f>SUM(S335:T335)</f>
        <v>47.723810891988848</v>
      </c>
      <c r="V335" s="40">
        <f>VLOOKUP(B335,'Player Data'!$A1:$AE734,10,FALSE)*$Q335*IFERROR(((VLOOKUP(P335,Settings!$E$28:$F$33,2,FALSE)/2)+1),1)</f>
        <v>180.80555354140395</v>
      </c>
      <c r="W335" s="40">
        <f>VLOOKUP(B335,'Player Data'!$A1:$AE734,11,FALSE)*$Q335*IFERROR((VLOOKUP(P335,Settings!$E$28:$F$33,2,FALSE)+1),1)</f>
        <v>2.2989969402043284</v>
      </c>
      <c r="X335" s="40">
        <f>VLOOKUP(B335,'Player Data'!$A1:$AE734,12,FALSE)*$Q335*IFERROR((VLOOKUP(P335,Settings!$E$28:$F$33,2,FALSE)+1),1)</f>
        <v>4.5222027089958639</v>
      </c>
      <c r="Y335" s="40">
        <f>VLOOKUP(B335,'Player Data'!$A1:$AE734,13,FALSE)*$Q335</f>
        <v>2.1281303724829188</v>
      </c>
      <c r="Z335" s="40">
        <f>VLOOKUP(B335,'Player Data'!$A1:$AE734,14,FALSE)*$Q335</f>
        <v>2.5651848411566007</v>
      </c>
      <c r="AA335" s="40">
        <f>VLOOKUP(B335,'Player Data'!$A1:$AE734,15,FALSE)*$Q335</f>
        <v>31.059893120864125</v>
      </c>
      <c r="AB335" s="40">
        <f>VLOOKUP(B335,'Player Data'!$A1:$AE734,16,FALSE)*$Q335</f>
        <v>51.411912430212517</v>
      </c>
      <c r="AC335" s="40">
        <f>VLOOKUP(B335,'Player Data'!$A1:$AE734,17,FALSE)*$Q335*IFERROR((VLOOKUP(P335,Settings!$E$28:$F$33,2,FALSE)+1),1)</f>
        <v>1.0769566347206259</v>
      </c>
      <c r="AD335" s="40">
        <f>VLOOKUP(B335,'Player Data'!$A1:$AE734,18,FALSE)*$Q335</f>
        <v>18.302562740977493</v>
      </c>
      <c r="AE335" s="40">
        <f>VLOOKUP(B335,'Player Data'!$A1:$AE734,19,FALSE)*$Q335*IFERROR((VLOOKUP(P335,Settings!$E$28:$F$33,2,FALSE)+1),1)</f>
        <v>3.3853611200934006</v>
      </c>
      <c r="AF335" s="40">
        <f>VLOOKUP(B335,'Player Data'!$A1:$AE734,20,FALSE)*$Q335</f>
        <v>4.3657057891244682</v>
      </c>
      <c r="AG335" s="40">
        <f>VLOOKUP(B335,'Player Data'!$A1:$AE734,21,FALSE)*$Q335</f>
        <v>9.3014485418920128</v>
      </c>
      <c r="AH335" s="41">
        <f>VLOOKUP(B335,'Player Data'!$A1:$AE734,22,FALSE)</f>
        <v>0.31943048884849801</v>
      </c>
      <c r="AI335" s="38"/>
      <c r="AJ335" s="42"/>
      <c r="AK335" s="40"/>
      <c r="AL335" s="40"/>
      <c r="AM335" s="40"/>
      <c r="AN335" s="40"/>
      <c r="AO335" s="40"/>
      <c r="AP335" s="40"/>
      <c r="AQ335" s="43"/>
      <c r="AR335" s="44"/>
      <c r="AS335" s="38"/>
    </row>
    <row r="336" spans="1:45" ht="21.2" customHeight="1">
      <c r="A336" s="181">
        <f t="shared" si="33"/>
        <v>335</v>
      </c>
      <c r="B336" s="8" t="s">
        <v>399</v>
      </c>
      <c r="C336" s="31" t="s">
        <v>104</v>
      </c>
      <c r="D336" s="32" t="str">
        <f>VLOOKUP(B336,'Player Data'!A1:D734,4,FALSE)</f>
        <v>D</v>
      </c>
      <c r="E336" s="47">
        <f>VLOOKUP(B336,D!A1:C229,3,FALSE)</f>
        <v>97</v>
      </c>
      <c r="F336" s="34" t="str">
        <f>VLOOKUP(B336,'Player Data'!A1:B734,2,FALSE)</f>
        <v>WPG</v>
      </c>
      <c r="G336" s="9">
        <f>VLOOKUP(B336,'Player Data'!A1:D734,3,FALSE)</f>
        <v>32</v>
      </c>
      <c r="H336" s="35">
        <f>IFERROR(VLOOKUP(B336,ADP!A1:G731,7,FALSE)/1000000,VLOOKUP(B336,ADP!A1:G731,7,FALSE))</f>
        <v>5.95</v>
      </c>
      <c r="I336" s="36">
        <f>IF(Settings!$E$15="POINTS",((R336*Q336)*Settings!$B$12)+(S336*Settings!$B$2)+(T336*Settings!$B$3)+(U336*Settings!$B$4)+(V336*Settings!$B$5)+(X336*Settings!$B$9)+(AA336*Settings!$B$6)+(W336*Settings!$B$8)+(AB336*Settings!$B$7)+(AC336*Settings!$B$14)+(AD336*Settings!$B$15)+(AE336*Settings!$B$16)+(AF336*Settings!$B$17)+(AG336*Settings!$B$18)+(U336*Settings!$B$13)+(Y336*Settings!$B$10)+(Z336*Settings!$B$11),VLOOKUP(B336,'Standard Deviations'!A1:C731,3,FALSE))</f>
        <v>-2.8475116157438545</v>
      </c>
      <c r="J336" s="37">
        <f t="shared" si="34"/>
        <v>-3.4725751411510422E-2</v>
      </c>
      <c r="K336" s="183">
        <f>VLOOKUP(B336,D!A1:F229,6,FALSE)</f>
        <v>-4.7892521593781652</v>
      </c>
      <c r="L336" s="36">
        <f t="shared" si="35"/>
        <v>-0.80491632930725465</v>
      </c>
      <c r="M336" s="52" t="str">
        <f>IF(Settings!$E$9="YAHOO",VLOOKUP(B336,ADP!A1:E731,2,FALSE),IF(Settings!$E$9="ESPN",VLOOKUP(B336,ADP!A1:E731,3,FALSE),IF(Settings!$E$9="FANTRAX",VLOOKUP(B336,ADP!A1:E731,4,FALSE),VLOOKUP(B336,ADP!A1:E731,5,FALSE))))</f>
        <v>-</v>
      </c>
      <c r="N336" s="52" t="str">
        <f t="shared" si="36"/>
        <v>N/A</v>
      </c>
      <c r="O336" s="38"/>
      <c r="P336" s="39" t="str">
        <f>IF(Settings!$E$27="ON",_xlfn.XLOOKUP(B336,ADP!A2:A731,ADP!H2:H731)," ")</f>
        <v xml:space="preserve"> </v>
      </c>
      <c r="Q336" s="40">
        <f>IF(Settings!$E$12="YES",VLOOKUP(B336,'Player Data'!A1:E734,5,FALSE),82)</f>
        <v>82</v>
      </c>
      <c r="R336" s="38">
        <f>VLOOKUP(B336,'Player Data'!$A1:$AE734,6,FALSE)</f>
        <v>17.7943389967472</v>
      </c>
      <c r="S336" s="40">
        <f>VLOOKUP(B336,'Player Data'!$A1:$AE734,7,FALSE)*$Q336*IFERROR((VLOOKUP(P336,Settings!$E$28:$F$33,2,FALSE)+1),1)</f>
        <v>5.4214902784813503</v>
      </c>
      <c r="T336" s="40">
        <f>VLOOKUP(B336,'Player Data'!$A1:$AE734,8,FALSE)*$Q336*IFERROR((VLOOKUP(P336,Settings!$E$28:$F$33,2,FALSE)+1),1)</f>
        <v>17.946317658728066</v>
      </c>
      <c r="U336" s="40">
        <f>SUM(S336:T336)</f>
        <v>23.367807937209417</v>
      </c>
      <c r="V336" s="40">
        <f>VLOOKUP(B336,'Player Data'!$A1:$AE734,10,FALSE)*$Q336*IFERROR(((VLOOKUP(P336,Settings!$E$28:$F$33,2,FALSE)/2)+1),1)</f>
        <v>110.12584758706494</v>
      </c>
      <c r="W336" s="40">
        <f>VLOOKUP(B336,'Player Data'!$A1:$AE734,11,FALSE)*$Q336*IFERROR((VLOOKUP(P336,Settings!$E$28:$F$33,2,FALSE)+1),1)</f>
        <v>1.2076436353448408</v>
      </c>
      <c r="X336" s="40">
        <f>VLOOKUP(B336,'Player Data'!$A1:$AE734,12,FALSE)*$Q336*IFERROR((VLOOKUP(P336,Settings!$E$28:$F$33,2,FALSE)+1),1)</f>
        <v>5.6590118809798833</v>
      </c>
      <c r="Y336" s="40">
        <f>VLOOKUP(B336,'Player Data'!$A1:$AE734,13,FALSE)*$Q336</f>
        <v>1.7636018183792798E-3</v>
      </c>
      <c r="Z336" s="40">
        <f>VLOOKUP(B336,'Player Data'!$A1:$AE734,14,FALSE)*$Q336</f>
        <v>0.17687657430015177</v>
      </c>
      <c r="AA336" s="40">
        <f>VLOOKUP(B336,'Player Data'!$A1:$AE734,15,FALSE)*$Q336</f>
        <v>96.478998147534938</v>
      </c>
      <c r="AB336" s="40">
        <f>VLOOKUP(B336,'Player Data'!$A1:$AE734,16,FALSE)*$Q336</f>
        <v>60.066090296479707</v>
      </c>
      <c r="AC336" s="40">
        <f>VLOOKUP(B336,'Player Data'!$A1:$AE734,17,FALSE)*$Q336*IFERROR((VLOOKUP(P336,Settings!$E$28:$F$33,2,FALSE)+1),1)</f>
        <v>2.0480209518066865</v>
      </c>
      <c r="AD336" s="40">
        <f>VLOOKUP(B336,'Player Data'!$A1:$AE734,18,FALSE)*$Q336</f>
        <v>12.724211578338309</v>
      </c>
      <c r="AE336" s="40">
        <f>VLOOKUP(B336,'Player Data'!$A1:$AE734,19,FALSE)*$Q336*IFERROR((VLOOKUP(P336,Settings!$E$28:$F$33,2,FALSE)+1),1)</f>
        <v>0.84577063015787002</v>
      </c>
      <c r="AF336" s="40">
        <f>VLOOKUP(B336,'Player Data'!$A1:$AE734,20,FALSE)*$Q336</f>
        <v>0</v>
      </c>
      <c r="AG336" s="40">
        <f>VLOOKUP(B336,'Player Data'!$A1:$AE734,21,FALSE)*$Q336</f>
        <v>0</v>
      </c>
      <c r="AH336" s="41">
        <f>VLOOKUP(B336,'Player Data'!$A1:$AE734,22,FALSE)</f>
        <v>0</v>
      </c>
      <c r="AI336" s="38"/>
      <c r="AJ336" s="40"/>
      <c r="AK336" s="40"/>
      <c r="AL336" s="40"/>
      <c r="AM336" s="40"/>
      <c r="AN336" s="40"/>
      <c r="AO336" s="40"/>
      <c r="AP336" s="40"/>
      <c r="AQ336" s="43"/>
      <c r="AR336" s="44"/>
      <c r="AS336" s="38"/>
    </row>
    <row r="337" spans="1:45" ht="21.2" customHeight="1">
      <c r="A337" s="181">
        <f t="shared" si="33"/>
        <v>336</v>
      </c>
      <c r="B337" s="8" t="s">
        <v>357</v>
      </c>
      <c r="C337" s="31" t="s">
        <v>104</v>
      </c>
      <c r="D337" s="32" t="str">
        <f>VLOOKUP(B337,'Player Data'!A1:D734,4,FALSE)</f>
        <v>LW,RW</v>
      </c>
      <c r="E337" s="45">
        <f>VLOOKUP(B337,RW!A1:F189,3,FALSE)</f>
        <v>83</v>
      </c>
      <c r="F337" s="34" t="str">
        <f>VLOOKUP(B337,'Player Data'!A1:B734,2,FALSE)</f>
        <v>WPG</v>
      </c>
      <c r="G337" s="9">
        <f>VLOOKUP(B337,'Player Data'!A1:D734,3,FALSE)</f>
        <v>30</v>
      </c>
      <c r="H337" s="35">
        <f>IFERROR(VLOOKUP(B337,ADP!A1:G731,7,FALSE)/1000000,VLOOKUP(B337,ADP!A1:G731,7,FALSE))</f>
        <v>4</v>
      </c>
      <c r="I337" s="36">
        <f>IF(Settings!$E$15="POINTS",((R337*Q337)*Settings!$B$12)+(S337*Settings!$B$2)+(T337*Settings!$B$3)+(U337*Settings!$B$4)+(V337*Settings!$B$5)+(X337*Settings!$B$9)+(AA337*Settings!$B$6)+(W337*Settings!$B$8)+(AB337*Settings!$B$7)+(AC337*Settings!$B$14)+(AD337*Settings!$B$15)+(AE337*Settings!$B$16)+(AF337*Settings!$B$17)+(AG337*Settings!$B$18)+(Y337*Settings!$B$10)+(Z337*Settings!$B$11),VLOOKUP(B337,'Standard Deviations'!A1:C731,3,FALSE))</f>
        <v>1.4803147672945323</v>
      </c>
      <c r="J337" s="37">
        <f t="shared" si="34"/>
        <v>1.8052619113347955E-2</v>
      </c>
      <c r="K337" s="183">
        <f>IF(Settings!$E$18="C/LW/RW",VLOOKUP(B337,RW!A1:F189,6,FALSE),VLOOKUP(B337,F!A1:F431,6,FALSE))</f>
        <v>-4.7999439517165481</v>
      </c>
      <c r="L337" s="36">
        <f t="shared" si="35"/>
        <v>-1.199985987929137</v>
      </c>
      <c r="M337" s="38">
        <f>IF(Settings!$E$9="YAHOO",VLOOKUP(B337,ADP!A1:E731,2,FALSE),IF(Settings!$E$9="ESPN",VLOOKUP(B337,ADP!A1:E731,3,FALSE),IF(Settings!$E$9="FANTRAX",VLOOKUP(B337,ADP!A1:E731,4,FALSE),VLOOKUP(B337,ADP!A1:E731,5,FALSE))))</f>
        <v>231.82</v>
      </c>
      <c r="N337" s="38">
        <f t="shared" si="36"/>
        <v>-104.18</v>
      </c>
      <c r="O337" s="38"/>
      <c r="P337" s="39" t="str">
        <f>IF(Settings!$E$27="ON",_xlfn.XLOOKUP(B337,ADP!A2:A731,ADP!H2:H731)," ")</f>
        <v xml:space="preserve"> </v>
      </c>
      <c r="Q337" s="40">
        <f>IF(Settings!$E$12="YES",VLOOKUP(B337,'Player Data'!A1:E734,5,FALSE),82)</f>
        <v>82</v>
      </c>
      <c r="R337" s="38">
        <f>VLOOKUP(B337,'Player Data'!$A1:$AE734,6,FALSE)</f>
        <v>15.9395245149761</v>
      </c>
      <c r="S337" s="40">
        <f>VLOOKUP(B337,'Player Data'!$A1:$AE734,7,FALSE)*$Q337*IFERROR((VLOOKUP(P337,Settings!$E$28:$F$33,2,FALSE)+1),1)</f>
        <v>24.627734882706701</v>
      </c>
      <c r="T337" s="40">
        <f>VLOOKUP(B337,'Player Data'!$A1:$AE734,8,FALSE)*$Q337*IFERROR((VLOOKUP(P337,Settings!$E$28:$F$33,2,FALSE)+1),1)</f>
        <v>20.654162828630263</v>
      </c>
      <c r="U337" s="40">
        <f>SUM(S337:T337)</f>
        <v>45.281897711336967</v>
      </c>
      <c r="V337" s="40">
        <f>VLOOKUP(B337,'Player Data'!$A1:$AE734,10,FALSE)*$Q337*IFERROR(((VLOOKUP(P337,Settings!$E$28:$F$33,2,FALSE)/2)+1),1)</f>
        <v>181.85651946883925</v>
      </c>
      <c r="W337" s="40">
        <f>VLOOKUP(B337,'Player Data'!$A1:$AE734,11,FALSE)*$Q337*IFERROR((VLOOKUP(P337,Settings!$E$28:$F$33,2,FALSE)+1),1)</f>
        <v>3.9579116541181434</v>
      </c>
      <c r="X337" s="40">
        <f>VLOOKUP(B337,'Player Data'!$A1:$AE734,12,FALSE)*$Q337*IFERROR((VLOOKUP(P337,Settings!$E$28:$F$33,2,FALSE)+1),1)</f>
        <v>6.8634799846644921</v>
      </c>
      <c r="Y337" s="40">
        <f>VLOOKUP(B337,'Player Data'!$A1:$AE734,13,FALSE)*$Q337</f>
        <v>8.7165959353131348E-3</v>
      </c>
      <c r="Z337" s="40">
        <f>VLOOKUP(B337,'Player Data'!$A1:$AE734,14,FALSE)*$Q337</f>
        <v>1.5439012054962183E-2</v>
      </c>
      <c r="AA337" s="40">
        <f>VLOOKUP(B337,'Player Data'!$A1:$AE734,15,FALSE)*$Q337</f>
        <v>30.777497637878518</v>
      </c>
      <c r="AB337" s="40">
        <f>VLOOKUP(B337,'Player Data'!$A1:$AE734,16,FALSE)*$Q337</f>
        <v>149.42495857537403</v>
      </c>
      <c r="AC337" s="40">
        <f>VLOOKUP(B337,'Player Data'!$A1:$AE734,17,FALSE)*$Q337*IFERROR((VLOOKUP(P337,Settings!$E$28:$F$33,2,FALSE)+1),1)</f>
        <v>4.3771069874605937</v>
      </c>
      <c r="AD337" s="40">
        <f>VLOOKUP(B337,'Player Data'!$A1:$AE734,18,FALSE)*$Q337</f>
        <v>29.225818619511287</v>
      </c>
      <c r="AE337" s="40">
        <f>VLOOKUP(B337,'Player Data'!$A1:$AE734,19,FALSE)*$Q337*IFERROR((VLOOKUP(P337,Settings!$E$28:$F$33,2,FALSE)+1),1)</f>
        <v>3.8420090752136118</v>
      </c>
      <c r="AF337" s="40">
        <f>VLOOKUP(B337,'Player Data'!$A1:$AE734,20,FALSE)*$Q337</f>
        <v>8.4148147354487115</v>
      </c>
      <c r="AG337" s="40">
        <f>VLOOKUP(B337,'Player Data'!$A1:$AE734,21,FALSE)*$Q337</f>
        <v>9.0617312858997767</v>
      </c>
      <c r="AH337" s="41">
        <f>VLOOKUP(B337,'Player Data'!$A1:$AE734,22,FALSE)</f>
        <v>0.48149186487819501</v>
      </c>
      <c r="AI337" s="38"/>
      <c r="AJ337" s="42"/>
      <c r="AK337" s="40"/>
      <c r="AL337" s="40"/>
      <c r="AM337" s="40"/>
      <c r="AN337" s="40"/>
      <c r="AO337" s="40"/>
      <c r="AP337" s="40"/>
      <c r="AQ337" s="43"/>
      <c r="AR337" s="44"/>
      <c r="AS337" s="38"/>
    </row>
    <row r="338" spans="1:45" ht="21.2" customHeight="1">
      <c r="A338" s="181">
        <f t="shared" si="33"/>
        <v>337</v>
      </c>
      <c r="B338" s="8" t="s">
        <v>830</v>
      </c>
      <c r="C338" s="31" t="s">
        <v>104</v>
      </c>
      <c r="D338" s="32" t="str">
        <f>VLOOKUP(B338,'Player Data'!A1:D734,4,FALSE)</f>
        <v>G</v>
      </c>
      <c r="E338" s="50">
        <f>VLOOKUP(B338,G!A1:D75,3,FALSE)</f>
        <v>72</v>
      </c>
      <c r="F338" s="34" t="str">
        <f>VLOOKUP(B338,'Player Data'!A1:B734,2,FALSE)</f>
        <v>CGY</v>
      </c>
      <c r="G338" s="9">
        <f>VLOOKUP(B338,'Player Data'!A1:D734,3,FALSE)</f>
        <v>22</v>
      </c>
      <c r="H338" s="35">
        <f>IFERROR(VLOOKUP(B338,ADP!A1:G731,7,FALSE)/1000000,VLOOKUP(B338,ADP!A1:G731,7,FALSE))</f>
        <v>0</v>
      </c>
      <c r="I338" s="36">
        <f>IF(Settings!$E$15="POINTS",(AJ338*Settings!$B$29)+(AK338*Settings!$B$21)+(AL338*Settings!$B$22)+(AN338*Settings!$B$24)+(AO338*Settings!$B$25)+(AP338*Settings!$B$27)+(AM338*Settings!$B$23),VLOOKUP(B338,'Standard Deviations'!A1:C731,3,FALSE))</f>
        <v>-3.1184243145490989</v>
      </c>
      <c r="J338" s="37">
        <f t="shared" si="34"/>
        <v>-0.38980303931863736</v>
      </c>
      <c r="K338" s="183">
        <f>VLOOKUP(B338,G!A1:F75,6,FALSE)</f>
        <v>-4.8226533657393906</v>
      </c>
      <c r="L338" s="49" t="str">
        <f t="shared" si="35"/>
        <v>N/A</v>
      </c>
      <c r="M338" s="38">
        <f>IF(Settings!$E$9="YAHOO",VLOOKUP(B338,ADP!A1:E731,2,FALSE),IF(Settings!$E$9="ESPN",VLOOKUP(B338,ADP!A1:E731,3,FALSE),IF(Settings!$E$9="FANTRAX",VLOOKUP(B338,ADP!A1:E731,4,FALSE),VLOOKUP(B338,ADP!A1:E731,5,FALSE))))</f>
        <v>374.85</v>
      </c>
      <c r="N338" s="38">
        <f t="shared" si="36"/>
        <v>37.850000000000023</v>
      </c>
      <c r="O338" s="38"/>
      <c r="P338" s="39" t="str">
        <f>IF(Settings!$E$27="ON",_xlfn.XLOOKUP(B338,ADP!A2:A731,ADP!H2:H731)," ")</f>
        <v xml:space="preserve"> </v>
      </c>
      <c r="Q338" s="40"/>
      <c r="R338" s="51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1"/>
      <c r="AI338" s="38"/>
      <c r="AJ338" s="42">
        <f>VLOOKUP(B338,'Player Data'!$A1:$AE734,24,FALSE)</f>
        <v>8</v>
      </c>
      <c r="AK338" s="40">
        <f>VLOOKUP(B338,'Player Data'!$A1:$AE734,25,FALSE)*$AJ338*IFERROR((VLOOKUP(P338,Settings!$E$28:$F$33,2,FALSE)+1),1)</f>
        <v>4.2267039722707516</v>
      </c>
      <c r="AL338" s="40">
        <f>AJ338-AK338-AM338</f>
        <v>2.7732960277292484</v>
      </c>
      <c r="AM338" s="40">
        <f>VLOOKUP(B338,'Player Data'!$A1:$AE734,27,FALSE)*$AJ338</f>
        <v>1</v>
      </c>
      <c r="AN338" s="40">
        <f>VLOOKUP(B338,'Player Data'!$A1:$AE734,28,FALSE)*AJ338</f>
        <v>0.43974075743357199</v>
      </c>
      <c r="AO338" s="40">
        <f>VLOOKUP(B338,'Player Data'!$A1:$AE734,29,FALSE)*$AJ338*IFERROR((VLOOKUP(P338,Settings!$E$28:$F$33,2,FALSE)/4)+1,1)</f>
        <v>214.99193438394721</v>
      </c>
      <c r="AP338" s="40">
        <f>VLOOKUP(B338,'Player Data'!$A1:$AE734,31,FALSE)*$AJ338*(IFERROR(1-(VLOOKUP(P338,Settings!$E$28:$F$33,2,FALSE)/4),1))</f>
        <v>22.600251866052719</v>
      </c>
      <c r="AQ338" s="43">
        <f>1-(AP338/(AO338+AP338))</f>
        <v>0.90487796664208386</v>
      </c>
      <c r="AR338" s="44">
        <f>AP338/AJ338</f>
        <v>2.8250314832565899</v>
      </c>
      <c r="AS338" s="38"/>
    </row>
    <row r="339" spans="1:45" ht="21.2" customHeight="1">
      <c r="A339" s="181">
        <f t="shared" si="33"/>
        <v>338</v>
      </c>
      <c r="B339" s="8" t="s">
        <v>375</v>
      </c>
      <c r="C339" s="31" t="s">
        <v>104</v>
      </c>
      <c r="D339" s="32" t="str">
        <f>VLOOKUP(B339,'Player Data'!A1:D734,4,FALSE)</f>
        <v>D</v>
      </c>
      <c r="E339" s="47">
        <f>VLOOKUP(B339,D!A1:C229,3,FALSE)</f>
        <v>98</v>
      </c>
      <c r="F339" s="34" t="str">
        <f>VLOOKUP(B339,'Player Data'!A1:B734,2,FALSE)</f>
        <v>LAK</v>
      </c>
      <c r="G339" s="9">
        <f>VLOOKUP(B339,'Player Data'!A1:D734,3,FALSE)</f>
        <v>27</v>
      </c>
      <c r="H339" s="35">
        <f>IFERROR(VLOOKUP(B339,ADP!A1:G731,7,FALSE)/1000000,VLOOKUP(B339,ADP!A1:G731,7,FALSE))</f>
        <v>5.875</v>
      </c>
      <c r="I339" s="36">
        <f>IF(Settings!$E$15="POINTS",((R339*Q339)*Settings!$B$12)+(S339*Settings!$B$2)+(T339*Settings!$B$3)+(U339*Settings!$B$4)+(V339*Settings!$B$5)+(X339*Settings!$B$9)+(AA339*Settings!$B$6)+(W339*Settings!$B$8)+(AB339*Settings!$B$7)+(AC339*Settings!$B$14)+(AD339*Settings!$B$15)+(AE339*Settings!$B$16)+(AF339*Settings!$B$17)+(AG339*Settings!$B$18)+(U339*Settings!$B$13)+(Y339*Settings!$B$10)+(Z339*Settings!$B$11),VLOOKUP(B339,'Standard Deviations'!A1:C731,3,FALSE))</f>
        <v>-2.8953305402653968</v>
      </c>
      <c r="J339" s="37">
        <f t="shared" si="34"/>
        <v>-3.5308909027626789E-2</v>
      </c>
      <c r="K339" s="183">
        <f>VLOOKUP(B339,D!A1:F229,6,FALSE)</f>
        <v>-4.8370710838997075</v>
      </c>
      <c r="L339" s="36">
        <f t="shared" si="35"/>
        <v>-0.82333124832335447</v>
      </c>
      <c r="M339" s="38">
        <f>IF(Settings!$E$9="YAHOO",VLOOKUP(B339,ADP!A1:E731,2,FALSE),IF(Settings!$E$9="ESPN",VLOOKUP(B339,ADP!A1:E731,3,FALSE),IF(Settings!$E$9="FANTRAX",VLOOKUP(B339,ADP!A1:E731,4,FALSE),VLOOKUP(B339,ADP!A1:E731,5,FALSE))))</f>
        <v>469.6</v>
      </c>
      <c r="N339" s="38">
        <f t="shared" si="36"/>
        <v>131.60000000000002</v>
      </c>
      <c r="O339" s="38"/>
      <c r="P339" s="39" t="str">
        <f>IF(Settings!$E$27="ON",_xlfn.XLOOKUP(B339,ADP!A2:A731,ADP!H2:H731)," ")</f>
        <v xml:space="preserve"> </v>
      </c>
      <c r="Q339" s="40">
        <f>IF(Settings!$E$12="YES",VLOOKUP(B339,'Player Data'!A1:E734,5,FALSE),82)</f>
        <v>82</v>
      </c>
      <c r="R339" s="38">
        <f>VLOOKUP(B339,'Player Data'!$A1:$AE734,6,FALSE)</f>
        <v>21.9373527078676</v>
      </c>
      <c r="S339" s="40">
        <f>VLOOKUP(B339,'Player Data'!$A1:$AE734,7,FALSE)*$Q339*IFERROR((VLOOKUP(P339,Settings!$E$28:$F$33,2,FALSE)+1),1)</f>
        <v>5.9697026132650093</v>
      </c>
      <c r="T339" s="40">
        <f>VLOOKUP(B339,'Player Data'!$A1:$AE734,8,FALSE)*$Q339*IFERROR((VLOOKUP(P339,Settings!$E$28:$F$33,2,FALSE)+1),1)</f>
        <v>22.059897002098591</v>
      </c>
      <c r="U339" s="40">
        <f>SUM(S339:T339)</f>
        <v>28.029599615363601</v>
      </c>
      <c r="V339" s="40">
        <f>VLOOKUP(B339,'Player Data'!$A1:$AE734,10,FALSE)*$Q339*IFERROR(((VLOOKUP(P339,Settings!$E$28:$F$33,2,FALSE)/2)+1),1)</f>
        <v>104.63563765248166</v>
      </c>
      <c r="W339" s="40">
        <f>VLOOKUP(B339,'Player Data'!$A1:$AE734,11,FALSE)*$Q339*IFERROR((VLOOKUP(P339,Settings!$E$28:$F$33,2,FALSE)+1),1)</f>
        <v>8.591729633028497E-2</v>
      </c>
      <c r="X339" s="40">
        <f>VLOOKUP(B339,'Player Data'!$A1:$AE734,12,FALSE)*$Q339*IFERROR((VLOOKUP(P339,Settings!$E$28:$F$33,2,FALSE)+1),1)</f>
        <v>0.54568679376214013</v>
      </c>
      <c r="Y339" s="40">
        <f>VLOOKUP(B339,'Player Data'!$A1:$AE734,13,FALSE)*$Q339</f>
        <v>0.48220906290766041</v>
      </c>
      <c r="Z339" s="40">
        <f>VLOOKUP(B339,'Player Data'!$A1:$AE734,14,FALSE)*$Q339</f>
        <v>1.3745654425028691</v>
      </c>
      <c r="AA339" s="40">
        <f>VLOOKUP(B339,'Player Data'!$A1:$AE734,15,FALSE)*$Q339</f>
        <v>128.3293421723553</v>
      </c>
      <c r="AB339" s="40">
        <f>VLOOKUP(B339,'Player Data'!$A1:$AE734,16,FALSE)*$Q339</f>
        <v>94.867851291908352</v>
      </c>
      <c r="AC339" s="40">
        <f>VLOOKUP(B339,'Player Data'!$A1:$AE734,17,FALSE)*$Q339*IFERROR((VLOOKUP(P339,Settings!$E$28:$F$33,2,FALSE)+1),1)</f>
        <v>-7.9630239325751959E-2</v>
      </c>
      <c r="AD339" s="40">
        <f>VLOOKUP(B339,'Player Data'!$A1:$AE734,18,FALSE)*$Q339</f>
        <v>49.097343933527881</v>
      </c>
      <c r="AE339" s="40">
        <f>VLOOKUP(B339,'Player Data'!$A1:$AE734,19,FALSE)*$Q339*IFERROR((VLOOKUP(P339,Settings!$E$28:$F$33,2,FALSE)+1),1)</f>
        <v>0.88388047118495583</v>
      </c>
      <c r="AF339" s="40">
        <f>VLOOKUP(B339,'Player Data'!$A1:$AE734,20,FALSE)*$Q339</f>
        <v>0</v>
      </c>
      <c r="AG339" s="40">
        <f>VLOOKUP(B339,'Player Data'!$A1:$AE734,21,FALSE)*$Q339</f>
        <v>0</v>
      </c>
      <c r="AH339" s="41">
        <f>VLOOKUP(B339,'Player Data'!$A1:$AE734,22,FALSE)</f>
        <v>0</v>
      </c>
      <c r="AI339" s="38"/>
      <c r="AJ339" s="42"/>
      <c r="AK339" s="40"/>
      <c r="AL339" s="40"/>
      <c r="AM339" s="40"/>
      <c r="AN339" s="40"/>
      <c r="AO339" s="40"/>
      <c r="AP339" s="40"/>
      <c r="AQ339" s="43"/>
      <c r="AR339" s="44"/>
      <c r="AS339" s="38"/>
    </row>
    <row r="340" spans="1:45" ht="21.2" customHeight="1">
      <c r="A340" s="181">
        <f t="shared" si="33"/>
        <v>339</v>
      </c>
      <c r="B340" s="8" t="s">
        <v>377</v>
      </c>
      <c r="C340" s="31" t="s">
        <v>104</v>
      </c>
      <c r="D340" s="32" t="str">
        <f>VLOOKUP(B340,'Player Data'!A1:D734,4,FALSE)</f>
        <v>D</v>
      </c>
      <c r="E340" s="47">
        <f>VLOOKUP(B340,D!A1:C229,3,FALSE)</f>
        <v>99</v>
      </c>
      <c r="F340" s="34" t="str">
        <f>VLOOKUP(B340,'Player Data'!A1:B734,2,FALSE)</f>
        <v>PHI</v>
      </c>
      <c r="G340" s="9">
        <f>VLOOKUP(B340,'Player Data'!A1:D734,3,FALSE)</f>
        <v>28</v>
      </c>
      <c r="H340" s="35">
        <f>IFERROR(VLOOKUP(B340,ADP!A1:G731,7,FALSE)/1000000,VLOOKUP(B340,ADP!A1:G731,7,FALSE))</f>
        <v>5.0999999999999996</v>
      </c>
      <c r="I340" s="36">
        <f>IF(Settings!$E$15="POINTS",((R340*Q340)*Settings!$B$12)+(S340*Settings!$B$2)+(T340*Settings!$B$3)+(U340*Settings!$B$4)+(V340*Settings!$B$5)+(X340*Settings!$B$9)+(AA340*Settings!$B$6)+(W340*Settings!$B$8)+(AB340*Settings!$B$7)+(AC340*Settings!$B$14)+(AD340*Settings!$B$15)+(AE340*Settings!$B$16)+(AF340*Settings!$B$17)+(AG340*Settings!$B$18)+(U340*Settings!$B$13)+(Y340*Settings!$B$10)+(Z340*Settings!$B$11),VLOOKUP(B340,'Standard Deviations'!A1:C731,3,FALSE))</f>
        <v>-2.8988055969033466</v>
      </c>
      <c r="J340" s="37">
        <f t="shared" si="34"/>
        <v>-3.5351287767113986E-2</v>
      </c>
      <c r="K340" s="183">
        <f>VLOOKUP(B340,D!A1:F229,6,FALSE)</f>
        <v>-4.8405461405376577</v>
      </c>
      <c r="L340" s="36">
        <f t="shared" si="35"/>
        <v>-0.94912669422307017</v>
      </c>
      <c r="M340" s="38">
        <f>IF(Settings!$E$9="YAHOO",VLOOKUP(B340,ADP!A1:E731,2,FALSE),IF(Settings!$E$9="ESPN",VLOOKUP(B340,ADP!A1:E731,3,FALSE),IF(Settings!$E$9="FANTRAX",VLOOKUP(B340,ADP!A1:E731,4,FALSE),VLOOKUP(B340,ADP!A1:E731,5,FALSE))))</f>
        <v>246</v>
      </c>
      <c r="N340" s="38">
        <f t="shared" si="36"/>
        <v>-93</v>
      </c>
      <c r="O340" s="38"/>
      <c r="P340" s="39" t="str">
        <f>IF(Settings!$E$27="ON",_xlfn.XLOOKUP(B340,ADP!A2:A731,ADP!H2:H731)," ")</f>
        <v xml:space="preserve"> </v>
      </c>
      <c r="Q340" s="40">
        <f>IF(Settings!$E$12="YES",VLOOKUP(B340,'Player Data'!A1:E734,5,FALSE),82)</f>
        <v>82</v>
      </c>
      <c r="R340" s="38">
        <f>VLOOKUP(B340,'Player Data'!$A1:$AE734,6,FALSE)</f>
        <v>20.747243389522801</v>
      </c>
      <c r="S340" s="40">
        <f>VLOOKUP(B340,'Player Data'!$A1:$AE734,7,FALSE)*$Q340*IFERROR((VLOOKUP(P340,Settings!$E$28:$F$33,2,FALSE)+1),1)</f>
        <v>4.178575603936677</v>
      </c>
      <c r="T340" s="40">
        <f>VLOOKUP(B340,'Player Data'!$A1:$AE734,8,FALSE)*$Q340*IFERROR((VLOOKUP(P340,Settings!$E$28:$F$33,2,FALSE)+1),1)</f>
        <v>20.017957993597992</v>
      </c>
      <c r="U340" s="40">
        <f>SUM(S340:T340)</f>
        <v>24.196533597534668</v>
      </c>
      <c r="V340" s="40">
        <f>VLOOKUP(B340,'Player Data'!$A1:$AE734,10,FALSE)*$Q340*IFERROR(((VLOOKUP(P340,Settings!$E$28:$F$33,2,FALSE)/2)+1),1)</f>
        <v>110.77618186759396</v>
      </c>
      <c r="W340" s="40">
        <f>VLOOKUP(B340,'Player Data'!$A1:$AE734,11,FALSE)*$Q340*IFERROR((VLOOKUP(P340,Settings!$E$28:$F$33,2,FALSE)+1),1)</f>
        <v>0.71285279317367933</v>
      </c>
      <c r="X340" s="40">
        <f>VLOOKUP(B340,'Player Data'!$A1:$AE734,12,FALSE)*$Q340*IFERROR((VLOOKUP(P340,Settings!$E$28:$F$33,2,FALSE)+1),1)</f>
        <v>4.3617366097939021</v>
      </c>
      <c r="Y340" s="40">
        <f>VLOOKUP(B340,'Player Data'!$A1:$AE734,13,FALSE)*$Q340</f>
        <v>0.51021820120460482</v>
      </c>
      <c r="Z340" s="40">
        <f>VLOOKUP(B340,'Player Data'!$A1:$AE734,14,FALSE)*$Q340</f>
        <v>1.5789712220433865</v>
      </c>
      <c r="AA340" s="40">
        <f>VLOOKUP(B340,'Player Data'!$A1:$AE734,15,FALSE)*$Q340</f>
        <v>153.82322224762589</v>
      </c>
      <c r="AB340" s="40">
        <f>VLOOKUP(B340,'Player Data'!$A1:$AE734,16,FALSE)*$Q340</f>
        <v>202.47434338118529</v>
      </c>
      <c r="AC340" s="40">
        <f>VLOOKUP(B340,'Player Data'!$A1:$AE734,17,FALSE)*$Q340*IFERROR((VLOOKUP(P340,Settings!$E$28:$F$33,2,FALSE)+1),1)</f>
        <v>-6.135375707988187</v>
      </c>
      <c r="AD340" s="40">
        <f>VLOOKUP(B340,'Player Data'!$A1:$AE734,18,FALSE)*$Q340</f>
        <v>44.378192588913329</v>
      </c>
      <c r="AE340" s="40">
        <f>VLOOKUP(B340,'Player Data'!$A1:$AE734,19,FALSE)*$Q340*IFERROR((VLOOKUP(P340,Settings!$E$28:$F$33,2,FALSE)+1),1)</f>
        <v>0.49117335369321319</v>
      </c>
      <c r="AF340" s="40">
        <f>VLOOKUP(B340,'Player Data'!$A1:$AE734,20,FALSE)*$Q340</f>
        <v>0</v>
      </c>
      <c r="AG340" s="40">
        <f>VLOOKUP(B340,'Player Data'!$A1:$AE734,21,FALSE)*$Q340</f>
        <v>0</v>
      </c>
      <c r="AH340" s="41">
        <f>VLOOKUP(B340,'Player Data'!$A1:$AE734,22,FALSE)</f>
        <v>0</v>
      </c>
      <c r="AI340" s="38"/>
      <c r="AJ340" s="42"/>
      <c r="AK340" s="40"/>
      <c r="AL340" s="40"/>
      <c r="AM340" s="40"/>
      <c r="AN340" s="40"/>
      <c r="AO340" s="40"/>
      <c r="AP340" s="40"/>
      <c r="AQ340" s="43"/>
      <c r="AR340" s="44"/>
      <c r="AS340" s="38"/>
    </row>
    <row r="341" spans="1:45" ht="21.2" customHeight="1">
      <c r="A341" s="181">
        <f t="shared" si="33"/>
        <v>340</v>
      </c>
      <c r="B341" s="8" t="s">
        <v>832</v>
      </c>
      <c r="C341" s="31" t="s">
        <v>104</v>
      </c>
      <c r="D341" s="32" t="str">
        <f>VLOOKUP(B341,'Player Data'!A1:D734,4,FALSE)</f>
        <v>G</v>
      </c>
      <c r="E341" s="50">
        <f>VLOOKUP(B341,G!A1:D75,3,FALSE)</f>
        <v>73</v>
      </c>
      <c r="F341" s="34" t="str">
        <f>VLOOKUP(B341,'Player Data'!A1:B734,2,FALSE)</f>
        <v>VAN</v>
      </c>
      <c r="G341" s="9">
        <f>VLOOKUP(B341,'Player Data'!A1:D734,3,FALSE)</f>
        <v>28</v>
      </c>
      <c r="H341" s="35">
        <f>IFERROR(VLOOKUP(B341,ADP!A1:G731,7,FALSE)/1000000,VLOOKUP(B341,ADP!A1:G731,7,FALSE))</f>
        <v>0.76249999999999996</v>
      </c>
      <c r="I341" s="36">
        <f>IF(Settings!$E$15="POINTS",(AJ341*Settings!$B$29)+(AK341*Settings!$B$21)+(AL341*Settings!$B$22)+(AN341*Settings!$B$24)+(AO341*Settings!$B$25)+(AP341*Settings!$B$27)+(AM341*Settings!$B$23),VLOOKUP(B341,'Standard Deviations'!A1:C731,3,FALSE))</f>
        <v>-3.172351078684474</v>
      </c>
      <c r="J341" s="37">
        <f t="shared" si="34"/>
        <v>-0.39654388483555925</v>
      </c>
      <c r="K341" s="183">
        <f>VLOOKUP(B341,G!A1:F75,6,FALSE)</f>
        <v>-4.8765801298747657</v>
      </c>
      <c r="L341" s="36">
        <f t="shared" si="35"/>
        <v>-6.3955149244259228</v>
      </c>
      <c r="M341" s="52" t="str">
        <f>IF(Settings!$E$9="YAHOO",VLOOKUP(B341,ADP!A1:E731,2,FALSE),IF(Settings!$E$9="ESPN",VLOOKUP(B341,ADP!A1:E731,3,FALSE),IF(Settings!$E$9="FANTRAX",VLOOKUP(B341,ADP!A1:E731,4,FALSE),VLOOKUP(B341,ADP!A1:E731,5,FALSE))))</f>
        <v>-</v>
      </c>
      <c r="N341" s="52" t="str">
        <f t="shared" si="36"/>
        <v>N/A</v>
      </c>
      <c r="O341" s="38"/>
      <c r="P341" s="39" t="str">
        <f>IF(Settings!$E$27="ON",_xlfn.XLOOKUP(B341,ADP!A2:A731,ADP!H2:H731)," ")</f>
        <v xml:space="preserve"> </v>
      </c>
      <c r="Q341" s="40"/>
      <c r="R341" s="51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1"/>
      <c r="AI341" s="38"/>
      <c r="AJ341" s="42">
        <f>VLOOKUP(B341,'Player Data'!$A1:$AE734,24,FALSE)</f>
        <v>8</v>
      </c>
      <c r="AK341" s="40">
        <f>VLOOKUP(B341,'Player Data'!$A1:$AE734,25,FALSE)*$AJ341*IFERROR((VLOOKUP(P341,Settings!$E$28:$F$33,2,FALSE)+1),1)</f>
        <v>3.6229062684789839</v>
      </c>
      <c r="AL341" s="40">
        <f>AJ341-AK341-AM341</f>
        <v>3.3770937315210166</v>
      </c>
      <c r="AM341" s="40">
        <f>VLOOKUP(B341,'Player Data'!$A1:$AE734,27,FALSE)*$AJ341</f>
        <v>1</v>
      </c>
      <c r="AN341" s="40">
        <f>VLOOKUP(B341,'Player Data'!$A1:$AE734,28,FALSE)*AJ341</f>
        <v>0.26460567655847361</v>
      </c>
      <c r="AO341" s="40">
        <f>VLOOKUP(B341,'Player Data'!$A1:$AE734,29,FALSE)*$AJ341*IFERROR((VLOOKUP(P341,Settings!$E$28:$F$33,2,FALSE)/4)+1,1)</f>
        <v>220.42789599343519</v>
      </c>
      <c r="AP341" s="40">
        <f>VLOOKUP(B341,'Player Data'!$A1:$AE734,31,FALSE)*$AJ341*(IFERROR(1-(VLOOKUP(P341,Settings!$E$28:$F$33,2,FALSE)/4),1))</f>
        <v>24.89259585656448</v>
      </c>
      <c r="AQ341" s="43">
        <f>1-(AP341/(AO341+AP341))</f>
        <v>0.89853030348648999</v>
      </c>
      <c r="AR341" s="44">
        <f>AP341/AJ341</f>
        <v>3.11157448207056</v>
      </c>
      <c r="AS341" s="38"/>
    </row>
    <row r="342" spans="1:45" ht="21.2" customHeight="1">
      <c r="A342" s="181">
        <f t="shared" si="33"/>
        <v>341</v>
      </c>
      <c r="B342" s="8" t="s">
        <v>428</v>
      </c>
      <c r="C342" s="31" t="s">
        <v>104</v>
      </c>
      <c r="D342" s="32" t="str">
        <f>VLOOKUP(B342,'Player Data'!A1:D734,4,FALSE)</f>
        <v>C,LW</v>
      </c>
      <c r="E342" s="45">
        <f>VLOOKUP(B342,LW!A1:C227,3,FALSE)</f>
        <v>76</v>
      </c>
      <c r="F342" s="34" t="str">
        <f>VLOOKUP(B342,'Player Data'!A1:B734,2,FALSE)</f>
        <v>LAK</v>
      </c>
      <c r="G342" s="9">
        <f>VLOOKUP(B342,'Player Data'!A1:D734,3,FALSE)</f>
        <v>21</v>
      </c>
      <c r="H342" s="35">
        <f>IFERROR(VLOOKUP(B342,ADP!A1:G731,7,FALSE)/1000000,VLOOKUP(B342,ADP!A1:G731,7,FALSE))</f>
        <v>0.89416700000000005</v>
      </c>
      <c r="I342" s="36">
        <f>IF(Settings!$E$15="POINTS",((R342*Q342)*Settings!$B$12)+(S342*Settings!$B$2)+(T342*Settings!$B$3)+(U342*Settings!$B$4)+(V342*Settings!$B$5)+(X342*Settings!$B$9)+(AA342*Settings!$B$6)+(W342*Settings!$B$8)+(AB342*Settings!$B$7)+(AC342*Settings!$B$14)+(AD342*Settings!$B$15)+(AE342*Settings!$B$16)+(AF342*Settings!$B$17)+(AG342*Settings!$B$18)+(Y342*Settings!$B$10)+(Z342*Settings!$B$11),VLOOKUP(B342,'Standard Deviations'!A1:C731,3,FALSE))</f>
        <v>1.772556233377534</v>
      </c>
      <c r="J342" s="37">
        <f t="shared" si="34"/>
        <v>2.1616539431433341E-2</v>
      </c>
      <c r="K342" s="183">
        <f>IF(Settings!$E$18="C/LW/RW",VLOOKUP(B342,LW!A1:F227,6,FALSE),VLOOKUP(B342,F!A1:F431,6,FALSE))</f>
        <v>-4.8821128107468672</v>
      </c>
      <c r="L342" s="36">
        <f t="shared" si="35"/>
        <v>-5.4599563736381089</v>
      </c>
      <c r="M342" s="38">
        <f>IF(Settings!$E$9="YAHOO",VLOOKUP(B342,ADP!A1:E731,2,FALSE),IF(Settings!$E$9="ESPN",VLOOKUP(B342,ADP!A1:E731,3,FALSE),IF(Settings!$E$9="FANTRAX",VLOOKUP(B342,ADP!A1:E731,4,FALSE),VLOOKUP(B342,ADP!A1:E731,5,FALSE))))</f>
        <v>325.68</v>
      </c>
      <c r="N342" s="38">
        <f t="shared" si="36"/>
        <v>-15.319999999999993</v>
      </c>
      <c r="O342" s="38"/>
      <c r="P342" s="39" t="str">
        <f>IF(Settings!$E$27="ON",_xlfn.XLOOKUP(B342,ADP!A2:A731,ADP!H2:H731)," ")</f>
        <v>+ + +</v>
      </c>
      <c r="Q342" s="40">
        <f>IF(Settings!$E$12="YES",VLOOKUP(B342,'Player Data'!A1:E734,5,FALSE),82)</f>
        <v>82</v>
      </c>
      <c r="R342" s="38">
        <f>VLOOKUP(B342,'Player Data'!$A1:$AE734,6,FALSE)</f>
        <v>16.834877080397501</v>
      </c>
      <c r="S342" s="40">
        <f>VLOOKUP(B342,'Player Data'!$A1:$AE734,7,FALSE)*$Q342*IFERROR((VLOOKUP(P342,Settings!$E$28:$F$33,2,FALSE)+1),1)</f>
        <v>17.082905012405849</v>
      </c>
      <c r="T342" s="40">
        <f>VLOOKUP(B342,'Player Data'!$A1:$AE734,8,FALSE)*$Q342*IFERROR((VLOOKUP(P342,Settings!$E$28:$F$33,2,FALSE)+1),1)</f>
        <v>37.188740128490629</v>
      </c>
      <c r="U342" s="40">
        <f t="shared" ref="U342:U405" si="37">SUM(S342:T342)</f>
        <v>54.271645140896482</v>
      </c>
      <c r="V342" s="40">
        <f>VLOOKUP(B342,'Player Data'!$A1:$AE734,10,FALSE)*$Q342*IFERROR(((VLOOKUP(P342,Settings!$E$28:$F$33,2,FALSE)/2)+1),1)</f>
        <v>144.36027566057589</v>
      </c>
      <c r="W342" s="40">
        <f>VLOOKUP(B342,'Player Data'!$A1:$AE734,11,FALSE)*$Q342*IFERROR((VLOOKUP(P342,Settings!$E$28:$F$33,2,FALSE)+1),1)</f>
        <v>3.6686184553376138</v>
      </c>
      <c r="X342" s="40">
        <f>VLOOKUP(B342,'Player Data'!$A1:$AE734,12,FALSE)*$Q342*IFERROR((VLOOKUP(P342,Settings!$E$28:$F$33,2,FALSE)+1),1)</f>
        <v>7.3445228887407508</v>
      </c>
      <c r="Y342" s="40">
        <f>VLOOKUP(B342,'Player Data'!$A1:$AE734,13,FALSE)*$Q342</f>
        <v>5.3101665280723978E-2</v>
      </c>
      <c r="Z342" s="40">
        <f>VLOOKUP(B342,'Player Data'!$A1:$AE734,14,FALSE)*$Q342</f>
        <v>0.10624236486831</v>
      </c>
      <c r="AA342" s="40">
        <f>VLOOKUP(B342,'Player Data'!$A1:$AE734,15,FALSE)*$Q342</f>
        <v>28.440417350147658</v>
      </c>
      <c r="AB342" s="40">
        <f>VLOOKUP(B342,'Player Data'!$A1:$AE734,16,FALSE)*$Q342</f>
        <v>78.790541195599189</v>
      </c>
      <c r="AC342" s="40">
        <f>VLOOKUP(B342,'Player Data'!$A1:$AE734,17,FALSE)*$Q342*IFERROR((VLOOKUP(P342,Settings!$E$28:$F$33,2,FALSE)+1),1)</f>
        <v>0.94101415921085008</v>
      </c>
      <c r="AD342" s="40">
        <f>VLOOKUP(B342,'Player Data'!$A1:$AE734,18,FALSE)*$Q342</f>
        <v>48.286320414635888</v>
      </c>
      <c r="AE342" s="40">
        <f>VLOOKUP(B342,'Player Data'!$A1:$AE734,19,FALSE)*$Q342*IFERROR((VLOOKUP(P342,Settings!$E$28:$F$33,2,FALSE)+1),1)</f>
        <v>2.5293129507024106</v>
      </c>
      <c r="AF342" s="40">
        <f>VLOOKUP(B342,'Player Data'!$A1:$AE734,20,FALSE)*$Q342</f>
        <v>131.44485508275227</v>
      </c>
      <c r="AG342" s="40">
        <f>VLOOKUP(B342,'Player Data'!$A1:$AE734,21,FALSE)*$Q342</f>
        <v>152.62090057992467</v>
      </c>
      <c r="AH342" s="41">
        <f>VLOOKUP(B342,'Player Data'!$A1:$AE734,22,FALSE)</f>
        <v>0.46272685975862698</v>
      </c>
      <c r="AI342" s="38"/>
      <c r="AJ342" s="42"/>
      <c r="AK342" s="40"/>
      <c r="AL342" s="40"/>
      <c r="AM342" s="40"/>
      <c r="AN342" s="40"/>
      <c r="AO342" s="40"/>
      <c r="AP342" s="40"/>
      <c r="AQ342" s="43"/>
      <c r="AR342" s="44"/>
      <c r="AS342" s="38"/>
    </row>
    <row r="343" spans="1:45" ht="21.2" customHeight="1">
      <c r="A343" s="181">
        <f t="shared" si="33"/>
        <v>342</v>
      </c>
      <c r="B343" s="8" t="s">
        <v>384</v>
      </c>
      <c r="C343" s="31" t="s">
        <v>104</v>
      </c>
      <c r="D343" s="32" t="str">
        <f>VLOOKUP(B343,'Player Data'!A1:D734,4,FALSE)</f>
        <v>C</v>
      </c>
      <c r="E343" s="33">
        <f>VLOOKUP(B343,'C'!A1:C208,3,FALSE)</f>
        <v>81</v>
      </c>
      <c r="F343" s="34" t="str">
        <f>VLOOKUP(B343,'Player Data'!A1:B734,2,FALSE)</f>
        <v>VGK</v>
      </c>
      <c r="G343" s="9">
        <f>VLOOKUP(B343,'Player Data'!A1:D734,3,FALSE)</f>
        <v>30</v>
      </c>
      <c r="H343" s="35">
        <f>IFERROR(VLOOKUP(B343,ADP!A1:G731,7,FALSE)/1000000,VLOOKUP(B343,ADP!A1:G731,7,FALSE))</f>
        <v>5.9</v>
      </c>
      <c r="I343" s="36">
        <f>IF(Settings!$E$15="POINTS",((R343*Q343)*Settings!$B$12)+(S343*Settings!$B$2)+(T343*Settings!$B$3)+(U343*Settings!$B$4)+(V343*Settings!$B$5)+(X343*Settings!$B$9)+(AA343*Settings!$B$6)+(W343*Settings!$B$8)+(AB343*Settings!$B$7)+(AC343*Settings!$B$14)+(AD343*Settings!$B$15)+(AE343*Settings!$B$16)+(AF343*Settings!$B$17)+(AG343*Settings!$B$18)+(Y343*Settings!$B$10)+(Z343*Settings!$B$11),VLOOKUP(B343,'Standard Deviations'!A1:C731,3,FALSE))</f>
        <v>1.4385726371349721</v>
      </c>
      <c r="J343" s="37">
        <f t="shared" si="34"/>
        <v>1.7543568745548441E-2</v>
      </c>
      <c r="K343" s="183">
        <f>IF(Settings!$E$18="C/LW/RW",VLOOKUP(B343,'C'!A1:F208,6,FALSE),VLOOKUP(B343,F!A1:F431,6,FALSE))</f>
        <v>-4.8984780870716307</v>
      </c>
      <c r="L343" s="36">
        <f t="shared" si="35"/>
        <v>-0.83025052323247972</v>
      </c>
      <c r="M343" s="38">
        <f>IF(Settings!$E$9="YAHOO",VLOOKUP(B343,ADP!A1:E731,2,FALSE),IF(Settings!$E$9="ESPN",VLOOKUP(B343,ADP!A1:E731,3,FALSE),IF(Settings!$E$9="FANTRAX",VLOOKUP(B343,ADP!A1:E731,4,FALSE),VLOOKUP(B343,ADP!A1:E731,5,FALSE))))</f>
        <v>329.49</v>
      </c>
      <c r="N343" s="38">
        <f t="shared" si="36"/>
        <v>-12.509999999999991</v>
      </c>
      <c r="O343" s="38"/>
      <c r="P343" s="39" t="str">
        <f>IF(Settings!$E$27="ON",_xlfn.XLOOKUP(B343,ADP!A2:A731,ADP!H2:H731)," ")</f>
        <v xml:space="preserve"> </v>
      </c>
      <c r="Q343" s="40">
        <f>IF(Settings!$E$12="YES",VLOOKUP(B343,'Player Data'!A1:E734,5,FALSE),82)</f>
        <v>82</v>
      </c>
      <c r="R343" s="38">
        <f>VLOOKUP(B343,'Player Data'!$A1:$AE734,6,FALSE)</f>
        <v>17.934939206364302</v>
      </c>
      <c r="S343" s="40">
        <f>VLOOKUP(B343,'Player Data'!$A1:$AE734,7,FALSE)*$Q343*IFERROR((VLOOKUP(P343,Settings!$E$28:$F$33,2,FALSE)+1),1)</f>
        <v>15.249504921919296</v>
      </c>
      <c r="T343" s="40">
        <f>VLOOKUP(B343,'Player Data'!$A1:$AE734,8,FALSE)*$Q343*IFERROR((VLOOKUP(P343,Settings!$E$28:$F$33,2,FALSE)+1),1)</f>
        <v>34.022845116479111</v>
      </c>
      <c r="U343" s="40">
        <f t="shared" si="37"/>
        <v>49.272350038398407</v>
      </c>
      <c r="V343" s="40">
        <f>VLOOKUP(B343,'Player Data'!$A1:$AE734,10,FALSE)*$Q343*IFERROR(((VLOOKUP(P343,Settings!$E$28:$F$33,2,FALSE)/2)+1),1)</f>
        <v>163.183688737496</v>
      </c>
      <c r="W343" s="40">
        <f>VLOOKUP(B343,'Player Data'!$A1:$AE734,11,FALSE)*$Q343*IFERROR((VLOOKUP(P343,Settings!$E$28:$F$33,2,FALSE)+1),1)</f>
        <v>1.4634884587759993</v>
      </c>
      <c r="X343" s="40">
        <f>VLOOKUP(B343,'Player Data'!$A1:$AE734,12,FALSE)*$Q343*IFERROR((VLOOKUP(P343,Settings!$E$28:$F$33,2,FALSE)+1),1)</f>
        <v>7.1053554706966695</v>
      </c>
      <c r="Y343" s="40">
        <f>VLOOKUP(B343,'Player Data'!$A1:$AE734,13,FALSE)*$Q343</f>
        <v>1.5790175725834108</v>
      </c>
      <c r="Z343" s="40">
        <f>VLOOKUP(B343,'Player Data'!$A1:$AE734,14,FALSE)*$Q343</f>
        <v>3.6019188942066802</v>
      </c>
      <c r="AA343" s="40">
        <f>VLOOKUP(B343,'Player Data'!$A1:$AE734,15,FALSE)*$Q343</f>
        <v>49.94357377250649</v>
      </c>
      <c r="AB343" s="40">
        <f>VLOOKUP(B343,'Player Data'!$A1:$AE734,16,FALSE)*$Q343</f>
        <v>53.878033474882976</v>
      </c>
      <c r="AC343" s="40">
        <f>VLOOKUP(B343,'Player Data'!$A1:$AE734,17,FALSE)*$Q343*IFERROR((VLOOKUP(P343,Settings!$E$28:$F$33,2,FALSE)+1),1)</f>
        <v>6.3535816256127173</v>
      </c>
      <c r="AD343" s="40">
        <f>VLOOKUP(B343,'Player Data'!$A1:$AE734,18,FALSE)*$Q343</f>
        <v>14.189585428946582</v>
      </c>
      <c r="AE343" s="40">
        <f>VLOOKUP(B343,'Player Data'!$A1:$AE734,19,FALSE)*$Q343*IFERROR((VLOOKUP(P343,Settings!$E$28:$F$33,2,FALSE)+1),1)</f>
        <v>2.4921851832917383</v>
      </c>
      <c r="AF343" s="40">
        <f>VLOOKUP(B343,'Player Data'!$A1:$AE734,20,FALSE)*$Q343</f>
        <v>643.32253066273609</v>
      </c>
      <c r="AG343" s="40">
        <f>VLOOKUP(B343,'Player Data'!$A1:$AE734,21,FALSE)*$Q343</f>
        <v>550.19788947128711</v>
      </c>
      <c r="AH343" s="41">
        <f>VLOOKUP(B343,'Player Data'!$A1:$AE734,22,FALSE)</f>
        <v>0.53901258814700104</v>
      </c>
      <c r="AI343" s="38"/>
      <c r="AJ343" s="42"/>
      <c r="AK343" s="40"/>
      <c r="AL343" s="40"/>
      <c r="AM343" s="40"/>
      <c r="AN343" s="40"/>
      <c r="AO343" s="40"/>
      <c r="AP343" s="40"/>
      <c r="AQ343" s="43"/>
      <c r="AR343" s="44"/>
      <c r="AS343" s="38"/>
    </row>
    <row r="344" spans="1:45" ht="21.2" customHeight="1">
      <c r="A344" s="181">
        <f t="shared" si="33"/>
        <v>343</v>
      </c>
      <c r="B344" s="8" t="s">
        <v>382</v>
      </c>
      <c r="C344" s="31" t="s">
        <v>104</v>
      </c>
      <c r="D344" s="32" t="str">
        <f>VLOOKUP(B344,'Player Data'!A1:D734,4,FALSE)</f>
        <v>D</v>
      </c>
      <c r="E344" s="47">
        <f>VLOOKUP(B344,D!A1:C229,3,FALSE)</f>
        <v>100</v>
      </c>
      <c r="F344" s="34" t="str">
        <f>VLOOKUP(B344,'Player Data'!A1:B734,2,FALSE)</f>
        <v>WSH</v>
      </c>
      <c r="G344" s="9">
        <f>VLOOKUP(B344,'Player Data'!A1:D734,3,FALSE)</f>
        <v>32</v>
      </c>
      <c r="H344" s="35">
        <f>IFERROR(VLOOKUP(B344,ADP!A1:G731,7,FALSE)/1000000,VLOOKUP(B344,ADP!A1:G731,7,FALSE))</f>
        <v>4.05</v>
      </c>
      <c r="I344" s="36">
        <f>IF(Settings!$E$15="POINTS",((R344*Q344)*Settings!$B$12)+(S344*Settings!$B$2)+(T344*Settings!$B$3)+(U344*Settings!$B$4)+(V344*Settings!$B$5)+(X344*Settings!$B$9)+(AA344*Settings!$B$6)+(W344*Settings!$B$8)+(AB344*Settings!$B$7)+(AC344*Settings!$B$14)+(AD344*Settings!$B$15)+(AE344*Settings!$B$16)+(AF344*Settings!$B$17)+(AG344*Settings!$B$18)+(U344*Settings!$B$13)+(Y344*Settings!$B$10)+(Z344*Settings!$B$11),VLOOKUP(B344,'Standard Deviations'!A1:C731,3,FALSE))</f>
        <v>-3.0146891254994812</v>
      </c>
      <c r="J344" s="37">
        <f t="shared" si="34"/>
        <v>-3.6764501530481476E-2</v>
      </c>
      <c r="K344" s="183">
        <f>VLOOKUP(B344,D!A1:F229,6,FALSE)</f>
        <v>-4.9564296691337919</v>
      </c>
      <c r="L344" s="36">
        <f t="shared" si="35"/>
        <v>-1.2238097948478499</v>
      </c>
      <c r="M344" s="52" t="str">
        <f>IF(Settings!$E$9="YAHOO",VLOOKUP(B344,ADP!A1:E731,2,FALSE),IF(Settings!$E$9="ESPN",VLOOKUP(B344,ADP!A1:E731,3,FALSE),IF(Settings!$E$9="FANTRAX",VLOOKUP(B344,ADP!A1:E731,4,FALSE),VLOOKUP(B344,ADP!A1:E731,5,FALSE))))</f>
        <v>-</v>
      </c>
      <c r="N344" s="52" t="str">
        <f t="shared" si="36"/>
        <v>N/A</v>
      </c>
      <c r="O344" s="38"/>
      <c r="P344" s="39" t="str">
        <f>IF(Settings!$E$27="ON",_xlfn.XLOOKUP(B344,ADP!A2:A731,ADP!H2:H731)," ")</f>
        <v xml:space="preserve"> </v>
      </c>
      <c r="Q344" s="40">
        <f>IF(Settings!$E$12="YES",VLOOKUP(B344,'Player Data'!A1:E734,5,FALSE),82)</f>
        <v>82</v>
      </c>
      <c r="R344" s="38">
        <f>VLOOKUP(B344,'Player Data'!$A1:$AE734,6,FALSE)</f>
        <v>20.778134799549601</v>
      </c>
      <c r="S344" s="40">
        <f>VLOOKUP(B344,'Player Data'!$A1:$AE734,7,FALSE)*$Q344*IFERROR((VLOOKUP(P344,Settings!$E$28:$F$33,2,FALSE)+1),1)</f>
        <v>4.9408801680374204</v>
      </c>
      <c r="T344" s="40">
        <f>VLOOKUP(B344,'Player Data'!$A1:$AE734,8,FALSE)*$Q344*IFERROR((VLOOKUP(P344,Settings!$E$28:$F$33,2,FALSE)+1),1)</f>
        <v>21.426074327052767</v>
      </c>
      <c r="U344" s="40">
        <f t="shared" si="37"/>
        <v>26.366954495090187</v>
      </c>
      <c r="V344" s="40">
        <f>VLOOKUP(B344,'Player Data'!$A1:$AE734,10,FALSE)*$Q344*IFERROR(((VLOOKUP(P344,Settings!$E$28:$F$33,2,FALSE)/2)+1),1)</f>
        <v>113.14968966261569</v>
      </c>
      <c r="W344" s="40">
        <f>VLOOKUP(B344,'Player Data'!$A1:$AE734,11,FALSE)*$Q344*IFERROR((VLOOKUP(P344,Settings!$E$28:$F$33,2,FALSE)+1),1)</f>
        <v>1.5613642798386364E-2</v>
      </c>
      <c r="X344" s="40">
        <f>VLOOKUP(B344,'Player Data'!$A1:$AE734,12,FALSE)*$Q344*IFERROR((VLOOKUP(P344,Settings!$E$28:$F$33,2,FALSE)+1),1)</f>
        <v>0.1032796600915417</v>
      </c>
      <c r="Y344" s="40">
        <f>VLOOKUP(B344,'Player Data'!$A1:$AE734,13,FALSE)*$Q344</f>
        <v>-5.4465345431632423E-2</v>
      </c>
      <c r="Z344" s="40">
        <f>VLOOKUP(B344,'Player Data'!$A1:$AE734,14,FALSE)*$Q344</f>
        <v>0.34053054113317816</v>
      </c>
      <c r="AA344" s="40">
        <f>VLOOKUP(B344,'Player Data'!$A1:$AE734,15,FALSE)*$Q344</f>
        <v>132.2578226192818</v>
      </c>
      <c r="AB344" s="40">
        <f>VLOOKUP(B344,'Player Data'!$A1:$AE734,16,FALSE)*$Q344</f>
        <v>127.2344596282439</v>
      </c>
      <c r="AC344" s="40">
        <f>VLOOKUP(B344,'Player Data'!$A1:$AE734,17,FALSE)*$Q344*IFERROR((VLOOKUP(P344,Settings!$E$28:$F$33,2,FALSE)+1),1)</f>
        <v>-2.061541193631764</v>
      </c>
      <c r="AD344" s="40">
        <f>VLOOKUP(B344,'Player Data'!$A1:$AE734,18,FALSE)*$Q344</f>
        <v>25.225322406798103</v>
      </c>
      <c r="AE344" s="40">
        <f>VLOOKUP(B344,'Player Data'!$A1:$AE734,19,FALSE)*$Q344*IFERROR((VLOOKUP(P344,Settings!$E$28:$F$33,2,FALSE)+1),1)</f>
        <v>0.60775734611039312</v>
      </c>
      <c r="AF344" s="40">
        <f>VLOOKUP(B344,'Player Data'!$A1:$AE734,20,FALSE)*$Q344</f>
        <v>0</v>
      </c>
      <c r="AG344" s="40">
        <f>VLOOKUP(B344,'Player Data'!$A1:$AE734,21,FALSE)*$Q344</f>
        <v>0</v>
      </c>
      <c r="AH344" s="41">
        <f>VLOOKUP(B344,'Player Data'!$A1:$AE734,22,FALSE)</f>
        <v>0</v>
      </c>
      <c r="AI344" s="38"/>
      <c r="AJ344" s="42"/>
      <c r="AK344" s="40"/>
      <c r="AL344" s="40"/>
      <c r="AM344" s="40"/>
      <c r="AN344" s="40"/>
      <c r="AO344" s="40"/>
      <c r="AP344" s="40"/>
      <c r="AQ344" s="43"/>
      <c r="AR344" s="44"/>
      <c r="AS344" s="38"/>
    </row>
    <row r="345" spans="1:45" ht="21.2" customHeight="1">
      <c r="A345" s="181">
        <f t="shared" si="33"/>
        <v>344</v>
      </c>
      <c r="B345" s="8" t="s">
        <v>380</v>
      </c>
      <c r="C345" s="31" t="s">
        <v>104</v>
      </c>
      <c r="D345" s="32" t="str">
        <f>VLOOKUP(B345,'Player Data'!A1:D734,4,FALSE)</f>
        <v>D</v>
      </c>
      <c r="E345" s="47">
        <f>VLOOKUP(B345,D!A1:C229,3,FALSE)</f>
        <v>101</v>
      </c>
      <c r="F345" s="34" t="str">
        <f>VLOOKUP(B345,'Player Data'!A1:B734,2,FALSE)</f>
        <v>LAK</v>
      </c>
      <c r="G345" s="9">
        <f>VLOOKUP(B345,'Player Data'!A1:D734,3,FALSE)</f>
        <v>28</v>
      </c>
      <c r="H345" s="35">
        <f>IFERROR(VLOOKUP(B345,ADP!A1:G731,7,FALSE)/1000000,VLOOKUP(B345,ADP!A1:G731,7,FALSE))</f>
        <v>3.15</v>
      </c>
      <c r="I345" s="36">
        <f>IF(Settings!$E$15="POINTS",((R345*Q345)*Settings!$B$12)+(S345*Settings!$B$2)+(T345*Settings!$B$3)+(U345*Settings!$B$4)+(V345*Settings!$B$5)+(X345*Settings!$B$9)+(AA345*Settings!$B$6)+(W345*Settings!$B$8)+(AB345*Settings!$B$7)+(AC345*Settings!$B$14)+(AD345*Settings!$B$15)+(AE345*Settings!$B$16)+(AF345*Settings!$B$17)+(AG345*Settings!$B$18)+(U345*Settings!$B$13)+(Y345*Settings!$B$10)+(Z345*Settings!$B$11),VLOOKUP(B345,'Standard Deviations'!A1:C731,3,FALSE))</f>
        <v>-3.0565794078415265</v>
      </c>
      <c r="J345" s="37">
        <f t="shared" si="34"/>
        <v>-3.7275358632213734E-2</v>
      </c>
      <c r="K345" s="183">
        <f>VLOOKUP(B345,D!A1:F229,6,FALSE)</f>
        <v>-4.9983199514758372</v>
      </c>
      <c r="L345" s="36">
        <f t="shared" si="35"/>
        <v>-1.5867682385637578</v>
      </c>
      <c r="M345" s="38">
        <f>IF(Settings!$E$9="YAHOO",VLOOKUP(B345,ADP!A1:E731,2,FALSE),IF(Settings!$E$9="ESPN",VLOOKUP(B345,ADP!A1:E731,3,FALSE),IF(Settings!$E$9="FANTRAX",VLOOKUP(B345,ADP!A1:E731,4,FALSE),VLOOKUP(B345,ADP!A1:E731,5,FALSE))))</f>
        <v>489.5</v>
      </c>
      <c r="N345" s="38">
        <f t="shared" si="36"/>
        <v>145.5</v>
      </c>
      <c r="O345" s="38"/>
      <c r="P345" s="39" t="str">
        <f>IF(Settings!$E$27="ON",_xlfn.XLOOKUP(B345,ADP!A2:A731,ADP!H2:H731)," ")</f>
        <v xml:space="preserve"> </v>
      </c>
      <c r="Q345" s="40">
        <f>IF(Settings!$E$12="YES",VLOOKUP(B345,'Player Data'!A1:E734,5,FALSE),82)</f>
        <v>82</v>
      </c>
      <c r="R345" s="38">
        <f>VLOOKUP(B345,'Player Data'!$A1:$AE734,6,FALSE)</f>
        <v>18.755442891387201</v>
      </c>
      <c r="S345" s="40">
        <f>VLOOKUP(B345,'Player Data'!$A1:$AE734,7,FALSE)*$Q345*IFERROR((VLOOKUP(P345,Settings!$E$28:$F$33,2,FALSE)+1),1)</f>
        <v>5.4165886743258689</v>
      </c>
      <c r="T345" s="40">
        <f>VLOOKUP(B345,'Player Data'!$A1:$AE734,8,FALSE)*$Q345*IFERROR((VLOOKUP(P345,Settings!$E$28:$F$33,2,FALSE)+1),1)</f>
        <v>17.114503709805597</v>
      </c>
      <c r="U345" s="40">
        <f t="shared" si="37"/>
        <v>22.531092384131465</v>
      </c>
      <c r="V345" s="40">
        <f>VLOOKUP(B345,'Player Data'!$A1:$AE734,10,FALSE)*$Q345*IFERROR(((VLOOKUP(P345,Settings!$E$28:$F$33,2,FALSE)/2)+1),1)</f>
        <v>136.2301289202004</v>
      </c>
      <c r="W345" s="40">
        <f>VLOOKUP(B345,'Player Data'!$A1:$AE734,11,FALSE)*$Q345*IFERROR((VLOOKUP(P345,Settings!$E$28:$F$33,2,FALSE)+1),1)</f>
        <v>1.3892431760579402E-2</v>
      </c>
      <c r="X345" s="40">
        <f>VLOOKUP(B345,'Player Data'!$A1:$AE734,12,FALSE)*$Q345*IFERROR((VLOOKUP(P345,Settings!$E$28:$F$33,2,FALSE)+1),1)</f>
        <v>0.1755597380534438</v>
      </c>
      <c r="Y345" s="40">
        <f>VLOOKUP(B345,'Player Data'!$A1:$AE734,13,FALSE)*$Q345</f>
        <v>0.51086121431115239</v>
      </c>
      <c r="Z345" s="40">
        <f>VLOOKUP(B345,'Player Data'!$A1:$AE734,14,FALSE)*$Q345</f>
        <v>1.8692828571314768</v>
      </c>
      <c r="AA345" s="40">
        <f>VLOOKUP(B345,'Player Data'!$A1:$AE734,15,FALSE)*$Q345</f>
        <v>137.18150261944166</v>
      </c>
      <c r="AB345" s="40">
        <f>VLOOKUP(B345,'Player Data'!$A1:$AE734,16,FALSE)*$Q345</f>
        <v>123.32758289893202</v>
      </c>
      <c r="AC345" s="40">
        <f>VLOOKUP(B345,'Player Data'!$A1:$AE734,17,FALSE)*$Q345*IFERROR((VLOOKUP(P345,Settings!$E$28:$F$33,2,FALSE)+1),1)</f>
        <v>0.55141418448457702</v>
      </c>
      <c r="AD345" s="40">
        <f>VLOOKUP(B345,'Player Data'!$A1:$AE734,18,FALSE)*$Q345</f>
        <v>25.993706073907308</v>
      </c>
      <c r="AE345" s="40">
        <f>VLOOKUP(B345,'Player Data'!$A1:$AE734,19,FALSE)*$Q345*IFERROR((VLOOKUP(P345,Settings!$E$28:$F$33,2,FALSE)+1),1)</f>
        <v>0.80198583745862162</v>
      </c>
      <c r="AF345" s="40">
        <f>VLOOKUP(B345,'Player Data'!$A1:$AE734,20,FALSE)*$Q345</f>
        <v>0</v>
      </c>
      <c r="AG345" s="40">
        <f>VLOOKUP(B345,'Player Data'!$A1:$AE734,21,FALSE)*$Q345</f>
        <v>0</v>
      </c>
      <c r="AH345" s="41">
        <f>VLOOKUP(B345,'Player Data'!$A1:$AE734,22,FALSE)</f>
        <v>0</v>
      </c>
      <c r="AI345" s="38"/>
      <c r="AJ345" s="42"/>
      <c r="AK345" s="40"/>
      <c r="AL345" s="40"/>
      <c r="AM345" s="40"/>
      <c r="AN345" s="40"/>
      <c r="AO345" s="40"/>
      <c r="AP345" s="40"/>
      <c r="AQ345" s="43"/>
      <c r="AR345" s="44"/>
      <c r="AS345" s="38"/>
    </row>
    <row r="346" spans="1:45" ht="21.2" customHeight="1">
      <c r="A346" s="181">
        <f t="shared" si="33"/>
        <v>345</v>
      </c>
      <c r="B346" s="8" t="s">
        <v>439</v>
      </c>
      <c r="C346" s="31" t="s">
        <v>104</v>
      </c>
      <c r="D346" s="32" t="str">
        <f>VLOOKUP(B346,'Player Data'!A1:D734,4,FALSE)</f>
        <v>RW</v>
      </c>
      <c r="E346" s="46">
        <f>VLOOKUP(B346,RW!A1:F189,3,FALSE)</f>
        <v>84</v>
      </c>
      <c r="F346" s="34" t="str">
        <f>VLOOKUP(B346,'Player Data'!A1:B734,2,FALSE)</f>
        <v>NSH</v>
      </c>
      <c r="G346" s="9">
        <f>VLOOKUP(B346,'Player Data'!A1:D734,3,FALSE)</f>
        <v>22</v>
      </c>
      <c r="H346" s="35">
        <f>IFERROR(VLOOKUP(B346,ADP!A1:G731,7,FALSE)/1000000,VLOOKUP(B346,ADP!A1:G731,7,FALSE))</f>
        <v>0.86333300000000002</v>
      </c>
      <c r="I346" s="36">
        <f>IF(Settings!$E$15="POINTS",((R346*Q346)*Settings!$B$12)+(S346*Settings!$B$2)+(T346*Settings!$B$3)+(U346*Settings!$B$4)+(V346*Settings!$B$5)+(X346*Settings!$B$9)+(AA346*Settings!$B$6)+(W346*Settings!$B$8)+(AB346*Settings!$B$7)+(AC346*Settings!$B$14)+(AD346*Settings!$B$15)+(AE346*Settings!$B$16)+(AF346*Settings!$B$17)+(AG346*Settings!$B$18)+(Y346*Settings!$B$10)+(Z346*Settings!$B$11),VLOOKUP(B346,'Standard Deviations'!A1:C731,3,FALSE))</f>
        <v>1.2573624174413993</v>
      </c>
      <c r="J346" s="37">
        <f t="shared" si="34"/>
        <v>1.5333688017578041E-2</v>
      </c>
      <c r="K346" s="183">
        <f>IF(Settings!$E$18="C/LW/RW",VLOOKUP(B346,RW!A1:F189,6,FALSE),VLOOKUP(B346,F!A1:F431,6,FALSE))</f>
        <v>-5.0228963015696815</v>
      </c>
      <c r="L346" s="36">
        <f t="shared" si="35"/>
        <v>-5.8180288504779512</v>
      </c>
      <c r="M346" s="38">
        <f>IF(Settings!$E$9="YAHOO",VLOOKUP(B346,ADP!A1:E731,2,FALSE),IF(Settings!$E$9="ESPN",VLOOKUP(B346,ADP!A1:E731,3,FALSE),IF(Settings!$E$9="FANTRAX",VLOOKUP(B346,ADP!A1:E731,4,FALSE),VLOOKUP(B346,ADP!A1:E731,5,FALSE))))</f>
        <v>502.5</v>
      </c>
      <c r="N346" s="38">
        <f t="shared" si="36"/>
        <v>157.5</v>
      </c>
      <c r="O346" s="38"/>
      <c r="P346" s="39" t="str">
        <f>IF(Settings!$E$27="ON",_xlfn.XLOOKUP(B346,ADP!A2:A731,ADP!H2:H731)," ")</f>
        <v xml:space="preserve"> </v>
      </c>
      <c r="Q346" s="40">
        <f>IF(Settings!$E$12="YES",VLOOKUP(B346,'Player Data'!A1:E734,5,FALSE),82)</f>
        <v>82</v>
      </c>
      <c r="R346" s="38">
        <f>VLOOKUP(B346,'Player Data'!$A1:$AE734,6,FALSE)</f>
        <v>14.7410933225209</v>
      </c>
      <c r="S346" s="40">
        <f>VLOOKUP(B346,'Player Data'!$A1:$AE734,7,FALSE)*$Q346*IFERROR((VLOOKUP(P346,Settings!$E$28:$F$33,2,FALSE)+1),1)</f>
        <v>15.91887249931</v>
      </c>
      <c r="T346" s="40">
        <f>VLOOKUP(B346,'Player Data'!$A1:$AE734,8,FALSE)*$Q346*IFERROR((VLOOKUP(P346,Settings!$E$28:$F$33,2,FALSE)+1),1)</f>
        <v>30.023029702925893</v>
      </c>
      <c r="U346" s="40">
        <f t="shared" si="37"/>
        <v>45.941902202235894</v>
      </c>
      <c r="V346" s="40">
        <f>VLOOKUP(B346,'Player Data'!$A1:$AE734,10,FALSE)*$Q346*IFERROR(((VLOOKUP(P346,Settings!$E$28:$F$33,2,FALSE)/2)+1),1)</f>
        <v>143.21516647377416</v>
      </c>
      <c r="W346" s="40">
        <f>VLOOKUP(B346,'Player Data'!$A1:$AE734,11,FALSE)*$Q346*IFERROR((VLOOKUP(P346,Settings!$E$28:$F$33,2,FALSE)+1),1)</f>
        <v>6.127327510273922</v>
      </c>
      <c r="X346" s="40">
        <f>VLOOKUP(B346,'Player Data'!$A1:$AE734,12,FALSE)*$Q346*IFERROR((VLOOKUP(P346,Settings!$E$28:$F$33,2,FALSE)+1),1)</f>
        <v>12.363877154924236</v>
      </c>
      <c r="Y346" s="40">
        <f>VLOOKUP(B346,'Player Data'!$A1:$AE734,13,FALSE)*$Q346</f>
        <v>6.8001661966574924E-4</v>
      </c>
      <c r="Z346" s="40">
        <f>VLOOKUP(B346,'Player Data'!$A1:$AE734,14,FALSE)*$Q346</f>
        <v>1.3613955264577214E-3</v>
      </c>
      <c r="AA346" s="40">
        <f>VLOOKUP(B346,'Player Data'!$A1:$AE734,15,FALSE)*$Q346</f>
        <v>38.693056077899108</v>
      </c>
      <c r="AB346" s="40">
        <f>VLOOKUP(B346,'Player Data'!$A1:$AE734,16,FALSE)*$Q346</f>
        <v>74.509113399924885</v>
      </c>
      <c r="AC346" s="40">
        <f>VLOOKUP(B346,'Player Data'!$A1:$AE734,17,FALSE)*$Q346*IFERROR((VLOOKUP(P346,Settings!$E$28:$F$33,2,FALSE)+1),1)</f>
        <v>-0.99309378362679757</v>
      </c>
      <c r="AD346" s="40">
        <f>VLOOKUP(B346,'Player Data'!$A1:$AE734,18,FALSE)*$Q346</f>
        <v>19.704530367268617</v>
      </c>
      <c r="AE346" s="40">
        <f>VLOOKUP(B346,'Player Data'!$A1:$AE734,19,FALSE)*$Q346*IFERROR((VLOOKUP(P346,Settings!$E$28:$F$33,2,FALSE)+1),1)</f>
        <v>2.324571728321319</v>
      </c>
      <c r="AF346" s="40">
        <f>VLOOKUP(B346,'Player Data'!$A1:$AE734,20,FALSE)*$Q346</f>
        <v>24.144487426149723</v>
      </c>
      <c r="AG346" s="40">
        <f>VLOOKUP(B346,'Player Data'!$A1:$AE734,21,FALSE)*$Q346</f>
        <v>28.869052031218583</v>
      </c>
      <c r="AH346" s="41">
        <f>VLOOKUP(B346,'Player Data'!$A1:$AE734,22,FALSE)</f>
        <v>0.45544001915899002</v>
      </c>
      <c r="AI346" s="38"/>
      <c r="AJ346" s="42"/>
      <c r="AK346" s="40"/>
      <c r="AL346" s="40"/>
      <c r="AM346" s="40"/>
      <c r="AN346" s="40"/>
      <c r="AO346" s="40"/>
      <c r="AP346" s="40"/>
      <c r="AQ346" s="43"/>
      <c r="AR346" s="44"/>
      <c r="AS346" s="38"/>
    </row>
    <row r="347" spans="1:45" ht="21.2" customHeight="1">
      <c r="A347" s="181">
        <f t="shared" si="33"/>
        <v>346</v>
      </c>
      <c r="B347" s="8" t="s">
        <v>492</v>
      </c>
      <c r="C347" s="31" t="s">
        <v>104</v>
      </c>
      <c r="D347" s="32" t="str">
        <f>VLOOKUP(B347,'Player Data'!A1:D734,4,FALSE)</f>
        <v>D</v>
      </c>
      <c r="E347" s="47">
        <f>VLOOKUP(B347,D!A1:C229,3,FALSE)</f>
        <v>102</v>
      </c>
      <c r="F347" s="34" t="str">
        <f>VLOOKUP(B347,'Player Data'!A1:B734,2,FALSE)</f>
        <v>NYI</v>
      </c>
      <c r="G347" s="9">
        <f>VLOOKUP(B347,'Player Data'!A1:D734,3,FALSE)</f>
        <v>27</v>
      </c>
      <c r="H347" s="35">
        <f>IFERROR(VLOOKUP(B347,ADP!A1:G731,7,FALSE)/1000000,VLOOKUP(B347,ADP!A1:G731,7,FALSE))</f>
        <v>0.82499999999999996</v>
      </c>
      <c r="I347" s="36">
        <f>IF(Settings!$E$15="POINTS",((R347*Q347)*Settings!$B$12)+(S347*Settings!$B$2)+(T347*Settings!$B$3)+(U347*Settings!$B$4)+(V347*Settings!$B$5)+(X347*Settings!$B$9)+(AA347*Settings!$B$6)+(W347*Settings!$B$8)+(AB347*Settings!$B$7)+(AC347*Settings!$B$14)+(AD347*Settings!$B$15)+(AE347*Settings!$B$16)+(AF347*Settings!$B$17)+(AG347*Settings!$B$18)+(U347*Settings!$B$13)+(Y347*Settings!$B$10)+(Z347*Settings!$B$11),VLOOKUP(B347,'Standard Deviations'!A1:C731,3,FALSE))</f>
        <v>-3.0859099688388514</v>
      </c>
      <c r="J347" s="37">
        <f t="shared" si="34"/>
        <v>-3.7633048400473795E-2</v>
      </c>
      <c r="K347" s="183">
        <f>VLOOKUP(B347,D!A1:F229,6,FALSE)</f>
        <v>-5.0276505124731621</v>
      </c>
      <c r="L347" s="36">
        <f t="shared" si="35"/>
        <v>-6.0941218333008029</v>
      </c>
      <c r="M347" s="52" t="str">
        <f>IF(Settings!$E$9="YAHOO",VLOOKUP(B347,ADP!A1:E731,2,FALSE),IF(Settings!$E$9="ESPN",VLOOKUP(B347,ADP!A1:E731,3,FALSE),IF(Settings!$E$9="FANTRAX",VLOOKUP(B347,ADP!A1:E731,4,FALSE),VLOOKUP(B347,ADP!A1:E731,5,FALSE))))</f>
        <v>-</v>
      </c>
      <c r="N347" s="52" t="str">
        <f t="shared" si="36"/>
        <v>N/A</v>
      </c>
      <c r="O347" s="38"/>
      <c r="P347" s="39" t="str">
        <f>IF(Settings!$E$27="ON",_xlfn.XLOOKUP(B347,ADP!A2:A731,ADP!H2:H731)," ")</f>
        <v xml:space="preserve"> </v>
      </c>
      <c r="Q347" s="40">
        <f>IF(Settings!$E$12="YES",VLOOKUP(B347,'Player Data'!A1:E734,5,FALSE),82)</f>
        <v>82</v>
      </c>
      <c r="R347" s="38">
        <f>VLOOKUP(B347,'Player Data'!$A1:$AE734,6,FALSE)</f>
        <v>16.645277334815098</v>
      </c>
      <c r="S347" s="40">
        <f>VLOOKUP(B347,'Player Data'!$A1:$AE734,7,FALSE)*$Q347*IFERROR((VLOOKUP(P347,Settings!$E$28:$F$33,2,FALSE)+1),1)</f>
        <v>5.4746585633229587</v>
      </c>
      <c r="T347" s="40">
        <f>VLOOKUP(B347,'Player Data'!$A1:$AE734,8,FALSE)*$Q347*IFERROR((VLOOKUP(P347,Settings!$E$28:$F$33,2,FALSE)+1),1)</f>
        <v>19.750948604220763</v>
      </c>
      <c r="U347" s="40">
        <f t="shared" si="37"/>
        <v>25.225607167543721</v>
      </c>
      <c r="V347" s="40">
        <f>VLOOKUP(B347,'Player Data'!$A1:$AE734,10,FALSE)*$Q347*IFERROR(((VLOOKUP(P347,Settings!$E$28:$F$33,2,FALSE)/2)+1),1)</f>
        <v>99.543127460254382</v>
      </c>
      <c r="W347" s="40">
        <f>VLOOKUP(B347,'Player Data'!$A1:$AE734,11,FALSE)*$Q347*IFERROR((VLOOKUP(P347,Settings!$E$28:$F$33,2,FALSE)+1),1)</f>
        <v>0.17085066717670713</v>
      </c>
      <c r="X347" s="40">
        <f>VLOOKUP(B347,'Player Data'!$A1:$AE734,12,FALSE)*$Q347*IFERROR((VLOOKUP(P347,Settings!$E$28:$F$33,2,FALSE)+1),1)</f>
        <v>2.8764669353995771</v>
      </c>
      <c r="Y347" s="40">
        <f>VLOOKUP(B347,'Player Data'!$A1:$AE734,13,FALSE)*$Q347</f>
        <v>2.9809482984056095E-2</v>
      </c>
      <c r="Z347" s="40">
        <f>VLOOKUP(B347,'Player Data'!$A1:$AE734,14,FALSE)*$Q347</f>
        <v>0.12588697990520539</v>
      </c>
      <c r="AA347" s="40">
        <f>VLOOKUP(B347,'Player Data'!$A1:$AE734,15,FALSE)*$Q347</f>
        <v>87.103031623191498</v>
      </c>
      <c r="AB347" s="40">
        <f>VLOOKUP(B347,'Player Data'!$A1:$AE734,16,FALSE)*$Q347</f>
        <v>66.398961088597531</v>
      </c>
      <c r="AC347" s="40">
        <f>VLOOKUP(B347,'Player Data'!$A1:$AE734,17,FALSE)*$Q347*IFERROR((VLOOKUP(P347,Settings!$E$28:$F$33,2,FALSE)+1),1)</f>
        <v>1.1809997242157761</v>
      </c>
      <c r="AD347" s="40">
        <f>VLOOKUP(B347,'Player Data'!$A1:$AE734,18,FALSE)*$Q347</f>
        <v>27.59227739490829</v>
      </c>
      <c r="AE347" s="40">
        <f>VLOOKUP(B347,'Player Data'!$A1:$AE734,19,FALSE)*$Q347*IFERROR((VLOOKUP(P347,Settings!$E$28:$F$33,2,FALSE)+1),1)</f>
        <v>0.84595440952117329</v>
      </c>
      <c r="AF347" s="40">
        <f>VLOOKUP(B347,'Player Data'!$A1:$AE734,20,FALSE)*$Q347</f>
        <v>0</v>
      </c>
      <c r="AG347" s="40">
        <f>VLOOKUP(B347,'Player Data'!$A1:$AE734,21,FALSE)*$Q347</f>
        <v>0</v>
      </c>
      <c r="AH347" s="41">
        <f>VLOOKUP(B347,'Player Data'!$A1:$AE734,22,FALSE)</f>
        <v>0</v>
      </c>
      <c r="AI347" s="38"/>
      <c r="AJ347" s="42"/>
      <c r="AK347" s="40"/>
      <c r="AL347" s="40"/>
      <c r="AM347" s="40"/>
      <c r="AN347" s="40"/>
      <c r="AO347" s="40"/>
      <c r="AP347" s="40"/>
      <c r="AQ347" s="43"/>
      <c r="AR347" s="44"/>
      <c r="AS347" s="38"/>
    </row>
    <row r="348" spans="1:45" ht="21.2" customHeight="1">
      <c r="A348" s="181">
        <f t="shared" si="33"/>
        <v>347</v>
      </c>
      <c r="B348" s="8" t="s">
        <v>374</v>
      </c>
      <c r="C348" s="31" t="s">
        <v>104</v>
      </c>
      <c r="D348" s="32" t="str">
        <f>VLOOKUP(B348,'Player Data'!A1:D734,4,FALSE)</f>
        <v>C,LW</v>
      </c>
      <c r="E348" s="45">
        <f>VLOOKUP(B348,LW!A1:C227,3,FALSE)</f>
        <v>80</v>
      </c>
      <c r="F348" s="34" t="str">
        <f>VLOOKUP(B348,'Player Data'!A1:B734,2,FALSE)</f>
        <v>FLA</v>
      </c>
      <c r="G348" s="9">
        <f>VLOOKUP(B348,'Player Data'!A1:D734,3,FALSE)</f>
        <v>21</v>
      </c>
      <c r="H348" s="35">
        <f>IFERROR(VLOOKUP(B348,ADP!A1:G731,7,FALSE)/1000000,VLOOKUP(B348,ADP!A1:G731,7,FALSE))</f>
        <v>0.92500000000000004</v>
      </c>
      <c r="I348" s="36">
        <f>IF(Settings!$E$15="POINTS",((R348*Q348)*Settings!$B$12)+(S348*Settings!$B$2)+(T348*Settings!$B$3)+(U348*Settings!$B$4)+(V348*Settings!$B$5)+(X348*Settings!$B$9)+(AA348*Settings!$B$6)+(W348*Settings!$B$8)+(AB348*Settings!$B$7)+(AC348*Settings!$B$14)+(AD348*Settings!$B$15)+(AE348*Settings!$B$16)+(AF348*Settings!$B$17)+(AG348*Settings!$B$18)+(Y348*Settings!$B$10)+(Z348*Settings!$B$11),VLOOKUP(B348,'Standard Deviations'!A1:C731,3,FALSE))</f>
        <v>1.6094259932220911</v>
      </c>
      <c r="J348" s="37">
        <f t="shared" si="34"/>
        <v>1.9627146258805989E-2</v>
      </c>
      <c r="K348" s="183">
        <f>IF(Settings!$E$18="C/LW/RW",VLOOKUP(B348,LW!A1:F227,6,FALSE),VLOOKUP(B348,F!A1:F431,6,FALSE))</f>
        <v>-5.0452430509023101</v>
      </c>
      <c r="L348" s="36">
        <f t="shared" si="35"/>
        <v>-5.4543168117862812</v>
      </c>
      <c r="M348" s="38">
        <f>IF(Settings!$E$9="YAHOO",VLOOKUP(B348,ADP!A1:E731,2,FALSE),IF(Settings!$E$9="ESPN",VLOOKUP(B348,ADP!A1:E731,3,FALSE),IF(Settings!$E$9="FANTRAX",VLOOKUP(B348,ADP!A1:E731,4,FALSE),VLOOKUP(B348,ADP!A1:E731,5,FALSE))))</f>
        <v>237.09</v>
      </c>
      <c r="N348" s="38">
        <f t="shared" si="36"/>
        <v>-109.91</v>
      </c>
      <c r="O348" s="38"/>
      <c r="P348" s="39" t="str">
        <f>IF(Settings!$E$27="ON",_xlfn.XLOOKUP(B348,ADP!A2:A731,ADP!H2:H731)," ")</f>
        <v xml:space="preserve"> </v>
      </c>
      <c r="Q348" s="40">
        <f>IF(Settings!$E$12="YES",VLOOKUP(B348,'Player Data'!A1:E734,5,FALSE),82)</f>
        <v>82</v>
      </c>
      <c r="R348" s="38">
        <f>VLOOKUP(B348,'Player Data'!$A1:$AE734,6,FALSE)</f>
        <v>16.623593486120601</v>
      </c>
      <c r="S348" s="40">
        <f>VLOOKUP(B348,'Player Data'!$A1:$AE734,7,FALSE)*$Q348*IFERROR((VLOOKUP(P348,Settings!$E$28:$F$33,2,FALSE)+1),1)</f>
        <v>19.379484670666905</v>
      </c>
      <c r="T348" s="40">
        <f>VLOOKUP(B348,'Player Data'!$A1:$AE734,8,FALSE)*$Q348*IFERROR((VLOOKUP(P348,Settings!$E$28:$F$33,2,FALSE)+1),1)</f>
        <v>29.600460924922761</v>
      </c>
      <c r="U348" s="40">
        <f t="shared" si="37"/>
        <v>48.979945595589669</v>
      </c>
      <c r="V348" s="40">
        <f>VLOOKUP(B348,'Player Data'!$A1:$AE734,10,FALSE)*$Q348*IFERROR(((VLOOKUP(P348,Settings!$E$28:$F$33,2,FALSE)/2)+1),1)</f>
        <v>172.1096862659262</v>
      </c>
      <c r="W348" s="40">
        <f>VLOOKUP(B348,'Player Data'!$A1:$AE734,11,FALSE)*$Q348*IFERROR((VLOOKUP(P348,Settings!$E$28:$F$33,2,FALSE)+1),1)</f>
        <v>1.3522888970349383</v>
      </c>
      <c r="X348" s="40">
        <f>VLOOKUP(B348,'Player Data'!$A1:$AE734,12,FALSE)*$Q348*IFERROR((VLOOKUP(P348,Settings!$E$28:$F$33,2,FALSE)+1),1)</f>
        <v>6.6971334156760083</v>
      </c>
      <c r="Y348" s="40">
        <f>VLOOKUP(B348,'Player Data'!$A1:$AE734,13,FALSE)*$Q348</f>
        <v>1.7852909105492722</v>
      </c>
      <c r="Z348" s="40">
        <f>VLOOKUP(B348,'Player Data'!$A1:$AE734,14,FALSE)*$Q348</f>
        <v>3.1824607880065723</v>
      </c>
      <c r="AA348" s="40">
        <f>VLOOKUP(B348,'Player Data'!$A1:$AE734,15,FALSE)*$Q348</f>
        <v>45.740117997053439</v>
      </c>
      <c r="AB348" s="40">
        <f>VLOOKUP(B348,'Player Data'!$A1:$AE734,16,FALSE)*$Q348</f>
        <v>42.950088125917659</v>
      </c>
      <c r="AC348" s="40">
        <f>VLOOKUP(B348,'Player Data'!$A1:$AE734,17,FALSE)*$Q348*IFERROR((VLOOKUP(P348,Settings!$E$28:$F$33,2,FALSE)+1),1)</f>
        <v>4.8404537971702206</v>
      </c>
      <c r="AD348" s="40">
        <f>VLOOKUP(B348,'Player Data'!$A1:$AE734,18,FALSE)*$Q348</f>
        <v>38.340872107533031</v>
      </c>
      <c r="AE348" s="40">
        <f>VLOOKUP(B348,'Player Data'!$A1:$AE734,19,FALSE)*$Q348*IFERROR((VLOOKUP(P348,Settings!$E$28:$F$33,2,FALSE)+1),1)</f>
        <v>2.7800312802776128</v>
      </c>
      <c r="AF348" s="40">
        <f>VLOOKUP(B348,'Player Data'!$A1:$AE734,20,FALSE)*$Q348</f>
        <v>324.76976061723508</v>
      </c>
      <c r="AG348" s="40">
        <f>VLOOKUP(B348,'Player Data'!$A1:$AE734,21,FALSE)*$Q348</f>
        <v>385.01292291191908</v>
      </c>
      <c r="AH348" s="41">
        <f>VLOOKUP(B348,'Player Data'!$A1:$AE734,22,FALSE)</f>
        <v>0.45756224849333799</v>
      </c>
      <c r="AI348" s="38"/>
      <c r="AJ348" s="42"/>
      <c r="AK348" s="40"/>
      <c r="AL348" s="40"/>
      <c r="AM348" s="40"/>
      <c r="AN348" s="40"/>
      <c r="AO348" s="40"/>
      <c r="AP348" s="40"/>
      <c r="AQ348" s="43"/>
      <c r="AR348" s="44"/>
      <c r="AS348" s="38"/>
    </row>
    <row r="349" spans="1:45" ht="21.2" customHeight="1">
      <c r="A349" s="181">
        <f t="shared" si="33"/>
        <v>348</v>
      </c>
      <c r="B349" s="8" t="s">
        <v>437</v>
      </c>
      <c r="C349" s="31" t="s">
        <v>104</v>
      </c>
      <c r="D349" s="32" t="str">
        <f>VLOOKUP(B349,'Player Data'!A1:D734,4,FALSE)</f>
        <v>C</v>
      </c>
      <c r="E349" s="33">
        <f>VLOOKUP(B349,'C'!A1:C208,3,FALSE)</f>
        <v>82</v>
      </c>
      <c r="F349" s="34" t="str">
        <f>VLOOKUP(B349,'Player Data'!A1:B734,2,FALSE)</f>
        <v>NYR</v>
      </c>
      <c r="G349" s="9">
        <f>VLOOKUP(B349,'Player Data'!A1:D734,3,FALSE)</f>
        <v>23</v>
      </c>
      <c r="H349" s="35">
        <f>IFERROR(VLOOKUP(B349,ADP!A1:G731,7,FALSE)/1000000,VLOOKUP(B349,ADP!A1:G731,7,FALSE))</f>
        <v>4.4375</v>
      </c>
      <c r="I349" s="36">
        <f>IF(Settings!$E$15="POINTS",((R349*Q349)*Settings!$B$12)+(S349*Settings!$B$2)+(T349*Settings!$B$3)+(U349*Settings!$B$4)+(V349*Settings!$B$5)+(X349*Settings!$B$9)+(AA349*Settings!$B$6)+(W349*Settings!$B$8)+(AB349*Settings!$B$7)+(AC349*Settings!$B$14)+(AD349*Settings!$B$15)+(AE349*Settings!$B$16)+(AF349*Settings!$B$17)+(AG349*Settings!$B$18)+(Y349*Settings!$B$10)+(Z349*Settings!$B$11),VLOOKUP(B349,'Standard Deviations'!A1:C731,3,FALSE))</f>
        <v>1.2915016150561998</v>
      </c>
      <c r="J349" s="37">
        <f t="shared" si="34"/>
        <v>1.5750019695807315E-2</v>
      </c>
      <c r="K349" s="183">
        <f>IF(Settings!$E$18="C/LW/RW",VLOOKUP(B349,'C'!A1:F208,6,FALSE),VLOOKUP(B349,F!A1:F431,6,FALSE))</f>
        <v>-5.0455491091504028</v>
      </c>
      <c r="L349" s="36">
        <f t="shared" si="35"/>
        <v>-1.1370251513578373</v>
      </c>
      <c r="M349" s="38">
        <f>IF(Settings!$E$9="YAHOO",VLOOKUP(B349,ADP!A1:E731,2,FALSE),IF(Settings!$E$9="ESPN",VLOOKUP(B349,ADP!A1:E731,3,FALSE),IF(Settings!$E$9="FANTRAX",VLOOKUP(B349,ADP!A1:E731,4,FALSE),VLOOKUP(B349,ADP!A1:E731,5,FALSE))))</f>
        <v>243.41</v>
      </c>
      <c r="N349" s="38">
        <f t="shared" si="36"/>
        <v>-104.59</v>
      </c>
      <c r="O349" s="38"/>
      <c r="P349" s="39" t="str">
        <f>IF(Settings!$E$27="ON",_xlfn.XLOOKUP(B349,ADP!A2:A731,ADP!H2:H731)," ")</f>
        <v xml:space="preserve"> </v>
      </c>
      <c r="Q349" s="40">
        <f>IF(Settings!$E$12="YES",VLOOKUP(B349,'Player Data'!A1:E734,5,FALSE),82)</f>
        <v>82</v>
      </c>
      <c r="R349" s="38">
        <f>VLOOKUP(B349,'Player Data'!$A1:$AE734,6,FALSE)</f>
        <v>14.831663035055801</v>
      </c>
      <c r="S349" s="40">
        <f>VLOOKUP(B349,'Player Data'!$A1:$AE734,7,FALSE)*$Q349*IFERROR((VLOOKUP(P349,Settings!$E$28:$F$33,2,FALSE)+1),1)</f>
        <v>19.939656243512214</v>
      </c>
      <c r="T349" s="40">
        <f>VLOOKUP(B349,'Player Data'!$A1:$AE734,8,FALSE)*$Q349*IFERROR((VLOOKUP(P349,Settings!$E$28:$F$33,2,FALSE)+1),1)</f>
        <v>25.277931520309007</v>
      </c>
      <c r="U349" s="40">
        <f t="shared" si="37"/>
        <v>45.217587763821221</v>
      </c>
      <c r="V349" s="40">
        <f>VLOOKUP(B349,'Player Data'!$A1:$AE734,10,FALSE)*$Q349*IFERROR(((VLOOKUP(P349,Settings!$E$28:$F$33,2,FALSE)/2)+1),1)</f>
        <v>193.8300373578611</v>
      </c>
      <c r="W349" s="40">
        <f>VLOOKUP(B349,'Player Data'!$A1:$AE734,11,FALSE)*$Q349*IFERROR((VLOOKUP(P349,Settings!$E$28:$F$33,2,FALSE)+1),1)</f>
        <v>1.4549200252402732</v>
      </c>
      <c r="X349" s="40">
        <f>VLOOKUP(B349,'Player Data'!$A1:$AE734,12,FALSE)*$Q349*IFERROR((VLOOKUP(P349,Settings!$E$28:$F$33,2,FALSE)+1),1)</f>
        <v>4.1369465608703111</v>
      </c>
      <c r="Y349" s="40">
        <f>VLOOKUP(B349,'Player Data'!$A1:$AE734,13,FALSE)*$Q349</f>
        <v>2.3582990122692316E-2</v>
      </c>
      <c r="Z349" s="40">
        <f>VLOOKUP(B349,'Player Data'!$A1:$AE734,14,FALSE)*$Q349</f>
        <v>4.6543629343085861E-2</v>
      </c>
      <c r="AA349" s="40">
        <f>VLOOKUP(B349,'Player Data'!$A1:$AE734,15,FALSE)*$Q349</f>
        <v>40.942215913165796</v>
      </c>
      <c r="AB349" s="40">
        <f>VLOOKUP(B349,'Player Data'!$A1:$AE734,16,FALSE)*$Q349</f>
        <v>43.992128703563402</v>
      </c>
      <c r="AC349" s="40">
        <f>VLOOKUP(B349,'Player Data'!$A1:$AE734,17,FALSE)*$Q349*IFERROR((VLOOKUP(P349,Settings!$E$28:$F$33,2,FALSE)+1),1)</f>
        <v>5.2490147098488968</v>
      </c>
      <c r="AD349" s="40">
        <f>VLOOKUP(B349,'Player Data'!$A1:$AE734,18,FALSE)*$Q349</f>
        <v>28.013959959441621</v>
      </c>
      <c r="AE349" s="40">
        <f>VLOOKUP(B349,'Player Data'!$A1:$AE734,19,FALSE)*$Q349*IFERROR((VLOOKUP(P349,Settings!$E$28:$F$33,2,FALSE)+1),1)</f>
        <v>3.3976801891094244</v>
      </c>
      <c r="AF349" s="40">
        <f>VLOOKUP(B349,'Player Data'!$A1:$AE734,20,FALSE)*$Q349</f>
        <v>276.35868541205502</v>
      </c>
      <c r="AG349" s="40">
        <f>VLOOKUP(B349,'Player Data'!$A1:$AE734,21,FALSE)*$Q349</f>
        <v>390.02253297944372</v>
      </c>
      <c r="AH349" s="41">
        <f>VLOOKUP(B349,'Player Data'!$A1:$AE734,22,FALSE)</f>
        <v>0.41471559789623902</v>
      </c>
      <c r="AI349" s="38"/>
      <c r="AJ349" s="42"/>
      <c r="AK349" s="40"/>
      <c r="AL349" s="40"/>
      <c r="AM349" s="40"/>
      <c r="AN349" s="40"/>
      <c r="AO349" s="40"/>
      <c r="AP349" s="40"/>
      <c r="AQ349" s="43"/>
      <c r="AR349" s="44"/>
      <c r="AS349" s="38"/>
    </row>
    <row r="350" spans="1:45" ht="21.2" customHeight="1">
      <c r="A350" s="181">
        <f t="shared" si="33"/>
        <v>349</v>
      </c>
      <c r="B350" s="8" t="s">
        <v>392</v>
      </c>
      <c r="C350" s="31" t="s">
        <v>104</v>
      </c>
      <c r="D350" s="32" t="str">
        <f>VLOOKUP(B350,'Player Data'!A1:D734,4,FALSE)</f>
        <v>D</v>
      </c>
      <c r="E350" s="47">
        <f>VLOOKUP(B350,D!A1:C229,3,FALSE)</f>
        <v>103</v>
      </c>
      <c r="F350" s="34" t="str">
        <f>VLOOKUP(B350,'Player Data'!A1:B734,2,FALSE)</f>
        <v>PIT</v>
      </c>
      <c r="G350" s="9">
        <f>VLOOKUP(B350,'Player Data'!A1:D734,3,FALSE)</f>
        <v>27</v>
      </c>
      <c r="H350" s="35">
        <f>IFERROR(VLOOKUP(B350,ADP!A1:G731,7,FALSE)/1000000,VLOOKUP(B350,ADP!A1:G731,7,FALSE))</f>
        <v>4.0250000000000004</v>
      </c>
      <c r="I350" s="36">
        <f>IF(Settings!$E$15="POINTS",((R350*Q350)*Settings!$B$12)+(S350*Settings!$B$2)+(T350*Settings!$B$3)+(U350*Settings!$B$4)+(V350*Settings!$B$5)+(X350*Settings!$B$9)+(AA350*Settings!$B$6)+(W350*Settings!$B$8)+(AB350*Settings!$B$7)+(AC350*Settings!$B$14)+(AD350*Settings!$B$15)+(AE350*Settings!$B$16)+(AF350*Settings!$B$17)+(AG350*Settings!$B$18)+(U350*Settings!$B$13)+(Y350*Settings!$B$10)+(Z350*Settings!$B$11),VLOOKUP(B350,'Standard Deviations'!A1:C731,3,FALSE))</f>
        <v>-3.1263685611758247</v>
      </c>
      <c r="J350" s="37">
        <f t="shared" si="34"/>
        <v>-3.8126445867997863E-2</v>
      </c>
      <c r="K350" s="183">
        <f>VLOOKUP(B350,D!A1:F229,6,FALSE)</f>
        <v>-5.0681091048101354</v>
      </c>
      <c r="L350" s="36">
        <f t="shared" si="35"/>
        <v>-1.2591575415677354</v>
      </c>
      <c r="M350" s="52" t="str">
        <f>IF(Settings!$E$9="YAHOO",VLOOKUP(B350,ADP!A1:E731,2,FALSE),IF(Settings!$E$9="ESPN",VLOOKUP(B350,ADP!A1:E731,3,FALSE),IF(Settings!$E$9="FANTRAX",VLOOKUP(B350,ADP!A1:E731,4,FALSE),VLOOKUP(B350,ADP!A1:E731,5,FALSE))))</f>
        <v>-</v>
      </c>
      <c r="N350" s="52" t="str">
        <f t="shared" si="36"/>
        <v>N/A</v>
      </c>
      <c r="O350" s="38"/>
      <c r="P350" s="39" t="str">
        <f>IF(Settings!$E$27="ON",_xlfn.XLOOKUP(B350,ADP!A2:A731,ADP!H2:H731)," ")</f>
        <v xml:space="preserve"> </v>
      </c>
      <c r="Q350" s="40">
        <f>IF(Settings!$E$12="YES",VLOOKUP(B350,'Player Data'!A1:E734,5,FALSE),82)</f>
        <v>82</v>
      </c>
      <c r="R350" s="38">
        <f>VLOOKUP(B350,'Player Data'!$A1:$AE734,6,FALSE)</f>
        <v>19.897084429174502</v>
      </c>
      <c r="S350" s="40">
        <f>VLOOKUP(B350,'Player Data'!$A1:$AE734,7,FALSE)*$Q350*IFERROR((VLOOKUP(P350,Settings!$E$28:$F$33,2,FALSE)+1),1)</f>
        <v>2.9674093232910561</v>
      </c>
      <c r="T350" s="40">
        <f>VLOOKUP(B350,'Player Data'!$A1:$AE734,8,FALSE)*$Q350*IFERROR((VLOOKUP(P350,Settings!$E$28:$F$33,2,FALSE)+1),1)</f>
        <v>22.908066845827264</v>
      </c>
      <c r="U350" s="40">
        <f t="shared" si="37"/>
        <v>25.875476169118322</v>
      </c>
      <c r="V350" s="40">
        <f>VLOOKUP(B350,'Player Data'!$A1:$AE734,10,FALSE)*$Q350*IFERROR(((VLOOKUP(P350,Settings!$E$28:$F$33,2,FALSE)/2)+1),1)</f>
        <v>111.89500626752425</v>
      </c>
      <c r="W350" s="40">
        <f>VLOOKUP(B350,'Player Data'!$A1:$AE734,11,FALSE)*$Q350*IFERROR((VLOOKUP(P350,Settings!$E$28:$F$33,2,FALSE)+1),1)</f>
        <v>3.6625282777620116E-2</v>
      </c>
      <c r="X350" s="40">
        <f>VLOOKUP(B350,'Player Data'!$A1:$AE734,12,FALSE)*$Q350*IFERROR((VLOOKUP(P350,Settings!$E$28:$F$33,2,FALSE)+1),1)</f>
        <v>0.2292862976325048</v>
      </c>
      <c r="Y350" s="40">
        <f>VLOOKUP(B350,'Player Data'!$A1:$AE734,13,FALSE)*$Q350</f>
        <v>4.3470994959194778E-2</v>
      </c>
      <c r="Z350" s="40">
        <f>VLOOKUP(B350,'Player Data'!$A1:$AE734,14,FALSE)*$Q350</f>
        <v>0.29441269938401232</v>
      </c>
      <c r="AA350" s="40">
        <f>VLOOKUP(B350,'Player Data'!$A1:$AE734,15,FALSE)*$Q350</f>
        <v>141.27676879018182</v>
      </c>
      <c r="AB350" s="40">
        <f>VLOOKUP(B350,'Player Data'!$A1:$AE734,16,FALSE)*$Q350</f>
        <v>151.45711815019334</v>
      </c>
      <c r="AC350" s="40">
        <f>VLOOKUP(B350,'Player Data'!$A1:$AE734,17,FALSE)*$Q350*IFERROR((VLOOKUP(P350,Settings!$E$28:$F$33,2,FALSE)+1),1)</f>
        <v>3.0893450187074514</v>
      </c>
      <c r="AD350" s="40">
        <f>VLOOKUP(B350,'Player Data'!$A1:$AE734,18,FALSE)*$Q350</f>
        <v>51.812873486891661</v>
      </c>
      <c r="AE350" s="40">
        <f>VLOOKUP(B350,'Player Data'!$A1:$AE734,19,FALSE)*$Q350*IFERROR((VLOOKUP(P350,Settings!$E$28:$F$33,2,FALSE)+1),1)</f>
        <v>0.47632861409906779</v>
      </c>
      <c r="AF350" s="40">
        <f>VLOOKUP(B350,'Player Data'!$A1:$AE734,20,FALSE)*$Q350</f>
        <v>0</v>
      </c>
      <c r="AG350" s="40">
        <f>VLOOKUP(B350,'Player Data'!$A1:$AE734,21,FALSE)*$Q350</f>
        <v>0</v>
      </c>
      <c r="AH350" s="41">
        <f>VLOOKUP(B350,'Player Data'!$A1:$AE734,22,FALSE)</f>
        <v>0</v>
      </c>
      <c r="AI350" s="38"/>
      <c r="AJ350" s="42"/>
      <c r="AK350" s="40"/>
      <c r="AL350" s="40"/>
      <c r="AM350" s="40"/>
      <c r="AN350" s="40"/>
      <c r="AO350" s="40"/>
      <c r="AP350" s="40"/>
      <c r="AQ350" s="43"/>
      <c r="AR350" s="44"/>
      <c r="AS350" s="38"/>
    </row>
    <row r="351" spans="1:45" ht="21.2" customHeight="1">
      <c r="A351" s="181">
        <f t="shared" si="33"/>
        <v>350</v>
      </c>
      <c r="B351" s="8" t="s">
        <v>495</v>
      </c>
      <c r="C351" s="31" t="s">
        <v>104</v>
      </c>
      <c r="D351" s="32" t="str">
        <f>VLOOKUP(B351,'Player Data'!A1:D734,4,FALSE)</f>
        <v>D</v>
      </c>
      <c r="E351" s="47">
        <f>VLOOKUP(B351,D!A1:C229,3,FALSE)</f>
        <v>104</v>
      </c>
      <c r="F351" s="34" t="str">
        <f>VLOOKUP(B351,'Player Data'!A1:B734,2,FALSE)</f>
        <v>DAL</v>
      </c>
      <c r="G351" s="9">
        <f>VLOOKUP(B351,'Player Data'!A1:D734,3,FALSE)</f>
        <v>23</v>
      </c>
      <c r="H351" s="35">
        <f>IFERROR(VLOOKUP(B351,ADP!A1:G731,7,FALSE)/1000000,VLOOKUP(B351,ADP!A1:G731,7,FALSE))</f>
        <v>0.92500000000000004</v>
      </c>
      <c r="I351" s="36">
        <f>IF(Settings!$E$15="POINTS",((R351*Q351)*Settings!$B$12)+(S351*Settings!$B$2)+(T351*Settings!$B$3)+(U351*Settings!$B$4)+(V351*Settings!$B$5)+(X351*Settings!$B$9)+(AA351*Settings!$B$6)+(W351*Settings!$B$8)+(AB351*Settings!$B$7)+(AC351*Settings!$B$14)+(AD351*Settings!$B$15)+(AE351*Settings!$B$16)+(AF351*Settings!$B$17)+(AG351*Settings!$B$18)+(U351*Settings!$B$13)+(Y351*Settings!$B$10)+(Z351*Settings!$B$11),VLOOKUP(B351,'Standard Deviations'!A1:C731,3,FALSE))</f>
        <v>-3.1417751280195723</v>
      </c>
      <c r="J351" s="37">
        <f t="shared" si="34"/>
        <v>-3.8314330829506978E-2</v>
      </c>
      <c r="K351" s="183">
        <f>VLOOKUP(B351,D!A1:F229,6,FALSE)</f>
        <v>-5.083515671653883</v>
      </c>
      <c r="L351" s="36">
        <f t="shared" si="35"/>
        <v>-5.4956926180041972</v>
      </c>
      <c r="M351" s="52" t="str">
        <f>IF(Settings!$E$9="YAHOO",VLOOKUP(B351,ADP!A1:E731,2,FALSE),IF(Settings!$E$9="ESPN",VLOOKUP(B351,ADP!A1:E731,3,FALSE),IF(Settings!$E$9="FANTRAX",VLOOKUP(B351,ADP!A1:E731,4,FALSE),VLOOKUP(B351,ADP!A1:E731,5,FALSE))))</f>
        <v>-</v>
      </c>
      <c r="N351" s="52" t="str">
        <f t="shared" si="36"/>
        <v>N/A</v>
      </c>
      <c r="O351" s="38"/>
      <c r="P351" s="39" t="str">
        <f>IF(Settings!$E$27="ON",_xlfn.XLOOKUP(B351,ADP!A2:A731,ADP!H2:H731)," ")</f>
        <v xml:space="preserve"> </v>
      </c>
      <c r="Q351" s="40">
        <f>IF(Settings!$E$12="YES",VLOOKUP(B351,'Player Data'!A1:E734,5,FALSE),82)</f>
        <v>82</v>
      </c>
      <c r="R351" s="38">
        <f>VLOOKUP(B351,'Player Data'!$A1:$AE734,6,FALSE)</f>
        <v>15.4451657787094</v>
      </c>
      <c r="S351" s="40">
        <f>VLOOKUP(B351,'Player Data'!$A1:$AE734,7,FALSE)*$Q351*IFERROR((VLOOKUP(P351,Settings!$E$28:$F$33,2,FALSE)+1),1)</f>
        <v>5.8062082129507901</v>
      </c>
      <c r="T351" s="40">
        <f>VLOOKUP(B351,'Player Data'!$A1:$AE734,8,FALSE)*$Q351*IFERROR((VLOOKUP(P351,Settings!$E$28:$F$33,2,FALSE)+1),1)</f>
        <v>13.484237736026479</v>
      </c>
      <c r="U351" s="40">
        <f t="shared" si="37"/>
        <v>19.290445948977268</v>
      </c>
      <c r="V351" s="40">
        <f>VLOOKUP(B351,'Player Data'!$A1:$AE734,10,FALSE)*$Q351*IFERROR(((VLOOKUP(P351,Settings!$E$28:$F$33,2,FALSE)/2)+1),1)</f>
        <v>124.23130781998111</v>
      </c>
      <c r="W351" s="40">
        <f>VLOOKUP(B351,'Player Data'!$A1:$AE734,11,FALSE)*$Q351*IFERROR((VLOOKUP(P351,Settings!$E$28:$F$33,2,FALSE)+1),1)</f>
        <v>1.5366487905005359</v>
      </c>
      <c r="X351" s="40">
        <f>VLOOKUP(B351,'Player Data'!$A1:$AE734,12,FALSE)*$Q351*IFERROR((VLOOKUP(P351,Settings!$E$28:$F$33,2,FALSE)+1),1)</f>
        <v>5.0179366636543614</v>
      </c>
      <c r="Y351" s="40">
        <f>VLOOKUP(B351,'Player Data'!$A1:$AE734,13,FALSE)*$Q351</f>
        <v>2.6365428211628426E-3</v>
      </c>
      <c r="Z351" s="40">
        <f>VLOOKUP(B351,'Player Data'!$A1:$AE734,14,FALSE)*$Q351</f>
        <v>1.1252603176857882E-2</v>
      </c>
      <c r="AA351" s="40">
        <f>VLOOKUP(B351,'Player Data'!$A1:$AE734,15,FALSE)*$Q351</f>
        <v>88.223203233737294</v>
      </c>
      <c r="AB351" s="40">
        <f>VLOOKUP(B351,'Player Data'!$A1:$AE734,16,FALSE)*$Q351</f>
        <v>77.858415370499728</v>
      </c>
      <c r="AC351" s="40">
        <f>VLOOKUP(B351,'Player Data'!$A1:$AE734,17,FALSE)*$Q351*IFERROR((VLOOKUP(P351,Settings!$E$28:$F$33,2,FALSE)+1),1)</f>
        <v>4.3147465547984627</v>
      </c>
      <c r="AD351" s="40">
        <f>VLOOKUP(B351,'Player Data'!$A1:$AE734,18,FALSE)*$Q351</f>
        <v>28.398839549784434</v>
      </c>
      <c r="AE351" s="40">
        <f>VLOOKUP(B351,'Player Data'!$A1:$AE734,19,FALSE)*$Q351*IFERROR((VLOOKUP(P351,Settings!$E$28:$F$33,2,FALSE)+1),1)</f>
        <v>0.92895215354590455</v>
      </c>
      <c r="AF351" s="40">
        <f>VLOOKUP(B351,'Player Data'!$A1:$AE734,20,FALSE)*$Q351</f>
        <v>0</v>
      </c>
      <c r="AG351" s="40">
        <f>VLOOKUP(B351,'Player Data'!$A1:$AE734,21,FALSE)*$Q351</f>
        <v>0</v>
      </c>
      <c r="AH351" s="41">
        <f>VLOOKUP(B351,'Player Data'!$A1:$AE734,22,FALSE)</f>
        <v>0</v>
      </c>
      <c r="AI351" s="38"/>
      <c r="AJ351" s="42"/>
      <c r="AK351" s="40"/>
      <c r="AL351" s="40"/>
      <c r="AM351" s="40"/>
      <c r="AN351" s="40"/>
      <c r="AO351" s="40"/>
      <c r="AP351" s="40"/>
      <c r="AQ351" s="43"/>
      <c r="AR351" s="44"/>
      <c r="AS351" s="38"/>
    </row>
    <row r="352" spans="1:45" ht="21.2" customHeight="1">
      <c r="A352" s="181">
        <f t="shared" si="33"/>
        <v>351</v>
      </c>
      <c r="B352" s="8" t="s">
        <v>580</v>
      </c>
      <c r="C352" s="31" t="s">
        <v>104</v>
      </c>
      <c r="D352" s="32" t="str">
        <f>VLOOKUP(B352,'Player Data'!A1:D734,4,FALSE)</f>
        <v>D</v>
      </c>
      <c r="E352" s="47">
        <f>VLOOKUP(B352,D!A1:C229,3,FALSE)</f>
        <v>105</v>
      </c>
      <c r="F352" s="34" t="str">
        <f>VLOOKUP(B352,'Player Data'!A1:B734,2,FALSE)</f>
        <v>TOR</v>
      </c>
      <c r="G352" s="9">
        <f>VLOOKUP(B352,'Player Data'!A1:D734,3,FALSE)</f>
        <v>24</v>
      </c>
      <c r="H352" s="35">
        <f>IFERROR(VLOOKUP(B352,ADP!A1:G731,7,FALSE)/1000000,VLOOKUP(B352,ADP!A1:G731,7,FALSE))</f>
        <v>1.1000000000000001</v>
      </c>
      <c r="I352" s="36">
        <f>IF(Settings!$E$15="POINTS",((R352*Q352)*Settings!$B$12)+(S352*Settings!$B$2)+(T352*Settings!$B$3)+(U352*Settings!$B$4)+(V352*Settings!$B$5)+(X352*Settings!$B$9)+(AA352*Settings!$B$6)+(W352*Settings!$B$8)+(AB352*Settings!$B$7)+(AC352*Settings!$B$14)+(AD352*Settings!$B$15)+(AE352*Settings!$B$16)+(AF352*Settings!$B$17)+(AG352*Settings!$B$18)+(U352*Settings!$B$13)+(Y352*Settings!$B$10)+(Z352*Settings!$B$11),VLOOKUP(B352,'Standard Deviations'!A1:C731,3,FALSE))</f>
        <v>-3.1477369828223436</v>
      </c>
      <c r="J352" s="37">
        <f t="shared" si="34"/>
        <v>-3.8387036375882241E-2</v>
      </c>
      <c r="K352" s="183">
        <f>VLOOKUP(B352,D!A1:F229,6,FALSE)</f>
        <v>-5.0894775264566547</v>
      </c>
      <c r="L352" s="36">
        <f t="shared" si="35"/>
        <v>-4.6267977513242311</v>
      </c>
      <c r="M352" s="52" t="str">
        <f>IF(Settings!$E$9="YAHOO",VLOOKUP(B352,ADP!A1:E731,2,FALSE),IF(Settings!$E$9="ESPN",VLOOKUP(B352,ADP!A1:E731,3,FALSE),IF(Settings!$E$9="FANTRAX",VLOOKUP(B352,ADP!A1:E731,4,FALSE),VLOOKUP(B352,ADP!A1:E731,5,FALSE))))</f>
        <v>-</v>
      </c>
      <c r="N352" s="52" t="str">
        <f t="shared" si="36"/>
        <v>N/A</v>
      </c>
      <c r="O352" s="38"/>
      <c r="P352" s="39" t="str">
        <f>IF(Settings!$E$27="ON",_xlfn.XLOOKUP(B352,ADP!A2:A731,ADP!H2:H731)," ")</f>
        <v xml:space="preserve"> </v>
      </c>
      <c r="Q352" s="40">
        <f>IF(Settings!$E$12="YES",VLOOKUP(B352,'Player Data'!A1:E734,5,FALSE),82)</f>
        <v>82</v>
      </c>
      <c r="R352" s="38">
        <f>VLOOKUP(B352,'Player Data'!$A1:$AE734,6,FALSE)</f>
        <v>16.4168791263522</v>
      </c>
      <c r="S352" s="40">
        <f>VLOOKUP(B352,'Player Data'!$A1:$AE734,7,FALSE)*$Q352*IFERROR((VLOOKUP(P352,Settings!$E$28:$F$33,2,FALSE)+1),1)</f>
        <v>4.5074461166296835</v>
      </c>
      <c r="T352" s="40">
        <f>VLOOKUP(B352,'Player Data'!$A1:$AE734,8,FALSE)*$Q352*IFERROR((VLOOKUP(P352,Settings!$E$28:$F$33,2,FALSE)+1),1)</f>
        <v>23.262167165817516</v>
      </c>
      <c r="U352" s="40">
        <f t="shared" si="37"/>
        <v>27.7696132824472</v>
      </c>
      <c r="V352" s="40">
        <f>VLOOKUP(B352,'Player Data'!$A1:$AE734,10,FALSE)*$Q352*IFERROR(((VLOOKUP(P352,Settings!$E$28:$F$33,2,FALSE)/2)+1),1)</f>
        <v>78.440323115080204</v>
      </c>
      <c r="W352" s="40">
        <f>VLOOKUP(B352,'Player Data'!$A1:$AE734,11,FALSE)*$Q352*IFERROR((VLOOKUP(P352,Settings!$E$28:$F$33,2,FALSE)+1),1)</f>
        <v>0.163053330168515</v>
      </c>
      <c r="X352" s="40">
        <f>VLOOKUP(B352,'Player Data'!$A1:$AE734,12,FALSE)*$Q352*IFERROR((VLOOKUP(P352,Settings!$E$28:$F$33,2,FALSE)+1),1)</f>
        <v>3.0561578566493779</v>
      </c>
      <c r="Y352" s="40">
        <f>VLOOKUP(B352,'Player Data'!$A1:$AE734,13,FALSE)*$Q352</f>
        <v>7.046224520214318E-3</v>
      </c>
      <c r="Z352" s="40">
        <f>VLOOKUP(B352,'Player Data'!$A1:$AE734,14,FALSE)*$Q352</f>
        <v>3.0110045278216379E-2</v>
      </c>
      <c r="AA352" s="40">
        <f>VLOOKUP(B352,'Player Data'!$A1:$AE734,15,FALSE)*$Q352</f>
        <v>81.461867188126831</v>
      </c>
      <c r="AB352" s="40">
        <f>VLOOKUP(B352,'Player Data'!$A1:$AE734,16,FALSE)*$Q352</f>
        <v>94.135795221213044</v>
      </c>
      <c r="AC352" s="40">
        <f>VLOOKUP(B352,'Player Data'!$A1:$AE734,17,FALSE)*$Q352*IFERROR((VLOOKUP(P352,Settings!$E$28:$F$33,2,FALSE)+1),1)</f>
        <v>4.3274538572525563</v>
      </c>
      <c r="AD352" s="40">
        <f>VLOOKUP(B352,'Player Data'!$A1:$AE734,18,FALSE)*$Q352</f>
        <v>27.970223249719286</v>
      </c>
      <c r="AE352" s="40">
        <f>VLOOKUP(B352,'Player Data'!$A1:$AE734,19,FALSE)*$Q352*IFERROR((VLOOKUP(P352,Settings!$E$28:$F$33,2,FALSE)+1),1)</f>
        <v>0.7241200205755407</v>
      </c>
      <c r="AF352" s="40">
        <f>VLOOKUP(B352,'Player Data'!$A1:$AE734,20,FALSE)*$Q352</f>
        <v>0</v>
      </c>
      <c r="AG352" s="40">
        <f>VLOOKUP(B352,'Player Data'!$A1:$AE734,21,FALSE)*$Q352</f>
        <v>0</v>
      </c>
      <c r="AH352" s="41">
        <f>VLOOKUP(B352,'Player Data'!$A1:$AE734,22,FALSE)</f>
        <v>0</v>
      </c>
      <c r="AI352" s="38"/>
      <c r="AJ352" s="42"/>
      <c r="AK352" s="40"/>
      <c r="AL352" s="40"/>
      <c r="AM352" s="40"/>
      <c r="AN352" s="40"/>
      <c r="AO352" s="40"/>
      <c r="AP352" s="40"/>
      <c r="AQ352" s="43"/>
      <c r="AR352" s="44"/>
      <c r="AS352" s="38"/>
    </row>
    <row r="353" spans="1:45" ht="21.2" customHeight="1">
      <c r="A353" s="181">
        <f t="shared" si="33"/>
        <v>352</v>
      </c>
      <c r="B353" s="8" t="s">
        <v>366</v>
      </c>
      <c r="C353" s="31" t="s">
        <v>104</v>
      </c>
      <c r="D353" s="32" t="str">
        <f>VLOOKUP(B353,'Player Data'!A1:D734,4,FALSE)</f>
        <v>D</v>
      </c>
      <c r="E353" s="47">
        <f>VLOOKUP(B353,D!A1:C229,3,FALSE)</f>
        <v>106</v>
      </c>
      <c r="F353" s="34" t="str">
        <f>VLOOKUP(B353,'Player Data'!A1:B734,2,FALSE)</f>
        <v>DAL</v>
      </c>
      <c r="G353" s="9">
        <f>VLOOKUP(B353,'Player Data'!A1:D734,3,FALSE)</f>
        <v>29</v>
      </c>
      <c r="H353" s="35">
        <f>IFERROR(VLOOKUP(B353,ADP!A1:G731,7,FALSE)/1000000,VLOOKUP(B353,ADP!A1:G731,7,FALSE))</f>
        <v>5.8</v>
      </c>
      <c r="I353" s="36">
        <f>IF(Settings!$E$15="POINTS",((R353*Q353)*Settings!$B$12)+(S353*Settings!$B$2)+(T353*Settings!$B$3)+(U353*Settings!$B$4)+(V353*Settings!$B$5)+(X353*Settings!$B$9)+(AA353*Settings!$B$6)+(W353*Settings!$B$8)+(AB353*Settings!$B$7)+(AC353*Settings!$B$14)+(AD353*Settings!$B$15)+(AE353*Settings!$B$16)+(AF353*Settings!$B$17)+(AG353*Settings!$B$18)+(U353*Settings!$B$13)+(Y353*Settings!$B$10)+(Z353*Settings!$B$11),VLOOKUP(B353,'Standard Deviations'!A1:C731,3,FALSE))</f>
        <v>-3.1842386412538191</v>
      </c>
      <c r="J353" s="37">
        <f t="shared" si="34"/>
        <v>-3.8832178551875846E-2</v>
      </c>
      <c r="K353" s="183">
        <f>VLOOKUP(B353,D!A1:F229,6,FALSE)</f>
        <v>-5.1259791848881298</v>
      </c>
      <c r="L353" s="36">
        <f t="shared" si="35"/>
        <v>-0.88378951463588451</v>
      </c>
      <c r="M353" s="52" t="str">
        <f>IF(Settings!$E$9="YAHOO",VLOOKUP(B353,ADP!A1:E731,2,FALSE),IF(Settings!$E$9="ESPN",VLOOKUP(B353,ADP!A1:E731,3,FALSE),IF(Settings!$E$9="FANTRAX",VLOOKUP(B353,ADP!A1:E731,4,FALSE),VLOOKUP(B353,ADP!A1:E731,5,FALSE))))</f>
        <v>-</v>
      </c>
      <c r="N353" s="52" t="str">
        <f t="shared" si="36"/>
        <v>N/A</v>
      </c>
      <c r="O353" s="38"/>
      <c r="P353" s="39" t="str">
        <f>IF(Settings!$E$27="ON",_xlfn.XLOOKUP(B353,ADP!A2:A731,ADP!H2:H731)," ")</f>
        <v xml:space="preserve"> </v>
      </c>
      <c r="Q353" s="40">
        <f>IF(Settings!$E$12="YES",VLOOKUP(B353,'Player Data'!A1:E734,5,FALSE),82)</f>
        <v>82</v>
      </c>
      <c r="R353" s="38">
        <f>VLOOKUP(B353,'Player Data'!$A1:$AE734,6,FALSE)</f>
        <v>20.837838780110499</v>
      </c>
      <c r="S353" s="40">
        <f>VLOOKUP(B353,'Player Data'!$A1:$AE734,7,FALSE)*$Q353*IFERROR((VLOOKUP(P353,Settings!$E$28:$F$33,2,FALSE)+1),1)</f>
        <v>5.9685774994237715</v>
      </c>
      <c r="T353" s="40">
        <f>VLOOKUP(B353,'Player Data'!$A1:$AE734,8,FALSE)*$Q353*IFERROR((VLOOKUP(P353,Settings!$E$28:$F$33,2,FALSE)+1),1)</f>
        <v>17.123645182788721</v>
      </c>
      <c r="U353" s="40">
        <f t="shared" si="37"/>
        <v>23.092222682212494</v>
      </c>
      <c r="V353" s="40">
        <f>VLOOKUP(B353,'Player Data'!$A1:$AE734,10,FALSE)*$Q353*IFERROR(((VLOOKUP(P353,Settings!$E$28:$F$33,2,FALSE)/2)+1),1)</f>
        <v>124.0605241877148</v>
      </c>
      <c r="W353" s="40">
        <f>VLOOKUP(B353,'Player Data'!$A1:$AE734,11,FALSE)*$Q353*IFERROR((VLOOKUP(P353,Settings!$E$28:$F$33,2,FALSE)+1),1)</f>
        <v>9.3549724282129456E-3</v>
      </c>
      <c r="X353" s="40">
        <f>VLOOKUP(B353,'Player Data'!$A1:$AE734,12,FALSE)*$Q353*IFERROR((VLOOKUP(P353,Settings!$E$28:$F$33,2,FALSE)+1),1)</f>
        <v>0.15812822821777775</v>
      </c>
      <c r="Y353" s="40">
        <f>VLOOKUP(B353,'Player Data'!$A1:$AE734,13,FALSE)*$Q353</f>
        <v>0.50242723813060708</v>
      </c>
      <c r="Z353" s="40">
        <f>VLOOKUP(B353,'Player Data'!$A1:$AE734,14,FALSE)*$Q353</f>
        <v>2.3276655631702301</v>
      </c>
      <c r="AA353" s="40">
        <f>VLOOKUP(B353,'Player Data'!$A1:$AE734,15,FALSE)*$Q353</f>
        <v>153.16132770767396</v>
      </c>
      <c r="AB353" s="40">
        <f>VLOOKUP(B353,'Player Data'!$A1:$AE734,16,FALSE)*$Q353</f>
        <v>106.81077149405161</v>
      </c>
      <c r="AC353" s="40">
        <f>VLOOKUP(B353,'Player Data'!$A1:$AE734,17,FALSE)*$Q353*IFERROR((VLOOKUP(P353,Settings!$E$28:$F$33,2,FALSE)+1),1)</f>
        <v>5.1943796037307672</v>
      </c>
      <c r="AD353" s="40">
        <f>VLOOKUP(B353,'Player Data'!$A1:$AE734,18,FALSE)*$Q353</f>
        <v>18.00488467473528</v>
      </c>
      <c r="AE353" s="40">
        <f>VLOOKUP(B353,'Player Data'!$A1:$AE734,19,FALSE)*$Q353*IFERROR((VLOOKUP(P353,Settings!$E$28:$F$33,2,FALSE)+1),1)</f>
        <v>0.95493008833687398</v>
      </c>
      <c r="AF353" s="40">
        <f>VLOOKUP(B353,'Player Data'!$A1:$AE734,20,FALSE)*$Q353</f>
        <v>0</v>
      </c>
      <c r="AG353" s="40">
        <f>VLOOKUP(B353,'Player Data'!$A1:$AE734,21,FALSE)*$Q353</f>
        <v>0.1566970183727647</v>
      </c>
      <c r="AH353" s="41">
        <f>VLOOKUP(B353,'Player Data'!$A1:$AE734,22,FALSE)</f>
        <v>0</v>
      </c>
      <c r="AI353" s="38"/>
      <c r="AJ353" s="40"/>
      <c r="AK353" s="40"/>
      <c r="AL353" s="40"/>
      <c r="AM353" s="40"/>
      <c r="AN353" s="40"/>
      <c r="AO353" s="40"/>
      <c r="AP353" s="40"/>
      <c r="AQ353" s="43"/>
      <c r="AR353" s="44"/>
      <c r="AS353" s="38"/>
    </row>
    <row r="354" spans="1:45" ht="21.2" customHeight="1">
      <c r="A354" s="181">
        <f t="shared" si="33"/>
        <v>353</v>
      </c>
      <c r="B354" s="8" t="s">
        <v>406</v>
      </c>
      <c r="C354" s="31" t="s">
        <v>104</v>
      </c>
      <c r="D354" s="32" t="str">
        <f>VLOOKUP(B354,'Player Data'!A1:D734,4,FALSE)</f>
        <v>D</v>
      </c>
      <c r="E354" s="47">
        <f>VLOOKUP(B354,D!A1:C229,3,FALSE)</f>
        <v>107</v>
      </c>
      <c r="F354" s="34" t="str">
        <f>VLOOKUP(B354,'Player Data'!A1:B734,2,FALSE)</f>
        <v>TBL</v>
      </c>
      <c r="G354" s="9">
        <f>VLOOKUP(B354,'Player Data'!A1:D734,3,FALSE)</f>
        <v>26</v>
      </c>
      <c r="H354" s="35">
        <f>IFERROR(VLOOKUP(B354,ADP!A1:G731,7,FALSE)/1000000,VLOOKUP(B354,ADP!A1:G731,7,FALSE))</f>
        <v>5.2</v>
      </c>
      <c r="I354" s="36">
        <f>IF(Settings!$E$15="POINTS",((R354*Q354)*Settings!$B$12)+(S354*Settings!$B$2)+(T354*Settings!$B$3)+(U354*Settings!$B$4)+(V354*Settings!$B$5)+(X354*Settings!$B$9)+(AA354*Settings!$B$6)+(W354*Settings!$B$8)+(AB354*Settings!$B$7)+(AC354*Settings!$B$14)+(AD354*Settings!$B$15)+(AE354*Settings!$B$16)+(AF354*Settings!$B$17)+(AG354*Settings!$B$18)+(U354*Settings!$B$13)+(Y354*Settings!$B$10)+(Z354*Settings!$B$11),VLOOKUP(B354,'Standard Deviations'!A1:C731,3,FALSE))</f>
        <v>-3.2040053628536138</v>
      </c>
      <c r="J354" s="37">
        <f t="shared" si="34"/>
        <v>-3.9073236132361147E-2</v>
      </c>
      <c r="K354" s="183">
        <f>VLOOKUP(B354,D!A1:F229,6,FALSE)</f>
        <v>-5.1457459064879245</v>
      </c>
      <c r="L354" s="36">
        <f t="shared" si="35"/>
        <v>-0.98956652047844695</v>
      </c>
      <c r="M354" s="52" t="str">
        <f>IF(Settings!$E$9="YAHOO",VLOOKUP(B354,ADP!A1:E731,2,FALSE),IF(Settings!$E$9="ESPN",VLOOKUP(B354,ADP!A1:E731,3,FALSE),IF(Settings!$E$9="FANTRAX",VLOOKUP(B354,ADP!A1:E731,4,FALSE),VLOOKUP(B354,ADP!A1:E731,5,FALSE))))</f>
        <v>-</v>
      </c>
      <c r="N354" s="52" t="str">
        <f t="shared" si="36"/>
        <v>N/A</v>
      </c>
      <c r="O354" s="38"/>
      <c r="P354" s="39" t="str">
        <f>IF(Settings!$E$27="ON",_xlfn.XLOOKUP(B354,ADP!A2:A731,ADP!H2:H731)," ")</f>
        <v xml:space="preserve"> </v>
      </c>
      <c r="Q354" s="40">
        <f>IF(Settings!$E$12="YES",VLOOKUP(B354,'Player Data'!A1:E734,5,FALSE),82)</f>
        <v>82</v>
      </c>
      <c r="R354" s="38">
        <f>VLOOKUP(B354,'Player Data'!$A1:$AE734,6,FALSE)</f>
        <v>20.100372894526998</v>
      </c>
      <c r="S354" s="40">
        <f>VLOOKUP(B354,'Player Data'!$A1:$AE734,7,FALSE)*$Q354*IFERROR((VLOOKUP(P354,Settings!$E$28:$F$33,2,FALSE)+1),1)</f>
        <v>4.1202309788319358</v>
      </c>
      <c r="T354" s="40">
        <f>VLOOKUP(B354,'Player Data'!$A1:$AE734,8,FALSE)*$Q354*IFERROR((VLOOKUP(P354,Settings!$E$28:$F$33,2,FALSE)+1),1)</f>
        <v>20.037595647719613</v>
      </c>
      <c r="U354" s="40">
        <f t="shared" si="37"/>
        <v>24.157826626551547</v>
      </c>
      <c r="V354" s="40">
        <f>VLOOKUP(B354,'Player Data'!$A1:$AE734,10,FALSE)*$Q354*IFERROR(((VLOOKUP(P354,Settings!$E$28:$F$33,2,FALSE)/2)+1),1)</f>
        <v>118.1069216454467</v>
      </c>
      <c r="W354" s="40">
        <f>VLOOKUP(B354,'Player Data'!$A1:$AE734,11,FALSE)*$Q354*IFERROR((VLOOKUP(P354,Settings!$E$28:$F$33,2,FALSE)+1),1)</f>
        <v>2.3586800998436314E-2</v>
      </c>
      <c r="X354" s="40">
        <f>VLOOKUP(B354,'Player Data'!$A1:$AE734,12,FALSE)*$Q354*IFERROR((VLOOKUP(P354,Settings!$E$28:$F$33,2,FALSE)+1),1)</f>
        <v>0.14636611047073167</v>
      </c>
      <c r="Y354" s="40">
        <f>VLOOKUP(B354,'Player Data'!$A1:$AE734,13,FALSE)*$Q354</f>
        <v>4.1505137918931102E-2</v>
      </c>
      <c r="Z354" s="40">
        <f>VLOOKUP(B354,'Player Data'!$A1:$AE734,14,FALSE)*$Q354</f>
        <v>0.89778095822430415</v>
      </c>
      <c r="AA354" s="40">
        <f>VLOOKUP(B354,'Player Data'!$A1:$AE734,15,FALSE)*$Q354</f>
        <v>123.85617074551894</v>
      </c>
      <c r="AB354" s="40">
        <f>VLOOKUP(B354,'Player Data'!$A1:$AE734,16,FALSE)*$Q354</f>
        <v>223.09218532492875</v>
      </c>
      <c r="AC354" s="40">
        <f>VLOOKUP(B354,'Player Data'!$A1:$AE734,17,FALSE)*$Q354*IFERROR((VLOOKUP(P354,Settings!$E$28:$F$33,2,FALSE)+1),1)</f>
        <v>7.062958227654742E-2</v>
      </c>
      <c r="AD354" s="40">
        <f>VLOOKUP(B354,'Player Data'!$A1:$AE734,18,FALSE)*$Q354</f>
        <v>57.998510530959074</v>
      </c>
      <c r="AE354" s="40">
        <f>VLOOKUP(B354,'Player Data'!$A1:$AE734,19,FALSE)*$Q354*IFERROR((VLOOKUP(P354,Settings!$E$28:$F$33,2,FALSE)+1),1)</f>
        <v>0.64481764486367577</v>
      </c>
      <c r="AF354" s="40">
        <f>VLOOKUP(B354,'Player Data'!$A1:$AE734,20,FALSE)*$Q354</f>
        <v>0</v>
      </c>
      <c r="AG354" s="40">
        <f>VLOOKUP(B354,'Player Data'!$A1:$AE734,21,FALSE)*$Q354</f>
        <v>0</v>
      </c>
      <c r="AH354" s="41">
        <f>VLOOKUP(B354,'Player Data'!$A1:$AE734,22,FALSE)</f>
        <v>0</v>
      </c>
      <c r="AI354" s="38"/>
      <c r="AJ354" s="40"/>
      <c r="AK354" s="40"/>
      <c r="AL354" s="40"/>
      <c r="AM354" s="40"/>
      <c r="AN354" s="40"/>
      <c r="AO354" s="40"/>
      <c r="AP354" s="40"/>
      <c r="AQ354" s="43"/>
      <c r="AR354" s="44"/>
      <c r="AS354" s="38"/>
    </row>
    <row r="355" spans="1:45" ht="21.2" customHeight="1">
      <c r="A355" s="181">
        <f t="shared" si="33"/>
        <v>354</v>
      </c>
      <c r="B355" s="8" t="s">
        <v>554</v>
      </c>
      <c r="C355" s="31" t="s">
        <v>104</v>
      </c>
      <c r="D355" s="32" t="str">
        <f>VLOOKUP(B355,'Player Data'!A1:D734,4,FALSE)</f>
        <v>D</v>
      </c>
      <c r="E355" s="47">
        <f>VLOOKUP(B355,D!A1:C229,3,FALSE)</f>
        <v>108</v>
      </c>
      <c r="F355" s="34" t="str">
        <f>VLOOKUP(B355,'Player Data'!A1:B734,2,FALSE)</f>
        <v>SJS</v>
      </c>
      <c r="G355" s="9">
        <f>VLOOKUP(B355,'Player Data'!A1:D734,3,FALSE)</f>
        <v>30</v>
      </c>
      <c r="H355" s="35">
        <f>IFERROR(VLOOKUP(B355,ADP!A1:G731,7,FALSE)/1000000,VLOOKUP(B355,ADP!A1:G731,7,FALSE))</f>
        <v>0.76249999999999996</v>
      </c>
      <c r="I355" s="36">
        <f>IF(Settings!$E$15="POINTS",((R355*Q355)*Settings!$B$12)+(S355*Settings!$B$2)+(T355*Settings!$B$3)+(U355*Settings!$B$4)+(V355*Settings!$B$5)+(X355*Settings!$B$9)+(AA355*Settings!$B$6)+(W355*Settings!$B$8)+(AB355*Settings!$B$7)+(AC355*Settings!$B$14)+(AD355*Settings!$B$15)+(AE355*Settings!$B$16)+(AF355*Settings!$B$17)+(AG355*Settings!$B$18)+(U355*Settings!$B$13)+(Y355*Settings!$B$10)+(Z355*Settings!$B$11),VLOOKUP(B355,'Standard Deviations'!A1:C731,3,FALSE))</f>
        <v>-3.2229456424631584</v>
      </c>
      <c r="J355" s="37">
        <f t="shared" si="34"/>
        <v>-3.9304215151989737E-2</v>
      </c>
      <c r="K355" s="183">
        <f>VLOOKUP(B355,D!A1:F229,6,FALSE)</f>
        <v>-5.1646861860974695</v>
      </c>
      <c r="L355" s="36">
        <f t="shared" si="35"/>
        <v>-6.773358932586846</v>
      </c>
      <c r="M355" s="52" t="str">
        <f>IF(Settings!$E$9="YAHOO",VLOOKUP(B355,ADP!A1:E731,2,FALSE),IF(Settings!$E$9="ESPN",VLOOKUP(B355,ADP!A1:E731,3,FALSE),IF(Settings!$E$9="FANTRAX",VLOOKUP(B355,ADP!A1:E731,4,FALSE),VLOOKUP(B355,ADP!A1:E731,5,FALSE))))</f>
        <v>-</v>
      </c>
      <c r="N355" s="52" t="str">
        <f t="shared" si="36"/>
        <v>N/A</v>
      </c>
      <c r="O355" s="38"/>
      <c r="P355" s="39" t="str">
        <f>IF(Settings!$E$27="ON",_xlfn.XLOOKUP(B355,ADP!A2:A731,ADP!H2:H731)," ")</f>
        <v xml:space="preserve"> </v>
      </c>
      <c r="Q355" s="40">
        <f>IF(Settings!$E$12="YES",VLOOKUP(B355,'Player Data'!A1:E734,5,FALSE),82)</f>
        <v>82</v>
      </c>
      <c r="R355" s="38">
        <f>VLOOKUP(B355,'Player Data'!$A1:$AE734,6,FALSE)</f>
        <v>14.064141216473899</v>
      </c>
      <c r="S355" s="40">
        <f>VLOOKUP(B355,'Player Data'!$A1:$AE734,7,FALSE)*$Q355*IFERROR((VLOOKUP(P355,Settings!$E$28:$F$33,2,FALSE)+1),1)</f>
        <v>2.1943427918890284</v>
      </c>
      <c r="T355" s="40">
        <f>VLOOKUP(B355,'Player Data'!$A1:$AE734,8,FALSE)*$Q355*IFERROR((VLOOKUP(P355,Settings!$E$28:$F$33,2,FALSE)+1),1)</f>
        <v>12.880750728489497</v>
      </c>
      <c r="U355" s="40">
        <f t="shared" si="37"/>
        <v>15.075093520378525</v>
      </c>
      <c r="V355" s="40">
        <f>VLOOKUP(B355,'Player Data'!$A1:$AE734,10,FALSE)*$Q355*IFERROR(((VLOOKUP(P355,Settings!$E$28:$F$33,2,FALSE)/2)+1),1)</f>
        <v>141.21910706955182</v>
      </c>
      <c r="W355" s="40">
        <f>VLOOKUP(B355,'Player Data'!$A1:$AE734,11,FALSE)*$Q355*IFERROR((VLOOKUP(P355,Settings!$E$28:$F$33,2,FALSE)+1),1)</f>
        <v>0.87172024764272471</v>
      </c>
      <c r="X355" s="40">
        <f>VLOOKUP(B355,'Player Data'!$A1:$AE734,12,FALSE)*$Q355*IFERROR((VLOOKUP(P355,Settings!$E$28:$F$33,2,FALSE)+1),1)</f>
        <v>7.1096223836814625</v>
      </c>
      <c r="Y355" s="40">
        <f>VLOOKUP(B355,'Player Data'!$A1:$AE734,13,FALSE)*$Q355</f>
        <v>2.1326945382847732E-3</v>
      </c>
      <c r="Z355" s="40">
        <f>VLOOKUP(B355,'Player Data'!$A1:$AE734,14,FALSE)*$Q355</f>
        <v>7.669402699620357E-3</v>
      </c>
      <c r="AA355" s="40">
        <f>VLOOKUP(B355,'Player Data'!$A1:$AE734,15,FALSE)*$Q355</f>
        <v>77.611968334861899</v>
      </c>
      <c r="AB355" s="40">
        <f>VLOOKUP(B355,'Player Data'!$A1:$AE734,16,FALSE)*$Q355</f>
        <v>114.71754879678761</v>
      </c>
      <c r="AC355" s="40">
        <f>VLOOKUP(B355,'Player Data'!$A1:$AE734,17,FALSE)*$Q355*IFERROR((VLOOKUP(P355,Settings!$E$28:$F$33,2,FALSE)+1),1)</f>
        <v>-0.12153546181487229</v>
      </c>
      <c r="AD355" s="40">
        <f>VLOOKUP(B355,'Player Data'!$A1:$AE734,18,FALSE)*$Q355</f>
        <v>32.533663358776565</v>
      </c>
      <c r="AE355" s="40">
        <f>VLOOKUP(B355,'Player Data'!$A1:$AE734,19,FALSE)*$Q355*IFERROR((VLOOKUP(P355,Settings!$E$28:$F$33,2,FALSE)+1),1)</f>
        <v>0.27244028479045229</v>
      </c>
      <c r="AF355" s="40">
        <f>VLOOKUP(B355,'Player Data'!$A1:$AE734,20,FALSE)*$Q355</f>
        <v>0</v>
      </c>
      <c r="AG355" s="40">
        <f>VLOOKUP(B355,'Player Data'!$A1:$AE734,21,FALSE)*$Q355</f>
        <v>0</v>
      </c>
      <c r="AH355" s="41">
        <f>VLOOKUP(B355,'Player Data'!$A1:$AE734,22,FALSE)</f>
        <v>0</v>
      </c>
      <c r="AI355" s="38"/>
      <c r="AJ355" s="40"/>
      <c r="AK355" s="40"/>
      <c r="AL355" s="40"/>
      <c r="AM355" s="40"/>
      <c r="AN355" s="40"/>
      <c r="AO355" s="40"/>
      <c r="AP355" s="40"/>
      <c r="AQ355" s="43"/>
      <c r="AR355" s="44"/>
      <c r="AS355" s="38"/>
    </row>
    <row r="356" spans="1:45" ht="21.2" customHeight="1">
      <c r="A356" s="181">
        <f t="shared" si="33"/>
        <v>355</v>
      </c>
      <c r="B356" s="8" t="s">
        <v>389</v>
      </c>
      <c r="C356" s="31" t="s">
        <v>104</v>
      </c>
      <c r="D356" s="32" t="str">
        <f>VLOOKUP(B356,'Player Data'!A1:D734,4,FALSE)</f>
        <v>C,LW,RW</v>
      </c>
      <c r="E356" s="45">
        <f>VLOOKUP(B356,RW!A1:F189,3,FALSE)</f>
        <v>85</v>
      </c>
      <c r="F356" s="34" t="str">
        <f>VLOOKUP(B356,'Player Data'!A1:B734,2,FALSE)</f>
        <v>FLA</v>
      </c>
      <c r="G356" s="9">
        <f>VLOOKUP(B356,'Player Data'!A1:D734,3,FALSE)</f>
        <v>30</v>
      </c>
      <c r="H356" s="35">
        <f>IFERROR(VLOOKUP(B356,ADP!A1:G731,7,FALSE)/1000000,VLOOKUP(B356,ADP!A1:G731,7,FALSE))</f>
        <v>3</v>
      </c>
      <c r="I356" s="36">
        <f>IF(Settings!$E$15="POINTS",((R356*Q356)*Settings!$B$12)+(S356*Settings!$B$2)+(T356*Settings!$B$3)+(U356*Settings!$B$4)+(V356*Settings!$B$5)+(X356*Settings!$B$9)+(AA356*Settings!$B$6)+(W356*Settings!$B$8)+(AB356*Settings!$B$7)+(AC356*Settings!$B$14)+(AD356*Settings!$B$15)+(AE356*Settings!$B$16)+(AF356*Settings!$B$17)+(AG356*Settings!$B$18)+(Y356*Settings!$B$10)+(Z356*Settings!$B$11),VLOOKUP(B356,'Standard Deviations'!A1:C731,3,FALSE))</f>
        <v>1.0766132214619046</v>
      </c>
      <c r="J356" s="37">
        <f t="shared" si="34"/>
        <v>1.3129429530023226E-2</v>
      </c>
      <c r="K356" s="183">
        <f>IF(Settings!$E$18="C/LW/RW",VLOOKUP(B356,RW!A1:F189,6,FALSE),VLOOKUP(B356,F!A1:F431,6,FALSE))</f>
        <v>-5.2036454975491759</v>
      </c>
      <c r="L356" s="36">
        <f t="shared" si="35"/>
        <v>-1.7345484991830586</v>
      </c>
      <c r="M356" s="38">
        <f>IF(Settings!$E$9="YAHOO",VLOOKUP(B356,ADP!A1:E731,2,FALSE),IF(Settings!$E$9="ESPN",VLOOKUP(B356,ADP!A1:E731,3,FALSE),IF(Settings!$E$9="FANTRAX",VLOOKUP(B356,ADP!A1:E731,4,FALSE),VLOOKUP(B356,ADP!A1:E731,5,FALSE))))</f>
        <v>223.01</v>
      </c>
      <c r="N356" s="38">
        <f t="shared" si="36"/>
        <v>-131.99</v>
      </c>
      <c r="O356" s="38"/>
      <c r="P356" s="39" t="str">
        <f>IF(Settings!$E$27="ON",_xlfn.XLOOKUP(B356,ADP!A2:A731,ADP!H2:H731)," ")</f>
        <v xml:space="preserve"> </v>
      </c>
      <c r="Q356" s="40">
        <f>IF(Settings!$E$12="YES",VLOOKUP(B356,'Player Data'!A1:E734,5,FALSE),82)</f>
        <v>82</v>
      </c>
      <c r="R356" s="38">
        <f>VLOOKUP(B356,'Player Data'!$A1:$AE734,6,FALSE)</f>
        <v>15.724809358331401</v>
      </c>
      <c r="S356" s="40">
        <f>VLOOKUP(B356,'Player Data'!$A1:$AE734,7,FALSE)*$Q356*IFERROR((VLOOKUP(P356,Settings!$E$28:$F$33,2,FALSE)+1),1)</f>
        <v>16.3732300965906</v>
      </c>
      <c r="T356" s="40">
        <f>VLOOKUP(B356,'Player Data'!$A1:$AE734,8,FALSE)*$Q356*IFERROR((VLOOKUP(P356,Settings!$E$28:$F$33,2,FALSE)+1),1)</f>
        <v>23.445703242693419</v>
      </c>
      <c r="U356" s="40">
        <f t="shared" si="37"/>
        <v>39.818933339284015</v>
      </c>
      <c r="V356" s="40">
        <f>VLOOKUP(B356,'Player Data'!$A1:$AE734,10,FALSE)*$Q356*IFERROR(((VLOOKUP(P356,Settings!$E$28:$F$33,2,FALSE)/2)+1),1)</f>
        <v>198.13085067138314</v>
      </c>
      <c r="W356" s="40">
        <f>VLOOKUP(B356,'Player Data'!$A1:$AE734,11,FALSE)*$Q356*IFERROR((VLOOKUP(P356,Settings!$E$28:$F$33,2,FALSE)+1),1)</f>
        <v>4.9955773094035134</v>
      </c>
      <c r="X356" s="40">
        <f>VLOOKUP(B356,'Player Data'!$A1:$AE734,12,FALSE)*$Q356*IFERROR((VLOOKUP(P356,Settings!$E$28:$F$33,2,FALSE)+1),1)</f>
        <v>8.3862668713916264</v>
      </c>
      <c r="Y356" s="40">
        <f>VLOOKUP(B356,'Player Data'!$A1:$AE734,13,FALSE)*$Q356</f>
        <v>6.7523917602789835E-2</v>
      </c>
      <c r="Z356" s="40">
        <f>VLOOKUP(B356,'Player Data'!$A1:$AE734,14,FALSE)*$Q356</f>
        <v>0.11170255713760183</v>
      </c>
      <c r="AA356" s="40">
        <f>VLOOKUP(B356,'Player Data'!$A1:$AE734,15,FALSE)*$Q356</f>
        <v>30.14607150781961</v>
      </c>
      <c r="AB356" s="40">
        <f>VLOOKUP(B356,'Player Data'!$A1:$AE734,16,FALSE)*$Q356</f>
        <v>54.929332563696995</v>
      </c>
      <c r="AC356" s="40">
        <f>VLOOKUP(B356,'Player Data'!$A1:$AE734,17,FALSE)*$Q356*IFERROR((VLOOKUP(P356,Settings!$E$28:$F$33,2,FALSE)+1),1)</f>
        <v>4.0541127734456124</v>
      </c>
      <c r="AD356" s="40">
        <f>VLOOKUP(B356,'Player Data'!$A1:$AE734,18,FALSE)*$Q356</f>
        <v>25.279358001076943</v>
      </c>
      <c r="AE356" s="40">
        <f>VLOOKUP(B356,'Player Data'!$A1:$AE734,19,FALSE)*$Q356*IFERROR((VLOOKUP(P356,Settings!$E$28:$F$33,2,FALSE)+1),1)</f>
        <v>2.3487772044115096</v>
      </c>
      <c r="AF356" s="40">
        <f>VLOOKUP(B356,'Player Data'!$A1:$AE734,20,FALSE)*$Q356</f>
        <v>133.36267213852278</v>
      </c>
      <c r="AG356" s="40">
        <f>VLOOKUP(B356,'Player Data'!$A1:$AE734,21,FALSE)*$Q356</f>
        <v>145.87737762303564</v>
      </c>
      <c r="AH356" s="41">
        <f>VLOOKUP(B356,'Player Data'!$A1:$AE734,22,FALSE)</f>
        <v>0.47759149252551902</v>
      </c>
      <c r="AI356" s="38"/>
      <c r="AJ356" s="42"/>
      <c r="AK356" s="40"/>
      <c r="AL356" s="40"/>
      <c r="AM356" s="40"/>
      <c r="AN356" s="40"/>
      <c r="AO356" s="40"/>
      <c r="AP356" s="40"/>
      <c r="AQ356" s="43"/>
      <c r="AR356" s="44"/>
      <c r="AS356" s="38"/>
    </row>
    <row r="357" spans="1:45" ht="21.2" customHeight="1">
      <c r="A357" s="181">
        <f t="shared" si="33"/>
        <v>356</v>
      </c>
      <c r="B357" s="8" t="s">
        <v>526</v>
      </c>
      <c r="C357" s="31" t="s">
        <v>104</v>
      </c>
      <c r="D357" s="32" t="str">
        <f>VLOOKUP(B357,'Player Data'!A1:D734,4,FALSE)</f>
        <v>D</v>
      </c>
      <c r="E357" s="47">
        <f>VLOOKUP(B357,D!A1:C229,3,FALSE)</f>
        <v>109</v>
      </c>
      <c r="F357" s="34" t="str">
        <f>VLOOKUP(B357,'Player Data'!A1:B734,2,FALSE)</f>
        <v>STL</v>
      </c>
      <c r="G357" s="9">
        <f>VLOOKUP(B357,'Player Data'!A1:D734,3,FALSE)</f>
        <v>29</v>
      </c>
      <c r="H357" s="35">
        <f>IFERROR(VLOOKUP(B357,ADP!A1:G731,7,FALSE)/1000000,VLOOKUP(B357,ADP!A1:G731,7,FALSE))</f>
        <v>0.76249999999999996</v>
      </c>
      <c r="I357" s="36">
        <f>IF(Settings!$E$15="POINTS",((R357*Q357)*Settings!$B$12)+(S357*Settings!$B$2)+(T357*Settings!$B$3)+(U357*Settings!$B$4)+(V357*Settings!$B$5)+(X357*Settings!$B$9)+(AA357*Settings!$B$6)+(W357*Settings!$B$8)+(AB357*Settings!$B$7)+(AC357*Settings!$B$14)+(AD357*Settings!$B$15)+(AE357*Settings!$B$16)+(AF357*Settings!$B$17)+(AG357*Settings!$B$18)+(U357*Settings!$B$13)+(Y357*Settings!$B$10)+(Z357*Settings!$B$11),VLOOKUP(B357,'Standard Deviations'!A1:C731,3,FALSE))</f>
        <v>-3.271870409352478</v>
      </c>
      <c r="J357" s="37">
        <f t="shared" si="34"/>
        <v>-3.9900858650639977E-2</v>
      </c>
      <c r="K357" s="183">
        <f>VLOOKUP(B357,D!A1:F229,6,FALSE)</f>
        <v>-5.2136109529867891</v>
      </c>
      <c r="L357" s="36">
        <f t="shared" si="35"/>
        <v>-6.8375225612941497</v>
      </c>
      <c r="M357" s="52" t="str">
        <f>IF(Settings!$E$9="YAHOO",VLOOKUP(B357,ADP!A1:E731,2,FALSE),IF(Settings!$E$9="ESPN",VLOOKUP(B357,ADP!A1:E731,3,FALSE),IF(Settings!$E$9="FANTRAX",VLOOKUP(B357,ADP!A1:E731,4,FALSE),VLOOKUP(B357,ADP!A1:E731,5,FALSE))))</f>
        <v>-</v>
      </c>
      <c r="N357" s="52" t="str">
        <f t="shared" si="36"/>
        <v>N/A</v>
      </c>
      <c r="O357" s="38"/>
      <c r="P357" s="39" t="str">
        <f>IF(Settings!$E$27="ON",_xlfn.XLOOKUP(B357,ADP!A2:A731,ADP!H2:H731)," ")</f>
        <v xml:space="preserve"> </v>
      </c>
      <c r="Q357" s="40">
        <f>IF(Settings!$E$12="YES",VLOOKUP(B357,'Player Data'!A1:E734,5,FALSE),82)</f>
        <v>82</v>
      </c>
      <c r="R357" s="38">
        <f>VLOOKUP(B357,'Player Data'!$A1:$AE734,6,FALSE)</f>
        <v>15.495330844450001</v>
      </c>
      <c r="S357" s="40">
        <f>VLOOKUP(B357,'Player Data'!$A1:$AE734,7,FALSE)*$Q357*IFERROR((VLOOKUP(P357,Settings!$E$28:$F$33,2,FALSE)+1),1)</f>
        <v>8.8966949455764457</v>
      </c>
      <c r="T357" s="40">
        <f>VLOOKUP(B357,'Player Data'!$A1:$AE734,8,FALSE)*$Q357*IFERROR((VLOOKUP(P357,Settings!$E$28:$F$33,2,FALSE)+1),1)</f>
        <v>16.681525457982623</v>
      </c>
      <c r="U357" s="40">
        <f t="shared" si="37"/>
        <v>25.578220403559069</v>
      </c>
      <c r="V357" s="40">
        <f>VLOOKUP(B357,'Player Data'!$A1:$AE734,10,FALSE)*$Q357*IFERROR(((VLOOKUP(P357,Settings!$E$28:$F$33,2,FALSE)/2)+1),1)</f>
        <v>97.597776736097202</v>
      </c>
      <c r="W357" s="40">
        <f>VLOOKUP(B357,'Player Data'!$A1:$AE734,11,FALSE)*$Q357*IFERROR((VLOOKUP(P357,Settings!$E$28:$F$33,2,FALSE)+1),1)</f>
        <v>2.1802278531268635E-2</v>
      </c>
      <c r="X357" s="40">
        <f>VLOOKUP(B357,'Player Data'!$A1:$AE734,12,FALSE)*$Q357*IFERROR((VLOOKUP(P357,Settings!$E$28:$F$33,2,FALSE)+1),1)</f>
        <v>0.14107151909568166</v>
      </c>
      <c r="Y357" s="40">
        <f>VLOOKUP(B357,'Player Data'!$A1:$AE734,13,FALSE)*$Q357</f>
        <v>3.8446772359776005E-2</v>
      </c>
      <c r="Z357" s="40">
        <f>VLOOKUP(B357,'Player Data'!$A1:$AE734,14,FALSE)*$Q357</f>
        <v>0.15774204127772595</v>
      </c>
      <c r="AA357" s="40">
        <f>VLOOKUP(B357,'Player Data'!$A1:$AE734,15,FALSE)*$Q357</f>
        <v>89.635530211981063</v>
      </c>
      <c r="AB357" s="40">
        <f>VLOOKUP(B357,'Player Data'!$A1:$AE734,16,FALSE)*$Q357</f>
        <v>57.075736845942934</v>
      </c>
      <c r="AC357" s="40">
        <f>VLOOKUP(B357,'Player Data'!$A1:$AE734,17,FALSE)*$Q357*IFERROR((VLOOKUP(P357,Settings!$E$28:$F$33,2,FALSE)+1),1)</f>
        <v>-2.1272843866645097</v>
      </c>
      <c r="AD357" s="40">
        <f>VLOOKUP(B357,'Player Data'!$A1:$AE734,18,FALSE)*$Q357</f>
        <v>21.026350858280928</v>
      </c>
      <c r="AE357" s="40">
        <f>VLOOKUP(B357,'Player Data'!$A1:$AE734,19,FALSE)*$Q357*IFERROR((VLOOKUP(P357,Settings!$E$28:$F$33,2,FALSE)+1),1)</f>
        <v>1.0237669901693525</v>
      </c>
      <c r="AF357" s="40">
        <f>VLOOKUP(B357,'Player Data'!$A1:$AE734,20,FALSE)*$Q357</f>
        <v>0</v>
      </c>
      <c r="AG357" s="40">
        <f>VLOOKUP(B357,'Player Data'!$A1:$AE734,21,FALSE)*$Q357</f>
        <v>0</v>
      </c>
      <c r="AH357" s="41">
        <f>VLOOKUP(B357,'Player Data'!$A1:$AE734,22,FALSE)</f>
        <v>0</v>
      </c>
      <c r="AI357" s="38"/>
      <c r="AJ357" s="42"/>
      <c r="AK357" s="40"/>
      <c r="AL357" s="40"/>
      <c r="AM357" s="40"/>
      <c r="AN357" s="40"/>
      <c r="AO357" s="40"/>
      <c r="AP357" s="40"/>
      <c r="AQ357" s="43"/>
      <c r="AR357" s="44"/>
      <c r="AS357" s="38"/>
    </row>
    <row r="358" spans="1:45" ht="21.2" customHeight="1">
      <c r="A358" s="181">
        <f t="shared" si="33"/>
        <v>357</v>
      </c>
      <c r="B358" s="8" t="s">
        <v>425</v>
      </c>
      <c r="C358" s="31" t="s">
        <v>104</v>
      </c>
      <c r="D358" s="32" t="str">
        <f>VLOOKUP(B358,'Player Data'!A1:D734,4,FALSE)</f>
        <v>D</v>
      </c>
      <c r="E358" s="47">
        <f>VLOOKUP(B358,D!A1:C229,3,FALSE)</f>
        <v>110</v>
      </c>
      <c r="F358" s="34" t="str">
        <f>VLOOKUP(B358,'Player Data'!A1:B734,2,FALSE)</f>
        <v>SJS</v>
      </c>
      <c r="G358" s="9">
        <f>VLOOKUP(B358,'Player Data'!A1:D734,3,FALSE)</f>
        <v>29</v>
      </c>
      <c r="H358" s="35">
        <f>IFERROR(VLOOKUP(B358,ADP!A1:G731,7,FALSE)/1000000,VLOOKUP(B358,ADP!A1:G731,7,FALSE))</f>
        <v>1.25</v>
      </c>
      <c r="I358" s="36">
        <f>IF(Settings!$E$15="POINTS",((R358*Q358)*Settings!$B$12)+(S358*Settings!$B$2)+(T358*Settings!$B$3)+(U358*Settings!$B$4)+(V358*Settings!$B$5)+(X358*Settings!$B$9)+(AA358*Settings!$B$6)+(W358*Settings!$B$8)+(AB358*Settings!$B$7)+(AC358*Settings!$B$14)+(AD358*Settings!$B$15)+(AE358*Settings!$B$16)+(AF358*Settings!$B$17)+(AG358*Settings!$B$18)+(U358*Settings!$B$13)+(Y358*Settings!$B$10)+(Z358*Settings!$B$11),VLOOKUP(B358,'Standard Deviations'!A1:C731,3,FALSE))</f>
        <v>-3.2722196895485283</v>
      </c>
      <c r="J358" s="37">
        <f t="shared" si="34"/>
        <v>-3.9905118165225954E-2</v>
      </c>
      <c r="K358" s="183">
        <f>VLOOKUP(B358,D!A1:F229,6,FALSE)</f>
        <v>-5.2139602331828385</v>
      </c>
      <c r="L358" s="36">
        <f t="shared" si="35"/>
        <v>-4.1711681865462706</v>
      </c>
      <c r="M358" s="52" t="str">
        <f>IF(Settings!$E$9="YAHOO",VLOOKUP(B358,ADP!A1:E731,2,FALSE),IF(Settings!$E$9="ESPN",VLOOKUP(B358,ADP!A1:E731,3,FALSE),IF(Settings!$E$9="FANTRAX",VLOOKUP(B358,ADP!A1:E731,4,FALSE),VLOOKUP(B358,ADP!A1:E731,5,FALSE))))</f>
        <v>-</v>
      </c>
      <c r="N358" s="52" t="str">
        <f t="shared" si="36"/>
        <v>N/A</v>
      </c>
      <c r="O358" s="38"/>
      <c r="P358" s="39" t="str">
        <f>IF(Settings!$E$27="ON",_xlfn.XLOOKUP(B358,ADP!A2:A731,ADP!H2:H731)," ")</f>
        <v xml:space="preserve"> </v>
      </c>
      <c r="Q358" s="40">
        <f>IF(Settings!$E$12="YES",VLOOKUP(B358,'Player Data'!A1:E734,5,FALSE),82)</f>
        <v>82</v>
      </c>
      <c r="R358" s="38">
        <f>VLOOKUP(B358,'Player Data'!$A1:$AE734,6,FALSE)</f>
        <v>22.920313332288799</v>
      </c>
      <c r="S358" s="40">
        <f>VLOOKUP(B358,'Player Data'!$A1:$AE734,7,FALSE)*$Q358*IFERROR((VLOOKUP(P358,Settings!$E$28:$F$33,2,FALSE)+1),1)</f>
        <v>2.7263510044045587</v>
      </c>
      <c r="T358" s="40">
        <f>VLOOKUP(B358,'Player Data'!$A1:$AE734,8,FALSE)*$Q358*IFERROR((VLOOKUP(P358,Settings!$E$28:$F$33,2,FALSE)+1),1)</f>
        <v>24.884352179964075</v>
      </c>
      <c r="U358" s="40">
        <f t="shared" si="37"/>
        <v>27.610703184368635</v>
      </c>
      <c r="V358" s="40">
        <f>VLOOKUP(B358,'Player Data'!$A1:$AE734,10,FALSE)*$Q358*IFERROR(((VLOOKUP(P358,Settings!$E$28:$F$33,2,FALSE)/2)+1),1)</f>
        <v>79.832809749459614</v>
      </c>
      <c r="W358" s="40">
        <f>VLOOKUP(B358,'Player Data'!$A1:$AE734,11,FALSE)*$Q358*IFERROR((VLOOKUP(P358,Settings!$E$28:$F$33,2,FALSE)+1),1)</f>
        <v>0.26379726018108296</v>
      </c>
      <c r="X358" s="40">
        <f>VLOOKUP(B358,'Player Data'!$A1:$AE734,12,FALSE)*$Q358*IFERROR((VLOOKUP(P358,Settings!$E$28:$F$33,2,FALSE)+1),1)</f>
        <v>2.1790826660609723</v>
      </c>
      <c r="Y358" s="40">
        <f>VLOOKUP(B358,'Player Data'!$A1:$AE734,13,FALSE)*$Q358</f>
        <v>4.8692065863903426E-3</v>
      </c>
      <c r="Z358" s="40">
        <f>VLOOKUP(B358,'Player Data'!$A1:$AE734,14,FALSE)*$Q358</f>
        <v>0.9869893828473405</v>
      </c>
      <c r="AA358" s="40">
        <f>VLOOKUP(B358,'Player Data'!$A1:$AE734,15,FALSE)*$Q358</f>
        <v>126.94333418535524</v>
      </c>
      <c r="AB358" s="40">
        <f>VLOOKUP(B358,'Player Data'!$A1:$AE734,16,FALSE)*$Q358</f>
        <v>117.27471777225418</v>
      </c>
      <c r="AC358" s="40">
        <f>VLOOKUP(B358,'Player Data'!$A1:$AE734,17,FALSE)*$Q358*IFERROR((VLOOKUP(P358,Settings!$E$28:$F$33,2,FALSE)+1),1)</f>
        <v>-0.89918712480985319</v>
      </c>
      <c r="AD358" s="40">
        <f>VLOOKUP(B358,'Player Data'!$A1:$AE734,18,FALSE)*$Q358</f>
        <v>44.801371091179959</v>
      </c>
      <c r="AE358" s="40">
        <f>VLOOKUP(B358,'Player Data'!$A1:$AE734,19,FALSE)*$Q358*IFERROR((VLOOKUP(P358,Settings!$E$28:$F$33,2,FALSE)+1),1)</f>
        <v>0.33849216577474278</v>
      </c>
      <c r="AF358" s="40">
        <f>VLOOKUP(B358,'Player Data'!$A1:$AE734,20,FALSE)*$Q358</f>
        <v>0</v>
      </c>
      <c r="AG358" s="40">
        <f>VLOOKUP(B358,'Player Data'!$A1:$AE734,21,FALSE)*$Q358</f>
        <v>0</v>
      </c>
      <c r="AH358" s="41">
        <f>VLOOKUP(B358,'Player Data'!$A1:$AE734,22,FALSE)</f>
        <v>0</v>
      </c>
      <c r="AI358" s="38"/>
      <c r="AJ358" s="42"/>
      <c r="AK358" s="40"/>
      <c r="AL358" s="40"/>
      <c r="AM358" s="40"/>
      <c r="AN358" s="40"/>
      <c r="AO358" s="40"/>
      <c r="AP358" s="40"/>
      <c r="AQ358" s="43"/>
      <c r="AR358" s="44"/>
      <c r="AS358" s="38"/>
    </row>
    <row r="359" spans="1:45" ht="21.2" customHeight="1">
      <c r="A359" s="181">
        <f t="shared" si="33"/>
        <v>358</v>
      </c>
      <c r="B359" s="8" t="s">
        <v>454</v>
      </c>
      <c r="C359" s="31" t="s">
        <v>104</v>
      </c>
      <c r="D359" s="32" t="str">
        <f>VLOOKUP(B359,'Player Data'!A1:D734,4,FALSE)</f>
        <v>D</v>
      </c>
      <c r="E359" s="47">
        <f>VLOOKUP(B359,D!A1:C229,3,FALSE)</f>
        <v>111</v>
      </c>
      <c r="F359" s="34" t="str">
        <f>VLOOKUP(B359,'Player Data'!A1:B734,2,FALSE)</f>
        <v>FLA</v>
      </c>
      <c r="G359" s="9">
        <f>VLOOKUP(B359,'Player Data'!A1:D734,3,FALSE)</f>
        <v>32</v>
      </c>
      <c r="H359" s="35">
        <f>IFERROR(VLOOKUP(B359,ADP!A1:G731,7,FALSE)/1000000,VLOOKUP(B359,ADP!A1:G731,7,FALSE))</f>
        <v>2.25</v>
      </c>
      <c r="I359" s="36">
        <f>IF(Settings!$E$15="POINTS",((R359*Q359)*Settings!$B$12)+(S359*Settings!$B$2)+(T359*Settings!$B$3)+(U359*Settings!$B$4)+(V359*Settings!$B$5)+(X359*Settings!$B$9)+(AA359*Settings!$B$6)+(W359*Settings!$B$8)+(AB359*Settings!$B$7)+(AC359*Settings!$B$14)+(AD359*Settings!$B$15)+(AE359*Settings!$B$16)+(AF359*Settings!$B$17)+(AG359*Settings!$B$18)+(U359*Settings!$B$13)+(Y359*Settings!$B$10)+(Z359*Settings!$B$11),VLOOKUP(B359,'Standard Deviations'!A1:C731,3,FALSE))</f>
        <v>-3.3038734993000776</v>
      </c>
      <c r="J359" s="37">
        <f t="shared" si="34"/>
        <v>-4.0291140235366799E-2</v>
      </c>
      <c r="K359" s="183">
        <f>VLOOKUP(B359,D!A1:F229,6,FALSE)</f>
        <v>-5.2456140429343883</v>
      </c>
      <c r="L359" s="36">
        <f t="shared" si="35"/>
        <v>-2.3313840190819501</v>
      </c>
      <c r="M359" s="38">
        <f>IF(Settings!$E$9="YAHOO",VLOOKUP(B359,ADP!A1:E731,2,FALSE),IF(Settings!$E$9="ESPN",VLOOKUP(B359,ADP!A1:E731,3,FALSE),IF(Settings!$E$9="FANTRAX",VLOOKUP(B359,ADP!A1:E731,4,FALSE),VLOOKUP(B359,ADP!A1:E731,5,FALSE))))</f>
        <v>385.2</v>
      </c>
      <c r="N359" s="38">
        <f t="shared" si="36"/>
        <v>27.199999999999989</v>
      </c>
      <c r="O359" s="38"/>
      <c r="P359" s="39" t="str">
        <f>IF(Settings!$E$27="ON",_xlfn.XLOOKUP(B359,ADP!A2:A731,ADP!H2:H731)," ")</f>
        <v xml:space="preserve"> </v>
      </c>
      <c r="Q359" s="40">
        <f>IF(Settings!$E$12="YES",VLOOKUP(B359,'Player Data'!A1:E734,5,FALSE),82)</f>
        <v>82</v>
      </c>
      <c r="R359" s="38">
        <f>VLOOKUP(B359,'Player Data'!$A1:$AE734,6,FALSE)</f>
        <v>17.101886266569998</v>
      </c>
      <c r="S359" s="40">
        <f>VLOOKUP(B359,'Player Data'!$A1:$AE734,7,FALSE)*$Q359*IFERROR((VLOOKUP(P359,Settings!$E$28:$F$33,2,FALSE)+1),1)</f>
        <v>2.5889712951790216</v>
      </c>
      <c r="T359" s="40">
        <f>VLOOKUP(B359,'Player Data'!$A1:$AE734,8,FALSE)*$Q359*IFERROR((VLOOKUP(P359,Settings!$E$28:$F$33,2,FALSE)+1),1)</f>
        <v>18.661001303448028</v>
      </c>
      <c r="U359" s="40">
        <f t="shared" si="37"/>
        <v>21.24997259862705</v>
      </c>
      <c r="V359" s="40">
        <f>VLOOKUP(B359,'Player Data'!$A1:$AE734,10,FALSE)*$Q359*IFERROR(((VLOOKUP(P359,Settings!$E$28:$F$33,2,FALSE)/2)+1),1)</f>
        <v>116.22739868157524</v>
      </c>
      <c r="W359" s="40">
        <f>VLOOKUP(B359,'Player Data'!$A1:$AE734,11,FALSE)*$Q359*IFERROR((VLOOKUP(P359,Settings!$E$28:$F$33,2,FALSE)+1),1)</f>
        <v>0.52141899092462318</v>
      </c>
      <c r="X359" s="40">
        <f>VLOOKUP(B359,'Player Data'!$A1:$AE734,12,FALSE)*$Q359*IFERROR((VLOOKUP(P359,Settings!$E$28:$F$33,2,FALSE)+1),1)</f>
        <v>3.2059260340832618</v>
      </c>
      <c r="Y359" s="40">
        <f>VLOOKUP(B359,'Player Data'!$A1:$AE734,13,FALSE)*$Q359</f>
        <v>-1.2734666933976492E-3</v>
      </c>
      <c r="Z359" s="40">
        <f>VLOOKUP(B359,'Player Data'!$A1:$AE734,14,FALSE)*$Q359</f>
        <v>0.27356684290139238</v>
      </c>
      <c r="AA359" s="40">
        <f>VLOOKUP(B359,'Player Data'!$A1:$AE734,15,FALSE)*$Q359</f>
        <v>67.946477296763035</v>
      </c>
      <c r="AB359" s="40">
        <f>VLOOKUP(B359,'Player Data'!$A1:$AE734,16,FALSE)*$Q359</f>
        <v>90.222336945269547</v>
      </c>
      <c r="AC359" s="40">
        <f>VLOOKUP(B359,'Player Data'!$A1:$AE734,17,FALSE)*$Q359*IFERROR((VLOOKUP(P359,Settings!$E$28:$F$33,2,FALSE)+1),1)</f>
        <v>1.9186292208472509E-3</v>
      </c>
      <c r="AD359" s="40">
        <f>VLOOKUP(B359,'Player Data'!$A1:$AE734,18,FALSE)*$Q359</f>
        <v>37.164787271176003</v>
      </c>
      <c r="AE359" s="40">
        <f>VLOOKUP(B359,'Player Data'!$A1:$AE734,19,FALSE)*$Q359*IFERROR((VLOOKUP(P359,Settings!$E$28:$F$33,2,FALSE)+1),1)</f>
        <v>0.37139383769232259</v>
      </c>
      <c r="AF359" s="40">
        <f>VLOOKUP(B359,'Player Data'!$A1:$AE734,20,FALSE)*$Q359</f>
        <v>0</v>
      </c>
      <c r="AG359" s="40">
        <f>VLOOKUP(B359,'Player Data'!$A1:$AE734,21,FALSE)*$Q359</f>
        <v>0</v>
      </c>
      <c r="AH359" s="41">
        <f>VLOOKUP(B359,'Player Data'!$A1:$AE734,22,FALSE)</f>
        <v>0</v>
      </c>
      <c r="AI359" s="38"/>
      <c r="AJ359" s="40"/>
      <c r="AK359" s="40"/>
      <c r="AL359" s="40"/>
      <c r="AM359" s="40"/>
      <c r="AN359" s="40"/>
      <c r="AO359" s="40"/>
      <c r="AP359" s="40"/>
      <c r="AQ359" s="43"/>
      <c r="AR359" s="44"/>
      <c r="AS359" s="38"/>
    </row>
    <row r="360" spans="1:45" ht="21.2" customHeight="1">
      <c r="A360" s="181">
        <f t="shared" si="33"/>
        <v>359</v>
      </c>
      <c r="B360" s="8" t="s">
        <v>372</v>
      </c>
      <c r="C360" s="31" t="s">
        <v>104</v>
      </c>
      <c r="D360" s="32" t="str">
        <f>VLOOKUP(B360,'Player Data'!A1:D734,4,FALSE)</f>
        <v>LW,RW</v>
      </c>
      <c r="E360" s="45">
        <f>VLOOKUP(B360,RW!A1:F189,3,FALSE)</f>
        <v>86</v>
      </c>
      <c r="F360" s="34" t="str">
        <f>VLOOKUP(B360,'Player Data'!A1:B734,2,FALSE)</f>
        <v>OTT</v>
      </c>
      <c r="G360" s="9">
        <f>VLOOKUP(B360,'Player Data'!A1:D734,3,FALSE)</f>
        <v>27</v>
      </c>
      <c r="H360" s="35">
        <f>IFERROR(VLOOKUP(B360,ADP!A1:G731,7,FALSE)/1000000,VLOOKUP(B360,ADP!A1:G731,7,FALSE))</f>
        <v>2.5</v>
      </c>
      <c r="I360" s="36">
        <f>IF(Settings!$E$15="POINTS",((R360*Q360)*Settings!$B$12)+(S360*Settings!$B$2)+(T360*Settings!$B$3)+(U360*Settings!$B$4)+(V360*Settings!$B$5)+(X360*Settings!$B$9)+(AA360*Settings!$B$6)+(W360*Settings!$B$8)+(AB360*Settings!$B$7)+(AC360*Settings!$B$14)+(AD360*Settings!$B$15)+(AE360*Settings!$B$16)+(AF360*Settings!$B$17)+(AG360*Settings!$B$18)+(Y360*Settings!$B$10)+(Z360*Settings!$B$11),VLOOKUP(B360,'Standard Deviations'!A1:C731,3,FALSE))</f>
        <v>0.99964981291964239</v>
      </c>
      <c r="J360" s="37">
        <f t="shared" si="34"/>
        <v>1.2190851377068809E-2</v>
      </c>
      <c r="K360" s="183">
        <f>IF(Settings!$E$18="C/LW/RW",VLOOKUP(B360,RW!A1:F189,6,FALSE),VLOOKUP(B360,F!A1:F431,6,FALSE))</f>
        <v>-5.2806089060914383</v>
      </c>
      <c r="L360" s="36">
        <f t="shared" si="35"/>
        <v>-2.1122435624365754</v>
      </c>
      <c r="M360" s="38">
        <f>IF(Settings!$E$9="YAHOO",VLOOKUP(B360,ADP!A1:E731,2,FALSE),IF(Settings!$E$9="ESPN",VLOOKUP(B360,ADP!A1:E731,3,FALSE),IF(Settings!$E$9="FANTRAX",VLOOKUP(B360,ADP!A1:E731,4,FALSE),VLOOKUP(B360,ADP!A1:E731,5,FALSE))))</f>
        <v>281.02999999999997</v>
      </c>
      <c r="N360" s="38">
        <f t="shared" si="36"/>
        <v>-77.970000000000027</v>
      </c>
      <c r="O360" s="38"/>
      <c r="P360" s="39" t="str">
        <f>IF(Settings!$E$27="ON",_xlfn.XLOOKUP(B360,ADP!A2:A731,ADP!H2:H731)," ")</f>
        <v xml:space="preserve"> </v>
      </c>
      <c r="Q360" s="40">
        <f>IF(Settings!$E$12="YES",VLOOKUP(B360,'Player Data'!A1:E734,5,FALSE),82)</f>
        <v>82</v>
      </c>
      <c r="R360" s="38">
        <f>VLOOKUP(B360,'Player Data'!$A1:$AE734,6,FALSE)</f>
        <v>14.2950883828788</v>
      </c>
      <c r="S360" s="40">
        <f>VLOOKUP(B360,'Player Data'!$A1:$AE734,7,FALSE)*$Q360*IFERROR((VLOOKUP(P360,Settings!$E$28:$F$33,2,FALSE)+1),1)</f>
        <v>17.884146787219628</v>
      </c>
      <c r="T360" s="40">
        <f>VLOOKUP(B360,'Player Data'!$A1:$AE734,8,FALSE)*$Q360*IFERROR((VLOOKUP(P360,Settings!$E$28:$F$33,2,FALSE)+1),1)</f>
        <v>22.180402418425402</v>
      </c>
      <c r="U360" s="40">
        <f t="shared" si="37"/>
        <v>40.064549205645029</v>
      </c>
      <c r="V360" s="40">
        <f>VLOOKUP(B360,'Player Data'!$A1:$AE734,10,FALSE)*$Q360*IFERROR(((VLOOKUP(P360,Settings!$E$28:$F$33,2,FALSE)/2)+1),1)</f>
        <v>166.77743056449165</v>
      </c>
      <c r="W360" s="40">
        <f>VLOOKUP(B360,'Player Data'!$A1:$AE734,11,FALSE)*$Q360*IFERROR((VLOOKUP(P360,Settings!$E$28:$F$33,2,FALSE)+1),1)</f>
        <v>4.604800079721711</v>
      </c>
      <c r="X360" s="40">
        <f>VLOOKUP(B360,'Player Data'!$A1:$AE734,12,FALSE)*$Q360*IFERROR((VLOOKUP(P360,Settings!$E$28:$F$33,2,FALSE)+1),1)</f>
        <v>12.2326535728109</v>
      </c>
      <c r="Y360" s="40">
        <f>VLOOKUP(B360,'Player Data'!$A1:$AE734,13,FALSE)*$Q360</f>
        <v>2.2630544700555023E-2</v>
      </c>
      <c r="Z360" s="40">
        <f>VLOOKUP(B360,'Player Data'!$A1:$AE734,14,FALSE)*$Q360</f>
        <v>4.2322758078682431E-2</v>
      </c>
      <c r="AA360" s="40">
        <f>VLOOKUP(B360,'Player Data'!$A1:$AE734,15,FALSE)*$Q360</f>
        <v>27.724929391829175</v>
      </c>
      <c r="AB360" s="40">
        <f>VLOOKUP(B360,'Player Data'!$A1:$AE734,16,FALSE)*$Q360</f>
        <v>90.078083247137911</v>
      </c>
      <c r="AC360" s="40">
        <f>VLOOKUP(B360,'Player Data'!$A1:$AE734,17,FALSE)*$Q360*IFERROR((VLOOKUP(P360,Settings!$E$28:$F$33,2,FALSE)+1),1)</f>
        <v>0.82152640319888215</v>
      </c>
      <c r="AD360" s="40">
        <f>VLOOKUP(B360,'Player Data'!$A1:$AE734,18,FALSE)*$Q360</f>
        <v>22.806222680159468</v>
      </c>
      <c r="AE360" s="40">
        <f>VLOOKUP(B360,'Player Data'!$A1:$AE734,19,FALSE)*$Q360*IFERROR((VLOOKUP(P360,Settings!$E$28:$F$33,2,FALSE)+1),1)</f>
        <v>2.6895236558607021</v>
      </c>
      <c r="AF360" s="40">
        <f>VLOOKUP(B360,'Player Data'!$A1:$AE734,20,FALSE)*$Q360</f>
        <v>10.408610075954803</v>
      </c>
      <c r="AG360" s="40">
        <f>VLOOKUP(B360,'Player Data'!$A1:$AE734,21,FALSE)*$Q360</f>
        <v>18.341150792214567</v>
      </c>
      <c r="AH360" s="41">
        <f>VLOOKUP(B360,'Player Data'!$A1:$AE734,22,FALSE)</f>
        <v>0.36204162266541901</v>
      </c>
      <c r="AI360" s="38"/>
      <c r="AJ360" s="42"/>
      <c r="AK360" s="40"/>
      <c r="AL360" s="40"/>
      <c r="AM360" s="40"/>
      <c r="AN360" s="40"/>
      <c r="AO360" s="40"/>
      <c r="AP360" s="40"/>
      <c r="AQ360" s="43"/>
      <c r="AR360" s="44"/>
      <c r="AS360" s="38"/>
    </row>
    <row r="361" spans="1:45" ht="21.2" customHeight="1">
      <c r="A361" s="181">
        <f t="shared" si="33"/>
        <v>360</v>
      </c>
      <c r="B361" s="8" t="s">
        <v>409</v>
      </c>
      <c r="C361" s="31" t="s">
        <v>104</v>
      </c>
      <c r="D361" s="32" t="str">
        <f>VLOOKUP(B361,'Player Data'!A1:D734,4,FALSE)</f>
        <v>D</v>
      </c>
      <c r="E361" s="47">
        <f>VLOOKUP(B361,D!A1:C229,3,FALSE)</f>
        <v>112</v>
      </c>
      <c r="F361" s="34" t="str">
        <f>VLOOKUP(B361,'Player Data'!A1:B734,2,FALSE)</f>
        <v>VGK</v>
      </c>
      <c r="G361" s="9">
        <f>VLOOKUP(B361,'Player Data'!A1:D734,3,FALSE)</f>
        <v>24</v>
      </c>
      <c r="H361" s="35">
        <f>IFERROR(VLOOKUP(B361,ADP!A1:G731,7,FALSE)/1000000,VLOOKUP(B361,ADP!A1:G731,7,FALSE))</f>
        <v>2.2941500000000001</v>
      </c>
      <c r="I361" s="36">
        <f>IF(Settings!$E$15="POINTS",((R361*Q361)*Settings!$B$12)+(S361*Settings!$B$2)+(T361*Settings!$B$3)+(U361*Settings!$B$4)+(V361*Settings!$B$5)+(X361*Settings!$B$9)+(AA361*Settings!$B$6)+(W361*Settings!$B$8)+(AB361*Settings!$B$7)+(AC361*Settings!$B$14)+(AD361*Settings!$B$15)+(AE361*Settings!$B$16)+(AF361*Settings!$B$17)+(AG361*Settings!$B$18)+(U361*Settings!$B$13)+(Y361*Settings!$B$10)+(Z361*Settings!$B$11),VLOOKUP(B361,'Standard Deviations'!A1:C731,3,FALSE))</f>
        <v>-3.3437685005368252</v>
      </c>
      <c r="J361" s="37">
        <f t="shared" si="34"/>
        <v>-4.077766464069299E-2</v>
      </c>
      <c r="K361" s="183">
        <f>VLOOKUP(B361,D!A1:F229,6,FALSE)</f>
        <v>-5.2855090441711354</v>
      </c>
      <c r="L361" s="36">
        <f t="shared" si="35"/>
        <v>-2.3039073487658328</v>
      </c>
      <c r="M361" s="52" t="str">
        <f>IF(Settings!$E$9="YAHOO",VLOOKUP(B361,ADP!A1:E731,2,FALSE),IF(Settings!$E$9="ESPN",VLOOKUP(B361,ADP!A1:E731,3,FALSE),IF(Settings!$E$9="FANTRAX",VLOOKUP(B361,ADP!A1:E731,4,FALSE),VLOOKUP(B361,ADP!A1:E731,5,FALSE))))</f>
        <v>-</v>
      </c>
      <c r="N361" s="52" t="str">
        <f t="shared" si="36"/>
        <v>N/A</v>
      </c>
      <c r="O361" s="38"/>
      <c r="P361" s="39" t="str">
        <f>IF(Settings!$E$27="ON",_xlfn.XLOOKUP(B361,ADP!A2:A731,ADP!H2:H731)," ")</f>
        <v xml:space="preserve"> </v>
      </c>
      <c r="Q361" s="40">
        <f>IF(Settings!$E$12="YES",VLOOKUP(B361,'Player Data'!A1:E734,5,FALSE),82)</f>
        <v>82</v>
      </c>
      <c r="R361" s="38">
        <f>VLOOKUP(B361,'Player Data'!$A1:$AE734,6,FALSE)</f>
        <v>17.250053396232701</v>
      </c>
      <c r="S361" s="40">
        <f>VLOOKUP(B361,'Player Data'!$A1:$AE734,7,FALSE)*$Q361*IFERROR((VLOOKUP(P361,Settings!$E$28:$F$33,2,FALSE)+1),1)</f>
        <v>4.7429591356384018</v>
      </c>
      <c r="T361" s="40">
        <f>VLOOKUP(B361,'Player Data'!$A1:$AE734,8,FALSE)*$Q361*IFERROR((VLOOKUP(P361,Settings!$E$28:$F$33,2,FALSE)+1),1)</f>
        <v>16.000386164951497</v>
      </c>
      <c r="U361" s="40">
        <f t="shared" si="37"/>
        <v>20.743345300589898</v>
      </c>
      <c r="V361" s="40">
        <f>VLOOKUP(B361,'Player Data'!$A1:$AE734,10,FALSE)*$Q361*IFERROR(((VLOOKUP(P361,Settings!$E$28:$F$33,2,FALSE)/2)+1),1)</f>
        <v>124.49648983319638</v>
      </c>
      <c r="W361" s="40">
        <f>VLOOKUP(B361,'Player Data'!$A1:$AE734,11,FALSE)*$Q361*IFERROR((VLOOKUP(P361,Settings!$E$28:$F$33,2,FALSE)+1),1)</f>
        <v>0.24826090908901921</v>
      </c>
      <c r="X361" s="40">
        <f>VLOOKUP(B361,'Player Data'!$A1:$AE734,12,FALSE)*$Q361*IFERROR((VLOOKUP(P361,Settings!$E$28:$F$33,2,FALSE)+1),1)</f>
        <v>1.5125350214498714</v>
      </c>
      <c r="Y361" s="40">
        <f>VLOOKUP(B361,'Player Data'!$A1:$AE734,13,FALSE)*$Q361</f>
        <v>3.25048539620671E-2</v>
      </c>
      <c r="Z361" s="40">
        <f>VLOOKUP(B361,'Player Data'!$A1:$AE734,14,FALSE)*$Q361</f>
        <v>0.16211772765791616</v>
      </c>
      <c r="AA361" s="40">
        <f>VLOOKUP(B361,'Player Data'!$A1:$AE734,15,FALSE)*$Q361</f>
        <v>120.43654208824917</v>
      </c>
      <c r="AB361" s="40">
        <f>VLOOKUP(B361,'Player Data'!$A1:$AE734,16,FALSE)*$Q361</f>
        <v>111.01179073789005</v>
      </c>
      <c r="AC361" s="40">
        <f>VLOOKUP(B361,'Player Data'!$A1:$AE734,17,FALSE)*$Q361*IFERROR((VLOOKUP(P361,Settings!$E$28:$F$33,2,FALSE)+1),1)</f>
        <v>4.3421624986220229</v>
      </c>
      <c r="AD361" s="40">
        <f>VLOOKUP(B361,'Player Data'!$A1:$AE734,18,FALSE)*$Q361</f>
        <v>39.939939202630995</v>
      </c>
      <c r="AE361" s="40">
        <f>VLOOKUP(B361,'Player Data'!$A1:$AE734,19,FALSE)*$Q361*IFERROR((VLOOKUP(P361,Settings!$E$28:$F$33,2,FALSE)+1),1)</f>
        <v>0.77512893325513166</v>
      </c>
      <c r="AF361" s="40">
        <f>VLOOKUP(B361,'Player Data'!$A1:$AE734,20,FALSE)*$Q361</f>
        <v>0</v>
      </c>
      <c r="AG361" s="40">
        <f>VLOOKUP(B361,'Player Data'!$A1:$AE734,21,FALSE)*$Q361</f>
        <v>0</v>
      </c>
      <c r="AH361" s="41">
        <f>VLOOKUP(B361,'Player Data'!$A1:$AE734,22,FALSE)</f>
        <v>0</v>
      </c>
      <c r="AI361" s="38"/>
      <c r="AJ361" s="40"/>
      <c r="AK361" s="40"/>
      <c r="AL361" s="40"/>
      <c r="AM361" s="40"/>
      <c r="AN361" s="40"/>
      <c r="AO361" s="40"/>
      <c r="AP361" s="40"/>
      <c r="AQ361" s="43"/>
      <c r="AR361" s="44"/>
      <c r="AS361" s="38"/>
    </row>
    <row r="362" spans="1:45" ht="21.2" customHeight="1">
      <c r="A362" s="181">
        <f t="shared" si="33"/>
        <v>361</v>
      </c>
      <c r="B362" s="8" t="s">
        <v>358</v>
      </c>
      <c r="C362" s="31" t="s">
        <v>104</v>
      </c>
      <c r="D362" s="32" t="str">
        <f>VLOOKUP(B362,'Player Data'!A1:D734,4,FALSE)</f>
        <v>LW,RW</v>
      </c>
      <c r="E362" s="45">
        <f>VLOOKUP(B362,RW!A1:F189,3,FALSE)</f>
        <v>87</v>
      </c>
      <c r="F362" s="34" t="str">
        <f>VLOOKUP(B362,'Player Data'!A1:B734,2,FALSE)</f>
        <v>ANA</v>
      </c>
      <c r="G362" s="9">
        <f>VLOOKUP(B362,'Player Data'!A1:D734,3,FALSE)</f>
        <v>29</v>
      </c>
      <c r="H362" s="35">
        <f>IFERROR(VLOOKUP(B362,ADP!A1:G731,7,FALSE)/1000000,VLOOKUP(B362,ADP!A1:G731,7,FALSE))</f>
        <v>3.65</v>
      </c>
      <c r="I362" s="36">
        <f>IF(Settings!$E$15="POINTS",((R362*Q362)*Settings!$B$12)+(S362*Settings!$B$2)+(T362*Settings!$B$3)+(U362*Settings!$B$4)+(V362*Settings!$B$5)+(X362*Settings!$B$9)+(AA362*Settings!$B$6)+(W362*Settings!$B$8)+(AB362*Settings!$B$7)+(AC362*Settings!$B$14)+(AD362*Settings!$B$15)+(AE362*Settings!$B$16)+(AF362*Settings!$B$17)+(AG362*Settings!$B$18)+(Y362*Settings!$B$10)+(Z362*Settings!$B$11),VLOOKUP(B362,'Standard Deviations'!A1:C731,3,FALSE))</f>
        <v>0.99335241394041851</v>
      </c>
      <c r="J362" s="37">
        <f t="shared" si="34"/>
        <v>1.211405382854169E-2</v>
      </c>
      <c r="K362" s="183">
        <f>IF(Settings!$E$18="C/LW/RW",VLOOKUP(B362,RW!A1:F189,6,FALSE),VLOOKUP(B362,F!A1:F431,6,FALSE))</f>
        <v>-5.2869063050706622</v>
      </c>
      <c r="L362" s="36">
        <f t="shared" si="35"/>
        <v>-1.4484674808412774</v>
      </c>
      <c r="M362" s="38">
        <f>IF(Settings!$E$9="YAHOO",VLOOKUP(B362,ADP!A1:E731,2,FALSE),IF(Settings!$E$9="ESPN",VLOOKUP(B362,ADP!A1:E731,3,FALSE),IF(Settings!$E$9="FANTRAX",VLOOKUP(B362,ADP!A1:E731,4,FALSE),VLOOKUP(B362,ADP!A1:E731,5,FALSE))))</f>
        <v>218.38</v>
      </c>
      <c r="N362" s="38">
        <f t="shared" si="36"/>
        <v>-142.62</v>
      </c>
      <c r="O362" s="38"/>
      <c r="P362" s="39" t="str">
        <f>IF(Settings!$E$27="ON",_xlfn.XLOOKUP(B362,ADP!A2:A731,ADP!H2:H731)," ")</f>
        <v xml:space="preserve"> </v>
      </c>
      <c r="Q362" s="40">
        <f>IF(Settings!$E$12="YES",VLOOKUP(B362,'Player Data'!A1:E734,5,FALSE),82)</f>
        <v>82</v>
      </c>
      <c r="R362" s="38">
        <f>VLOOKUP(B362,'Player Data'!$A1:$AE734,6,FALSE)</f>
        <v>15.2412928125782</v>
      </c>
      <c r="S362" s="40">
        <f>VLOOKUP(B362,'Player Data'!$A1:$AE734,7,FALSE)*$Q362*IFERROR((VLOOKUP(P362,Settings!$E$28:$F$33,2,FALSE)+1),1)</f>
        <v>20.470785934561533</v>
      </c>
      <c r="T362" s="40">
        <f>VLOOKUP(B362,'Player Data'!$A1:$AE734,8,FALSE)*$Q362*IFERROR((VLOOKUP(P362,Settings!$E$28:$F$33,2,FALSE)+1),1)</f>
        <v>17.571161972121299</v>
      </c>
      <c r="U362" s="40">
        <f t="shared" si="37"/>
        <v>38.041947906682836</v>
      </c>
      <c r="V362" s="40">
        <f>VLOOKUP(B362,'Player Data'!$A1:$AE734,10,FALSE)*$Q362*IFERROR(((VLOOKUP(P362,Settings!$E$28:$F$33,2,FALSE)/2)+1),1)</f>
        <v>208.29782373316965</v>
      </c>
      <c r="W362" s="40">
        <f>VLOOKUP(B362,'Player Data'!$A1:$AE734,11,FALSE)*$Q362*IFERROR((VLOOKUP(P362,Settings!$E$28:$F$33,2,FALSE)+1),1)</f>
        <v>3.555256785663691</v>
      </c>
      <c r="X362" s="40">
        <f>VLOOKUP(B362,'Player Data'!$A1:$AE734,12,FALSE)*$Q362*IFERROR((VLOOKUP(P362,Settings!$E$28:$F$33,2,FALSE)+1),1)</f>
        <v>6.9701223119388116</v>
      </c>
      <c r="Y362" s="40">
        <f>VLOOKUP(B362,'Player Data'!$A1:$AE734,13,FALSE)*$Q362</f>
        <v>9.8694847176030109E-2</v>
      </c>
      <c r="Z362" s="40">
        <f>VLOOKUP(B362,'Player Data'!$A1:$AE734,14,FALSE)*$Q362</f>
        <v>0.17759322044772768</v>
      </c>
      <c r="AA362" s="40">
        <f>VLOOKUP(B362,'Player Data'!$A1:$AE734,15,FALSE)*$Q362</f>
        <v>58.202371390571166</v>
      </c>
      <c r="AB362" s="40">
        <f>VLOOKUP(B362,'Player Data'!$A1:$AE734,16,FALSE)*$Q362</f>
        <v>83.139816344632777</v>
      </c>
      <c r="AC362" s="40">
        <f>VLOOKUP(B362,'Player Data'!$A1:$AE734,17,FALSE)*$Q362*IFERROR((VLOOKUP(P362,Settings!$E$28:$F$33,2,FALSE)+1),1)</f>
        <v>-10.466081736034669</v>
      </c>
      <c r="AD362" s="40">
        <f>VLOOKUP(B362,'Player Data'!$A1:$AE734,18,FALSE)*$Q362</f>
        <v>33.166762583794885</v>
      </c>
      <c r="AE362" s="40">
        <f>VLOOKUP(B362,'Player Data'!$A1:$AE734,19,FALSE)*$Q362*IFERROR((VLOOKUP(P362,Settings!$E$28:$F$33,2,FALSE)+1),1)</f>
        <v>1.9623914774899105</v>
      </c>
      <c r="AF362" s="40">
        <f>VLOOKUP(B362,'Player Data'!$A1:$AE734,20,FALSE)*$Q362</f>
        <v>7.5456166503453233</v>
      </c>
      <c r="AG362" s="40">
        <f>VLOOKUP(B362,'Player Data'!$A1:$AE734,21,FALSE)*$Q362</f>
        <v>11.645491944567818</v>
      </c>
      <c r="AH362" s="41">
        <f>VLOOKUP(B362,'Player Data'!$A1:$AE734,22,FALSE)</f>
        <v>0.39318294787542402</v>
      </c>
      <c r="AI362" s="38"/>
      <c r="AJ362" s="42"/>
      <c r="AK362" s="40"/>
      <c r="AL362" s="40"/>
      <c r="AM362" s="40"/>
      <c r="AN362" s="40"/>
      <c r="AO362" s="40"/>
      <c r="AP362" s="40"/>
      <c r="AQ362" s="43"/>
      <c r="AR362" s="44"/>
      <c r="AS362" s="38"/>
    </row>
    <row r="363" spans="1:45" ht="21.2" customHeight="1">
      <c r="A363" s="181">
        <f t="shared" si="33"/>
        <v>362</v>
      </c>
      <c r="B363" s="8" t="s">
        <v>410</v>
      </c>
      <c r="C363" s="31" t="s">
        <v>104</v>
      </c>
      <c r="D363" s="32" t="str">
        <f>VLOOKUP(B363,'Player Data'!A1:D734,4,FALSE)</f>
        <v>C</v>
      </c>
      <c r="E363" s="33">
        <f>VLOOKUP(B363,'C'!A1:C208,3,FALSE)</f>
        <v>84</v>
      </c>
      <c r="F363" s="34" t="str">
        <f>VLOOKUP(B363,'Player Data'!A1:B734,2,FALSE)</f>
        <v>CBJ</v>
      </c>
      <c r="G363" s="9">
        <f>VLOOKUP(B363,'Player Data'!A1:D734,3,FALSE)</f>
        <v>26</v>
      </c>
      <c r="H363" s="35">
        <f>IFERROR(VLOOKUP(B363,ADP!A1:G731,7,FALSE)/1000000,VLOOKUP(B363,ADP!A1:G731,7,FALSE))</f>
        <v>4</v>
      </c>
      <c r="I363" s="36">
        <f>IF(Settings!$E$15="POINTS",((R363*Q363)*Settings!$B$12)+(S363*Settings!$B$2)+(T363*Settings!$B$3)+(U363*Settings!$B$4)+(V363*Settings!$B$5)+(X363*Settings!$B$9)+(AA363*Settings!$B$6)+(W363*Settings!$B$8)+(AB363*Settings!$B$7)+(AC363*Settings!$B$14)+(AD363*Settings!$B$15)+(AE363*Settings!$B$16)+(AF363*Settings!$B$17)+(AG363*Settings!$B$18)+(Y363*Settings!$B$10)+(Z363*Settings!$B$11),VLOOKUP(B363,'Standard Deviations'!A1:C731,3,FALSE))</f>
        <v>1.0345234903989839</v>
      </c>
      <c r="J363" s="37">
        <f t="shared" si="34"/>
        <v>1.2616140126816878E-2</v>
      </c>
      <c r="K363" s="183">
        <f>IF(Settings!$E$18="C/LW/RW",VLOOKUP(B363,'C'!A1:F208,6,FALSE),VLOOKUP(B363,F!A1:F431,6,FALSE))</f>
        <v>-5.302527233807619</v>
      </c>
      <c r="L363" s="36">
        <f t="shared" si="35"/>
        <v>-1.3256318084519048</v>
      </c>
      <c r="M363" s="52" t="str">
        <f>IF(Settings!$E$9="YAHOO",VLOOKUP(B363,ADP!A1:E731,2,FALSE),IF(Settings!$E$9="ESPN",VLOOKUP(B363,ADP!A1:E731,3,FALSE),IF(Settings!$E$9="FANTRAX",VLOOKUP(B363,ADP!A1:E731,4,FALSE),VLOOKUP(B363,ADP!A1:E731,5,FALSE))))</f>
        <v>-</v>
      </c>
      <c r="N363" s="52" t="str">
        <f t="shared" si="36"/>
        <v>N/A</v>
      </c>
      <c r="O363" s="38"/>
      <c r="P363" s="39" t="str">
        <f>IF(Settings!$E$27="ON",_xlfn.XLOOKUP(B363,ADP!A2:A731,ADP!H2:H731)," ")</f>
        <v xml:space="preserve"> </v>
      </c>
      <c r="Q363" s="40">
        <f>IF(Settings!$E$12="YES",VLOOKUP(B363,'Player Data'!A1:E734,5,FALSE),82)</f>
        <v>82</v>
      </c>
      <c r="R363" s="38">
        <f>VLOOKUP(B363,'Player Data'!$A1:$AE734,6,FALSE)</f>
        <v>16.156866720063999</v>
      </c>
      <c r="S363" s="40">
        <f>VLOOKUP(B363,'Player Data'!$A1:$AE734,7,FALSE)*$Q363*IFERROR((VLOOKUP(P363,Settings!$E$28:$F$33,2,FALSE)+1),1)</f>
        <v>17.117929680256005</v>
      </c>
      <c r="T363" s="40">
        <f>VLOOKUP(B363,'Player Data'!$A1:$AE734,8,FALSE)*$Q363*IFERROR((VLOOKUP(P363,Settings!$E$28:$F$33,2,FALSE)+1),1)</f>
        <v>30.574629613748215</v>
      </c>
      <c r="U363" s="40">
        <f t="shared" si="37"/>
        <v>47.692559294004219</v>
      </c>
      <c r="V363" s="40">
        <f>VLOOKUP(B363,'Player Data'!$A1:$AE734,10,FALSE)*$Q363*IFERROR(((VLOOKUP(P363,Settings!$E$28:$F$33,2,FALSE)/2)+1),1)</f>
        <v>135.27026456517117</v>
      </c>
      <c r="W363" s="40">
        <f>VLOOKUP(B363,'Player Data'!$A1:$AE734,11,FALSE)*$Q363*IFERROR((VLOOKUP(P363,Settings!$E$28:$F$33,2,FALSE)+1),1)</f>
        <v>3.2710101492676884</v>
      </c>
      <c r="X363" s="40">
        <f>VLOOKUP(B363,'Player Data'!$A1:$AE734,12,FALSE)*$Q363*IFERROR((VLOOKUP(P363,Settings!$E$28:$F$33,2,FALSE)+1),1)</f>
        <v>9.1535110040802152</v>
      </c>
      <c r="Y363" s="40">
        <f>VLOOKUP(B363,'Player Data'!$A1:$AE734,13,FALSE)*$Q363</f>
        <v>1.654679407120164</v>
      </c>
      <c r="Z363" s="40">
        <f>VLOOKUP(B363,'Player Data'!$A1:$AE734,14,FALSE)*$Q363</f>
        <v>2.5964692217942167</v>
      </c>
      <c r="AA363" s="40">
        <f>VLOOKUP(B363,'Player Data'!$A1:$AE734,15,FALSE)*$Q363</f>
        <v>48.675053438404298</v>
      </c>
      <c r="AB363" s="40">
        <f>VLOOKUP(B363,'Player Data'!$A1:$AE734,16,FALSE)*$Q363</f>
        <v>55.620914580374134</v>
      </c>
      <c r="AC363" s="40">
        <f>VLOOKUP(B363,'Player Data'!$A1:$AE734,17,FALSE)*$Q363*IFERROR((VLOOKUP(P363,Settings!$E$28:$F$33,2,FALSE)+1),1)</f>
        <v>-5.6794772365120227</v>
      </c>
      <c r="AD363" s="40">
        <f>VLOOKUP(B363,'Player Data'!$A1:$AE734,18,FALSE)*$Q363</f>
        <v>17.297369658268622</v>
      </c>
      <c r="AE363" s="40">
        <f>VLOOKUP(B363,'Player Data'!$A1:$AE734,19,FALSE)*$Q363*IFERROR((VLOOKUP(P363,Settings!$E$28:$F$33,2,FALSE)+1),1)</f>
        <v>1.8343040253908935</v>
      </c>
      <c r="AF363" s="40">
        <f>VLOOKUP(B363,'Player Data'!$A1:$AE734,20,FALSE)*$Q363</f>
        <v>408.13697661758368</v>
      </c>
      <c r="AG363" s="40">
        <f>VLOOKUP(B363,'Player Data'!$A1:$AE734,21,FALSE)*$Q363</f>
        <v>532.75311284285112</v>
      </c>
      <c r="AH363" s="41">
        <f>VLOOKUP(B363,'Player Data'!$A1:$AE734,22,FALSE)</f>
        <v>0.43377752745980702</v>
      </c>
      <c r="AI363" s="38"/>
      <c r="AJ363" s="40"/>
      <c r="AK363" s="40"/>
      <c r="AL363" s="40"/>
      <c r="AM363" s="40"/>
      <c r="AN363" s="40"/>
      <c r="AO363" s="40"/>
      <c r="AP363" s="40"/>
      <c r="AQ363" s="43"/>
      <c r="AR363" s="44"/>
      <c r="AS363" s="38"/>
    </row>
    <row r="364" spans="1:45" ht="21.2" customHeight="1">
      <c r="A364" s="181">
        <f t="shared" si="33"/>
        <v>363</v>
      </c>
      <c r="B364" s="8" t="s">
        <v>448</v>
      </c>
      <c r="C364" s="31" t="s">
        <v>104</v>
      </c>
      <c r="D364" s="32" t="str">
        <f>VLOOKUP(B364,'Player Data'!A1:D734,4,FALSE)</f>
        <v>D</v>
      </c>
      <c r="E364" s="47">
        <f>VLOOKUP(B364,D!A1:C229,3,FALSE)</f>
        <v>113</v>
      </c>
      <c r="F364" s="34" t="str">
        <f>VLOOKUP(B364,'Player Data'!A1:B734,2,FALSE)</f>
        <v>CBJ</v>
      </c>
      <c r="G364" s="9">
        <f>VLOOKUP(B364,'Player Data'!A1:D734,3,FALSE)</f>
        <v>25</v>
      </c>
      <c r="H364" s="35">
        <f>IFERROR(VLOOKUP(B364,ADP!A1:G731,7,FALSE)/1000000,VLOOKUP(B364,ADP!A1:G731,7,FALSE))</f>
        <v>2.3330000000000002</v>
      </c>
      <c r="I364" s="36">
        <f>IF(Settings!$E$15="POINTS",((R364*Q364)*Settings!$B$12)+(S364*Settings!$B$2)+(T364*Settings!$B$3)+(U364*Settings!$B$4)+(V364*Settings!$B$5)+(X364*Settings!$B$9)+(AA364*Settings!$B$6)+(W364*Settings!$B$8)+(AB364*Settings!$B$7)+(AC364*Settings!$B$14)+(AD364*Settings!$B$15)+(AE364*Settings!$B$16)+(AF364*Settings!$B$17)+(AG364*Settings!$B$18)+(U364*Settings!$B$13)+(Y364*Settings!$B$10)+(Z364*Settings!$B$11),VLOOKUP(B364,'Standard Deviations'!A1:C731,3,FALSE))</f>
        <v>-3.3624082477101074</v>
      </c>
      <c r="J364" s="37">
        <f t="shared" si="34"/>
        <v>-4.1004978630611068E-2</v>
      </c>
      <c r="K364" s="183">
        <f>VLOOKUP(B364,D!A1:F229,6,FALSE)</f>
        <v>-5.3041487913444181</v>
      </c>
      <c r="L364" s="36">
        <f t="shared" si="35"/>
        <v>-2.2735314150640451</v>
      </c>
      <c r="M364" s="52" t="str">
        <f>IF(Settings!$E$9="YAHOO",VLOOKUP(B364,ADP!A1:E731,2,FALSE),IF(Settings!$E$9="ESPN",VLOOKUP(B364,ADP!A1:E731,3,FALSE),IF(Settings!$E$9="FANTRAX",VLOOKUP(B364,ADP!A1:E731,4,FALSE),VLOOKUP(B364,ADP!A1:E731,5,FALSE))))</f>
        <v>-</v>
      </c>
      <c r="N364" s="52" t="str">
        <f t="shared" si="36"/>
        <v>N/A</v>
      </c>
      <c r="O364" s="38"/>
      <c r="P364" s="39" t="str">
        <f>IF(Settings!$E$27="ON",_xlfn.XLOOKUP(B364,ADP!A2:A731,ADP!H2:H731)," ")</f>
        <v xml:space="preserve"> </v>
      </c>
      <c r="Q364" s="40">
        <f>IF(Settings!$E$12="YES",VLOOKUP(B364,'Player Data'!A1:E734,5,FALSE),82)</f>
        <v>82</v>
      </c>
      <c r="R364" s="38">
        <f>VLOOKUP(B364,'Player Data'!$A1:$AE734,6,FALSE)</f>
        <v>17.7037000463034</v>
      </c>
      <c r="S364" s="40">
        <f>VLOOKUP(B364,'Player Data'!$A1:$AE734,7,FALSE)*$Q364*IFERROR((VLOOKUP(P364,Settings!$E$28:$F$33,2,FALSE)+1),1)</f>
        <v>5.3058482865512095</v>
      </c>
      <c r="T364" s="40">
        <f>VLOOKUP(B364,'Player Data'!$A1:$AE734,8,FALSE)*$Q364*IFERROR((VLOOKUP(P364,Settings!$E$28:$F$33,2,FALSE)+1),1)</f>
        <v>18.87660212096073</v>
      </c>
      <c r="U364" s="40">
        <f t="shared" si="37"/>
        <v>24.18245040751194</v>
      </c>
      <c r="V364" s="40">
        <f>VLOOKUP(B364,'Player Data'!$A1:$AE734,10,FALSE)*$Q364*IFERROR(((VLOOKUP(P364,Settings!$E$28:$F$33,2,FALSE)/2)+1),1)</f>
        <v>99.441499060065567</v>
      </c>
      <c r="W364" s="40">
        <f>VLOOKUP(B364,'Player Data'!$A1:$AE734,11,FALSE)*$Q364*IFERROR((VLOOKUP(P364,Settings!$E$28:$F$33,2,FALSE)+1),1)</f>
        <v>0.27691286136650411</v>
      </c>
      <c r="X364" s="40">
        <f>VLOOKUP(B364,'Player Data'!$A1:$AE734,12,FALSE)*$Q364*IFERROR((VLOOKUP(P364,Settings!$E$28:$F$33,2,FALSE)+1),1)</f>
        <v>1.387665871050533</v>
      </c>
      <c r="Y364" s="40">
        <f>VLOOKUP(B364,'Player Data'!$A1:$AE734,13,FALSE)*$Q364</f>
        <v>3.6280075253871329E-2</v>
      </c>
      <c r="Z364" s="40">
        <f>VLOOKUP(B364,'Player Data'!$A1:$AE734,14,FALSE)*$Q364</f>
        <v>0.42957429593413693</v>
      </c>
      <c r="AA364" s="40">
        <f>VLOOKUP(B364,'Player Data'!$A1:$AE734,15,FALSE)*$Q364</f>
        <v>98.5591026935451</v>
      </c>
      <c r="AB364" s="40">
        <f>VLOOKUP(B364,'Player Data'!$A1:$AE734,16,FALSE)*$Q364</f>
        <v>81.19175339915742</v>
      </c>
      <c r="AC364" s="40">
        <f>VLOOKUP(B364,'Player Data'!$A1:$AE734,17,FALSE)*$Q364*IFERROR((VLOOKUP(P364,Settings!$E$28:$F$33,2,FALSE)+1),1)</f>
        <v>-5.7671166310844582</v>
      </c>
      <c r="AD364" s="40">
        <f>VLOOKUP(B364,'Player Data'!$A1:$AE734,18,FALSE)*$Q364</f>
        <v>30.471314214172484</v>
      </c>
      <c r="AE364" s="40">
        <f>VLOOKUP(B364,'Player Data'!$A1:$AE734,19,FALSE)*$Q364*IFERROR((VLOOKUP(P364,Settings!$E$28:$F$33,2,FALSE)+1),1)</f>
        <v>0.56855817566302291</v>
      </c>
      <c r="AF364" s="40">
        <f>VLOOKUP(B364,'Player Data'!$A1:$AE734,20,FALSE)*$Q364</f>
        <v>0</v>
      </c>
      <c r="AG364" s="40">
        <f>VLOOKUP(B364,'Player Data'!$A1:$AE734,21,FALSE)*$Q364</f>
        <v>0</v>
      </c>
      <c r="AH364" s="41">
        <f>VLOOKUP(B364,'Player Data'!$A1:$AE734,22,FALSE)</f>
        <v>0</v>
      </c>
      <c r="AI364" s="38"/>
      <c r="AJ364" s="40"/>
      <c r="AK364" s="40"/>
      <c r="AL364" s="40"/>
      <c r="AM364" s="40"/>
      <c r="AN364" s="40"/>
      <c r="AO364" s="40"/>
      <c r="AP364" s="40"/>
      <c r="AQ364" s="43"/>
      <c r="AR364" s="44"/>
      <c r="AS364" s="38"/>
    </row>
    <row r="365" spans="1:45" ht="21.2" customHeight="1">
      <c r="A365" s="181">
        <f t="shared" si="33"/>
        <v>364</v>
      </c>
      <c r="B365" s="8" t="s">
        <v>390</v>
      </c>
      <c r="C365" s="31" t="s">
        <v>104</v>
      </c>
      <c r="D365" s="32" t="str">
        <f>VLOOKUP(B365,'Player Data'!A1:D734,4,FALSE)</f>
        <v>D</v>
      </c>
      <c r="E365" s="47">
        <f>VLOOKUP(B365,D!A1:C229,3,FALSE)</f>
        <v>114</v>
      </c>
      <c r="F365" s="34" t="str">
        <f>VLOOKUP(B365,'Player Data'!A1:B734,2,FALSE)</f>
        <v>ANA</v>
      </c>
      <c r="G365" s="9">
        <f>VLOOKUP(B365,'Player Data'!A1:D734,3,FALSE)</f>
        <v>33</v>
      </c>
      <c r="H365" s="35">
        <f>IFERROR(VLOOKUP(B365,ADP!A1:G731,7,FALSE)/1000000,VLOOKUP(B365,ADP!A1:G731,7,FALSE))</f>
        <v>4</v>
      </c>
      <c r="I365" s="36">
        <f>IF(Settings!$E$15="POINTS",((R365*Q365)*Settings!$B$12)+(S365*Settings!$B$2)+(T365*Settings!$B$3)+(U365*Settings!$B$4)+(V365*Settings!$B$5)+(X365*Settings!$B$9)+(AA365*Settings!$B$6)+(W365*Settings!$B$8)+(AB365*Settings!$B$7)+(AC365*Settings!$B$14)+(AD365*Settings!$B$15)+(AE365*Settings!$B$16)+(AF365*Settings!$B$17)+(AG365*Settings!$B$18)+(U365*Settings!$B$13)+(Y365*Settings!$B$10)+(Z365*Settings!$B$11),VLOOKUP(B365,'Standard Deviations'!A1:C731,3,FALSE))</f>
        <v>-3.3781292291857046</v>
      </c>
      <c r="J365" s="37">
        <f t="shared" si="34"/>
        <v>-4.1196697916898839E-2</v>
      </c>
      <c r="K365" s="183">
        <f>VLOOKUP(B365,D!A1:F229,6,FALSE)</f>
        <v>-5.3198697728200148</v>
      </c>
      <c r="L365" s="36">
        <f t="shared" si="35"/>
        <v>-1.3299674432050037</v>
      </c>
      <c r="M365" s="38">
        <f>IF(Settings!$E$9="YAHOO",VLOOKUP(B365,ADP!A1:E731,2,FALSE),IF(Settings!$E$9="ESPN",VLOOKUP(B365,ADP!A1:E731,3,FALSE),IF(Settings!$E$9="FANTRAX",VLOOKUP(B365,ADP!A1:E731,4,FALSE),VLOOKUP(B365,ADP!A1:E731,5,FALSE))))</f>
        <v>231.76</v>
      </c>
      <c r="N365" s="38">
        <f t="shared" si="36"/>
        <v>-132.24</v>
      </c>
      <c r="O365" s="38"/>
      <c r="P365" s="39" t="str">
        <f>IF(Settings!$E$27="ON",_xlfn.XLOOKUP(B365,ADP!A2:A731,ADP!H2:H731)," ")</f>
        <v xml:space="preserve"> </v>
      </c>
      <c r="Q365" s="40">
        <f>IF(Settings!$E$12="YES",VLOOKUP(B365,'Player Data'!A1:E734,5,FALSE),82)</f>
        <v>82</v>
      </c>
      <c r="R365" s="38">
        <f>VLOOKUP(B365,'Player Data'!$A1:$AE734,6,FALSE)</f>
        <v>20.005505301360301</v>
      </c>
      <c r="S365" s="40">
        <f>VLOOKUP(B365,'Player Data'!$A1:$AE734,7,FALSE)*$Q365*IFERROR((VLOOKUP(P365,Settings!$E$28:$F$33,2,FALSE)+1),1)</f>
        <v>3.0791700895377114</v>
      </c>
      <c r="T365" s="40">
        <f>VLOOKUP(B365,'Player Data'!$A1:$AE734,8,FALSE)*$Q365*IFERROR((VLOOKUP(P365,Settings!$E$28:$F$33,2,FALSE)+1),1)</f>
        <v>17.073855461574716</v>
      </c>
      <c r="U365" s="40">
        <f t="shared" si="37"/>
        <v>20.153025551112428</v>
      </c>
      <c r="V365" s="40">
        <f>VLOOKUP(B365,'Player Data'!$A1:$AE734,10,FALSE)*$Q365*IFERROR(((VLOOKUP(P365,Settings!$E$28:$F$33,2,FALSE)/2)+1),1)</f>
        <v>135.42991586254138</v>
      </c>
      <c r="W365" s="40">
        <f>VLOOKUP(B365,'Player Data'!$A1:$AE734,11,FALSE)*$Q365*IFERROR((VLOOKUP(P365,Settings!$E$28:$F$33,2,FALSE)+1),1)</f>
        <v>6.1184061449055478E-2</v>
      </c>
      <c r="X365" s="40">
        <f>VLOOKUP(B365,'Player Data'!$A1:$AE734,12,FALSE)*$Q365*IFERROR((VLOOKUP(P365,Settings!$E$28:$F$33,2,FALSE)+1),1)</f>
        <v>0.4120538913135941</v>
      </c>
      <c r="Y365" s="40">
        <f>VLOOKUP(B365,'Player Data'!$A1:$AE734,13,FALSE)*$Q365</f>
        <v>0.25038275632665774</v>
      </c>
      <c r="Z365" s="40">
        <f>VLOOKUP(B365,'Player Data'!$A1:$AE734,14,FALSE)*$Q365</f>
        <v>0.13622028645159284</v>
      </c>
      <c r="AA365" s="40">
        <f>VLOOKUP(B365,'Player Data'!$A1:$AE734,15,FALSE)*$Q365</f>
        <v>150.95636381080689</v>
      </c>
      <c r="AB365" s="40">
        <f>VLOOKUP(B365,'Player Data'!$A1:$AE734,16,FALSE)*$Q365</f>
        <v>347.19847044250895</v>
      </c>
      <c r="AC365" s="40">
        <f>VLOOKUP(B365,'Player Data'!$A1:$AE734,17,FALSE)*$Q365*IFERROR((VLOOKUP(P365,Settings!$E$28:$F$33,2,FALSE)+1),1)</f>
        <v>-4.5203993083811698</v>
      </c>
      <c r="AD365" s="40">
        <f>VLOOKUP(B365,'Player Data'!$A1:$AE734,18,FALSE)*$Q365</f>
        <v>90.259271492171308</v>
      </c>
      <c r="AE365" s="40">
        <f>VLOOKUP(B365,'Player Data'!$A1:$AE734,19,FALSE)*$Q365*IFERROR((VLOOKUP(P365,Settings!$E$28:$F$33,2,FALSE)+1),1)</f>
        <v>0.29517856132962789</v>
      </c>
      <c r="AF365" s="40">
        <f>VLOOKUP(B365,'Player Data'!$A1:$AE734,20,FALSE)*$Q365</f>
        <v>0</v>
      </c>
      <c r="AG365" s="40">
        <f>VLOOKUP(B365,'Player Data'!$A1:$AE734,21,FALSE)*$Q365</f>
        <v>0</v>
      </c>
      <c r="AH365" s="41">
        <f>VLOOKUP(B365,'Player Data'!$A1:$AE734,22,FALSE)</f>
        <v>0</v>
      </c>
      <c r="AI365" s="38"/>
      <c r="AJ365" s="42"/>
      <c r="AK365" s="40"/>
      <c r="AL365" s="40"/>
      <c r="AM365" s="40"/>
      <c r="AN365" s="40"/>
      <c r="AO365" s="40"/>
      <c r="AP365" s="40"/>
      <c r="AQ365" s="43"/>
      <c r="AR365" s="44"/>
      <c r="AS365" s="38"/>
    </row>
    <row r="366" spans="1:45" ht="21.2" customHeight="1">
      <c r="A366" s="181">
        <f t="shared" si="33"/>
        <v>365</v>
      </c>
      <c r="B366" s="8" t="s">
        <v>506</v>
      </c>
      <c r="C366" s="31" t="s">
        <v>104</v>
      </c>
      <c r="D366" s="32" t="str">
        <f>VLOOKUP(B366,'Player Data'!A1:D734,4,FALSE)</f>
        <v>D</v>
      </c>
      <c r="E366" s="47">
        <f>VLOOKUP(B366,D!A1:C229,3,FALSE)</f>
        <v>115</v>
      </c>
      <c r="F366" s="34" t="str">
        <f>VLOOKUP(B366,'Player Data'!A1:B734,2,FALSE)</f>
        <v>CHI</v>
      </c>
      <c r="G366" s="9">
        <f>VLOOKUP(B366,'Player Data'!A1:D734,3,FALSE)</f>
        <v>22</v>
      </c>
      <c r="H366" s="35">
        <f>IFERROR(VLOOKUP(B366,ADP!A1:G731,7,FALSE)/1000000,VLOOKUP(B366,ADP!A1:G731,7,FALSE))</f>
        <v>0</v>
      </c>
      <c r="I366" s="36">
        <f>IF(Settings!$E$15="POINTS",((R366*Q366)*Settings!$B$12)+(S366*Settings!$B$2)+(T366*Settings!$B$3)+(U366*Settings!$B$4)+(V366*Settings!$B$5)+(X366*Settings!$B$9)+(AA366*Settings!$B$6)+(W366*Settings!$B$8)+(AB366*Settings!$B$7)+(AC366*Settings!$B$14)+(AD366*Settings!$B$15)+(AE366*Settings!$B$16)+(AF366*Settings!$B$17)+(AG366*Settings!$B$18)+(U366*Settings!$B$13)+(Y366*Settings!$B$10)+(Z366*Settings!$B$11),VLOOKUP(B366,'Standard Deviations'!A1:C731,3,FALSE))</f>
        <v>-3.3870802418735</v>
      </c>
      <c r="J366" s="37">
        <f t="shared" si="34"/>
        <v>-4.1305856608213412E-2</v>
      </c>
      <c r="K366" s="183">
        <f>VLOOKUP(B366,D!A1:F229,6,FALSE)</f>
        <v>-5.3288207855078102</v>
      </c>
      <c r="L366" s="49" t="str">
        <f t="shared" si="35"/>
        <v>N/A</v>
      </c>
      <c r="M366" s="52" t="str">
        <f>IF(Settings!$E$9="YAHOO",VLOOKUP(B366,ADP!A1:E731,2,FALSE),IF(Settings!$E$9="ESPN",VLOOKUP(B366,ADP!A1:E731,3,FALSE),IF(Settings!$E$9="FANTRAX",VLOOKUP(B366,ADP!A1:E731,4,FALSE),VLOOKUP(B366,ADP!A1:E731,5,FALSE))))</f>
        <v>-</v>
      </c>
      <c r="N366" s="52" t="str">
        <f t="shared" si="36"/>
        <v>N/A</v>
      </c>
      <c r="O366" s="38"/>
      <c r="P366" s="39" t="str">
        <f>IF(Settings!$E$27="ON",_xlfn.XLOOKUP(B366,ADP!A2:A731,ADP!H2:H731)," ")</f>
        <v xml:space="preserve"> </v>
      </c>
      <c r="Q366" s="40">
        <f>IF(Settings!$E$12="YES",VLOOKUP(B366,'Player Data'!A1:E734,5,FALSE),82)</f>
        <v>82</v>
      </c>
      <c r="R366" s="38">
        <f>VLOOKUP(B366,'Player Data'!$A1:$AE734,6,FALSE)</f>
        <v>20.799675665832201</v>
      </c>
      <c r="S366" s="40">
        <f>VLOOKUP(B366,'Player Data'!$A1:$AE734,7,FALSE)*$Q366*IFERROR((VLOOKUP(P366,Settings!$E$28:$F$33,2,FALSE)+1),1)</f>
        <v>5.884665484543989</v>
      </c>
      <c r="T366" s="40">
        <f>VLOOKUP(B366,'Player Data'!$A1:$AE734,8,FALSE)*$Q366*IFERROR((VLOOKUP(P366,Settings!$E$28:$F$33,2,FALSE)+1),1)</f>
        <v>18.506288985642605</v>
      </c>
      <c r="U366" s="40">
        <f t="shared" si="37"/>
        <v>24.390954470186593</v>
      </c>
      <c r="V366" s="40">
        <f>VLOOKUP(B366,'Player Data'!$A1:$AE734,10,FALSE)*$Q366*IFERROR(((VLOOKUP(P366,Settings!$E$28:$F$33,2,FALSE)/2)+1),1)</f>
        <v>102.88554390515299</v>
      </c>
      <c r="W366" s="40">
        <f>VLOOKUP(B366,'Player Data'!$A1:$AE734,11,FALSE)*$Q366*IFERROR((VLOOKUP(P366,Settings!$E$28:$F$33,2,FALSE)+1),1)</f>
        <v>3.1468747024859439E-2</v>
      </c>
      <c r="X366" s="40">
        <f>VLOOKUP(B366,'Player Data'!$A1:$AE734,12,FALSE)*$Q366*IFERROR((VLOOKUP(P366,Settings!$E$28:$F$33,2,FALSE)+1),1)</f>
        <v>0.18738904482571139</v>
      </c>
      <c r="Y366" s="40">
        <f>VLOOKUP(B366,'Player Data'!$A1:$AE734,13,FALSE)*$Q366</f>
        <v>0.1701583611849572</v>
      </c>
      <c r="Z366" s="40">
        <f>VLOOKUP(B366,'Player Data'!$A1:$AE734,14,FALSE)*$Q366</f>
        <v>0.94424871275207523</v>
      </c>
      <c r="AA366" s="40">
        <f>VLOOKUP(B366,'Player Data'!$A1:$AE734,15,FALSE)*$Q366</f>
        <v>140.80213556434097</v>
      </c>
      <c r="AB366" s="40">
        <f>VLOOKUP(B366,'Player Data'!$A1:$AE734,16,FALSE)*$Q366</f>
        <v>122.79216108564896</v>
      </c>
      <c r="AC366" s="40">
        <f>VLOOKUP(B366,'Player Data'!$A1:$AE734,17,FALSE)*$Q366*IFERROR((VLOOKUP(P366,Settings!$E$28:$F$33,2,FALSE)+1),1)</f>
        <v>-5.8687940330321942</v>
      </c>
      <c r="AD366" s="40">
        <f>VLOOKUP(B366,'Player Data'!$A1:$AE734,18,FALSE)*$Q366</f>
        <v>31.869022753177088</v>
      </c>
      <c r="AE366" s="40">
        <f>VLOOKUP(B366,'Player Data'!$A1:$AE734,19,FALSE)*$Q366*IFERROR((VLOOKUP(P366,Settings!$E$28:$F$33,2,FALSE)+1),1)</f>
        <v>0.68957423419716735</v>
      </c>
      <c r="AF366" s="40">
        <f>VLOOKUP(B366,'Player Data'!$A1:$AE734,20,FALSE)*$Q366</f>
        <v>0</v>
      </c>
      <c r="AG366" s="40">
        <f>VLOOKUP(B366,'Player Data'!$A1:$AE734,21,FALSE)*$Q366</f>
        <v>0</v>
      </c>
      <c r="AH366" s="41">
        <f>VLOOKUP(B366,'Player Data'!$A1:$AE734,22,FALSE)</f>
        <v>0</v>
      </c>
      <c r="AI366" s="38"/>
      <c r="AJ366" s="42"/>
      <c r="AK366" s="40"/>
      <c r="AL366" s="40"/>
      <c r="AM366" s="40"/>
      <c r="AN366" s="40"/>
      <c r="AO366" s="40"/>
      <c r="AP366" s="40"/>
      <c r="AQ366" s="43"/>
      <c r="AR366" s="44"/>
      <c r="AS366" s="42"/>
    </row>
    <row r="367" spans="1:45" ht="21.2" customHeight="1">
      <c r="A367" s="181">
        <f t="shared" si="33"/>
        <v>366</v>
      </c>
      <c r="B367" s="8" t="s">
        <v>395</v>
      </c>
      <c r="C367" s="31" t="s">
        <v>104</v>
      </c>
      <c r="D367" s="32" t="str">
        <f>VLOOKUP(B367,'Player Data'!A1:D734,4,FALSE)</f>
        <v>D</v>
      </c>
      <c r="E367" s="47">
        <f>VLOOKUP(B367,D!A1:C229,3,FALSE)</f>
        <v>116</v>
      </c>
      <c r="F367" s="34" t="str">
        <f>VLOOKUP(B367,'Player Data'!A1:B734,2,FALSE)</f>
        <v>NYI</v>
      </c>
      <c r="G367" s="9">
        <f>VLOOKUP(B367,'Player Data'!A1:D734,3,FALSE)</f>
        <v>30</v>
      </c>
      <c r="H367" s="35">
        <f>IFERROR(VLOOKUP(B367,ADP!A1:G731,7,FALSE)/1000000,VLOOKUP(B367,ADP!A1:G731,7,FALSE))</f>
        <v>3.5</v>
      </c>
      <c r="I367" s="36">
        <f>IF(Settings!$E$15="POINTS",((R367*Q367)*Settings!$B$12)+(S367*Settings!$B$2)+(T367*Settings!$B$3)+(U367*Settings!$B$4)+(V367*Settings!$B$5)+(X367*Settings!$B$9)+(AA367*Settings!$B$6)+(W367*Settings!$B$8)+(AB367*Settings!$B$7)+(AC367*Settings!$B$14)+(AD367*Settings!$B$15)+(AE367*Settings!$B$16)+(AF367*Settings!$B$17)+(AG367*Settings!$B$18)+(U367*Settings!$B$13)+(Y367*Settings!$B$10)+(Z367*Settings!$B$11),VLOOKUP(B367,'Standard Deviations'!A1:C731,3,FALSE))</f>
        <v>-3.4381274702102651</v>
      </c>
      <c r="J367" s="37">
        <f t="shared" si="34"/>
        <v>-4.1928383783052012E-2</v>
      </c>
      <c r="K367" s="183">
        <f>VLOOKUP(B367,D!A1:F229,6,FALSE)</f>
        <v>-5.3798680138445754</v>
      </c>
      <c r="L367" s="36">
        <f t="shared" si="35"/>
        <v>-1.5371051468127359</v>
      </c>
      <c r="M367" s="52" t="str">
        <f>IF(Settings!$E$9="YAHOO",VLOOKUP(B367,ADP!A1:E731,2,FALSE),IF(Settings!$E$9="ESPN",VLOOKUP(B367,ADP!A1:E731,3,FALSE),IF(Settings!$E$9="FANTRAX",VLOOKUP(B367,ADP!A1:E731,4,FALSE),VLOOKUP(B367,ADP!A1:E731,5,FALSE))))</f>
        <v>-</v>
      </c>
      <c r="N367" s="52" t="str">
        <f t="shared" si="36"/>
        <v>N/A</v>
      </c>
      <c r="O367" s="38"/>
      <c r="P367" s="39" t="str">
        <f>IF(Settings!$E$27="ON",_xlfn.XLOOKUP(B367,ADP!A2:A731,ADP!H2:H731)," ")</f>
        <v xml:space="preserve"> </v>
      </c>
      <c r="Q367" s="40">
        <f>IF(Settings!$E$12="YES",VLOOKUP(B367,'Player Data'!A1:E734,5,FALSE),82)</f>
        <v>82</v>
      </c>
      <c r="R367" s="38">
        <f>VLOOKUP(B367,'Player Data'!$A1:$AE734,6,FALSE)</f>
        <v>20.1785387060396</v>
      </c>
      <c r="S367" s="40">
        <f>VLOOKUP(B367,'Player Data'!$A1:$AE734,7,FALSE)*$Q367*IFERROR((VLOOKUP(P367,Settings!$E$28:$F$33,2,FALSE)+1),1)</f>
        <v>4.5325797377138297</v>
      </c>
      <c r="T367" s="40">
        <f>VLOOKUP(B367,'Player Data'!$A1:$AE734,8,FALSE)*$Q367*IFERROR((VLOOKUP(P367,Settings!$E$28:$F$33,2,FALSE)+1),1)</f>
        <v>18.359959247940591</v>
      </c>
      <c r="U367" s="40">
        <f t="shared" si="37"/>
        <v>22.892538985654419</v>
      </c>
      <c r="V367" s="40">
        <f>VLOOKUP(B367,'Player Data'!$A1:$AE734,10,FALSE)*$Q367*IFERROR(((VLOOKUP(P367,Settings!$E$28:$F$33,2,FALSE)/2)+1),1)</f>
        <v>112.44226064649607</v>
      </c>
      <c r="W367" s="40">
        <f>VLOOKUP(B367,'Player Data'!$A1:$AE734,11,FALSE)*$Q367*IFERROR((VLOOKUP(P367,Settings!$E$28:$F$33,2,FALSE)+1),1)</f>
        <v>2.0996925138104007E-2</v>
      </c>
      <c r="X367" s="40">
        <f>VLOOKUP(B367,'Player Data'!$A1:$AE734,12,FALSE)*$Q367*IFERROR((VLOOKUP(P367,Settings!$E$28:$F$33,2,FALSE)+1),1)</f>
        <v>0.13598106172627078</v>
      </c>
      <c r="Y367" s="40">
        <f>VLOOKUP(B367,'Player Data'!$A1:$AE734,13,FALSE)*$Q367</f>
        <v>-1.119276840884648E-2</v>
      </c>
      <c r="Z367" s="40">
        <f>VLOOKUP(B367,'Player Data'!$A1:$AE734,14,FALSE)*$Q367</f>
        <v>0.36214094578599065</v>
      </c>
      <c r="AA367" s="40">
        <f>VLOOKUP(B367,'Player Data'!$A1:$AE734,15,FALSE)*$Q367</f>
        <v>158.50814054793585</v>
      </c>
      <c r="AB367" s="40">
        <f>VLOOKUP(B367,'Player Data'!$A1:$AE734,16,FALSE)*$Q367</f>
        <v>108.19499132318516</v>
      </c>
      <c r="AC367" s="40">
        <f>VLOOKUP(B367,'Player Data'!$A1:$AE734,17,FALSE)*$Q367*IFERROR((VLOOKUP(P367,Settings!$E$28:$F$33,2,FALSE)+1),1)</f>
        <v>0.2381848457586454</v>
      </c>
      <c r="AD367" s="40">
        <f>VLOOKUP(B367,'Player Data'!$A1:$AE734,18,FALSE)*$Q367</f>
        <v>55.034660796238818</v>
      </c>
      <c r="AE367" s="40">
        <f>VLOOKUP(B367,'Player Data'!$A1:$AE734,19,FALSE)*$Q367*IFERROR((VLOOKUP(P367,Settings!$E$28:$F$33,2,FALSE)+1),1)</f>
        <v>0.70038263962492275</v>
      </c>
      <c r="AF367" s="40">
        <f>VLOOKUP(B367,'Player Data'!$A1:$AE734,20,FALSE)*$Q367</f>
        <v>0</v>
      </c>
      <c r="AG367" s="40">
        <f>VLOOKUP(B367,'Player Data'!$A1:$AE734,21,FALSE)*$Q367</f>
        <v>0</v>
      </c>
      <c r="AH367" s="41">
        <f>VLOOKUP(B367,'Player Data'!$A1:$AE734,22,FALSE)</f>
        <v>0</v>
      </c>
      <c r="AI367" s="38"/>
      <c r="AJ367" s="42"/>
      <c r="AK367" s="40"/>
      <c r="AL367" s="40"/>
      <c r="AM367" s="40"/>
      <c r="AN367" s="40"/>
      <c r="AO367" s="40"/>
      <c r="AP367" s="40"/>
      <c r="AQ367" s="43"/>
      <c r="AR367" s="44"/>
      <c r="AS367" s="38"/>
    </row>
    <row r="368" spans="1:45" ht="21.2" customHeight="1">
      <c r="A368" s="181">
        <f t="shared" si="33"/>
        <v>367</v>
      </c>
      <c r="B368" s="8" t="s">
        <v>547</v>
      </c>
      <c r="C368" s="31" t="s">
        <v>104</v>
      </c>
      <c r="D368" s="32" t="str">
        <f>VLOOKUP(B368,'Player Data'!A1:D734,4,FALSE)</f>
        <v>C</v>
      </c>
      <c r="E368" s="33">
        <f>VLOOKUP(B368,'C'!A1:C208,3,FALSE)</f>
        <v>85</v>
      </c>
      <c r="F368" s="34" t="str">
        <f>VLOOKUP(B368,'Player Data'!A1:B734,2,FALSE)</f>
        <v>MTL</v>
      </c>
      <c r="G368" s="9">
        <f>VLOOKUP(B368,'Player Data'!A1:D734,3,FALSE)</f>
        <v>28</v>
      </c>
      <c r="H368" s="35">
        <f>IFERROR(VLOOKUP(B368,ADP!A1:G731,7,FALSE)/1000000,VLOOKUP(B368,ADP!A1:G731,7,FALSE))</f>
        <v>1.9850000000000001</v>
      </c>
      <c r="I368" s="36">
        <f>IF(Settings!$E$15="POINTS",((R368*Q368)*Settings!$B$12)+(S368*Settings!$B$2)+(T368*Settings!$B$3)+(U368*Settings!$B$4)+(V368*Settings!$B$5)+(X368*Settings!$B$9)+(AA368*Settings!$B$6)+(W368*Settings!$B$8)+(AB368*Settings!$B$7)+(AC368*Settings!$B$14)+(AD368*Settings!$B$15)+(AE368*Settings!$B$16)+(AF368*Settings!$B$17)+(AG368*Settings!$B$18)+(Y368*Settings!$B$10)+(Z368*Settings!$B$11),VLOOKUP(B368,'Standard Deviations'!A1:C731,3,FALSE))</f>
        <v>0.9445526364336192</v>
      </c>
      <c r="J368" s="37">
        <f t="shared" si="34"/>
        <v>1.1518934590653892E-2</v>
      </c>
      <c r="K368" s="183">
        <f>IF(Settings!$E$18="C/LW/RW",VLOOKUP(B368,'C'!A1:F208,6,FALSE),VLOOKUP(B368,F!A1:F431,6,FALSE))</f>
        <v>-5.3924980877729833</v>
      </c>
      <c r="L368" s="36">
        <f t="shared" si="35"/>
        <v>-2.7166237217999916</v>
      </c>
      <c r="M368" s="38">
        <f>IF(Settings!$E$9="YAHOO",VLOOKUP(B368,ADP!A1:E731,2,FALSE),IF(Settings!$E$9="ESPN",VLOOKUP(B368,ADP!A1:E731,3,FALSE),IF(Settings!$E$9="FANTRAX",VLOOKUP(B368,ADP!A1:E731,4,FALSE),VLOOKUP(B368,ADP!A1:E731,5,FALSE))))</f>
        <v>461.5</v>
      </c>
      <c r="N368" s="38">
        <f t="shared" si="36"/>
        <v>94.5</v>
      </c>
      <c r="O368" s="38"/>
      <c r="P368" s="39" t="str">
        <f>IF(Settings!$E$27="ON",_xlfn.XLOOKUP(B368,ADP!A2:A731,ADP!H2:H731)," ")</f>
        <v xml:space="preserve"> </v>
      </c>
      <c r="Q368" s="40">
        <f>IF(Settings!$E$12="YES",VLOOKUP(B368,'Player Data'!A1:E734,5,FALSE),82)</f>
        <v>82</v>
      </c>
      <c r="R368" s="38">
        <f>VLOOKUP(B368,'Player Data'!$A1:$AE734,6,FALSE)</f>
        <v>16.360397160823201</v>
      </c>
      <c r="S368" s="40">
        <f>VLOOKUP(B368,'Player Data'!$A1:$AE734,7,FALSE)*$Q368*IFERROR((VLOOKUP(P368,Settings!$E$28:$F$33,2,FALSE)+1),1)</f>
        <v>14.656587914948492</v>
      </c>
      <c r="T368" s="40">
        <f>VLOOKUP(B368,'Player Data'!$A1:$AE734,8,FALSE)*$Q368*IFERROR((VLOOKUP(P368,Settings!$E$28:$F$33,2,FALSE)+1),1)</f>
        <v>25.672836520132432</v>
      </c>
      <c r="U368" s="40">
        <f t="shared" si="37"/>
        <v>40.329424435080924</v>
      </c>
      <c r="V368" s="40">
        <f>VLOOKUP(B368,'Player Data'!$A1:$AE734,10,FALSE)*$Q368*IFERROR(((VLOOKUP(P368,Settings!$E$28:$F$33,2,FALSE)/2)+1),1)</f>
        <v>159.33356210877994</v>
      </c>
      <c r="W368" s="40">
        <f>VLOOKUP(B368,'Player Data'!$A1:$AE734,11,FALSE)*$Q368*IFERROR((VLOOKUP(P368,Settings!$E$28:$F$33,2,FALSE)+1),1)</f>
        <v>4.9092182001432425</v>
      </c>
      <c r="X368" s="40">
        <f>VLOOKUP(B368,'Player Data'!$A1:$AE734,12,FALSE)*$Q368*IFERROR((VLOOKUP(P368,Settings!$E$28:$F$33,2,FALSE)+1),1)</f>
        <v>13.370501913180583</v>
      </c>
      <c r="Y368" s="40">
        <f>VLOOKUP(B368,'Player Data'!$A1:$AE734,13,FALSE)*$Q368</f>
        <v>0.23079032347309314</v>
      </c>
      <c r="Z368" s="40">
        <f>VLOOKUP(B368,'Player Data'!$A1:$AE734,14,FALSE)*$Q368</f>
        <v>0.44568140379118604</v>
      </c>
      <c r="AA368" s="40">
        <f>VLOOKUP(B368,'Player Data'!$A1:$AE734,15,FALSE)*$Q368</f>
        <v>32.863436143408116</v>
      </c>
      <c r="AB368" s="40">
        <f>VLOOKUP(B368,'Player Data'!$A1:$AE734,16,FALSE)*$Q368</f>
        <v>66.697242204337442</v>
      </c>
      <c r="AC368" s="40">
        <f>VLOOKUP(B368,'Player Data'!$A1:$AE734,17,FALSE)*$Q368*IFERROR((VLOOKUP(P368,Settings!$E$28:$F$33,2,FALSE)+1),1)</f>
        <v>-7.9431769871140236</v>
      </c>
      <c r="AD368" s="40">
        <f>VLOOKUP(B368,'Player Data'!$A1:$AE734,18,FALSE)*$Q368</f>
        <v>26.769037258875038</v>
      </c>
      <c r="AE368" s="40">
        <f>VLOOKUP(B368,'Player Data'!$A1:$AE734,19,FALSE)*$Q368*IFERROR((VLOOKUP(P368,Settings!$E$28:$F$33,2,FALSE)+1),1)</f>
        <v>1.5014518585841417</v>
      </c>
      <c r="AF368" s="40">
        <f>VLOOKUP(B368,'Player Data'!$A1:$AE734,20,FALSE)*$Q368</f>
        <v>545.62044536627775</v>
      </c>
      <c r="AG368" s="40">
        <f>VLOOKUP(B368,'Player Data'!$A1:$AE734,21,FALSE)*$Q368</f>
        <v>495.82293231759178</v>
      </c>
      <c r="AH368" s="41">
        <f>VLOOKUP(B368,'Player Data'!$A1:$AE734,22,FALSE)</f>
        <v>0.52390793110588196</v>
      </c>
      <c r="AI368" s="38"/>
      <c r="AJ368" s="42"/>
      <c r="AK368" s="40"/>
      <c r="AL368" s="40"/>
      <c r="AM368" s="40"/>
      <c r="AN368" s="40"/>
      <c r="AO368" s="40"/>
      <c r="AP368" s="40"/>
      <c r="AQ368" s="43"/>
      <c r="AR368" s="44"/>
      <c r="AS368" s="42"/>
    </row>
    <row r="369" spans="1:45" ht="21.2" customHeight="1">
      <c r="A369" s="181">
        <f t="shared" si="33"/>
        <v>368</v>
      </c>
      <c r="B369" s="8" t="s">
        <v>414</v>
      </c>
      <c r="C369" s="31" t="s">
        <v>104</v>
      </c>
      <c r="D369" s="32" t="str">
        <f>VLOOKUP(B369,'Player Data'!A1:D734,4,FALSE)</f>
        <v>D</v>
      </c>
      <c r="E369" s="47">
        <f>VLOOKUP(B369,D!A1:C229,3,FALSE)</f>
        <v>117</v>
      </c>
      <c r="F369" s="34" t="str">
        <f>VLOOKUP(B369,'Player Data'!A1:B734,2,FALSE)</f>
        <v>VAN</v>
      </c>
      <c r="G369" s="9">
        <f>VLOOKUP(B369,'Player Data'!A1:D734,3,FALSE)</f>
        <v>29</v>
      </c>
      <c r="H369" s="35">
        <f>IFERROR(VLOOKUP(B369,ADP!A1:G731,7,FALSE)/1000000,VLOOKUP(B369,ADP!A1:G731,7,FALSE))</f>
        <v>3.25</v>
      </c>
      <c r="I369" s="36">
        <f>IF(Settings!$E$15="POINTS",((R369*Q369)*Settings!$B$12)+(S369*Settings!$B$2)+(T369*Settings!$B$3)+(U369*Settings!$B$4)+(V369*Settings!$B$5)+(X369*Settings!$B$9)+(AA369*Settings!$B$6)+(W369*Settings!$B$8)+(AB369*Settings!$B$7)+(AC369*Settings!$B$14)+(AD369*Settings!$B$15)+(AE369*Settings!$B$16)+(AF369*Settings!$B$17)+(AG369*Settings!$B$18)+(U369*Settings!$B$13)+(Y369*Settings!$B$10)+(Z369*Settings!$B$11),VLOOKUP(B369,'Standard Deviations'!A1:C731,3,FALSE))</f>
        <v>-3.4564877770212101</v>
      </c>
      <c r="J369" s="37">
        <f t="shared" si="34"/>
        <v>-4.2152289963673296E-2</v>
      </c>
      <c r="K369" s="183">
        <f>VLOOKUP(B369,D!A1:F229,6,FALSE)</f>
        <v>-5.3982283206555213</v>
      </c>
      <c r="L369" s="36">
        <f t="shared" si="35"/>
        <v>-1.6609933294324681</v>
      </c>
      <c r="M369" s="52" t="str">
        <f>IF(Settings!$E$9="YAHOO",VLOOKUP(B369,ADP!A1:E731,2,FALSE),IF(Settings!$E$9="ESPN",VLOOKUP(B369,ADP!A1:E731,3,FALSE),IF(Settings!$E$9="FANTRAX",VLOOKUP(B369,ADP!A1:E731,4,FALSE),VLOOKUP(B369,ADP!A1:E731,5,FALSE))))</f>
        <v>-</v>
      </c>
      <c r="N369" s="52" t="str">
        <f t="shared" si="36"/>
        <v>N/A</v>
      </c>
      <c r="O369" s="38"/>
      <c r="P369" s="39" t="str">
        <f>IF(Settings!$E$27="ON",_xlfn.XLOOKUP(B369,ADP!A2:A731,ADP!H2:H731)," ")</f>
        <v xml:space="preserve"> </v>
      </c>
      <c r="Q369" s="40">
        <f>IF(Settings!$E$12="YES",VLOOKUP(B369,'Player Data'!A1:E734,5,FALSE),82)</f>
        <v>82</v>
      </c>
      <c r="R369" s="38">
        <f>VLOOKUP(B369,'Player Data'!$A1:$AE734,6,FALSE)</f>
        <v>18.804233642347299</v>
      </c>
      <c r="S369" s="40">
        <f>VLOOKUP(B369,'Player Data'!$A1:$AE734,7,FALSE)*$Q369*IFERROR((VLOOKUP(P369,Settings!$E$28:$F$33,2,FALSE)+1),1)</f>
        <v>6.2993071755383738</v>
      </c>
      <c r="T369" s="40">
        <f>VLOOKUP(B369,'Player Data'!$A1:$AE734,8,FALSE)*$Q369*IFERROR((VLOOKUP(P369,Settings!$E$28:$F$33,2,FALSE)+1),1)</f>
        <v>16.734710797357529</v>
      </c>
      <c r="U369" s="40">
        <f t="shared" si="37"/>
        <v>23.034017972895903</v>
      </c>
      <c r="V369" s="40">
        <f>VLOOKUP(B369,'Player Data'!$A1:$AE734,10,FALSE)*$Q369*IFERROR(((VLOOKUP(P369,Settings!$E$28:$F$33,2,FALSE)/2)+1),1)</f>
        <v>105.89651940103296</v>
      </c>
      <c r="W369" s="40">
        <f>VLOOKUP(B369,'Player Data'!$A1:$AE734,11,FALSE)*$Q369*IFERROR((VLOOKUP(P369,Settings!$E$28:$F$33,2,FALSE)+1),1)</f>
        <v>4.2422990665903972E-2</v>
      </c>
      <c r="X369" s="40">
        <f>VLOOKUP(B369,'Player Data'!$A1:$AE734,12,FALSE)*$Q369*IFERROR((VLOOKUP(P369,Settings!$E$28:$F$33,2,FALSE)+1),1)</f>
        <v>0.47410700331222522</v>
      </c>
      <c r="Y369" s="40">
        <f>VLOOKUP(B369,'Player Data'!$A1:$AE734,13,FALSE)*$Q369</f>
        <v>0.4298411723291618</v>
      </c>
      <c r="Z369" s="40">
        <f>VLOOKUP(B369,'Player Data'!$A1:$AE734,14,FALSE)*$Q369</f>
        <v>0.98962533263346664</v>
      </c>
      <c r="AA369" s="40">
        <f>VLOOKUP(B369,'Player Data'!$A1:$AE734,15,FALSE)*$Q369</f>
        <v>117.25922785955501</v>
      </c>
      <c r="AB369" s="40">
        <f>VLOOKUP(B369,'Player Data'!$A1:$AE734,16,FALSE)*$Q369</f>
        <v>157.10565795882079</v>
      </c>
      <c r="AC369" s="40">
        <f>VLOOKUP(B369,'Player Data'!$A1:$AE734,17,FALSE)*$Q369*IFERROR((VLOOKUP(P369,Settings!$E$28:$F$33,2,FALSE)+1),1)</f>
        <v>1.5465285394330224</v>
      </c>
      <c r="AD369" s="40">
        <f>VLOOKUP(B369,'Player Data'!$A1:$AE734,18,FALSE)*$Q369</f>
        <v>67.754314943734187</v>
      </c>
      <c r="AE369" s="40">
        <f>VLOOKUP(B369,'Player Data'!$A1:$AE734,19,FALSE)*$Q369*IFERROR((VLOOKUP(P369,Settings!$E$28:$F$33,2,FALSE)+1),1)</f>
        <v>0.89172771242256632</v>
      </c>
      <c r="AF369" s="40">
        <f>VLOOKUP(B369,'Player Data'!$A1:$AE734,20,FALSE)*$Q369</f>
        <v>0</v>
      </c>
      <c r="AG369" s="40">
        <f>VLOOKUP(B369,'Player Data'!$A1:$AE734,21,FALSE)*$Q369</f>
        <v>0</v>
      </c>
      <c r="AH369" s="41">
        <f>VLOOKUP(B369,'Player Data'!$A1:$AE734,22,FALSE)</f>
        <v>0</v>
      </c>
      <c r="AI369" s="38"/>
      <c r="AJ369" s="42"/>
      <c r="AK369" s="40"/>
      <c r="AL369" s="40"/>
      <c r="AM369" s="40"/>
      <c r="AN369" s="40"/>
      <c r="AO369" s="40"/>
      <c r="AP369" s="40"/>
      <c r="AQ369" s="43"/>
      <c r="AR369" s="44"/>
      <c r="AS369" s="38"/>
    </row>
    <row r="370" spans="1:45" ht="21.2" customHeight="1">
      <c r="A370" s="181">
        <f t="shared" si="33"/>
        <v>369</v>
      </c>
      <c r="B370" s="8" t="s">
        <v>460</v>
      </c>
      <c r="C370" s="31" t="s">
        <v>104</v>
      </c>
      <c r="D370" s="32" t="str">
        <f>VLOOKUP(B370,'Player Data'!A1:D734,4,FALSE)</f>
        <v>D</v>
      </c>
      <c r="E370" s="47">
        <f>VLOOKUP(B370,D!A1:C229,3,FALSE)</f>
        <v>118</v>
      </c>
      <c r="F370" s="34" t="str">
        <f>VLOOKUP(B370,'Player Data'!A1:B734,2,FALSE)</f>
        <v>BUF</v>
      </c>
      <c r="G370" s="9">
        <f>VLOOKUP(B370,'Player Data'!A1:D734,3,FALSE)</f>
        <v>23</v>
      </c>
      <c r="H370" s="35">
        <f>IFERROR(VLOOKUP(B370,ADP!A1:G731,7,FALSE)/1000000,VLOOKUP(B370,ADP!A1:G731,7,FALSE))</f>
        <v>4.2857139999999996</v>
      </c>
      <c r="I370" s="36">
        <f>IF(Settings!$E$15="POINTS",((R370*Q370)*Settings!$B$12)+(S370*Settings!$B$2)+(T370*Settings!$B$3)+(U370*Settings!$B$4)+(V370*Settings!$B$5)+(X370*Settings!$B$9)+(AA370*Settings!$B$6)+(W370*Settings!$B$8)+(AB370*Settings!$B$7)+(AC370*Settings!$B$14)+(AD370*Settings!$B$15)+(AE370*Settings!$B$16)+(AF370*Settings!$B$17)+(AG370*Settings!$B$18)+(U370*Settings!$B$13)+(Y370*Settings!$B$10)+(Z370*Settings!$B$11),VLOOKUP(B370,'Standard Deviations'!A1:C731,3,FALSE))</f>
        <v>-3.4884924030948428</v>
      </c>
      <c r="J370" s="37">
        <f t="shared" si="34"/>
        <v>-4.2542590281644421E-2</v>
      </c>
      <c r="K370" s="183">
        <f>VLOOKUP(B370,D!A1:F229,6,FALSE)</f>
        <v>-5.4302329467291539</v>
      </c>
      <c r="L370" s="36">
        <f t="shared" si="35"/>
        <v>-1.2670544387070986</v>
      </c>
      <c r="M370" s="52" t="str">
        <f>IF(Settings!$E$9="YAHOO",VLOOKUP(B370,ADP!A1:E731,2,FALSE),IF(Settings!$E$9="ESPN",VLOOKUP(B370,ADP!A1:E731,3,FALSE),IF(Settings!$E$9="FANTRAX",VLOOKUP(B370,ADP!A1:E731,4,FALSE),VLOOKUP(B370,ADP!A1:E731,5,FALSE))))</f>
        <v>-</v>
      </c>
      <c r="N370" s="52" t="str">
        <f t="shared" si="36"/>
        <v>N/A</v>
      </c>
      <c r="O370" s="38"/>
      <c r="P370" s="39" t="str">
        <f>IF(Settings!$E$27="ON",_xlfn.XLOOKUP(B370,ADP!A2:A731,ADP!H2:H731)," ")</f>
        <v xml:space="preserve"> </v>
      </c>
      <c r="Q370" s="40">
        <f>IF(Settings!$E$12="YES",VLOOKUP(B370,'Player Data'!A1:E734,5,FALSE),82)</f>
        <v>82</v>
      </c>
      <c r="R370" s="38">
        <f>VLOOKUP(B370,'Player Data'!$A1:$AE734,6,FALSE)</f>
        <v>22.196301809173999</v>
      </c>
      <c r="S370" s="40">
        <f>VLOOKUP(B370,'Player Data'!$A1:$AE734,7,FALSE)*$Q370*IFERROR((VLOOKUP(P370,Settings!$E$28:$F$33,2,FALSE)+1),1)</f>
        <v>3.6052539928137786</v>
      </c>
      <c r="T370" s="40">
        <f>VLOOKUP(B370,'Player Data'!$A1:$AE734,8,FALSE)*$Q370*IFERROR((VLOOKUP(P370,Settings!$E$28:$F$33,2,FALSE)+1),1)</f>
        <v>18.652207781023492</v>
      </c>
      <c r="U370" s="40">
        <f t="shared" si="37"/>
        <v>22.257461773837271</v>
      </c>
      <c r="V370" s="40">
        <f>VLOOKUP(B370,'Player Data'!$A1:$AE734,10,FALSE)*$Q370*IFERROR(((VLOOKUP(P370,Settings!$E$28:$F$33,2,FALSE)/2)+1),1)</f>
        <v>114.94400249280774</v>
      </c>
      <c r="W370" s="40">
        <f>VLOOKUP(B370,'Player Data'!$A1:$AE734,11,FALSE)*$Q370*IFERROR((VLOOKUP(P370,Settings!$E$28:$F$33,2,FALSE)+1),1)</f>
        <v>2.7434995808597935E-2</v>
      </c>
      <c r="X370" s="40">
        <f>VLOOKUP(B370,'Player Data'!$A1:$AE734,12,FALSE)*$Q370*IFERROR((VLOOKUP(P370,Settings!$E$28:$F$33,2,FALSE)+1),1)</f>
        <v>0.16909873515217222</v>
      </c>
      <c r="Y370" s="40">
        <f>VLOOKUP(B370,'Player Data'!$A1:$AE734,13,FALSE)*$Q370</f>
        <v>7.8113328197247991E-2</v>
      </c>
      <c r="Z370" s="40">
        <f>VLOOKUP(B370,'Player Data'!$A1:$AE734,14,FALSE)*$Q370</f>
        <v>1.3216658185143373</v>
      </c>
      <c r="AA370" s="40">
        <f>VLOOKUP(B370,'Player Data'!$A1:$AE734,15,FALSE)*$Q370</f>
        <v>136.34743686067466</v>
      </c>
      <c r="AB370" s="40">
        <f>VLOOKUP(B370,'Player Data'!$A1:$AE734,16,FALSE)*$Q370</f>
        <v>151.66355359887274</v>
      </c>
      <c r="AC370" s="40">
        <f>VLOOKUP(B370,'Player Data'!$A1:$AE734,17,FALSE)*$Q370*IFERROR((VLOOKUP(P370,Settings!$E$28:$F$33,2,FALSE)+1),1)</f>
        <v>-1.8524524234270827</v>
      </c>
      <c r="AD370" s="40">
        <f>VLOOKUP(B370,'Player Data'!$A1:$AE734,18,FALSE)*$Q370</f>
        <v>34.787398543863873</v>
      </c>
      <c r="AE370" s="40">
        <f>VLOOKUP(B370,'Player Data'!$A1:$AE734,19,FALSE)*$Q370*IFERROR((VLOOKUP(P370,Settings!$E$28:$F$33,2,FALSE)+1),1)</f>
        <v>0.46154121462925307</v>
      </c>
      <c r="AF370" s="40">
        <f>VLOOKUP(B370,'Player Data'!$A1:$AE734,20,FALSE)*$Q370</f>
        <v>0</v>
      </c>
      <c r="AG370" s="40">
        <f>VLOOKUP(B370,'Player Data'!$A1:$AE734,21,FALSE)*$Q370</f>
        <v>0</v>
      </c>
      <c r="AH370" s="41">
        <f>VLOOKUP(B370,'Player Data'!$A1:$AE734,22,FALSE)</f>
        <v>0</v>
      </c>
      <c r="AI370" s="38"/>
      <c r="AJ370" s="42"/>
      <c r="AK370" s="40"/>
      <c r="AL370" s="40"/>
      <c r="AM370" s="40"/>
      <c r="AN370" s="40"/>
      <c r="AO370" s="40"/>
      <c r="AP370" s="40"/>
      <c r="AQ370" s="43"/>
      <c r="AR370" s="44"/>
      <c r="AS370" s="38"/>
    </row>
    <row r="371" spans="1:45" ht="21.2" customHeight="1">
      <c r="A371" s="181">
        <f t="shared" si="33"/>
        <v>370</v>
      </c>
      <c r="B371" s="8" t="s">
        <v>481</v>
      </c>
      <c r="C371" s="31" t="s">
        <v>104</v>
      </c>
      <c r="D371" s="32" t="str">
        <f>VLOOKUP(B371,'Player Data'!A1:D734,4,FALSE)</f>
        <v>D</v>
      </c>
      <c r="E371" s="47">
        <f>VLOOKUP(B371,D!A1:C229,3,FALSE)</f>
        <v>119</v>
      </c>
      <c r="F371" s="34" t="str">
        <f>VLOOKUP(B371,'Player Data'!A1:B734,2,FALSE)</f>
        <v>NSH</v>
      </c>
      <c r="G371" s="9">
        <f>VLOOKUP(B371,'Player Data'!A1:D734,3,FALSE)</f>
        <v>26</v>
      </c>
      <c r="H371" s="35">
        <f>IFERROR(VLOOKUP(B371,ADP!A1:G731,7,FALSE)/1000000,VLOOKUP(B371,ADP!A1:G731,7,FALSE))</f>
        <v>2.5</v>
      </c>
      <c r="I371" s="36">
        <f>IF(Settings!$E$15="POINTS",((R371*Q371)*Settings!$B$12)+(S371*Settings!$B$2)+(T371*Settings!$B$3)+(U371*Settings!$B$4)+(V371*Settings!$B$5)+(X371*Settings!$B$9)+(AA371*Settings!$B$6)+(W371*Settings!$B$8)+(AB371*Settings!$B$7)+(AC371*Settings!$B$14)+(AD371*Settings!$B$15)+(AE371*Settings!$B$16)+(AF371*Settings!$B$17)+(AG371*Settings!$B$18)+(U371*Settings!$B$13)+(Y371*Settings!$B$10)+(Z371*Settings!$B$11),VLOOKUP(B371,'Standard Deviations'!A1:C731,3,FALSE))</f>
        <v>-3.4891616559337857</v>
      </c>
      <c r="J371" s="37">
        <f t="shared" si="34"/>
        <v>-4.2550751901631531E-2</v>
      </c>
      <c r="K371" s="183">
        <f>VLOOKUP(B371,D!A1:F229,6,FALSE)</f>
        <v>-5.4309021995680968</v>
      </c>
      <c r="L371" s="36">
        <f t="shared" si="35"/>
        <v>-2.1723608798272389</v>
      </c>
      <c r="M371" s="52" t="str">
        <f>IF(Settings!$E$9="YAHOO",VLOOKUP(B371,ADP!A1:E731,2,FALSE),IF(Settings!$E$9="ESPN",VLOOKUP(B371,ADP!A1:E731,3,FALSE),IF(Settings!$E$9="FANTRAX",VLOOKUP(B371,ADP!A1:E731,4,FALSE),VLOOKUP(B371,ADP!A1:E731,5,FALSE))))</f>
        <v>-</v>
      </c>
      <c r="N371" s="52" t="str">
        <f t="shared" si="36"/>
        <v>N/A</v>
      </c>
      <c r="O371" s="38"/>
      <c r="P371" s="39" t="str">
        <f>IF(Settings!$E$27="ON",_xlfn.XLOOKUP(B371,ADP!A2:A731,ADP!H2:H731)," ")</f>
        <v xml:space="preserve"> </v>
      </c>
      <c r="Q371" s="40">
        <f>IF(Settings!$E$12="YES",VLOOKUP(B371,'Player Data'!A1:E734,5,FALSE),82)</f>
        <v>82</v>
      </c>
      <c r="R371" s="38">
        <f>VLOOKUP(B371,'Player Data'!$A1:$AE734,6,FALSE)</f>
        <v>18.313071734465002</v>
      </c>
      <c r="S371" s="40">
        <f>VLOOKUP(B371,'Player Data'!$A1:$AE734,7,FALSE)*$Q371*IFERROR((VLOOKUP(P371,Settings!$E$28:$F$33,2,FALSE)+1),1)</f>
        <v>3.6062111370551637</v>
      </c>
      <c r="T371" s="40">
        <f>VLOOKUP(B371,'Player Data'!$A1:$AE734,8,FALSE)*$Q371*IFERROR((VLOOKUP(P371,Settings!$E$28:$F$33,2,FALSE)+1),1)</f>
        <v>20.046433026242525</v>
      </c>
      <c r="U371" s="40">
        <f t="shared" si="37"/>
        <v>23.652644163297687</v>
      </c>
      <c r="V371" s="40">
        <f>VLOOKUP(B371,'Player Data'!$A1:$AE734,10,FALSE)*$Q371*IFERROR(((VLOOKUP(P371,Settings!$E$28:$F$33,2,FALSE)/2)+1),1)</f>
        <v>96.826009699661057</v>
      </c>
      <c r="W371" s="40">
        <f>VLOOKUP(B371,'Player Data'!$A1:$AE734,11,FALSE)*$Q371*IFERROR((VLOOKUP(P371,Settings!$E$28:$F$33,2,FALSE)+1),1)</f>
        <v>0.33416979460708679</v>
      </c>
      <c r="X371" s="40">
        <f>VLOOKUP(B371,'Player Data'!$A1:$AE734,12,FALSE)*$Q371*IFERROR((VLOOKUP(P371,Settings!$E$28:$F$33,2,FALSE)+1),1)</f>
        <v>1.5721892521214513</v>
      </c>
      <c r="Y371" s="40">
        <f>VLOOKUP(B371,'Player Data'!$A1:$AE734,13,FALSE)*$Q371</f>
        <v>3.2698549386933166E-2</v>
      </c>
      <c r="Z371" s="40">
        <f>VLOOKUP(B371,'Player Data'!$A1:$AE734,14,FALSE)*$Q371</f>
        <v>0.44608045166602533</v>
      </c>
      <c r="AA371" s="40">
        <f>VLOOKUP(B371,'Player Data'!$A1:$AE734,15,FALSE)*$Q371</f>
        <v>117.48188674441337</v>
      </c>
      <c r="AB371" s="40">
        <f>VLOOKUP(B371,'Player Data'!$A1:$AE734,16,FALSE)*$Q371</f>
        <v>107.42717744158034</v>
      </c>
      <c r="AC371" s="40">
        <f>VLOOKUP(B371,'Player Data'!$A1:$AE734,17,FALSE)*$Q371*IFERROR((VLOOKUP(P371,Settings!$E$28:$F$33,2,FALSE)+1),1)</f>
        <v>-0.85947645101747894</v>
      </c>
      <c r="AD371" s="40">
        <f>VLOOKUP(B371,'Player Data'!$A1:$AE734,18,FALSE)*$Q371</f>
        <v>46.063668234038097</v>
      </c>
      <c r="AE371" s="40">
        <f>VLOOKUP(B371,'Player Data'!$A1:$AE734,19,FALSE)*$Q371*IFERROR((VLOOKUP(P371,Settings!$E$28:$F$33,2,FALSE)+1),1)</f>
        <v>0.52660114313493389</v>
      </c>
      <c r="AF371" s="40">
        <f>VLOOKUP(B371,'Player Data'!$A1:$AE734,20,FALSE)*$Q371</f>
        <v>0</v>
      </c>
      <c r="AG371" s="40">
        <f>VLOOKUP(B371,'Player Data'!$A1:$AE734,21,FALSE)*$Q371</f>
        <v>0.26199940274291217</v>
      </c>
      <c r="AH371" s="41">
        <f>VLOOKUP(B371,'Player Data'!$A1:$AE734,22,FALSE)</f>
        <v>0</v>
      </c>
      <c r="AI371" s="38"/>
      <c r="AJ371" s="42"/>
      <c r="AK371" s="40"/>
      <c r="AL371" s="40"/>
      <c r="AM371" s="40"/>
      <c r="AN371" s="40"/>
      <c r="AO371" s="40"/>
      <c r="AP371" s="40"/>
      <c r="AQ371" s="43"/>
      <c r="AR371" s="44"/>
      <c r="AS371" s="38"/>
    </row>
    <row r="372" spans="1:45" ht="21.2" customHeight="1">
      <c r="A372" s="181">
        <f t="shared" si="33"/>
        <v>371</v>
      </c>
      <c r="B372" s="8" t="s">
        <v>484</v>
      </c>
      <c r="C372" s="31" t="s">
        <v>104</v>
      </c>
      <c r="D372" s="32" t="str">
        <f>VLOOKUP(B372,'Player Data'!A1:D734,4,FALSE)</f>
        <v>D</v>
      </c>
      <c r="E372" s="47">
        <f>VLOOKUP(B372,D!A1:C229,3,FALSE)</f>
        <v>120</v>
      </c>
      <c r="F372" s="34" t="str">
        <f>VLOOKUP(B372,'Player Data'!A1:B734,2,FALSE)</f>
        <v>PHI</v>
      </c>
      <c r="G372" s="9">
        <f>VLOOKUP(B372,'Player Data'!A1:D734,3,FALSE)</f>
        <v>28</v>
      </c>
      <c r="H372" s="35">
        <f>IFERROR(VLOOKUP(B372,ADP!A1:G731,7,FALSE)/1000000,VLOOKUP(B372,ADP!A1:G731,7,FALSE))</f>
        <v>2.65</v>
      </c>
      <c r="I372" s="36">
        <f>IF(Settings!$E$15="POINTS",((R372*Q372)*Settings!$B$12)+(S372*Settings!$B$2)+(T372*Settings!$B$3)+(U372*Settings!$B$4)+(V372*Settings!$B$5)+(X372*Settings!$B$9)+(AA372*Settings!$B$6)+(W372*Settings!$B$8)+(AB372*Settings!$B$7)+(AC372*Settings!$B$14)+(AD372*Settings!$B$15)+(AE372*Settings!$B$16)+(AF372*Settings!$B$17)+(AG372*Settings!$B$18)+(U372*Settings!$B$13)+(Y372*Settings!$B$10)+(Z372*Settings!$B$11),VLOOKUP(B372,'Standard Deviations'!A1:C731,3,FALSE))</f>
        <v>-3.506345675715647</v>
      </c>
      <c r="J372" s="37">
        <f t="shared" si="34"/>
        <v>-4.2760313118483502E-2</v>
      </c>
      <c r="K372" s="183">
        <f>VLOOKUP(B372,D!A1:F229,6,FALSE)</f>
        <v>-5.4480862193499577</v>
      </c>
      <c r="L372" s="36">
        <f t="shared" si="35"/>
        <v>-2.0558815922075313</v>
      </c>
      <c r="M372" s="52" t="str">
        <f>IF(Settings!$E$9="YAHOO",VLOOKUP(B372,ADP!A1:E731,2,FALSE),IF(Settings!$E$9="ESPN",VLOOKUP(B372,ADP!A1:E731,3,FALSE),IF(Settings!$E$9="FANTRAX",VLOOKUP(B372,ADP!A1:E731,4,FALSE),VLOOKUP(B372,ADP!A1:E731,5,FALSE))))</f>
        <v>-</v>
      </c>
      <c r="N372" s="52" t="str">
        <f t="shared" si="36"/>
        <v>N/A</v>
      </c>
      <c r="O372" s="38"/>
      <c r="P372" s="39" t="str">
        <f>IF(Settings!$E$27="ON",_xlfn.XLOOKUP(B372,ADP!A2:A731,ADP!H2:H731)," ")</f>
        <v xml:space="preserve"> </v>
      </c>
      <c r="Q372" s="40">
        <f>IF(Settings!$E$12="YES",VLOOKUP(B372,'Player Data'!A1:E734,5,FALSE),82)</f>
        <v>82</v>
      </c>
      <c r="R372" s="38">
        <f>VLOOKUP(B372,'Player Data'!$A1:$AE734,6,FALSE)</f>
        <v>16.2295943765264</v>
      </c>
      <c r="S372" s="40">
        <f>VLOOKUP(B372,'Player Data'!$A1:$AE734,7,FALSE)*$Q372*IFERROR((VLOOKUP(P372,Settings!$E$28:$F$33,2,FALSE)+1),1)</f>
        <v>4.9482516609733898</v>
      </c>
      <c r="T372" s="40">
        <f>VLOOKUP(B372,'Player Data'!$A1:$AE734,8,FALSE)*$Q372*IFERROR((VLOOKUP(P372,Settings!$E$28:$F$33,2,FALSE)+1),1)</f>
        <v>15.4129078734308</v>
      </c>
      <c r="U372" s="40">
        <f t="shared" si="37"/>
        <v>20.361159534404191</v>
      </c>
      <c r="V372" s="40">
        <f>VLOOKUP(B372,'Player Data'!$A1:$AE734,10,FALSE)*$Q372*IFERROR(((VLOOKUP(P372,Settings!$E$28:$F$33,2,FALSE)/2)+1),1)</f>
        <v>124.28373859508264</v>
      </c>
      <c r="W372" s="40">
        <f>VLOOKUP(B372,'Player Data'!$A1:$AE734,11,FALSE)*$Q372*IFERROR((VLOOKUP(P372,Settings!$E$28:$F$33,2,FALSE)+1),1)</f>
        <v>2.3511269424840702E-2</v>
      </c>
      <c r="X372" s="40">
        <f>VLOOKUP(B372,'Player Data'!$A1:$AE734,12,FALSE)*$Q372*IFERROR((VLOOKUP(P372,Settings!$E$28:$F$33,2,FALSE)+1),1)</f>
        <v>0.32286316273490762</v>
      </c>
      <c r="Y372" s="40">
        <f>VLOOKUP(B372,'Player Data'!$A1:$AE734,13,FALSE)*$Q372</f>
        <v>1.4920195059848962E-2</v>
      </c>
      <c r="Z372" s="40">
        <f>VLOOKUP(B372,'Player Data'!$A1:$AE734,14,FALSE)*$Q372</f>
        <v>6.8128805192364E-2</v>
      </c>
      <c r="AA372" s="40">
        <f>VLOOKUP(B372,'Player Data'!$A1:$AE734,15,FALSE)*$Q372</f>
        <v>116.03986339092394</v>
      </c>
      <c r="AB372" s="40">
        <f>VLOOKUP(B372,'Player Data'!$A1:$AE734,16,FALSE)*$Q372</f>
        <v>98.609289132121788</v>
      </c>
      <c r="AC372" s="40">
        <f>VLOOKUP(B372,'Player Data'!$A1:$AE734,17,FALSE)*$Q372*IFERROR((VLOOKUP(P372,Settings!$E$28:$F$33,2,FALSE)+1),1)</f>
        <v>-5.723939671710407</v>
      </c>
      <c r="AD372" s="40">
        <f>VLOOKUP(B372,'Player Data'!$A1:$AE734,18,FALSE)*$Q372</f>
        <v>38.85788957331274</v>
      </c>
      <c r="AE372" s="40">
        <f>VLOOKUP(B372,'Player Data'!$A1:$AE734,19,FALSE)*$Q372*IFERROR((VLOOKUP(P372,Settings!$E$28:$F$33,2,FALSE)+1),1)</f>
        <v>0.58164542025961175</v>
      </c>
      <c r="AF372" s="40">
        <f>VLOOKUP(B372,'Player Data'!$A1:$AE734,20,FALSE)*$Q372</f>
        <v>0</v>
      </c>
      <c r="AG372" s="40">
        <f>VLOOKUP(B372,'Player Data'!$A1:$AE734,21,FALSE)*$Q372</f>
        <v>0</v>
      </c>
      <c r="AH372" s="41">
        <f>VLOOKUP(B372,'Player Data'!$A1:$AE734,22,FALSE)</f>
        <v>0</v>
      </c>
      <c r="AI372" s="38"/>
      <c r="AJ372" s="42"/>
      <c r="AK372" s="40"/>
      <c r="AL372" s="40"/>
      <c r="AM372" s="40"/>
      <c r="AN372" s="40"/>
      <c r="AO372" s="40"/>
      <c r="AP372" s="40"/>
      <c r="AQ372" s="43"/>
      <c r="AR372" s="44"/>
      <c r="AS372" s="38"/>
    </row>
    <row r="373" spans="1:45" ht="21.2" customHeight="1">
      <c r="A373" s="181">
        <f t="shared" si="33"/>
        <v>372</v>
      </c>
      <c r="B373" s="8" t="s">
        <v>415</v>
      </c>
      <c r="C373" s="31" t="s">
        <v>104</v>
      </c>
      <c r="D373" s="32" t="str">
        <f>VLOOKUP(B373,'Player Data'!A1:D734,4,FALSE)</f>
        <v>D</v>
      </c>
      <c r="E373" s="47">
        <f>VLOOKUP(B373,D!A1:C229,3,FALSE)</f>
        <v>121</v>
      </c>
      <c r="F373" s="34" t="str">
        <f>VLOOKUP(B373,'Player Data'!A1:B734,2,FALSE)</f>
        <v>NJD</v>
      </c>
      <c r="G373" s="9">
        <f>VLOOKUP(B373,'Player Data'!A1:D734,3,FALSE)</f>
        <v>26</v>
      </c>
      <c r="H373" s="35">
        <f>IFERROR(VLOOKUP(B373,ADP!A1:G731,7,FALSE)/1000000,VLOOKUP(B373,ADP!A1:G731,7,FALSE))</f>
        <v>4.4000000000000004</v>
      </c>
      <c r="I373" s="36">
        <f>IF(Settings!$E$15="POINTS",((R373*Q373)*Settings!$B$12)+(S373*Settings!$B$2)+(T373*Settings!$B$3)+(U373*Settings!$B$4)+(V373*Settings!$B$5)+(X373*Settings!$B$9)+(AA373*Settings!$B$6)+(W373*Settings!$B$8)+(AB373*Settings!$B$7)+(AC373*Settings!$B$14)+(AD373*Settings!$B$15)+(AE373*Settings!$B$16)+(AF373*Settings!$B$17)+(AG373*Settings!$B$18)+(U373*Settings!$B$13)+(Y373*Settings!$B$10)+(Z373*Settings!$B$11),VLOOKUP(B373,'Standard Deviations'!A1:C731,3,FALSE))</f>
        <v>-3.5244629787078701</v>
      </c>
      <c r="J373" s="37">
        <f t="shared" si="34"/>
        <v>-4.2981255837900856E-2</v>
      </c>
      <c r="K373" s="183">
        <f>VLOOKUP(B373,D!A1:F229,6,FALSE)</f>
        <v>-5.4662035223421803</v>
      </c>
      <c r="L373" s="36">
        <f t="shared" si="35"/>
        <v>-1.2423189823504954</v>
      </c>
      <c r="M373" s="52" t="str">
        <f>IF(Settings!$E$9="YAHOO",VLOOKUP(B373,ADP!A1:E731,2,FALSE),IF(Settings!$E$9="ESPN",VLOOKUP(B373,ADP!A1:E731,3,FALSE),IF(Settings!$E$9="FANTRAX",VLOOKUP(B373,ADP!A1:E731,4,FALSE),VLOOKUP(B373,ADP!A1:E731,5,FALSE))))</f>
        <v>-</v>
      </c>
      <c r="N373" s="52" t="str">
        <f t="shared" si="36"/>
        <v>N/A</v>
      </c>
      <c r="O373" s="38"/>
      <c r="P373" s="39" t="str">
        <f>IF(Settings!$E$27="ON",_xlfn.XLOOKUP(B373,ADP!A2:A731,ADP!H2:H731)," ")</f>
        <v xml:space="preserve"> </v>
      </c>
      <c r="Q373" s="40">
        <f>IF(Settings!$E$12="YES",VLOOKUP(B373,'Player Data'!A1:E734,5,FALSE),82)</f>
        <v>82</v>
      </c>
      <c r="R373" s="38">
        <f>VLOOKUP(B373,'Player Data'!$A1:$AE734,6,FALSE)</f>
        <v>21.100371022637201</v>
      </c>
      <c r="S373" s="40">
        <f>VLOOKUP(B373,'Player Data'!$A1:$AE734,7,FALSE)*$Q373*IFERROR((VLOOKUP(P373,Settings!$E$28:$F$33,2,FALSE)+1),1)</f>
        <v>3.6991587843776119</v>
      </c>
      <c r="T373" s="40">
        <f>VLOOKUP(B373,'Player Data'!$A1:$AE734,8,FALSE)*$Q373*IFERROR((VLOOKUP(P373,Settings!$E$28:$F$33,2,FALSE)+1),1)</f>
        <v>20.320664708942225</v>
      </c>
      <c r="U373" s="40">
        <f t="shared" si="37"/>
        <v>24.019823493319837</v>
      </c>
      <c r="V373" s="40">
        <f>VLOOKUP(B373,'Player Data'!$A1:$AE734,10,FALSE)*$Q373*IFERROR(((VLOOKUP(P373,Settings!$E$28:$F$33,2,FALSE)/2)+1),1)</f>
        <v>97.570371037732158</v>
      </c>
      <c r="W373" s="40">
        <f>VLOOKUP(B373,'Player Data'!$A1:$AE734,11,FALSE)*$Q373*IFERROR((VLOOKUP(P373,Settings!$E$28:$F$33,2,FALSE)+1),1)</f>
        <v>9.6050849293421364E-2</v>
      </c>
      <c r="X373" s="40">
        <f>VLOOKUP(B373,'Player Data'!$A1:$AE734,12,FALSE)*$Q373*IFERROR((VLOOKUP(P373,Settings!$E$28:$F$33,2,FALSE)+1),1)</f>
        <v>0.64604256641621316</v>
      </c>
      <c r="Y373" s="40">
        <f>VLOOKUP(B373,'Player Data'!$A1:$AE734,13,FALSE)*$Q373</f>
        <v>3.9099060834724017E-2</v>
      </c>
      <c r="Z373" s="40">
        <f>VLOOKUP(B373,'Player Data'!$A1:$AE734,14,FALSE)*$Q373</f>
        <v>1.7353767643093301</v>
      </c>
      <c r="AA373" s="40">
        <f>VLOOKUP(B373,'Player Data'!$A1:$AE734,15,FALSE)*$Q373</f>
        <v>112.5666156710531</v>
      </c>
      <c r="AB373" s="40">
        <f>VLOOKUP(B373,'Player Data'!$A1:$AE734,16,FALSE)*$Q373</f>
        <v>73.089044293006182</v>
      </c>
      <c r="AC373" s="40">
        <f>VLOOKUP(B373,'Player Data'!$A1:$AE734,17,FALSE)*$Q373*IFERROR((VLOOKUP(P373,Settings!$E$28:$F$33,2,FALSE)+1),1)</f>
        <v>-0.28995332972854188</v>
      </c>
      <c r="AD373" s="40">
        <f>VLOOKUP(B373,'Player Data'!$A1:$AE734,18,FALSE)*$Q373</f>
        <v>25.588838710415526</v>
      </c>
      <c r="AE373" s="40">
        <f>VLOOKUP(B373,'Player Data'!$A1:$AE734,19,FALSE)*$Q373*IFERROR((VLOOKUP(P373,Settings!$E$28:$F$33,2,FALSE)+1),1)</f>
        <v>0.54369488951210587</v>
      </c>
      <c r="AF373" s="40">
        <f>VLOOKUP(B373,'Player Data'!$A1:$AE734,20,FALSE)*$Q373</f>
        <v>0</v>
      </c>
      <c r="AG373" s="40">
        <f>VLOOKUP(B373,'Player Data'!$A1:$AE734,21,FALSE)*$Q373</f>
        <v>0</v>
      </c>
      <c r="AH373" s="41">
        <f>VLOOKUP(B373,'Player Data'!$A1:$AE734,22,FALSE)</f>
        <v>0</v>
      </c>
      <c r="AI373" s="38"/>
      <c r="AJ373" s="42"/>
      <c r="AK373" s="40"/>
      <c r="AL373" s="40"/>
      <c r="AM373" s="40"/>
      <c r="AN373" s="40"/>
      <c r="AO373" s="40"/>
      <c r="AP373" s="40"/>
      <c r="AQ373" s="43"/>
      <c r="AR373" s="44"/>
      <c r="AS373" s="38"/>
    </row>
    <row r="374" spans="1:45" ht="21.2" customHeight="1">
      <c r="A374" s="181">
        <f t="shared" si="33"/>
        <v>373</v>
      </c>
      <c r="B374" s="8" t="s">
        <v>436</v>
      </c>
      <c r="C374" s="31" t="s">
        <v>104</v>
      </c>
      <c r="D374" s="32" t="str">
        <f>VLOOKUP(B374,'Player Data'!A1:D734,4,FALSE)</f>
        <v>D</v>
      </c>
      <c r="E374" s="47">
        <f>VLOOKUP(B374,D!A1:C229,3,FALSE)</f>
        <v>122</v>
      </c>
      <c r="F374" s="34" t="str">
        <f>VLOOKUP(B374,'Player Data'!A1:B734,2,FALSE)</f>
        <v>CGY</v>
      </c>
      <c r="G374" s="9">
        <f>VLOOKUP(B374,'Player Data'!A1:D734,3,FALSE)</f>
        <v>28</v>
      </c>
      <c r="H374" s="35">
        <f>IFERROR(VLOOKUP(B374,ADP!A1:G731,7,FALSE)/1000000,VLOOKUP(B374,ADP!A1:G731,7,FALSE))</f>
        <v>3.75</v>
      </c>
      <c r="I374" s="36">
        <f>IF(Settings!$E$15="POINTS",((R374*Q374)*Settings!$B$12)+(S374*Settings!$B$2)+(T374*Settings!$B$3)+(U374*Settings!$B$4)+(V374*Settings!$B$5)+(X374*Settings!$B$9)+(AA374*Settings!$B$6)+(W374*Settings!$B$8)+(AB374*Settings!$B$7)+(AC374*Settings!$B$14)+(AD374*Settings!$B$15)+(AE374*Settings!$B$16)+(AF374*Settings!$B$17)+(AG374*Settings!$B$18)+(U374*Settings!$B$13)+(Y374*Settings!$B$10)+(Z374*Settings!$B$11),VLOOKUP(B374,'Standard Deviations'!A1:C731,3,FALSE))</f>
        <v>-3.5380287692873358</v>
      </c>
      <c r="J374" s="37">
        <f t="shared" si="34"/>
        <v>-4.3146692308382147E-2</v>
      </c>
      <c r="K374" s="183">
        <f>VLOOKUP(B374,D!A1:F229,6,FALSE)</f>
        <v>-5.4797693129216469</v>
      </c>
      <c r="L374" s="36">
        <f t="shared" si="35"/>
        <v>-1.4612718167791059</v>
      </c>
      <c r="M374" s="52" t="str">
        <f>IF(Settings!$E$9="YAHOO",VLOOKUP(B374,ADP!A1:E731,2,FALSE),IF(Settings!$E$9="ESPN",VLOOKUP(B374,ADP!A1:E731,3,FALSE),IF(Settings!$E$9="FANTRAX",VLOOKUP(B374,ADP!A1:E731,4,FALSE),VLOOKUP(B374,ADP!A1:E731,5,FALSE))))</f>
        <v>-</v>
      </c>
      <c r="N374" s="52" t="str">
        <f t="shared" si="36"/>
        <v>N/A</v>
      </c>
      <c r="O374" s="38"/>
      <c r="P374" s="39" t="str">
        <f>IF(Settings!$E$27="ON",_xlfn.XLOOKUP(B374,ADP!A2:A731,ADP!H2:H731)," ")</f>
        <v xml:space="preserve"> </v>
      </c>
      <c r="Q374" s="40">
        <f>IF(Settings!$E$12="YES",VLOOKUP(B374,'Player Data'!A1:E734,5,FALSE),82)</f>
        <v>82</v>
      </c>
      <c r="R374" s="38">
        <f>VLOOKUP(B374,'Player Data'!$A1:$AE734,6,FALSE)</f>
        <v>18.471598978658498</v>
      </c>
      <c r="S374" s="40">
        <f>VLOOKUP(B374,'Player Data'!$A1:$AE734,7,FALSE)*$Q374*IFERROR((VLOOKUP(P374,Settings!$E$28:$F$33,2,FALSE)+1),1)</f>
        <v>7.3063575242460868</v>
      </c>
      <c r="T374" s="40">
        <f>VLOOKUP(B374,'Player Data'!$A1:$AE734,8,FALSE)*$Q374*IFERROR((VLOOKUP(P374,Settings!$E$28:$F$33,2,FALSE)+1),1)</f>
        <v>13.079321670280518</v>
      </c>
      <c r="U374" s="40">
        <f t="shared" si="37"/>
        <v>20.385679194526602</v>
      </c>
      <c r="V374" s="40">
        <f>VLOOKUP(B374,'Player Data'!$A1:$AE734,10,FALSE)*$Q374*IFERROR(((VLOOKUP(P374,Settings!$E$28:$F$33,2,FALSE)/2)+1),1)</f>
        <v>118.81366981005264</v>
      </c>
      <c r="W374" s="40">
        <f>VLOOKUP(B374,'Player Data'!$A1:$AE734,11,FALSE)*$Q374*IFERROR((VLOOKUP(P374,Settings!$E$28:$F$33,2,FALSE)+1),1)</f>
        <v>3.577549013957932E-2</v>
      </c>
      <c r="X374" s="40">
        <f>VLOOKUP(B374,'Player Data'!$A1:$AE734,12,FALSE)*$Q374*IFERROR((VLOOKUP(P374,Settings!$E$28:$F$33,2,FALSE)+1),1)</f>
        <v>0.34672712263802186</v>
      </c>
      <c r="Y374" s="40">
        <f>VLOOKUP(B374,'Player Data'!$A1:$AE734,13,FALSE)*$Q374</f>
        <v>1.9117305981854425E-2</v>
      </c>
      <c r="Z374" s="40">
        <f>VLOOKUP(B374,'Player Data'!$A1:$AE734,14,FALSE)*$Q374</f>
        <v>0.17066102438311792</v>
      </c>
      <c r="AA374" s="40">
        <f>VLOOKUP(B374,'Player Data'!$A1:$AE734,15,FALSE)*$Q374</f>
        <v>83.608995273561646</v>
      </c>
      <c r="AB374" s="40">
        <f>VLOOKUP(B374,'Player Data'!$A1:$AE734,16,FALSE)*$Q374</f>
        <v>173.04738557284674</v>
      </c>
      <c r="AC374" s="40">
        <f>VLOOKUP(B374,'Player Data'!$A1:$AE734,17,FALSE)*$Q374*IFERROR((VLOOKUP(P374,Settings!$E$28:$F$33,2,FALSE)+1),1)</f>
        <v>2.8400635104541623</v>
      </c>
      <c r="AD374" s="40">
        <f>VLOOKUP(B374,'Player Data'!$A1:$AE734,18,FALSE)*$Q374</f>
        <v>64.406197227998433</v>
      </c>
      <c r="AE374" s="40">
        <f>VLOOKUP(B374,'Player Data'!$A1:$AE734,19,FALSE)*$Q374*IFERROR((VLOOKUP(P374,Settings!$E$28:$F$33,2,FALSE)+1),1)</f>
        <v>1.2208795566188431</v>
      </c>
      <c r="AF374" s="40">
        <f>VLOOKUP(B374,'Player Data'!$A1:$AE734,20,FALSE)*$Q374</f>
        <v>0</v>
      </c>
      <c r="AG374" s="40">
        <f>VLOOKUP(B374,'Player Data'!$A1:$AE734,21,FALSE)*$Q374</f>
        <v>0</v>
      </c>
      <c r="AH374" s="41">
        <f>VLOOKUP(B374,'Player Data'!$A1:$AE734,22,FALSE)</f>
        <v>0</v>
      </c>
      <c r="AI374" s="38"/>
      <c r="AJ374" s="42"/>
      <c r="AK374" s="40"/>
      <c r="AL374" s="40"/>
      <c r="AM374" s="40"/>
      <c r="AN374" s="40"/>
      <c r="AO374" s="40"/>
      <c r="AP374" s="40"/>
      <c r="AQ374" s="43"/>
      <c r="AR374" s="44"/>
      <c r="AS374" s="42"/>
    </row>
    <row r="375" spans="1:45" ht="21.2" customHeight="1">
      <c r="A375" s="181">
        <f t="shared" si="33"/>
        <v>374</v>
      </c>
      <c r="B375" s="8" t="s">
        <v>513</v>
      </c>
      <c r="C375" s="31" t="s">
        <v>104</v>
      </c>
      <c r="D375" s="32" t="str">
        <f>VLOOKUP(B375,'Player Data'!A1:D734,4,FALSE)</f>
        <v>D</v>
      </c>
      <c r="E375" s="47">
        <f>VLOOKUP(B375,D!A1:C229,3,FALSE)</f>
        <v>123</v>
      </c>
      <c r="F375" s="34" t="str">
        <f>VLOOKUP(B375,'Player Data'!A1:B734,2,FALSE)</f>
        <v>FLA</v>
      </c>
      <c r="G375" s="9">
        <f>VLOOKUP(B375,'Player Data'!A1:D734,3,FALSE)</f>
        <v>30</v>
      </c>
      <c r="H375" s="35">
        <f>IFERROR(VLOOKUP(B375,ADP!A1:G731,7,FALSE)/1000000,VLOOKUP(B375,ADP!A1:G731,7,FALSE))</f>
        <v>1</v>
      </c>
      <c r="I375" s="36">
        <f>IF(Settings!$E$15="POINTS",((R375*Q375)*Settings!$B$12)+(S375*Settings!$B$2)+(T375*Settings!$B$3)+(U375*Settings!$B$4)+(V375*Settings!$B$5)+(X375*Settings!$B$9)+(AA375*Settings!$B$6)+(W375*Settings!$B$8)+(AB375*Settings!$B$7)+(AC375*Settings!$B$14)+(AD375*Settings!$B$15)+(AE375*Settings!$B$16)+(AF375*Settings!$B$17)+(AG375*Settings!$B$18)+(U375*Settings!$B$13)+(Y375*Settings!$B$10)+(Z375*Settings!$B$11),VLOOKUP(B375,'Standard Deviations'!A1:C731,3,FALSE))</f>
        <v>-3.5512034137262467</v>
      </c>
      <c r="J375" s="37">
        <f t="shared" si="34"/>
        <v>-4.3307358703978616E-2</v>
      </c>
      <c r="K375" s="183">
        <f>VLOOKUP(B375,D!A1:F229,6,FALSE)</f>
        <v>-5.4929439573605574</v>
      </c>
      <c r="L375" s="36">
        <f t="shared" si="35"/>
        <v>-5.4929439573605574</v>
      </c>
      <c r="M375" s="52" t="str">
        <f>IF(Settings!$E$9="YAHOO",VLOOKUP(B375,ADP!A1:E731,2,FALSE),IF(Settings!$E$9="ESPN",VLOOKUP(B375,ADP!A1:E731,3,FALSE),IF(Settings!$E$9="FANTRAX",VLOOKUP(B375,ADP!A1:E731,4,FALSE),VLOOKUP(B375,ADP!A1:E731,5,FALSE))))</f>
        <v>-</v>
      </c>
      <c r="N375" s="52" t="str">
        <f t="shared" si="36"/>
        <v>N/A</v>
      </c>
      <c r="O375" s="38"/>
      <c r="P375" s="39" t="str">
        <f>IF(Settings!$E$27="ON",_xlfn.XLOOKUP(B375,ADP!A2:A731,ADP!H2:H731)," ")</f>
        <v xml:space="preserve"> </v>
      </c>
      <c r="Q375" s="40">
        <f>IF(Settings!$E$12="YES",VLOOKUP(B375,'Player Data'!A1:E734,5,FALSE),82)</f>
        <v>82</v>
      </c>
      <c r="R375" s="38">
        <f>VLOOKUP(B375,'Player Data'!$A1:$AE734,6,FALSE)</f>
        <v>16.152891650609799</v>
      </c>
      <c r="S375" s="40">
        <f>VLOOKUP(B375,'Player Data'!$A1:$AE734,7,FALSE)*$Q375*IFERROR((VLOOKUP(P375,Settings!$E$28:$F$33,2,FALSE)+1),1)</f>
        <v>2.3780353695567968</v>
      </c>
      <c r="T375" s="40">
        <f>VLOOKUP(B375,'Player Data'!$A1:$AE734,8,FALSE)*$Q375*IFERROR((VLOOKUP(P375,Settings!$E$28:$F$33,2,FALSE)+1),1)</f>
        <v>17.930161886513233</v>
      </c>
      <c r="U375" s="40">
        <f t="shared" si="37"/>
        <v>20.308197256070031</v>
      </c>
      <c r="V375" s="40">
        <f>VLOOKUP(B375,'Player Data'!$A1:$AE734,10,FALSE)*$Q375*IFERROR(((VLOOKUP(P375,Settings!$E$28:$F$33,2,FALSE)/2)+1),1)</f>
        <v>116.80900647058392</v>
      </c>
      <c r="W375" s="40">
        <f>VLOOKUP(B375,'Player Data'!$A1:$AE734,11,FALSE)*$Q375*IFERROR((VLOOKUP(P375,Settings!$E$28:$F$33,2,FALSE)+1),1)</f>
        <v>8.405319430640594E-2</v>
      </c>
      <c r="X375" s="40">
        <f>VLOOKUP(B375,'Player Data'!$A1:$AE734,12,FALSE)*$Q375*IFERROR((VLOOKUP(P375,Settings!$E$28:$F$33,2,FALSE)+1),1)</f>
        <v>1.7855462643055822</v>
      </c>
      <c r="Y375" s="40">
        <f>VLOOKUP(B375,'Player Data'!$A1:$AE734,13,FALSE)*$Q375</f>
        <v>9.7693361250260541E-2</v>
      </c>
      <c r="Z375" s="40">
        <f>VLOOKUP(B375,'Player Data'!$A1:$AE734,14,FALSE)*$Q375</f>
        <v>0.12075885183250695</v>
      </c>
      <c r="AA375" s="40">
        <f>VLOOKUP(B375,'Player Data'!$A1:$AE734,15,FALSE)*$Q375</f>
        <v>72.954539620186097</v>
      </c>
      <c r="AB375" s="40">
        <f>VLOOKUP(B375,'Player Data'!$A1:$AE734,16,FALSE)*$Q375</f>
        <v>108.27598889537929</v>
      </c>
      <c r="AC375" s="40">
        <f>VLOOKUP(B375,'Player Data'!$A1:$AE734,17,FALSE)*$Q375*IFERROR((VLOOKUP(P375,Settings!$E$28:$F$33,2,FALSE)+1),1)</f>
        <v>3.0974314578711897</v>
      </c>
      <c r="AD375" s="40">
        <f>VLOOKUP(B375,'Player Data'!$A1:$AE734,18,FALSE)*$Q375</f>
        <v>30.761937134907491</v>
      </c>
      <c r="AE375" s="40">
        <f>VLOOKUP(B375,'Player Data'!$A1:$AE734,19,FALSE)*$Q375*IFERROR((VLOOKUP(P375,Settings!$E$28:$F$33,2,FALSE)+1),1)</f>
        <v>0.34113459802060464</v>
      </c>
      <c r="AF375" s="40">
        <f>VLOOKUP(B375,'Player Data'!$A1:$AE734,20,FALSE)*$Q375</f>
        <v>0</v>
      </c>
      <c r="AG375" s="40">
        <f>VLOOKUP(B375,'Player Data'!$A1:$AE734,21,FALSE)*$Q375</f>
        <v>0</v>
      </c>
      <c r="AH375" s="41">
        <f>VLOOKUP(B375,'Player Data'!$A1:$AE734,22,FALSE)</f>
        <v>0</v>
      </c>
      <c r="AI375" s="38"/>
      <c r="AJ375" s="42"/>
      <c r="AK375" s="40"/>
      <c r="AL375" s="40"/>
      <c r="AM375" s="40"/>
      <c r="AN375" s="40"/>
      <c r="AO375" s="40"/>
      <c r="AP375" s="40"/>
      <c r="AQ375" s="43"/>
      <c r="AR375" s="44"/>
      <c r="AS375" s="38"/>
    </row>
    <row r="376" spans="1:45" ht="21.2" customHeight="1">
      <c r="A376" s="181">
        <f t="shared" si="33"/>
        <v>375</v>
      </c>
      <c r="B376" s="8" t="s">
        <v>578</v>
      </c>
      <c r="C376" s="31" t="s">
        <v>104</v>
      </c>
      <c r="D376" s="32" t="str">
        <f>VLOOKUP(B376,'Player Data'!A1:D734,4,FALSE)</f>
        <v>C</v>
      </c>
      <c r="E376" s="33">
        <f>VLOOKUP(B376,'C'!A1:C208,3,FALSE)</f>
        <v>88</v>
      </c>
      <c r="F376" s="34" t="str">
        <f>VLOOKUP(B376,'Player Data'!A1:B734,2,FALSE)</f>
        <v>ANA</v>
      </c>
      <c r="G376" s="9">
        <f>VLOOKUP(B376,'Player Data'!A1:D734,3,FALSE)</f>
        <v>18</v>
      </c>
      <c r="H376" s="35">
        <f>IFERROR(VLOOKUP(B376,ADP!A1:G731,7,FALSE)/1000000,VLOOKUP(B376,ADP!A1:G731,7,FALSE))</f>
        <v>0.95</v>
      </c>
      <c r="I376" s="36">
        <f>IF(Settings!$E$15="POINTS",((R376*Q376)*Settings!$B$12)+(S376*Settings!$B$2)+(T376*Settings!$B$3)+(U376*Settings!$B$4)+(V376*Settings!$B$5)+(X376*Settings!$B$9)+(AA376*Settings!$B$6)+(W376*Settings!$B$8)+(AB376*Settings!$B$7)+(AC376*Settings!$B$14)+(AD376*Settings!$B$15)+(AE376*Settings!$B$16)+(AF376*Settings!$B$17)+(AG376*Settings!$B$18)+(Y376*Settings!$B$10)+(Z376*Settings!$B$11),VLOOKUP(B376,'Standard Deviations'!A1:C731,3,FALSE))</f>
        <v>0.83653038406221181</v>
      </c>
      <c r="J376" s="37">
        <f t="shared" si="34"/>
        <v>1.0201590049539168E-2</v>
      </c>
      <c r="K376" s="183">
        <f>IF(Settings!$E$18="C/LW/RW",VLOOKUP(B376,'C'!A1:F208,6,FALSE),VLOOKUP(B376,F!A1:F431,6,FALSE))</f>
        <v>-5.5005203401443907</v>
      </c>
      <c r="L376" s="36">
        <f t="shared" si="35"/>
        <v>-5.7900214106783059</v>
      </c>
      <c r="M376" s="52" t="str">
        <f>IF(Settings!$E$9="YAHOO",VLOOKUP(B376,ADP!A1:E731,2,FALSE),IF(Settings!$E$9="ESPN",VLOOKUP(B376,ADP!A1:E731,3,FALSE),IF(Settings!$E$9="FANTRAX",VLOOKUP(B376,ADP!A1:E731,4,FALSE),VLOOKUP(B376,ADP!A1:E731,5,FALSE))))</f>
        <v>-</v>
      </c>
      <c r="N376" s="52" t="str">
        <f t="shared" si="36"/>
        <v>N/A</v>
      </c>
      <c r="O376" s="38"/>
      <c r="P376" s="39" t="str">
        <f>IF(Settings!$E$27="ON",_xlfn.XLOOKUP(B376,ADP!A2:A731,ADP!H2:H731)," ")</f>
        <v xml:space="preserve"> </v>
      </c>
      <c r="Q376" s="40">
        <f>IF(Settings!$E$12="YES",VLOOKUP(B376,'Player Data'!A1:E734,5,FALSE),82)</f>
        <v>82</v>
      </c>
      <c r="R376" s="38">
        <f>VLOOKUP(B376,'Player Data'!$A1:$AE734,6,FALSE)</f>
        <v>13</v>
      </c>
      <c r="S376" s="40">
        <f>VLOOKUP(B376,'Player Data'!$A1:$AE734,7,FALSE)*$Q376*IFERROR((VLOOKUP(P376,Settings!$E$28:$F$33,2,FALSE)+1),1)</f>
        <v>15.48970983800946</v>
      </c>
      <c r="T376" s="40">
        <f>VLOOKUP(B376,'Player Data'!$A1:$AE734,8,FALSE)*$Q376*IFERROR((VLOOKUP(P376,Settings!$E$28:$F$33,2,FALSE)+1),1)</f>
        <v>29.255701622624965</v>
      </c>
      <c r="U376" s="40">
        <f t="shared" si="37"/>
        <v>44.745411460634429</v>
      </c>
      <c r="V376" s="40">
        <f>VLOOKUP(B376,'Player Data'!$A1:$AE734,10,FALSE)*$Q376*IFERROR(((VLOOKUP(P376,Settings!$E$28:$F$33,2,FALSE)/2)+1),1)</f>
        <v>135.80163623864524</v>
      </c>
      <c r="W376" s="40">
        <f>VLOOKUP(B376,'Player Data'!$A1:$AE734,11,FALSE)*$Q376*IFERROR((VLOOKUP(P376,Settings!$E$28:$F$33,2,FALSE)+1),1)</f>
        <v>3.7726640937356262</v>
      </c>
      <c r="X376" s="40">
        <f>VLOOKUP(B376,'Player Data'!$A1:$AE734,12,FALSE)*$Q376*IFERROR((VLOOKUP(P376,Settings!$E$28:$F$33,2,FALSE)+1),1)</f>
        <v>10.898164584253834</v>
      </c>
      <c r="Y376" s="40">
        <f>VLOOKUP(B376,'Player Data'!$A1:$AE734,13,FALSE)*$Q376</f>
        <v>0</v>
      </c>
      <c r="Z376" s="40">
        <f>VLOOKUP(B376,'Player Data'!$A1:$AE734,14,FALSE)*$Q376</f>
        <v>0</v>
      </c>
      <c r="AA376" s="40">
        <f>VLOOKUP(B376,'Player Data'!$A1:$AE734,15,FALSE)*$Q376</f>
        <v>33.80000000000004</v>
      </c>
      <c r="AB376" s="40">
        <f>VLOOKUP(B376,'Player Data'!$A1:$AE734,16,FALSE)*$Q376</f>
        <v>39.999999999999957</v>
      </c>
      <c r="AC376" s="40">
        <f>VLOOKUP(B376,'Player Data'!$A1:$AE734,17,FALSE)*$Q376*IFERROR((VLOOKUP(P376,Settings!$E$28:$F$33,2,FALSE)+1),1)</f>
        <v>-0.31000000000000011</v>
      </c>
      <c r="AD376" s="40">
        <f>VLOOKUP(B376,'Player Data'!$A1:$AE734,18,FALSE)*$Q376</f>
        <v>19.999999999999979</v>
      </c>
      <c r="AE376" s="40">
        <f>VLOOKUP(B376,'Player Data'!$A1:$AE734,19,FALSE)*$Q376*IFERROR((VLOOKUP(P376,Settings!$E$28:$F$33,2,FALSE)+1),1)</f>
        <v>1.4848904517916737</v>
      </c>
      <c r="AF376" s="40">
        <f>VLOOKUP(B376,'Player Data'!$A1:$AE734,20,FALSE)*$Q376</f>
        <v>90.000000000000313</v>
      </c>
      <c r="AG376" s="40">
        <f>VLOOKUP(B376,'Player Data'!$A1:$AE734,21,FALSE)*$Q376</f>
        <v>130.00000000000028</v>
      </c>
      <c r="AH376" s="41">
        <f>VLOOKUP(B376,'Player Data'!$A1:$AE734,22,FALSE)</f>
        <v>0.41</v>
      </c>
      <c r="AI376" s="38"/>
      <c r="AJ376" s="42"/>
      <c r="AK376" s="40"/>
      <c r="AL376" s="40"/>
      <c r="AM376" s="40"/>
      <c r="AN376" s="40"/>
      <c r="AO376" s="40"/>
      <c r="AP376" s="40"/>
      <c r="AQ376" s="43"/>
      <c r="AR376" s="44"/>
      <c r="AS376" s="38"/>
    </row>
    <row r="377" spans="1:45" ht="21.2" customHeight="1">
      <c r="A377" s="181">
        <f t="shared" si="33"/>
        <v>376</v>
      </c>
      <c r="B377" s="8" t="s">
        <v>402</v>
      </c>
      <c r="C377" s="31" t="s">
        <v>104</v>
      </c>
      <c r="D377" s="32" t="str">
        <f>VLOOKUP(B377,'Player Data'!A1:D734,4,FALSE)</f>
        <v>LW,RW</v>
      </c>
      <c r="E377" s="45">
        <f>VLOOKUP(B377,RW!A1:F189,3,FALSE)</f>
        <v>88</v>
      </c>
      <c r="F377" s="34" t="str">
        <f>VLOOKUP(B377,'Player Data'!A1:B734,2,FALSE)</f>
        <v>BUF</v>
      </c>
      <c r="G377" s="9">
        <f>VLOOKUP(B377,'Player Data'!A1:D734,3,FALSE)</f>
        <v>28</v>
      </c>
      <c r="H377" s="35">
        <f>IFERROR(VLOOKUP(B377,ADP!A1:G731,7,FALSE)/1000000,VLOOKUP(B377,ADP!A1:G731,7,FALSE))</f>
        <v>4.75</v>
      </c>
      <c r="I377" s="36">
        <f>IF(Settings!$E$15="POINTS",((R377*Q377)*Settings!$B$12)+(S377*Settings!$B$2)+(T377*Settings!$B$3)+(U377*Settings!$B$4)+(V377*Settings!$B$5)+(X377*Settings!$B$9)+(AA377*Settings!$B$6)+(W377*Settings!$B$8)+(AB377*Settings!$B$7)+(AC377*Settings!$B$14)+(AD377*Settings!$B$15)+(AE377*Settings!$B$16)+(AF377*Settings!$B$17)+(AG377*Settings!$B$18)+(Y377*Settings!$B$10)+(Z377*Settings!$B$11),VLOOKUP(B377,'Standard Deviations'!A1:C731,3,FALSE))</f>
        <v>0.77435578813392303</v>
      </c>
      <c r="J377" s="37">
        <f t="shared" si="34"/>
        <v>9.4433632699258904E-3</v>
      </c>
      <c r="K377" s="183">
        <f>IF(Settings!$E$18="C/LW/RW",VLOOKUP(B377,RW!A1:F189,6,FALSE),VLOOKUP(B377,F!A1:F431,6,FALSE))</f>
        <v>-5.5059029308771574</v>
      </c>
      <c r="L377" s="36">
        <f t="shared" si="35"/>
        <v>-1.1591374591320331</v>
      </c>
      <c r="M377" s="52" t="str">
        <f>IF(Settings!$E$9="YAHOO",VLOOKUP(B377,ADP!A1:E731,2,FALSE),IF(Settings!$E$9="ESPN",VLOOKUP(B377,ADP!A1:E731,3,FALSE),IF(Settings!$E$9="FANTRAX",VLOOKUP(B377,ADP!A1:E731,4,FALSE),VLOOKUP(B377,ADP!A1:E731,5,FALSE))))</f>
        <v>-</v>
      </c>
      <c r="N377" s="52" t="str">
        <f t="shared" si="36"/>
        <v>N/A</v>
      </c>
      <c r="O377" s="38"/>
      <c r="P377" s="39" t="str">
        <f>IF(Settings!$E$27="ON",_xlfn.XLOOKUP(B377,ADP!A2:A731,ADP!H2:H731)," ")</f>
        <v xml:space="preserve"> </v>
      </c>
      <c r="Q377" s="40">
        <f>IF(Settings!$E$12="YES",VLOOKUP(B377,'Player Data'!A1:E734,5,FALSE),82)</f>
        <v>82</v>
      </c>
      <c r="R377" s="38">
        <f>VLOOKUP(B377,'Player Data'!$A1:$AE734,6,FALSE)</f>
        <v>13.671634468597601</v>
      </c>
      <c r="S377" s="40">
        <f>VLOOKUP(B377,'Player Data'!$A1:$AE734,7,FALSE)*$Q377*IFERROR((VLOOKUP(P377,Settings!$E$28:$F$33,2,FALSE)+1),1)</f>
        <v>21.310596204977884</v>
      </c>
      <c r="T377" s="40">
        <f>VLOOKUP(B377,'Player Data'!$A1:$AE734,8,FALSE)*$Q377*IFERROR((VLOOKUP(P377,Settings!$E$28:$F$33,2,FALSE)+1),1)</f>
        <v>18.849361211652578</v>
      </c>
      <c r="U377" s="40">
        <f t="shared" si="37"/>
        <v>40.159957416630462</v>
      </c>
      <c r="V377" s="40">
        <f>VLOOKUP(B377,'Player Data'!$A1:$AE734,10,FALSE)*$Q377*IFERROR(((VLOOKUP(P377,Settings!$E$28:$F$33,2,FALSE)/2)+1),1)</f>
        <v>158.72233488201292</v>
      </c>
      <c r="W377" s="40">
        <f>VLOOKUP(B377,'Player Data'!$A1:$AE734,11,FALSE)*$Q377*IFERROR((VLOOKUP(P377,Settings!$E$28:$F$33,2,FALSE)+1),1)</f>
        <v>5.615228126927132</v>
      </c>
      <c r="X377" s="40">
        <f>VLOOKUP(B377,'Player Data'!$A1:$AE734,12,FALSE)*$Q377*IFERROR((VLOOKUP(P377,Settings!$E$28:$F$33,2,FALSE)+1),1)</f>
        <v>10.426465636603314</v>
      </c>
      <c r="Y377" s="40">
        <f>VLOOKUP(B377,'Player Data'!$A1:$AE734,13,FALSE)*$Q377</f>
        <v>7.6387417773049462E-3</v>
      </c>
      <c r="Z377" s="40">
        <f>VLOOKUP(B377,'Player Data'!$A1:$AE734,14,FALSE)*$Q377</f>
        <v>3.6612640030711657E-2</v>
      </c>
      <c r="AA377" s="40">
        <f>VLOOKUP(B377,'Player Data'!$A1:$AE734,15,FALSE)*$Q377</f>
        <v>18.662293836535607</v>
      </c>
      <c r="AB377" s="40">
        <f>VLOOKUP(B377,'Player Data'!$A1:$AE734,16,FALSE)*$Q377</f>
        <v>28.486108088127878</v>
      </c>
      <c r="AC377" s="40">
        <f>VLOOKUP(B377,'Player Data'!$A1:$AE734,17,FALSE)*$Q377*IFERROR((VLOOKUP(P377,Settings!$E$28:$F$33,2,FALSE)+1),1)</f>
        <v>-4.2375112554381964</v>
      </c>
      <c r="AD377" s="40">
        <f>VLOOKUP(B377,'Player Data'!$A1:$AE734,18,FALSE)*$Q377</f>
        <v>10.219331142466714</v>
      </c>
      <c r="AE377" s="40">
        <f>VLOOKUP(B377,'Player Data'!$A1:$AE734,19,FALSE)*$Q377*IFERROR((VLOOKUP(P377,Settings!$E$28:$F$33,2,FALSE)+1),1)</f>
        <v>2.7281624197696499</v>
      </c>
      <c r="AF377" s="40">
        <f>VLOOKUP(B377,'Player Data'!$A1:$AE734,20,FALSE)*$Q377</f>
        <v>0.89583056245657489</v>
      </c>
      <c r="AG377" s="40">
        <f>VLOOKUP(B377,'Player Data'!$A1:$AE734,21,FALSE)*$Q377</f>
        <v>4.037177601244661</v>
      </c>
      <c r="AH377" s="41">
        <f>VLOOKUP(B377,'Player Data'!$A1:$AE734,22,FALSE)</f>
        <v>0.18159924588173201</v>
      </c>
      <c r="AI377" s="38"/>
      <c r="AJ377" s="42"/>
      <c r="AK377" s="40"/>
      <c r="AL377" s="40"/>
      <c r="AM377" s="40"/>
      <c r="AN377" s="40"/>
      <c r="AO377" s="40"/>
      <c r="AP377" s="40"/>
      <c r="AQ377" s="43"/>
      <c r="AR377" s="44"/>
      <c r="AS377" s="38"/>
    </row>
    <row r="378" spans="1:45" ht="21.2" customHeight="1">
      <c r="A378" s="181">
        <f t="shared" si="33"/>
        <v>377</v>
      </c>
      <c r="B378" s="8" t="s">
        <v>381</v>
      </c>
      <c r="C378" s="31" t="s">
        <v>104</v>
      </c>
      <c r="D378" s="32" t="str">
        <f>VLOOKUP(B378,'Player Data'!A1:D734,4,FALSE)</f>
        <v>C,LW,RW</v>
      </c>
      <c r="E378" s="45">
        <f>VLOOKUP(B378,RW!A1:F189,3,FALSE)</f>
        <v>89</v>
      </c>
      <c r="F378" s="34" t="str">
        <f>VLOOKUP(B378,'Player Data'!A1:B734,2,FALSE)</f>
        <v>CGY</v>
      </c>
      <c r="G378" s="9">
        <f>VLOOKUP(B378,'Player Data'!A1:D734,3,FALSE)</f>
        <v>25</v>
      </c>
      <c r="H378" s="35">
        <f>IFERROR(VLOOKUP(B378,ADP!A1:G731,7,FALSE)/1000000,VLOOKUP(B378,ADP!A1:G731,7,FALSE))</f>
        <v>2.2999999999999998</v>
      </c>
      <c r="I378" s="36">
        <f>IF(Settings!$E$15="POINTS",((R378*Q378)*Settings!$B$12)+(S378*Settings!$B$2)+(T378*Settings!$B$3)+(U378*Settings!$B$4)+(V378*Settings!$B$5)+(X378*Settings!$B$9)+(AA378*Settings!$B$6)+(W378*Settings!$B$8)+(AB378*Settings!$B$7)+(AC378*Settings!$B$14)+(AD378*Settings!$B$15)+(AE378*Settings!$B$16)+(AF378*Settings!$B$17)+(AG378*Settings!$B$18)+(Y378*Settings!$B$10)+(Z378*Settings!$B$11),VLOOKUP(B378,'Standard Deviations'!A1:C731,3,FALSE))</f>
        <v>0.73644007223529417</v>
      </c>
      <c r="J378" s="37">
        <f t="shared" si="34"/>
        <v>8.9809764906743188E-3</v>
      </c>
      <c r="K378" s="183">
        <f>IF(Settings!$E$18="C/LW/RW",VLOOKUP(B378,RW!A1:F189,6,FALSE),VLOOKUP(B378,F!A1:F431,6,FALSE))</f>
        <v>-5.5438186467757866</v>
      </c>
      <c r="L378" s="36">
        <f t="shared" si="35"/>
        <v>-2.4103559333807771</v>
      </c>
      <c r="M378" s="38">
        <f>IF(Settings!$E$9="YAHOO",VLOOKUP(B378,ADP!A1:E731,2,FALSE),IF(Settings!$E$9="ESPN",VLOOKUP(B378,ADP!A1:E731,3,FALSE),IF(Settings!$E$9="FANTRAX",VLOOKUP(B378,ADP!A1:E731,4,FALSE),VLOOKUP(B378,ADP!A1:E731,5,FALSE))))</f>
        <v>454.4</v>
      </c>
      <c r="N378" s="38">
        <f t="shared" si="36"/>
        <v>77.399999999999977</v>
      </c>
      <c r="O378" s="38"/>
      <c r="P378" s="39" t="str">
        <f>IF(Settings!$E$27="ON",_xlfn.XLOOKUP(B378,ADP!A2:A731,ADP!H2:H731)," ")</f>
        <v xml:space="preserve"> </v>
      </c>
      <c r="Q378" s="40">
        <f>IF(Settings!$E$12="YES",VLOOKUP(B378,'Player Data'!A1:E734,5,FALSE),82)</f>
        <v>82</v>
      </c>
      <c r="R378" s="38">
        <f>VLOOKUP(B378,'Player Data'!$A1:$AE734,6,FALSE)</f>
        <v>15.6219758546452</v>
      </c>
      <c r="S378" s="40">
        <f>VLOOKUP(B378,'Player Data'!$A1:$AE734,7,FALSE)*$Q378*IFERROR((VLOOKUP(P378,Settings!$E$28:$F$33,2,FALSE)+1),1)</f>
        <v>20.112689325540476</v>
      </c>
      <c r="T378" s="40">
        <f>VLOOKUP(B378,'Player Data'!$A1:$AE734,8,FALSE)*$Q378*IFERROR((VLOOKUP(P378,Settings!$E$28:$F$33,2,FALSE)+1),1)</f>
        <v>24.410663850245786</v>
      </c>
      <c r="U378" s="40">
        <f t="shared" si="37"/>
        <v>44.523353175786262</v>
      </c>
      <c r="V378" s="40">
        <f>VLOOKUP(B378,'Player Data'!$A1:$AE734,10,FALSE)*$Q378*IFERROR(((VLOOKUP(P378,Settings!$E$28:$F$33,2,FALSE)/2)+1),1)</f>
        <v>159.36071341782585</v>
      </c>
      <c r="W378" s="40">
        <f>VLOOKUP(B378,'Player Data'!$A1:$AE734,11,FALSE)*$Q378*IFERROR((VLOOKUP(P378,Settings!$E$28:$F$33,2,FALSE)+1),1)</f>
        <v>2.2331764376597327</v>
      </c>
      <c r="X378" s="40">
        <f>VLOOKUP(B378,'Player Data'!$A1:$AE734,12,FALSE)*$Q378*IFERROR((VLOOKUP(P378,Settings!$E$28:$F$33,2,FALSE)+1),1)</f>
        <v>5.138407137459339</v>
      </c>
      <c r="Y378" s="40">
        <f>VLOOKUP(B378,'Player Data'!$A1:$AE734,13,FALSE)*$Q378</f>
        <v>1.6027588751135706</v>
      </c>
      <c r="Z378" s="40">
        <f>VLOOKUP(B378,'Player Data'!$A1:$AE734,14,FALSE)*$Q378</f>
        <v>2.1102479428458301</v>
      </c>
      <c r="AA378" s="40">
        <f>VLOOKUP(B378,'Player Data'!$A1:$AE734,15,FALSE)*$Q378</f>
        <v>23.726068154160668</v>
      </c>
      <c r="AB378" s="40">
        <f>VLOOKUP(B378,'Player Data'!$A1:$AE734,16,FALSE)*$Q378</f>
        <v>126.77607153761797</v>
      </c>
      <c r="AC378" s="40">
        <f>VLOOKUP(B378,'Player Data'!$A1:$AE734,17,FALSE)*$Q378*IFERROR((VLOOKUP(P378,Settings!$E$28:$F$33,2,FALSE)+1),1)</f>
        <v>0.71152047128945528</v>
      </c>
      <c r="AD378" s="40">
        <f>VLOOKUP(B378,'Player Data'!$A1:$AE734,18,FALSE)*$Q378</f>
        <v>33.638696599886494</v>
      </c>
      <c r="AE378" s="40">
        <f>VLOOKUP(B378,'Player Data'!$A1:$AE734,19,FALSE)*$Q378*IFERROR((VLOOKUP(P378,Settings!$E$28:$F$33,2,FALSE)+1),1)</f>
        <v>3.3607951903109319</v>
      </c>
      <c r="AF378" s="40">
        <f>VLOOKUP(B378,'Player Data'!$A1:$AE734,20,FALSE)*$Q378</f>
        <v>54.262423077442229</v>
      </c>
      <c r="AG378" s="40">
        <f>VLOOKUP(B378,'Player Data'!$A1:$AE734,21,FALSE)*$Q378</f>
        <v>60.89579797886924</v>
      </c>
      <c r="AH378" s="41">
        <f>VLOOKUP(B378,'Player Data'!$A1:$AE734,22,FALSE)</f>
        <v>0.47119886517618498</v>
      </c>
      <c r="AI378" s="38"/>
      <c r="AJ378" s="42"/>
      <c r="AK378" s="40"/>
      <c r="AL378" s="40"/>
      <c r="AM378" s="40"/>
      <c r="AN378" s="40"/>
      <c r="AO378" s="40"/>
      <c r="AP378" s="40"/>
      <c r="AQ378" s="43"/>
      <c r="AR378" s="44"/>
      <c r="AS378" s="38"/>
    </row>
    <row r="379" spans="1:45" ht="21.2" customHeight="1">
      <c r="A379" s="181">
        <f t="shared" si="33"/>
        <v>378</v>
      </c>
      <c r="B379" s="8" t="s">
        <v>423</v>
      </c>
      <c r="C379" s="31" t="s">
        <v>104</v>
      </c>
      <c r="D379" s="32" t="str">
        <f>VLOOKUP(B379,'Player Data'!A1:D734,4,FALSE)</f>
        <v>D</v>
      </c>
      <c r="E379" s="47">
        <f>VLOOKUP(B379,D!A1:C229,3,FALSE)</f>
        <v>124</v>
      </c>
      <c r="F379" s="34" t="str">
        <f>VLOOKUP(B379,'Player Data'!A1:B734,2,FALSE)</f>
        <v>TOR</v>
      </c>
      <c r="G379" s="9">
        <f>VLOOKUP(B379,'Player Data'!A1:D734,3,FALSE)</f>
        <v>29</v>
      </c>
      <c r="H379" s="35">
        <f>IFERROR(VLOOKUP(B379,ADP!A1:G731,7,FALSE)/1000000,VLOOKUP(B379,ADP!A1:G731,7,FALSE))</f>
        <v>2</v>
      </c>
      <c r="I379" s="36">
        <f>IF(Settings!$E$15="POINTS",((R379*Q379)*Settings!$B$12)+(S379*Settings!$B$2)+(T379*Settings!$B$3)+(U379*Settings!$B$4)+(V379*Settings!$B$5)+(X379*Settings!$B$9)+(AA379*Settings!$B$6)+(W379*Settings!$B$8)+(AB379*Settings!$B$7)+(AC379*Settings!$B$14)+(AD379*Settings!$B$15)+(AE379*Settings!$B$16)+(AF379*Settings!$B$17)+(AG379*Settings!$B$18)+(U379*Settings!$B$13)+(Y379*Settings!$B$10)+(Z379*Settings!$B$11),VLOOKUP(B379,'Standard Deviations'!A1:C731,3,FALSE))</f>
        <v>-3.6037798085919119</v>
      </c>
      <c r="J379" s="37">
        <f t="shared" si="34"/>
        <v>-4.3948534251120878E-2</v>
      </c>
      <c r="K379" s="183">
        <f>VLOOKUP(B379,D!A1:F229,6,FALSE)</f>
        <v>-5.5455203522262231</v>
      </c>
      <c r="L379" s="36">
        <f t="shared" si="35"/>
        <v>-2.7727601761131115</v>
      </c>
      <c r="M379" s="38">
        <f>IF(Settings!$E$9="YAHOO",VLOOKUP(B379,ADP!A1:E731,2,FALSE),IF(Settings!$E$9="ESPN",VLOOKUP(B379,ADP!A1:E731,3,FALSE),IF(Settings!$E$9="FANTRAX",VLOOKUP(B379,ADP!A1:E731,4,FALSE),VLOOKUP(B379,ADP!A1:E731,5,FALSE))))</f>
        <v>402.4</v>
      </c>
      <c r="N379" s="38">
        <f t="shared" si="36"/>
        <v>24.399999999999977</v>
      </c>
      <c r="O379" s="38"/>
      <c r="P379" s="39" t="str">
        <f>IF(Settings!$E$27="ON",_xlfn.XLOOKUP(B379,ADP!A2:A731,ADP!H2:H731)," ")</f>
        <v xml:space="preserve"> </v>
      </c>
      <c r="Q379" s="40">
        <f>IF(Settings!$E$12="YES",VLOOKUP(B379,'Player Data'!A1:E734,5,FALSE),82)</f>
        <v>82</v>
      </c>
      <c r="R379" s="38">
        <f>VLOOKUP(B379,'Player Data'!$A1:$AE734,6,FALSE)</f>
        <v>19.327457144327798</v>
      </c>
      <c r="S379" s="40">
        <f>VLOOKUP(B379,'Player Data'!$A1:$AE734,7,FALSE)*$Q379*IFERROR((VLOOKUP(P379,Settings!$E$28:$F$33,2,FALSE)+1),1)</f>
        <v>3.6967114447222</v>
      </c>
      <c r="T379" s="40">
        <f>VLOOKUP(B379,'Player Data'!$A1:$AE734,8,FALSE)*$Q379*IFERROR((VLOOKUP(P379,Settings!$E$28:$F$33,2,FALSE)+1),1)</f>
        <v>19.326203472997616</v>
      </c>
      <c r="U379" s="40">
        <f t="shared" si="37"/>
        <v>23.022914917719817</v>
      </c>
      <c r="V379" s="40">
        <f>VLOOKUP(B379,'Player Data'!$A1:$AE734,10,FALSE)*$Q379*IFERROR(((VLOOKUP(P379,Settings!$E$28:$F$33,2,FALSE)/2)+1),1)</f>
        <v>102.82382389116127</v>
      </c>
      <c r="W379" s="40">
        <f>VLOOKUP(B379,'Player Data'!$A1:$AE734,11,FALSE)*$Q379*IFERROR((VLOOKUP(P379,Settings!$E$28:$F$33,2,FALSE)+1),1)</f>
        <v>2.0715541668812516E-2</v>
      </c>
      <c r="X379" s="40">
        <f>VLOOKUP(B379,'Player Data'!$A1:$AE734,12,FALSE)*$Q379*IFERROR((VLOOKUP(P379,Settings!$E$28:$F$33,2,FALSE)+1),1)</f>
        <v>0.13588486138211572</v>
      </c>
      <c r="Y379" s="40">
        <f>VLOOKUP(B379,'Player Data'!$A1:$AE734,13,FALSE)*$Q379</f>
        <v>9.0325135784243421E-3</v>
      </c>
      <c r="Z379" s="40">
        <f>VLOOKUP(B379,'Player Data'!$A1:$AE734,14,FALSE)*$Q379</f>
        <v>0.12965829476082691</v>
      </c>
      <c r="AA379" s="40">
        <f>VLOOKUP(B379,'Player Data'!$A1:$AE734,15,FALSE)*$Q379</f>
        <v>170.75158972779491</v>
      </c>
      <c r="AB379" s="40">
        <f>VLOOKUP(B379,'Player Data'!$A1:$AE734,16,FALSE)*$Q379</f>
        <v>170.59937799895818</v>
      </c>
      <c r="AC379" s="40">
        <f>VLOOKUP(B379,'Player Data'!$A1:$AE734,17,FALSE)*$Q379*IFERROR((VLOOKUP(P379,Settings!$E$28:$F$33,2,FALSE)+1),1)</f>
        <v>5.9331784550441178</v>
      </c>
      <c r="AD379" s="40">
        <f>VLOOKUP(B379,'Player Data'!$A1:$AE734,18,FALSE)*$Q379</f>
        <v>43.038820477897282</v>
      </c>
      <c r="AE379" s="40">
        <f>VLOOKUP(B379,'Player Data'!$A1:$AE734,19,FALSE)*$Q379*IFERROR((VLOOKUP(P379,Settings!$E$28:$F$33,2,FALSE)+1),1)</f>
        <v>0.59387571102361392</v>
      </c>
      <c r="AF379" s="40">
        <f>VLOOKUP(B379,'Player Data'!$A1:$AE734,20,FALSE)*$Q379</f>
        <v>0</v>
      </c>
      <c r="AG379" s="40">
        <f>VLOOKUP(B379,'Player Data'!$A1:$AE734,21,FALSE)*$Q379</f>
        <v>0</v>
      </c>
      <c r="AH379" s="41">
        <f>VLOOKUP(B379,'Player Data'!$A1:$AE734,22,FALSE)</f>
        <v>0</v>
      </c>
      <c r="AI379" s="38"/>
      <c r="AJ379" s="42"/>
      <c r="AK379" s="40"/>
      <c r="AL379" s="40"/>
      <c r="AM379" s="40"/>
      <c r="AN379" s="40"/>
      <c r="AO379" s="40"/>
      <c r="AP379" s="40"/>
      <c r="AQ379" s="43"/>
      <c r="AR379" s="44"/>
      <c r="AS379" s="42"/>
    </row>
    <row r="380" spans="1:45" ht="21.2" customHeight="1">
      <c r="A380" s="181">
        <f t="shared" si="33"/>
        <v>379</v>
      </c>
      <c r="B380" s="8" t="s">
        <v>421</v>
      </c>
      <c r="C380" s="31" t="s">
        <v>104</v>
      </c>
      <c r="D380" s="32" t="str">
        <f>VLOOKUP(B380,'Player Data'!A1:D734,4,FALSE)</f>
        <v>D</v>
      </c>
      <c r="E380" s="47">
        <f>VLOOKUP(B380,D!A1:C229,3,FALSE)</f>
        <v>125</v>
      </c>
      <c r="F380" s="34" t="str">
        <f>VLOOKUP(B380,'Player Data'!A1:B734,2,FALSE)</f>
        <v>WSH</v>
      </c>
      <c r="G380" s="9">
        <f>VLOOKUP(B380,'Player Data'!A1:D734,3,FALSE)</f>
        <v>23</v>
      </c>
      <c r="H380" s="35">
        <f>IFERROR(VLOOKUP(B380,ADP!A1:G731,7,FALSE)/1000000,VLOOKUP(B380,ADP!A1:G731,7,FALSE))</f>
        <v>2.6749999999999998</v>
      </c>
      <c r="I380" s="36">
        <f>IF(Settings!$E$15="POINTS",((R380*Q380)*Settings!$B$12)+(S380*Settings!$B$2)+(T380*Settings!$B$3)+(U380*Settings!$B$4)+(V380*Settings!$B$5)+(X380*Settings!$B$9)+(AA380*Settings!$B$6)+(W380*Settings!$B$8)+(AB380*Settings!$B$7)+(AC380*Settings!$B$14)+(AD380*Settings!$B$15)+(AE380*Settings!$B$16)+(AF380*Settings!$B$17)+(AG380*Settings!$B$18)+(U380*Settings!$B$13)+(Y380*Settings!$B$10)+(Z380*Settings!$B$11),VLOOKUP(B380,'Standard Deviations'!A1:C731,3,FALSE))</f>
        <v>-3.6183690419604413</v>
      </c>
      <c r="J380" s="37">
        <f t="shared" si="34"/>
        <v>-4.4126451731224897E-2</v>
      </c>
      <c r="K380" s="183">
        <f>VLOOKUP(B380,D!A1:F229,6,FALSE)</f>
        <v>-5.560109585594752</v>
      </c>
      <c r="L380" s="36">
        <f t="shared" si="35"/>
        <v>-2.0785456394746737</v>
      </c>
      <c r="M380" s="38">
        <f>IF(Settings!$E$9="YAHOO",VLOOKUP(B380,ADP!A1:E731,2,FALSE),IF(Settings!$E$9="ESPN",VLOOKUP(B380,ADP!A1:E731,3,FALSE),IF(Settings!$E$9="FANTRAX",VLOOKUP(B380,ADP!A1:E731,4,FALSE),VLOOKUP(B380,ADP!A1:E731,5,FALSE))))</f>
        <v>442.07</v>
      </c>
      <c r="N380" s="38">
        <f t="shared" si="36"/>
        <v>63.069999999999993</v>
      </c>
      <c r="O380" s="38"/>
      <c r="P380" s="39" t="str">
        <f>IF(Settings!$E$27="ON",_xlfn.XLOOKUP(B380,ADP!A2:A731,ADP!H2:H731)," ")</f>
        <v xml:space="preserve"> </v>
      </c>
      <c r="Q380" s="40">
        <f>IF(Settings!$E$12="YES",VLOOKUP(B380,'Player Data'!A1:E734,5,FALSE),82)</f>
        <v>82</v>
      </c>
      <c r="R380" s="38">
        <f>VLOOKUP(B380,'Player Data'!$A1:$AE734,6,FALSE)</f>
        <v>20.271129452243301</v>
      </c>
      <c r="S380" s="40">
        <f>VLOOKUP(B380,'Player Data'!$A1:$AE734,7,FALSE)*$Q380*IFERROR((VLOOKUP(P380,Settings!$E$28:$F$33,2,FALSE)+1),1)</f>
        <v>7.8227577080064412</v>
      </c>
      <c r="T380" s="40">
        <f>VLOOKUP(B380,'Player Data'!$A1:$AE734,8,FALSE)*$Q380*IFERROR((VLOOKUP(P380,Settings!$E$28:$F$33,2,FALSE)+1),1)</f>
        <v>13.97661141198931</v>
      </c>
      <c r="U380" s="40">
        <f t="shared" si="37"/>
        <v>21.799369119995752</v>
      </c>
      <c r="V380" s="40">
        <f>VLOOKUP(B380,'Player Data'!$A1:$AE734,10,FALSE)*$Q380*IFERROR(((VLOOKUP(P380,Settings!$E$28:$F$33,2,FALSE)/2)+1),1)</f>
        <v>104.53561502525667</v>
      </c>
      <c r="W380" s="40">
        <f>VLOOKUP(B380,'Player Data'!$A1:$AE734,11,FALSE)*$Q380*IFERROR((VLOOKUP(P380,Settings!$E$28:$F$33,2,FALSE)+1),1)</f>
        <v>2.7924120745306296E-2</v>
      </c>
      <c r="X380" s="40">
        <f>VLOOKUP(B380,'Player Data'!$A1:$AE734,12,FALSE)*$Q380*IFERROR((VLOOKUP(P380,Settings!$E$28:$F$33,2,FALSE)+1),1)</f>
        <v>0.17024564028213865</v>
      </c>
      <c r="Y380" s="40">
        <f>VLOOKUP(B380,'Player Data'!$A1:$AE734,13,FALSE)*$Q380</f>
        <v>0.44442517536491533</v>
      </c>
      <c r="Z380" s="40">
        <f>VLOOKUP(B380,'Player Data'!$A1:$AE734,14,FALSE)*$Q380</f>
        <v>1.0918286358892624</v>
      </c>
      <c r="AA380" s="40">
        <f>VLOOKUP(B380,'Player Data'!$A1:$AE734,15,FALSE)*$Q380</f>
        <v>140.18864001856812</v>
      </c>
      <c r="AB380" s="40">
        <f>VLOOKUP(B380,'Player Data'!$A1:$AE734,16,FALSE)*$Q380</f>
        <v>224.56491025919263</v>
      </c>
      <c r="AC380" s="40">
        <f>VLOOKUP(B380,'Player Data'!$A1:$AE734,17,FALSE)*$Q380*IFERROR((VLOOKUP(P380,Settings!$E$28:$F$33,2,FALSE)+1),1)</f>
        <v>-4.7737292459111309</v>
      </c>
      <c r="AD380" s="40">
        <f>VLOOKUP(B380,'Player Data'!$A1:$AE734,18,FALSE)*$Q380</f>
        <v>35.156779815747797</v>
      </c>
      <c r="AE380" s="40">
        <f>VLOOKUP(B380,'Player Data'!$A1:$AE734,19,FALSE)*$Q380*IFERROR((VLOOKUP(P380,Settings!$E$28:$F$33,2,FALSE)+1),1)</f>
        <v>0.96224524825322721</v>
      </c>
      <c r="AF380" s="40">
        <f>VLOOKUP(B380,'Player Data'!$A1:$AE734,20,FALSE)*$Q380</f>
        <v>0</v>
      </c>
      <c r="AG380" s="40">
        <f>VLOOKUP(B380,'Player Data'!$A1:$AE734,21,FALSE)*$Q380</f>
        <v>0</v>
      </c>
      <c r="AH380" s="41">
        <f>VLOOKUP(B380,'Player Data'!$A1:$AE734,22,FALSE)</f>
        <v>0</v>
      </c>
      <c r="AI380" s="38"/>
      <c r="AJ380" s="42"/>
      <c r="AK380" s="40"/>
      <c r="AL380" s="40"/>
      <c r="AM380" s="40"/>
      <c r="AN380" s="40"/>
      <c r="AO380" s="40"/>
      <c r="AP380" s="40"/>
      <c r="AQ380" s="43"/>
      <c r="AR380" s="44"/>
      <c r="AS380" s="38"/>
    </row>
    <row r="381" spans="1:45" ht="21.2" customHeight="1">
      <c r="A381" s="181">
        <f t="shared" si="33"/>
        <v>380</v>
      </c>
      <c r="B381" s="8" t="s">
        <v>463</v>
      </c>
      <c r="C381" s="31" t="s">
        <v>104</v>
      </c>
      <c r="D381" s="32" t="str">
        <f>VLOOKUP(B381,'Player Data'!A1:D734,4,FALSE)</f>
        <v>C</v>
      </c>
      <c r="E381" s="33">
        <f>VLOOKUP(B381,'C'!A1:C208,3,FALSE)</f>
        <v>90</v>
      </c>
      <c r="F381" s="34" t="str">
        <f>VLOOKUP(B381,'Player Data'!A1:B734,2,FALSE)</f>
        <v>TBL</v>
      </c>
      <c r="G381" s="9">
        <f>VLOOKUP(B381,'Player Data'!A1:D734,3,FALSE)</f>
        <v>26</v>
      </c>
      <c r="H381" s="35">
        <f>IFERROR(VLOOKUP(B381,ADP!A1:G731,7,FALSE)/1000000,VLOOKUP(B381,ADP!A1:G731,7,FALSE))</f>
        <v>6.0888900000000001</v>
      </c>
      <c r="I381" s="36">
        <f>IF(Settings!$E$15="POINTS",((R381*Q381)*Settings!$B$12)+(S381*Settings!$B$2)+(T381*Settings!$B$3)+(U381*Settings!$B$4)+(V381*Settings!$B$5)+(X381*Settings!$B$9)+(AA381*Settings!$B$6)+(W381*Settings!$B$8)+(AB381*Settings!$B$7)+(AC381*Settings!$B$14)+(AD381*Settings!$B$15)+(AE381*Settings!$B$16)+(AF381*Settings!$B$17)+(AG381*Settings!$B$18)+(Y381*Settings!$B$10)+(Z381*Settings!$B$11),VLOOKUP(B381,'Standard Deviations'!A1:C731,3,FALSE))</f>
        <v>0.73936425661006222</v>
      </c>
      <c r="J381" s="37">
        <f t="shared" si="34"/>
        <v>9.0166372757324656E-3</v>
      </c>
      <c r="K381" s="183">
        <f>IF(Settings!$E$18="C/LW/RW",VLOOKUP(B381,'C'!A1:F208,6,FALSE),VLOOKUP(B381,F!A1:F431,6,FALSE))</f>
        <v>-5.5976864675965405</v>
      </c>
      <c r="L381" s="36">
        <f t="shared" si="35"/>
        <v>-0.91932790173521617</v>
      </c>
      <c r="M381" s="38">
        <f>IF(Settings!$E$9="YAHOO",VLOOKUP(B381,ADP!A1:E731,2,FALSE),IF(Settings!$E$9="ESPN",VLOOKUP(B381,ADP!A1:E731,3,FALSE),IF(Settings!$E$9="FANTRAX",VLOOKUP(B381,ADP!A1:E731,4,FALSE),VLOOKUP(B381,ADP!A1:E731,5,FALSE))))</f>
        <v>417.28</v>
      </c>
      <c r="N381" s="38">
        <f t="shared" si="36"/>
        <v>37.279999999999973</v>
      </c>
      <c r="O381" s="38"/>
      <c r="P381" s="39" t="str">
        <f>IF(Settings!$E$27="ON",_xlfn.XLOOKUP(B381,ADP!A2:A731,ADP!H2:H731)," ")</f>
        <v xml:space="preserve"> </v>
      </c>
      <c r="Q381" s="40">
        <f>IF(Settings!$E$12="YES",VLOOKUP(B381,'Player Data'!A1:E734,5,FALSE),82)</f>
        <v>82</v>
      </c>
      <c r="R381" s="38">
        <f>VLOOKUP(B381,'Player Data'!$A1:$AE734,6,FALSE)</f>
        <v>17.318688559845501</v>
      </c>
      <c r="S381" s="40">
        <f>VLOOKUP(B381,'Player Data'!$A1:$AE734,7,FALSE)*$Q381*IFERROR((VLOOKUP(P381,Settings!$E$28:$F$33,2,FALSE)+1),1)</f>
        <v>17.532491805447908</v>
      </c>
      <c r="T381" s="40">
        <f>VLOOKUP(B381,'Player Data'!$A1:$AE734,8,FALSE)*$Q381*IFERROR((VLOOKUP(P381,Settings!$E$28:$F$33,2,FALSE)+1),1)</f>
        <v>26.62244161400433</v>
      </c>
      <c r="U381" s="40">
        <f t="shared" si="37"/>
        <v>44.154933419452234</v>
      </c>
      <c r="V381" s="40">
        <f>VLOOKUP(B381,'Player Data'!$A1:$AE734,10,FALSE)*$Q381*IFERROR(((VLOOKUP(P381,Settings!$E$28:$F$33,2,FALSE)/2)+1),1)</f>
        <v>156.53613071001985</v>
      </c>
      <c r="W381" s="40">
        <f>VLOOKUP(B381,'Player Data'!$A1:$AE734,11,FALSE)*$Q381*IFERROR((VLOOKUP(P381,Settings!$E$28:$F$33,2,FALSE)+1),1)</f>
        <v>2.647659801812539</v>
      </c>
      <c r="X381" s="40">
        <f>VLOOKUP(B381,'Player Data'!$A1:$AE734,12,FALSE)*$Q381*IFERROR((VLOOKUP(P381,Settings!$E$28:$F$33,2,FALSE)+1),1)</f>
        <v>6.6687881391963391</v>
      </c>
      <c r="Y381" s="40">
        <f>VLOOKUP(B381,'Player Data'!$A1:$AE734,13,FALSE)*$Q381</f>
        <v>2.2085490528859406</v>
      </c>
      <c r="Z381" s="40">
        <f>VLOOKUP(B381,'Player Data'!$A1:$AE734,14,FALSE)*$Q381</f>
        <v>2.4245758334375491</v>
      </c>
      <c r="AA381" s="40">
        <f>VLOOKUP(B381,'Player Data'!$A1:$AE734,15,FALSE)*$Q381</f>
        <v>63.640551160488357</v>
      </c>
      <c r="AB381" s="40">
        <f>VLOOKUP(B381,'Player Data'!$A1:$AE734,16,FALSE)*$Q381</f>
        <v>63.437221554578841</v>
      </c>
      <c r="AC381" s="40">
        <f>VLOOKUP(B381,'Player Data'!$A1:$AE734,17,FALSE)*$Q381*IFERROR((VLOOKUP(P381,Settings!$E$28:$F$33,2,FALSE)+1),1)</f>
        <v>0.63667021926977885</v>
      </c>
      <c r="AD381" s="40">
        <f>VLOOKUP(B381,'Player Data'!$A1:$AE734,18,FALSE)*$Q381</f>
        <v>36.904960988757061</v>
      </c>
      <c r="AE381" s="40">
        <f>VLOOKUP(B381,'Player Data'!$A1:$AE734,19,FALSE)*$Q381*IFERROR((VLOOKUP(P381,Settings!$E$28:$F$33,2,FALSE)+1),1)</f>
        <v>2.7438413362411969</v>
      </c>
      <c r="AF381" s="40">
        <f>VLOOKUP(B381,'Player Data'!$A1:$AE734,20,FALSE)*$Q381</f>
        <v>543.1166628721669</v>
      </c>
      <c r="AG381" s="40">
        <f>VLOOKUP(B381,'Player Data'!$A1:$AE734,21,FALSE)*$Q381</f>
        <v>570.62669541920934</v>
      </c>
      <c r="AH381" s="41">
        <f>VLOOKUP(B381,'Player Data'!$A1:$AE734,22,FALSE)</f>
        <v>0.48764974338915701</v>
      </c>
      <c r="AI381" s="38"/>
      <c r="AJ381" s="42"/>
      <c r="AK381" s="40"/>
      <c r="AL381" s="40"/>
      <c r="AM381" s="40"/>
      <c r="AN381" s="40"/>
      <c r="AO381" s="40"/>
      <c r="AP381" s="40"/>
      <c r="AQ381" s="43"/>
      <c r="AR381" s="44"/>
      <c r="AS381" s="38"/>
    </row>
    <row r="382" spans="1:45" ht="21.2" customHeight="1">
      <c r="A382" s="181">
        <f t="shared" si="33"/>
        <v>381</v>
      </c>
      <c r="B382" s="8" t="s">
        <v>400</v>
      </c>
      <c r="C382" s="31" t="s">
        <v>104</v>
      </c>
      <c r="D382" s="32" t="str">
        <f>VLOOKUP(B382,'Player Data'!A1:D734,4,FALSE)</f>
        <v>LW</v>
      </c>
      <c r="E382" s="48">
        <f>VLOOKUP(B382,LW!A1:C227,3,FALSE)</f>
        <v>85</v>
      </c>
      <c r="F382" s="34" t="str">
        <f>VLOOKUP(B382,'Player Data'!A1:B734,2,FALSE)</f>
        <v>PHI</v>
      </c>
      <c r="G382" s="9">
        <f>VLOOKUP(B382,'Player Data'!A1:D734,3,FALSE)</f>
        <v>23</v>
      </c>
      <c r="H382" s="35">
        <f>IFERROR(VLOOKUP(B382,ADP!A1:G731,7,FALSE)/1000000,VLOOKUP(B382,ADP!A1:G731,7,FALSE))</f>
        <v>5</v>
      </c>
      <c r="I382" s="36">
        <f>IF(Settings!$E$15="POINTS",((R382*Q382)*Settings!$B$12)+(S382*Settings!$B$2)+(T382*Settings!$B$3)+(U382*Settings!$B$4)+(V382*Settings!$B$5)+(X382*Settings!$B$9)+(AA382*Settings!$B$6)+(W382*Settings!$B$8)+(AB382*Settings!$B$7)+(AC382*Settings!$B$14)+(AD382*Settings!$B$15)+(AE382*Settings!$B$16)+(AF382*Settings!$B$17)+(AG382*Settings!$B$18)+(Y382*Settings!$B$10)+(Z382*Settings!$B$11),VLOOKUP(B382,'Standard Deviations'!A1:C731,3,FALSE))</f>
        <v>1.0440946871425323</v>
      </c>
      <c r="J382" s="37">
        <f t="shared" si="34"/>
        <v>1.2732862038323564E-2</v>
      </c>
      <c r="K382" s="183">
        <f>IF(Settings!$E$18="C/LW/RW",VLOOKUP(B382,LW!A1:F227,6,FALSE),VLOOKUP(B382,F!A1:F431,6,FALSE))</f>
        <v>-5.6105743569818687</v>
      </c>
      <c r="L382" s="36">
        <f t="shared" si="35"/>
        <v>-1.1221148713963738</v>
      </c>
      <c r="M382" s="38">
        <f>IF(Settings!$E$9="YAHOO",VLOOKUP(B382,ADP!A1:E731,2,FALSE),IF(Settings!$E$9="ESPN",VLOOKUP(B382,ADP!A1:E731,3,FALSE),IF(Settings!$E$9="FANTRAX",VLOOKUP(B382,ADP!A1:E731,4,FALSE),VLOOKUP(B382,ADP!A1:E731,5,FALSE))))</f>
        <v>417.5</v>
      </c>
      <c r="N382" s="38">
        <f t="shared" si="36"/>
        <v>36.5</v>
      </c>
      <c r="O382" s="38"/>
      <c r="P382" s="39" t="str">
        <f>IF(Settings!$E$27="ON",_xlfn.XLOOKUP(B382,ADP!A2:A731,ADP!H2:H731)," ")</f>
        <v xml:space="preserve"> </v>
      </c>
      <c r="Q382" s="40">
        <f>IF(Settings!$E$12="YES",VLOOKUP(B382,'Player Data'!A1:E734,5,FALSE),82)</f>
        <v>82</v>
      </c>
      <c r="R382" s="38">
        <f>VLOOKUP(B382,'Player Data'!$A1:$AE734,6,FALSE)</f>
        <v>17.166990350609701</v>
      </c>
      <c r="S382" s="40">
        <f>VLOOKUP(B382,'Player Data'!$A1:$AE734,7,FALSE)*$Q382*IFERROR((VLOOKUP(P382,Settings!$E$28:$F$33,2,FALSE)+1),1)</f>
        <v>20.629755119679125</v>
      </c>
      <c r="T382" s="40">
        <f>VLOOKUP(B382,'Player Data'!$A1:$AE734,8,FALSE)*$Q382*IFERROR((VLOOKUP(P382,Settings!$E$28:$F$33,2,FALSE)+1),1)</f>
        <v>26.756400744866372</v>
      </c>
      <c r="U382" s="40">
        <f t="shared" si="37"/>
        <v>47.386155864545501</v>
      </c>
      <c r="V382" s="40">
        <f>VLOOKUP(B382,'Player Data'!$A1:$AE734,10,FALSE)*$Q382*IFERROR(((VLOOKUP(P382,Settings!$E$28:$F$33,2,FALSE)/2)+1),1)</f>
        <v>155.99238947171131</v>
      </c>
      <c r="W382" s="40">
        <f>VLOOKUP(B382,'Player Data'!$A1:$AE734,11,FALSE)*$Q382*IFERROR((VLOOKUP(P382,Settings!$E$28:$F$33,2,FALSE)+1),1)</f>
        <v>1.7226462312351303</v>
      </c>
      <c r="X382" s="40">
        <f>VLOOKUP(B382,'Player Data'!$A1:$AE734,12,FALSE)*$Q382*IFERROR((VLOOKUP(P382,Settings!$E$28:$F$33,2,FALSE)+1),1)</f>
        <v>5.3196514674282307</v>
      </c>
      <c r="Y382" s="40">
        <f>VLOOKUP(B382,'Player Data'!$A1:$AE734,13,FALSE)*$Q382</f>
        <v>0.35096242086776813</v>
      </c>
      <c r="Z382" s="40">
        <f>VLOOKUP(B382,'Player Data'!$A1:$AE734,14,FALSE)*$Q382</f>
        <v>0.54986924349161159</v>
      </c>
      <c r="AA382" s="40">
        <f>VLOOKUP(B382,'Player Data'!$A1:$AE734,15,FALSE)*$Q382</f>
        <v>43.956464719655514</v>
      </c>
      <c r="AB382" s="40">
        <f>VLOOKUP(B382,'Player Data'!$A1:$AE734,16,FALSE)*$Q382</f>
        <v>77.439834386379729</v>
      </c>
      <c r="AC382" s="40">
        <f>VLOOKUP(B382,'Player Data'!$A1:$AE734,17,FALSE)*$Q382*IFERROR((VLOOKUP(P382,Settings!$E$28:$F$33,2,FALSE)+1),1)</f>
        <v>-5.3716326167793786</v>
      </c>
      <c r="AD382" s="40">
        <f>VLOOKUP(B382,'Player Data'!$A1:$AE734,18,FALSE)*$Q382</f>
        <v>43.225201570362927</v>
      </c>
      <c r="AE382" s="40">
        <f>VLOOKUP(B382,'Player Data'!$A1:$AE734,19,FALSE)*$Q382*IFERROR((VLOOKUP(P382,Settings!$E$28:$F$33,2,FALSE)+1),1)</f>
        <v>2.4249378181541887</v>
      </c>
      <c r="AF382" s="40">
        <f>VLOOKUP(B382,'Player Data'!$A1:$AE734,20,FALSE)*$Q382</f>
        <v>20.647628807598103</v>
      </c>
      <c r="AG382" s="40">
        <f>VLOOKUP(B382,'Player Data'!$A1:$AE734,21,FALSE)*$Q382</f>
        <v>39.840627336879386</v>
      </c>
      <c r="AH382" s="41">
        <f>VLOOKUP(B382,'Player Data'!$A1:$AE734,22,FALSE)</f>
        <v>0.34134938124651498</v>
      </c>
      <c r="AI382" s="38"/>
      <c r="AJ382" s="42"/>
      <c r="AK382" s="40"/>
      <c r="AL382" s="40"/>
      <c r="AM382" s="40"/>
      <c r="AN382" s="40"/>
      <c r="AO382" s="40"/>
      <c r="AP382" s="40"/>
      <c r="AQ382" s="43"/>
      <c r="AR382" s="44"/>
      <c r="AS382" s="38"/>
    </row>
    <row r="383" spans="1:45" ht="21.2" customHeight="1">
      <c r="A383" s="181">
        <f t="shared" si="33"/>
        <v>382</v>
      </c>
      <c r="B383" s="8" t="s">
        <v>435</v>
      </c>
      <c r="C383" s="31" t="s">
        <v>104</v>
      </c>
      <c r="D383" s="32" t="str">
        <f>VLOOKUP(B383,'Player Data'!A1:D734,4,FALSE)</f>
        <v>D</v>
      </c>
      <c r="E383" s="47">
        <f>VLOOKUP(B383,D!A1:C229,3,FALSE)</f>
        <v>126</v>
      </c>
      <c r="F383" s="34" t="str">
        <f>VLOOKUP(B383,'Player Data'!A1:B734,2,FALSE)</f>
        <v>BUF</v>
      </c>
      <c r="G383" s="9">
        <f>VLOOKUP(B383,'Player Data'!A1:D734,3,FALSE)</f>
        <v>28</v>
      </c>
      <c r="H383" s="35">
        <f>IFERROR(VLOOKUP(B383,ADP!A1:G731,7,FALSE)/1000000,VLOOKUP(B383,ADP!A1:G731,7,FALSE))</f>
        <v>3.3333333333333304</v>
      </c>
      <c r="I383" s="36">
        <f>IF(Settings!$E$15="POINTS",((R383*Q383)*Settings!$B$12)+(S383*Settings!$B$2)+(T383*Settings!$B$3)+(U383*Settings!$B$4)+(V383*Settings!$B$5)+(X383*Settings!$B$9)+(AA383*Settings!$B$6)+(W383*Settings!$B$8)+(AB383*Settings!$B$7)+(AC383*Settings!$B$14)+(AD383*Settings!$B$15)+(AE383*Settings!$B$16)+(AF383*Settings!$B$17)+(AG383*Settings!$B$18)+(U383*Settings!$B$13)+(Y383*Settings!$B$10)+(Z383*Settings!$B$11),VLOOKUP(B383,'Standard Deviations'!A1:C731,3,FALSE))</f>
        <v>-3.6946732168093575</v>
      </c>
      <c r="J383" s="37">
        <f t="shared" si="34"/>
        <v>-4.50569904488946E-2</v>
      </c>
      <c r="K383" s="183">
        <f>VLOOKUP(B383,D!A1:F229,6,FALSE)</f>
        <v>-5.6364137604436682</v>
      </c>
      <c r="L383" s="36">
        <f t="shared" si="35"/>
        <v>-1.690924128133102</v>
      </c>
      <c r="M383" s="38">
        <f>IF(Settings!$E$9="YAHOO",VLOOKUP(B383,ADP!A1:E731,2,FALSE),IF(Settings!$E$9="ESPN",VLOOKUP(B383,ADP!A1:E731,3,FALSE),IF(Settings!$E$9="FANTRAX",VLOOKUP(B383,ADP!A1:E731,4,FALSE),VLOOKUP(B383,ADP!A1:E731,5,FALSE))))</f>
        <v>459.52</v>
      </c>
      <c r="N383" s="38">
        <f t="shared" si="36"/>
        <v>77.519999999999982</v>
      </c>
      <c r="O383" s="38"/>
      <c r="P383" s="39" t="str">
        <f>IF(Settings!$E$27="ON",_xlfn.XLOOKUP(B383,ADP!A2:A731,ADP!H2:H731)," ")</f>
        <v xml:space="preserve"> </v>
      </c>
      <c r="Q383" s="40">
        <f>IF(Settings!$E$12="YES",VLOOKUP(B383,'Player Data'!A1:E734,5,FALSE),82)</f>
        <v>82</v>
      </c>
      <c r="R383" s="38">
        <f>VLOOKUP(B383,'Player Data'!$A1:$AE734,6,FALSE)</f>
        <v>18.658760376882</v>
      </c>
      <c r="S383" s="40">
        <f>VLOOKUP(B383,'Player Data'!$A1:$AE734,7,FALSE)*$Q383*IFERROR((VLOOKUP(P383,Settings!$E$28:$F$33,2,FALSE)+1),1)</f>
        <v>4.3955722674206914</v>
      </c>
      <c r="T383" s="40">
        <f>VLOOKUP(B383,'Player Data'!$A1:$AE734,8,FALSE)*$Q383*IFERROR((VLOOKUP(P383,Settings!$E$28:$F$33,2,FALSE)+1),1)</f>
        <v>16.847628602217799</v>
      </c>
      <c r="U383" s="40">
        <f t="shared" si="37"/>
        <v>21.243200869638493</v>
      </c>
      <c r="V383" s="40">
        <f>VLOOKUP(B383,'Player Data'!$A1:$AE734,10,FALSE)*$Q383*IFERROR(((VLOOKUP(P383,Settings!$E$28:$F$33,2,FALSE)/2)+1),1)</f>
        <v>108.70128447026374</v>
      </c>
      <c r="W383" s="40">
        <f>VLOOKUP(B383,'Player Data'!$A1:$AE734,11,FALSE)*$Q383*IFERROR((VLOOKUP(P383,Settings!$E$28:$F$33,2,FALSE)+1),1)</f>
        <v>2.439849441219534E-2</v>
      </c>
      <c r="X383" s="40">
        <f>VLOOKUP(B383,'Player Data'!$A1:$AE734,12,FALSE)*$Q383*IFERROR((VLOOKUP(P383,Settings!$E$28:$F$33,2,FALSE)+1),1)</f>
        <v>0.15434663522359138</v>
      </c>
      <c r="Y383" s="40">
        <f>VLOOKUP(B383,'Player Data'!$A1:$AE734,13,FALSE)*$Q383</f>
        <v>0.45524302218280122</v>
      </c>
      <c r="Z383" s="40">
        <f>VLOOKUP(B383,'Player Data'!$A1:$AE734,14,FALSE)*$Q383</f>
        <v>0.68927145930152223</v>
      </c>
      <c r="AA383" s="40">
        <f>VLOOKUP(B383,'Player Data'!$A1:$AE734,15,FALSE)*$Q383</f>
        <v>123.44797787383698</v>
      </c>
      <c r="AB383" s="40">
        <f>VLOOKUP(B383,'Player Data'!$A1:$AE734,16,FALSE)*$Q383</f>
        <v>205.07796863091761</v>
      </c>
      <c r="AC383" s="40">
        <f>VLOOKUP(B383,'Player Data'!$A1:$AE734,17,FALSE)*$Q383*IFERROR((VLOOKUP(P383,Settings!$E$28:$F$33,2,FALSE)+1),1)</f>
        <v>-1.5290468333049272</v>
      </c>
      <c r="AD383" s="40">
        <f>VLOOKUP(B383,'Player Data'!$A1:$AE734,18,FALSE)*$Q383</f>
        <v>58.627160882969314</v>
      </c>
      <c r="AE383" s="40">
        <f>VLOOKUP(B383,'Player Data'!$A1:$AE734,19,FALSE)*$Q383*IFERROR((VLOOKUP(P383,Settings!$E$28:$F$33,2,FALSE)+1),1)</f>
        <v>0.56271701448491873</v>
      </c>
      <c r="AF383" s="40">
        <f>VLOOKUP(B383,'Player Data'!$A1:$AE734,20,FALSE)*$Q383</f>
        <v>0</v>
      </c>
      <c r="AG383" s="40">
        <f>VLOOKUP(B383,'Player Data'!$A1:$AE734,21,FALSE)*$Q383</f>
        <v>0</v>
      </c>
      <c r="AH383" s="41">
        <f>VLOOKUP(B383,'Player Data'!$A1:$AE734,22,FALSE)</f>
        <v>0</v>
      </c>
      <c r="AI383" s="38"/>
      <c r="AJ383" s="42"/>
      <c r="AK383" s="40"/>
      <c r="AL383" s="40"/>
      <c r="AM383" s="40"/>
      <c r="AN383" s="40"/>
      <c r="AO383" s="40"/>
      <c r="AP383" s="40"/>
      <c r="AQ383" s="43"/>
      <c r="AR383" s="44"/>
      <c r="AS383" s="38"/>
    </row>
    <row r="384" spans="1:45" ht="21.2" customHeight="1">
      <c r="A384" s="181">
        <f t="shared" si="33"/>
        <v>383</v>
      </c>
      <c r="B384" s="8" t="s">
        <v>407</v>
      </c>
      <c r="C384" s="31" t="s">
        <v>104</v>
      </c>
      <c r="D384" s="32" t="str">
        <f>VLOOKUP(B384,'Player Data'!A1:D734,4,FALSE)</f>
        <v>D</v>
      </c>
      <c r="E384" s="47">
        <f>VLOOKUP(B384,D!A1:C229,3,FALSE)</f>
        <v>127</v>
      </c>
      <c r="F384" s="34" t="str">
        <f>VLOOKUP(B384,'Player Data'!A1:B734,2,FALSE)</f>
        <v>NSH</v>
      </c>
      <c r="G384" s="9">
        <f>VLOOKUP(B384,'Player Data'!A1:D734,3,FALSE)</f>
        <v>34</v>
      </c>
      <c r="H384" s="35">
        <f>IFERROR(VLOOKUP(B384,ADP!A1:G731,7,FALSE)/1000000,VLOOKUP(B384,ADP!A1:G731,7,FALSE))</f>
        <v>6.75</v>
      </c>
      <c r="I384" s="36">
        <f>IF(Settings!$E$15="POINTS",((R384*Q384)*Settings!$B$12)+(S384*Settings!$B$2)+(T384*Settings!$B$3)+(U384*Settings!$B$4)+(V384*Settings!$B$5)+(X384*Settings!$B$9)+(AA384*Settings!$B$6)+(W384*Settings!$B$8)+(AB384*Settings!$B$7)+(AC384*Settings!$B$14)+(AD384*Settings!$B$15)+(AE384*Settings!$B$16)+(AF384*Settings!$B$17)+(AG384*Settings!$B$18)+(U384*Settings!$B$13)+(Y384*Settings!$B$10)+(Z384*Settings!$B$11),VLOOKUP(B384,'Standard Deviations'!A1:C731,3,FALSE))</f>
        <v>-3.6957709241562782</v>
      </c>
      <c r="J384" s="37">
        <f t="shared" si="34"/>
        <v>-4.5070377123857051E-2</v>
      </c>
      <c r="K384" s="183">
        <f>VLOOKUP(B384,D!A1:F229,6,FALSE)</f>
        <v>-5.6375114677905884</v>
      </c>
      <c r="L384" s="36">
        <f t="shared" si="35"/>
        <v>-0.83518688411712416</v>
      </c>
      <c r="M384" s="52" t="str">
        <f>IF(Settings!$E$9="YAHOO",VLOOKUP(B384,ADP!A1:E731,2,FALSE),IF(Settings!$E$9="ESPN",VLOOKUP(B384,ADP!A1:E731,3,FALSE),IF(Settings!$E$9="FANTRAX",VLOOKUP(B384,ADP!A1:E731,4,FALSE),VLOOKUP(B384,ADP!A1:E731,5,FALSE))))</f>
        <v>-</v>
      </c>
      <c r="N384" s="52" t="str">
        <f t="shared" si="36"/>
        <v>N/A</v>
      </c>
      <c r="O384" s="38"/>
      <c r="P384" s="39" t="str">
        <f>IF(Settings!$E$27="ON",_xlfn.XLOOKUP(B384,ADP!A2:A731,ADP!H2:H731)," ")</f>
        <v xml:space="preserve"> </v>
      </c>
      <c r="Q384" s="40">
        <f>IF(Settings!$E$12="YES",VLOOKUP(B384,'Player Data'!A1:E734,5,FALSE),82)</f>
        <v>82</v>
      </c>
      <c r="R384" s="38">
        <f>VLOOKUP(B384,'Player Data'!$A1:$AE734,6,FALSE)</f>
        <v>21.193434124012398</v>
      </c>
      <c r="S384" s="40">
        <f>VLOOKUP(B384,'Player Data'!$A1:$AE734,7,FALSE)*$Q384*IFERROR((VLOOKUP(P384,Settings!$E$28:$F$33,2,FALSE)+1),1)</f>
        <v>3.6061887264692594</v>
      </c>
      <c r="T384" s="40">
        <f>VLOOKUP(B384,'Player Data'!$A1:$AE734,8,FALSE)*$Q384*IFERROR((VLOOKUP(P384,Settings!$E$28:$F$33,2,FALSE)+1),1)</f>
        <v>19.266178035963115</v>
      </c>
      <c r="U384" s="40">
        <f t="shared" si="37"/>
        <v>22.872366762432375</v>
      </c>
      <c r="V384" s="40">
        <f>VLOOKUP(B384,'Player Data'!$A1:$AE734,10,FALSE)*$Q384*IFERROR(((VLOOKUP(P384,Settings!$E$28:$F$33,2,FALSE)/2)+1),1)</f>
        <v>98.518334112836456</v>
      </c>
      <c r="W384" s="40">
        <f>VLOOKUP(B384,'Player Data'!$A1:$AE734,11,FALSE)*$Q384*IFERROR((VLOOKUP(P384,Settings!$E$28:$F$33,2,FALSE)+1),1)</f>
        <v>1.4171994326242804E-2</v>
      </c>
      <c r="X384" s="40">
        <f>VLOOKUP(B384,'Player Data'!$A1:$AE734,12,FALSE)*$Q384*IFERROR((VLOOKUP(P384,Settings!$E$28:$F$33,2,FALSE)+1),1)</f>
        <v>0.1351785538313291</v>
      </c>
      <c r="Y384" s="40">
        <f>VLOOKUP(B384,'Player Data'!$A1:$AE734,13,FALSE)*$Q384</f>
        <v>-7.6578192812967488E-2</v>
      </c>
      <c r="Z384" s="40">
        <f>VLOOKUP(B384,'Player Data'!$A1:$AE734,14,FALSE)*$Q384</f>
        <v>-0.33149683520913992</v>
      </c>
      <c r="AA384" s="40">
        <f>VLOOKUP(B384,'Player Data'!$A1:$AE734,15,FALSE)*$Q384</f>
        <v>169.78696307487706</v>
      </c>
      <c r="AB384" s="40">
        <f>VLOOKUP(B384,'Player Data'!$A1:$AE734,16,FALSE)*$Q384</f>
        <v>94.564404494219716</v>
      </c>
      <c r="AC384" s="40">
        <f>VLOOKUP(B384,'Player Data'!$A1:$AE734,17,FALSE)*$Q384*IFERROR((VLOOKUP(P384,Settings!$E$28:$F$33,2,FALSE)+1),1)</f>
        <v>-0.47471164443669489</v>
      </c>
      <c r="AD384" s="40">
        <f>VLOOKUP(B384,'Player Data'!$A1:$AE734,18,FALSE)*$Q384</f>
        <v>25.023412750953973</v>
      </c>
      <c r="AE384" s="40">
        <f>VLOOKUP(B384,'Player Data'!$A1:$AE734,19,FALSE)*$Q384*IFERROR((VLOOKUP(P384,Settings!$E$28:$F$33,2,FALSE)+1),1)</f>
        <v>0.52659787060326424</v>
      </c>
      <c r="AF384" s="40">
        <f>VLOOKUP(B384,'Player Data'!$A1:$AE734,20,FALSE)*$Q384</f>
        <v>0</v>
      </c>
      <c r="AG384" s="40">
        <f>VLOOKUP(B384,'Player Data'!$A1:$AE734,21,FALSE)*$Q384</f>
        <v>0.17194247127451923</v>
      </c>
      <c r="AH384" s="41">
        <f>VLOOKUP(B384,'Player Data'!$A1:$AE734,22,FALSE)</f>
        <v>0</v>
      </c>
      <c r="AI384" s="38"/>
      <c r="AJ384" s="40"/>
      <c r="AK384" s="40"/>
      <c r="AL384" s="40"/>
      <c r="AM384" s="40"/>
      <c r="AN384" s="40"/>
      <c r="AO384" s="40"/>
      <c r="AP384" s="40"/>
      <c r="AQ384" s="43"/>
      <c r="AR384" s="44"/>
      <c r="AS384" s="38"/>
    </row>
    <row r="385" spans="1:45" ht="21.2" customHeight="1">
      <c r="A385" s="181">
        <f t="shared" si="33"/>
        <v>384</v>
      </c>
      <c r="B385" s="8" t="s">
        <v>501</v>
      </c>
      <c r="C385" s="31" t="s">
        <v>104</v>
      </c>
      <c r="D385" s="32" t="str">
        <f>VLOOKUP(B385,'Player Data'!A1:D734,4,FALSE)</f>
        <v>C</v>
      </c>
      <c r="E385" s="33">
        <f>VLOOKUP(B385,'C'!A1:C208,3,FALSE)</f>
        <v>92</v>
      </c>
      <c r="F385" s="34" t="str">
        <f>VLOOKUP(B385,'Player Data'!A1:B734,2,FALSE)</f>
        <v>PHI</v>
      </c>
      <c r="G385" s="9">
        <f>VLOOKUP(B385,'Player Data'!A1:D734,3,FALSE)</f>
        <v>24</v>
      </c>
      <c r="H385" s="35">
        <f>IFERROR(VLOOKUP(B385,ADP!A1:G731,7,FALSE)/1000000,VLOOKUP(B385,ADP!A1:G731,7,FALSE))</f>
        <v>0</v>
      </c>
      <c r="I385" s="36">
        <f>IF(Settings!$E$15="POINTS",((R385*Q385)*Settings!$B$12)+(S385*Settings!$B$2)+(T385*Settings!$B$3)+(U385*Settings!$B$4)+(V385*Settings!$B$5)+(X385*Settings!$B$9)+(AA385*Settings!$B$6)+(W385*Settings!$B$8)+(AB385*Settings!$B$7)+(AC385*Settings!$B$14)+(AD385*Settings!$B$15)+(AE385*Settings!$B$16)+(AF385*Settings!$B$17)+(AG385*Settings!$B$18)+(Y385*Settings!$B$10)+(Z385*Settings!$B$11),VLOOKUP(B385,'Standard Deviations'!A1:C731,3,FALSE))</f>
        <v>0.68763210299067468</v>
      </c>
      <c r="J385" s="37">
        <f t="shared" si="34"/>
        <v>8.3857573535448138E-3</v>
      </c>
      <c r="K385" s="183">
        <f>IF(Settings!$E$18="C/LW/RW",VLOOKUP(B385,'C'!A1:F208,6,FALSE),VLOOKUP(B385,F!A1:F431,6,FALSE))</f>
        <v>-5.6494186212159283</v>
      </c>
      <c r="L385" s="49" t="str">
        <f t="shared" si="35"/>
        <v>N/A</v>
      </c>
      <c r="M385" s="38">
        <f>IF(Settings!$E$9="YAHOO",VLOOKUP(B385,ADP!A1:E731,2,FALSE),IF(Settings!$E$9="ESPN",VLOOKUP(B385,ADP!A1:E731,3,FALSE),IF(Settings!$E$9="FANTRAX",VLOOKUP(B385,ADP!A1:E731,4,FALSE),VLOOKUP(B385,ADP!A1:E731,5,FALSE))))</f>
        <v>223.52</v>
      </c>
      <c r="N385" s="38">
        <f t="shared" si="36"/>
        <v>-160.47999999999999</v>
      </c>
      <c r="O385" s="38"/>
      <c r="P385" s="39" t="str">
        <f>IF(Settings!$E$27="ON",_xlfn.XLOOKUP(B385,ADP!A2:A731,ADP!H2:H731)," ")</f>
        <v xml:space="preserve"> </v>
      </c>
      <c r="Q385" s="40">
        <f>IF(Settings!$E$12="YES",VLOOKUP(B385,'Player Data'!A1:E734,5,FALSE),82)</f>
        <v>82</v>
      </c>
      <c r="R385" s="38">
        <f>VLOOKUP(B385,'Player Data'!$A1:$AE734,6,FALSE)</f>
        <v>16.125493884150501</v>
      </c>
      <c r="S385" s="40">
        <f>VLOOKUP(B385,'Player Data'!$A1:$AE734,7,FALSE)*$Q385*IFERROR((VLOOKUP(P385,Settings!$E$28:$F$33,2,FALSE)+1),1)</f>
        <v>17.467385520972286</v>
      </c>
      <c r="T385" s="40">
        <f>VLOOKUP(B385,'Player Data'!$A1:$AE734,8,FALSE)*$Q385*IFERROR((VLOOKUP(P385,Settings!$E$28:$F$33,2,FALSE)+1),1)</f>
        <v>26.656155600187624</v>
      </c>
      <c r="U385" s="40">
        <f t="shared" si="37"/>
        <v>44.12354112115991</v>
      </c>
      <c r="V385" s="40">
        <f>VLOOKUP(B385,'Player Data'!$A1:$AE734,10,FALSE)*$Q385*IFERROR(((VLOOKUP(P385,Settings!$E$28:$F$33,2,FALSE)/2)+1),1)</f>
        <v>155.24850453078679</v>
      </c>
      <c r="W385" s="40">
        <f>VLOOKUP(B385,'Player Data'!$A1:$AE734,11,FALSE)*$Q385*IFERROR((VLOOKUP(P385,Settings!$E$28:$F$33,2,FALSE)+1),1)</f>
        <v>2.04517537369005</v>
      </c>
      <c r="X385" s="40">
        <f>VLOOKUP(B385,'Player Data'!$A1:$AE734,12,FALSE)*$Q385*IFERROR((VLOOKUP(P385,Settings!$E$28:$F$33,2,FALSE)+1),1)</f>
        <v>6.4197908868463012</v>
      </c>
      <c r="Y385" s="40">
        <f>VLOOKUP(B385,'Player Data'!$A1:$AE734,13,FALSE)*$Q385</f>
        <v>8.3061541683511042E-2</v>
      </c>
      <c r="Z385" s="40">
        <f>VLOOKUP(B385,'Player Data'!$A1:$AE734,14,FALSE)*$Q385</f>
        <v>0.16957903312925021</v>
      </c>
      <c r="AA385" s="40">
        <f>VLOOKUP(B385,'Player Data'!$A1:$AE734,15,FALSE)*$Q385</f>
        <v>49.754067350519961</v>
      </c>
      <c r="AB385" s="40">
        <f>VLOOKUP(B385,'Player Data'!$A1:$AE734,16,FALSE)*$Q385</f>
        <v>81.50950284404972</v>
      </c>
      <c r="AC385" s="40">
        <f>VLOOKUP(B385,'Player Data'!$A1:$AE734,17,FALSE)*$Q385*IFERROR((VLOOKUP(P385,Settings!$E$28:$F$33,2,FALSE)+1),1)</f>
        <v>-5.5181110188865627</v>
      </c>
      <c r="AD385" s="40">
        <f>VLOOKUP(B385,'Player Data'!$A1:$AE734,18,FALSE)*$Q385</f>
        <v>26.044222373795428</v>
      </c>
      <c r="AE385" s="40">
        <f>VLOOKUP(B385,'Player Data'!$A1:$AE734,19,FALSE)*$Q385*IFERROR((VLOOKUP(P385,Settings!$E$28:$F$33,2,FALSE)+1),1)</f>
        <v>2.0532150521592509</v>
      </c>
      <c r="AF385" s="40">
        <f>VLOOKUP(B385,'Player Data'!$A1:$AE734,20,FALSE)*$Q385</f>
        <v>436.88429558931182</v>
      </c>
      <c r="AG385" s="40">
        <f>VLOOKUP(B385,'Player Data'!$A1:$AE734,21,FALSE)*$Q385</f>
        <v>498.772963414233</v>
      </c>
      <c r="AH385" s="41">
        <f>VLOOKUP(B385,'Player Data'!$A1:$AE734,22,FALSE)</f>
        <v>0.46692770390579202</v>
      </c>
      <c r="AI385" s="38"/>
      <c r="AJ385" s="40"/>
      <c r="AK385" s="40"/>
      <c r="AL385" s="40"/>
      <c r="AM385" s="40"/>
      <c r="AN385" s="40"/>
      <c r="AO385" s="40"/>
      <c r="AP385" s="40"/>
      <c r="AQ385" s="43"/>
      <c r="AR385" s="44"/>
      <c r="AS385" s="38"/>
    </row>
    <row r="386" spans="1:45" ht="21.2" customHeight="1">
      <c r="A386" s="181">
        <f t="shared" ref="A386:A449" si="38">RANK(K386,K$2:K$730)</f>
        <v>385</v>
      </c>
      <c r="B386" s="8" t="s">
        <v>503</v>
      </c>
      <c r="C386" s="31" t="s">
        <v>104</v>
      </c>
      <c r="D386" s="32" t="str">
        <f>VLOOKUP(B386,'Player Data'!A1:D734,4,FALSE)</f>
        <v>LW</v>
      </c>
      <c r="E386" s="48">
        <f>VLOOKUP(B386,LW!A1:C227,3,FALSE)</f>
        <v>87</v>
      </c>
      <c r="F386" s="34" t="str">
        <f>VLOOKUP(B386,'Player Data'!A1:B734,2,FALSE)</f>
        <v>SEA</v>
      </c>
      <c r="G386" s="9">
        <f>VLOOKUP(B386,'Player Data'!A1:D734,3,FALSE)</f>
        <v>31</v>
      </c>
      <c r="H386" s="35">
        <f>IFERROR(VLOOKUP(B386,ADP!A1:G731,7,FALSE)/1000000,VLOOKUP(B386,ADP!A1:G731,7,FALSE))</f>
        <v>5.5</v>
      </c>
      <c r="I386" s="36">
        <f>IF(Settings!$E$15="POINTS",((R386*Q386)*Settings!$B$12)+(S386*Settings!$B$2)+(T386*Settings!$B$3)+(U386*Settings!$B$4)+(V386*Settings!$B$5)+(X386*Settings!$B$9)+(AA386*Settings!$B$6)+(W386*Settings!$B$8)+(AB386*Settings!$B$7)+(AC386*Settings!$B$14)+(AD386*Settings!$B$15)+(AE386*Settings!$B$16)+(AF386*Settings!$B$17)+(AG386*Settings!$B$18)+(Y386*Settings!$B$10)+(Z386*Settings!$B$11),VLOOKUP(B386,'Standard Deviations'!A1:C731,3,FALSE))</f>
        <v>0.99454939407793486</v>
      </c>
      <c r="J386" s="37">
        <f t="shared" ref="J386:J449" si="39">IF(D386="G",I386/AJ386,I386/Q386)</f>
        <v>1.2128651147291888E-2</v>
      </c>
      <c r="K386" s="183">
        <f>IF(Settings!$E$18="C/LW/RW",VLOOKUP(B386,LW!A1:F227,6,FALSE),VLOOKUP(B386,F!A1:F431,6,FALSE))</f>
        <v>-5.6601196500464663</v>
      </c>
      <c r="L386" s="36">
        <f t="shared" ref="L386:L449" si="40">IFERROR(K386/H386,"N/A")</f>
        <v>-1.029112663644812</v>
      </c>
      <c r="M386" s="38">
        <f>IF(Settings!$E$9="YAHOO",VLOOKUP(B386,ADP!A1:E731,2,FALSE),IF(Settings!$E$9="ESPN",VLOOKUP(B386,ADP!A1:E731,3,FALSE),IF(Settings!$E$9="FANTRAX",VLOOKUP(B386,ADP!A1:E731,4,FALSE),VLOOKUP(B386,ADP!A1:E731,5,FALSE))))</f>
        <v>456.5</v>
      </c>
      <c r="N386" s="38">
        <f t="shared" ref="N386:N449" si="41">IFERROR(M386-A386,"N/A")</f>
        <v>71.5</v>
      </c>
      <c r="O386" s="38"/>
      <c r="P386" s="39" t="str">
        <f>IF(Settings!$E$27="ON",_xlfn.XLOOKUP(B386,ADP!A2:A731,ADP!H2:H731)," ")</f>
        <v xml:space="preserve"> </v>
      </c>
      <c r="Q386" s="40">
        <f>IF(Settings!$E$12="YES",VLOOKUP(B386,'Player Data'!A1:E734,5,FALSE),82)</f>
        <v>82</v>
      </c>
      <c r="R386" s="38">
        <f>VLOOKUP(B386,'Player Data'!$A1:$AE734,6,FALSE)</f>
        <v>16.214526950950599</v>
      </c>
      <c r="S386" s="40">
        <f>VLOOKUP(B386,'Player Data'!$A1:$AE734,7,FALSE)*$Q386*IFERROR((VLOOKUP(P386,Settings!$E$28:$F$33,2,FALSE)+1),1)</f>
        <v>19.043871624704973</v>
      </c>
      <c r="T386" s="40">
        <f>VLOOKUP(B386,'Player Data'!$A1:$AE734,8,FALSE)*$Q386*IFERROR((VLOOKUP(P386,Settings!$E$28:$F$33,2,FALSE)+1),1)</f>
        <v>23.209313132615534</v>
      </c>
      <c r="U386" s="40">
        <f t="shared" si="37"/>
        <v>42.253184757320511</v>
      </c>
      <c r="V386" s="40">
        <f>VLOOKUP(B386,'Player Data'!$A1:$AE734,10,FALSE)*$Q386*IFERROR(((VLOOKUP(P386,Settings!$E$28:$F$33,2,FALSE)/2)+1),1)</f>
        <v>175.96340755793921</v>
      </c>
      <c r="W386" s="40">
        <f>VLOOKUP(B386,'Player Data'!$A1:$AE734,11,FALSE)*$Q386*IFERROR((VLOOKUP(P386,Settings!$E$28:$F$33,2,FALSE)+1),1)</f>
        <v>4.1484117456977101</v>
      </c>
      <c r="X386" s="40">
        <f>VLOOKUP(B386,'Player Data'!$A1:$AE734,12,FALSE)*$Q386*IFERROR((VLOOKUP(P386,Settings!$E$28:$F$33,2,FALSE)+1),1)</f>
        <v>7.8254027601930236</v>
      </c>
      <c r="Y386" s="40">
        <f>VLOOKUP(B386,'Player Data'!$A1:$AE734,13,FALSE)*$Q386</f>
        <v>5.0187178117824159E-2</v>
      </c>
      <c r="Z386" s="40">
        <f>VLOOKUP(B386,'Player Data'!$A1:$AE734,14,FALSE)*$Q386</f>
        <v>8.3149418684336993E-2</v>
      </c>
      <c r="AA386" s="40">
        <f>VLOOKUP(B386,'Player Data'!$A1:$AE734,15,FALSE)*$Q386</f>
        <v>28.976369327023331</v>
      </c>
      <c r="AB386" s="40">
        <f>VLOOKUP(B386,'Player Data'!$A1:$AE734,16,FALSE)*$Q386</f>
        <v>65.601401364281088</v>
      </c>
      <c r="AC386" s="40">
        <f>VLOOKUP(B386,'Player Data'!$A1:$AE734,17,FALSE)*$Q386*IFERROR((VLOOKUP(P386,Settings!$E$28:$F$33,2,FALSE)+1),1)</f>
        <v>-1.5300105915188436</v>
      </c>
      <c r="AD386" s="40">
        <f>VLOOKUP(B386,'Player Data'!$A1:$AE734,18,FALSE)*$Q386</f>
        <v>28.47911386384089</v>
      </c>
      <c r="AE386" s="40">
        <f>VLOOKUP(B386,'Player Data'!$A1:$AE734,19,FALSE)*$Q386*IFERROR((VLOOKUP(P386,Settings!$E$28:$F$33,2,FALSE)+1),1)</f>
        <v>2.6768251855702418</v>
      </c>
      <c r="AF386" s="40">
        <f>VLOOKUP(B386,'Player Data'!$A1:$AE734,20,FALSE)*$Q386</f>
        <v>70.499043442830313</v>
      </c>
      <c r="AG386" s="40">
        <f>VLOOKUP(B386,'Player Data'!$A1:$AE734,21,FALSE)*$Q386</f>
        <v>75.144840982862007</v>
      </c>
      <c r="AH386" s="41">
        <f>VLOOKUP(B386,'Player Data'!$A1:$AE734,22,FALSE)</f>
        <v>0.48405083207458</v>
      </c>
      <c r="AI386" s="38"/>
      <c r="AJ386" s="42"/>
      <c r="AK386" s="40"/>
      <c r="AL386" s="40"/>
      <c r="AM386" s="40"/>
      <c r="AN386" s="40"/>
      <c r="AO386" s="40"/>
      <c r="AP386" s="40"/>
      <c r="AQ386" s="43"/>
      <c r="AR386" s="44"/>
      <c r="AS386" s="38"/>
    </row>
    <row r="387" spans="1:45" ht="21.2" customHeight="1">
      <c r="A387" s="181">
        <f t="shared" si="38"/>
        <v>386</v>
      </c>
      <c r="B387" s="8" t="s">
        <v>365</v>
      </c>
      <c r="C387" s="31" t="s">
        <v>104</v>
      </c>
      <c r="D387" s="32" t="str">
        <f>VLOOKUP(B387,'Player Data'!A1:D734,4,FALSE)</f>
        <v>C,RW</v>
      </c>
      <c r="E387" s="45">
        <f>VLOOKUP(B387,RW!A1:F189,3,FALSE)</f>
        <v>90</v>
      </c>
      <c r="F387" s="34" t="str">
        <f>VLOOKUP(B387,'Player Data'!A1:B734,2,FALSE)</f>
        <v>BOS</v>
      </c>
      <c r="G387" s="9">
        <f>VLOOKUP(B387,'Player Data'!A1:D734,3,FALSE)</f>
        <v>31</v>
      </c>
      <c r="H387" s="35">
        <f>IFERROR(VLOOKUP(B387,ADP!A1:G731,7,FALSE)/1000000,VLOOKUP(B387,ADP!A1:G731,7,FALSE))</f>
        <v>5.25</v>
      </c>
      <c r="I387" s="36">
        <f>IF(Settings!$E$15="POINTS",((R387*Q387)*Settings!$B$12)+(S387*Settings!$B$2)+(T387*Settings!$B$3)+(U387*Settings!$B$4)+(V387*Settings!$B$5)+(X387*Settings!$B$9)+(AA387*Settings!$B$6)+(W387*Settings!$B$8)+(AB387*Settings!$B$7)+(AC387*Settings!$B$14)+(AD387*Settings!$B$15)+(AE387*Settings!$B$16)+(AF387*Settings!$B$17)+(AG387*Settings!$B$18)+(Y387*Settings!$B$10)+(Z387*Settings!$B$11),VLOOKUP(B387,'Standard Deviations'!A1:C731,3,FALSE))</f>
        <v>0.61619896704392985</v>
      </c>
      <c r="J387" s="37">
        <f t="shared" si="39"/>
        <v>7.5146215493162175E-3</v>
      </c>
      <c r="K387" s="183">
        <f>IF(Settings!$E$18="C/LW/RW",VLOOKUP(B387,RW!A1:F189,6,FALSE),VLOOKUP(B387,F!A1:F431,6,FALSE))</f>
        <v>-5.6640597519671507</v>
      </c>
      <c r="L387" s="36">
        <f t="shared" si="40"/>
        <v>-1.0788685241842191</v>
      </c>
      <c r="M387" s="38">
        <f>IF(Settings!$E$9="YAHOO",VLOOKUP(B387,ADP!A1:E731,2,FALSE),IF(Settings!$E$9="ESPN",VLOOKUP(B387,ADP!A1:E731,3,FALSE),IF(Settings!$E$9="FANTRAX",VLOOKUP(B387,ADP!A1:E731,4,FALSE),VLOOKUP(B387,ADP!A1:E731,5,FALSE))))</f>
        <v>409.4</v>
      </c>
      <c r="N387" s="38">
        <f t="shared" si="41"/>
        <v>23.399999999999977</v>
      </c>
      <c r="O387" s="38"/>
      <c r="P387" s="39" t="str">
        <f>IF(Settings!$E$27="ON",_xlfn.XLOOKUP(B387,ADP!A2:A731,ADP!H2:H731)," ")</f>
        <v xml:space="preserve"> </v>
      </c>
      <c r="Q387" s="40">
        <f>IF(Settings!$E$12="YES",VLOOKUP(B387,'Player Data'!A1:E734,5,FALSE),82)</f>
        <v>82</v>
      </c>
      <c r="R387" s="38">
        <f>VLOOKUP(B387,'Player Data'!$A1:$AE734,6,FALSE)</f>
        <v>18.719396489353102</v>
      </c>
      <c r="S387" s="40">
        <f>VLOOKUP(B387,'Player Data'!$A1:$AE734,7,FALSE)*$Q387*IFERROR((VLOOKUP(P387,Settings!$E$28:$F$33,2,FALSE)+1),1)</f>
        <v>16.102514606142808</v>
      </c>
      <c r="T387" s="40">
        <f>VLOOKUP(B387,'Player Data'!$A1:$AE734,8,FALSE)*$Q387*IFERROR((VLOOKUP(P387,Settings!$E$28:$F$33,2,FALSE)+1),1)</f>
        <v>29.102651300190235</v>
      </c>
      <c r="U387" s="40">
        <f t="shared" si="37"/>
        <v>45.205165906333043</v>
      </c>
      <c r="V387" s="40">
        <f>VLOOKUP(B387,'Player Data'!$A1:$AE734,10,FALSE)*$Q387*IFERROR(((VLOOKUP(P387,Settings!$E$28:$F$33,2,FALSE)/2)+1),1)</f>
        <v>152.98449877177191</v>
      </c>
      <c r="W387" s="40">
        <f>VLOOKUP(B387,'Player Data'!$A1:$AE734,11,FALSE)*$Q387*IFERROR((VLOOKUP(P387,Settings!$E$28:$F$33,2,FALSE)+1),1)</f>
        <v>1.6915973363508165</v>
      </c>
      <c r="X387" s="40">
        <f>VLOOKUP(B387,'Player Data'!$A1:$AE734,12,FALSE)*$Q387*IFERROR((VLOOKUP(P387,Settings!$E$28:$F$33,2,FALSE)+1),1)</f>
        <v>5.143466498324897</v>
      </c>
      <c r="Y387" s="40">
        <f>VLOOKUP(B387,'Player Data'!$A1:$AE734,13,FALSE)*$Q387</f>
        <v>0.46455879063822686</v>
      </c>
      <c r="Z387" s="40">
        <f>VLOOKUP(B387,'Player Data'!$A1:$AE734,14,FALSE)*$Q387</f>
        <v>2.06207281315513</v>
      </c>
      <c r="AA387" s="40">
        <f>VLOOKUP(B387,'Player Data'!$A1:$AE734,15,FALSE)*$Q387</f>
        <v>57.37018825285157</v>
      </c>
      <c r="AB387" s="40">
        <f>VLOOKUP(B387,'Player Data'!$A1:$AE734,16,FALSE)*$Q387</f>
        <v>78.648429900181625</v>
      </c>
      <c r="AC387" s="40">
        <f>VLOOKUP(B387,'Player Data'!$A1:$AE734,17,FALSE)*$Q387*IFERROR((VLOOKUP(P387,Settings!$E$28:$F$33,2,FALSE)+1),1)</f>
        <v>2.9227963316483208</v>
      </c>
      <c r="AD387" s="40">
        <f>VLOOKUP(B387,'Player Data'!$A1:$AE734,18,FALSE)*$Q387</f>
        <v>31.744670051331713</v>
      </c>
      <c r="AE387" s="40">
        <f>VLOOKUP(B387,'Player Data'!$A1:$AE734,19,FALSE)*$Q387*IFERROR((VLOOKUP(P387,Settings!$E$28:$F$33,2,FALSE)+1),1)</f>
        <v>2.7032953148609962</v>
      </c>
      <c r="AF387" s="40">
        <f>VLOOKUP(B387,'Player Data'!$A1:$AE734,20,FALSE)*$Q387</f>
        <v>564.43153252908701</v>
      </c>
      <c r="AG387" s="40">
        <f>VLOOKUP(B387,'Player Data'!$A1:$AE734,21,FALSE)*$Q387</f>
        <v>552.08556083193366</v>
      </c>
      <c r="AH387" s="41">
        <f>VLOOKUP(B387,'Player Data'!$A1:$AE734,22,FALSE)</f>
        <v>0.50552878758890696</v>
      </c>
      <c r="AI387" s="38"/>
      <c r="AJ387" s="42"/>
      <c r="AK387" s="40"/>
      <c r="AL387" s="40"/>
      <c r="AM387" s="40"/>
      <c r="AN387" s="40"/>
      <c r="AO387" s="40"/>
      <c r="AP387" s="40"/>
      <c r="AQ387" s="43"/>
      <c r="AR387" s="44"/>
      <c r="AS387" s="38"/>
    </row>
    <row r="388" spans="1:45" ht="21.2" customHeight="1">
      <c r="A388" s="181">
        <f t="shared" si="38"/>
        <v>387</v>
      </c>
      <c r="B388" s="8" t="s">
        <v>474</v>
      </c>
      <c r="C388" s="31" t="s">
        <v>104</v>
      </c>
      <c r="D388" s="32" t="str">
        <f>VLOOKUP(B388,'Player Data'!A1:D734,4,FALSE)</f>
        <v>D</v>
      </c>
      <c r="E388" s="47">
        <f>VLOOKUP(B388,D!A1:C229,3,FALSE)</f>
        <v>128</v>
      </c>
      <c r="F388" s="34" t="str">
        <f>VLOOKUP(B388,'Player Data'!A1:B734,2,FALSE)</f>
        <v>OTT</v>
      </c>
      <c r="G388" s="9">
        <f>VLOOKUP(B388,'Player Data'!A1:D734,3,FALSE)</f>
        <v>23</v>
      </c>
      <c r="H388" s="35">
        <f>IFERROR(VLOOKUP(B388,ADP!A1:G731,7,FALSE)/1000000,VLOOKUP(B388,ADP!A1:G731,7,FALSE))</f>
        <v>2</v>
      </c>
      <c r="I388" s="36">
        <f>IF(Settings!$E$15="POINTS",((R388*Q388)*Settings!$B$12)+(S388*Settings!$B$2)+(T388*Settings!$B$3)+(U388*Settings!$B$4)+(V388*Settings!$B$5)+(X388*Settings!$B$9)+(AA388*Settings!$B$6)+(W388*Settings!$B$8)+(AB388*Settings!$B$7)+(AC388*Settings!$B$14)+(AD388*Settings!$B$15)+(AE388*Settings!$B$16)+(AF388*Settings!$B$17)+(AG388*Settings!$B$18)+(U388*Settings!$B$13)+(Y388*Settings!$B$10)+(Z388*Settings!$B$11),VLOOKUP(B388,'Standard Deviations'!A1:C731,3,FALSE))</f>
        <v>-3.7226598396862283</v>
      </c>
      <c r="J388" s="37">
        <f t="shared" si="39"/>
        <v>-4.5398290727880833E-2</v>
      </c>
      <c r="K388" s="183">
        <f>VLOOKUP(B388,D!A1:F229,6,FALSE)</f>
        <v>-5.6644003833205385</v>
      </c>
      <c r="L388" s="36">
        <f t="shared" si="40"/>
        <v>-2.8322001916602693</v>
      </c>
      <c r="M388" s="52" t="str">
        <f>IF(Settings!$E$9="YAHOO",VLOOKUP(B388,ADP!A1:E731,2,FALSE),IF(Settings!$E$9="ESPN",VLOOKUP(B388,ADP!A1:E731,3,FALSE),IF(Settings!$E$9="FANTRAX",VLOOKUP(B388,ADP!A1:E731,4,FALSE),VLOOKUP(B388,ADP!A1:E731,5,FALSE))))</f>
        <v>-</v>
      </c>
      <c r="N388" s="52" t="str">
        <f t="shared" si="41"/>
        <v>N/A</v>
      </c>
      <c r="O388" s="38"/>
      <c r="P388" s="39" t="str">
        <f>IF(Settings!$E$27="ON",_xlfn.XLOOKUP(B388,ADP!A2:A731,ADP!H2:H731)," ")</f>
        <v xml:space="preserve"> </v>
      </c>
      <c r="Q388" s="40">
        <f>IF(Settings!$E$12="YES",VLOOKUP(B388,'Player Data'!A1:E734,5,FALSE),82)</f>
        <v>82</v>
      </c>
      <c r="R388" s="38">
        <f>VLOOKUP(B388,'Player Data'!$A1:$AE734,6,FALSE)</f>
        <v>17.526048239679302</v>
      </c>
      <c r="S388" s="40">
        <f>VLOOKUP(B388,'Player Data'!$A1:$AE734,7,FALSE)*$Q388*IFERROR((VLOOKUP(P388,Settings!$E$28:$F$33,2,FALSE)+1),1)</f>
        <v>2.6428570044483402</v>
      </c>
      <c r="T388" s="40">
        <f>VLOOKUP(B388,'Player Data'!$A1:$AE734,8,FALSE)*$Q388*IFERROR((VLOOKUP(P388,Settings!$E$28:$F$33,2,FALSE)+1),1)</f>
        <v>18.984028646439796</v>
      </c>
      <c r="U388" s="40">
        <f t="shared" si="37"/>
        <v>21.626885650888138</v>
      </c>
      <c r="V388" s="40">
        <f>VLOOKUP(B388,'Player Data'!$A1:$AE734,10,FALSE)*$Q388*IFERROR(((VLOOKUP(P388,Settings!$E$28:$F$33,2,FALSE)/2)+1),1)</f>
        <v>100.87336674965221</v>
      </c>
      <c r="W388" s="40">
        <f>VLOOKUP(B388,'Player Data'!$A1:$AE734,11,FALSE)*$Q388*IFERROR((VLOOKUP(P388,Settings!$E$28:$F$33,2,FALSE)+1),1)</f>
        <v>0.1137040988084204</v>
      </c>
      <c r="X388" s="40">
        <f>VLOOKUP(B388,'Player Data'!$A1:$AE734,12,FALSE)*$Q388*IFERROR((VLOOKUP(P388,Settings!$E$28:$F$33,2,FALSE)+1),1)</f>
        <v>1.1463106795110696</v>
      </c>
      <c r="Y388" s="40">
        <f>VLOOKUP(B388,'Player Data'!$A1:$AE734,13,FALSE)*$Q388</f>
        <v>5.0428330213983803E-2</v>
      </c>
      <c r="Z388" s="40">
        <f>VLOOKUP(B388,'Player Data'!$A1:$AE734,14,FALSE)*$Q388</f>
        <v>0.2612001486612951</v>
      </c>
      <c r="AA388" s="40">
        <f>VLOOKUP(B388,'Player Data'!$A1:$AE734,15,FALSE)*$Q388</f>
        <v>111.92964123603211</v>
      </c>
      <c r="AB388" s="40">
        <f>VLOOKUP(B388,'Player Data'!$A1:$AE734,16,FALSE)*$Q388</f>
        <v>74.091200071547206</v>
      </c>
      <c r="AC388" s="40">
        <f>VLOOKUP(B388,'Player Data'!$A1:$AE734,17,FALSE)*$Q388*IFERROR((VLOOKUP(P388,Settings!$E$28:$F$33,2,FALSE)+1),1)</f>
        <v>1.5641336093838833</v>
      </c>
      <c r="AD388" s="40">
        <f>VLOOKUP(B388,'Player Data'!$A1:$AE734,18,FALSE)*$Q388</f>
        <v>45.454999356834975</v>
      </c>
      <c r="AE388" s="40">
        <f>VLOOKUP(B388,'Player Data'!$A1:$AE734,19,FALSE)*$Q388*IFERROR((VLOOKUP(P388,Settings!$E$28:$F$33,2,FALSE)+1),1)</f>
        <v>0.39744845069156493</v>
      </c>
      <c r="AF388" s="40">
        <f>VLOOKUP(B388,'Player Data'!$A1:$AE734,20,FALSE)*$Q388</f>
        <v>0</v>
      </c>
      <c r="AG388" s="40">
        <f>VLOOKUP(B388,'Player Data'!$A1:$AE734,21,FALSE)*$Q388</f>
        <v>0</v>
      </c>
      <c r="AH388" s="41">
        <f>VLOOKUP(B388,'Player Data'!$A1:$AE734,22,FALSE)</f>
        <v>0</v>
      </c>
      <c r="AI388" s="38"/>
      <c r="AJ388" s="42"/>
      <c r="AK388" s="40"/>
      <c r="AL388" s="40"/>
      <c r="AM388" s="40"/>
      <c r="AN388" s="40"/>
      <c r="AO388" s="40"/>
      <c r="AP388" s="40"/>
      <c r="AQ388" s="43"/>
      <c r="AR388" s="44"/>
      <c r="AS388" s="38"/>
    </row>
    <row r="389" spans="1:45" ht="21.2" customHeight="1">
      <c r="A389" s="181">
        <f t="shared" si="38"/>
        <v>388</v>
      </c>
      <c r="B389" s="8" t="s">
        <v>412</v>
      </c>
      <c r="C389" s="31" t="s">
        <v>104</v>
      </c>
      <c r="D389" s="32" t="str">
        <f>VLOOKUP(B389,'Player Data'!A1:D734,4,FALSE)</f>
        <v>LW</v>
      </c>
      <c r="E389" s="48">
        <f>VLOOKUP(B389,LW!A1:C227,3,FALSE)</f>
        <v>89</v>
      </c>
      <c r="F389" s="34" t="str">
        <f>VLOOKUP(B389,'Player Data'!A1:B734,2,FALSE)</f>
        <v>STL</v>
      </c>
      <c r="G389" s="9">
        <f>VLOOKUP(B389,'Player Data'!A1:D734,3,FALSE)</f>
        <v>30</v>
      </c>
      <c r="H389" s="35">
        <f>IFERROR(VLOOKUP(B389,ADP!A1:G731,7,FALSE)/1000000,VLOOKUP(B389,ADP!A1:G731,7,FALSE))</f>
        <v>4.5</v>
      </c>
      <c r="I389" s="36">
        <f>IF(Settings!$E$15="POINTS",((R389*Q389)*Settings!$B$12)+(S389*Settings!$B$2)+(T389*Settings!$B$3)+(U389*Settings!$B$4)+(V389*Settings!$B$5)+(X389*Settings!$B$9)+(AA389*Settings!$B$6)+(W389*Settings!$B$8)+(AB389*Settings!$B$7)+(AC389*Settings!$B$14)+(AD389*Settings!$B$15)+(AE389*Settings!$B$16)+(AF389*Settings!$B$17)+(AG389*Settings!$B$18)+(Y389*Settings!$B$10)+(Z389*Settings!$B$11),VLOOKUP(B389,'Standard Deviations'!A1:C731,3,FALSE))</f>
        <v>0.98596496014632373</v>
      </c>
      <c r="J389" s="37">
        <f t="shared" si="39"/>
        <v>1.2023962928613704E-2</v>
      </c>
      <c r="K389" s="183">
        <f>IF(Settings!$E$18="C/LW/RW",VLOOKUP(B389,LW!A1:F227,6,FALSE),VLOOKUP(B389,F!A1:F431,6,FALSE))</f>
        <v>-5.6687040839780778</v>
      </c>
      <c r="L389" s="36">
        <f t="shared" si="40"/>
        <v>-1.2597120186617952</v>
      </c>
      <c r="M389" s="52" t="str">
        <f>IF(Settings!$E$9="YAHOO",VLOOKUP(B389,ADP!A1:E731,2,FALSE),IF(Settings!$E$9="ESPN",VLOOKUP(B389,ADP!A1:E731,3,FALSE),IF(Settings!$E$9="FANTRAX",VLOOKUP(B389,ADP!A1:E731,4,FALSE),VLOOKUP(B389,ADP!A1:E731,5,FALSE))))</f>
        <v>-</v>
      </c>
      <c r="N389" s="52" t="str">
        <f t="shared" si="41"/>
        <v>N/A</v>
      </c>
      <c r="O389" s="38"/>
      <c r="P389" s="39" t="str">
        <f>IF(Settings!$E$27="ON",_xlfn.XLOOKUP(B389,ADP!A2:A731,ADP!H2:H731)," ")</f>
        <v xml:space="preserve"> </v>
      </c>
      <c r="Q389" s="40">
        <f>IF(Settings!$E$12="YES",VLOOKUP(B389,'Player Data'!A1:E734,5,FALSE),82)</f>
        <v>82</v>
      </c>
      <c r="R389" s="38">
        <f>VLOOKUP(B389,'Player Data'!$A1:$AE734,6,FALSE)</f>
        <v>16.414531949716601</v>
      </c>
      <c r="S389" s="40">
        <f>VLOOKUP(B389,'Player Data'!$A1:$AE734,7,FALSE)*$Q389*IFERROR((VLOOKUP(P389,Settings!$E$28:$F$33,2,FALSE)+1),1)</f>
        <v>22.369331834723173</v>
      </c>
      <c r="T389" s="40">
        <f>VLOOKUP(B389,'Player Data'!$A1:$AE734,8,FALSE)*$Q389*IFERROR((VLOOKUP(P389,Settings!$E$28:$F$33,2,FALSE)+1),1)</f>
        <v>22.782085324604726</v>
      </c>
      <c r="U389" s="40">
        <f t="shared" si="37"/>
        <v>45.151417159327899</v>
      </c>
      <c r="V389" s="40">
        <f>VLOOKUP(B389,'Player Data'!$A1:$AE734,10,FALSE)*$Q389*IFERROR(((VLOOKUP(P389,Settings!$E$28:$F$33,2,FALSE)/2)+1),1)</f>
        <v>151.49003220296424</v>
      </c>
      <c r="W389" s="40">
        <f>VLOOKUP(B389,'Player Data'!$A1:$AE734,11,FALSE)*$Q389*IFERROR((VLOOKUP(P389,Settings!$E$28:$F$33,2,FALSE)+1),1)</f>
        <v>4.1799267451205626</v>
      </c>
      <c r="X389" s="40">
        <f>VLOOKUP(B389,'Player Data'!$A1:$AE734,12,FALSE)*$Q389*IFERROR((VLOOKUP(P389,Settings!$E$28:$F$33,2,FALSE)+1),1)</f>
        <v>7.6918313791913926</v>
      </c>
      <c r="Y389" s="40">
        <f>VLOOKUP(B389,'Player Data'!$A1:$AE734,13,FALSE)*$Q389</f>
        <v>1.4320998050467166</v>
      </c>
      <c r="Z389" s="40">
        <f>VLOOKUP(B389,'Player Data'!$A1:$AE734,14,FALSE)*$Q389</f>
        <v>2.6400754101217738</v>
      </c>
      <c r="AA389" s="40">
        <f>VLOOKUP(B389,'Player Data'!$A1:$AE734,15,FALSE)*$Q389</f>
        <v>32.028727918202705</v>
      </c>
      <c r="AB389" s="40">
        <f>VLOOKUP(B389,'Player Data'!$A1:$AE734,16,FALSE)*$Q389</f>
        <v>32.602648316641364</v>
      </c>
      <c r="AC389" s="40">
        <f>VLOOKUP(B389,'Player Data'!$A1:$AE734,17,FALSE)*$Q389*IFERROR((VLOOKUP(P389,Settings!$E$28:$F$33,2,FALSE)+1),1)</f>
        <v>-3.852740491767328</v>
      </c>
      <c r="AD389" s="40">
        <f>VLOOKUP(B389,'Player Data'!$A1:$AE734,18,FALSE)*$Q389</f>
        <v>18.857010917807234</v>
      </c>
      <c r="AE389" s="40">
        <f>VLOOKUP(B389,'Player Data'!$A1:$AE734,19,FALSE)*$Q389*IFERROR((VLOOKUP(P389,Settings!$E$28:$F$33,2,FALSE)+1),1)</f>
        <v>2.5741001197214968</v>
      </c>
      <c r="AF389" s="40">
        <f>VLOOKUP(B389,'Player Data'!$A1:$AE734,20,FALSE)*$Q389</f>
        <v>9.6987357128402696</v>
      </c>
      <c r="AG389" s="40">
        <f>VLOOKUP(B389,'Player Data'!$A1:$AE734,21,FALSE)*$Q389</f>
        <v>11.431629353500067</v>
      </c>
      <c r="AH389" s="41">
        <f>VLOOKUP(B389,'Player Data'!$A1:$AE734,22,FALSE)</f>
        <v>0.45899517979885202</v>
      </c>
      <c r="AI389" s="38"/>
      <c r="AJ389" s="42"/>
      <c r="AK389" s="40"/>
      <c r="AL389" s="40"/>
      <c r="AM389" s="40"/>
      <c r="AN389" s="40"/>
      <c r="AO389" s="40"/>
      <c r="AP389" s="40"/>
      <c r="AQ389" s="43"/>
      <c r="AR389" s="44"/>
      <c r="AS389" s="38"/>
    </row>
    <row r="390" spans="1:45" ht="21.2" customHeight="1">
      <c r="A390" s="181">
        <f t="shared" si="38"/>
        <v>389</v>
      </c>
      <c r="B390" s="8" t="s">
        <v>449</v>
      </c>
      <c r="C390" s="31" t="s">
        <v>104</v>
      </c>
      <c r="D390" s="32" t="str">
        <f>VLOOKUP(B390,'Player Data'!A1:D734,4,FALSE)</f>
        <v>D</v>
      </c>
      <c r="E390" s="47">
        <f>VLOOKUP(B390,D!A1:C229,3,FALSE)</f>
        <v>129</v>
      </c>
      <c r="F390" s="34" t="str">
        <f>VLOOKUP(B390,'Player Data'!A1:B734,2,FALSE)</f>
        <v>TOR</v>
      </c>
      <c r="G390" s="9">
        <f>VLOOKUP(B390,'Player Data'!A1:D734,3,FALSE)</f>
        <v>39</v>
      </c>
      <c r="H390" s="35">
        <f>IFERROR(VLOOKUP(B390,ADP!A1:G731,7,FALSE)/1000000,VLOOKUP(B390,ADP!A1:G731,7,FALSE))</f>
        <v>0.8</v>
      </c>
      <c r="I390" s="36">
        <f>IF(Settings!$E$15="POINTS",((R390*Q390)*Settings!$B$12)+(S390*Settings!$B$2)+(T390*Settings!$B$3)+(U390*Settings!$B$4)+(V390*Settings!$B$5)+(X390*Settings!$B$9)+(AA390*Settings!$B$6)+(W390*Settings!$B$8)+(AB390*Settings!$B$7)+(AC390*Settings!$B$14)+(AD390*Settings!$B$15)+(AE390*Settings!$B$16)+(AF390*Settings!$B$17)+(AG390*Settings!$B$18)+(U390*Settings!$B$13)+(Y390*Settings!$B$10)+(Z390*Settings!$B$11),VLOOKUP(B390,'Standard Deviations'!A1:C731,3,FALSE))</f>
        <v>-3.7445288511731007</v>
      </c>
      <c r="J390" s="37">
        <f t="shared" si="39"/>
        <v>-4.5664985989915863E-2</v>
      </c>
      <c r="K390" s="183">
        <f>VLOOKUP(B390,D!A1:F229,6,FALSE)</f>
        <v>-5.686269394807411</v>
      </c>
      <c r="L390" s="36">
        <f t="shared" si="40"/>
        <v>-7.1078367435092638</v>
      </c>
      <c r="M390" s="52" t="str">
        <f>IF(Settings!$E$9="YAHOO",VLOOKUP(B390,ADP!A1:E731,2,FALSE),IF(Settings!$E$9="ESPN",VLOOKUP(B390,ADP!A1:E731,3,FALSE),IF(Settings!$E$9="FANTRAX",VLOOKUP(B390,ADP!A1:E731,4,FALSE),VLOOKUP(B390,ADP!A1:E731,5,FALSE))))</f>
        <v>-</v>
      </c>
      <c r="N390" s="52" t="str">
        <f t="shared" si="41"/>
        <v>N/A</v>
      </c>
      <c r="O390" s="38"/>
      <c r="P390" s="39" t="str">
        <f>IF(Settings!$E$27="ON",_xlfn.XLOOKUP(B390,ADP!A2:A731,ADP!H2:H731)," ")</f>
        <v xml:space="preserve"> </v>
      </c>
      <c r="Q390" s="40">
        <f>IF(Settings!$E$12="YES",VLOOKUP(B390,'Player Data'!A1:E734,5,FALSE),82)</f>
        <v>82</v>
      </c>
      <c r="R390" s="38">
        <f>VLOOKUP(B390,'Player Data'!$A1:$AE734,6,FALSE)</f>
        <v>17.422282885063201</v>
      </c>
      <c r="S390" s="40">
        <f>VLOOKUP(B390,'Player Data'!$A1:$AE734,7,FALSE)*$Q390*IFERROR((VLOOKUP(P390,Settings!$E$28:$F$33,2,FALSE)+1),1)</f>
        <v>4.7261699844052378</v>
      </c>
      <c r="T390" s="40">
        <f>VLOOKUP(B390,'Player Data'!$A1:$AE734,8,FALSE)*$Q390*IFERROR((VLOOKUP(P390,Settings!$E$28:$F$33,2,FALSE)+1),1)</f>
        <v>15.510936960063136</v>
      </c>
      <c r="U390" s="40">
        <f t="shared" si="37"/>
        <v>20.237106944468373</v>
      </c>
      <c r="V390" s="40">
        <f>VLOOKUP(B390,'Player Data'!$A1:$AE734,10,FALSE)*$Q390*IFERROR(((VLOOKUP(P390,Settings!$E$28:$F$33,2,FALSE)/2)+1),1)</f>
        <v>110.76496863032605</v>
      </c>
      <c r="W390" s="40">
        <f>VLOOKUP(B390,'Player Data'!$A1:$AE734,11,FALSE)*$Q390*IFERROR((VLOOKUP(P390,Settings!$E$28:$F$33,2,FALSE)+1),1)</f>
        <v>6.2359842248019534E-2</v>
      </c>
      <c r="X390" s="40">
        <f>VLOOKUP(B390,'Player Data'!$A1:$AE734,12,FALSE)*$Q390*IFERROR((VLOOKUP(P390,Settings!$E$28:$F$33,2,FALSE)+1),1)</f>
        <v>0.40585592973657991</v>
      </c>
      <c r="Y390" s="40">
        <f>VLOOKUP(B390,'Player Data'!$A1:$AE734,13,FALSE)*$Q390</f>
        <v>0.95683412985785921</v>
      </c>
      <c r="Z390" s="40">
        <f>VLOOKUP(B390,'Player Data'!$A1:$AE734,14,FALSE)*$Q390</f>
        <v>0.6835554737533539</v>
      </c>
      <c r="AA390" s="40">
        <f>VLOOKUP(B390,'Player Data'!$A1:$AE734,15,FALSE)*$Q390</f>
        <v>137.62300585419624</v>
      </c>
      <c r="AB390" s="40">
        <f>VLOOKUP(B390,'Player Data'!$A1:$AE734,16,FALSE)*$Q390</f>
        <v>73.757400005144106</v>
      </c>
      <c r="AC390" s="40">
        <f>VLOOKUP(B390,'Player Data'!$A1:$AE734,17,FALSE)*$Q390*IFERROR((VLOOKUP(P390,Settings!$E$28:$F$33,2,FALSE)+1),1)</f>
        <v>6.3585776835487762</v>
      </c>
      <c r="AD390" s="40">
        <f>VLOOKUP(B390,'Player Data'!$A1:$AE734,18,FALSE)*$Q390</f>
        <v>39.831842269696658</v>
      </c>
      <c r="AE390" s="40">
        <f>VLOOKUP(B390,'Player Data'!$A1:$AE734,19,FALSE)*$Q390*IFERROR((VLOOKUP(P390,Settings!$E$28:$F$33,2,FALSE)+1),1)</f>
        <v>0.75925795179776168</v>
      </c>
      <c r="AF390" s="40">
        <f>VLOOKUP(B390,'Player Data'!$A1:$AE734,20,FALSE)*$Q390</f>
        <v>0</v>
      </c>
      <c r="AG390" s="40">
        <f>VLOOKUP(B390,'Player Data'!$A1:$AE734,21,FALSE)*$Q390</f>
        <v>0</v>
      </c>
      <c r="AH390" s="41">
        <f>VLOOKUP(B390,'Player Data'!$A1:$AE734,22,FALSE)</f>
        <v>0</v>
      </c>
      <c r="AI390" s="38"/>
      <c r="AJ390" s="42"/>
      <c r="AK390" s="40"/>
      <c r="AL390" s="40"/>
      <c r="AM390" s="40"/>
      <c r="AN390" s="40"/>
      <c r="AO390" s="40"/>
      <c r="AP390" s="40"/>
      <c r="AQ390" s="43"/>
      <c r="AR390" s="44"/>
      <c r="AS390" s="38"/>
    </row>
    <row r="391" spans="1:45" ht="21.2" customHeight="1">
      <c r="A391" s="181">
        <f t="shared" si="38"/>
        <v>390</v>
      </c>
      <c r="B391" s="8" t="s">
        <v>396</v>
      </c>
      <c r="C391" s="31" t="s">
        <v>104</v>
      </c>
      <c r="D391" s="32" t="str">
        <f>VLOOKUP(B391,'Player Data'!A1:D734,4,FALSE)</f>
        <v>LW,RW</v>
      </c>
      <c r="E391" s="45">
        <f>VLOOKUP(B391,RW!A1:F189,3,FALSE)</f>
        <v>91</v>
      </c>
      <c r="F391" s="34" t="str">
        <f>VLOOKUP(B391,'Player Data'!A1:B734,2,FALSE)</f>
        <v>NYR</v>
      </c>
      <c r="G391" s="9">
        <f>VLOOKUP(B391,'Player Data'!A1:D734,3,FALSE)</f>
        <v>21</v>
      </c>
      <c r="H391" s="35">
        <f>IFERROR(VLOOKUP(B391,ADP!A1:G731,7,FALSE)/1000000,VLOOKUP(B391,ADP!A1:G731,7,FALSE))</f>
        <v>0</v>
      </c>
      <c r="I391" s="36">
        <f>IF(Settings!$E$15="POINTS",((R391*Q391)*Settings!$B$12)+(S391*Settings!$B$2)+(T391*Settings!$B$3)+(U391*Settings!$B$4)+(V391*Settings!$B$5)+(X391*Settings!$B$9)+(AA391*Settings!$B$6)+(W391*Settings!$B$8)+(AB391*Settings!$B$7)+(AC391*Settings!$B$14)+(AD391*Settings!$B$15)+(AE391*Settings!$B$16)+(AF391*Settings!$B$17)+(AG391*Settings!$B$18)+(Y391*Settings!$B$10)+(Z391*Settings!$B$11),VLOOKUP(B391,'Standard Deviations'!A1:C731,3,FALSE))</f>
        <v>0.55521426503630367</v>
      </c>
      <c r="J391" s="37">
        <f t="shared" si="39"/>
        <v>6.7709056711744353E-3</v>
      </c>
      <c r="K391" s="183">
        <f>IF(Settings!$E$18="C/LW/RW",VLOOKUP(B391,RW!A1:F189,6,FALSE),VLOOKUP(B391,F!A1:F431,6,FALSE))</f>
        <v>-5.7250444539747773</v>
      </c>
      <c r="L391" s="49" t="str">
        <f t="shared" si="40"/>
        <v>N/A</v>
      </c>
      <c r="M391" s="38">
        <f>IF(Settings!$E$9="YAHOO",VLOOKUP(B391,ADP!A1:E731,2,FALSE),IF(Settings!$E$9="ESPN",VLOOKUP(B391,ADP!A1:E731,3,FALSE),IF(Settings!$E$9="FANTRAX",VLOOKUP(B391,ADP!A1:E731,4,FALSE),VLOOKUP(B391,ADP!A1:E731,5,FALSE))))</f>
        <v>235.35</v>
      </c>
      <c r="N391" s="38">
        <f t="shared" si="41"/>
        <v>-154.65</v>
      </c>
      <c r="O391" s="38"/>
      <c r="P391" s="39" t="str">
        <f>IF(Settings!$E$27="ON",_xlfn.XLOOKUP(B391,ADP!A2:A731,ADP!H2:H731)," ")</f>
        <v>+</v>
      </c>
      <c r="Q391" s="40">
        <f>IF(Settings!$E$12="YES",VLOOKUP(B391,'Player Data'!A1:E734,5,FALSE),82)</f>
        <v>82</v>
      </c>
      <c r="R391" s="38">
        <f>VLOOKUP(B391,'Player Data'!$A1:$AE734,6,FALSE)</f>
        <v>15.339075122421701</v>
      </c>
      <c r="S391" s="40">
        <f>VLOOKUP(B391,'Player Data'!$A1:$AE734,7,FALSE)*$Q391*IFERROR((VLOOKUP(P391,Settings!$E$28:$F$33,2,FALSE)+1),1)</f>
        <v>21.246683348876225</v>
      </c>
      <c r="T391" s="40">
        <f>VLOOKUP(B391,'Player Data'!$A1:$AE734,8,FALSE)*$Q391*IFERROR((VLOOKUP(P391,Settings!$E$28:$F$33,2,FALSE)+1),1)</f>
        <v>23.378269314655228</v>
      </c>
      <c r="U391" s="40">
        <f t="shared" si="37"/>
        <v>44.624952663531452</v>
      </c>
      <c r="V391" s="40">
        <f>VLOOKUP(B391,'Player Data'!$A1:$AE734,10,FALSE)*$Q391*IFERROR(((VLOOKUP(P391,Settings!$E$28:$F$33,2,FALSE)/2)+1),1)</f>
        <v>144.8871463331358</v>
      </c>
      <c r="W391" s="40">
        <f>VLOOKUP(B391,'Player Data'!$A1:$AE734,11,FALSE)*$Q391*IFERROR((VLOOKUP(P391,Settings!$E$28:$F$33,2,FALSE)+1),1)</f>
        <v>2.7631528587151442</v>
      </c>
      <c r="X391" s="40">
        <f>VLOOKUP(B391,'Player Data'!$A1:$AE734,12,FALSE)*$Q391*IFERROR((VLOOKUP(P391,Settings!$E$28:$F$33,2,FALSE)+1),1)</f>
        <v>5.3721748784634196</v>
      </c>
      <c r="Y391" s="40">
        <f>VLOOKUP(B391,'Player Data'!$A1:$AE734,13,FALSE)*$Q391</f>
        <v>1.9201224584595802E-2</v>
      </c>
      <c r="Z391" s="40">
        <f>VLOOKUP(B391,'Player Data'!$A1:$AE734,14,FALSE)*$Q391</f>
        <v>3.9103876562023583E-2</v>
      </c>
      <c r="AA391" s="40">
        <f>VLOOKUP(B391,'Player Data'!$A1:$AE734,15,FALSE)*$Q391</f>
        <v>29.728346553983574</v>
      </c>
      <c r="AB391" s="40">
        <f>VLOOKUP(B391,'Player Data'!$A1:$AE734,16,FALSE)*$Q391</f>
        <v>130.69775424556394</v>
      </c>
      <c r="AC391" s="40">
        <f>VLOOKUP(B391,'Player Data'!$A1:$AE734,17,FALSE)*$Q391*IFERROR((VLOOKUP(P391,Settings!$E$28:$F$33,2,FALSE)+1),1)</f>
        <v>4.3947522283921208</v>
      </c>
      <c r="AD391" s="40">
        <f>VLOOKUP(B391,'Player Data'!$A1:$AE734,18,FALSE)*$Q391</f>
        <v>32.443092834598772</v>
      </c>
      <c r="AE391" s="40">
        <f>VLOOKUP(B391,'Player Data'!$A1:$AE734,19,FALSE)*$Q391*IFERROR((VLOOKUP(P391,Settings!$E$28:$F$33,2,FALSE)+1),1)</f>
        <v>3.6203951671557206</v>
      </c>
      <c r="AF391" s="40">
        <f>VLOOKUP(B391,'Player Data'!$A1:$AE734,20,FALSE)*$Q391</f>
        <v>25.092298563035413</v>
      </c>
      <c r="AG391" s="40">
        <f>VLOOKUP(B391,'Player Data'!$A1:$AE734,21,FALSE)*$Q391</f>
        <v>46.525753421905087</v>
      </c>
      <c r="AH391" s="41">
        <f>VLOOKUP(B391,'Player Data'!$A1:$AE734,22,FALSE)</f>
        <v>0.35036276284520701</v>
      </c>
      <c r="AI391" s="38"/>
      <c r="AJ391" s="42"/>
      <c r="AK391" s="40"/>
      <c r="AL391" s="40"/>
      <c r="AM391" s="40"/>
      <c r="AN391" s="40"/>
      <c r="AO391" s="40"/>
      <c r="AP391" s="40"/>
      <c r="AQ391" s="43"/>
      <c r="AR391" s="44"/>
      <c r="AS391" s="38"/>
    </row>
    <row r="392" spans="1:45" ht="21.2" customHeight="1">
      <c r="A392" s="181">
        <f t="shared" si="38"/>
        <v>391</v>
      </c>
      <c r="B392" s="8" t="s">
        <v>388</v>
      </c>
      <c r="C392" s="31" t="s">
        <v>104</v>
      </c>
      <c r="D392" s="32" t="str">
        <f>VLOOKUP(B392,'Player Data'!A1:D734,4,FALSE)</f>
        <v>C,LW</v>
      </c>
      <c r="E392" s="45">
        <f>VLOOKUP(B392,LW!A1:C227,3,FALSE)</f>
        <v>90</v>
      </c>
      <c r="F392" s="34" t="str">
        <f>VLOOKUP(B392,'Player Data'!A1:B734,2,FALSE)</f>
        <v>PHI</v>
      </c>
      <c r="G392" s="9">
        <f>VLOOKUP(B392,'Player Data'!A1:D734,3,FALSE)</f>
        <v>29</v>
      </c>
      <c r="H392" s="35">
        <f>IFERROR(VLOOKUP(B392,ADP!A1:G731,7,FALSE)/1000000,VLOOKUP(B392,ADP!A1:G731,7,FALSE))</f>
        <v>3</v>
      </c>
      <c r="I392" s="36">
        <f>IF(Settings!$E$15="POINTS",((R392*Q392)*Settings!$B$12)+(S392*Settings!$B$2)+(T392*Settings!$B$3)+(U392*Settings!$B$4)+(V392*Settings!$B$5)+(X392*Settings!$B$9)+(AA392*Settings!$B$6)+(W392*Settings!$B$8)+(AB392*Settings!$B$7)+(AC392*Settings!$B$14)+(AD392*Settings!$B$15)+(AE392*Settings!$B$16)+(AF392*Settings!$B$17)+(AG392*Settings!$B$18)+(Y392*Settings!$B$10)+(Z392*Settings!$B$11),VLOOKUP(B392,'Standard Deviations'!A1:C731,3,FALSE))</f>
        <v>0.92653645545850416</v>
      </c>
      <c r="J392" s="37">
        <f t="shared" si="39"/>
        <v>1.1299225066567125E-2</v>
      </c>
      <c r="K392" s="183">
        <f>IF(Settings!$E$18="C/LW/RW",VLOOKUP(B392,LW!A1:F227,6,FALSE),VLOOKUP(B392,F!A1:F431,6,FALSE))</f>
        <v>-5.7281325886658969</v>
      </c>
      <c r="L392" s="36">
        <f t="shared" si="40"/>
        <v>-1.909377529555299</v>
      </c>
      <c r="M392" s="38">
        <f>IF(Settings!$E$9="YAHOO",VLOOKUP(B392,ADP!A1:E731,2,FALSE),IF(Settings!$E$9="ESPN",VLOOKUP(B392,ADP!A1:E731,3,FALSE),IF(Settings!$E$9="FANTRAX",VLOOKUP(B392,ADP!A1:E731,4,FALSE),VLOOKUP(B392,ADP!A1:E731,5,FALSE))))</f>
        <v>244.77</v>
      </c>
      <c r="N392" s="38">
        <f t="shared" si="41"/>
        <v>-146.22999999999999</v>
      </c>
      <c r="O392" s="38"/>
      <c r="P392" s="39" t="str">
        <f>IF(Settings!$E$27="ON",_xlfn.XLOOKUP(B392,ADP!A2:A731,ADP!H2:H731)," ")</f>
        <v xml:space="preserve"> </v>
      </c>
      <c r="Q392" s="40">
        <f>IF(Settings!$E$12="YES",VLOOKUP(B392,'Player Data'!A1:E734,5,FALSE),82)</f>
        <v>82</v>
      </c>
      <c r="R392" s="38">
        <f>VLOOKUP(B392,'Player Data'!$A1:$AE734,6,FALSE)</f>
        <v>17.653290222509799</v>
      </c>
      <c r="S392" s="40">
        <f>VLOOKUP(B392,'Player Data'!$A1:$AE734,7,FALSE)*$Q392*IFERROR((VLOOKUP(P392,Settings!$E$28:$F$33,2,FALSE)+1),1)</f>
        <v>17.611536090616585</v>
      </c>
      <c r="T392" s="40">
        <f>VLOOKUP(B392,'Player Data'!$A1:$AE734,8,FALSE)*$Q392*IFERROR((VLOOKUP(P392,Settings!$E$28:$F$33,2,FALSE)+1),1)</f>
        <v>25.447150504107494</v>
      </c>
      <c r="U392" s="40">
        <f t="shared" si="37"/>
        <v>43.05868659472408</v>
      </c>
      <c r="V392" s="40">
        <f>VLOOKUP(B392,'Player Data'!$A1:$AE734,10,FALSE)*$Q392*IFERROR(((VLOOKUP(P392,Settings!$E$28:$F$33,2,FALSE)/2)+1),1)</f>
        <v>168.81539851411472</v>
      </c>
      <c r="W392" s="40">
        <f>VLOOKUP(B392,'Player Data'!$A1:$AE734,11,FALSE)*$Q392*IFERROR((VLOOKUP(P392,Settings!$E$28:$F$33,2,FALSE)+1),1)</f>
        <v>4.1206276946744307</v>
      </c>
      <c r="X392" s="40">
        <f>VLOOKUP(B392,'Player Data'!$A1:$AE734,12,FALSE)*$Q392*IFERROR((VLOOKUP(P392,Settings!$E$28:$F$33,2,FALSE)+1),1)</f>
        <v>7.7384254965134565</v>
      </c>
      <c r="Y392" s="40">
        <f>VLOOKUP(B392,'Player Data'!$A1:$AE734,13,FALSE)*$Q392</f>
        <v>2.4418510437437595</v>
      </c>
      <c r="Z392" s="40">
        <f>VLOOKUP(B392,'Player Data'!$A1:$AE734,14,FALSE)*$Q392</f>
        <v>4.6342319991016812</v>
      </c>
      <c r="AA392" s="40">
        <f>VLOOKUP(B392,'Player Data'!$A1:$AE734,15,FALSE)*$Q392</f>
        <v>56.014722454629194</v>
      </c>
      <c r="AB392" s="40">
        <f>VLOOKUP(B392,'Player Data'!$A1:$AE734,16,FALSE)*$Q392</f>
        <v>158.27656198525426</v>
      </c>
      <c r="AC392" s="40">
        <f>VLOOKUP(B392,'Player Data'!$A1:$AE734,17,FALSE)*$Q392*IFERROR((VLOOKUP(P392,Settings!$E$28:$F$33,2,FALSE)+1),1)</f>
        <v>-6.2237892485065487</v>
      </c>
      <c r="AD392" s="40">
        <f>VLOOKUP(B392,'Player Data'!$A1:$AE734,18,FALSE)*$Q392</f>
        <v>42.809100441626804</v>
      </c>
      <c r="AE392" s="40">
        <f>VLOOKUP(B392,'Player Data'!$A1:$AE734,19,FALSE)*$Q392*IFERROR((VLOOKUP(P392,Settings!$E$28:$F$33,2,FALSE)+1),1)</f>
        <v>2.0701593234708175</v>
      </c>
      <c r="AF392" s="40">
        <f>VLOOKUP(B392,'Player Data'!$A1:$AE734,20,FALSE)*$Q392</f>
        <v>514.26942021604737</v>
      </c>
      <c r="AG392" s="40">
        <f>VLOOKUP(B392,'Player Data'!$A1:$AE734,21,FALSE)*$Q392</f>
        <v>539.65782309147971</v>
      </c>
      <c r="AH392" s="41">
        <f>VLOOKUP(B392,'Player Data'!$A1:$AE734,22,FALSE)</f>
        <v>0.48795533418618298</v>
      </c>
      <c r="AI392" s="38"/>
      <c r="AJ392" s="42"/>
      <c r="AK392" s="40"/>
      <c r="AL392" s="40"/>
      <c r="AM392" s="40"/>
      <c r="AN392" s="40"/>
      <c r="AO392" s="40"/>
      <c r="AP392" s="40"/>
      <c r="AQ392" s="43"/>
      <c r="AR392" s="44"/>
      <c r="AS392" s="38"/>
    </row>
    <row r="393" spans="1:45" ht="21.2" customHeight="1">
      <c r="A393" s="181">
        <f t="shared" si="38"/>
        <v>392</v>
      </c>
      <c r="B393" s="8" t="s">
        <v>527</v>
      </c>
      <c r="C393" s="31" t="s">
        <v>104</v>
      </c>
      <c r="D393" s="32" t="str">
        <f>VLOOKUP(B393,'Player Data'!A1:D734,4,FALSE)</f>
        <v>C</v>
      </c>
      <c r="E393" s="33">
        <f>VLOOKUP(B393,'C'!A1:C208,3,FALSE)</f>
        <v>95</v>
      </c>
      <c r="F393" s="34" t="str">
        <f>VLOOKUP(B393,'Player Data'!A1:B734,2,FALSE)</f>
        <v>COL</v>
      </c>
      <c r="G393" s="9">
        <f>VLOOKUP(B393,'Player Data'!A1:D734,3,FALSE)</f>
        <v>31</v>
      </c>
      <c r="H393" s="35">
        <f>IFERROR(VLOOKUP(B393,ADP!A1:G731,7,FALSE)/1000000,VLOOKUP(B393,ADP!A1:G731,7,FALSE))</f>
        <v>4</v>
      </c>
      <c r="I393" s="36">
        <f>IF(Settings!$E$15="POINTS",((R393*Q393)*Settings!$B$12)+(S393*Settings!$B$2)+(T393*Settings!$B$3)+(U393*Settings!$B$4)+(V393*Settings!$B$5)+(X393*Settings!$B$9)+(AA393*Settings!$B$6)+(W393*Settings!$B$8)+(AB393*Settings!$B$7)+(AC393*Settings!$B$14)+(AD393*Settings!$B$15)+(AE393*Settings!$B$16)+(AF393*Settings!$B$17)+(AG393*Settings!$B$18)+(Y393*Settings!$B$10)+(Z393*Settings!$B$11),VLOOKUP(B393,'Standard Deviations'!A1:C731,3,FALSE))</f>
        <v>0.60828126035906882</v>
      </c>
      <c r="J393" s="37">
        <f t="shared" si="39"/>
        <v>7.4180641507203514E-3</v>
      </c>
      <c r="K393" s="183">
        <f>IF(Settings!$E$18="C/LW/RW",VLOOKUP(B393,'C'!A1:F208,6,FALSE),VLOOKUP(B393,F!A1:F431,6,FALSE))</f>
        <v>-5.7287694638475344</v>
      </c>
      <c r="L393" s="36">
        <f t="shared" si="40"/>
        <v>-1.4321923659618836</v>
      </c>
      <c r="M393" s="38">
        <f>IF(Settings!$E$9="YAHOO",VLOOKUP(B393,ADP!A1:E731,2,FALSE),IF(Settings!$E$9="ESPN",VLOOKUP(B393,ADP!A1:E731,3,FALSE),IF(Settings!$E$9="FANTRAX",VLOOKUP(B393,ADP!A1:E731,4,FALSE),VLOOKUP(B393,ADP!A1:E731,5,FALSE))))</f>
        <v>327.5</v>
      </c>
      <c r="N393" s="38">
        <f t="shared" si="41"/>
        <v>-64.5</v>
      </c>
      <c r="O393" s="38"/>
      <c r="P393" s="39" t="str">
        <f>IF(Settings!$E$27="ON",_xlfn.XLOOKUP(B393,ADP!A2:A731,ADP!H2:H731)," ")</f>
        <v xml:space="preserve"> </v>
      </c>
      <c r="Q393" s="40">
        <f>IF(Settings!$E$12="YES",VLOOKUP(B393,'Player Data'!A1:E734,5,FALSE),82)</f>
        <v>82</v>
      </c>
      <c r="R393" s="38">
        <f>VLOOKUP(B393,'Player Data'!$A1:$AE734,6,FALSE)</f>
        <v>15.568644361031099</v>
      </c>
      <c r="S393" s="40">
        <f>VLOOKUP(B393,'Player Data'!$A1:$AE734,7,FALSE)*$Q393*IFERROR((VLOOKUP(P393,Settings!$E$28:$F$33,2,FALSE)+1),1)</f>
        <v>16.696984817124509</v>
      </c>
      <c r="T393" s="40">
        <f>VLOOKUP(B393,'Player Data'!$A1:$AE734,8,FALSE)*$Q393*IFERROR((VLOOKUP(P393,Settings!$E$28:$F$33,2,FALSE)+1),1)</f>
        <v>25.946220429848779</v>
      </c>
      <c r="U393" s="40">
        <f t="shared" si="37"/>
        <v>42.643205246973288</v>
      </c>
      <c r="V393" s="40">
        <f>VLOOKUP(B393,'Player Data'!$A1:$AE734,10,FALSE)*$Q393*IFERROR(((VLOOKUP(P393,Settings!$E$28:$F$33,2,FALSE)/2)+1),1)</f>
        <v>127.57135510862892</v>
      </c>
      <c r="W393" s="40">
        <f>VLOOKUP(B393,'Player Data'!$A1:$AE734,11,FALSE)*$Q393*IFERROR((VLOOKUP(P393,Settings!$E$28:$F$33,2,FALSE)+1),1)</f>
        <v>5.4129144357989283</v>
      </c>
      <c r="X393" s="40">
        <f>VLOOKUP(B393,'Player Data'!$A1:$AE734,12,FALSE)*$Q393*IFERROR((VLOOKUP(P393,Settings!$E$28:$F$33,2,FALSE)+1),1)</f>
        <v>12.166064410781669</v>
      </c>
      <c r="Y393" s="40">
        <f>VLOOKUP(B393,'Player Data'!$A1:$AE734,13,FALSE)*$Q393</f>
        <v>1.0443244568917027E-2</v>
      </c>
      <c r="Z393" s="40">
        <f>VLOOKUP(B393,'Player Data'!$A1:$AE734,14,FALSE)*$Q393</f>
        <v>1.7994956386523705E-2</v>
      </c>
      <c r="AA393" s="40">
        <f>VLOOKUP(B393,'Player Data'!$A1:$AE734,15,FALSE)*$Q393</f>
        <v>33.343271199813088</v>
      </c>
      <c r="AB393" s="40">
        <f>VLOOKUP(B393,'Player Data'!$A1:$AE734,16,FALSE)*$Q393</f>
        <v>78.18394690486484</v>
      </c>
      <c r="AC393" s="40">
        <f>VLOOKUP(B393,'Player Data'!$A1:$AE734,17,FALSE)*$Q393*IFERROR((VLOOKUP(P393,Settings!$E$28:$F$33,2,FALSE)+1),1)</f>
        <v>3.8475040924110337</v>
      </c>
      <c r="AD393" s="40">
        <f>VLOOKUP(B393,'Player Data'!$A1:$AE734,18,FALSE)*$Q393</f>
        <v>43.657289424847562</v>
      </c>
      <c r="AE393" s="40">
        <f>VLOOKUP(B393,'Player Data'!$A1:$AE734,19,FALSE)*$Q393*IFERROR((VLOOKUP(P393,Settings!$E$28:$F$33,2,FALSE)+1),1)</f>
        <v>2.6417145671961975</v>
      </c>
      <c r="AF393" s="40">
        <f>VLOOKUP(B393,'Player Data'!$A1:$AE734,20,FALSE)*$Q393</f>
        <v>690.7911252593774</v>
      </c>
      <c r="AG393" s="40">
        <f>VLOOKUP(B393,'Player Data'!$A1:$AE734,21,FALSE)*$Q393</f>
        <v>571.61773756568095</v>
      </c>
      <c r="AH393" s="41">
        <f>VLOOKUP(B393,'Player Data'!$A1:$AE734,22,FALSE)</f>
        <v>0.54720078858881205</v>
      </c>
      <c r="AI393" s="38"/>
      <c r="AJ393" s="42"/>
      <c r="AK393" s="40"/>
      <c r="AL393" s="40"/>
      <c r="AM393" s="40"/>
      <c r="AN393" s="40"/>
      <c r="AO393" s="40"/>
      <c r="AP393" s="40"/>
      <c r="AQ393" s="43"/>
      <c r="AR393" s="44"/>
      <c r="AS393" s="38"/>
    </row>
    <row r="394" spans="1:45" ht="21.2" customHeight="1">
      <c r="A394" s="181">
        <f t="shared" si="38"/>
        <v>393</v>
      </c>
      <c r="B394" s="8" t="s">
        <v>452</v>
      </c>
      <c r="C394" s="31" t="s">
        <v>104</v>
      </c>
      <c r="D394" s="32" t="str">
        <f>VLOOKUP(B394,'Player Data'!A1:D734,4,FALSE)</f>
        <v>D</v>
      </c>
      <c r="E394" s="47">
        <f>VLOOKUP(B394,D!A1:C229,3,FALSE)</f>
        <v>130</v>
      </c>
      <c r="F394" s="34" t="str">
        <f>VLOOKUP(B394,'Player Data'!A1:B734,2,FALSE)</f>
        <v>OTT</v>
      </c>
      <c r="G394" s="9">
        <f>VLOOKUP(B394,'Player Data'!A1:D734,3,FALSE)</f>
        <v>33</v>
      </c>
      <c r="H394" s="35">
        <f>IFERROR(VLOOKUP(B394,ADP!A1:G731,7,FALSE)/1000000,VLOOKUP(B394,ADP!A1:G731,7,FALSE))</f>
        <v>1.1000000000000001</v>
      </c>
      <c r="I394" s="36">
        <f>IF(Settings!$E$15="POINTS",((R394*Q394)*Settings!$B$12)+(S394*Settings!$B$2)+(T394*Settings!$B$3)+(U394*Settings!$B$4)+(V394*Settings!$B$5)+(X394*Settings!$B$9)+(AA394*Settings!$B$6)+(W394*Settings!$B$8)+(AB394*Settings!$B$7)+(AC394*Settings!$B$14)+(AD394*Settings!$B$15)+(AE394*Settings!$B$16)+(AF394*Settings!$B$17)+(AG394*Settings!$B$18)+(U394*Settings!$B$13)+(Y394*Settings!$B$10)+(Z394*Settings!$B$11),VLOOKUP(B394,'Standard Deviations'!A1:C731,3,FALSE))</f>
        <v>-3.7992446915309386</v>
      </c>
      <c r="J394" s="37">
        <f t="shared" si="39"/>
        <v>-4.6332252335743153E-2</v>
      </c>
      <c r="K394" s="183">
        <f>VLOOKUP(B394,D!A1:F229,6,FALSE)</f>
        <v>-5.7409852351652493</v>
      </c>
      <c r="L394" s="36">
        <f t="shared" si="40"/>
        <v>-5.2190774865138625</v>
      </c>
      <c r="M394" s="38">
        <f>IF(Settings!$E$9="YAHOO",VLOOKUP(B394,ADP!A1:E731,2,FALSE),IF(Settings!$E$9="ESPN",VLOOKUP(B394,ADP!A1:E731,3,FALSE),IF(Settings!$E$9="FANTRAX",VLOOKUP(B394,ADP!A1:E731,4,FALSE),VLOOKUP(B394,ADP!A1:E731,5,FALSE))))</f>
        <v>1224.5999999999999</v>
      </c>
      <c r="N394" s="38">
        <f t="shared" si="41"/>
        <v>831.59999999999991</v>
      </c>
      <c r="O394" s="38"/>
      <c r="P394" s="39" t="str">
        <f>IF(Settings!$E$27="ON",_xlfn.XLOOKUP(B394,ADP!A2:A731,ADP!H2:H731)," ")</f>
        <v xml:space="preserve"> </v>
      </c>
      <c r="Q394" s="40">
        <f>IF(Settings!$E$12="YES",VLOOKUP(B394,'Player Data'!A1:E734,5,FALSE),82)</f>
        <v>82</v>
      </c>
      <c r="R394" s="38">
        <f>VLOOKUP(B394,'Player Data'!$A1:$AE734,6,FALSE)</f>
        <v>17.3739744120479</v>
      </c>
      <c r="S394" s="40">
        <f>VLOOKUP(B394,'Player Data'!$A1:$AE734,7,FALSE)*$Q394*IFERROR((VLOOKUP(P394,Settings!$E$28:$F$33,2,FALSE)+1),1)</f>
        <v>4.9393461345377618</v>
      </c>
      <c r="T394" s="40">
        <f>VLOOKUP(B394,'Player Data'!$A1:$AE734,8,FALSE)*$Q394*IFERROR((VLOOKUP(P394,Settings!$E$28:$F$33,2,FALSE)+1),1)</f>
        <v>12.121317571796066</v>
      </c>
      <c r="U394" s="40">
        <f t="shared" si="37"/>
        <v>17.060663706333827</v>
      </c>
      <c r="V394" s="40">
        <f>VLOOKUP(B394,'Player Data'!$A1:$AE734,10,FALSE)*$Q394*IFERROR(((VLOOKUP(P394,Settings!$E$28:$F$33,2,FALSE)/2)+1),1)</f>
        <v>130.08156781473872</v>
      </c>
      <c r="W394" s="40">
        <f>VLOOKUP(B394,'Player Data'!$A1:$AE734,11,FALSE)*$Q394*IFERROR((VLOOKUP(P394,Settings!$E$28:$F$33,2,FALSE)+1),1)</f>
        <v>2.6160869912541997E-2</v>
      </c>
      <c r="X394" s="40">
        <f>VLOOKUP(B394,'Player Data'!$A1:$AE734,12,FALSE)*$Q394*IFERROR((VLOOKUP(P394,Settings!$E$28:$F$33,2,FALSE)+1),1)</f>
        <v>0.27364454279069977</v>
      </c>
      <c r="Y394" s="40">
        <f>VLOOKUP(B394,'Player Data'!$A1:$AE734,13,FALSE)*$Q394</f>
        <v>-5.7573937246483034E-2</v>
      </c>
      <c r="Z394" s="40">
        <f>VLOOKUP(B394,'Player Data'!$A1:$AE734,14,FALSE)*$Q394</f>
        <v>1.1442034989028076</v>
      </c>
      <c r="AA394" s="40">
        <f>VLOOKUP(B394,'Player Data'!$A1:$AE734,15,FALSE)*$Q394</f>
        <v>143.15377763536037</v>
      </c>
      <c r="AB394" s="40">
        <f>VLOOKUP(B394,'Player Data'!$A1:$AE734,16,FALSE)*$Q394</f>
        <v>116.71655588517693</v>
      </c>
      <c r="AC394" s="40">
        <f>VLOOKUP(B394,'Player Data'!$A1:$AE734,17,FALSE)*$Q394*IFERROR((VLOOKUP(P394,Settings!$E$28:$F$33,2,FALSE)+1),1)</f>
        <v>-0.59137034873093963</v>
      </c>
      <c r="AD394" s="40">
        <f>VLOOKUP(B394,'Player Data'!$A1:$AE734,18,FALSE)*$Q394</f>
        <v>49.079050105847237</v>
      </c>
      <c r="AE394" s="40">
        <f>VLOOKUP(B394,'Player Data'!$A1:$AE734,19,FALSE)*$Q394*IFERROR((VLOOKUP(P394,Settings!$E$28:$F$33,2,FALSE)+1),1)</f>
        <v>0.74280805404800121</v>
      </c>
      <c r="AF394" s="40">
        <f>VLOOKUP(B394,'Player Data'!$A1:$AE734,20,FALSE)*$Q394</f>
        <v>0</v>
      </c>
      <c r="AG394" s="40">
        <f>VLOOKUP(B394,'Player Data'!$A1:$AE734,21,FALSE)*$Q394</f>
        <v>0.17148691531559382</v>
      </c>
      <c r="AH394" s="41">
        <f>VLOOKUP(B394,'Player Data'!$A1:$AE734,22,FALSE)</f>
        <v>0</v>
      </c>
      <c r="AI394" s="38"/>
      <c r="AJ394" s="42"/>
      <c r="AK394" s="40"/>
      <c r="AL394" s="40"/>
      <c r="AM394" s="40"/>
      <c r="AN394" s="40"/>
      <c r="AO394" s="40"/>
      <c r="AP394" s="40"/>
      <c r="AQ394" s="43"/>
      <c r="AR394" s="44"/>
      <c r="AS394" s="38"/>
    </row>
    <row r="395" spans="1:45" ht="21.2" customHeight="1">
      <c r="A395" s="181">
        <f t="shared" si="38"/>
        <v>394</v>
      </c>
      <c r="B395" s="8" t="s">
        <v>515</v>
      </c>
      <c r="C395" s="31" t="s">
        <v>104</v>
      </c>
      <c r="D395" s="32" t="str">
        <f>VLOOKUP(B395,'Player Data'!A1:D734,4,FALSE)</f>
        <v>D</v>
      </c>
      <c r="E395" s="47">
        <f>VLOOKUP(B395,D!A1:C229,3,FALSE)</f>
        <v>131</v>
      </c>
      <c r="F395" s="34" t="str">
        <f>VLOOKUP(B395,'Player Data'!A1:B734,2,FALSE)</f>
        <v>COL</v>
      </c>
      <c r="G395" s="9">
        <f>VLOOKUP(B395,'Player Data'!A1:D734,3,FALSE)</f>
        <v>31</v>
      </c>
      <c r="H395" s="35">
        <f>IFERROR(VLOOKUP(B395,ADP!A1:G731,7,FALSE)/1000000,VLOOKUP(B395,ADP!A1:G731,7,FALSE))</f>
        <v>4.5</v>
      </c>
      <c r="I395" s="36">
        <f>IF(Settings!$E$15="POINTS",((R395*Q395)*Settings!$B$12)+(S395*Settings!$B$2)+(T395*Settings!$B$3)+(U395*Settings!$B$4)+(V395*Settings!$B$5)+(X395*Settings!$B$9)+(AA395*Settings!$B$6)+(W395*Settings!$B$8)+(AB395*Settings!$B$7)+(AC395*Settings!$B$14)+(AD395*Settings!$B$15)+(AE395*Settings!$B$16)+(AF395*Settings!$B$17)+(AG395*Settings!$B$18)+(U395*Settings!$B$13)+(Y395*Settings!$B$10)+(Z395*Settings!$B$11),VLOOKUP(B395,'Standard Deviations'!A1:C731,3,FALSE))</f>
        <v>-3.7995060683518176</v>
      </c>
      <c r="J395" s="37">
        <f t="shared" si="39"/>
        <v>-4.6335439857948996E-2</v>
      </c>
      <c r="K395" s="183">
        <f>VLOOKUP(B395,D!A1:F229,6,FALSE)</f>
        <v>-5.7412466119861278</v>
      </c>
      <c r="L395" s="36">
        <f t="shared" si="40"/>
        <v>-1.2758325804413617</v>
      </c>
      <c r="M395" s="52" t="str">
        <f>IF(Settings!$E$9="YAHOO",VLOOKUP(B395,ADP!A1:E731,2,FALSE),IF(Settings!$E$9="ESPN",VLOOKUP(B395,ADP!A1:E731,3,FALSE),IF(Settings!$E$9="FANTRAX",VLOOKUP(B395,ADP!A1:E731,4,FALSE),VLOOKUP(B395,ADP!A1:E731,5,FALSE))))</f>
        <v>-</v>
      </c>
      <c r="N395" s="52" t="str">
        <f t="shared" si="41"/>
        <v>N/A</v>
      </c>
      <c r="O395" s="38"/>
      <c r="P395" s="39" t="str">
        <f>IF(Settings!$E$27="ON",_xlfn.XLOOKUP(B395,ADP!A2:A731,ADP!H2:H731)," ")</f>
        <v xml:space="preserve"> </v>
      </c>
      <c r="Q395" s="40">
        <f>IF(Settings!$E$12="YES",VLOOKUP(B395,'Player Data'!A1:E734,5,FALSE),82)</f>
        <v>82</v>
      </c>
      <c r="R395" s="38">
        <f>VLOOKUP(B395,'Player Data'!$A1:$AE734,6,FALSE)</f>
        <v>17.488209394454302</v>
      </c>
      <c r="S395" s="40">
        <f>VLOOKUP(B395,'Player Data'!$A1:$AE734,7,FALSE)*$Q395*IFERROR((VLOOKUP(P395,Settings!$E$28:$F$33,2,FALSE)+1),1)</f>
        <v>5.3236824249274521</v>
      </c>
      <c r="T395" s="40">
        <f>VLOOKUP(B395,'Player Data'!$A1:$AE734,8,FALSE)*$Q395*IFERROR((VLOOKUP(P395,Settings!$E$28:$F$33,2,FALSE)+1),1)</f>
        <v>15.206094536526631</v>
      </c>
      <c r="U395" s="40">
        <f t="shared" si="37"/>
        <v>20.529776961454083</v>
      </c>
      <c r="V395" s="40">
        <f>VLOOKUP(B395,'Player Data'!$A1:$AE734,10,FALSE)*$Q395*IFERROR(((VLOOKUP(P395,Settings!$E$28:$F$33,2,FALSE)/2)+1),1)</f>
        <v>106.64266880066238</v>
      </c>
      <c r="W395" s="40">
        <f>VLOOKUP(B395,'Player Data'!$A1:$AE734,11,FALSE)*$Q395*IFERROR((VLOOKUP(P395,Settings!$E$28:$F$33,2,FALSE)+1),1)</f>
        <v>1.0302603260778122E-2</v>
      </c>
      <c r="X395" s="40">
        <f>VLOOKUP(B395,'Player Data'!$A1:$AE734,12,FALSE)*$Q395*IFERROR((VLOOKUP(P395,Settings!$E$28:$F$33,2,FALSE)+1),1)</f>
        <v>6.8045742136773085E-2</v>
      </c>
      <c r="Y395" s="40">
        <f>VLOOKUP(B395,'Player Data'!$A1:$AE734,13,FALSE)*$Q395</f>
        <v>5.427262847166033E-3</v>
      </c>
      <c r="Z395" s="40">
        <f>VLOOKUP(B395,'Player Data'!$A1:$AE734,14,FALSE)*$Q395</f>
        <v>2.3853923424440121E-2</v>
      </c>
      <c r="AA395" s="40">
        <f>VLOOKUP(B395,'Player Data'!$A1:$AE734,15,FALSE)*$Q395</f>
        <v>104.40450835053497</v>
      </c>
      <c r="AB395" s="40">
        <f>VLOOKUP(B395,'Player Data'!$A1:$AE734,16,FALSE)*$Q395</f>
        <v>167.41832350876339</v>
      </c>
      <c r="AC395" s="40">
        <f>VLOOKUP(B395,'Player Data'!$A1:$AE734,17,FALSE)*$Q395*IFERROR((VLOOKUP(P395,Settings!$E$28:$F$33,2,FALSE)+1),1)</f>
        <v>4.1660187580062118</v>
      </c>
      <c r="AD395" s="40">
        <f>VLOOKUP(B395,'Player Data'!$A1:$AE734,18,FALSE)*$Q395</f>
        <v>79.711575251700523</v>
      </c>
      <c r="AE395" s="40">
        <f>VLOOKUP(B395,'Player Data'!$A1:$AE734,19,FALSE)*$Q395*IFERROR((VLOOKUP(P395,Settings!$E$28:$F$33,2,FALSE)+1),1)</f>
        <v>0.84228677016185316</v>
      </c>
      <c r="AF395" s="40">
        <f>VLOOKUP(B395,'Player Data'!$A1:$AE734,20,FALSE)*$Q395</f>
        <v>0</v>
      </c>
      <c r="AG395" s="40">
        <f>VLOOKUP(B395,'Player Data'!$A1:$AE734,21,FALSE)*$Q395</f>
        <v>0</v>
      </c>
      <c r="AH395" s="41">
        <f>VLOOKUP(B395,'Player Data'!$A1:$AE734,22,FALSE)</f>
        <v>0</v>
      </c>
      <c r="AI395" s="38"/>
      <c r="AJ395" s="42"/>
      <c r="AK395" s="40"/>
      <c r="AL395" s="40"/>
      <c r="AM395" s="40"/>
      <c r="AN395" s="40"/>
      <c r="AO395" s="40"/>
      <c r="AP395" s="40"/>
      <c r="AQ395" s="43"/>
      <c r="AR395" s="44"/>
      <c r="AS395" s="38"/>
    </row>
    <row r="396" spans="1:45" ht="21.2" customHeight="1">
      <c r="A396" s="181">
        <f t="shared" si="38"/>
        <v>395</v>
      </c>
      <c r="B396" s="8" t="s">
        <v>432</v>
      </c>
      <c r="C396" s="31" t="s">
        <v>104</v>
      </c>
      <c r="D396" s="32" t="str">
        <f>VLOOKUP(B396,'Player Data'!A1:D734,4,FALSE)</f>
        <v>D</v>
      </c>
      <c r="E396" s="47">
        <f>VLOOKUP(B396,D!A1:C229,3,FALSE)</f>
        <v>132</v>
      </c>
      <c r="F396" s="34" t="str">
        <f>VLOOKUP(B396,'Player Data'!A1:B734,2,FALSE)</f>
        <v>DET</v>
      </c>
      <c r="G396" s="9">
        <f>VLOOKUP(B396,'Player Data'!A1:D734,3,FALSE)</f>
        <v>32</v>
      </c>
      <c r="H396" s="35">
        <f>IFERROR(VLOOKUP(B396,ADP!A1:G731,7,FALSE)/1000000,VLOOKUP(B396,ADP!A1:G731,7,FALSE))</f>
        <v>4.75</v>
      </c>
      <c r="I396" s="36">
        <f>IF(Settings!$E$15="POINTS",((R396*Q396)*Settings!$B$12)+(S396*Settings!$B$2)+(T396*Settings!$B$3)+(U396*Settings!$B$4)+(V396*Settings!$B$5)+(X396*Settings!$B$9)+(AA396*Settings!$B$6)+(W396*Settings!$B$8)+(AB396*Settings!$B$7)+(AC396*Settings!$B$14)+(AD396*Settings!$B$15)+(AE396*Settings!$B$16)+(AF396*Settings!$B$17)+(AG396*Settings!$B$18)+(U396*Settings!$B$13)+(Y396*Settings!$B$10)+(Z396*Settings!$B$11),VLOOKUP(B396,'Standard Deviations'!A1:C731,3,FALSE))</f>
        <v>-3.8144619635019215</v>
      </c>
      <c r="J396" s="37">
        <f t="shared" si="39"/>
        <v>-4.6517828823194163E-2</v>
      </c>
      <c r="K396" s="183">
        <f>VLOOKUP(B396,D!A1:F229,6,FALSE)</f>
        <v>-5.7562025071362317</v>
      </c>
      <c r="L396" s="36">
        <f t="shared" si="40"/>
        <v>-1.2118321067655224</v>
      </c>
      <c r="M396" s="52" t="str">
        <f>IF(Settings!$E$9="YAHOO",VLOOKUP(B396,ADP!A1:E731,2,FALSE),IF(Settings!$E$9="ESPN",VLOOKUP(B396,ADP!A1:E731,3,FALSE),IF(Settings!$E$9="FANTRAX",VLOOKUP(B396,ADP!A1:E731,4,FALSE),VLOOKUP(B396,ADP!A1:E731,5,FALSE))))</f>
        <v>-</v>
      </c>
      <c r="N396" s="52" t="str">
        <f t="shared" si="41"/>
        <v>N/A</v>
      </c>
      <c r="O396" s="38"/>
      <c r="P396" s="39" t="str">
        <f>IF(Settings!$E$27="ON",_xlfn.XLOOKUP(B396,ADP!A2:A731,ADP!H2:H731)," ")</f>
        <v xml:space="preserve"> </v>
      </c>
      <c r="Q396" s="40">
        <f>IF(Settings!$E$12="YES",VLOOKUP(B396,'Player Data'!A1:E734,5,FALSE),82)</f>
        <v>82</v>
      </c>
      <c r="R396" s="38">
        <f>VLOOKUP(B396,'Player Data'!$A1:$AE734,6,FALSE)</f>
        <v>19.156299634700002</v>
      </c>
      <c r="S396" s="40">
        <f>VLOOKUP(B396,'Player Data'!$A1:$AE734,7,FALSE)*$Q396*IFERROR((VLOOKUP(P396,Settings!$E$28:$F$33,2,FALSE)+1),1)</f>
        <v>4.6648477471628285</v>
      </c>
      <c r="T396" s="40">
        <f>VLOOKUP(B396,'Player Data'!$A1:$AE734,8,FALSE)*$Q396*IFERROR((VLOOKUP(P396,Settings!$E$28:$F$33,2,FALSE)+1),1)</f>
        <v>14.099082146623635</v>
      </c>
      <c r="U396" s="40">
        <f t="shared" si="37"/>
        <v>18.763929893786464</v>
      </c>
      <c r="V396" s="40">
        <f>VLOOKUP(B396,'Player Data'!$A1:$AE734,10,FALSE)*$Q396*IFERROR(((VLOOKUP(P396,Settings!$E$28:$F$33,2,FALSE)/2)+1),1)</f>
        <v>117.56929063063227</v>
      </c>
      <c r="W396" s="40">
        <f>VLOOKUP(B396,'Player Data'!$A1:$AE734,11,FALSE)*$Q396*IFERROR((VLOOKUP(P396,Settings!$E$28:$F$33,2,FALSE)+1),1)</f>
        <v>0.1407970000186137</v>
      </c>
      <c r="X396" s="40">
        <f>VLOOKUP(B396,'Player Data'!$A1:$AE734,12,FALSE)*$Q396*IFERROR((VLOOKUP(P396,Settings!$E$28:$F$33,2,FALSE)+1),1)</f>
        <v>0.29785116858498878</v>
      </c>
      <c r="Y396" s="40">
        <f>VLOOKUP(B396,'Player Data'!$A1:$AE734,13,FALSE)*$Q396</f>
        <v>-3.1914228607210708E-2</v>
      </c>
      <c r="Z396" s="40">
        <f>VLOOKUP(B396,'Player Data'!$A1:$AE734,14,FALSE)*$Q396</f>
        <v>-0.1111248841340354</v>
      </c>
      <c r="AA396" s="40">
        <f>VLOOKUP(B396,'Player Data'!$A1:$AE734,15,FALSE)*$Q396</f>
        <v>145.5454294370509</v>
      </c>
      <c r="AB396" s="40">
        <f>VLOOKUP(B396,'Player Data'!$A1:$AE734,16,FALSE)*$Q396</f>
        <v>143.98986330555903</v>
      </c>
      <c r="AC396" s="40">
        <f>VLOOKUP(B396,'Player Data'!$A1:$AE734,17,FALSE)*$Q396*IFERROR((VLOOKUP(P396,Settings!$E$28:$F$33,2,FALSE)+1),1)</f>
        <v>-5.704715003628408</v>
      </c>
      <c r="AD396" s="40">
        <f>VLOOKUP(B396,'Player Data'!$A1:$AE734,18,FALSE)*$Q396</f>
        <v>52.383940508952776</v>
      </c>
      <c r="AE396" s="40">
        <f>VLOOKUP(B396,'Player Data'!$A1:$AE734,19,FALSE)*$Q396*IFERROR((VLOOKUP(P396,Settings!$E$28:$F$33,2,FALSE)+1),1)</f>
        <v>0.61732663739894067</v>
      </c>
      <c r="AF396" s="40">
        <f>VLOOKUP(B396,'Player Data'!$A1:$AE734,20,FALSE)*$Q396</f>
        <v>0</v>
      </c>
      <c r="AG396" s="40">
        <f>VLOOKUP(B396,'Player Data'!$A1:$AE734,21,FALSE)*$Q396</f>
        <v>0</v>
      </c>
      <c r="AH396" s="41">
        <f>VLOOKUP(B396,'Player Data'!$A1:$AE734,22,FALSE)</f>
        <v>0</v>
      </c>
      <c r="AI396" s="38"/>
      <c r="AJ396" s="42"/>
      <c r="AK396" s="40"/>
      <c r="AL396" s="40"/>
      <c r="AM396" s="40"/>
      <c r="AN396" s="40"/>
      <c r="AO396" s="40"/>
      <c r="AP396" s="40"/>
      <c r="AQ396" s="43"/>
      <c r="AR396" s="44"/>
      <c r="AS396" s="38"/>
    </row>
    <row r="397" spans="1:45" ht="21.2" customHeight="1">
      <c r="A397" s="181">
        <f t="shared" si="38"/>
        <v>396</v>
      </c>
      <c r="B397" s="8" t="s">
        <v>556</v>
      </c>
      <c r="C397" s="31" t="s">
        <v>104</v>
      </c>
      <c r="D397" s="32" t="str">
        <f>VLOOKUP(B397,'Player Data'!A1:D734,4,FALSE)</f>
        <v>D</v>
      </c>
      <c r="E397" s="47">
        <f>VLOOKUP(B397,D!A1:C229,3,FALSE)</f>
        <v>133</v>
      </c>
      <c r="F397" s="34" t="str">
        <f>VLOOKUP(B397,'Player Data'!A1:B734,2,FALSE)</f>
        <v>CAR</v>
      </c>
      <c r="G397" s="9">
        <f>VLOOKUP(B397,'Player Data'!A1:D734,3,FALSE)</f>
        <v>25</v>
      </c>
      <c r="H397" s="35">
        <f>IFERROR(VLOOKUP(B397,ADP!A1:G731,7,FALSE)/1000000,VLOOKUP(B397,ADP!A1:G731,7,FALSE))</f>
        <v>0.85</v>
      </c>
      <c r="I397" s="36">
        <f>IF(Settings!$E$15="POINTS",((R397*Q397)*Settings!$B$12)+(S397*Settings!$B$2)+(T397*Settings!$B$3)+(U397*Settings!$B$4)+(V397*Settings!$B$5)+(X397*Settings!$B$9)+(AA397*Settings!$B$6)+(W397*Settings!$B$8)+(AB397*Settings!$B$7)+(AC397*Settings!$B$14)+(AD397*Settings!$B$15)+(AE397*Settings!$B$16)+(AF397*Settings!$B$17)+(AG397*Settings!$B$18)+(U397*Settings!$B$13)+(Y397*Settings!$B$10)+(Z397*Settings!$B$11),VLOOKUP(B397,'Standard Deviations'!A1:C731,3,FALSE))</f>
        <v>-3.8200830613541736</v>
      </c>
      <c r="J397" s="37">
        <f t="shared" si="39"/>
        <v>-4.6586378797002115E-2</v>
      </c>
      <c r="K397" s="183">
        <f>VLOOKUP(B397,D!A1:F229,6,FALSE)</f>
        <v>-5.7618236049884839</v>
      </c>
      <c r="L397" s="36">
        <f t="shared" si="40"/>
        <v>-6.7786160058688045</v>
      </c>
      <c r="M397" s="52" t="str">
        <f>IF(Settings!$E$9="YAHOO",VLOOKUP(B397,ADP!A1:E731,2,FALSE),IF(Settings!$E$9="ESPN",VLOOKUP(B397,ADP!A1:E731,3,FALSE),IF(Settings!$E$9="FANTRAX",VLOOKUP(B397,ADP!A1:E731,4,FALSE),VLOOKUP(B397,ADP!A1:E731,5,FALSE))))</f>
        <v>-</v>
      </c>
      <c r="N397" s="52" t="str">
        <f t="shared" si="41"/>
        <v>N/A</v>
      </c>
      <c r="O397" s="38"/>
      <c r="P397" s="39" t="str">
        <f>IF(Settings!$E$27="ON",_xlfn.XLOOKUP(B397,ADP!A2:A731,ADP!H2:H731)," ")</f>
        <v xml:space="preserve"> </v>
      </c>
      <c r="Q397" s="40">
        <f>IF(Settings!$E$12="YES",VLOOKUP(B397,'Player Data'!A1:E734,5,FALSE),82)</f>
        <v>82</v>
      </c>
      <c r="R397" s="38">
        <f>VLOOKUP(B397,'Player Data'!$A1:$AE734,6,FALSE)</f>
        <v>12.7205882352941</v>
      </c>
      <c r="S397" s="40">
        <f>VLOOKUP(B397,'Player Data'!$A1:$AE734,7,FALSE)*$Q397*IFERROR((VLOOKUP(P397,Settings!$E$28:$F$33,2,FALSE)+1),1)</f>
        <v>3.7303138376397076</v>
      </c>
      <c r="T397" s="40">
        <f>VLOOKUP(B397,'Player Data'!$A1:$AE734,8,FALSE)*$Q397*IFERROR((VLOOKUP(P397,Settings!$E$28:$F$33,2,FALSE)+1),1)</f>
        <v>12.772490872868866</v>
      </c>
      <c r="U397" s="40">
        <f t="shared" si="37"/>
        <v>16.502804710508574</v>
      </c>
      <c r="V397" s="40">
        <f>VLOOKUP(B397,'Player Data'!$A1:$AE734,10,FALSE)*$Q397*IFERROR(((VLOOKUP(P397,Settings!$E$28:$F$33,2,FALSE)/2)+1),1)</f>
        <v>114.14501118708688</v>
      </c>
      <c r="W397" s="40">
        <f>VLOOKUP(B397,'Player Data'!$A1:$AE734,11,FALSE)*$Q397*IFERROR((VLOOKUP(P397,Settings!$E$28:$F$33,2,FALSE)+1),1)</f>
        <v>1.319904436164278</v>
      </c>
      <c r="X397" s="40">
        <f>VLOOKUP(B397,'Player Data'!$A1:$AE734,12,FALSE)*$Q397*IFERROR((VLOOKUP(P397,Settings!$E$28:$F$33,2,FALSE)+1),1)</f>
        <v>3.6651866918078304</v>
      </c>
      <c r="Y397" s="40">
        <f>VLOOKUP(B397,'Player Data'!$A1:$AE734,13,FALSE)*$Q397</f>
        <v>5.4919884675709574E-3</v>
      </c>
      <c r="Z397" s="40">
        <f>VLOOKUP(B397,'Player Data'!$A1:$AE734,14,FALSE)*$Q397</f>
        <v>2.3441879249620406E-2</v>
      </c>
      <c r="AA397" s="40">
        <f>VLOOKUP(B397,'Player Data'!$A1:$AE734,15,FALSE)*$Q397</f>
        <v>66.247899376926767</v>
      </c>
      <c r="AB397" s="40">
        <f>VLOOKUP(B397,'Player Data'!$A1:$AE734,16,FALSE)*$Q397</f>
        <v>81.762335219086097</v>
      </c>
      <c r="AC397" s="40">
        <f>VLOOKUP(B397,'Player Data'!$A1:$AE734,17,FALSE)*$Q397*IFERROR((VLOOKUP(P397,Settings!$E$28:$F$33,2,FALSE)+1),1)</f>
        <v>-8.3537262235902049E-2</v>
      </c>
      <c r="AD397" s="40">
        <f>VLOOKUP(B397,'Player Data'!$A1:$AE734,18,FALSE)*$Q397</f>
        <v>19.626544172344516</v>
      </c>
      <c r="AE397" s="40">
        <f>VLOOKUP(B397,'Player Data'!$A1:$AE734,19,FALSE)*$Q397*IFERROR((VLOOKUP(P397,Settings!$E$28:$F$33,2,FALSE)+1),1)</f>
        <v>0.66930183051609071</v>
      </c>
      <c r="AF397" s="40">
        <f>VLOOKUP(B397,'Player Data'!$A1:$AE734,20,FALSE)*$Q397</f>
        <v>0</v>
      </c>
      <c r="AG397" s="40">
        <f>VLOOKUP(B397,'Player Data'!$A1:$AE734,21,FALSE)*$Q397</f>
        <v>0.45759384976017392</v>
      </c>
      <c r="AH397" s="41">
        <f>VLOOKUP(B397,'Player Data'!$A1:$AE734,22,FALSE)</f>
        <v>0</v>
      </c>
      <c r="AI397" s="38"/>
      <c r="AJ397" s="42"/>
      <c r="AK397" s="40"/>
      <c r="AL397" s="40"/>
      <c r="AM397" s="40"/>
      <c r="AN397" s="40"/>
      <c r="AO397" s="40"/>
      <c r="AP397" s="40"/>
      <c r="AQ397" s="43"/>
      <c r="AR397" s="44"/>
      <c r="AS397" s="38"/>
    </row>
    <row r="398" spans="1:45" ht="21.2" customHeight="1">
      <c r="A398" s="181">
        <f t="shared" si="38"/>
        <v>397</v>
      </c>
      <c r="B398" s="8" t="s">
        <v>445</v>
      </c>
      <c r="C398" s="31" t="s">
        <v>104</v>
      </c>
      <c r="D398" s="32" t="str">
        <f>VLOOKUP(B398,'Player Data'!A1:D734,4,FALSE)</f>
        <v>RW</v>
      </c>
      <c r="E398" s="46">
        <f>VLOOKUP(B398,RW!A1:F189,3,FALSE)</f>
        <v>92</v>
      </c>
      <c r="F398" s="34" t="str">
        <f>VLOOKUP(B398,'Player Data'!A1:B734,2,FALSE)</f>
        <v>NYI</v>
      </c>
      <c r="G398" s="9">
        <f>VLOOKUP(B398,'Player Data'!A1:D734,3,FALSE)</f>
        <v>32</v>
      </c>
      <c r="H398" s="35">
        <f>IFERROR(VLOOKUP(B398,ADP!A1:G731,7,FALSE)/1000000,VLOOKUP(B398,ADP!A1:G731,7,FALSE))</f>
        <v>5</v>
      </c>
      <c r="I398" s="36">
        <f>IF(Settings!$E$15="POINTS",((R398*Q398)*Settings!$B$12)+(S398*Settings!$B$2)+(T398*Settings!$B$3)+(U398*Settings!$B$4)+(V398*Settings!$B$5)+(X398*Settings!$B$9)+(AA398*Settings!$B$6)+(W398*Settings!$B$8)+(AB398*Settings!$B$7)+(AC398*Settings!$B$14)+(AD398*Settings!$B$15)+(AE398*Settings!$B$16)+(AF398*Settings!$B$17)+(AG398*Settings!$B$18)+(Y398*Settings!$B$10)+(Z398*Settings!$B$11),VLOOKUP(B398,'Standard Deviations'!A1:C731,3,FALSE))</f>
        <v>0.48362347876182943</v>
      </c>
      <c r="J398" s="37">
        <f t="shared" si="39"/>
        <v>5.8978473019735298E-3</v>
      </c>
      <c r="K398" s="183">
        <f>IF(Settings!$E$18="C/LW/RW",VLOOKUP(B398,RW!A1:F189,6,FALSE),VLOOKUP(B398,F!A1:F431,6,FALSE))</f>
        <v>-5.7966352402492518</v>
      </c>
      <c r="L398" s="36">
        <f t="shared" si="40"/>
        <v>-1.1593270480498503</v>
      </c>
      <c r="M398" s="52" t="str">
        <f>IF(Settings!$E$9="YAHOO",VLOOKUP(B398,ADP!A1:E731,2,FALSE),IF(Settings!$E$9="ESPN",VLOOKUP(B398,ADP!A1:E731,3,FALSE),IF(Settings!$E$9="FANTRAX",VLOOKUP(B398,ADP!A1:E731,4,FALSE),VLOOKUP(B398,ADP!A1:E731,5,FALSE))))</f>
        <v>-</v>
      </c>
      <c r="N398" s="52" t="str">
        <f t="shared" si="41"/>
        <v>N/A</v>
      </c>
      <c r="O398" s="38"/>
      <c r="P398" s="39" t="str">
        <f>IF(Settings!$E$27="ON",_xlfn.XLOOKUP(B398,ADP!A2:A731,ADP!H2:H731)," ")</f>
        <v xml:space="preserve"> </v>
      </c>
      <c r="Q398" s="40">
        <f>IF(Settings!$E$12="YES",VLOOKUP(B398,'Player Data'!A1:E734,5,FALSE),82)</f>
        <v>82</v>
      </c>
      <c r="R398" s="38">
        <f>VLOOKUP(B398,'Player Data'!$A1:$AE734,6,FALSE)</f>
        <v>15.767185415919799</v>
      </c>
      <c r="S398" s="40">
        <f>VLOOKUP(B398,'Player Data'!$A1:$AE734,7,FALSE)*$Q398*IFERROR((VLOOKUP(P398,Settings!$E$28:$F$33,2,FALSE)+1),1)</f>
        <v>18.296999094086104</v>
      </c>
      <c r="T398" s="40">
        <f>VLOOKUP(B398,'Player Data'!$A1:$AE734,8,FALSE)*$Q398*IFERROR((VLOOKUP(P398,Settings!$E$28:$F$33,2,FALSE)+1),1)</f>
        <v>21.861651312704293</v>
      </c>
      <c r="U398" s="40">
        <f t="shared" si="37"/>
        <v>40.1586504067904</v>
      </c>
      <c r="V398" s="40">
        <f>VLOOKUP(B398,'Player Data'!$A1:$AE734,10,FALSE)*$Q398*IFERROR(((VLOOKUP(P398,Settings!$E$28:$F$33,2,FALSE)/2)+1),1)</f>
        <v>168.54905261303782</v>
      </c>
      <c r="W398" s="40">
        <f>VLOOKUP(B398,'Player Data'!$A1:$AE734,11,FALSE)*$Q398*IFERROR((VLOOKUP(P398,Settings!$E$28:$F$33,2,FALSE)+1),1)</f>
        <v>2.9048371625764937</v>
      </c>
      <c r="X398" s="40">
        <f>VLOOKUP(B398,'Player Data'!$A1:$AE734,12,FALSE)*$Q398*IFERROR((VLOOKUP(P398,Settings!$E$28:$F$33,2,FALSE)+1),1)</f>
        <v>6.5800873018060226</v>
      </c>
      <c r="Y398" s="40">
        <f>VLOOKUP(B398,'Player Data'!$A1:$AE734,13,FALSE)*$Q398</f>
        <v>0.17165399693564162</v>
      </c>
      <c r="Z398" s="40">
        <f>VLOOKUP(B398,'Player Data'!$A1:$AE734,14,FALSE)*$Q398</f>
        <v>0.20017479482496806</v>
      </c>
      <c r="AA398" s="40">
        <f>VLOOKUP(B398,'Player Data'!$A1:$AE734,15,FALSE)*$Q398</f>
        <v>24.995703222553377</v>
      </c>
      <c r="AB398" s="40">
        <f>VLOOKUP(B398,'Player Data'!$A1:$AE734,16,FALSE)*$Q398</f>
        <v>97.415801608264388</v>
      </c>
      <c r="AC398" s="40">
        <f>VLOOKUP(B398,'Player Data'!$A1:$AE734,17,FALSE)*$Q398*IFERROR((VLOOKUP(P398,Settings!$E$28:$F$33,2,FALSE)+1),1)</f>
        <v>2.0661115640570329</v>
      </c>
      <c r="AD398" s="40">
        <f>VLOOKUP(B398,'Player Data'!$A1:$AE734,18,FALSE)*$Q398</f>
        <v>39.068468621549414</v>
      </c>
      <c r="AE398" s="40">
        <f>VLOOKUP(B398,'Player Data'!$A1:$AE734,19,FALSE)*$Q398*IFERROR((VLOOKUP(P398,Settings!$E$28:$F$33,2,FALSE)+1),1)</f>
        <v>2.82728628381384</v>
      </c>
      <c r="AF398" s="40">
        <f>VLOOKUP(B398,'Player Data'!$A1:$AE734,20,FALSE)*$Q398</f>
        <v>13.050880100324974</v>
      </c>
      <c r="AG398" s="40">
        <f>VLOOKUP(B398,'Player Data'!$A1:$AE734,21,FALSE)*$Q398</f>
        <v>24.310648339013603</v>
      </c>
      <c r="AH398" s="41">
        <f>VLOOKUP(B398,'Player Data'!$A1:$AE734,22,FALSE)</f>
        <v>0.34931333501290901</v>
      </c>
      <c r="AI398" s="38"/>
      <c r="AJ398" s="42"/>
      <c r="AK398" s="40"/>
      <c r="AL398" s="40"/>
      <c r="AM398" s="40"/>
      <c r="AN398" s="40"/>
      <c r="AO398" s="40"/>
      <c r="AP398" s="40"/>
      <c r="AQ398" s="43"/>
      <c r="AR398" s="44"/>
      <c r="AS398" s="38"/>
    </row>
    <row r="399" spans="1:45" ht="21.2" customHeight="1">
      <c r="A399" s="181">
        <f t="shared" si="38"/>
        <v>398</v>
      </c>
      <c r="B399" s="8" t="s">
        <v>444</v>
      </c>
      <c r="C399" s="31" t="s">
        <v>104</v>
      </c>
      <c r="D399" s="32" t="str">
        <f>VLOOKUP(B399,'Player Data'!A1:D734,4,FALSE)</f>
        <v>D</v>
      </c>
      <c r="E399" s="47">
        <f>VLOOKUP(B399,D!A1:C229,3,FALSE)</f>
        <v>134</v>
      </c>
      <c r="F399" s="34" t="str">
        <f>VLOOKUP(B399,'Player Data'!A1:B734,2,FALSE)</f>
        <v>LAK</v>
      </c>
      <c r="G399" s="9">
        <f>VLOOKUP(B399,'Player Data'!A1:D734,3,FALSE)</f>
        <v>24</v>
      </c>
      <c r="H399" s="35">
        <f>IFERROR(VLOOKUP(B399,ADP!A1:G731,7,FALSE)/1000000,VLOOKUP(B399,ADP!A1:G731,7,FALSE))</f>
        <v>4.125</v>
      </c>
      <c r="I399" s="36">
        <f>IF(Settings!$E$15="POINTS",((R399*Q399)*Settings!$B$12)+(S399*Settings!$B$2)+(T399*Settings!$B$3)+(U399*Settings!$B$4)+(V399*Settings!$B$5)+(X399*Settings!$B$9)+(AA399*Settings!$B$6)+(W399*Settings!$B$8)+(AB399*Settings!$B$7)+(AC399*Settings!$B$14)+(AD399*Settings!$B$15)+(AE399*Settings!$B$16)+(AF399*Settings!$B$17)+(AG399*Settings!$B$18)+(U399*Settings!$B$13)+(Y399*Settings!$B$10)+(Z399*Settings!$B$11),VLOOKUP(B399,'Standard Deviations'!A1:C731,3,FALSE))</f>
        <v>-3.8606795565303393</v>
      </c>
      <c r="J399" s="37">
        <f t="shared" si="39"/>
        <v>-4.7081458006467555E-2</v>
      </c>
      <c r="K399" s="183">
        <f>VLOOKUP(B399,D!A1:F229,6,FALSE)</f>
        <v>-5.8024201001646496</v>
      </c>
      <c r="L399" s="36">
        <f t="shared" si="40"/>
        <v>-1.406647297009612</v>
      </c>
      <c r="M399" s="52" t="str">
        <f>IF(Settings!$E$9="YAHOO",VLOOKUP(B399,ADP!A1:E731,2,FALSE),IF(Settings!$E$9="ESPN",VLOOKUP(B399,ADP!A1:E731,3,FALSE),IF(Settings!$E$9="FANTRAX",VLOOKUP(B399,ADP!A1:E731,4,FALSE),VLOOKUP(B399,ADP!A1:E731,5,FALSE))))</f>
        <v>-</v>
      </c>
      <c r="N399" s="52" t="str">
        <f t="shared" si="41"/>
        <v>N/A</v>
      </c>
      <c r="O399" s="38"/>
      <c r="P399" s="39" t="str">
        <f>IF(Settings!$E$27="ON",_xlfn.XLOOKUP(B399,ADP!A2:A731,ADP!H2:H731)," ")</f>
        <v xml:space="preserve"> </v>
      </c>
      <c r="Q399" s="40">
        <f>IF(Settings!$E$12="YES",VLOOKUP(B399,'Player Data'!A1:E734,5,FALSE),82)</f>
        <v>82</v>
      </c>
      <c r="R399" s="38">
        <f>VLOOKUP(B399,'Player Data'!$A1:$AE734,6,FALSE)</f>
        <v>21.577976981670201</v>
      </c>
      <c r="S399" s="40">
        <f>VLOOKUP(B399,'Player Data'!$A1:$AE734,7,FALSE)*$Q399*IFERROR((VLOOKUP(P399,Settings!$E$28:$F$33,2,FALSE)+1),1)</f>
        <v>4.4637259719146343</v>
      </c>
      <c r="T399" s="40">
        <f>VLOOKUP(B399,'Player Data'!$A1:$AE734,8,FALSE)*$Q399*IFERROR((VLOOKUP(P399,Settings!$E$28:$F$33,2,FALSE)+1),1)</f>
        <v>16.82580605973979</v>
      </c>
      <c r="U399" s="40">
        <f t="shared" si="37"/>
        <v>21.289532031654424</v>
      </c>
      <c r="V399" s="40">
        <f>VLOOKUP(B399,'Player Data'!$A1:$AE734,10,FALSE)*$Q399*IFERROR(((VLOOKUP(P399,Settings!$E$28:$F$33,2,FALSE)/2)+1),1)</f>
        <v>98.081867328435195</v>
      </c>
      <c r="W399" s="40">
        <f>VLOOKUP(B399,'Player Data'!$A1:$AE734,11,FALSE)*$Q399*IFERROR((VLOOKUP(P399,Settings!$E$28:$F$33,2,FALSE)+1),1)</f>
        <v>9.3219390699696772E-2</v>
      </c>
      <c r="X399" s="40">
        <f>VLOOKUP(B399,'Player Data'!$A1:$AE734,12,FALSE)*$Q399*IFERROR((VLOOKUP(P399,Settings!$E$28:$F$33,2,FALSE)+1),1)</f>
        <v>0.20632586094533914</v>
      </c>
      <c r="Y399" s="40">
        <f>VLOOKUP(B399,'Player Data'!$A1:$AE734,13,FALSE)*$Q399</f>
        <v>5.1614652055269966E-2</v>
      </c>
      <c r="Z399" s="40">
        <f>VLOOKUP(B399,'Player Data'!$A1:$AE734,14,FALSE)*$Q399</f>
        <v>1.259502901709648</v>
      </c>
      <c r="AA399" s="40">
        <f>VLOOKUP(B399,'Player Data'!$A1:$AE734,15,FALSE)*$Q399</f>
        <v>131.253697289016</v>
      </c>
      <c r="AB399" s="40">
        <f>VLOOKUP(B399,'Player Data'!$A1:$AE734,16,FALSE)*$Q399</f>
        <v>158.36492502427024</v>
      </c>
      <c r="AC399" s="40">
        <f>VLOOKUP(B399,'Player Data'!$A1:$AE734,17,FALSE)*$Q399*IFERROR((VLOOKUP(P399,Settings!$E$28:$F$33,2,FALSE)+1),1)</f>
        <v>0.52358425278942644</v>
      </c>
      <c r="AD399" s="40">
        <f>VLOOKUP(B399,'Player Data'!$A1:$AE734,18,FALSE)*$Q399</f>
        <v>32.03392041653624</v>
      </c>
      <c r="AE399" s="40">
        <f>VLOOKUP(B399,'Player Data'!$A1:$AE734,19,FALSE)*$Q399*IFERROR((VLOOKUP(P399,Settings!$E$28:$F$33,2,FALSE)+1),1)</f>
        <v>0.66090397979449478</v>
      </c>
      <c r="AF399" s="40">
        <f>VLOOKUP(B399,'Player Data'!$A1:$AE734,20,FALSE)*$Q399</f>
        <v>0</v>
      </c>
      <c r="AG399" s="40">
        <f>VLOOKUP(B399,'Player Data'!$A1:$AE734,21,FALSE)*$Q399</f>
        <v>0</v>
      </c>
      <c r="AH399" s="41">
        <f>VLOOKUP(B399,'Player Data'!$A1:$AE734,22,FALSE)</f>
        <v>0</v>
      </c>
      <c r="AI399" s="38"/>
      <c r="AJ399" s="42"/>
      <c r="AK399" s="40"/>
      <c r="AL399" s="40"/>
      <c r="AM399" s="40"/>
      <c r="AN399" s="40"/>
      <c r="AO399" s="40"/>
      <c r="AP399" s="40"/>
      <c r="AQ399" s="43"/>
      <c r="AR399" s="44"/>
      <c r="AS399" s="38"/>
    </row>
    <row r="400" spans="1:45" ht="21.2" customHeight="1">
      <c r="A400" s="181">
        <f t="shared" si="38"/>
        <v>399</v>
      </c>
      <c r="B400" s="8" t="s">
        <v>471</v>
      </c>
      <c r="C400" s="31" t="s">
        <v>104</v>
      </c>
      <c r="D400" s="32" t="str">
        <f>VLOOKUP(B400,'Player Data'!A1:D734,4,FALSE)</f>
        <v>C,LW</v>
      </c>
      <c r="E400" s="45">
        <f>VLOOKUP(B400,LW!A1:C227,3,FALSE)</f>
        <v>91</v>
      </c>
      <c r="F400" s="34" t="str">
        <f>VLOOKUP(B400,'Player Data'!A1:B734,2,FALSE)</f>
        <v>CHI</v>
      </c>
      <c r="G400" s="9">
        <f>VLOOKUP(B400,'Player Data'!A1:D734,3,FALSE)</f>
        <v>29</v>
      </c>
      <c r="H400" s="35">
        <f>IFERROR(VLOOKUP(B400,ADP!A1:G731,7,FALSE)/1000000,VLOOKUP(B400,ADP!A1:G731,7,FALSE))</f>
        <v>4.25</v>
      </c>
      <c r="I400" s="36">
        <f>IF(Settings!$E$15="POINTS",((R400*Q400)*Settings!$B$12)+(S400*Settings!$B$2)+(T400*Settings!$B$3)+(U400*Settings!$B$4)+(V400*Settings!$B$5)+(X400*Settings!$B$9)+(AA400*Settings!$B$6)+(W400*Settings!$B$8)+(AB400*Settings!$B$7)+(AC400*Settings!$B$14)+(AD400*Settings!$B$15)+(AE400*Settings!$B$16)+(AF400*Settings!$B$17)+(AG400*Settings!$B$18)+(Y400*Settings!$B$10)+(Z400*Settings!$B$11),VLOOKUP(B400,'Standard Deviations'!A1:C731,3,FALSE))</f>
        <v>0.83890492506299474</v>
      </c>
      <c r="J400" s="37">
        <f t="shared" si="39"/>
        <v>1.0230547866621887E-2</v>
      </c>
      <c r="K400" s="183">
        <f>IF(Settings!$E$18="C/LW/RW",VLOOKUP(B400,LW!A1:F227,6,FALSE),VLOOKUP(B400,F!A1:F431,6,FALSE))</f>
        <v>-5.8157641190614067</v>
      </c>
      <c r="L400" s="36">
        <f t="shared" si="40"/>
        <v>-1.3684150868379781</v>
      </c>
      <c r="M400" s="38">
        <f>IF(Settings!$E$9="YAHOO",VLOOKUP(B400,ADP!A1:E731,2,FALSE),IF(Settings!$E$9="ESPN",VLOOKUP(B400,ADP!A1:E731,3,FALSE),IF(Settings!$E$9="FANTRAX",VLOOKUP(B400,ADP!A1:E731,4,FALSE),VLOOKUP(B400,ADP!A1:E731,5,FALSE))))</f>
        <v>291.10000000000002</v>
      </c>
      <c r="N400" s="38">
        <f t="shared" si="41"/>
        <v>-107.89999999999998</v>
      </c>
      <c r="O400" s="38"/>
      <c r="P400" s="39" t="str">
        <f>IF(Settings!$E$27="ON",_xlfn.XLOOKUP(B400,ADP!A2:A731,ADP!H2:H731)," ")</f>
        <v xml:space="preserve"> </v>
      </c>
      <c r="Q400" s="40">
        <f>IF(Settings!$E$12="YES",VLOOKUP(B400,'Player Data'!A1:E734,5,FALSE),82)</f>
        <v>82</v>
      </c>
      <c r="R400" s="38">
        <f>VLOOKUP(B400,'Player Data'!$A1:$AE734,6,FALSE)</f>
        <v>16.100251273948</v>
      </c>
      <c r="S400" s="40">
        <f>VLOOKUP(B400,'Player Data'!$A1:$AE734,7,FALSE)*$Q400*IFERROR((VLOOKUP(P400,Settings!$E$28:$F$33,2,FALSE)+1),1)</f>
        <v>21.20594811696402</v>
      </c>
      <c r="T400" s="40">
        <f>VLOOKUP(B400,'Player Data'!$A1:$AE734,8,FALSE)*$Q400*IFERROR((VLOOKUP(P400,Settings!$E$28:$F$33,2,FALSE)+1),1)</f>
        <v>21.733647953427273</v>
      </c>
      <c r="U400" s="40">
        <f t="shared" si="37"/>
        <v>42.939596070391289</v>
      </c>
      <c r="V400" s="40">
        <f>VLOOKUP(B400,'Player Data'!$A1:$AE734,10,FALSE)*$Q400*IFERROR(((VLOOKUP(P400,Settings!$E$28:$F$33,2,FALSE)/2)+1),1)</f>
        <v>171.2898487323622</v>
      </c>
      <c r="W400" s="40">
        <f>VLOOKUP(B400,'Player Data'!$A1:$AE734,11,FALSE)*$Q400*IFERROR((VLOOKUP(P400,Settings!$E$28:$F$33,2,FALSE)+1),1)</f>
        <v>2.2143738427047337</v>
      </c>
      <c r="X400" s="40">
        <f>VLOOKUP(B400,'Player Data'!$A1:$AE734,12,FALSE)*$Q400*IFERROR((VLOOKUP(P400,Settings!$E$28:$F$33,2,FALSE)+1),1)</f>
        <v>5.7534077933101733</v>
      </c>
      <c r="Y400" s="40">
        <f>VLOOKUP(B400,'Player Data'!$A1:$AE734,13,FALSE)*$Q400</f>
        <v>0.10430834911677571</v>
      </c>
      <c r="Z400" s="40">
        <f>VLOOKUP(B400,'Player Data'!$A1:$AE734,14,FALSE)*$Q400</f>
        <v>0.19206776081966126</v>
      </c>
      <c r="AA400" s="40">
        <f>VLOOKUP(B400,'Player Data'!$A1:$AE734,15,FALSE)*$Q400</f>
        <v>41.147040953160186</v>
      </c>
      <c r="AB400" s="40">
        <f>VLOOKUP(B400,'Player Data'!$A1:$AE734,16,FALSE)*$Q400</f>
        <v>45.162330852476885</v>
      </c>
      <c r="AC400" s="40">
        <f>VLOOKUP(B400,'Player Data'!$A1:$AE734,17,FALSE)*$Q400*IFERROR((VLOOKUP(P400,Settings!$E$28:$F$33,2,FALSE)+1),1)</f>
        <v>-7.377227801809819</v>
      </c>
      <c r="AD400" s="40">
        <f>VLOOKUP(B400,'Player Data'!$A1:$AE734,18,FALSE)*$Q400</f>
        <v>29.114299899416732</v>
      </c>
      <c r="AE400" s="40">
        <f>VLOOKUP(B400,'Player Data'!$A1:$AE734,19,FALSE)*$Q400*IFERROR((VLOOKUP(P400,Settings!$E$28:$F$33,2,FALSE)+1),1)</f>
        <v>2.4849459109591994</v>
      </c>
      <c r="AF400" s="40">
        <f>VLOOKUP(B400,'Player Data'!$A1:$AE734,20,FALSE)*$Q400</f>
        <v>93.371122738229175</v>
      </c>
      <c r="AG400" s="40">
        <f>VLOOKUP(B400,'Player Data'!$A1:$AE734,21,FALSE)*$Q400</f>
        <v>61.162821025694882</v>
      </c>
      <c r="AH400" s="41">
        <f>VLOOKUP(B400,'Player Data'!$A1:$AE734,22,FALSE)</f>
        <v>0.60421109087119895</v>
      </c>
      <c r="AI400" s="38"/>
      <c r="AJ400" s="40"/>
      <c r="AK400" s="40"/>
      <c r="AL400" s="40"/>
      <c r="AM400" s="40"/>
      <c r="AN400" s="40"/>
      <c r="AO400" s="40"/>
      <c r="AP400" s="40"/>
      <c r="AQ400" s="43"/>
      <c r="AR400" s="44"/>
      <c r="AS400" s="38"/>
    </row>
    <row r="401" spans="1:45" ht="21.2" customHeight="1">
      <c r="A401" s="181">
        <f t="shared" si="38"/>
        <v>400</v>
      </c>
      <c r="B401" s="8" t="s">
        <v>483</v>
      </c>
      <c r="C401" s="31" t="s">
        <v>104</v>
      </c>
      <c r="D401" s="32" t="str">
        <f>VLOOKUP(B401,'Player Data'!A1:D734,4,FALSE)</f>
        <v>D</v>
      </c>
      <c r="E401" s="47">
        <f>VLOOKUP(B401,D!A1:C229,3,FALSE)</f>
        <v>135</v>
      </c>
      <c r="F401" s="34" t="str">
        <f>VLOOKUP(B401,'Player Data'!A1:B734,2,FALSE)</f>
        <v>BUF</v>
      </c>
      <c r="G401" s="9">
        <f>VLOOKUP(B401,'Player Data'!A1:D734,3,FALSE)</f>
        <v>35</v>
      </c>
      <c r="H401" s="35">
        <f>IFERROR(VLOOKUP(B401,ADP!A1:G731,7,FALSE)/1000000,VLOOKUP(B401,ADP!A1:G731,7,FALSE))</f>
        <v>3.25</v>
      </c>
      <c r="I401" s="36">
        <f>IF(Settings!$E$15="POINTS",((R401*Q401)*Settings!$B$12)+(S401*Settings!$B$2)+(T401*Settings!$B$3)+(U401*Settings!$B$4)+(V401*Settings!$B$5)+(X401*Settings!$B$9)+(AA401*Settings!$B$6)+(W401*Settings!$B$8)+(AB401*Settings!$B$7)+(AC401*Settings!$B$14)+(AD401*Settings!$B$15)+(AE401*Settings!$B$16)+(AF401*Settings!$B$17)+(AG401*Settings!$B$18)+(U401*Settings!$B$13)+(Y401*Settings!$B$10)+(Z401*Settings!$B$11),VLOOKUP(B401,'Standard Deviations'!A1:C731,3,FALSE))</f>
        <v>-3.879629125141757</v>
      </c>
      <c r="J401" s="37">
        <f t="shared" si="39"/>
        <v>-4.731255030660679E-2</v>
      </c>
      <c r="K401" s="183">
        <f>VLOOKUP(B401,D!A1:F229,6,FALSE)</f>
        <v>-5.8213696687760681</v>
      </c>
      <c r="L401" s="36">
        <f t="shared" si="40"/>
        <v>-1.7911906673157132</v>
      </c>
      <c r="M401" s="52" t="str">
        <f>IF(Settings!$E$9="YAHOO",VLOOKUP(B401,ADP!A1:E731,2,FALSE),IF(Settings!$E$9="ESPN",VLOOKUP(B401,ADP!A1:E731,3,FALSE),IF(Settings!$E$9="FANTRAX",VLOOKUP(B401,ADP!A1:E731,4,FALSE),VLOOKUP(B401,ADP!A1:E731,5,FALSE))))</f>
        <v>-</v>
      </c>
      <c r="N401" s="52" t="str">
        <f t="shared" si="41"/>
        <v>N/A</v>
      </c>
      <c r="O401" s="38"/>
      <c r="P401" s="39" t="str">
        <f>IF(Settings!$E$27="ON",_xlfn.XLOOKUP(B401,ADP!A2:A731,ADP!H2:H731)," ")</f>
        <v xml:space="preserve"> </v>
      </c>
      <c r="Q401" s="40">
        <f>IF(Settings!$E$12="YES",VLOOKUP(B401,'Player Data'!A1:E734,5,FALSE),82)</f>
        <v>82</v>
      </c>
      <c r="R401" s="38">
        <f>VLOOKUP(B401,'Player Data'!$A1:$AE734,6,FALSE)</f>
        <v>17.123563546869001</v>
      </c>
      <c r="S401" s="40">
        <f>VLOOKUP(B401,'Player Data'!$A1:$AE734,7,FALSE)*$Q401*IFERROR((VLOOKUP(P401,Settings!$E$28:$F$33,2,FALSE)+1),1)</f>
        <v>3.7076432697548536</v>
      </c>
      <c r="T401" s="40">
        <f>VLOOKUP(B401,'Player Data'!$A1:$AE734,8,FALSE)*$Q401*IFERROR((VLOOKUP(P401,Settings!$E$28:$F$33,2,FALSE)+1),1)</f>
        <v>13.380554819207795</v>
      </c>
      <c r="U401" s="40">
        <f t="shared" si="37"/>
        <v>17.088198088962649</v>
      </c>
      <c r="V401" s="40">
        <f>VLOOKUP(B401,'Player Data'!$A1:$AE734,10,FALSE)*$Q401*IFERROR(((VLOOKUP(P401,Settings!$E$28:$F$33,2,FALSE)/2)+1),1)</f>
        <v>127.25173410743015</v>
      </c>
      <c r="W401" s="40">
        <f>VLOOKUP(B401,'Player Data'!$A1:$AE734,11,FALSE)*$Q401*IFERROR((VLOOKUP(P401,Settings!$E$28:$F$33,2,FALSE)+1),1)</f>
        <v>2.049014013233718E-2</v>
      </c>
      <c r="X401" s="40">
        <f>VLOOKUP(B401,'Player Data'!$A1:$AE734,12,FALSE)*$Q401*IFERROR((VLOOKUP(P401,Settings!$E$28:$F$33,2,FALSE)+1),1)</f>
        <v>0.19923809661570271</v>
      </c>
      <c r="Y401" s="40">
        <f>VLOOKUP(B401,'Player Data'!$A1:$AE734,13,FALSE)*$Q401</f>
        <v>0.24306686564754088</v>
      </c>
      <c r="Z401" s="40">
        <f>VLOOKUP(B401,'Player Data'!$A1:$AE734,14,FALSE)*$Q401</f>
        <v>0.92929185664538749</v>
      </c>
      <c r="AA401" s="40">
        <f>VLOOKUP(B401,'Player Data'!$A1:$AE734,15,FALSE)*$Q401</f>
        <v>127.26515685926606</v>
      </c>
      <c r="AB401" s="40">
        <f>VLOOKUP(B401,'Player Data'!$A1:$AE734,16,FALSE)*$Q401</f>
        <v>148.73739367003239</v>
      </c>
      <c r="AC401" s="40">
        <f>VLOOKUP(B401,'Player Data'!$A1:$AE734,17,FALSE)*$Q401*IFERROR((VLOOKUP(P401,Settings!$E$28:$F$33,2,FALSE)+1),1)</f>
        <v>-1.0295143452321192</v>
      </c>
      <c r="AD401" s="40">
        <f>VLOOKUP(B401,'Player Data'!$A1:$AE734,18,FALSE)*$Q401</f>
        <v>23.73463837840427</v>
      </c>
      <c r="AE401" s="40">
        <f>VLOOKUP(B401,'Player Data'!$A1:$AE734,19,FALSE)*$Q401*IFERROR((VLOOKUP(P401,Settings!$E$28:$F$33,2,FALSE)+1),1)</f>
        <v>0.47464899325971477</v>
      </c>
      <c r="AF401" s="40">
        <f>VLOOKUP(B401,'Player Data'!$A1:$AE734,20,FALSE)*$Q401</f>
        <v>0</v>
      </c>
      <c r="AG401" s="40">
        <f>VLOOKUP(B401,'Player Data'!$A1:$AE734,21,FALSE)*$Q401</f>
        <v>0</v>
      </c>
      <c r="AH401" s="41">
        <f>VLOOKUP(B401,'Player Data'!$A1:$AE734,22,FALSE)</f>
        <v>0</v>
      </c>
      <c r="AI401" s="38"/>
      <c r="AJ401" s="42"/>
      <c r="AK401" s="40"/>
      <c r="AL401" s="40"/>
      <c r="AM401" s="40"/>
      <c r="AN401" s="40"/>
      <c r="AO401" s="40"/>
      <c r="AP401" s="40"/>
      <c r="AQ401" s="43"/>
      <c r="AR401" s="44"/>
      <c r="AS401" s="38"/>
    </row>
    <row r="402" spans="1:45" ht="21.2" customHeight="1">
      <c r="A402" s="181">
        <f t="shared" si="38"/>
        <v>401</v>
      </c>
      <c r="B402" s="8" t="s">
        <v>405</v>
      </c>
      <c r="C402" s="31" t="s">
        <v>104</v>
      </c>
      <c r="D402" s="32" t="str">
        <f>VLOOKUP(B402,'Player Data'!A1:D734,4,FALSE)</f>
        <v>LW,RW</v>
      </c>
      <c r="E402" s="45">
        <f>VLOOKUP(B402,RW!A1:F189,3,FALSE)</f>
        <v>93</v>
      </c>
      <c r="F402" s="34" t="str">
        <f>VLOOKUP(B402,'Player Data'!A1:B734,2,FALSE)</f>
        <v>ARI</v>
      </c>
      <c r="G402" s="9">
        <f>VLOOKUP(B402,'Player Data'!A1:D734,3,FALSE)</f>
        <v>26</v>
      </c>
      <c r="H402" s="35">
        <f>IFERROR(VLOOKUP(B402,ADP!A1:G731,7,FALSE)/1000000,VLOOKUP(B402,ADP!A1:G731,7,FALSE))</f>
        <v>4.3</v>
      </c>
      <c r="I402" s="36">
        <f>IF(Settings!$E$15="POINTS",((R402*Q402)*Settings!$B$12)+(S402*Settings!$B$2)+(T402*Settings!$B$3)+(U402*Settings!$B$4)+(V402*Settings!$B$5)+(X402*Settings!$B$9)+(AA402*Settings!$B$6)+(W402*Settings!$B$8)+(AB402*Settings!$B$7)+(AC402*Settings!$B$14)+(AD402*Settings!$B$15)+(AE402*Settings!$B$16)+(AF402*Settings!$B$17)+(AG402*Settings!$B$18)+(Y402*Settings!$B$10)+(Z402*Settings!$B$11),VLOOKUP(B402,'Standard Deviations'!A1:C731,3,FALSE))</f>
        <v>0.45234264417587711</v>
      </c>
      <c r="J402" s="37">
        <f t="shared" si="39"/>
        <v>5.5163737094619161E-3</v>
      </c>
      <c r="K402" s="183">
        <f>IF(Settings!$E$18="C/LW/RW",VLOOKUP(B402,RW!A1:F189,6,FALSE),VLOOKUP(B402,F!A1:F431,6,FALSE))</f>
        <v>-5.8279160748352039</v>
      </c>
      <c r="L402" s="36">
        <f t="shared" si="40"/>
        <v>-1.3553293197291172</v>
      </c>
      <c r="M402" s="38">
        <f>IF(Settings!$E$9="YAHOO",VLOOKUP(B402,ADP!A1:E731,2,FALSE),IF(Settings!$E$9="ESPN",VLOOKUP(B402,ADP!A1:E731,3,FALSE),IF(Settings!$E$9="FANTRAX",VLOOKUP(B402,ADP!A1:E731,4,FALSE),VLOOKUP(B402,ADP!A1:E731,5,FALSE))))</f>
        <v>193.25</v>
      </c>
      <c r="N402" s="38">
        <f t="shared" si="41"/>
        <v>-207.75</v>
      </c>
      <c r="O402" s="38"/>
      <c r="P402" s="39" t="str">
        <f>IF(Settings!$E$27="ON",_xlfn.XLOOKUP(B402,ADP!A2:A731,ADP!H2:H731)," ")</f>
        <v xml:space="preserve"> </v>
      </c>
      <c r="Q402" s="40">
        <f>IF(Settings!$E$12="YES",VLOOKUP(B402,'Player Data'!A1:E734,5,FALSE),82)</f>
        <v>82</v>
      </c>
      <c r="R402" s="38">
        <f>VLOOKUP(B402,'Player Data'!$A1:$AE734,6,FALSE)</f>
        <v>16.7469938562724</v>
      </c>
      <c r="S402" s="40">
        <f>VLOOKUP(B402,'Player Data'!$A1:$AE734,7,FALSE)*$Q402*IFERROR((VLOOKUP(P402,Settings!$E$28:$F$33,2,FALSE)+1),1)</f>
        <v>21.270272484082675</v>
      </c>
      <c r="T402" s="40">
        <f>VLOOKUP(B402,'Player Data'!$A1:$AE734,8,FALSE)*$Q402*IFERROR((VLOOKUP(P402,Settings!$E$28:$F$33,2,FALSE)+1),1)</f>
        <v>20.558179397184468</v>
      </c>
      <c r="U402" s="40">
        <f t="shared" si="37"/>
        <v>41.828451881267142</v>
      </c>
      <c r="V402" s="40">
        <f>VLOOKUP(B402,'Player Data'!$A1:$AE734,10,FALSE)*$Q402*IFERROR(((VLOOKUP(P402,Settings!$E$28:$F$33,2,FALSE)/2)+1),1)</f>
        <v>152.3978784291574</v>
      </c>
      <c r="W402" s="40">
        <f>VLOOKUP(B402,'Player Data'!$A1:$AE734,11,FALSE)*$Q402*IFERROR((VLOOKUP(P402,Settings!$E$28:$F$33,2,FALSE)+1),1)</f>
        <v>3.812736304348963</v>
      </c>
      <c r="X402" s="40">
        <f>VLOOKUP(B402,'Player Data'!$A1:$AE734,12,FALSE)*$Q402*IFERROR((VLOOKUP(P402,Settings!$E$28:$F$33,2,FALSE)+1),1)</f>
        <v>6.3382947223111437</v>
      </c>
      <c r="Y402" s="40">
        <f>VLOOKUP(B402,'Player Data'!$A1:$AE734,13,FALSE)*$Q402</f>
        <v>0.46099024717877601</v>
      </c>
      <c r="Z402" s="40">
        <f>VLOOKUP(B402,'Player Data'!$A1:$AE734,14,FALSE)*$Q402</f>
        <v>0.67363293855479622</v>
      </c>
      <c r="AA402" s="40">
        <f>VLOOKUP(B402,'Player Data'!$A1:$AE734,15,FALSE)*$Q402</f>
        <v>54.434597173576634</v>
      </c>
      <c r="AB402" s="40">
        <f>VLOOKUP(B402,'Player Data'!$A1:$AE734,16,FALSE)*$Q402</f>
        <v>193.1826474755311</v>
      </c>
      <c r="AC402" s="40">
        <f>VLOOKUP(B402,'Player Data'!$A1:$AE734,17,FALSE)*$Q402*IFERROR((VLOOKUP(P402,Settings!$E$28:$F$33,2,FALSE)+1),1)</f>
        <v>-2.823700208526259</v>
      </c>
      <c r="AD402" s="40">
        <f>VLOOKUP(B402,'Player Data'!$A1:$AE734,18,FALSE)*$Q402</f>
        <v>44.124663986607402</v>
      </c>
      <c r="AE402" s="40">
        <f>VLOOKUP(B402,'Player Data'!$A1:$AE734,19,FALSE)*$Q402*IFERROR((VLOOKUP(P402,Settings!$E$28:$F$33,2,FALSE)+1),1)</f>
        <v>2.6842360237865224</v>
      </c>
      <c r="AF402" s="40">
        <f>VLOOKUP(B402,'Player Data'!$A1:$AE734,20,FALSE)*$Q402</f>
        <v>30.701351449173114</v>
      </c>
      <c r="AG402" s="40">
        <f>VLOOKUP(B402,'Player Data'!$A1:$AE734,21,FALSE)*$Q402</f>
        <v>48.318245152318738</v>
      </c>
      <c r="AH402" s="41">
        <f>VLOOKUP(B402,'Player Data'!$A1:$AE734,22,FALSE)</f>
        <v>0.38852832423335198</v>
      </c>
      <c r="AI402" s="38"/>
      <c r="AJ402" s="42"/>
      <c r="AK402" s="40"/>
      <c r="AL402" s="40"/>
      <c r="AM402" s="40"/>
      <c r="AN402" s="40"/>
      <c r="AO402" s="40"/>
      <c r="AP402" s="40"/>
      <c r="AQ402" s="43"/>
      <c r="AR402" s="44"/>
      <c r="AS402" s="38"/>
    </row>
    <row r="403" spans="1:45" ht="21.2" customHeight="1">
      <c r="A403" s="181">
        <f t="shared" si="38"/>
        <v>402</v>
      </c>
      <c r="B403" s="8" t="s">
        <v>648</v>
      </c>
      <c r="C403" s="31" t="s">
        <v>104</v>
      </c>
      <c r="D403" s="32" t="str">
        <f>VLOOKUP(B403,'Player Data'!A1:D734,4,FALSE)</f>
        <v>RW</v>
      </c>
      <c r="E403" s="46">
        <f>VLOOKUP(B403,RW!A1:F189,3,FALSE)</f>
        <v>94</v>
      </c>
      <c r="F403" s="34" t="str">
        <f>VLOOKUP(B403,'Player Data'!A1:B734,2,FALSE)</f>
        <v>BUF</v>
      </c>
      <c r="G403" s="9">
        <f>VLOOKUP(B403,'Player Data'!A1:D734,3,FALSE)</f>
        <v>21</v>
      </c>
      <c r="H403" s="35">
        <f>IFERROR(VLOOKUP(B403,ADP!A1:G731,7,FALSE)/1000000,VLOOKUP(B403,ADP!A1:G731,7,FALSE))</f>
        <v>0.86333300000000002</v>
      </c>
      <c r="I403" s="36">
        <f>IF(Settings!$E$15="POINTS",((R403*Q403)*Settings!$B$12)+(S403*Settings!$B$2)+(T403*Settings!$B$3)+(U403*Settings!$B$4)+(V403*Settings!$B$5)+(X403*Settings!$B$9)+(AA403*Settings!$B$6)+(W403*Settings!$B$8)+(AB403*Settings!$B$7)+(AC403*Settings!$B$14)+(AD403*Settings!$B$15)+(AE403*Settings!$B$16)+(AF403*Settings!$B$17)+(AG403*Settings!$B$18)+(Y403*Settings!$B$10)+(Z403*Settings!$B$11),VLOOKUP(B403,'Standard Deviations'!A1:C731,3,FALSE))</f>
        <v>0.45010488439175816</v>
      </c>
      <c r="J403" s="37">
        <f t="shared" si="39"/>
        <v>5.4890839559970511E-3</v>
      </c>
      <c r="K403" s="183">
        <f>IF(Settings!$E$18="C/LW/RW",VLOOKUP(B403,RW!A1:F189,6,FALSE),VLOOKUP(B403,F!A1:F431,6,FALSE))</f>
        <v>-5.8301538346193222</v>
      </c>
      <c r="L403" s="36">
        <f t="shared" si="40"/>
        <v>-6.7530765470789627</v>
      </c>
      <c r="M403" s="38">
        <f>IF(Settings!$E$9="YAHOO",VLOOKUP(B403,ADP!A1:E731,2,FALSE),IF(Settings!$E$9="ESPN",VLOOKUP(B403,ADP!A1:E731,3,FALSE),IF(Settings!$E$9="FANTRAX",VLOOKUP(B403,ADP!A1:E731,4,FALSE),VLOOKUP(B403,ADP!A1:E731,5,FALSE))))</f>
        <v>1226.5999999999999</v>
      </c>
      <c r="N403" s="38">
        <f t="shared" si="41"/>
        <v>824.59999999999991</v>
      </c>
      <c r="O403" s="38"/>
      <c r="P403" s="39" t="str">
        <f>IF(Settings!$E$27="ON",_xlfn.XLOOKUP(B403,ADP!A2:A731,ADP!H2:H731)," ")</f>
        <v xml:space="preserve"> </v>
      </c>
      <c r="Q403" s="40">
        <f>IF(Settings!$E$12="YES",VLOOKUP(B403,'Player Data'!A1:E734,5,FALSE),82)</f>
        <v>82</v>
      </c>
      <c r="R403" s="38">
        <f>VLOOKUP(B403,'Player Data'!$A1:$AE734,6,FALSE)</f>
        <v>14.0614844163012</v>
      </c>
      <c r="S403" s="40">
        <f>VLOOKUP(B403,'Player Data'!$A1:$AE734,7,FALSE)*$Q403*IFERROR((VLOOKUP(P403,Settings!$E$28:$F$33,2,FALSE)+1),1)</f>
        <v>17.165398149341883</v>
      </c>
      <c r="T403" s="40">
        <f>VLOOKUP(B403,'Player Data'!$A1:$AE734,8,FALSE)*$Q403*IFERROR((VLOOKUP(P403,Settings!$E$28:$F$33,2,FALSE)+1),1)</f>
        <v>25.829898441667662</v>
      </c>
      <c r="U403" s="40">
        <f t="shared" si="37"/>
        <v>42.995296591009549</v>
      </c>
      <c r="V403" s="40">
        <f>VLOOKUP(B403,'Player Data'!$A1:$AE734,10,FALSE)*$Q403*IFERROR(((VLOOKUP(P403,Settings!$E$28:$F$33,2,FALSE)/2)+1),1)</f>
        <v>149.28223237743913</v>
      </c>
      <c r="W403" s="40">
        <f>VLOOKUP(B403,'Player Data'!$A1:$AE734,11,FALSE)*$Q403*IFERROR((VLOOKUP(P403,Settings!$E$28:$F$33,2,FALSE)+1),1)</f>
        <v>2.196507249552214</v>
      </c>
      <c r="X403" s="40">
        <f>VLOOKUP(B403,'Player Data'!$A1:$AE734,12,FALSE)*$Q403*IFERROR((VLOOKUP(P403,Settings!$E$28:$F$33,2,FALSE)+1),1)</f>
        <v>6.4322252082837279</v>
      </c>
      <c r="Y403" s="40">
        <f>VLOOKUP(B403,'Player Data'!$A1:$AE734,13,FALSE)*$Q403</f>
        <v>6.7925256813568341E-2</v>
      </c>
      <c r="Z403" s="40">
        <f>VLOOKUP(B403,'Player Data'!$A1:$AE734,14,FALSE)*$Q403</f>
        <v>0.39678289645503778</v>
      </c>
      <c r="AA403" s="40">
        <f>VLOOKUP(B403,'Player Data'!$A1:$AE734,15,FALSE)*$Q403</f>
        <v>25.635494639133412</v>
      </c>
      <c r="AB403" s="40">
        <f>VLOOKUP(B403,'Player Data'!$A1:$AE734,16,FALSE)*$Q403</f>
        <v>59.512493317077471</v>
      </c>
      <c r="AC403" s="40">
        <f>VLOOKUP(B403,'Player Data'!$A1:$AE734,17,FALSE)*$Q403*IFERROR((VLOOKUP(P403,Settings!$E$28:$F$33,2,FALSE)+1),1)</f>
        <v>-0.86069376220568861</v>
      </c>
      <c r="AD403" s="40">
        <f>VLOOKUP(B403,'Player Data'!$A1:$AE734,18,FALSE)*$Q403</f>
        <v>20.722380460189804</v>
      </c>
      <c r="AE403" s="40">
        <f>VLOOKUP(B403,'Player Data'!$A1:$AE734,19,FALSE)*$Q403*IFERROR((VLOOKUP(P403,Settings!$E$28:$F$33,2,FALSE)+1),1)</f>
        <v>2.1974980756511684</v>
      </c>
      <c r="AF403" s="40">
        <f>VLOOKUP(B403,'Player Data'!$A1:$AE734,20,FALSE)*$Q403</f>
        <v>11.859488753732325</v>
      </c>
      <c r="AG403" s="40">
        <f>VLOOKUP(B403,'Player Data'!$A1:$AE734,21,FALSE)*$Q403</f>
        <v>24.564334445547015</v>
      </c>
      <c r="AH403" s="41">
        <f>VLOOKUP(B403,'Player Data'!$A1:$AE734,22,FALSE)</f>
        <v>0.32559703271256102</v>
      </c>
      <c r="AI403" s="38"/>
      <c r="AJ403" s="42"/>
      <c r="AK403" s="40"/>
      <c r="AL403" s="40"/>
      <c r="AM403" s="40"/>
      <c r="AN403" s="40"/>
      <c r="AO403" s="40"/>
      <c r="AP403" s="40"/>
      <c r="AQ403" s="43"/>
      <c r="AR403" s="44"/>
      <c r="AS403" s="38"/>
    </row>
    <row r="404" spans="1:45" ht="21.2" customHeight="1">
      <c r="A404" s="181">
        <f t="shared" si="38"/>
        <v>403</v>
      </c>
      <c r="B404" s="8" t="s">
        <v>473</v>
      </c>
      <c r="C404" s="31" t="s">
        <v>104</v>
      </c>
      <c r="D404" s="32" t="str">
        <f>VLOOKUP(B404,'Player Data'!A1:D734,4,FALSE)</f>
        <v>D</v>
      </c>
      <c r="E404" s="47">
        <f>VLOOKUP(B404,D!A1:C229,3,FALSE)</f>
        <v>136</v>
      </c>
      <c r="F404" s="34" t="str">
        <f>VLOOKUP(B404,'Player Data'!A1:B734,2,FALSE)</f>
        <v>VGK</v>
      </c>
      <c r="G404" s="9">
        <f>VLOOKUP(B404,'Player Data'!A1:D734,3,FALSE)</f>
        <v>26</v>
      </c>
      <c r="H404" s="35">
        <f>IFERROR(VLOOKUP(B404,ADP!A1:G731,7,FALSE)/1000000,VLOOKUP(B404,ADP!A1:G731,7,FALSE))</f>
        <v>2.75</v>
      </c>
      <c r="I404" s="36">
        <f>IF(Settings!$E$15="POINTS",((R404*Q404)*Settings!$B$12)+(S404*Settings!$B$2)+(T404*Settings!$B$3)+(U404*Settings!$B$4)+(V404*Settings!$B$5)+(X404*Settings!$B$9)+(AA404*Settings!$B$6)+(W404*Settings!$B$8)+(AB404*Settings!$B$7)+(AC404*Settings!$B$14)+(AD404*Settings!$B$15)+(AE404*Settings!$B$16)+(AF404*Settings!$B$17)+(AG404*Settings!$B$18)+(U404*Settings!$B$13)+(Y404*Settings!$B$10)+(Z404*Settings!$B$11),VLOOKUP(B404,'Standard Deviations'!A1:C731,3,FALSE))</f>
        <v>-3.9038653310191989</v>
      </c>
      <c r="J404" s="37">
        <f t="shared" si="39"/>
        <v>-4.7608113792917059E-2</v>
      </c>
      <c r="K404" s="183">
        <f>VLOOKUP(B404,D!A1:F229,6,FALSE)</f>
        <v>-5.8456058746535096</v>
      </c>
      <c r="L404" s="36">
        <f t="shared" si="40"/>
        <v>-2.1256748635103673</v>
      </c>
      <c r="M404" s="52" t="str">
        <f>IF(Settings!$E$9="YAHOO",VLOOKUP(B404,ADP!A1:E731,2,FALSE),IF(Settings!$E$9="ESPN",VLOOKUP(B404,ADP!A1:E731,3,FALSE),IF(Settings!$E$9="FANTRAX",VLOOKUP(B404,ADP!A1:E731,4,FALSE),VLOOKUP(B404,ADP!A1:E731,5,FALSE))))</f>
        <v>-</v>
      </c>
      <c r="N404" s="52" t="str">
        <f t="shared" si="41"/>
        <v>N/A</v>
      </c>
      <c r="O404" s="38"/>
      <c r="P404" s="39" t="str">
        <f>IF(Settings!$E$27="ON",_xlfn.XLOOKUP(B404,ADP!A2:A731,ADP!H2:H731)," ")</f>
        <v xml:space="preserve"> </v>
      </c>
      <c r="Q404" s="40">
        <f>IF(Settings!$E$12="YES",VLOOKUP(B404,'Player Data'!A1:E734,5,FALSE),82)</f>
        <v>82</v>
      </c>
      <c r="R404" s="38">
        <f>VLOOKUP(B404,'Player Data'!$A1:$AE734,6,FALSE)</f>
        <v>17.367332460815401</v>
      </c>
      <c r="S404" s="40">
        <f>VLOOKUP(B404,'Player Data'!$A1:$AE734,7,FALSE)*$Q404*IFERROR((VLOOKUP(P404,Settings!$E$28:$F$33,2,FALSE)+1),1)</f>
        <v>6.7614726191852723</v>
      </c>
      <c r="T404" s="40">
        <f>VLOOKUP(B404,'Player Data'!$A1:$AE734,8,FALSE)*$Q404*IFERROR((VLOOKUP(P404,Settings!$E$28:$F$33,2,FALSE)+1),1)</f>
        <v>13.859405474468034</v>
      </c>
      <c r="U404" s="40">
        <f t="shared" si="37"/>
        <v>20.620878093653307</v>
      </c>
      <c r="V404" s="40">
        <f>VLOOKUP(B404,'Player Data'!$A1:$AE734,10,FALSE)*$Q404*IFERROR(((VLOOKUP(P404,Settings!$E$28:$F$33,2,FALSE)/2)+1),1)</f>
        <v>97.884907621810882</v>
      </c>
      <c r="W404" s="40">
        <f>VLOOKUP(B404,'Player Data'!$A1:$AE734,11,FALSE)*$Q404*IFERROR((VLOOKUP(P404,Settings!$E$28:$F$33,2,FALSE)+1),1)</f>
        <v>8.505951187538793E-3</v>
      </c>
      <c r="X404" s="40">
        <f>VLOOKUP(B404,'Player Data'!$A1:$AE734,12,FALSE)*$Q404*IFERROR((VLOOKUP(P404,Settings!$E$28:$F$33,2,FALSE)+1),1)</f>
        <v>5.3355296013774388E-2</v>
      </c>
      <c r="Y404" s="40">
        <f>VLOOKUP(B404,'Player Data'!$A1:$AE734,13,FALSE)*$Q404</f>
        <v>0.36608733209512612</v>
      </c>
      <c r="Z404" s="40">
        <f>VLOOKUP(B404,'Player Data'!$A1:$AE734,14,FALSE)*$Q404</f>
        <v>0.5442967541574083</v>
      </c>
      <c r="AA404" s="40">
        <f>VLOOKUP(B404,'Player Data'!$A1:$AE734,15,FALSE)*$Q404</f>
        <v>131.39196382784888</v>
      </c>
      <c r="AB404" s="40">
        <f>VLOOKUP(B404,'Player Data'!$A1:$AE734,16,FALSE)*$Q404</f>
        <v>123.26013724048431</v>
      </c>
      <c r="AC404" s="40">
        <f>VLOOKUP(B404,'Player Data'!$A1:$AE734,17,FALSE)*$Q404*IFERROR((VLOOKUP(P404,Settings!$E$28:$F$33,2,FALSE)+1),1)</f>
        <v>5.2505239715357765</v>
      </c>
      <c r="AD404" s="40">
        <f>VLOOKUP(B404,'Player Data'!$A1:$AE734,18,FALSE)*$Q404</f>
        <v>36.140382287402417</v>
      </c>
      <c r="AE404" s="40">
        <f>VLOOKUP(B404,'Player Data'!$A1:$AE734,19,FALSE)*$Q404*IFERROR((VLOOKUP(P404,Settings!$E$28:$F$33,2,FALSE)+1),1)</f>
        <v>1.1050091111184361</v>
      </c>
      <c r="AF404" s="40">
        <f>VLOOKUP(B404,'Player Data'!$A1:$AE734,20,FALSE)*$Q404</f>
        <v>0</v>
      </c>
      <c r="AG404" s="40">
        <f>VLOOKUP(B404,'Player Data'!$A1:$AE734,21,FALSE)*$Q404</f>
        <v>0</v>
      </c>
      <c r="AH404" s="41">
        <f>VLOOKUP(B404,'Player Data'!$A1:$AE734,22,FALSE)</f>
        <v>0</v>
      </c>
      <c r="AI404" s="38"/>
      <c r="AJ404" s="42"/>
      <c r="AK404" s="40"/>
      <c r="AL404" s="40"/>
      <c r="AM404" s="40"/>
      <c r="AN404" s="40"/>
      <c r="AO404" s="40"/>
      <c r="AP404" s="40"/>
      <c r="AQ404" s="43"/>
      <c r="AR404" s="44"/>
      <c r="AS404" s="38"/>
    </row>
    <row r="405" spans="1:45" ht="21.2" customHeight="1">
      <c r="A405" s="181">
        <f t="shared" si="38"/>
        <v>404</v>
      </c>
      <c r="B405" s="8" t="s">
        <v>489</v>
      </c>
      <c r="C405" s="31" t="s">
        <v>104</v>
      </c>
      <c r="D405" s="32" t="str">
        <f>VLOOKUP(B405,'Player Data'!A1:D734,4,FALSE)</f>
        <v>C,RW</v>
      </c>
      <c r="E405" s="45">
        <f>VLOOKUP(B405,RW!A1:F189,3,FALSE)</f>
        <v>95</v>
      </c>
      <c r="F405" s="34" t="str">
        <f>VLOOKUP(B405,'Player Data'!A1:B734,2,FALSE)</f>
        <v>CHI</v>
      </c>
      <c r="G405" s="9">
        <f>VLOOKUP(B405,'Player Data'!A1:D734,3,FALSE)</f>
        <v>33</v>
      </c>
      <c r="H405" s="35">
        <f>IFERROR(VLOOKUP(B405,ADP!A1:G731,7,FALSE)/1000000,VLOOKUP(B405,ADP!A1:G731,7,FALSE))</f>
        <v>5</v>
      </c>
      <c r="I405" s="36">
        <f>IF(Settings!$E$15="POINTS",((R405*Q405)*Settings!$B$12)+(S405*Settings!$B$2)+(T405*Settings!$B$3)+(U405*Settings!$B$4)+(V405*Settings!$B$5)+(X405*Settings!$B$9)+(AA405*Settings!$B$6)+(W405*Settings!$B$8)+(AB405*Settings!$B$7)+(AC405*Settings!$B$14)+(AD405*Settings!$B$15)+(AE405*Settings!$B$16)+(AF405*Settings!$B$17)+(AG405*Settings!$B$18)+(Y405*Settings!$B$10)+(Z405*Settings!$B$11),VLOOKUP(B405,'Standard Deviations'!A1:C731,3,FALSE))</f>
        <v>0.43438929329162029</v>
      </c>
      <c r="J405" s="37">
        <f t="shared" si="39"/>
        <v>5.2974304059953698E-3</v>
      </c>
      <c r="K405" s="183">
        <f>IF(Settings!$E$18="C/LW/RW",VLOOKUP(B405,RW!A1:F189,6,FALSE),VLOOKUP(B405,F!A1:F431,6,FALSE))</f>
        <v>-5.8458694257194601</v>
      </c>
      <c r="L405" s="36">
        <f t="shared" si="40"/>
        <v>-1.169173885143892</v>
      </c>
      <c r="M405" s="52" t="str">
        <f>IF(Settings!$E$9="YAHOO",VLOOKUP(B405,ADP!A1:E731,2,FALSE),IF(Settings!$E$9="ESPN",VLOOKUP(B405,ADP!A1:E731,3,FALSE),IF(Settings!$E$9="FANTRAX",VLOOKUP(B405,ADP!A1:E731,4,FALSE),VLOOKUP(B405,ADP!A1:E731,5,FALSE))))</f>
        <v>-</v>
      </c>
      <c r="N405" s="52" t="str">
        <f t="shared" si="41"/>
        <v>N/A</v>
      </c>
      <c r="O405" s="38"/>
      <c r="P405" s="39" t="str">
        <f>IF(Settings!$E$27="ON",_xlfn.XLOOKUP(B405,ADP!A2:A731,ADP!H2:H731)," ")</f>
        <v xml:space="preserve"> </v>
      </c>
      <c r="Q405" s="40">
        <f>IF(Settings!$E$12="YES",VLOOKUP(B405,'Player Data'!A1:E734,5,FALSE),82)</f>
        <v>82</v>
      </c>
      <c r="R405" s="38">
        <f>VLOOKUP(B405,'Player Data'!$A1:$AE734,6,FALSE)</f>
        <v>15.7077322791556</v>
      </c>
      <c r="S405" s="40">
        <f>VLOOKUP(B405,'Player Data'!$A1:$AE734,7,FALSE)*$Q405*IFERROR((VLOOKUP(P405,Settings!$E$28:$F$33,2,FALSE)+1),1)</f>
        <v>14.541350853638463</v>
      </c>
      <c r="T405" s="40">
        <f>VLOOKUP(B405,'Player Data'!$A1:$AE734,8,FALSE)*$Q405*IFERROR((VLOOKUP(P405,Settings!$E$28:$F$33,2,FALSE)+1),1)</f>
        <v>23.846430469705307</v>
      </c>
      <c r="U405" s="40">
        <f t="shared" si="37"/>
        <v>38.387781323343773</v>
      </c>
      <c r="V405" s="40">
        <f>VLOOKUP(B405,'Player Data'!$A1:$AE734,10,FALSE)*$Q405*IFERROR(((VLOOKUP(P405,Settings!$E$28:$F$33,2,FALSE)/2)+1),1)</f>
        <v>164.17414806006329</v>
      </c>
      <c r="W405" s="40">
        <f>VLOOKUP(B405,'Player Data'!$A1:$AE734,11,FALSE)*$Q405*IFERROR((VLOOKUP(P405,Settings!$E$28:$F$33,2,FALSE)+1),1)</f>
        <v>3.6992138070986136</v>
      </c>
      <c r="X405" s="40">
        <f>VLOOKUP(B405,'Player Data'!$A1:$AE734,12,FALSE)*$Q405*IFERROR((VLOOKUP(P405,Settings!$E$28:$F$33,2,FALSE)+1),1)</f>
        <v>9.7555267443964357</v>
      </c>
      <c r="Y405" s="40">
        <f>VLOOKUP(B405,'Player Data'!$A1:$AE734,13,FALSE)*$Q405</f>
        <v>1.842752237338089E-2</v>
      </c>
      <c r="Z405" s="40">
        <f>VLOOKUP(B405,'Player Data'!$A1:$AE734,14,FALSE)*$Q405</f>
        <v>3.1096265540362614E-2</v>
      </c>
      <c r="AA405" s="40">
        <f>VLOOKUP(B405,'Player Data'!$A1:$AE734,15,FALSE)*$Q405</f>
        <v>34.124484552198084</v>
      </c>
      <c r="AB405" s="40">
        <f>VLOOKUP(B405,'Player Data'!$A1:$AE734,16,FALSE)*$Q405</f>
        <v>82.529841666377422</v>
      </c>
      <c r="AC405" s="40">
        <f>VLOOKUP(B405,'Player Data'!$A1:$AE734,17,FALSE)*$Q405*IFERROR((VLOOKUP(P405,Settings!$E$28:$F$33,2,FALSE)+1),1)</f>
        <v>-7.9658174320662614</v>
      </c>
      <c r="AD405" s="40">
        <f>VLOOKUP(B405,'Player Data'!$A1:$AE734,18,FALSE)*$Q405</f>
        <v>28.576943484372215</v>
      </c>
      <c r="AE405" s="40">
        <f>VLOOKUP(B405,'Player Data'!$A1:$AE734,19,FALSE)*$Q405*IFERROR((VLOOKUP(P405,Settings!$E$28:$F$33,2,FALSE)+1),1)</f>
        <v>1.7039780605077406</v>
      </c>
      <c r="AF405" s="40">
        <f>VLOOKUP(B405,'Player Data'!$A1:$AE734,20,FALSE)*$Q405</f>
        <v>112.87328908465319</v>
      </c>
      <c r="AG405" s="40">
        <f>VLOOKUP(B405,'Player Data'!$A1:$AE734,21,FALSE)*$Q405</f>
        <v>96.647735471154249</v>
      </c>
      <c r="AH405" s="41">
        <f>VLOOKUP(B405,'Player Data'!$A1:$AE734,22,FALSE)</f>
        <v>0.53872058579299498</v>
      </c>
      <c r="AI405" s="38"/>
      <c r="AJ405" s="42"/>
      <c r="AK405" s="40"/>
      <c r="AL405" s="40"/>
      <c r="AM405" s="40"/>
      <c r="AN405" s="40"/>
      <c r="AO405" s="40"/>
      <c r="AP405" s="40"/>
      <c r="AQ405" s="43"/>
      <c r="AR405" s="44"/>
      <c r="AS405" s="38"/>
    </row>
    <row r="406" spans="1:45" ht="21.2" customHeight="1">
      <c r="A406" s="181">
        <f t="shared" si="38"/>
        <v>405</v>
      </c>
      <c r="B406" s="8" t="s">
        <v>441</v>
      </c>
      <c r="C406" s="31" t="s">
        <v>104</v>
      </c>
      <c r="D406" s="32" t="str">
        <f>VLOOKUP(B406,'Player Data'!A1:D734,4,FALSE)</f>
        <v>D</v>
      </c>
      <c r="E406" s="47">
        <f>VLOOKUP(B406,D!A1:C229,3,FALSE)</f>
        <v>137</v>
      </c>
      <c r="F406" s="34" t="str">
        <f>VLOOKUP(B406,'Player Data'!A1:B734,2,FALSE)</f>
        <v>WPG</v>
      </c>
      <c r="G406" s="9">
        <f>VLOOKUP(B406,'Player Data'!A1:D734,3,FALSE)</f>
        <v>30</v>
      </c>
      <c r="H406" s="35">
        <f>IFERROR(VLOOKUP(B406,ADP!A1:G731,7,FALSE)/1000000,VLOOKUP(B406,ADP!A1:G731,7,FALSE))</f>
        <v>3</v>
      </c>
      <c r="I406" s="36">
        <f>IF(Settings!$E$15="POINTS",((R406*Q406)*Settings!$B$12)+(S406*Settings!$B$2)+(T406*Settings!$B$3)+(U406*Settings!$B$4)+(V406*Settings!$B$5)+(X406*Settings!$B$9)+(AA406*Settings!$B$6)+(W406*Settings!$B$8)+(AB406*Settings!$B$7)+(AC406*Settings!$B$14)+(AD406*Settings!$B$15)+(AE406*Settings!$B$16)+(AF406*Settings!$B$17)+(AG406*Settings!$B$18)+(U406*Settings!$B$13)+(Y406*Settings!$B$10)+(Z406*Settings!$B$11),VLOOKUP(B406,'Standard Deviations'!A1:C731,3,FALSE))</f>
        <v>-3.9078958454242168</v>
      </c>
      <c r="J406" s="37">
        <f t="shared" si="39"/>
        <v>-4.7657266407612399E-2</v>
      </c>
      <c r="K406" s="183">
        <f>VLOOKUP(B406,D!A1:F229,6,FALSE)</f>
        <v>-5.8496363890585279</v>
      </c>
      <c r="L406" s="36">
        <f t="shared" si="40"/>
        <v>-1.9498787963528426</v>
      </c>
      <c r="M406" s="52" t="str">
        <f>IF(Settings!$E$9="YAHOO",VLOOKUP(B406,ADP!A1:E731,2,FALSE),IF(Settings!$E$9="ESPN",VLOOKUP(B406,ADP!A1:E731,3,FALSE),IF(Settings!$E$9="FANTRAX",VLOOKUP(B406,ADP!A1:E731,4,FALSE),VLOOKUP(B406,ADP!A1:E731,5,FALSE))))</f>
        <v>-</v>
      </c>
      <c r="N406" s="52" t="str">
        <f t="shared" si="41"/>
        <v>N/A</v>
      </c>
      <c r="O406" s="38"/>
      <c r="P406" s="39" t="str">
        <f>IF(Settings!$E$27="ON",_xlfn.XLOOKUP(B406,ADP!A2:A731,ADP!H2:H731)," ")</f>
        <v xml:space="preserve"> </v>
      </c>
      <c r="Q406" s="40">
        <f>IF(Settings!$E$12="YES",VLOOKUP(B406,'Player Data'!A1:E734,5,FALSE),82)</f>
        <v>82</v>
      </c>
      <c r="R406" s="38">
        <f>VLOOKUP(B406,'Player Data'!$A1:$AE734,6,FALSE)</f>
        <v>19.380017271341501</v>
      </c>
      <c r="S406" s="40">
        <f>VLOOKUP(B406,'Player Data'!$A1:$AE734,7,FALSE)*$Q406*IFERROR((VLOOKUP(P406,Settings!$E$28:$F$33,2,FALSE)+1),1)</f>
        <v>2.8895638576559493</v>
      </c>
      <c r="T406" s="40">
        <f>VLOOKUP(B406,'Player Data'!$A1:$AE734,8,FALSE)*$Q406*IFERROR((VLOOKUP(P406,Settings!$E$28:$F$33,2,FALSE)+1),1)</f>
        <v>18.508073464509732</v>
      </c>
      <c r="U406" s="40">
        <f t="shared" ref="U406:U469" si="42">SUM(S406:T406)</f>
        <v>21.397637322165682</v>
      </c>
      <c r="V406" s="40">
        <f>VLOOKUP(B406,'Player Data'!$A1:$AE734,10,FALSE)*$Q406*IFERROR(((VLOOKUP(P406,Settings!$E$28:$F$33,2,FALSE)/2)+1),1)</f>
        <v>96.946857853472466</v>
      </c>
      <c r="W406" s="40">
        <f>VLOOKUP(B406,'Player Data'!$A1:$AE734,11,FALSE)*$Q406*IFERROR((VLOOKUP(P406,Settings!$E$28:$F$33,2,FALSE)+1),1)</f>
        <v>2.5154974842793776E-2</v>
      </c>
      <c r="X406" s="40">
        <f>VLOOKUP(B406,'Player Data'!$A1:$AE734,12,FALSE)*$Q406*IFERROR((VLOOKUP(P406,Settings!$E$28:$F$33,2,FALSE)+1),1)</f>
        <v>0.16479959852804379</v>
      </c>
      <c r="Y406" s="40">
        <f>VLOOKUP(B406,'Player Data'!$A1:$AE734,13,FALSE)*$Q406</f>
        <v>0.75041534438379021</v>
      </c>
      <c r="Z406" s="40">
        <f>VLOOKUP(B406,'Player Data'!$A1:$AE734,14,FALSE)*$Q406</f>
        <v>2.2311642576308119</v>
      </c>
      <c r="AA406" s="40">
        <f>VLOOKUP(B406,'Player Data'!$A1:$AE734,15,FALSE)*$Q406</f>
        <v>115.71456710930593</v>
      </c>
      <c r="AB406" s="40">
        <f>VLOOKUP(B406,'Player Data'!$A1:$AE734,16,FALSE)*$Q406</f>
        <v>129.06239880071939</v>
      </c>
      <c r="AC406" s="40">
        <f>VLOOKUP(B406,'Player Data'!$A1:$AE734,17,FALSE)*$Q406*IFERROR((VLOOKUP(P406,Settings!$E$28:$F$33,2,FALSE)+1),1)</f>
        <v>2.8076955807562123</v>
      </c>
      <c r="AD406" s="40">
        <f>VLOOKUP(B406,'Player Data'!$A1:$AE734,18,FALSE)*$Q406</f>
        <v>42.901088508745879</v>
      </c>
      <c r="AE406" s="40">
        <f>VLOOKUP(B406,'Player Data'!$A1:$AE734,19,FALSE)*$Q406*IFERROR((VLOOKUP(P406,Settings!$E$28:$F$33,2,FALSE)+1),1)</f>
        <v>0.45078163369051477</v>
      </c>
      <c r="AF406" s="40">
        <f>VLOOKUP(B406,'Player Data'!$A1:$AE734,20,FALSE)*$Q406</f>
        <v>0</v>
      </c>
      <c r="AG406" s="40">
        <f>VLOOKUP(B406,'Player Data'!$A1:$AE734,21,FALSE)*$Q406</f>
        <v>0</v>
      </c>
      <c r="AH406" s="41">
        <f>VLOOKUP(B406,'Player Data'!$A1:$AE734,22,FALSE)</f>
        <v>0</v>
      </c>
      <c r="AI406" s="38"/>
      <c r="AJ406" s="40"/>
      <c r="AK406" s="40"/>
      <c r="AL406" s="40"/>
      <c r="AM406" s="40"/>
      <c r="AN406" s="40"/>
      <c r="AO406" s="40"/>
      <c r="AP406" s="40"/>
      <c r="AQ406" s="43"/>
      <c r="AR406" s="44"/>
      <c r="AS406" s="42"/>
    </row>
    <row r="407" spans="1:45" ht="21.2" customHeight="1">
      <c r="A407" s="181">
        <f t="shared" si="38"/>
        <v>406</v>
      </c>
      <c r="B407" s="8" t="s">
        <v>455</v>
      </c>
      <c r="C407" s="31" t="s">
        <v>104</v>
      </c>
      <c r="D407" s="32" t="str">
        <f>VLOOKUP(B407,'Player Data'!A1:D734,4,FALSE)</f>
        <v>D</v>
      </c>
      <c r="E407" s="47">
        <f>VLOOKUP(B407,D!A1:C229,3,FALSE)</f>
        <v>138</v>
      </c>
      <c r="F407" s="34" t="str">
        <f>VLOOKUP(B407,'Player Data'!A1:B734,2,FALSE)</f>
        <v>NSH</v>
      </c>
      <c r="G407" s="9">
        <f>VLOOKUP(B407,'Player Data'!A1:D734,3,FALSE)</f>
        <v>25</v>
      </c>
      <c r="H407" s="35">
        <f>IFERROR(VLOOKUP(B407,ADP!A1:G731,7,FALSE)/1000000,VLOOKUP(B407,ADP!A1:G731,7,FALSE))</f>
        <v>2.5</v>
      </c>
      <c r="I407" s="36">
        <f>IF(Settings!$E$15="POINTS",((R407*Q407)*Settings!$B$12)+(S407*Settings!$B$2)+(T407*Settings!$B$3)+(U407*Settings!$B$4)+(V407*Settings!$B$5)+(X407*Settings!$B$9)+(AA407*Settings!$B$6)+(W407*Settings!$B$8)+(AB407*Settings!$B$7)+(AC407*Settings!$B$14)+(AD407*Settings!$B$15)+(AE407*Settings!$B$16)+(AF407*Settings!$B$17)+(AG407*Settings!$B$18)+(U407*Settings!$B$13)+(Y407*Settings!$B$10)+(Z407*Settings!$B$11),VLOOKUP(B407,'Standard Deviations'!A1:C731,3,FALSE))</f>
        <v>-3.9116558868091889</v>
      </c>
      <c r="J407" s="37">
        <f t="shared" si="39"/>
        <v>-4.770312057084377E-2</v>
      </c>
      <c r="K407" s="183">
        <f>VLOOKUP(B407,D!A1:F229,6,FALSE)</f>
        <v>-5.8533964304434996</v>
      </c>
      <c r="L407" s="36">
        <f t="shared" si="40"/>
        <v>-2.3413585721773997</v>
      </c>
      <c r="M407" s="52" t="str">
        <f>IF(Settings!$E$9="YAHOO",VLOOKUP(B407,ADP!A1:E731,2,FALSE),IF(Settings!$E$9="ESPN",VLOOKUP(B407,ADP!A1:E731,3,FALSE),IF(Settings!$E$9="FANTRAX",VLOOKUP(B407,ADP!A1:E731,4,FALSE),VLOOKUP(B407,ADP!A1:E731,5,FALSE))))</f>
        <v>-</v>
      </c>
      <c r="N407" s="52" t="str">
        <f t="shared" si="41"/>
        <v>N/A</v>
      </c>
      <c r="O407" s="38"/>
      <c r="P407" s="39" t="str">
        <f>IF(Settings!$E$27="ON",_xlfn.XLOOKUP(B407,ADP!A2:A731,ADP!H2:H731)," ")</f>
        <v xml:space="preserve"> </v>
      </c>
      <c r="Q407" s="40">
        <f>IF(Settings!$E$12="YES",VLOOKUP(B407,'Player Data'!A1:E734,5,FALSE),82)</f>
        <v>82</v>
      </c>
      <c r="R407" s="38">
        <f>VLOOKUP(B407,'Player Data'!$A1:$AE734,6,FALSE)</f>
        <v>17.832198404279101</v>
      </c>
      <c r="S407" s="40">
        <f>VLOOKUP(B407,'Player Data'!$A1:$AE734,7,FALSE)*$Q407*IFERROR((VLOOKUP(P407,Settings!$E$28:$F$33,2,FALSE)+1),1)</f>
        <v>3.1587594176167588</v>
      </c>
      <c r="T407" s="40">
        <f>VLOOKUP(B407,'Player Data'!$A1:$AE734,8,FALSE)*$Q407*IFERROR((VLOOKUP(P407,Settings!$E$28:$F$33,2,FALSE)+1),1)</f>
        <v>16.479983246746006</v>
      </c>
      <c r="U407" s="40">
        <f t="shared" si="42"/>
        <v>19.638742664362766</v>
      </c>
      <c r="V407" s="40">
        <f>VLOOKUP(B407,'Player Data'!$A1:$AE734,10,FALSE)*$Q407*IFERROR(((VLOOKUP(P407,Settings!$E$28:$F$33,2,FALSE)/2)+1),1)</f>
        <v>106.40041465876881</v>
      </c>
      <c r="W407" s="40">
        <f>VLOOKUP(B407,'Player Data'!$A1:$AE734,11,FALSE)*$Q407*IFERROR((VLOOKUP(P407,Settings!$E$28:$F$33,2,FALSE)+1),1)</f>
        <v>0.12713791938212587</v>
      </c>
      <c r="X407" s="40">
        <f>VLOOKUP(B407,'Player Data'!$A1:$AE734,12,FALSE)*$Q407*IFERROR((VLOOKUP(P407,Settings!$E$28:$F$33,2,FALSE)+1),1)</f>
        <v>0.5294935605178771</v>
      </c>
      <c r="Y407" s="40">
        <f>VLOOKUP(B407,'Player Data'!$A1:$AE734,13,FALSE)*$Q407</f>
        <v>3.7041665755451605E-2</v>
      </c>
      <c r="Z407" s="40">
        <f>VLOOKUP(B407,'Player Data'!$A1:$AE734,14,FALSE)*$Q407</f>
        <v>0.20327257697749768</v>
      </c>
      <c r="AA407" s="40">
        <f>VLOOKUP(B407,'Player Data'!$A1:$AE734,15,FALSE)*$Q407</f>
        <v>124.32141265226204</v>
      </c>
      <c r="AB407" s="40">
        <f>VLOOKUP(B407,'Player Data'!$A1:$AE734,16,FALSE)*$Q407</f>
        <v>109.97676506617074</v>
      </c>
      <c r="AC407" s="40">
        <f>VLOOKUP(B407,'Player Data'!$A1:$AE734,17,FALSE)*$Q407*IFERROR((VLOOKUP(P407,Settings!$E$28:$F$33,2,FALSE)+1),1)</f>
        <v>-1.0751944419475681</v>
      </c>
      <c r="AD407" s="40">
        <f>VLOOKUP(B407,'Player Data'!$A1:$AE734,18,FALSE)*$Q407</f>
        <v>42.086639088192541</v>
      </c>
      <c r="AE407" s="40">
        <f>VLOOKUP(B407,'Player Data'!$A1:$AE734,19,FALSE)*$Q407*IFERROR((VLOOKUP(P407,Settings!$E$28:$F$33,2,FALSE)+1),1)</f>
        <v>0.46126148941006417</v>
      </c>
      <c r="AF407" s="40">
        <f>VLOOKUP(B407,'Player Data'!$A1:$AE734,20,FALSE)*$Q407</f>
        <v>0</v>
      </c>
      <c r="AG407" s="40">
        <f>VLOOKUP(B407,'Player Data'!$A1:$AE734,21,FALSE)*$Q407</f>
        <v>0</v>
      </c>
      <c r="AH407" s="41">
        <f>VLOOKUP(B407,'Player Data'!$A1:$AE734,22,FALSE)</f>
        <v>0</v>
      </c>
      <c r="AI407" s="38"/>
      <c r="AJ407" s="42"/>
      <c r="AK407" s="40"/>
      <c r="AL407" s="40"/>
      <c r="AM407" s="40"/>
      <c r="AN407" s="40"/>
      <c r="AO407" s="40"/>
      <c r="AP407" s="40"/>
      <c r="AQ407" s="43"/>
      <c r="AR407" s="44"/>
      <c r="AS407" s="38"/>
    </row>
    <row r="408" spans="1:45" ht="21.2" customHeight="1">
      <c r="A408" s="181">
        <f t="shared" si="38"/>
        <v>407</v>
      </c>
      <c r="B408" s="8" t="s">
        <v>429</v>
      </c>
      <c r="C408" s="31" t="s">
        <v>104</v>
      </c>
      <c r="D408" s="32" t="str">
        <f>VLOOKUP(B408,'Player Data'!A1:D734,4,FALSE)</f>
        <v>C,LW</v>
      </c>
      <c r="E408" s="45">
        <f>VLOOKUP(B408,LW!A1:C227,3,FALSE)</f>
        <v>92</v>
      </c>
      <c r="F408" s="34" t="str">
        <f>VLOOKUP(B408,'Player Data'!A1:B734,2,FALSE)</f>
        <v>CAR</v>
      </c>
      <c r="G408" s="9">
        <f>VLOOKUP(B408,'Player Data'!A1:D734,3,FALSE)</f>
        <v>23</v>
      </c>
      <c r="H408" s="35">
        <f>IFERROR(VLOOKUP(B408,ADP!A1:G731,7,FALSE)/1000000,VLOOKUP(B408,ADP!A1:G731,7,FALSE))</f>
        <v>4.82</v>
      </c>
      <c r="I408" s="36">
        <f>IF(Settings!$E$15="POINTS",((R408*Q408)*Settings!$B$12)+(S408*Settings!$B$2)+(T408*Settings!$B$3)+(U408*Settings!$B$4)+(V408*Settings!$B$5)+(X408*Settings!$B$9)+(AA408*Settings!$B$6)+(W408*Settings!$B$8)+(AB408*Settings!$B$7)+(AC408*Settings!$B$14)+(AD408*Settings!$B$15)+(AE408*Settings!$B$16)+(AF408*Settings!$B$17)+(AG408*Settings!$B$18)+(Y408*Settings!$B$10)+(Z408*Settings!$B$11),VLOOKUP(B408,'Standard Deviations'!A1:C731,3,FALSE))</f>
        <v>0.78602511540802422</v>
      </c>
      <c r="J408" s="37">
        <f t="shared" si="39"/>
        <v>9.5856721391222467E-3</v>
      </c>
      <c r="K408" s="183">
        <f>IF(Settings!$E$18="C/LW/RW",VLOOKUP(B408,LW!A1:F227,6,FALSE),VLOOKUP(B408,F!A1:F431,6,FALSE))</f>
        <v>-5.8686439287163772</v>
      </c>
      <c r="L408" s="36">
        <f t="shared" si="40"/>
        <v>-1.2175609810614889</v>
      </c>
      <c r="M408" s="38">
        <f>IF(Settings!$E$9="YAHOO",VLOOKUP(B408,ADP!A1:E731,2,FALSE),IF(Settings!$E$9="ESPN",VLOOKUP(B408,ADP!A1:E731,3,FALSE),IF(Settings!$E$9="FANTRAX",VLOOKUP(B408,ADP!A1:E731,4,FALSE),VLOOKUP(B408,ADP!A1:E731,5,FALSE))))</f>
        <v>395.01</v>
      </c>
      <c r="N408" s="38">
        <f t="shared" si="41"/>
        <v>-11.990000000000009</v>
      </c>
      <c r="O408" s="38"/>
      <c r="P408" s="39" t="str">
        <f>IF(Settings!$E$27="ON",_xlfn.XLOOKUP(B408,ADP!A2:A731,ADP!H2:H731)," ")</f>
        <v xml:space="preserve"> </v>
      </c>
      <c r="Q408" s="40">
        <f>IF(Settings!$E$12="YES",VLOOKUP(B408,'Player Data'!A1:E734,5,FALSE),82)</f>
        <v>82</v>
      </c>
      <c r="R408" s="38">
        <f>VLOOKUP(B408,'Player Data'!$A1:$AE734,6,FALSE)</f>
        <v>15.5134607343723</v>
      </c>
      <c r="S408" s="40">
        <f>VLOOKUP(B408,'Player Data'!$A1:$AE734,7,FALSE)*$Q408*IFERROR((VLOOKUP(P408,Settings!$E$28:$F$33,2,FALSE)+1),1)</f>
        <v>18.91915174674968</v>
      </c>
      <c r="T408" s="40">
        <f>VLOOKUP(B408,'Player Data'!$A1:$AE734,8,FALSE)*$Q408*IFERROR((VLOOKUP(P408,Settings!$E$28:$F$33,2,FALSE)+1),1)</f>
        <v>27.446859095138215</v>
      </c>
      <c r="U408" s="40">
        <f t="shared" si="42"/>
        <v>46.366010841887899</v>
      </c>
      <c r="V408" s="40">
        <f>VLOOKUP(B408,'Player Data'!$A1:$AE734,10,FALSE)*$Q408*IFERROR(((VLOOKUP(P408,Settings!$E$28:$F$33,2,FALSE)/2)+1),1)</f>
        <v>133.39302494663497</v>
      </c>
      <c r="W408" s="40">
        <f>VLOOKUP(B408,'Player Data'!$A1:$AE734,11,FALSE)*$Q408*IFERROR((VLOOKUP(P408,Settings!$E$28:$F$33,2,FALSE)+1),1)</f>
        <v>2.0367228427902022</v>
      </c>
      <c r="X408" s="40">
        <f>VLOOKUP(B408,'Player Data'!$A1:$AE734,12,FALSE)*$Q408*IFERROR((VLOOKUP(P408,Settings!$E$28:$F$33,2,FALSE)+1),1)</f>
        <v>8.1141279450550403</v>
      </c>
      <c r="Y408" s="40">
        <f>VLOOKUP(B408,'Player Data'!$A1:$AE734,13,FALSE)*$Q408</f>
        <v>0.34161705011274557</v>
      </c>
      <c r="Z408" s="40">
        <f>VLOOKUP(B408,'Player Data'!$A1:$AE734,14,FALSE)*$Q408</f>
        <v>0.40594262294025829</v>
      </c>
      <c r="AA408" s="40">
        <f>VLOOKUP(B408,'Player Data'!$A1:$AE734,15,FALSE)*$Q408</f>
        <v>25.44820651818079</v>
      </c>
      <c r="AB408" s="40">
        <f>VLOOKUP(B408,'Player Data'!$A1:$AE734,16,FALSE)*$Q408</f>
        <v>108.73938619045798</v>
      </c>
      <c r="AC408" s="40">
        <f>VLOOKUP(B408,'Player Data'!$A1:$AE734,17,FALSE)*$Q408*IFERROR((VLOOKUP(P408,Settings!$E$28:$F$33,2,FALSE)+1),1)</f>
        <v>7.171991678341131</v>
      </c>
      <c r="AD408" s="40">
        <f>VLOOKUP(B408,'Player Data'!$A1:$AE734,18,FALSE)*$Q408</f>
        <v>40.827415774651719</v>
      </c>
      <c r="AE408" s="40">
        <f>VLOOKUP(B408,'Player Data'!$A1:$AE734,19,FALSE)*$Q408*IFERROR((VLOOKUP(P408,Settings!$E$28:$F$33,2,FALSE)+1),1)</f>
        <v>3.394519455211134</v>
      </c>
      <c r="AF408" s="40">
        <f>VLOOKUP(B408,'Player Data'!$A1:$AE734,20,FALSE)*$Q408</f>
        <v>368.90240138025837</v>
      </c>
      <c r="AG408" s="40">
        <f>VLOOKUP(B408,'Player Data'!$A1:$AE734,21,FALSE)*$Q408</f>
        <v>359.25455322493883</v>
      </c>
      <c r="AH408" s="41">
        <f>VLOOKUP(B408,'Player Data'!$A1:$AE734,22,FALSE)</f>
        <v>0.50662484104168903</v>
      </c>
      <c r="AI408" s="38"/>
      <c r="AJ408" s="42"/>
      <c r="AK408" s="40"/>
      <c r="AL408" s="40"/>
      <c r="AM408" s="40"/>
      <c r="AN408" s="40"/>
      <c r="AO408" s="40"/>
      <c r="AP408" s="40"/>
      <c r="AQ408" s="43"/>
      <c r="AR408" s="44"/>
      <c r="AS408" s="38"/>
    </row>
    <row r="409" spans="1:45" ht="21.2" customHeight="1">
      <c r="A409" s="181">
        <f t="shared" si="38"/>
        <v>408</v>
      </c>
      <c r="B409" s="8" t="s">
        <v>485</v>
      </c>
      <c r="C409" s="31" t="s">
        <v>104</v>
      </c>
      <c r="D409" s="32" t="str">
        <f>VLOOKUP(B409,'Player Data'!A1:D734,4,FALSE)</f>
        <v>D</v>
      </c>
      <c r="E409" s="47">
        <f>VLOOKUP(B409,D!A1:C229,3,FALSE)</f>
        <v>139</v>
      </c>
      <c r="F409" s="34" t="str">
        <f>VLOOKUP(B409,'Player Data'!A1:B734,2,FALSE)</f>
        <v>NJD</v>
      </c>
      <c r="G409" s="9">
        <f>VLOOKUP(B409,'Player Data'!A1:D734,3,FALSE)</f>
        <v>30</v>
      </c>
      <c r="H409" s="35">
        <f>IFERROR(VLOOKUP(B409,ADP!A1:G731,7,FALSE)/1000000,VLOOKUP(B409,ADP!A1:G731,7,FALSE))</f>
        <v>1.85</v>
      </c>
      <c r="I409" s="36">
        <f>IF(Settings!$E$15="POINTS",((R409*Q409)*Settings!$B$12)+(S409*Settings!$B$2)+(T409*Settings!$B$3)+(U409*Settings!$B$4)+(V409*Settings!$B$5)+(X409*Settings!$B$9)+(AA409*Settings!$B$6)+(W409*Settings!$B$8)+(AB409*Settings!$B$7)+(AC409*Settings!$B$14)+(AD409*Settings!$B$15)+(AE409*Settings!$B$16)+(AF409*Settings!$B$17)+(AG409*Settings!$B$18)+(U409*Settings!$B$13)+(Y409*Settings!$B$10)+(Z409*Settings!$B$11),VLOOKUP(B409,'Standard Deviations'!A1:C731,3,FALSE))</f>
        <v>-3.9407285037924358</v>
      </c>
      <c r="J409" s="37">
        <f t="shared" si="39"/>
        <v>-4.8057664680395559E-2</v>
      </c>
      <c r="K409" s="183">
        <f>VLOOKUP(B409,D!A1:F229,6,FALSE)</f>
        <v>-5.8824690474267465</v>
      </c>
      <c r="L409" s="36">
        <f t="shared" si="40"/>
        <v>-3.1797129986090522</v>
      </c>
      <c r="M409" s="52" t="str">
        <f>IF(Settings!$E$9="YAHOO",VLOOKUP(B409,ADP!A1:E731,2,FALSE),IF(Settings!$E$9="ESPN",VLOOKUP(B409,ADP!A1:E731,3,FALSE),IF(Settings!$E$9="FANTRAX",VLOOKUP(B409,ADP!A1:E731,4,FALSE),VLOOKUP(B409,ADP!A1:E731,5,FALSE))))</f>
        <v>-</v>
      </c>
      <c r="N409" s="52" t="str">
        <f t="shared" si="41"/>
        <v>N/A</v>
      </c>
      <c r="O409" s="38"/>
      <c r="P409" s="39" t="str">
        <f>IF(Settings!$E$27="ON",_xlfn.XLOOKUP(B409,ADP!A2:A731,ADP!H2:H731)," ")</f>
        <v xml:space="preserve"> </v>
      </c>
      <c r="Q409" s="40">
        <f>IF(Settings!$E$12="YES",VLOOKUP(B409,'Player Data'!A1:E734,5,FALSE),82)</f>
        <v>82</v>
      </c>
      <c r="R409" s="38">
        <f>VLOOKUP(B409,'Player Data'!$A1:$AE734,6,FALSE)</f>
        <v>16.7621423012504</v>
      </c>
      <c r="S409" s="40">
        <f>VLOOKUP(B409,'Player Data'!$A1:$AE734,7,FALSE)*$Q409*IFERROR((VLOOKUP(P409,Settings!$E$28:$F$33,2,FALSE)+1),1)</f>
        <v>4.7455841391641602</v>
      </c>
      <c r="T409" s="40">
        <f>VLOOKUP(B409,'Player Data'!$A1:$AE734,8,FALSE)*$Q409*IFERROR((VLOOKUP(P409,Settings!$E$28:$F$33,2,FALSE)+1),1)</f>
        <v>15.208286099137805</v>
      </c>
      <c r="U409" s="40">
        <f t="shared" si="42"/>
        <v>19.953870238301967</v>
      </c>
      <c r="V409" s="40">
        <f>VLOOKUP(B409,'Player Data'!$A1:$AE734,10,FALSE)*$Q409*IFERROR(((VLOOKUP(P409,Settings!$E$28:$F$33,2,FALSE)/2)+1),1)</f>
        <v>99.335715419880557</v>
      </c>
      <c r="W409" s="40">
        <f>VLOOKUP(B409,'Player Data'!$A1:$AE734,11,FALSE)*$Q409*IFERROR((VLOOKUP(P409,Settings!$E$28:$F$33,2,FALSE)+1),1)</f>
        <v>0.17375183284897103</v>
      </c>
      <c r="X409" s="40">
        <f>VLOOKUP(B409,'Player Data'!$A1:$AE734,12,FALSE)*$Q409*IFERROR((VLOOKUP(P409,Settings!$E$28:$F$33,2,FALSE)+1),1)</f>
        <v>0.68719284497536082</v>
      </c>
      <c r="Y409" s="40">
        <f>VLOOKUP(B409,'Player Data'!$A1:$AE734,13,FALSE)*$Q409</f>
        <v>1.2798442851728936E-2</v>
      </c>
      <c r="Z409" s="40">
        <f>VLOOKUP(B409,'Player Data'!$A1:$AE734,14,FALSE)*$Q409</f>
        <v>5.1716665967664874E-2</v>
      </c>
      <c r="AA409" s="40">
        <f>VLOOKUP(B409,'Player Data'!$A1:$AE734,15,FALSE)*$Q409</f>
        <v>80.078706173472582</v>
      </c>
      <c r="AB409" s="40">
        <f>VLOOKUP(B409,'Player Data'!$A1:$AE734,16,FALSE)*$Q409</f>
        <v>111.1449730031693</v>
      </c>
      <c r="AC409" s="40">
        <f>VLOOKUP(B409,'Player Data'!$A1:$AE734,17,FALSE)*$Q409*IFERROR((VLOOKUP(P409,Settings!$E$28:$F$33,2,FALSE)+1),1)</f>
        <v>0.75981017619378555</v>
      </c>
      <c r="AD409" s="40">
        <f>VLOOKUP(B409,'Player Data'!$A1:$AE734,18,FALSE)*$Q409</f>
        <v>38.763051496055517</v>
      </c>
      <c r="AE409" s="40">
        <f>VLOOKUP(B409,'Player Data'!$A1:$AE734,19,FALSE)*$Q409*IFERROR((VLOOKUP(P409,Settings!$E$28:$F$33,2,FALSE)+1),1)</f>
        <v>0.69749637542184517</v>
      </c>
      <c r="AF409" s="40">
        <f>VLOOKUP(B409,'Player Data'!$A1:$AE734,20,FALSE)*$Q409</f>
        <v>0</v>
      </c>
      <c r="AG409" s="40">
        <f>VLOOKUP(B409,'Player Data'!$A1:$AE734,21,FALSE)*$Q409</f>
        <v>0</v>
      </c>
      <c r="AH409" s="41">
        <f>VLOOKUP(B409,'Player Data'!$A1:$AE734,22,FALSE)</f>
        <v>0</v>
      </c>
      <c r="AI409" s="38"/>
      <c r="AJ409" s="42"/>
      <c r="AK409" s="40"/>
      <c r="AL409" s="40"/>
      <c r="AM409" s="40"/>
      <c r="AN409" s="40"/>
      <c r="AO409" s="40"/>
      <c r="AP409" s="40"/>
      <c r="AQ409" s="43"/>
      <c r="AR409" s="44"/>
      <c r="AS409" s="38"/>
    </row>
    <row r="410" spans="1:45" ht="21.2" customHeight="1">
      <c r="A410" s="181">
        <f t="shared" si="38"/>
        <v>409</v>
      </c>
      <c r="B410" s="8" t="s">
        <v>562</v>
      </c>
      <c r="C410" s="31" t="s">
        <v>104</v>
      </c>
      <c r="D410" s="32" t="str">
        <f>VLOOKUP(B410,'Player Data'!A1:D734,4,FALSE)</f>
        <v>LW,RW</v>
      </c>
      <c r="E410" s="45">
        <f>VLOOKUP(B410,RW!A1:F189,3,FALSE)</f>
        <v>96</v>
      </c>
      <c r="F410" s="34" t="str">
        <f>VLOOKUP(B410,'Player Data'!A1:B734,2,FALSE)</f>
        <v>ARI</v>
      </c>
      <c r="G410" s="9">
        <f>VLOOKUP(B410,'Player Data'!A1:D734,3,FALSE)</f>
        <v>20</v>
      </c>
      <c r="H410" s="35">
        <f>IFERROR(VLOOKUP(B410,ADP!A1:G731,7,FALSE)/1000000,VLOOKUP(B410,ADP!A1:G731,7,FALSE))</f>
        <v>0.89416700000000005</v>
      </c>
      <c r="I410" s="36">
        <f>IF(Settings!$E$15="POINTS",((R410*Q410)*Settings!$B$12)+(S410*Settings!$B$2)+(T410*Settings!$B$3)+(U410*Settings!$B$4)+(V410*Settings!$B$5)+(X410*Settings!$B$9)+(AA410*Settings!$B$6)+(W410*Settings!$B$8)+(AB410*Settings!$B$7)+(AC410*Settings!$B$14)+(AD410*Settings!$B$15)+(AE410*Settings!$B$16)+(AF410*Settings!$B$17)+(AG410*Settings!$B$18)+(Y410*Settings!$B$10)+(Z410*Settings!$B$11),VLOOKUP(B410,'Standard Deviations'!A1:C731,3,FALSE))</f>
        <v>0.39022823129132511</v>
      </c>
      <c r="J410" s="37">
        <f t="shared" si="39"/>
        <v>4.7588808694064037E-3</v>
      </c>
      <c r="K410" s="183">
        <f>IF(Settings!$E$18="C/LW/RW",VLOOKUP(B410,RW!A1:F189,6,FALSE),VLOOKUP(B410,F!A1:F431,6,FALSE))</f>
        <v>-5.8900304877197556</v>
      </c>
      <c r="L410" s="36">
        <f t="shared" si="40"/>
        <v>-6.58717050363048</v>
      </c>
      <c r="M410" s="38">
        <f>IF(Settings!$E$9="YAHOO",VLOOKUP(B410,ADP!A1:E731,2,FALSE),IF(Settings!$E$9="ESPN",VLOOKUP(B410,ADP!A1:E731,3,FALSE),IF(Settings!$E$9="FANTRAX",VLOOKUP(B410,ADP!A1:E731,4,FALSE),VLOOKUP(B410,ADP!A1:E731,5,FALSE))))</f>
        <v>484.5</v>
      </c>
      <c r="N410" s="38">
        <f t="shared" si="41"/>
        <v>75.5</v>
      </c>
      <c r="O410" s="38"/>
      <c r="P410" s="39" t="str">
        <f>IF(Settings!$E$27="ON",_xlfn.XLOOKUP(B410,ADP!A2:A731,ADP!H2:H731)," ")</f>
        <v xml:space="preserve"> </v>
      </c>
      <c r="Q410" s="40">
        <f>IF(Settings!$E$12="YES",VLOOKUP(B410,'Player Data'!A1:E734,5,FALSE),82)</f>
        <v>82</v>
      </c>
      <c r="R410" s="38">
        <f>VLOOKUP(B410,'Player Data'!$A1:$AE734,6,FALSE)</f>
        <v>14.025948510391601</v>
      </c>
      <c r="S410" s="40">
        <f>VLOOKUP(B410,'Player Data'!$A1:$AE734,7,FALSE)*$Q410*IFERROR((VLOOKUP(P410,Settings!$E$28:$F$33,2,FALSE)+1),1)</f>
        <v>16.091894461702676</v>
      </c>
      <c r="T410" s="40">
        <f>VLOOKUP(B410,'Player Data'!$A1:$AE734,8,FALSE)*$Q410*IFERROR((VLOOKUP(P410,Settings!$E$28:$F$33,2,FALSE)+1),1)</f>
        <v>23.907797931354768</v>
      </c>
      <c r="U410" s="40">
        <f t="shared" si="42"/>
        <v>39.999692393057444</v>
      </c>
      <c r="V410" s="40">
        <f>VLOOKUP(B410,'Player Data'!$A1:$AE734,10,FALSE)*$Q410*IFERROR(((VLOOKUP(P410,Settings!$E$28:$F$33,2,FALSE)/2)+1),1)</f>
        <v>143.15140547690999</v>
      </c>
      <c r="W410" s="40">
        <f>VLOOKUP(B410,'Player Data'!$A1:$AE734,11,FALSE)*$Q410*IFERROR((VLOOKUP(P410,Settings!$E$28:$F$33,2,FALSE)+1),1)</f>
        <v>6.2154361622984675</v>
      </c>
      <c r="X410" s="40">
        <f>VLOOKUP(B410,'Player Data'!$A1:$AE734,12,FALSE)*$Q410*IFERROR((VLOOKUP(P410,Settings!$E$28:$F$33,2,FALSE)+1),1)</f>
        <v>10.598875794063835</v>
      </c>
      <c r="Y410" s="40">
        <f>VLOOKUP(B410,'Player Data'!$A1:$AE734,13,FALSE)*$Q410</f>
        <v>3.5798966838751924E-2</v>
      </c>
      <c r="Z410" s="40">
        <f>VLOOKUP(B410,'Player Data'!$A1:$AE734,14,FALSE)*$Q410</f>
        <v>7.296338957959983E-2</v>
      </c>
      <c r="AA410" s="40">
        <f>VLOOKUP(B410,'Player Data'!$A1:$AE734,15,FALSE)*$Q410</f>
        <v>32.78261686290822</v>
      </c>
      <c r="AB410" s="40">
        <f>VLOOKUP(B410,'Player Data'!$A1:$AE734,16,FALSE)*$Q410</f>
        <v>65.29368008581379</v>
      </c>
      <c r="AC410" s="40">
        <f>VLOOKUP(B410,'Player Data'!$A1:$AE734,17,FALSE)*$Q410*IFERROR((VLOOKUP(P410,Settings!$E$28:$F$33,2,FALSE)+1),1)</f>
        <v>-4.3376323483058821</v>
      </c>
      <c r="AD410" s="40">
        <f>VLOOKUP(B410,'Player Data'!$A1:$AE734,18,FALSE)*$Q410</f>
        <v>27.963502094202358</v>
      </c>
      <c r="AE410" s="40">
        <f>VLOOKUP(B410,'Player Data'!$A1:$AE734,19,FALSE)*$Q410*IFERROR((VLOOKUP(P410,Settings!$E$28:$F$33,2,FALSE)+1),1)</f>
        <v>2.0307423347489761</v>
      </c>
      <c r="AF410" s="40">
        <f>VLOOKUP(B410,'Player Data'!$A1:$AE734,20,FALSE)*$Q410</f>
        <v>5.3160516655979162</v>
      </c>
      <c r="AG410" s="40">
        <f>VLOOKUP(B410,'Player Data'!$A1:$AE734,21,FALSE)*$Q410</f>
        <v>5.3160516655979162</v>
      </c>
      <c r="AH410" s="41">
        <f>VLOOKUP(B410,'Player Data'!$A1:$AE734,22,FALSE)</f>
        <v>0.5</v>
      </c>
      <c r="AI410" s="38"/>
      <c r="AJ410" s="42"/>
      <c r="AK410" s="40"/>
      <c r="AL410" s="40"/>
      <c r="AM410" s="40"/>
      <c r="AN410" s="40"/>
      <c r="AO410" s="40"/>
      <c r="AP410" s="40"/>
      <c r="AQ410" s="43"/>
      <c r="AR410" s="44"/>
      <c r="AS410" s="38"/>
    </row>
    <row r="411" spans="1:45" ht="21.2" customHeight="1">
      <c r="A411" s="181">
        <f t="shared" si="38"/>
        <v>410</v>
      </c>
      <c r="B411" s="8" t="s">
        <v>461</v>
      </c>
      <c r="C411" s="31" t="s">
        <v>104</v>
      </c>
      <c r="D411" s="32" t="str">
        <f>VLOOKUP(B411,'Player Data'!A1:D734,4,FALSE)</f>
        <v>D</v>
      </c>
      <c r="E411" s="47">
        <f>VLOOKUP(B411,D!A1:C229,3,FALSE)</f>
        <v>140</v>
      </c>
      <c r="F411" s="34" t="str">
        <f>VLOOKUP(B411,'Player Data'!A1:B734,2,FALSE)</f>
        <v>CGY</v>
      </c>
      <c r="G411" s="9">
        <f>VLOOKUP(B411,'Player Data'!A1:D734,3,FALSE)</f>
        <v>33</v>
      </c>
      <c r="H411" s="35">
        <f>IFERROR(VLOOKUP(B411,ADP!A1:G731,7,FALSE)/1000000,VLOOKUP(B411,ADP!A1:G731,7,FALSE))</f>
        <v>4.5</v>
      </c>
      <c r="I411" s="36">
        <f>IF(Settings!$E$15="POINTS",((R411*Q411)*Settings!$B$12)+(S411*Settings!$B$2)+(T411*Settings!$B$3)+(U411*Settings!$B$4)+(V411*Settings!$B$5)+(X411*Settings!$B$9)+(AA411*Settings!$B$6)+(W411*Settings!$B$8)+(AB411*Settings!$B$7)+(AC411*Settings!$B$14)+(AD411*Settings!$B$15)+(AE411*Settings!$B$16)+(AF411*Settings!$B$17)+(AG411*Settings!$B$18)+(U411*Settings!$B$13)+(Y411*Settings!$B$10)+(Z411*Settings!$B$11),VLOOKUP(B411,'Standard Deviations'!A1:C731,3,FALSE))</f>
        <v>-3.9599737996800362</v>
      </c>
      <c r="J411" s="37">
        <f t="shared" si="39"/>
        <v>-4.8292363410732148E-2</v>
      </c>
      <c r="K411" s="183">
        <f>VLOOKUP(B411,D!A1:F229,6,FALSE)</f>
        <v>-5.9017143433143469</v>
      </c>
      <c r="L411" s="36">
        <f t="shared" si="40"/>
        <v>-1.311492076292077</v>
      </c>
      <c r="M411" s="52" t="str">
        <f>IF(Settings!$E$9="YAHOO",VLOOKUP(B411,ADP!A1:E731,2,FALSE),IF(Settings!$E$9="ESPN",VLOOKUP(B411,ADP!A1:E731,3,FALSE),IF(Settings!$E$9="FANTRAX",VLOOKUP(B411,ADP!A1:E731,4,FALSE),VLOOKUP(B411,ADP!A1:E731,5,FALSE))))</f>
        <v>-</v>
      </c>
      <c r="N411" s="52" t="str">
        <f t="shared" si="41"/>
        <v>N/A</v>
      </c>
      <c r="O411" s="38"/>
      <c r="P411" s="39" t="str">
        <f>IF(Settings!$E$27="ON",_xlfn.XLOOKUP(B411,ADP!A2:A731,ADP!H2:H731)," ")</f>
        <v xml:space="preserve"> </v>
      </c>
      <c r="Q411" s="40">
        <f>IF(Settings!$E$12="YES",VLOOKUP(B411,'Player Data'!A1:E734,5,FALSE),82)</f>
        <v>82</v>
      </c>
      <c r="R411" s="38">
        <f>VLOOKUP(B411,'Player Data'!$A1:$AE734,6,FALSE)</f>
        <v>19.8791305522983</v>
      </c>
      <c r="S411" s="40">
        <f>VLOOKUP(B411,'Player Data'!$A1:$AE734,7,FALSE)*$Q411*IFERROR((VLOOKUP(P411,Settings!$E$28:$F$33,2,FALSE)+1),1)</f>
        <v>3.4562124853194525</v>
      </c>
      <c r="T411" s="40">
        <f>VLOOKUP(B411,'Player Data'!$A1:$AE734,8,FALSE)*$Q411*IFERROR((VLOOKUP(P411,Settings!$E$28:$F$33,2,FALSE)+1),1)</f>
        <v>17.215688529103989</v>
      </c>
      <c r="U411" s="40">
        <f t="shared" si="42"/>
        <v>20.67190101442344</v>
      </c>
      <c r="V411" s="40">
        <f>VLOOKUP(B411,'Player Data'!$A1:$AE734,10,FALSE)*$Q411*IFERROR(((VLOOKUP(P411,Settings!$E$28:$F$33,2,FALSE)/2)+1),1)</f>
        <v>94.36824459854104</v>
      </c>
      <c r="W411" s="40">
        <f>VLOOKUP(B411,'Player Data'!$A1:$AE734,11,FALSE)*$Q411*IFERROR((VLOOKUP(P411,Settings!$E$28:$F$33,2,FALSE)+1),1)</f>
        <v>7.499288799898407E-2</v>
      </c>
      <c r="X411" s="40">
        <f>VLOOKUP(B411,'Player Data'!$A1:$AE734,12,FALSE)*$Q411*IFERROR((VLOOKUP(P411,Settings!$E$28:$F$33,2,FALSE)+1),1)</f>
        <v>0.79040016901264087</v>
      </c>
      <c r="Y411" s="40">
        <f>VLOOKUP(B411,'Player Data'!$A1:$AE734,13,FALSE)*$Q411</f>
        <v>-5.4961170588888303E-2</v>
      </c>
      <c r="Z411" s="40">
        <f>VLOOKUP(B411,'Player Data'!$A1:$AE734,14,FALSE)*$Q411</f>
        <v>-0.22257157821034262</v>
      </c>
      <c r="AA411" s="40">
        <f>VLOOKUP(B411,'Player Data'!$A1:$AE734,15,FALSE)*$Q411</f>
        <v>152.88275884908208</v>
      </c>
      <c r="AB411" s="40">
        <f>VLOOKUP(B411,'Player Data'!$A1:$AE734,16,FALSE)*$Q411</f>
        <v>73.783039564424101</v>
      </c>
      <c r="AC411" s="40">
        <f>VLOOKUP(B411,'Player Data'!$A1:$AE734,17,FALSE)*$Q411*IFERROR((VLOOKUP(P411,Settings!$E$28:$F$33,2,FALSE)+1),1)</f>
        <v>4.5487432974887101</v>
      </c>
      <c r="AD411" s="40">
        <f>VLOOKUP(B411,'Player Data'!$A1:$AE734,18,FALSE)*$Q411</f>
        <v>24.302380011099928</v>
      </c>
      <c r="AE411" s="40">
        <f>VLOOKUP(B411,'Player Data'!$A1:$AE734,19,FALSE)*$Q411*IFERROR((VLOOKUP(P411,Settings!$E$28:$F$33,2,FALSE)+1),1)</f>
        <v>0.57752705813458127</v>
      </c>
      <c r="AF411" s="40">
        <f>VLOOKUP(B411,'Player Data'!$A1:$AE734,20,FALSE)*$Q411</f>
        <v>0</v>
      </c>
      <c r="AG411" s="40">
        <f>VLOOKUP(B411,'Player Data'!$A1:$AE734,21,FALSE)*$Q411</f>
        <v>0</v>
      </c>
      <c r="AH411" s="41">
        <f>VLOOKUP(B411,'Player Data'!$A1:$AE734,22,FALSE)</f>
        <v>0</v>
      </c>
      <c r="AI411" s="38"/>
      <c r="AJ411" s="42"/>
      <c r="AK411" s="40"/>
      <c r="AL411" s="40"/>
      <c r="AM411" s="40"/>
      <c r="AN411" s="40"/>
      <c r="AO411" s="40"/>
      <c r="AP411" s="40"/>
      <c r="AQ411" s="43"/>
      <c r="AR411" s="44"/>
      <c r="AS411" s="38"/>
    </row>
    <row r="412" spans="1:45" ht="21.2" customHeight="1">
      <c r="A412" s="181">
        <f t="shared" si="38"/>
        <v>411</v>
      </c>
      <c r="B412" s="8" t="s">
        <v>457</v>
      </c>
      <c r="C412" s="31" t="s">
        <v>104</v>
      </c>
      <c r="D412" s="32" t="str">
        <f>VLOOKUP(B412,'Player Data'!A1:D734,4,FALSE)</f>
        <v>D</v>
      </c>
      <c r="E412" s="47">
        <f>VLOOKUP(B412,D!A1:C229,3,FALSE)</f>
        <v>141</v>
      </c>
      <c r="F412" s="34" t="str">
        <f>VLOOKUP(B412,'Player Data'!A1:B734,2,FALSE)</f>
        <v>WSH</v>
      </c>
      <c r="G412" s="9">
        <f>VLOOKUP(B412,'Player Data'!A1:D734,3,FALSE)</f>
        <v>32</v>
      </c>
      <c r="H412" s="35">
        <f>IFERROR(VLOOKUP(B412,ADP!A1:G731,7,FALSE)/1000000,VLOOKUP(B412,ADP!A1:G731,7,FALSE))</f>
        <v>3</v>
      </c>
      <c r="I412" s="36">
        <f>IF(Settings!$E$15="POINTS",((R412*Q412)*Settings!$B$12)+(S412*Settings!$B$2)+(T412*Settings!$B$3)+(U412*Settings!$B$4)+(V412*Settings!$B$5)+(X412*Settings!$B$9)+(AA412*Settings!$B$6)+(W412*Settings!$B$8)+(AB412*Settings!$B$7)+(AC412*Settings!$B$14)+(AD412*Settings!$B$15)+(AE412*Settings!$B$16)+(AF412*Settings!$B$17)+(AG412*Settings!$B$18)+(U412*Settings!$B$13)+(Y412*Settings!$B$10)+(Z412*Settings!$B$11),VLOOKUP(B412,'Standard Deviations'!A1:C731,3,FALSE))</f>
        <v>-3.9611944319665584</v>
      </c>
      <c r="J412" s="37">
        <f t="shared" si="39"/>
        <v>-4.8307249170323883E-2</v>
      </c>
      <c r="K412" s="183">
        <f>VLOOKUP(B412,D!A1:F229,6,FALSE)</f>
        <v>-5.9029349756008695</v>
      </c>
      <c r="L412" s="36">
        <f t="shared" si="40"/>
        <v>-1.9676449918669565</v>
      </c>
      <c r="M412" s="52" t="str">
        <f>IF(Settings!$E$9="YAHOO",VLOOKUP(B412,ADP!A1:E731,2,FALSE),IF(Settings!$E$9="ESPN",VLOOKUP(B412,ADP!A1:E731,3,FALSE),IF(Settings!$E$9="FANTRAX",VLOOKUP(B412,ADP!A1:E731,4,FALSE),VLOOKUP(B412,ADP!A1:E731,5,FALSE))))</f>
        <v>-</v>
      </c>
      <c r="N412" s="52" t="str">
        <f t="shared" si="41"/>
        <v>N/A</v>
      </c>
      <c r="O412" s="38"/>
      <c r="P412" s="39" t="str">
        <f>IF(Settings!$E$27="ON",_xlfn.XLOOKUP(B412,ADP!A2:A731,ADP!H2:H731)," ")</f>
        <v xml:space="preserve"> </v>
      </c>
      <c r="Q412" s="40">
        <f>IF(Settings!$E$12="YES",VLOOKUP(B412,'Player Data'!A1:E734,5,FALSE),82)</f>
        <v>82</v>
      </c>
      <c r="R412" s="38">
        <f>VLOOKUP(B412,'Player Data'!$A1:$AE734,6,FALSE)</f>
        <v>18.116557673989799</v>
      </c>
      <c r="S412" s="40">
        <f>VLOOKUP(B412,'Player Data'!$A1:$AE734,7,FALSE)*$Q412*IFERROR((VLOOKUP(P412,Settings!$E$28:$F$33,2,FALSE)+1),1)</f>
        <v>3.9852219429211591</v>
      </c>
      <c r="T412" s="40">
        <f>VLOOKUP(B412,'Player Data'!$A1:$AE734,8,FALSE)*$Q412*IFERROR((VLOOKUP(P412,Settings!$E$28:$F$33,2,FALSE)+1),1)</f>
        <v>15.595652153818021</v>
      </c>
      <c r="U412" s="40">
        <f t="shared" si="42"/>
        <v>19.58087409673918</v>
      </c>
      <c r="V412" s="40">
        <f>VLOOKUP(B412,'Player Data'!$A1:$AE734,10,FALSE)*$Q412*IFERROR(((VLOOKUP(P412,Settings!$E$28:$F$33,2,FALSE)/2)+1),1)</f>
        <v>102.57518364076533</v>
      </c>
      <c r="W412" s="40">
        <f>VLOOKUP(B412,'Player Data'!$A1:$AE734,11,FALSE)*$Q412*IFERROR((VLOOKUP(P412,Settings!$E$28:$F$33,2,FALSE)+1),1)</f>
        <v>4.4818605362084075E-2</v>
      </c>
      <c r="X412" s="40">
        <f>VLOOKUP(B412,'Player Data'!$A1:$AE734,12,FALSE)*$Q412*IFERROR((VLOOKUP(P412,Settings!$E$28:$F$33,2,FALSE)+1),1)</f>
        <v>0.55122539337195997</v>
      </c>
      <c r="Y412" s="40">
        <f>VLOOKUP(B412,'Player Data'!$A1:$AE734,13,FALSE)*$Q412</f>
        <v>-3.3577496368398498E-2</v>
      </c>
      <c r="Z412" s="40">
        <f>VLOOKUP(B412,'Player Data'!$A1:$AE734,14,FALSE)*$Q412</f>
        <v>0.21074726408937805</v>
      </c>
      <c r="AA412" s="40">
        <f>VLOOKUP(B412,'Player Data'!$A1:$AE734,15,FALSE)*$Q412</f>
        <v>159.69997123228882</v>
      </c>
      <c r="AB412" s="40">
        <f>VLOOKUP(B412,'Player Data'!$A1:$AE734,16,FALSE)*$Q412</f>
        <v>48.2498226141239</v>
      </c>
      <c r="AC412" s="40">
        <f>VLOOKUP(B412,'Player Data'!$A1:$AE734,17,FALSE)*$Q412*IFERROR((VLOOKUP(P412,Settings!$E$28:$F$33,2,FALSE)+1),1)</f>
        <v>-2.028244325654573</v>
      </c>
      <c r="AD412" s="40">
        <f>VLOOKUP(B412,'Player Data'!$A1:$AE734,18,FALSE)*$Q412</f>
        <v>24.916325102077003</v>
      </c>
      <c r="AE412" s="40">
        <f>VLOOKUP(B412,'Player Data'!$A1:$AE734,19,FALSE)*$Q412*IFERROR((VLOOKUP(P412,Settings!$E$28:$F$33,2,FALSE)+1),1)</f>
        <v>0.49020575875507078</v>
      </c>
      <c r="AF412" s="40">
        <f>VLOOKUP(B412,'Player Data'!$A1:$AE734,20,FALSE)*$Q412</f>
        <v>0</v>
      </c>
      <c r="AG412" s="40">
        <f>VLOOKUP(B412,'Player Data'!$A1:$AE734,21,FALSE)*$Q412</f>
        <v>0</v>
      </c>
      <c r="AH412" s="41">
        <f>VLOOKUP(B412,'Player Data'!$A1:$AE734,22,FALSE)</f>
        <v>0</v>
      </c>
      <c r="AI412" s="38"/>
      <c r="AJ412" s="42"/>
      <c r="AK412" s="40"/>
      <c r="AL412" s="40"/>
      <c r="AM412" s="40"/>
      <c r="AN412" s="40"/>
      <c r="AO412" s="40"/>
      <c r="AP412" s="40"/>
      <c r="AQ412" s="43"/>
      <c r="AR412" s="44"/>
      <c r="AS412" s="38"/>
    </row>
    <row r="413" spans="1:45" ht="21.2" customHeight="1">
      <c r="A413" s="181">
        <f t="shared" si="38"/>
        <v>412</v>
      </c>
      <c r="B413" s="8" t="s">
        <v>453</v>
      </c>
      <c r="C413" s="31" t="s">
        <v>104</v>
      </c>
      <c r="D413" s="32" t="str">
        <f>VLOOKUP(B413,'Player Data'!A1:D734,4,FALSE)</f>
        <v>D</v>
      </c>
      <c r="E413" s="47">
        <f>VLOOKUP(B413,D!A1:C229,3,FALSE)</f>
        <v>142</v>
      </c>
      <c r="F413" s="34" t="str">
        <f>VLOOKUP(B413,'Player Data'!A1:B734,2,FALSE)</f>
        <v>SEA</v>
      </c>
      <c r="G413" s="9">
        <f>VLOOKUP(B413,'Player Data'!A1:D734,3,FALSE)</f>
        <v>30</v>
      </c>
      <c r="H413" s="35">
        <f>IFERROR(VLOOKUP(B413,ADP!A1:G731,7,FALSE)/1000000,VLOOKUP(B413,ADP!A1:G731,7,FALSE))</f>
        <v>4.5999999999999996</v>
      </c>
      <c r="I413" s="36">
        <f>IF(Settings!$E$15="POINTS",((R413*Q413)*Settings!$B$12)+(S413*Settings!$B$2)+(T413*Settings!$B$3)+(U413*Settings!$B$4)+(V413*Settings!$B$5)+(X413*Settings!$B$9)+(AA413*Settings!$B$6)+(W413*Settings!$B$8)+(AB413*Settings!$B$7)+(AC413*Settings!$B$14)+(AD413*Settings!$B$15)+(AE413*Settings!$B$16)+(AF413*Settings!$B$17)+(AG413*Settings!$B$18)+(U413*Settings!$B$13)+(Y413*Settings!$B$10)+(Z413*Settings!$B$11),VLOOKUP(B413,'Standard Deviations'!A1:C731,3,FALSE))</f>
        <v>-3.9614977028683942</v>
      </c>
      <c r="J413" s="37">
        <f t="shared" si="39"/>
        <v>-4.8310947595956028E-2</v>
      </c>
      <c r="K413" s="183">
        <f>VLOOKUP(B413,D!A1:F229,6,FALSE)</f>
        <v>-5.9032382465027045</v>
      </c>
      <c r="L413" s="36">
        <f t="shared" si="40"/>
        <v>-1.2833126622831967</v>
      </c>
      <c r="M413" s="52" t="str">
        <f>IF(Settings!$E$9="YAHOO",VLOOKUP(B413,ADP!A1:E731,2,FALSE),IF(Settings!$E$9="ESPN",VLOOKUP(B413,ADP!A1:E731,3,FALSE),IF(Settings!$E$9="FANTRAX",VLOOKUP(B413,ADP!A1:E731,4,FALSE),VLOOKUP(B413,ADP!A1:E731,5,FALSE))))</f>
        <v>-</v>
      </c>
      <c r="N413" s="52" t="str">
        <f t="shared" si="41"/>
        <v>N/A</v>
      </c>
      <c r="O413" s="38"/>
      <c r="P413" s="39" t="str">
        <f>IF(Settings!$E$27="ON",_xlfn.XLOOKUP(B413,ADP!A2:A731,ADP!H2:H731)," ")</f>
        <v xml:space="preserve"> </v>
      </c>
      <c r="Q413" s="40">
        <f>IF(Settings!$E$12="YES",VLOOKUP(B413,'Player Data'!A1:E734,5,FALSE),82)</f>
        <v>82</v>
      </c>
      <c r="R413" s="38">
        <f>VLOOKUP(B413,'Player Data'!$A1:$AE734,6,FALSE)</f>
        <v>19.178648669969501</v>
      </c>
      <c r="S413" s="40">
        <f>VLOOKUP(B413,'Player Data'!$A1:$AE734,7,FALSE)*$Q413*IFERROR((VLOOKUP(P413,Settings!$E$28:$F$33,2,FALSE)+1),1)</f>
        <v>5.4863299209114222</v>
      </c>
      <c r="T413" s="40">
        <f>VLOOKUP(B413,'Player Data'!$A1:$AE734,8,FALSE)*$Q413*IFERROR((VLOOKUP(P413,Settings!$E$28:$F$33,2,FALSE)+1),1)</f>
        <v>15.534360895118123</v>
      </c>
      <c r="U413" s="40">
        <f t="shared" si="42"/>
        <v>21.020690816029546</v>
      </c>
      <c r="V413" s="40">
        <f>VLOOKUP(B413,'Player Data'!$A1:$AE734,10,FALSE)*$Q413*IFERROR(((VLOOKUP(P413,Settings!$E$28:$F$33,2,FALSE)/2)+1),1)</f>
        <v>92.924841115765716</v>
      </c>
      <c r="W413" s="40">
        <f>VLOOKUP(B413,'Player Data'!$A1:$AE734,11,FALSE)*$Q413*IFERROR((VLOOKUP(P413,Settings!$E$28:$F$33,2,FALSE)+1),1)</f>
        <v>2.1280112822579494E-2</v>
      </c>
      <c r="X413" s="40">
        <f>VLOOKUP(B413,'Player Data'!$A1:$AE734,12,FALSE)*$Q413*IFERROR((VLOOKUP(P413,Settings!$E$28:$F$33,2,FALSE)+1),1)</f>
        <v>0.13942284486109727</v>
      </c>
      <c r="Y413" s="40">
        <f>VLOOKUP(B413,'Player Data'!$A1:$AE734,13,FALSE)*$Q413</f>
        <v>-8.7103049978059198E-3</v>
      </c>
      <c r="Z413" s="40">
        <f>VLOOKUP(B413,'Player Data'!$A1:$AE734,14,FALSE)*$Q413</f>
        <v>0.38779949255753476</v>
      </c>
      <c r="AA413" s="40">
        <f>VLOOKUP(B413,'Player Data'!$A1:$AE734,15,FALSE)*$Q413</f>
        <v>121.7550429369071</v>
      </c>
      <c r="AB413" s="40">
        <f>VLOOKUP(B413,'Player Data'!$A1:$AE734,16,FALSE)*$Q413</f>
        <v>150.61275929197379</v>
      </c>
      <c r="AC413" s="40">
        <f>VLOOKUP(B413,'Player Data'!$A1:$AE734,17,FALSE)*$Q413*IFERROR((VLOOKUP(P413,Settings!$E$28:$F$33,2,FALSE)+1),1)</f>
        <v>2.6271851836402765E-2</v>
      </c>
      <c r="AD413" s="40">
        <f>VLOOKUP(B413,'Player Data'!$A1:$AE734,18,FALSE)*$Q413</f>
        <v>54.882597473244289</v>
      </c>
      <c r="AE413" s="40">
        <f>VLOOKUP(B413,'Player Data'!$A1:$AE734,19,FALSE)*$Q413*IFERROR((VLOOKUP(P413,Settings!$E$28:$F$33,2,FALSE)+1),1)</f>
        <v>0.77116388925829771</v>
      </c>
      <c r="AF413" s="40">
        <f>VLOOKUP(B413,'Player Data'!$A1:$AE734,20,FALSE)*$Q413</f>
        <v>0</v>
      </c>
      <c r="AG413" s="40">
        <f>VLOOKUP(B413,'Player Data'!$A1:$AE734,21,FALSE)*$Q413</f>
        <v>0</v>
      </c>
      <c r="AH413" s="41">
        <f>VLOOKUP(B413,'Player Data'!$A1:$AE734,22,FALSE)</f>
        <v>0</v>
      </c>
      <c r="AI413" s="38"/>
      <c r="AJ413" s="40"/>
      <c r="AK413" s="40"/>
      <c r="AL413" s="40"/>
      <c r="AM413" s="40"/>
      <c r="AN413" s="40"/>
      <c r="AO413" s="40"/>
      <c r="AP413" s="40"/>
      <c r="AQ413" s="43"/>
      <c r="AR413" s="44"/>
      <c r="AS413" s="38"/>
    </row>
    <row r="414" spans="1:45" ht="21.2" customHeight="1">
      <c r="A414" s="181">
        <f t="shared" si="38"/>
        <v>413</v>
      </c>
      <c r="B414" s="8" t="s">
        <v>443</v>
      </c>
      <c r="C414" s="31" t="s">
        <v>104</v>
      </c>
      <c r="D414" s="32" t="str">
        <f>VLOOKUP(B414,'Player Data'!A1:D734,4,FALSE)</f>
        <v>D</v>
      </c>
      <c r="E414" s="47">
        <f>VLOOKUP(B414,D!A1:C229,3,FALSE)</f>
        <v>143</v>
      </c>
      <c r="F414" s="34" t="str">
        <f>VLOOKUP(B414,'Player Data'!A1:B734,2,FALSE)</f>
        <v>EDM</v>
      </c>
      <c r="G414" s="9">
        <f>VLOOKUP(B414,'Player Data'!A1:D734,3,FALSE)</f>
        <v>29</v>
      </c>
      <c r="H414" s="35">
        <f>IFERROR(VLOOKUP(B414,ADP!A1:G731,7,FALSE)/1000000,VLOOKUP(B414,ADP!A1:G731,7,FALSE))</f>
        <v>3.25</v>
      </c>
      <c r="I414" s="36">
        <f>IF(Settings!$E$15="POINTS",((R414*Q414)*Settings!$B$12)+(S414*Settings!$B$2)+(T414*Settings!$B$3)+(U414*Settings!$B$4)+(V414*Settings!$B$5)+(X414*Settings!$B$9)+(AA414*Settings!$B$6)+(W414*Settings!$B$8)+(AB414*Settings!$B$7)+(AC414*Settings!$B$14)+(AD414*Settings!$B$15)+(AE414*Settings!$B$16)+(AF414*Settings!$B$17)+(AG414*Settings!$B$18)+(U414*Settings!$B$13)+(Y414*Settings!$B$10)+(Z414*Settings!$B$11),VLOOKUP(B414,'Standard Deviations'!A1:C731,3,FALSE))</f>
        <v>-3.9616383895529643</v>
      </c>
      <c r="J414" s="37">
        <f t="shared" si="39"/>
        <v>-4.8312663287231272E-2</v>
      </c>
      <c r="K414" s="183">
        <f>VLOOKUP(B414,D!A1:F229,6,FALSE)</f>
        <v>-5.903378933187275</v>
      </c>
      <c r="L414" s="36">
        <f t="shared" si="40"/>
        <v>-1.8164242871345462</v>
      </c>
      <c r="M414" s="52" t="str">
        <f>IF(Settings!$E$9="YAHOO",VLOOKUP(B414,ADP!A1:E731,2,FALSE),IF(Settings!$E$9="ESPN",VLOOKUP(B414,ADP!A1:E731,3,FALSE),IF(Settings!$E$9="FANTRAX",VLOOKUP(B414,ADP!A1:E731,4,FALSE),VLOOKUP(B414,ADP!A1:E731,5,FALSE))))</f>
        <v>-</v>
      </c>
      <c r="N414" s="52" t="str">
        <f t="shared" si="41"/>
        <v>N/A</v>
      </c>
      <c r="O414" s="38"/>
      <c r="P414" s="39" t="str">
        <f>IF(Settings!$E$27="ON",_xlfn.XLOOKUP(B414,ADP!A2:A731,ADP!H2:H731)," ")</f>
        <v xml:space="preserve"> </v>
      </c>
      <c r="Q414" s="40">
        <f>IF(Settings!$E$12="YES",VLOOKUP(B414,'Player Data'!A1:E734,5,FALSE),82)</f>
        <v>82</v>
      </c>
      <c r="R414" s="38">
        <f>VLOOKUP(B414,'Player Data'!$A1:$AE734,6,FALSE)</f>
        <v>18.929549623939</v>
      </c>
      <c r="S414" s="40">
        <f>VLOOKUP(B414,'Player Data'!$A1:$AE734,7,FALSE)*$Q414*IFERROR((VLOOKUP(P414,Settings!$E$28:$F$33,2,FALSE)+1),1)</f>
        <v>3.4219475218874127</v>
      </c>
      <c r="T414" s="40">
        <f>VLOOKUP(B414,'Player Data'!$A1:$AE734,8,FALSE)*$Q414*IFERROR((VLOOKUP(P414,Settings!$E$28:$F$33,2,FALSE)+1),1)</f>
        <v>17.554225497697988</v>
      </c>
      <c r="U414" s="40">
        <f t="shared" si="42"/>
        <v>20.976173019585403</v>
      </c>
      <c r="V414" s="40">
        <f>VLOOKUP(B414,'Player Data'!$A1:$AE734,10,FALSE)*$Q414*IFERROR(((VLOOKUP(P414,Settings!$E$28:$F$33,2,FALSE)/2)+1),1)</f>
        <v>96.063325500016802</v>
      </c>
      <c r="W414" s="40">
        <f>VLOOKUP(B414,'Player Data'!$A1:$AE734,11,FALSE)*$Q414*IFERROR((VLOOKUP(P414,Settings!$E$28:$F$33,2,FALSE)+1),1)</f>
        <v>2.1882986881222897E-2</v>
      </c>
      <c r="X414" s="40">
        <f>VLOOKUP(B414,'Player Data'!$A1:$AE734,12,FALSE)*$Q414*IFERROR((VLOOKUP(P414,Settings!$E$28:$F$33,2,FALSE)+1),1)</f>
        <v>0.14353118056282266</v>
      </c>
      <c r="Y414" s="40">
        <f>VLOOKUP(B414,'Player Data'!$A1:$AE734,13,FALSE)*$Q414</f>
        <v>2.7216975194633011E-5</v>
      </c>
      <c r="Z414" s="40">
        <f>VLOOKUP(B414,'Player Data'!$A1:$AE734,14,FALSE)*$Q414</f>
        <v>0.83349763409313349</v>
      </c>
      <c r="AA414" s="40">
        <f>VLOOKUP(B414,'Player Data'!$A1:$AE734,15,FALSE)*$Q414</f>
        <v>118.52852104601489</v>
      </c>
      <c r="AB414" s="40">
        <f>VLOOKUP(B414,'Player Data'!$A1:$AE734,16,FALSE)*$Q414</f>
        <v>132.06168909483182</v>
      </c>
      <c r="AC414" s="40">
        <f>VLOOKUP(B414,'Player Data'!$A1:$AE734,17,FALSE)*$Q414*IFERROR((VLOOKUP(P414,Settings!$E$28:$F$33,2,FALSE)+1),1)</f>
        <v>4.5733471281668283</v>
      </c>
      <c r="AD414" s="40">
        <f>VLOOKUP(B414,'Player Data'!$A1:$AE734,18,FALSE)*$Q414</f>
        <v>21.860532172145998</v>
      </c>
      <c r="AE414" s="40">
        <f>VLOOKUP(B414,'Player Data'!$A1:$AE734,19,FALSE)*$Q414*IFERROR((VLOOKUP(P414,Settings!$E$28:$F$33,2,FALSE)+1),1)</f>
        <v>0.54165755597646004</v>
      </c>
      <c r="AF414" s="40">
        <f>VLOOKUP(B414,'Player Data'!$A1:$AE734,20,FALSE)*$Q414</f>
        <v>0</v>
      </c>
      <c r="AG414" s="40">
        <f>VLOOKUP(B414,'Player Data'!$A1:$AE734,21,FALSE)*$Q414</f>
        <v>0</v>
      </c>
      <c r="AH414" s="41">
        <f>VLOOKUP(B414,'Player Data'!$A1:$AE734,22,FALSE)</f>
        <v>0</v>
      </c>
      <c r="AI414" s="38"/>
      <c r="AJ414" s="40"/>
      <c r="AK414" s="40"/>
      <c r="AL414" s="40"/>
      <c r="AM414" s="40"/>
      <c r="AN414" s="40"/>
      <c r="AO414" s="40"/>
      <c r="AP414" s="40"/>
      <c r="AQ414" s="43"/>
      <c r="AR414" s="44"/>
      <c r="AS414" s="38"/>
    </row>
    <row r="415" spans="1:45" ht="21.2" customHeight="1">
      <c r="A415" s="181">
        <f t="shared" si="38"/>
        <v>414</v>
      </c>
      <c r="B415" s="8" t="s">
        <v>570</v>
      </c>
      <c r="C415" s="31" t="s">
        <v>104</v>
      </c>
      <c r="D415" s="32" t="str">
        <f>VLOOKUP(B415,'Player Data'!A1:D734,4,FALSE)</f>
        <v>D</v>
      </c>
      <c r="E415" s="47">
        <f>VLOOKUP(B415,D!A1:C229,3,FALSE)</f>
        <v>144</v>
      </c>
      <c r="F415" s="34" t="str">
        <f>VLOOKUP(B415,'Player Data'!A1:B734,2,FALSE)</f>
        <v>UFA</v>
      </c>
      <c r="G415" s="9">
        <f>VLOOKUP(B415,'Player Data'!A1:D734,3,FALSE)</f>
        <v>26</v>
      </c>
      <c r="H415" s="35">
        <f>IFERROR(VLOOKUP(B415,ADP!A1:G731,7,FALSE)/1000000,VLOOKUP(B415,ADP!A1:G731,7,FALSE))</f>
        <v>2.7</v>
      </c>
      <c r="I415" s="36">
        <f>IF(Settings!$E$15="POINTS",((R415*Q415)*Settings!$B$12)+(S415*Settings!$B$2)+(T415*Settings!$B$3)+(U415*Settings!$B$4)+(V415*Settings!$B$5)+(X415*Settings!$B$9)+(AA415*Settings!$B$6)+(W415*Settings!$B$8)+(AB415*Settings!$B$7)+(AC415*Settings!$B$14)+(AD415*Settings!$B$15)+(AE415*Settings!$B$16)+(AF415*Settings!$B$17)+(AG415*Settings!$B$18)+(U415*Settings!$B$13)+(Y415*Settings!$B$10)+(Z415*Settings!$B$11),VLOOKUP(B415,'Standard Deviations'!A1:C731,3,FALSE))</f>
        <v>-3.9764218834270775</v>
      </c>
      <c r="J415" s="37">
        <f t="shared" si="39"/>
        <v>-4.8492949797891191E-2</v>
      </c>
      <c r="K415" s="183">
        <f>VLOOKUP(B415,D!A1:F229,6,FALSE)</f>
        <v>-5.9181624270613877</v>
      </c>
      <c r="L415" s="36">
        <f t="shared" si="40"/>
        <v>-2.1919120100227358</v>
      </c>
      <c r="M415" s="52" t="str">
        <f>IF(Settings!$E$9="YAHOO",VLOOKUP(B415,ADP!A1:E731,2,FALSE),IF(Settings!$E$9="ESPN",VLOOKUP(B415,ADP!A1:E731,3,FALSE),IF(Settings!$E$9="FANTRAX",VLOOKUP(B415,ADP!A1:E731,4,FALSE),VLOOKUP(B415,ADP!A1:E731,5,FALSE))))</f>
        <v>-</v>
      </c>
      <c r="N415" s="52" t="str">
        <f t="shared" si="41"/>
        <v>N/A</v>
      </c>
      <c r="O415" s="38"/>
      <c r="P415" s="39" t="str">
        <f>IF(Settings!$E$27="ON",_xlfn.XLOOKUP(B415,ADP!A2:A731,ADP!H2:H731)," ")</f>
        <v xml:space="preserve"> </v>
      </c>
      <c r="Q415" s="40">
        <f>IF(Settings!$E$12="YES",VLOOKUP(B415,'Player Data'!A1:E734,5,FALSE),82)</f>
        <v>82</v>
      </c>
      <c r="R415" s="38">
        <f>VLOOKUP(B415,'Player Data'!$A1:$AE734,6,FALSE)</f>
        <v>15.832389442261601</v>
      </c>
      <c r="S415" s="40">
        <f>VLOOKUP(B415,'Player Data'!$A1:$AE734,7,FALSE)*$Q415*IFERROR((VLOOKUP(P415,Settings!$E$28:$F$33,2,FALSE)+1),1)</f>
        <v>5.0253536757920676</v>
      </c>
      <c r="T415" s="40">
        <f>VLOOKUP(B415,'Player Data'!$A1:$AE734,8,FALSE)*$Q415*IFERROR((VLOOKUP(P415,Settings!$E$28:$F$33,2,FALSE)+1),1)</f>
        <v>14.731376582146511</v>
      </c>
      <c r="U415" s="40">
        <f t="shared" si="42"/>
        <v>19.756730257938578</v>
      </c>
      <c r="V415" s="40">
        <f>VLOOKUP(B415,'Player Data'!$A1:$AE734,10,FALSE)*$Q415*IFERROR(((VLOOKUP(P415,Settings!$E$28:$F$33,2,FALSE)/2)+1),1)</f>
        <v>101.52548457585277</v>
      </c>
      <c r="W415" s="40">
        <f>VLOOKUP(B415,'Player Data'!$A1:$AE734,11,FALSE)*$Q415*IFERROR((VLOOKUP(P415,Settings!$E$28:$F$33,2,FALSE)+1),1)</f>
        <v>1.5154867953077128E-2</v>
      </c>
      <c r="X415" s="40">
        <f>VLOOKUP(B415,'Player Data'!$A1:$AE734,12,FALSE)*$Q415*IFERROR((VLOOKUP(P415,Settings!$E$28:$F$33,2,FALSE)+1),1)</f>
        <v>0.12877103961684139</v>
      </c>
      <c r="Y415" s="40">
        <f>VLOOKUP(B415,'Player Data'!$A1:$AE734,13,FALSE)*$Q415</f>
        <v>0</v>
      </c>
      <c r="Z415" s="40">
        <f>VLOOKUP(B415,'Player Data'!$A1:$AE734,14,FALSE)*$Q415</f>
        <v>0</v>
      </c>
      <c r="AA415" s="40">
        <f>VLOOKUP(B415,'Player Data'!$A1:$AE734,15,FALSE)*$Q415</f>
        <v>80.922254665813682</v>
      </c>
      <c r="AB415" s="40">
        <f>VLOOKUP(B415,'Player Data'!$A1:$AE734,16,FALSE)*$Q415</f>
        <v>68.751871846913858</v>
      </c>
      <c r="AC415" s="40">
        <f>VLOOKUP(B415,'Player Data'!$A1:$AE734,17,FALSE)*$Q415*IFERROR((VLOOKUP(P415,Settings!$E$28:$F$33,2,FALSE)+1),1)</f>
        <v>0.46542980579594306</v>
      </c>
      <c r="AD415" s="40">
        <f>VLOOKUP(B415,'Player Data'!$A1:$AE734,18,FALSE)*$Q415</f>
        <v>29.403982860978484</v>
      </c>
      <c r="AE415" s="40">
        <f>VLOOKUP(B415,'Player Data'!$A1:$AE734,19,FALSE)*$Q415*IFERROR((VLOOKUP(P415,Settings!$E$28:$F$33,2,FALSE)+1),1)</f>
        <v>0</v>
      </c>
      <c r="AF415" s="40">
        <f>VLOOKUP(B415,'Player Data'!$A1:$AE734,20,FALSE)*$Q415</f>
        <v>0</v>
      </c>
      <c r="AG415" s="40">
        <f>VLOOKUP(B415,'Player Data'!$A1:$AE734,21,FALSE)*$Q415</f>
        <v>0</v>
      </c>
      <c r="AH415" s="41">
        <f>VLOOKUP(B415,'Player Data'!$A1:$AE734,22,FALSE)</f>
        <v>0</v>
      </c>
      <c r="AI415" s="38"/>
      <c r="AJ415" s="42"/>
      <c r="AK415" s="40"/>
      <c r="AL415" s="40"/>
      <c r="AM415" s="40"/>
      <c r="AN415" s="40"/>
      <c r="AO415" s="40"/>
      <c r="AP415" s="40"/>
      <c r="AQ415" s="43"/>
      <c r="AR415" s="44"/>
      <c r="AS415" s="38"/>
    </row>
    <row r="416" spans="1:45" ht="21.2" customHeight="1">
      <c r="A416" s="181">
        <f t="shared" si="38"/>
        <v>415</v>
      </c>
      <c r="B416" s="8" t="s">
        <v>464</v>
      </c>
      <c r="C416" s="31" t="s">
        <v>104</v>
      </c>
      <c r="D416" s="32" t="str">
        <f>VLOOKUP(B416,'Player Data'!A1:D734,4,FALSE)</f>
        <v>D</v>
      </c>
      <c r="E416" s="47">
        <f>VLOOKUP(B416,D!A1:C229,3,FALSE)</f>
        <v>145</v>
      </c>
      <c r="F416" s="34" t="str">
        <f>VLOOKUP(B416,'Player Data'!A1:B734,2,FALSE)</f>
        <v>EDM</v>
      </c>
      <c r="G416" s="9">
        <f>VLOOKUP(B416,'Player Data'!A1:D734,3,FALSE)</f>
        <v>29</v>
      </c>
      <c r="H416" s="35">
        <f>IFERROR(VLOOKUP(B416,ADP!A1:G731,7,FALSE)/1000000,VLOOKUP(B416,ADP!A1:G731,7,FALSE))</f>
        <v>2.75</v>
      </c>
      <c r="I416" s="36">
        <f>IF(Settings!$E$15="POINTS",((R416*Q416)*Settings!$B$12)+(S416*Settings!$B$2)+(T416*Settings!$B$3)+(U416*Settings!$B$4)+(V416*Settings!$B$5)+(X416*Settings!$B$9)+(AA416*Settings!$B$6)+(W416*Settings!$B$8)+(AB416*Settings!$B$7)+(AC416*Settings!$B$14)+(AD416*Settings!$B$15)+(AE416*Settings!$B$16)+(AF416*Settings!$B$17)+(AG416*Settings!$B$18)+(U416*Settings!$B$13)+(Y416*Settings!$B$10)+(Z416*Settings!$B$11),VLOOKUP(B416,'Standard Deviations'!A1:C731,3,FALSE))</f>
        <v>-3.9836117979519852</v>
      </c>
      <c r="J416" s="37">
        <f t="shared" si="39"/>
        <v>-4.858063168234128E-2</v>
      </c>
      <c r="K416" s="183">
        <f>VLOOKUP(B416,D!A1:F229,6,FALSE)</f>
        <v>-5.9253523415862954</v>
      </c>
      <c r="L416" s="36">
        <f t="shared" si="40"/>
        <v>-2.1546735787586528</v>
      </c>
      <c r="M416" s="52" t="str">
        <f>IF(Settings!$E$9="YAHOO",VLOOKUP(B416,ADP!A1:E731,2,FALSE),IF(Settings!$E$9="ESPN",VLOOKUP(B416,ADP!A1:E731,3,FALSE),IF(Settings!$E$9="FANTRAX",VLOOKUP(B416,ADP!A1:E731,4,FALSE),VLOOKUP(B416,ADP!A1:E731,5,FALSE))))</f>
        <v>-</v>
      </c>
      <c r="N416" s="52" t="str">
        <f t="shared" si="41"/>
        <v>N/A</v>
      </c>
      <c r="O416" s="38"/>
      <c r="P416" s="39" t="str">
        <f>IF(Settings!$E$27="ON",_xlfn.XLOOKUP(B416,ADP!A2:A731,ADP!H2:H731)," ")</f>
        <v xml:space="preserve"> </v>
      </c>
      <c r="Q416" s="40">
        <f>IF(Settings!$E$12="YES",VLOOKUP(B416,'Player Data'!A1:E734,5,FALSE),82)</f>
        <v>82</v>
      </c>
      <c r="R416" s="38">
        <f>VLOOKUP(B416,'Player Data'!$A1:$AE734,6,FALSE)</f>
        <v>16.731350464938998</v>
      </c>
      <c r="S416" s="40">
        <f>VLOOKUP(B416,'Player Data'!$A1:$AE734,7,FALSE)*$Q416*IFERROR((VLOOKUP(P416,Settings!$E$28:$F$33,2,FALSE)+1),1)</f>
        <v>3.8740290898796768</v>
      </c>
      <c r="T416" s="40">
        <f>VLOOKUP(B416,'Player Data'!$A1:$AE734,8,FALSE)*$Q416*IFERROR((VLOOKUP(P416,Settings!$E$28:$F$33,2,FALSE)+1),1)</f>
        <v>15.484976806459068</v>
      </c>
      <c r="U416" s="40">
        <f t="shared" si="42"/>
        <v>19.359005896338743</v>
      </c>
      <c r="V416" s="40">
        <f>VLOOKUP(B416,'Player Data'!$A1:$AE734,10,FALSE)*$Q416*IFERROR(((VLOOKUP(P416,Settings!$E$28:$F$33,2,FALSE)/2)+1),1)</f>
        <v>105.41222676884985</v>
      </c>
      <c r="W416" s="40">
        <f>VLOOKUP(B416,'Player Data'!$A1:$AE734,11,FALSE)*$Q416*IFERROR((VLOOKUP(P416,Settings!$E$28:$F$33,2,FALSE)+1),1)</f>
        <v>2.1059169847618135E-2</v>
      </c>
      <c r="X416" s="40">
        <f>VLOOKUP(B416,'Player Data'!$A1:$AE734,12,FALSE)*$Q416*IFERROR((VLOOKUP(P416,Settings!$E$28:$F$33,2,FALSE)+1),1)</f>
        <v>0.13647185328207323</v>
      </c>
      <c r="Y416" s="40">
        <f>VLOOKUP(B416,'Player Data'!$A1:$AE734,13,FALSE)*$Q416</f>
        <v>1.2817219441947462E-2</v>
      </c>
      <c r="Z416" s="40">
        <f>VLOOKUP(B416,'Player Data'!$A1:$AE734,14,FALSE)*$Q416</f>
        <v>0.94265176355806957</v>
      </c>
      <c r="AA416" s="40">
        <f>VLOOKUP(B416,'Player Data'!$A1:$AE734,15,FALSE)*$Q416</f>
        <v>93.061351978303961</v>
      </c>
      <c r="AB416" s="40">
        <f>VLOOKUP(B416,'Player Data'!$A1:$AE734,16,FALSE)*$Q416</f>
        <v>103.08699411667091</v>
      </c>
      <c r="AC416" s="40">
        <f>VLOOKUP(B416,'Player Data'!$A1:$AE734,17,FALSE)*$Q416*IFERROR((VLOOKUP(P416,Settings!$E$28:$F$33,2,FALSE)+1),1)</f>
        <v>5.1697270815283609</v>
      </c>
      <c r="AD416" s="40">
        <f>VLOOKUP(B416,'Player Data'!$A1:$AE734,18,FALSE)*$Q416</f>
        <v>40.351258194862673</v>
      </c>
      <c r="AE416" s="40">
        <f>VLOOKUP(B416,'Player Data'!$A1:$AE734,19,FALSE)*$Q416*IFERROR((VLOOKUP(P416,Settings!$E$28:$F$33,2,FALSE)+1),1)</f>
        <v>0.61321721481238445</v>
      </c>
      <c r="AF416" s="40">
        <f>VLOOKUP(B416,'Player Data'!$A1:$AE734,20,FALSE)*$Q416</f>
        <v>0</v>
      </c>
      <c r="AG416" s="40">
        <f>VLOOKUP(B416,'Player Data'!$A1:$AE734,21,FALSE)*$Q416</f>
        <v>0</v>
      </c>
      <c r="AH416" s="41">
        <f>VLOOKUP(B416,'Player Data'!$A1:$AE734,22,FALSE)</f>
        <v>0</v>
      </c>
      <c r="AI416" s="38"/>
      <c r="AJ416" s="40"/>
      <c r="AK416" s="40"/>
      <c r="AL416" s="40"/>
      <c r="AM416" s="40"/>
      <c r="AN416" s="40"/>
      <c r="AO416" s="40"/>
      <c r="AP416" s="40"/>
      <c r="AQ416" s="43"/>
      <c r="AR416" s="44"/>
      <c r="AS416" s="38"/>
    </row>
    <row r="417" spans="1:45" ht="21.2" customHeight="1">
      <c r="A417" s="181">
        <f t="shared" si="38"/>
        <v>416</v>
      </c>
      <c r="B417" s="8" t="s">
        <v>486</v>
      </c>
      <c r="C417" s="31" t="s">
        <v>104</v>
      </c>
      <c r="D417" s="32" t="str">
        <f>VLOOKUP(B417,'Player Data'!A1:D734,4,FALSE)</f>
        <v>LW</v>
      </c>
      <c r="E417" s="48">
        <f>VLOOKUP(B417,LW!A1:C227,3,FALSE)</f>
        <v>95</v>
      </c>
      <c r="F417" s="34" t="str">
        <f>VLOOKUP(B417,'Player Data'!A1:B734,2,FALSE)</f>
        <v>ARI</v>
      </c>
      <c r="G417" s="9">
        <f>VLOOKUP(B417,'Player Data'!A1:D734,3,FALSE)</f>
        <v>31</v>
      </c>
      <c r="H417" s="35">
        <f>IFERROR(VLOOKUP(B417,ADP!A1:G731,7,FALSE)/1000000,VLOOKUP(B417,ADP!A1:G731,7,FALSE))</f>
        <v>5.3</v>
      </c>
      <c r="I417" s="36">
        <f>IF(Settings!$E$15="POINTS",((R417*Q417)*Settings!$B$12)+(S417*Settings!$B$2)+(T417*Settings!$B$3)+(U417*Settings!$B$4)+(V417*Settings!$B$5)+(X417*Settings!$B$9)+(AA417*Settings!$B$6)+(W417*Settings!$B$8)+(AB417*Settings!$B$7)+(AC417*Settings!$B$14)+(AD417*Settings!$B$15)+(AE417*Settings!$B$16)+(AF417*Settings!$B$17)+(AG417*Settings!$B$18)+(Y417*Settings!$B$10)+(Z417*Settings!$B$11),VLOOKUP(B417,'Standard Deviations'!A1:C731,3,FALSE))</f>
        <v>0.71825166986101674</v>
      </c>
      <c r="J417" s="37">
        <f t="shared" si="39"/>
        <v>8.759166705622155E-3</v>
      </c>
      <c r="K417" s="183">
        <f>IF(Settings!$E$18="C/LW/RW",VLOOKUP(B417,LW!A1:F227,6,FALSE),VLOOKUP(B417,F!A1:F431,6,FALSE))</f>
        <v>-5.9364173742633843</v>
      </c>
      <c r="L417" s="36">
        <f t="shared" si="40"/>
        <v>-1.1200787498610159</v>
      </c>
      <c r="M417" s="38">
        <f>IF(Settings!$E$9="YAHOO",VLOOKUP(B417,ADP!A1:E731,2,FALSE),IF(Settings!$E$9="ESPN",VLOOKUP(B417,ADP!A1:E731,3,FALSE),IF(Settings!$E$9="FANTRAX",VLOOKUP(B417,ADP!A1:E731,4,FALSE),VLOOKUP(B417,ADP!A1:E731,5,FALSE))))</f>
        <v>218.23</v>
      </c>
      <c r="N417" s="38">
        <f t="shared" si="41"/>
        <v>-197.77</v>
      </c>
      <c r="O417" s="38"/>
      <c r="P417" s="39" t="str">
        <f>IF(Settings!$E$27="ON",_xlfn.XLOOKUP(B417,ADP!A2:A731,ADP!H2:H731)," ")</f>
        <v xml:space="preserve"> </v>
      </c>
      <c r="Q417" s="40">
        <f>IF(Settings!$E$12="YES",VLOOKUP(B417,'Player Data'!A1:E734,5,FALSE),82)</f>
        <v>82</v>
      </c>
      <c r="R417" s="38">
        <f>VLOOKUP(B417,'Player Data'!$A1:$AE734,6,FALSE)</f>
        <v>14.687193654655101</v>
      </c>
      <c r="S417" s="40">
        <f>VLOOKUP(B417,'Player Data'!$A1:$AE734,7,FALSE)*$Q417*IFERROR((VLOOKUP(P417,Settings!$E$28:$F$33,2,FALSE)+1),1)</f>
        <v>21.322433651292762</v>
      </c>
      <c r="T417" s="40">
        <f>VLOOKUP(B417,'Player Data'!$A1:$AE734,8,FALSE)*$Q417*IFERROR((VLOOKUP(P417,Settings!$E$28:$F$33,2,FALSE)+1),1)</f>
        <v>18.77226605410026</v>
      </c>
      <c r="U417" s="40">
        <f t="shared" si="42"/>
        <v>40.094699705393026</v>
      </c>
      <c r="V417" s="40">
        <f>VLOOKUP(B417,'Player Data'!$A1:$AE734,10,FALSE)*$Q417*IFERROR(((VLOOKUP(P417,Settings!$E$28:$F$33,2,FALSE)/2)+1),1)</f>
        <v>183.34301810994691</v>
      </c>
      <c r="W417" s="40">
        <f>VLOOKUP(B417,'Player Data'!$A1:$AE734,11,FALSE)*$Q417*IFERROR((VLOOKUP(P417,Settings!$E$28:$F$33,2,FALSE)+1),1)</f>
        <v>1.6402915286231101</v>
      </c>
      <c r="X417" s="40">
        <f>VLOOKUP(B417,'Player Data'!$A1:$AE734,12,FALSE)*$Q417*IFERROR((VLOOKUP(P417,Settings!$E$28:$F$33,2,FALSE)+1),1)</f>
        <v>5.816022147146457</v>
      </c>
      <c r="Y417" s="40">
        <f>VLOOKUP(B417,'Player Data'!$A1:$AE734,13,FALSE)*$Q417</f>
        <v>1.1190633519765735E-3</v>
      </c>
      <c r="Z417" s="40">
        <f>VLOOKUP(B417,'Player Data'!$A1:$AE734,14,FALSE)*$Q417</f>
        <v>1.9690076881506025E-3</v>
      </c>
      <c r="AA417" s="40">
        <f>VLOOKUP(B417,'Player Data'!$A1:$AE734,15,FALSE)*$Q417</f>
        <v>31.55453605497318</v>
      </c>
      <c r="AB417" s="40">
        <f>VLOOKUP(B417,'Player Data'!$A1:$AE734,16,FALSE)*$Q417</f>
        <v>171.50037605098515</v>
      </c>
      <c r="AC417" s="40">
        <f>VLOOKUP(B417,'Player Data'!$A1:$AE734,17,FALSE)*$Q417*IFERROR((VLOOKUP(P417,Settings!$E$28:$F$33,2,FALSE)+1),1)</f>
        <v>-1.8534943074926069</v>
      </c>
      <c r="AD417" s="40">
        <f>VLOOKUP(B417,'Player Data'!$A1:$AE734,18,FALSE)*$Q417</f>
        <v>34.81807567141491</v>
      </c>
      <c r="AE417" s="40">
        <f>VLOOKUP(B417,'Player Data'!$A1:$AE734,19,FALSE)*$Q417*IFERROR((VLOOKUP(P417,Settings!$E$28:$F$33,2,FALSE)+1),1)</f>
        <v>2.6908185856306597</v>
      </c>
      <c r="AF417" s="40">
        <f>VLOOKUP(B417,'Player Data'!$A1:$AE734,20,FALSE)*$Q417</f>
        <v>4.4977136229551995</v>
      </c>
      <c r="AG417" s="40">
        <f>VLOOKUP(B417,'Player Data'!$A1:$AE734,21,FALSE)*$Q417</f>
        <v>12.019926603882839</v>
      </c>
      <c r="AH417" s="41">
        <f>VLOOKUP(B417,'Player Data'!$A1:$AE734,22,FALSE)</f>
        <v>0.272297589800224</v>
      </c>
      <c r="AI417" s="38"/>
      <c r="AJ417" s="42"/>
      <c r="AK417" s="40"/>
      <c r="AL417" s="40"/>
      <c r="AM417" s="40"/>
      <c r="AN417" s="40"/>
      <c r="AO417" s="40"/>
      <c r="AP417" s="40"/>
      <c r="AQ417" s="43"/>
      <c r="AR417" s="44"/>
      <c r="AS417" s="38"/>
    </row>
    <row r="418" spans="1:45" ht="21.2" customHeight="1">
      <c r="A418" s="181">
        <f t="shared" si="38"/>
        <v>417</v>
      </c>
      <c r="B418" s="8" t="s">
        <v>603</v>
      </c>
      <c r="C418" s="31" t="s">
        <v>104</v>
      </c>
      <c r="D418" s="32" t="str">
        <f>VLOOKUP(B418,'Player Data'!A1:D734,4,FALSE)</f>
        <v>D</v>
      </c>
      <c r="E418" s="47">
        <f>VLOOKUP(B418,D!A1:C229,3,FALSE)</f>
        <v>146</v>
      </c>
      <c r="F418" s="34" t="str">
        <f>VLOOKUP(B418,'Player Data'!A1:B734,2,FALSE)</f>
        <v>CHI</v>
      </c>
      <c r="G418" s="9">
        <f>VLOOKUP(B418,'Player Data'!A1:D734,3,FALSE)</f>
        <v>24</v>
      </c>
      <c r="H418" s="35">
        <f>IFERROR(VLOOKUP(B418,ADP!A1:G731,7,FALSE)/1000000,VLOOKUP(B418,ADP!A1:G731,7,FALSE))</f>
        <v>0</v>
      </c>
      <c r="I418" s="36">
        <f>IF(Settings!$E$15="POINTS",((R418*Q418)*Settings!$B$12)+(S418*Settings!$B$2)+(T418*Settings!$B$3)+(U418*Settings!$B$4)+(V418*Settings!$B$5)+(X418*Settings!$B$9)+(AA418*Settings!$B$6)+(W418*Settings!$B$8)+(AB418*Settings!$B$7)+(AC418*Settings!$B$14)+(AD418*Settings!$B$15)+(AE418*Settings!$B$16)+(AF418*Settings!$B$17)+(AG418*Settings!$B$18)+(U418*Settings!$B$13)+(Y418*Settings!$B$10)+(Z418*Settings!$B$11),VLOOKUP(B418,'Standard Deviations'!A1:C731,3,FALSE))</f>
        <v>-4.0013813008379611</v>
      </c>
      <c r="J418" s="37">
        <f t="shared" si="39"/>
        <v>-4.8797332937048306E-2</v>
      </c>
      <c r="K418" s="183">
        <f>VLOOKUP(B418,D!A1:F229,6,FALSE)</f>
        <v>-5.9431218444722713</v>
      </c>
      <c r="L418" s="49" t="str">
        <f t="shared" si="40"/>
        <v>N/A</v>
      </c>
      <c r="M418" s="52" t="str">
        <f>IF(Settings!$E$9="YAHOO",VLOOKUP(B418,ADP!A1:E731,2,FALSE),IF(Settings!$E$9="ESPN",VLOOKUP(B418,ADP!A1:E731,3,FALSE),IF(Settings!$E$9="FANTRAX",VLOOKUP(B418,ADP!A1:E731,4,FALSE),VLOOKUP(B418,ADP!A1:E731,5,FALSE))))</f>
        <v>-</v>
      </c>
      <c r="N418" s="52" t="str">
        <f t="shared" si="41"/>
        <v>N/A</v>
      </c>
      <c r="O418" s="38"/>
      <c r="P418" s="39" t="str">
        <f>IF(Settings!$E$27="ON",_xlfn.XLOOKUP(B418,ADP!A2:A731,ADP!H2:H731)," ")</f>
        <v xml:space="preserve"> </v>
      </c>
      <c r="Q418" s="40">
        <f>IF(Settings!$E$12="YES",VLOOKUP(B418,'Player Data'!A1:E734,5,FALSE),82)</f>
        <v>82</v>
      </c>
      <c r="R418" s="38">
        <f>VLOOKUP(B418,'Player Data'!$A1:$AE734,6,FALSE)</f>
        <v>16.195173332137699</v>
      </c>
      <c r="S418" s="40">
        <f>VLOOKUP(B418,'Player Data'!$A1:$AE734,7,FALSE)*$Q418*IFERROR((VLOOKUP(P418,Settings!$E$28:$F$33,2,FALSE)+1),1)</f>
        <v>4.7749296622620587</v>
      </c>
      <c r="T418" s="40">
        <f>VLOOKUP(B418,'Player Data'!$A1:$AE734,8,FALSE)*$Q418*IFERROR((VLOOKUP(P418,Settings!$E$28:$F$33,2,FALSE)+1),1)</f>
        <v>15.124306136106636</v>
      </c>
      <c r="U418" s="40">
        <f t="shared" si="42"/>
        <v>19.899235798368693</v>
      </c>
      <c r="V418" s="40">
        <f>VLOOKUP(B418,'Player Data'!$A1:$AE734,10,FALSE)*$Q418*IFERROR(((VLOOKUP(P418,Settings!$E$28:$F$33,2,FALSE)/2)+1),1)</f>
        <v>91.580545017128458</v>
      </c>
      <c r="W418" s="40">
        <f>VLOOKUP(B418,'Player Data'!$A1:$AE734,11,FALSE)*$Q418*IFERROR((VLOOKUP(P418,Settings!$E$28:$F$33,2,FALSE)+1),1)</f>
        <v>0.22674964979314013</v>
      </c>
      <c r="X418" s="40">
        <f>VLOOKUP(B418,'Player Data'!$A1:$AE734,12,FALSE)*$Q418*IFERROR((VLOOKUP(P418,Settings!$E$28:$F$33,2,FALSE)+1),1)</f>
        <v>1.4375399639233786</v>
      </c>
      <c r="Y418" s="40">
        <f>VLOOKUP(B418,'Player Data'!$A1:$AE734,13,FALSE)*$Q418</f>
        <v>4.3722791963748876E-2</v>
      </c>
      <c r="Z418" s="40">
        <f>VLOOKUP(B418,'Player Data'!$A1:$AE734,14,FALSE)*$Q418</f>
        <v>0.18941871294224588</v>
      </c>
      <c r="AA418" s="40">
        <f>VLOOKUP(B418,'Player Data'!$A1:$AE734,15,FALSE)*$Q418</f>
        <v>93.783316006388944</v>
      </c>
      <c r="AB418" s="40">
        <f>VLOOKUP(B418,'Player Data'!$A1:$AE734,16,FALSE)*$Q418</f>
        <v>92.023772278595871</v>
      </c>
      <c r="AC418" s="40">
        <f>VLOOKUP(B418,'Player Data'!$A1:$AE734,17,FALSE)*$Q418*IFERROR((VLOOKUP(P418,Settings!$E$28:$F$33,2,FALSE)+1),1)</f>
        <v>-5.9458460191580516</v>
      </c>
      <c r="AD418" s="40">
        <f>VLOOKUP(B418,'Player Data'!$A1:$AE734,18,FALSE)*$Q418</f>
        <v>28.803332313794531</v>
      </c>
      <c r="AE418" s="40">
        <f>VLOOKUP(B418,'Player Data'!$A1:$AE734,19,FALSE)*$Q418*IFERROR((VLOOKUP(P418,Settings!$E$28:$F$33,2,FALSE)+1),1)</f>
        <v>0.55953366828545426</v>
      </c>
      <c r="AF418" s="40">
        <f>VLOOKUP(B418,'Player Data'!$A1:$AE734,20,FALSE)*$Q418</f>
        <v>0</v>
      </c>
      <c r="AG418" s="40">
        <f>VLOOKUP(B418,'Player Data'!$A1:$AE734,21,FALSE)*$Q418</f>
        <v>0</v>
      </c>
      <c r="AH418" s="41">
        <f>VLOOKUP(B418,'Player Data'!$A1:$AE734,22,FALSE)</f>
        <v>0</v>
      </c>
      <c r="AI418" s="38"/>
      <c r="AJ418" s="42"/>
      <c r="AK418" s="40"/>
      <c r="AL418" s="40"/>
      <c r="AM418" s="40"/>
      <c r="AN418" s="40"/>
      <c r="AO418" s="40"/>
      <c r="AP418" s="40"/>
      <c r="AQ418" s="43"/>
      <c r="AR418" s="44"/>
      <c r="AS418" s="38"/>
    </row>
    <row r="419" spans="1:45" ht="21.2" customHeight="1">
      <c r="A419" s="181">
        <f t="shared" si="38"/>
        <v>418</v>
      </c>
      <c r="B419" s="8" t="s">
        <v>472</v>
      </c>
      <c r="C419" s="31" t="s">
        <v>104</v>
      </c>
      <c r="D419" s="32" t="str">
        <f>VLOOKUP(B419,'Player Data'!A1:D734,4,FALSE)</f>
        <v>D</v>
      </c>
      <c r="E419" s="47">
        <f>VLOOKUP(B419,D!A1:C229,3,FALSE)</f>
        <v>147</v>
      </c>
      <c r="F419" s="34" t="str">
        <f>VLOOKUP(B419,'Player Data'!A1:B734,2,FALSE)</f>
        <v>NYR</v>
      </c>
      <c r="G419" s="9">
        <f>VLOOKUP(B419,'Player Data'!A1:D734,3,FALSE)</f>
        <v>25</v>
      </c>
      <c r="H419" s="35">
        <f>IFERROR(VLOOKUP(B419,ADP!A1:G731,7,FALSE)/1000000,VLOOKUP(B419,ADP!A1:G731,7,FALSE))</f>
        <v>3</v>
      </c>
      <c r="I419" s="36">
        <f>IF(Settings!$E$15="POINTS",((R419*Q419)*Settings!$B$12)+(S419*Settings!$B$2)+(T419*Settings!$B$3)+(U419*Settings!$B$4)+(V419*Settings!$B$5)+(X419*Settings!$B$9)+(AA419*Settings!$B$6)+(W419*Settings!$B$8)+(AB419*Settings!$B$7)+(AC419*Settings!$B$14)+(AD419*Settings!$B$15)+(AE419*Settings!$B$16)+(AF419*Settings!$B$17)+(AG419*Settings!$B$18)+(U419*Settings!$B$13)+(Y419*Settings!$B$10)+(Z419*Settings!$B$11),VLOOKUP(B419,'Standard Deviations'!A1:C731,3,FALSE))</f>
        <v>-4.0026880150396336</v>
      </c>
      <c r="J419" s="37">
        <f t="shared" si="39"/>
        <v>-4.8813268476093095E-2</v>
      </c>
      <c r="K419" s="183">
        <f>VLOOKUP(B419,D!A1:F229,6,FALSE)</f>
        <v>-5.9444285586739447</v>
      </c>
      <c r="L419" s="36">
        <f t="shared" si="40"/>
        <v>-1.9814761862246482</v>
      </c>
      <c r="M419" s="52" t="str">
        <f>IF(Settings!$E$9="YAHOO",VLOOKUP(B419,ADP!A1:E731,2,FALSE),IF(Settings!$E$9="ESPN",VLOOKUP(B419,ADP!A1:E731,3,FALSE),IF(Settings!$E$9="FANTRAX",VLOOKUP(B419,ADP!A1:E731,4,FALSE),VLOOKUP(B419,ADP!A1:E731,5,FALSE))))</f>
        <v>-</v>
      </c>
      <c r="N419" s="52" t="str">
        <f t="shared" si="41"/>
        <v>N/A</v>
      </c>
      <c r="O419" s="38"/>
      <c r="P419" s="39" t="str">
        <f>IF(Settings!$E$27="ON",_xlfn.XLOOKUP(B419,ADP!A2:A731,ADP!H2:H731)," ")</f>
        <v xml:space="preserve"> </v>
      </c>
      <c r="Q419" s="40">
        <f>IF(Settings!$E$12="YES",VLOOKUP(B419,'Player Data'!A1:E734,5,FALSE),82)</f>
        <v>82</v>
      </c>
      <c r="R419" s="38">
        <f>VLOOKUP(B419,'Player Data'!$A1:$AE734,6,FALSE)</f>
        <v>18.951672197110899</v>
      </c>
      <c r="S419" s="40">
        <f>VLOOKUP(B419,'Player Data'!$A1:$AE734,7,FALSE)*$Q419*IFERROR((VLOOKUP(P419,Settings!$E$28:$F$33,2,FALSE)+1),1)</f>
        <v>2.90089977203117</v>
      </c>
      <c r="T419" s="40">
        <f>VLOOKUP(B419,'Player Data'!$A1:$AE734,8,FALSE)*$Q419*IFERROR((VLOOKUP(P419,Settings!$E$28:$F$33,2,FALSE)+1),1)</f>
        <v>18.505502345748113</v>
      </c>
      <c r="U419" s="40">
        <f t="shared" si="42"/>
        <v>21.406402117779283</v>
      </c>
      <c r="V419" s="40">
        <f>VLOOKUP(B419,'Player Data'!$A1:$AE734,10,FALSE)*$Q419*IFERROR(((VLOOKUP(P419,Settings!$E$28:$F$33,2,FALSE)/2)+1),1)</f>
        <v>91.658900183154856</v>
      </c>
      <c r="W419" s="40">
        <f>VLOOKUP(B419,'Player Data'!$A1:$AE734,11,FALSE)*$Q419*IFERROR((VLOOKUP(P419,Settings!$E$28:$F$33,2,FALSE)+1),1)</f>
        <v>1.4701197997356533E-2</v>
      </c>
      <c r="X419" s="40">
        <f>VLOOKUP(B419,'Player Data'!$A1:$AE734,12,FALSE)*$Q419*IFERROR((VLOOKUP(P419,Settings!$E$28:$F$33,2,FALSE)+1),1)</f>
        <v>9.1530438999970598E-2</v>
      </c>
      <c r="Y419" s="40">
        <f>VLOOKUP(B419,'Player Data'!$A1:$AE734,13,FALSE)*$Q419</f>
        <v>4.2688511719408663E-2</v>
      </c>
      <c r="Z419" s="40">
        <f>VLOOKUP(B419,'Player Data'!$A1:$AE734,14,FALSE)*$Q419</f>
        <v>0.81767969418227016</v>
      </c>
      <c r="AA419" s="40">
        <f>VLOOKUP(B419,'Player Data'!$A1:$AE734,15,FALSE)*$Q419</f>
        <v>124.40926895778203</v>
      </c>
      <c r="AB419" s="40">
        <f>VLOOKUP(B419,'Player Data'!$A1:$AE734,16,FALSE)*$Q419</f>
        <v>109.08203990034008</v>
      </c>
      <c r="AC419" s="40">
        <f>VLOOKUP(B419,'Player Data'!$A1:$AE734,17,FALSE)*$Q419*IFERROR((VLOOKUP(P419,Settings!$E$28:$F$33,2,FALSE)+1),1)</f>
        <v>7.2776399294075631</v>
      </c>
      <c r="AD419" s="40">
        <f>VLOOKUP(B419,'Player Data'!$A1:$AE734,18,FALSE)*$Q419</f>
        <v>51.092667584460024</v>
      </c>
      <c r="AE419" s="40">
        <f>VLOOKUP(B419,'Player Data'!$A1:$AE734,19,FALSE)*$Q419*IFERROR((VLOOKUP(P419,Settings!$E$28:$F$33,2,FALSE)+1),1)</f>
        <v>0.4943079040908398</v>
      </c>
      <c r="AF419" s="40">
        <f>VLOOKUP(B419,'Player Data'!$A1:$AE734,20,FALSE)*$Q419</f>
        <v>0</v>
      </c>
      <c r="AG419" s="40">
        <f>VLOOKUP(B419,'Player Data'!$A1:$AE734,21,FALSE)*$Q419</f>
        <v>0</v>
      </c>
      <c r="AH419" s="41">
        <f>VLOOKUP(B419,'Player Data'!$A1:$AE734,22,FALSE)</f>
        <v>0</v>
      </c>
      <c r="AI419" s="38"/>
      <c r="AJ419" s="40"/>
      <c r="AK419" s="40"/>
      <c r="AL419" s="40"/>
      <c r="AM419" s="40"/>
      <c r="AN419" s="40"/>
      <c r="AO419" s="40"/>
      <c r="AP419" s="40"/>
      <c r="AQ419" s="43"/>
      <c r="AR419" s="44"/>
      <c r="AS419" s="38"/>
    </row>
    <row r="420" spans="1:45" ht="21.2" customHeight="1">
      <c r="A420" s="181">
        <f t="shared" si="38"/>
        <v>419</v>
      </c>
      <c r="B420" s="8" t="s">
        <v>430</v>
      </c>
      <c r="C420" s="31" t="s">
        <v>104</v>
      </c>
      <c r="D420" s="32" t="str">
        <f>VLOOKUP(B420,'Player Data'!A1:D734,4,FALSE)</f>
        <v>LW,RW</v>
      </c>
      <c r="E420" s="45">
        <f>VLOOKUP(B420,RW!A1:F189,3,FALSE)</f>
        <v>97</v>
      </c>
      <c r="F420" s="34" t="str">
        <f>VLOOKUP(B420,'Player Data'!A1:B734,2,FALSE)</f>
        <v>NSH</v>
      </c>
      <c r="G420" s="9">
        <f>VLOOKUP(B420,'Player Data'!A1:D734,3,FALSE)</f>
        <v>33</v>
      </c>
      <c r="H420" s="35">
        <f>IFERROR(VLOOKUP(B420,ADP!A1:G731,7,FALSE)/1000000,VLOOKUP(B420,ADP!A1:G731,7,FALSE))</f>
        <v>3.1850000000000001</v>
      </c>
      <c r="I420" s="36">
        <f>IF(Settings!$E$15="POINTS",((R420*Q420)*Settings!$B$12)+(S420*Settings!$B$2)+(T420*Settings!$B$3)+(U420*Settings!$B$4)+(V420*Settings!$B$5)+(X420*Settings!$B$9)+(AA420*Settings!$B$6)+(W420*Settings!$B$8)+(AB420*Settings!$B$7)+(AC420*Settings!$B$14)+(AD420*Settings!$B$15)+(AE420*Settings!$B$16)+(AF420*Settings!$B$17)+(AG420*Settings!$B$18)+(Y420*Settings!$B$10)+(Z420*Settings!$B$11),VLOOKUP(B420,'Standard Deviations'!A1:C731,3,FALSE))</f>
        <v>0.30395373302398276</v>
      </c>
      <c r="J420" s="37">
        <f t="shared" si="39"/>
        <v>3.7067528417558874E-3</v>
      </c>
      <c r="K420" s="183">
        <f>IF(Settings!$E$18="C/LW/RW",VLOOKUP(B420,RW!A1:F189,6,FALSE),VLOOKUP(B420,F!A1:F431,6,FALSE))</f>
        <v>-5.976304985987098</v>
      </c>
      <c r="L420" s="36">
        <f t="shared" si="40"/>
        <v>-1.876390890419811</v>
      </c>
      <c r="M420" s="52" t="str">
        <f>IF(Settings!$E$9="YAHOO",VLOOKUP(B420,ADP!A1:E731,2,FALSE),IF(Settings!$E$9="ESPN",VLOOKUP(B420,ADP!A1:E731,3,FALSE),IF(Settings!$E$9="FANTRAX",VLOOKUP(B420,ADP!A1:E731,4,FALSE),VLOOKUP(B420,ADP!A1:E731,5,FALSE))))</f>
        <v>-</v>
      </c>
      <c r="N420" s="52" t="str">
        <f t="shared" si="41"/>
        <v>N/A</v>
      </c>
      <c r="O420" s="38"/>
      <c r="P420" s="39" t="str">
        <f>IF(Settings!$E$27="ON",_xlfn.XLOOKUP(B420,ADP!A2:A731,ADP!H2:H731)," ")</f>
        <v xml:space="preserve"> </v>
      </c>
      <c r="Q420" s="40">
        <f>IF(Settings!$E$12="YES",VLOOKUP(B420,'Player Data'!A1:E734,5,FALSE),82)</f>
        <v>82</v>
      </c>
      <c r="R420" s="38">
        <f>VLOOKUP(B420,'Player Data'!$A1:$AE734,6,FALSE)</f>
        <v>16.642927150180199</v>
      </c>
      <c r="S420" s="40">
        <f>VLOOKUP(B420,'Player Data'!$A1:$AE734,7,FALSE)*$Q420*IFERROR((VLOOKUP(P420,Settings!$E$28:$F$33,2,FALSE)+1),1)</f>
        <v>15.430601843736889</v>
      </c>
      <c r="T420" s="40">
        <f>VLOOKUP(B420,'Player Data'!$A1:$AE734,8,FALSE)*$Q420*IFERROR((VLOOKUP(P420,Settings!$E$28:$F$33,2,FALSE)+1),1)</f>
        <v>27.56012807890372</v>
      </c>
      <c r="U420" s="40">
        <f t="shared" si="42"/>
        <v>42.990729922640611</v>
      </c>
      <c r="V420" s="40">
        <f>VLOOKUP(B420,'Player Data'!$A1:$AE734,10,FALSE)*$Q420*IFERROR(((VLOOKUP(P420,Settings!$E$28:$F$33,2,FALSE)/2)+1),1)</f>
        <v>145.92640080401088</v>
      </c>
      <c r="W420" s="40">
        <f>VLOOKUP(B420,'Player Data'!$A1:$AE734,11,FALSE)*$Q420*IFERROR((VLOOKUP(P420,Settings!$E$28:$F$33,2,FALSE)+1),1)</f>
        <v>2.1058439763874519</v>
      </c>
      <c r="X420" s="40">
        <f>VLOOKUP(B420,'Player Data'!$A1:$AE734,12,FALSE)*$Q420*IFERROR((VLOOKUP(P420,Settings!$E$28:$F$33,2,FALSE)+1),1)</f>
        <v>5.943702758399434</v>
      </c>
      <c r="Y420" s="40">
        <f>VLOOKUP(B420,'Player Data'!$A1:$AE734,13,FALSE)*$Q420</f>
        <v>1.7845815449104534</v>
      </c>
      <c r="Z420" s="40">
        <f>VLOOKUP(B420,'Player Data'!$A1:$AE734,14,FALSE)*$Q420</f>
        <v>1.6736750804694194</v>
      </c>
      <c r="AA420" s="40">
        <f>VLOOKUP(B420,'Player Data'!$A1:$AE734,15,FALSE)*$Q420</f>
        <v>44.910907664774982</v>
      </c>
      <c r="AB420" s="40">
        <f>VLOOKUP(B420,'Player Data'!$A1:$AE734,16,FALSE)*$Q420</f>
        <v>56.766543620090616</v>
      </c>
      <c r="AC420" s="40">
        <f>VLOOKUP(B420,'Player Data'!$A1:$AE734,17,FALSE)*$Q420*IFERROR((VLOOKUP(P420,Settings!$E$28:$F$33,2,FALSE)+1),1)</f>
        <v>-1.9272595662901084</v>
      </c>
      <c r="AD420" s="40">
        <f>VLOOKUP(B420,'Player Data'!$A1:$AE734,18,FALSE)*$Q420</f>
        <v>26.531650666034487</v>
      </c>
      <c r="AE420" s="40">
        <f>VLOOKUP(B420,'Player Data'!$A1:$AE734,19,FALSE)*$Q420*IFERROR((VLOOKUP(P420,Settings!$E$28:$F$33,2,FALSE)+1),1)</f>
        <v>2.2532714423391731</v>
      </c>
      <c r="AF420" s="40">
        <f>VLOOKUP(B420,'Player Data'!$A1:$AE734,20,FALSE)*$Q420</f>
        <v>19.725453025148269</v>
      </c>
      <c r="AG420" s="40">
        <f>VLOOKUP(B420,'Player Data'!$A1:$AE734,21,FALSE)*$Q420</f>
        <v>23.698090873782927</v>
      </c>
      <c r="AH420" s="41">
        <f>VLOOKUP(B420,'Player Data'!$A1:$AE734,22,FALSE)</f>
        <v>0.45425709774078998</v>
      </c>
      <c r="AI420" s="38"/>
      <c r="AJ420" s="42"/>
      <c r="AK420" s="40"/>
      <c r="AL420" s="40"/>
      <c r="AM420" s="40"/>
      <c r="AN420" s="40"/>
      <c r="AO420" s="40"/>
      <c r="AP420" s="40"/>
      <c r="AQ420" s="43"/>
      <c r="AR420" s="44"/>
      <c r="AS420" s="38"/>
    </row>
    <row r="421" spans="1:45" ht="21.2" customHeight="1">
      <c r="A421" s="181">
        <f t="shared" si="38"/>
        <v>420</v>
      </c>
      <c r="B421" s="8" t="s">
        <v>442</v>
      </c>
      <c r="C421" s="31" t="s">
        <v>104</v>
      </c>
      <c r="D421" s="32" t="str">
        <f>VLOOKUP(B421,'Player Data'!A1:D734,4,FALSE)</f>
        <v>D</v>
      </c>
      <c r="E421" s="47">
        <f>VLOOKUP(B421,D!A1:C229,3,FALSE)</f>
        <v>148</v>
      </c>
      <c r="F421" s="34" t="str">
        <f>VLOOKUP(B421,'Player Data'!A1:B734,2,FALSE)</f>
        <v>NJD</v>
      </c>
      <c r="G421" s="9">
        <f>VLOOKUP(B421,'Player Data'!A1:D734,3,FALSE)</f>
        <v>26</v>
      </c>
      <c r="H421" s="35">
        <f>IFERROR(VLOOKUP(B421,ADP!A1:G731,7,FALSE)/1000000,VLOOKUP(B421,ADP!A1:G731,7,FALSE))</f>
        <v>3.0167000000000002</v>
      </c>
      <c r="I421" s="36">
        <f>IF(Settings!$E$15="POINTS",((R421*Q421)*Settings!$B$12)+(S421*Settings!$B$2)+(T421*Settings!$B$3)+(U421*Settings!$B$4)+(V421*Settings!$B$5)+(X421*Settings!$B$9)+(AA421*Settings!$B$6)+(W421*Settings!$B$8)+(AB421*Settings!$B$7)+(AC421*Settings!$B$14)+(AD421*Settings!$B$15)+(AE421*Settings!$B$16)+(AF421*Settings!$B$17)+(AG421*Settings!$B$18)+(U421*Settings!$B$13)+(Y421*Settings!$B$10)+(Z421*Settings!$B$11),VLOOKUP(B421,'Standard Deviations'!A1:C731,3,FALSE))</f>
        <v>-4.0426999304001994</v>
      </c>
      <c r="J421" s="37">
        <f t="shared" si="39"/>
        <v>-4.9301218663417065E-2</v>
      </c>
      <c r="K421" s="183">
        <f>VLOOKUP(B421,D!A1:F229,6,FALSE)</f>
        <v>-5.9844404740345105</v>
      </c>
      <c r="L421" s="36">
        <f t="shared" si="40"/>
        <v>-1.9837705022158352</v>
      </c>
      <c r="M421" s="38">
        <f>IF(Settings!$E$9="YAHOO",VLOOKUP(B421,ADP!A1:E731,2,FALSE),IF(Settings!$E$9="ESPN",VLOOKUP(B421,ADP!A1:E731,3,FALSE),IF(Settings!$E$9="FANTRAX",VLOOKUP(B421,ADP!A1:E731,4,FALSE),VLOOKUP(B421,ADP!A1:E731,5,FALSE))))</f>
        <v>403.5</v>
      </c>
      <c r="N421" s="38">
        <f t="shared" si="41"/>
        <v>-16.5</v>
      </c>
      <c r="O421" s="38"/>
      <c r="P421" s="39" t="str">
        <f>IF(Settings!$E$27="ON",_xlfn.XLOOKUP(B421,ADP!A2:A731,ADP!H2:H731)," ")</f>
        <v xml:space="preserve"> </v>
      </c>
      <c r="Q421" s="40">
        <f>IF(Settings!$E$12="YES",VLOOKUP(B421,'Player Data'!A1:E734,5,FALSE),82)</f>
        <v>82</v>
      </c>
      <c r="R421" s="38">
        <f>VLOOKUP(B421,'Player Data'!$A1:$AE734,6,FALSE)</f>
        <v>20.484557164634101</v>
      </c>
      <c r="S421" s="40">
        <f>VLOOKUP(B421,'Player Data'!$A1:$AE734,7,FALSE)*$Q421*IFERROR((VLOOKUP(P421,Settings!$E$28:$F$33,2,FALSE)+1),1)</f>
        <v>3.1032941749074427</v>
      </c>
      <c r="T421" s="40">
        <f>VLOOKUP(B421,'Player Data'!$A1:$AE734,8,FALSE)*$Q421*IFERROR((VLOOKUP(P421,Settings!$E$28:$F$33,2,FALSE)+1),1)</f>
        <v>17.101273513224587</v>
      </c>
      <c r="U421" s="40">
        <f t="shared" si="42"/>
        <v>20.20456768813203</v>
      </c>
      <c r="V421" s="40">
        <f>VLOOKUP(B421,'Player Data'!$A1:$AE734,10,FALSE)*$Q421*IFERROR(((VLOOKUP(P421,Settings!$E$28:$F$33,2,FALSE)/2)+1),1)</f>
        <v>95.293068785517065</v>
      </c>
      <c r="W421" s="40">
        <f>VLOOKUP(B421,'Player Data'!$A1:$AE734,11,FALSE)*$Q421*IFERROR((VLOOKUP(P421,Settings!$E$28:$F$33,2,FALSE)+1),1)</f>
        <v>0.19915485534676985</v>
      </c>
      <c r="X421" s="40">
        <f>VLOOKUP(B421,'Player Data'!$A1:$AE734,12,FALSE)*$Q421*IFERROR((VLOOKUP(P421,Settings!$E$28:$F$33,2,FALSE)+1),1)</f>
        <v>0.43594215230788108</v>
      </c>
      <c r="Y421" s="40">
        <f>VLOOKUP(B421,'Player Data'!$A1:$AE734,13,FALSE)*$Q421</f>
        <v>4.1642098805799881E-2</v>
      </c>
      <c r="Z421" s="40">
        <f>VLOOKUP(B421,'Player Data'!$A1:$AE734,14,FALSE)*$Q421</f>
        <v>0.64779925679328121</v>
      </c>
      <c r="AA421" s="40">
        <f>VLOOKUP(B421,'Player Data'!$A1:$AE734,15,FALSE)*$Q421</f>
        <v>147.88573627430364</v>
      </c>
      <c r="AB421" s="40">
        <f>VLOOKUP(B421,'Player Data'!$A1:$AE734,16,FALSE)*$Q421</f>
        <v>112.95187489315708</v>
      </c>
      <c r="AC421" s="40">
        <f>VLOOKUP(B421,'Player Data'!$A1:$AE734,17,FALSE)*$Q421*IFERROR((VLOOKUP(P421,Settings!$E$28:$F$33,2,FALSE)+1),1)</f>
        <v>0.74436079180423642</v>
      </c>
      <c r="AD421" s="40">
        <f>VLOOKUP(B421,'Player Data'!$A1:$AE734,18,FALSE)*$Q421</f>
        <v>45.557373821514695</v>
      </c>
      <c r="AE421" s="40">
        <f>VLOOKUP(B421,'Player Data'!$A1:$AE734,19,FALSE)*$Q421*IFERROR((VLOOKUP(P421,Settings!$E$28:$F$33,2,FALSE)+1),1)</f>
        <v>0.45611591226510295</v>
      </c>
      <c r="AF421" s="40">
        <f>VLOOKUP(B421,'Player Data'!$A1:$AE734,20,FALSE)*$Q421</f>
        <v>0</v>
      </c>
      <c r="AG421" s="40">
        <f>VLOOKUP(B421,'Player Data'!$A1:$AE734,21,FALSE)*$Q421</f>
        <v>0</v>
      </c>
      <c r="AH421" s="41">
        <f>VLOOKUP(B421,'Player Data'!$A1:$AE734,22,FALSE)</f>
        <v>0</v>
      </c>
      <c r="AI421" s="38"/>
      <c r="AJ421" s="42"/>
      <c r="AK421" s="40"/>
      <c r="AL421" s="40"/>
      <c r="AM421" s="40"/>
      <c r="AN421" s="40"/>
      <c r="AO421" s="40"/>
      <c r="AP421" s="40"/>
      <c r="AQ421" s="43"/>
      <c r="AR421" s="44"/>
      <c r="AS421" s="38"/>
    </row>
    <row r="422" spans="1:45" ht="21.2" customHeight="1">
      <c r="A422" s="181">
        <f t="shared" si="38"/>
        <v>421</v>
      </c>
      <c r="B422" s="8" t="s">
        <v>438</v>
      </c>
      <c r="C422" s="31" t="s">
        <v>104</v>
      </c>
      <c r="D422" s="32" t="str">
        <f>VLOOKUP(B422,'Player Data'!A1:D734,4,FALSE)</f>
        <v>D</v>
      </c>
      <c r="E422" s="47">
        <f>VLOOKUP(B422,D!A1:C229,3,FALSE)</f>
        <v>149</v>
      </c>
      <c r="F422" s="34" t="str">
        <f>VLOOKUP(B422,'Player Data'!A1:B734,2,FALSE)</f>
        <v>VGK</v>
      </c>
      <c r="G422" s="9">
        <f>VLOOKUP(B422,'Player Data'!A1:D734,3,FALSE)</f>
        <v>36</v>
      </c>
      <c r="H422" s="35">
        <f>IFERROR(VLOOKUP(B422,ADP!A1:G731,7,FALSE)/1000000,VLOOKUP(B422,ADP!A1:G731,7,FALSE))</f>
        <v>5.25</v>
      </c>
      <c r="I422" s="36">
        <f>IF(Settings!$E$15="POINTS",((R422*Q422)*Settings!$B$12)+(S422*Settings!$B$2)+(T422*Settings!$B$3)+(U422*Settings!$B$4)+(V422*Settings!$B$5)+(X422*Settings!$B$9)+(AA422*Settings!$B$6)+(W422*Settings!$B$8)+(AB422*Settings!$B$7)+(AC422*Settings!$B$14)+(AD422*Settings!$B$15)+(AE422*Settings!$B$16)+(AF422*Settings!$B$17)+(AG422*Settings!$B$18)+(U422*Settings!$B$13)+(Y422*Settings!$B$10)+(Z422*Settings!$B$11),VLOOKUP(B422,'Standard Deviations'!A1:C731,3,FALSE))</f>
        <v>-4.0472795879918957</v>
      </c>
      <c r="J422" s="37">
        <f t="shared" si="39"/>
        <v>-4.9357068146242633E-2</v>
      </c>
      <c r="K422" s="183">
        <f>VLOOKUP(B422,D!A1:F229,6,FALSE)</f>
        <v>-5.9890201316262068</v>
      </c>
      <c r="L422" s="36">
        <f t="shared" si="40"/>
        <v>-1.1407657393573727</v>
      </c>
      <c r="M422" s="38">
        <f>IF(Settings!$E$9="YAHOO",VLOOKUP(B422,ADP!A1:E731,2,FALSE),IF(Settings!$E$9="ESPN",VLOOKUP(B422,ADP!A1:E731,3,FALSE),IF(Settings!$E$9="FANTRAX",VLOOKUP(B422,ADP!A1:E731,4,FALSE),VLOOKUP(B422,ADP!A1:E731,5,FALSE))))</f>
        <v>472.5</v>
      </c>
      <c r="N422" s="38">
        <f t="shared" si="41"/>
        <v>51.5</v>
      </c>
      <c r="O422" s="38"/>
      <c r="P422" s="39" t="str">
        <f>IF(Settings!$E$27="ON",_xlfn.XLOOKUP(B422,ADP!A2:A731,ADP!H2:H731)," ")</f>
        <v xml:space="preserve"> </v>
      </c>
      <c r="Q422" s="40">
        <f>IF(Settings!$E$12="YES",VLOOKUP(B422,'Player Data'!A1:E734,5,FALSE),82)</f>
        <v>82</v>
      </c>
      <c r="R422" s="38">
        <f>VLOOKUP(B422,'Player Data'!$A1:$AE734,6,FALSE)</f>
        <v>19.539667494803201</v>
      </c>
      <c r="S422" s="40">
        <f>VLOOKUP(B422,'Player Data'!$A1:$AE734,7,FALSE)*$Q422*IFERROR((VLOOKUP(P422,Settings!$E$28:$F$33,2,FALSE)+1),1)</f>
        <v>5.0126422976419782</v>
      </c>
      <c r="T422" s="40">
        <f>VLOOKUP(B422,'Player Data'!$A1:$AE734,8,FALSE)*$Q422*IFERROR((VLOOKUP(P422,Settings!$E$28:$F$33,2,FALSE)+1),1)</f>
        <v>15.287981430982502</v>
      </c>
      <c r="U422" s="40">
        <f t="shared" si="42"/>
        <v>20.30062372862448</v>
      </c>
      <c r="V422" s="40">
        <f>VLOOKUP(B422,'Player Data'!$A1:$AE734,10,FALSE)*$Q422*IFERROR(((VLOOKUP(P422,Settings!$E$28:$F$33,2,FALSE)/2)+1),1)</f>
        <v>91.248890066920637</v>
      </c>
      <c r="W422" s="40">
        <f>VLOOKUP(B422,'Player Data'!$A1:$AE734,11,FALSE)*$Q422*IFERROR((VLOOKUP(P422,Settings!$E$28:$F$33,2,FALSE)+1),1)</f>
        <v>0.13494797303008924</v>
      </c>
      <c r="X422" s="40">
        <f>VLOOKUP(B422,'Player Data'!$A1:$AE734,12,FALSE)*$Q422*IFERROR((VLOOKUP(P422,Settings!$E$28:$F$33,2,FALSE)+1),1)</f>
        <v>0.51240084932878438</v>
      </c>
      <c r="Y422" s="40">
        <f>VLOOKUP(B422,'Player Data'!$A1:$AE734,13,FALSE)*$Q422</f>
        <v>-5.3465672432916583E-2</v>
      </c>
      <c r="Z422" s="40">
        <f>VLOOKUP(B422,'Player Data'!$A1:$AE734,14,FALSE)*$Q422</f>
        <v>-0.28186771509823227</v>
      </c>
      <c r="AA422" s="40">
        <f>VLOOKUP(B422,'Player Data'!$A1:$AE734,15,FALSE)*$Q422</f>
        <v>226.83815159797629</v>
      </c>
      <c r="AB422" s="40">
        <f>VLOOKUP(B422,'Player Data'!$A1:$AE734,16,FALSE)*$Q422</f>
        <v>73.676453111209</v>
      </c>
      <c r="AC422" s="40">
        <f>VLOOKUP(B422,'Player Data'!$A1:$AE734,17,FALSE)*$Q422*IFERROR((VLOOKUP(P422,Settings!$E$28:$F$33,2,FALSE)+1),1)</f>
        <v>6.5353023645471966</v>
      </c>
      <c r="AD422" s="40">
        <f>VLOOKUP(B422,'Player Data'!$A1:$AE734,18,FALSE)*$Q422</f>
        <v>27.348719537222497</v>
      </c>
      <c r="AE422" s="40">
        <f>VLOOKUP(B422,'Player Data'!$A1:$AE734,19,FALSE)*$Q422*IFERROR((VLOOKUP(P422,Settings!$E$28:$F$33,2,FALSE)+1),1)</f>
        <v>0.81920252016630579</v>
      </c>
      <c r="AF422" s="40">
        <f>VLOOKUP(B422,'Player Data'!$A1:$AE734,20,FALSE)*$Q422</f>
        <v>0</v>
      </c>
      <c r="AG422" s="40">
        <f>VLOOKUP(B422,'Player Data'!$A1:$AE734,21,FALSE)*$Q422</f>
        <v>0</v>
      </c>
      <c r="AH422" s="41">
        <f>VLOOKUP(B422,'Player Data'!$A1:$AE734,22,FALSE)</f>
        <v>0</v>
      </c>
      <c r="AI422" s="38"/>
      <c r="AJ422" s="42"/>
      <c r="AK422" s="40"/>
      <c r="AL422" s="40"/>
      <c r="AM422" s="40"/>
      <c r="AN422" s="40"/>
      <c r="AO422" s="40"/>
      <c r="AP422" s="40"/>
      <c r="AQ422" s="43"/>
      <c r="AR422" s="44"/>
      <c r="AS422" s="38"/>
    </row>
    <row r="423" spans="1:45" ht="21.2" customHeight="1">
      <c r="A423" s="181">
        <f t="shared" si="38"/>
        <v>422</v>
      </c>
      <c r="B423" s="8" t="s">
        <v>493</v>
      </c>
      <c r="C423" s="31" t="s">
        <v>104</v>
      </c>
      <c r="D423" s="32" t="str">
        <f>VLOOKUP(B423,'Player Data'!A1:D734,4,FALSE)</f>
        <v>D</v>
      </c>
      <c r="E423" s="47">
        <f>VLOOKUP(B423,D!A1:C229,3,FALSE)</f>
        <v>150</v>
      </c>
      <c r="F423" s="34" t="str">
        <f>VLOOKUP(B423,'Player Data'!A1:B734,2,FALSE)</f>
        <v>NSH</v>
      </c>
      <c r="G423" s="9">
        <f>VLOOKUP(B423,'Player Data'!A1:D734,3,FALSE)</f>
        <v>33</v>
      </c>
      <c r="H423" s="35">
        <f>IFERROR(VLOOKUP(B423,ADP!A1:G731,7,FALSE)/1000000,VLOOKUP(B423,ADP!A1:G731,7,FALSE))</f>
        <v>2.75</v>
      </c>
      <c r="I423" s="36">
        <f>IF(Settings!$E$15="POINTS",((R423*Q423)*Settings!$B$12)+(S423*Settings!$B$2)+(T423*Settings!$B$3)+(U423*Settings!$B$4)+(V423*Settings!$B$5)+(X423*Settings!$B$9)+(AA423*Settings!$B$6)+(W423*Settings!$B$8)+(AB423*Settings!$B$7)+(AC423*Settings!$B$14)+(AD423*Settings!$B$15)+(AE423*Settings!$B$16)+(AF423*Settings!$B$17)+(AG423*Settings!$B$18)+(U423*Settings!$B$13)+(Y423*Settings!$B$10)+(Z423*Settings!$B$11),VLOOKUP(B423,'Standard Deviations'!A1:C731,3,FALSE))</f>
        <v>-4.0512321978659322</v>
      </c>
      <c r="J423" s="37">
        <f t="shared" si="39"/>
        <v>-4.9405270705682097E-2</v>
      </c>
      <c r="K423" s="183">
        <f>VLOOKUP(B423,D!A1:F229,6,FALSE)</f>
        <v>-5.9929727415002425</v>
      </c>
      <c r="L423" s="36">
        <f t="shared" si="40"/>
        <v>-2.1792628150909974</v>
      </c>
      <c r="M423" s="38">
        <f>IF(Settings!$E$9="YAHOO",VLOOKUP(B423,ADP!A1:E731,2,FALSE),IF(Settings!$E$9="ESPN",VLOOKUP(B423,ADP!A1:E731,3,FALSE),IF(Settings!$E$9="FANTRAX",VLOOKUP(B423,ADP!A1:E731,4,FALSE),VLOOKUP(B423,ADP!A1:E731,5,FALSE))))</f>
        <v>303.69</v>
      </c>
      <c r="N423" s="38">
        <f t="shared" si="41"/>
        <v>-118.31</v>
      </c>
      <c r="O423" s="38"/>
      <c r="P423" s="39" t="str">
        <f>IF(Settings!$E$27="ON",_xlfn.XLOOKUP(B423,ADP!A2:A731,ADP!H2:H731)," ")</f>
        <v xml:space="preserve"> </v>
      </c>
      <c r="Q423" s="40">
        <f>IF(Settings!$E$12="YES",VLOOKUP(B423,'Player Data'!A1:E734,5,FALSE),82)</f>
        <v>82</v>
      </c>
      <c r="R423" s="38">
        <f>VLOOKUP(B423,'Player Data'!$A1:$AE734,6,FALSE)</f>
        <v>16.643245714830201</v>
      </c>
      <c r="S423" s="40">
        <f>VLOOKUP(B423,'Player Data'!$A1:$AE734,7,FALSE)*$Q423*IFERROR((VLOOKUP(P423,Settings!$E$28:$F$33,2,FALSE)+1),1)</f>
        <v>4.622042075989528</v>
      </c>
      <c r="T423" s="40">
        <f>VLOOKUP(B423,'Player Data'!$A1:$AE734,8,FALSE)*$Q423*IFERROR((VLOOKUP(P423,Settings!$E$28:$F$33,2,FALSE)+1),1)</f>
        <v>15.306924836731625</v>
      </c>
      <c r="U423" s="40">
        <f t="shared" si="42"/>
        <v>19.928966912721151</v>
      </c>
      <c r="V423" s="40">
        <f>VLOOKUP(B423,'Player Data'!$A1:$AE734,10,FALSE)*$Q423*IFERROR(((VLOOKUP(P423,Settings!$E$28:$F$33,2,FALSE)/2)+1),1)</f>
        <v>96.210270676023086</v>
      </c>
      <c r="W423" s="40">
        <f>VLOOKUP(B423,'Player Data'!$A1:$AE734,11,FALSE)*$Q423*IFERROR((VLOOKUP(P423,Settings!$E$28:$F$33,2,FALSE)+1),1)</f>
        <v>2.4439368450035373E-2</v>
      </c>
      <c r="X423" s="40">
        <f>VLOOKUP(B423,'Player Data'!$A1:$AE734,12,FALSE)*$Q423*IFERROR((VLOOKUP(P423,Settings!$E$28:$F$33,2,FALSE)+1),1)</f>
        <v>0.1654318257201646</v>
      </c>
      <c r="Y423" s="40">
        <f>VLOOKUP(B423,'Player Data'!$A1:$AE734,13,FALSE)*$Q423</f>
        <v>-1.8802856593457165E-2</v>
      </c>
      <c r="Z423" s="40">
        <f>VLOOKUP(B423,'Player Data'!$A1:$AE734,14,FALSE)*$Q423</f>
        <v>-0.10267323933631585</v>
      </c>
      <c r="AA423" s="40">
        <f>VLOOKUP(B423,'Player Data'!$A1:$AE734,15,FALSE)*$Q423</f>
        <v>113.6609489830677</v>
      </c>
      <c r="AB423" s="40">
        <f>VLOOKUP(B423,'Player Data'!$A1:$AE734,16,FALSE)*$Q423</f>
        <v>295.09887821202341</v>
      </c>
      <c r="AC423" s="40">
        <f>VLOOKUP(B423,'Player Data'!$A1:$AE734,17,FALSE)*$Q423*IFERROR((VLOOKUP(P423,Settings!$E$28:$F$33,2,FALSE)+1),1)</f>
        <v>-0.86592445473279533</v>
      </c>
      <c r="AD423" s="40">
        <f>VLOOKUP(B423,'Player Data'!$A1:$AE734,18,FALSE)*$Q423</f>
        <v>78.434202204064107</v>
      </c>
      <c r="AE423" s="40">
        <f>VLOOKUP(B423,'Player Data'!$A1:$AE734,19,FALSE)*$Q423*IFERROR((VLOOKUP(P423,Settings!$E$28:$F$33,2,FALSE)+1),1)</f>
        <v>0.67493902834026376</v>
      </c>
      <c r="AF423" s="40">
        <f>VLOOKUP(B423,'Player Data'!$A1:$AE734,20,FALSE)*$Q423</f>
        <v>0</v>
      </c>
      <c r="AG423" s="40">
        <f>VLOOKUP(B423,'Player Data'!$A1:$AE734,21,FALSE)*$Q423</f>
        <v>0</v>
      </c>
      <c r="AH423" s="41">
        <f>VLOOKUP(B423,'Player Data'!$A1:$AE734,22,FALSE)</f>
        <v>0</v>
      </c>
      <c r="AI423" s="38"/>
      <c r="AJ423" s="42"/>
      <c r="AK423" s="40"/>
      <c r="AL423" s="40"/>
      <c r="AM423" s="40"/>
      <c r="AN423" s="40"/>
      <c r="AO423" s="40"/>
      <c r="AP423" s="40"/>
      <c r="AQ423" s="43"/>
      <c r="AR423" s="44"/>
      <c r="AS423" s="38"/>
    </row>
    <row r="424" spans="1:45" ht="21.2" customHeight="1">
      <c r="A424" s="181">
        <f t="shared" si="38"/>
        <v>423</v>
      </c>
      <c r="B424" s="8" t="s">
        <v>431</v>
      </c>
      <c r="C424" s="31" t="s">
        <v>104</v>
      </c>
      <c r="D424" s="32" t="str">
        <f>VLOOKUP(B424,'Player Data'!A1:D734,4,FALSE)</f>
        <v>C,LW</v>
      </c>
      <c r="E424" s="45">
        <f>VLOOKUP(B424,LW!A1:C227,3,FALSE)</f>
        <v>96</v>
      </c>
      <c r="F424" s="34" t="str">
        <f>VLOOKUP(B424,'Player Data'!A1:B734,2,FALSE)</f>
        <v>TOR</v>
      </c>
      <c r="G424" s="9">
        <f>VLOOKUP(B424,'Player Data'!A1:D734,3,FALSE)</f>
        <v>28</v>
      </c>
      <c r="H424" s="35">
        <f>IFERROR(VLOOKUP(B424,ADP!A1:G731,7,FALSE)/1000000,VLOOKUP(B424,ADP!A1:G731,7,FALSE))</f>
        <v>2.5</v>
      </c>
      <c r="I424" s="36">
        <f>IF(Settings!$E$15="POINTS",((R424*Q424)*Settings!$B$12)+(S424*Settings!$B$2)+(T424*Settings!$B$3)+(U424*Settings!$B$4)+(V424*Settings!$B$5)+(X424*Settings!$B$9)+(AA424*Settings!$B$6)+(W424*Settings!$B$8)+(AB424*Settings!$B$7)+(AC424*Settings!$B$14)+(AD424*Settings!$B$15)+(AE424*Settings!$B$16)+(AF424*Settings!$B$17)+(AG424*Settings!$B$18)+(Y424*Settings!$B$10)+(Z424*Settings!$B$11),VLOOKUP(B424,'Standard Deviations'!A1:C731,3,FALSE))</f>
        <v>0.63989116236940913</v>
      </c>
      <c r="J424" s="37">
        <f t="shared" si="39"/>
        <v>7.8035507606025499E-3</v>
      </c>
      <c r="K424" s="183">
        <f>IF(Settings!$E$18="C/LW/RW",VLOOKUP(B424,LW!A1:F227,6,FALSE),VLOOKUP(B424,F!A1:F431,6,FALSE))</f>
        <v>-6.0147778817549922</v>
      </c>
      <c r="L424" s="36">
        <f t="shared" si="40"/>
        <v>-2.405911152701997</v>
      </c>
      <c r="M424" s="38">
        <f>IF(Settings!$E$9="YAHOO",VLOOKUP(B424,ADP!A1:E731,2,FALSE),IF(Settings!$E$9="ESPN",VLOOKUP(B424,ADP!A1:E731,3,FALSE),IF(Settings!$E$9="FANTRAX",VLOOKUP(B424,ADP!A1:E731,4,FALSE),VLOOKUP(B424,ADP!A1:E731,5,FALSE))))</f>
        <v>219.87</v>
      </c>
      <c r="N424" s="38">
        <f t="shared" si="41"/>
        <v>-203.13</v>
      </c>
      <c r="O424" s="38"/>
      <c r="P424" s="39" t="str">
        <f>IF(Settings!$E$27="ON",_xlfn.XLOOKUP(B424,ADP!A2:A731,ADP!H2:H731)," ")</f>
        <v xml:space="preserve"> </v>
      </c>
      <c r="Q424" s="40">
        <f>IF(Settings!$E$12="YES",VLOOKUP(B424,'Player Data'!A1:E734,5,FALSE),82)</f>
        <v>82</v>
      </c>
      <c r="R424" s="38">
        <f>VLOOKUP(B424,'Player Data'!$A1:$AE734,6,FALSE)</f>
        <v>14.800279072387299</v>
      </c>
      <c r="S424" s="40">
        <f>VLOOKUP(B424,'Player Data'!$A1:$AE734,7,FALSE)*$Q424*IFERROR((VLOOKUP(P424,Settings!$E$28:$F$33,2,FALSE)+1),1)</f>
        <v>15.198633689907634</v>
      </c>
      <c r="T424" s="40">
        <f>VLOOKUP(B424,'Player Data'!$A1:$AE734,8,FALSE)*$Q424*IFERROR((VLOOKUP(P424,Settings!$E$28:$F$33,2,FALSE)+1),1)</f>
        <v>29.248360005221208</v>
      </c>
      <c r="U424" s="40">
        <f t="shared" si="42"/>
        <v>44.446993695128839</v>
      </c>
      <c r="V424" s="40">
        <f>VLOOKUP(B424,'Player Data'!$A1:$AE734,10,FALSE)*$Q424*IFERROR(((VLOOKUP(P424,Settings!$E$28:$F$33,2,FALSE)/2)+1),1)</f>
        <v>146.68746877175121</v>
      </c>
      <c r="W424" s="40">
        <f>VLOOKUP(B424,'Player Data'!$A1:$AE734,11,FALSE)*$Q424*IFERROR((VLOOKUP(P424,Settings!$E$28:$F$33,2,FALSE)+1),1)</f>
        <v>2.8648214253562605</v>
      </c>
      <c r="X424" s="40">
        <f>VLOOKUP(B424,'Player Data'!$A1:$AE734,12,FALSE)*$Q424*IFERROR((VLOOKUP(P424,Settings!$E$28:$F$33,2,FALSE)+1),1)</f>
        <v>7.5273360821558422</v>
      </c>
      <c r="Y424" s="40">
        <f>VLOOKUP(B424,'Player Data'!$A1:$AE734,13,FALSE)*$Q424</f>
        <v>1.2207245425673511E-2</v>
      </c>
      <c r="Z424" s="40">
        <f>VLOOKUP(B424,'Player Data'!$A1:$AE734,14,FALSE)*$Q424</f>
        <v>2.2838912525881931E-2</v>
      </c>
      <c r="AA424" s="40">
        <f>VLOOKUP(B424,'Player Data'!$A1:$AE734,15,FALSE)*$Q424</f>
        <v>21.573998676477625</v>
      </c>
      <c r="AB424" s="40">
        <f>VLOOKUP(B424,'Player Data'!$A1:$AE734,16,FALSE)*$Q424</f>
        <v>29.097514932294892</v>
      </c>
      <c r="AC424" s="40">
        <f>VLOOKUP(B424,'Player Data'!$A1:$AE734,17,FALSE)*$Q424*IFERROR((VLOOKUP(P424,Settings!$E$28:$F$33,2,FALSE)+1),1)</f>
        <v>3.6928127650099531</v>
      </c>
      <c r="AD424" s="40">
        <f>VLOOKUP(B424,'Player Data'!$A1:$AE734,18,FALSE)*$Q424</f>
        <v>48.838485858620537</v>
      </c>
      <c r="AE424" s="40">
        <f>VLOOKUP(B424,'Player Data'!$A1:$AE734,19,FALSE)*$Q424*IFERROR((VLOOKUP(P424,Settings!$E$28:$F$33,2,FALSE)+1),1)</f>
        <v>2.4416564625480577</v>
      </c>
      <c r="AF424" s="40">
        <f>VLOOKUP(B424,'Player Data'!$A1:$AE734,20,FALSE)*$Q424</f>
        <v>358.36999079059996</v>
      </c>
      <c r="AG424" s="40">
        <f>VLOOKUP(B424,'Player Data'!$A1:$AE734,21,FALSE)*$Q424</f>
        <v>355.25496307401608</v>
      </c>
      <c r="AH424" s="41">
        <f>VLOOKUP(B424,'Player Data'!$A1:$AE734,22,FALSE)</f>
        <v>0.50218253839058902</v>
      </c>
      <c r="AI424" s="38"/>
      <c r="AJ424" s="42"/>
      <c r="AK424" s="40"/>
      <c r="AL424" s="40"/>
      <c r="AM424" s="40"/>
      <c r="AN424" s="40"/>
      <c r="AO424" s="40"/>
      <c r="AP424" s="40"/>
      <c r="AQ424" s="43"/>
      <c r="AR424" s="44"/>
      <c r="AS424" s="38"/>
    </row>
    <row r="425" spans="1:45" ht="21.2" customHeight="1">
      <c r="A425" s="181">
        <f t="shared" si="38"/>
        <v>424</v>
      </c>
      <c r="B425" s="8" t="s">
        <v>655</v>
      </c>
      <c r="C425" s="31" t="s">
        <v>104</v>
      </c>
      <c r="D425" s="32" t="str">
        <f>VLOOKUP(B425,'Player Data'!A1:D734,4,FALSE)</f>
        <v>C</v>
      </c>
      <c r="E425" s="33">
        <f>VLOOKUP(B425,'C'!A1:C208,3,FALSE)</f>
        <v>98</v>
      </c>
      <c r="F425" s="34" t="str">
        <f>VLOOKUP(B425,'Player Data'!A1:B734,2,FALSE)</f>
        <v>SEA</v>
      </c>
      <c r="G425" s="9">
        <f>VLOOKUP(B425,'Player Data'!A1:D734,3,FALSE)</f>
        <v>19</v>
      </c>
      <c r="H425" s="35">
        <f>IFERROR(VLOOKUP(B425,ADP!A1:G731,7,FALSE)/1000000,VLOOKUP(B425,ADP!A1:G731,7,FALSE))</f>
        <v>0</v>
      </c>
      <c r="I425" s="36">
        <f>IF(Settings!$E$15="POINTS",((R425*Q425)*Settings!$B$12)+(S425*Settings!$B$2)+(T425*Settings!$B$3)+(U425*Settings!$B$4)+(V425*Settings!$B$5)+(X425*Settings!$B$9)+(AA425*Settings!$B$6)+(W425*Settings!$B$8)+(AB425*Settings!$B$7)+(AC425*Settings!$B$14)+(AD425*Settings!$B$15)+(AE425*Settings!$B$16)+(AF425*Settings!$B$17)+(AG425*Settings!$B$18)+(Y425*Settings!$B$10)+(Z425*Settings!$B$11),VLOOKUP(B425,'Standard Deviations'!A1:C731,3,FALSE))</f>
        <v>0.32216990615181401</v>
      </c>
      <c r="J425" s="37">
        <f t="shared" si="39"/>
        <v>3.9289012945343173E-3</v>
      </c>
      <c r="K425" s="183">
        <f>IF(Settings!$E$18="C/LW/RW",VLOOKUP(B425,'C'!A1:F208,6,FALSE),VLOOKUP(B425,F!A1:F431,6,FALSE))</f>
        <v>-6.014880818054789</v>
      </c>
      <c r="L425" s="49" t="str">
        <f t="shared" si="40"/>
        <v>N/A</v>
      </c>
      <c r="M425" s="52" t="str">
        <f>IF(Settings!$E$9="YAHOO",VLOOKUP(B425,ADP!A1:E731,2,FALSE),IF(Settings!$E$9="ESPN",VLOOKUP(B425,ADP!A1:E731,3,FALSE),IF(Settings!$E$9="FANTRAX",VLOOKUP(B425,ADP!A1:E731,4,FALSE),VLOOKUP(B425,ADP!A1:E731,5,FALSE))))</f>
        <v>-</v>
      </c>
      <c r="N425" s="52" t="str">
        <f t="shared" si="41"/>
        <v>N/A</v>
      </c>
      <c r="O425" s="38"/>
      <c r="P425" s="39" t="str">
        <f>IF(Settings!$E$27="ON",_xlfn.XLOOKUP(B425,ADP!A2:A731,ADP!H2:H731)," ")</f>
        <v xml:space="preserve"> </v>
      </c>
      <c r="Q425" s="40">
        <f>IF(Settings!$E$12="YES",VLOOKUP(B425,'Player Data'!A1:E734,5,FALSE),82)</f>
        <v>82</v>
      </c>
      <c r="R425" s="38">
        <f>VLOOKUP(B425,'Player Data'!$A1:$AE734,6,FALSE)</f>
        <v>13.5</v>
      </c>
      <c r="S425" s="40">
        <f>VLOOKUP(B425,'Player Data'!$A1:$AE734,7,FALSE)*$Q425*IFERROR((VLOOKUP(P425,Settings!$E$28:$F$33,2,FALSE)+1),1)</f>
        <v>18.044693830443926</v>
      </c>
      <c r="T425" s="40">
        <f>VLOOKUP(B425,'Player Data'!$A1:$AE734,8,FALSE)*$Q425*IFERROR((VLOOKUP(P425,Settings!$E$28:$F$33,2,FALSE)+1),1)</f>
        <v>21.754291669771568</v>
      </c>
      <c r="U425" s="40">
        <f t="shared" si="42"/>
        <v>39.798985500215494</v>
      </c>
      <c r="V425" s="40">
        <f>VLOOKUP(B425,'Player Data'!$A1:$AE734,10,FALSE)*$Q425*IFERROR(((VLOOKUP(P425,Settings!$E$28:$F$33,2,FALSE)/2)+1),1)</f>
        <v>147.81006100308605</v>
      </c>
      <c r="W425" s="40">
        <f>VLOOKUP(B425,'Player Data'!$A1:$AE734,11,FALSE)*$Q425*IFERROR((VLOOKUP(P425,Settings!$E$28:$F$33,2,FALSE)+1),1)</f>
        <v>4.0441067632612695</v>
      </c>
      <c r="X425" s="40">
        <f>VLOOKUP(B425,'Player Data'!$A1:$AE734,12,FALSE)*$Q425*IFERROR((VLOOKUP(P425,Settings!$E$28:$F$33,2,FALSE)+1),1)</f>
        <v>8.9195942000861628</v>
      </c>
      <c r="Y425" s="40">
        <f>VLOOKUP(B425,'Player Data'!$A1:$AE734,13,FALSE)*$Q425</f>
        <v>0</v>
      </c>
      <c r="Z425" s="40">
        <f>VLOOKUP(B425,'Player Data'!$A1:$AE734,14,FALSE)*$Q425</f>
        <v>0</v>
      </c>
      <c r="AA425" s="40">
        <f>VLOOKUP(B425,'Player Data'!$A1:$AE734,15,FALSE)*$Q425</f>
        <v>34.099999999999973</v>
      </c>
      <c r="AB425" s="40">
        <f>VLOOKUP(B425,'Player Data'!$A1:$AE734,16,FALSE)*$Q425</f>
        <v>50.000000000000036</v>
      </c>
      <c r="AC425" s="40">
        <f>VLOOKUP(B425,'Player Data'!$A1:$AE734,17,FALSE)*$Q425*IFERROR((VLOOKUP(P425,Settings!$E$28:$F$33,2,FALSE)+1),1)</f>
        <v>-0.23000000000000018</v>
      </c>
      <c r="AD425" s="40">
        <f>VLOOKUP(B425,'Player Data'!$A1:$AE734,18,FALSE)*$Q425</f>
        <v>28.457436733427485</v>
      </c>
      <c r="AE425" s="40">
        <f>VLOOKUP(B425,'Player Data'!$A1:$AE734,19,FALSE)*$Q425*IFERROR((VLOOKUP(P425,Settings!$E$28:$F$33,2,FALSE)+1),1)</f>
        <v>2.5363797794443665</v>
      </c>
      <c r="AF425" s="40">
        <f>VLOOKUP(B425,'Player Data'!$A1:$AE734,20,FALSE)*$Q425</f>
        <v>53.351580239337011</v>
      </c>
      <c r="AG425" s="40">
        <f>VLOOKUP(B425,'Player Data'!$A1:$AE734,21,FALSE)*$Q425</f>
        <v>87.047315127339473</v>
      </c>
      <c r="AH425" s="41">
        <f>VLOOKUP(B425,'Player Data'!$A1:$AE734,22,FALSE)</f>
        <v>0.38</v>
      </c>
      <c r="AI425" s="38"/>
      <c r="AJ425" s="42"/>
      <c r="AK425" s="40"/>
      <c r="AL425" s="40"/>
      <c r="AM425" s="40"/>
      <c r="AN425" s="40"/>
      <c r="AO425" s="40"/>
      <c r="AP425" s="40"/>
      <c r="AQ425" s="43"/>
      <c r="AR425" s="44"/>
      <c r="AS425" s="42"/>
    </row>
    <row r="426" spans="1:45" ht="21.2" customHeight="1">
      <c r="A426" s="181">
        <f t="shared" si="38"/>
        <v>425</v>
      </c>
      <c r="B426" s="8" t="s">
        <v>499</v>
      </c>
      <c r="C426" s="31" t="s">
        <v>104</v>
      </c>
      <c r="D426" s="32" t="str">
        <f>VLOOKUP(B426,'Player Data'!A1:D734,4,FALSE)</f>
        <v>D</v>
      </c>
      <c r="E426" s="47">
        <f>VLOOKUP(B426,D!A1:C229,3,FALSE)</f>
        <v>151</v>
      </c>
      <c r="F426" s="34" t="str">
        <f>VLOOKUP(B426,'Player Data'!A1:B734,2,FALSE)</f>
        <v>MTL</v>
      </c>
      <c r="G426" s="9">
        <f>VLOOKUP(B426,'Player Data'!A1:D734,3,FALSE)</f>
        <v>23</v>
      </c>
      <c r="H426" s="35">
        <f>IFERROR(VLOOKUP(B426,ADP!A1:G731,7,FALSE)/1000000,VLOOKUP(B426,ADP!A1:G731,7,FALSE))</f>
        <v>1.4</v>
      </c>
      <c r="I426" s="36">
        <f>IF(Settings!$E$15="POINTS",((R426*Q426)*Settings!$B$12)+(S426*Settings!$B$2)+(T426*Settings!$B$3)+(U426*Settings!$B$4)+(V426*Settings!$B$5)+(X426*Settings!$B$9)+(AA426*Settings!$B$6)+(W426*Settings!$B$8)+(AB426*Settings!$B$7)+(AC426*Settings!$B$14)+(AD426*Settings!$B$15)+(AE426*Settings!$B$16)+(AF426*Settings!$B$17)+(AG426*Settings!$B$18)+(U426*Settings!$B$13)+(Y426*Settings!$B$10)+(Z426*Settings!$B$11),VLOOKUP(B426,'Standard Deviations'!A1:C731,3,FALSE))</f>
        <v>-4.0880496964378601</v>
      </c>
      <c r="J426" s="37">
        <f t="shared" si="39"/>
        <v>-4.9854264590705612E-2</v>
      </c>
      <c r="K426" s="183">
        <f>VLOOKUP(B426,D!A1:F229,6,FALSE)</f>
        <v>-6.0297902400721703</v>
      </c>
      <c r="L426" s="36">
        <f t="shared" si="40"/>
        <v>-4.3069930286229789</v>
      </c>
      <c r="M426" s="52" t="str">
        <f>IF(Settings!$E$9="YAHOO",VLOOKUP(B426,ADP!A1:E731,2,FALSE),IF(Settings!$E$9="ESPN",VLOOKUP(B426,ADP!A1:E731,3,FALSE),IF(Settings!$E$9="FANTRAX",VLOOKUP(B426,ADP!A1:E731,4,FALSE),VLOOKUP(B426,ADP!A1:E731,5,FALSE))))</f>
        <v>-</v>
      </c>
      <c r="N426" s="52" t="str">
        <f t="shared" si="41"/>
        <v>N/A</v>
      </c>
      <c r="O426" s="38"/>
      <c r="P426" s="39" t="str">
        <f>IF(Settings!$E$27="ON",_xlfn.XLOOKUP(B426,ADP!A2:A731,ADP!H2:H731)," ")</f>
        <v xml:space="preserve"> </v>
      </c>
      <c r="Q426" s="40">
        <f>IF(Settings!$E$12="YES",VLOOKUP(B426,'Player Data'!A1:E734,5,FALSE),82)</f>
        <v>82</v>
      </c>
      <c r="R426" s="38">
        <f>VLOOKUP(B426,'Player Data'!$A1:$AE734,6,FALSE)</f>
        <v>17.2095682109073</v>
      </c>
      <c r="S426" s="40">
        <f>VLOOKUP(B426,'Player Data'!$A1:$AE734,7,FALSE)*$Q426*IFERROR((VLOOKUP(P426,Settings!$E$28:$F$33,2,FALSE)+1),1)</f>
        <v>5.1412700177266579</v>
      </c>
      <c r="T426" s="40">
        <f>VLOOKUP(B426,'Player Data'!$A1:$AE734,8,FALSE)*$Q426*IFERROR((VLOOKUP(P426,Settings!$E$28:$F$33,2,FALSE)+1),1)</f>
        <v>14.892130381161286</v>
      </c>
      <c r="U426" s="40">
        <f t="shared" si="42"/>
        <v>20.033400398887942</v>
      </c>
      <c r="V426" s="40">
        <f>VLOOKUP(B426,'Player Data'!$A1:$AE734,10,FALSE)*$Q426*IFERROR(((VLOOKUP(P426,Settings!$E$28:$F$33,2,FALSE)/2)+1),1)</f>
        <v>92.248718423515356</v>
      </c>
      <c r="W426" s="40">
        <f>VLOOKUP(B426,'Player Data'!$A1:$AE734,11,FALSE)*$Q426*IFERROR((VLOOKUP(P426,Settings!$E$28:$F$33,2,FALSE)+1),1)</f>
        <v>2.3849122494233418E-2</v>
      </c>
      <c r="X426" s="40">
        <f>VLOOKUP(B426,'Player Data'!$A1:$AE734,12,FALSE)*$Q426*IFERROR((VLOOKUP(P426,Settings!$E$28:$F$33,2,FALSE)+1),1)</f>
        <v>0.21931297804354183</v>
      </c>
      <c r="Y426" s="40">
        <f>VLOOKUP(B426,'Player Data'!$A1:$AE734,13,FALSE)*$Q426</f>
        <v>3.5394304365498959E-2</v>
      </c>
      <c r="Z426" s="40">
        <f>VLOOKUP(B426,'Player Data'!$A1:$AE734,14,FALSE)*$Q426</f>
        <v>0.17263519391376969</v>
      </c>
      <c r="AA426" s="40">
        <f>VLOOKUP(B426,'Player Data'!$A1:$AE734,15,FALSE)*$Q426</f>
        <v>116.04627411401327</v>
      </c>
      <c r="AB426" s="40">
        <f>VLOOKUP(B426,'Player Data'!$A1:$AE734,16,FALSE)*$Q426</f>
        <v>81.71390595305698</v>
      </c>
      <c r="AC426" s="40">
        <f>VLOOKUP(B426,'Player Data'!$A1:$AE734,17,FALSE)*$Q426*IFERROR((VLOOKUP(P426,Settings!$E$28:$F$33,2,FALSE)+1),1)</f>
        <v>-6.7681297630788171</v>
      </c>
      <c r="AD426" s="40">
        <f>VLOOKUP(B426,'Player Data'!$A1:$AE734,18,FALSE)*$Q426</f>
        <v>34.282191095640783</v>
      </c>
      <c r="AE426" s="40">
        <f>VLOOKUP(B426,'Player Data'!$A1:$AE734,19,FALSE)*$Q426*IFERROR((VLOOKUP(P426,Settings!$E$28:$F$33,2,FALSE)+1),1)</f>
        <v>0.526682572259912</v>
      </c>
      <c r="AF426" s="40">
        <f>VLOOKUP(B426,'Player Data'!$A1:$AE734,20,FALSE)*$Q426</f>
        <v>0</v>
      </c>
      <c r="AG426" s="40">
        <f>VLOOKUP(B426,'Player Data'!$A1:$AE734,21,FALSE)*$Q426</f>
        <v>0</v>
      </c>
      <c r="AH426" s="41">
        <f>VLOOKUP(B426,'Player Data'!$A1:$AE734,22,FALSE)</f>
        <v>0</v>
      </c>
      <c r="AI426" s="38"/>
      <c r="AJ426" s="42"/>
      <c r="AK426" s="40"/>
      <c r="AL426" s="40"/>
      <c r="AM426" s="40"/>
      <c r="AN426" s="40"/>
      <c r="AO426" s="40"/>
      <c r="AP426" s="40"/>
      <c r="AQ426" s="43"/>
      <c r="AR426" s="44"/>
      <c r="AS426" s="38"/>
    </row>
    <row r="427" spans="1:45" ht="21.2" customHeight="1">
      <c r="A427" s="181">
        <f t="shared" si="38"/>
        <v>426</v>
      </c>
      <c r="B427" s="8" t="s">
        <v>462</v>
      </c>
      <c r="C427" s="31" t="s">
        <v>104</v>
      </c>
      <c r="D427" s="32" t="str">
        <f>VLOOKUP(B427,'Player Data'!A1:D734,4,FALSE)</f>
        <v>LW</v>
      </c>
      <c r="E427" s="48">
        <f>VLOOKUP(B427,LW!A1:C227,3,FALSE)</f>
        <v>97</v>
      </c>
      <c r="F427" s="34" t="str">
        <f>VLOOKUP(B427,'Player Data'!A1:B734,2,FALSE)</f>
        <v>SJS</v>
      </c>
      <c r="G427" s="9">
        <f>VLOOKUP(B427,'Player Data'!A1:D734,3,FALSE)</f>
        <v>33</v>
      </c>
      <c r="H427" s="35">
        <f>IFERROR(VLOOKUP(B427,ADP!A1:G731,7,FALSE)/1000000,VLOOKUP(B427,ADP!A1:G731,7,FALSE))</f>
        <v>4.5</v>
      </c>
      <c r="I427" s="36">
        <f>IF(Settings!$E$15="POINTS",((R427*Q427)*Settings!$B$12)+(S427*Settings!$B$2)+(T427*Settings!$B$3)+(U427*Settings!$B$4)+(V427*Settings!$B$5)+(X427*Settings!$B$9)+(AA427*Settings!$B$6)+(W427*Settings!$B$8)+(AB427*Settings!$B$7)+(AC427*Settings!$B$14)+(AD427*Settings!$B$15)+(AE427*Settings!$B$16)+(AF427*Settings!$B$17)+(AG427*Settings!$B$18)+(Y427*Settings!$B$10)+(Z427*Settings!$B$11),VLOOKUP(B427,'Standard Deviations'!A1:C731,3,FALSE))</f>
        <v>0.62198929305437045</v>
      </c>
      <c r="J427" s="37">
        <f t="shared" si="39"/>
        <v>7.5852352811508587E-3</v>
      </c>
      <c r="K427" s="183">
        <f>IF(Settings!$E$18="C/LW/RW",VLOOKUP(B427,LW!A1:F227,6,FALSE),VLOOKUP(B427,F!A1:F431,6,FALSE))</f>
        <v>-6.032679751070031</v>
      </c>
      <c r="L427" s="36">
        <f t="shared" si="40"/>
        <v>-1.3405955002377847</v>
      </c>
      <c r="M427" s="52" t="str">
        <f>IF(Settings!$E$9="YAHOO",VLOOKUP(B427,ADP!A1:E731,2,FALSE),IF(Settings!$E$9="ESPN",VLOOKUP(B427,ADP!A1:E731,3,FALSE),IF(Settings!$E$9="FANTRAX",VLOOKUP(B427,ADP!A1:E731,4,FALSE),VLOOKUP(B427,ADP!A1:E731,5,FALSE))))</f>
        <v>-</v>
      </c>
      <c r="N427" s="52" t="str">
        <f t="shared" si="41"/>
        <v>N/A</v>
      </c>
      <c r="O427" s="38"/>
      <c r="P427" s="39" t="str">
        <f>IF(Settings!$E$27="ON",_xlfn.XLOOKUP(B427,ADP!A2:A731,ADP!H2:H731)," ")</f>
        <v xml:space="preserve"> </v>
      </c>
      <c r="Q427" s="40">
        <f>IF(Settings!$E$12="YES",VLOOKUP(B427,'Player Data'!A1:E734,5,FALSE),82)</f>
        <v>82</v>
      </c>
      <c r="R427" s="38">
        <f>VLOOKUP(B427,'Player Data'!$A1:$AE734,6,FALSE)</f>
        <v>14.6197749865649</v>
      </c>
      <c r="S427" s="40">
        <f>VLOOKUP(B427,'Player Data'!$A1:$AE734,7,FALSE)*$Q427*IFERROR((VLOOKUP(P427,Settings!$E$28:$F$33,2,FALSE)+1),1)</f>
        <v>15.136710291313371</v>
      </c>
      <c r="T427" s="40">
        <f>VLOOKUP(B427,'Player Data'!$A1:$AE734,8,FALSE)*$Q427*IFERROR((VLOOKUP(P427,Settings!$E$28:$F$33,2,FALSE)+1),1)</f>
        <v>19.498867254690463</v>
      </c>
      <c r="U427" s="40">
        <f t="shared" si="42"/>
        <v>34.63557754600383</v>
      </c>
      <c r="V427" s="40">
        <f>VLOOKUP(B427,'Player Data'!$A1:$AE734,10,FALSE)*$Q427*IFERROR(((VLOOKUP(P427,Settings!$E$28:$F$33,2,FALSE)/2)+1),1)</f>
        <v>181.15213499853871</v>
      </c>
      <c r="W427" s="40">
        <f>VLOOKUP(B427,'Player Data'!$A1:$AE734,11,FALSE)*$Q427*IFERROR((VLOOKUP(P427,Settings!$E$28:$F$33,2,FALSE)+1),1)</f>
        <v>3.5763277217716243</v>
      </c>
      <c r="X427" s="40">
        <f>VLOOKUP(B427,'Player Data'!$A1:$AE734,12,FALSE)*$Q427*IFERROR((VLOOKUP(P427,Settings!$E$28:$F$33,2,FALSE)+1),1)</f>
        <v>13.015226180873801</v>
      </c>
      <c r="Y427" s="40">
        <f>VLOOKUP(B427,'Player Data'!$A1:$AE734,13,FALSE)*$Q427</f>
        <v>7.917515510946202E-3</v>
      </c>
      <c r="Z427" s="40">
        <f>VLOOKUP(B427,'Player Data'!$A1:$AE734,14,FALSE)*$Q427</f>
        <v>1.2498518703449283E-2</v>
      </c>
      <c r="AA427" s="40">
        <f>VLOOKUP(B427,'Player Data'!$A1:$AE734,15,FALSE)*$Q427</f>
        <v>30.848229731810285</v>
      </c>
      <c r="AB427" s="40">
        <f>VLOOKUP(B427,'Player Data'!$A1:$AE734,16,FALSE)*$Q427</f>
        <v>39.281005256253572</v>
      </c>
      <c r="AC427" s="40">
        <f>VLOOKUP(B427,'Player Data'!$A1:$AE734,17,FALSE)*$Q427*IFERROR((VLOOKUP(P427,Settings!$E$28:$F$33,2,FALSE)+1),1)</f>
        <v>-0.76440533427007906</v>
      </c>
      <c r="AD427" s="40">
        <f>VLOOKUP(B427,'Player Data'!$A1:$AE734,18,FALSE)*$Q427</f>
        <v>30.067686861243409</v>
      </c>
      <c r="AE427" s="40">
        <f>VLOOKUP(B427,'Player Data'!$A1:$AE734,19,FALSE)*$Q427*IFERROR((VLOOKUP(P427,Settings!$E$28:$F$33,2,FALSE)+1),1)</f>
        <v>1.5506366100777516</v>
      </c>
      <c r="AF427" s="40">
        <f>VLOOKUP(B427,'Player Data'!$A1:$AE734,20,FALSE)*$Q427</f>
        <v>16.900587065344723</v>
      </c>
      <c r="AG427" s="40">
        <f>VLOOKUP(B427,'Player Data'!$A1:$AE734,21,FALSE)*$Q427</f>
        <v>11.253406449453285</v>
      </c>
      <c r="AH427" s="41">
        <f>VLOOKUP(B427,'Player Data'!$A1:$AE734,22,FALSE)</f>
        <v>0.60029093408938905</v>
      </c>
      <c r="AI427" s="38"/>
      <c r="AJ427" s="42"/>
      <c r="AK427" s="40"/>
      <c r="AL427" s="40"/>
      <c r="AM427" s="40"/>
      <c r="AN427" s="40"/>
      <c r="AO427" s="40"/>
      <c r="AP427" s="40"/>
      <c r="AQ427" s="43"/>
      <c r="AR427" s="44"/>
      <c r="AS427" s="38"/>
    </row>
    <row r="428" spans="1:45" ht="21.2" customHeight="1">
      <c r="A428" s="181">
        <f t="shared" si="38"/>
        <v>427</v>
      </c>
      <c r="B428" s="8" t="s">
        <v>496</v>
      </c>
      <c r="C428" s="31" t="s">
        <v>104</v>
      </c>
      <c r="D428" s="32" t="str">
        <f>VLOOKUP(B428,'Player Data'!A1:D734,4,FALSE)</f>
        <v>D</v>
      </c>
      <c r="E428" s="47">
        <f>VLOOKUP(B428,D!A1:C229,3,FALSE)</f>
        <v>152</v>
      </c>
      <c r="F428" s="34" t="str">
        <f>VLOOKUP(B428,'Player Data'!A1:B734,2,FALSE)</f>
        <v>PIT</v>
      </c>
      <c r="G428" s="9">
        <f>VLOOKUP(B428,'Player Data'!A1:D734,3,FALSE)</f>
        <v>33</v>
      </c>
      <c r="H428" s="35">
        <f>IFERROR(VLOOKUP(B428,ADP!A1:G731,7,FALSE)/1000000,VLOOKUP(B428,ADP!A1:G731,7,FALSE))</f>
        <v>2.75</v>
      </c>
      <c r="I428" s="36">
        <f>IF(Settings!$E$15="POINTS",((R428*Q428)*Settings!$B$12)+(S428*Settings!$B$2)+(T428*Settings!$B$3)+(U428*Settings!$B$4)+(V428*Settings!$B$5)+(X428*Settings!$B$9)+(AA428*Settings!$B$6)+(W428*Settings!$B$8)+(AB428*Settings!$B$7)+(AC428*Settings!$B$14)+(AD428*Settings!$B$15)+(AE428*Settings!$B$16)+(AF428*Settings!$B$17)+(AG428*Settings!$B$18)+(U428*Settings!$B$13)+(Y428*Settings!$B$10)+(Z428*Settings!$B$11),VLOOKUP(B428,'Standard Deviations'!A1:C731,3,FALSE))</f>
        <v>-4.1117953173854849</v>
      </c>
      <c r="J428" s="37">
        <f t="shared" si="39"/>
        <v>-5.0143845333969331E-2</v>
      </c>
      <c r="K428" s="183">
        <f>VLOOKUP(B428,D!A1:F229,6,FALSE)</f>
        <v>-6.053535861019796</v>
      </c>
      <c r="L428" s="36">
        <f t="shared" si="40"/>
        <v>-2.201285767643562</v>
      </c>
      <c r="M428" s="52" t="str">
        <f>IF(Settings!$E$9="YAHOO",VLOOKUP(B428,ADP!A1:E731,2,FALSE),IF(Settings!$E$9="ESPN",VLOOKUP(B428,ADP!A1:E731,3,FALSE),IF(Settings!$E$9="FANTRAX",VLOOKUP(B428,ADP!A1:E731,4,FALSE),VLOOKUP(B428,ADP!A1:E731,5,FALSE))))</f>
        <v>-</v>
      </c>
      <c r="N428" s="52" t="str">
        <f t="shared" si="41"/>
        <v>N/A</v>
      </c>
      <c r="O428" s="38"/>
      <c r="P428" s="39" t="str">
        <f>IF(Settings!$E$27="ON",_xlfn.XLOOKUP(B428,ADP!A2:A731,ADP!H2:H731)," ")</f>
        <v xml:space="preserve"> </v>
      </c>
      <c r="Q428" s="40">
        <f>IF(Settings!$E$12="YES",VLOOKUP(B428,'Player Data'!A1:E734,5,FALSE),82)</f>
        <v>82</v>
      </c>
      <c r="R428" s="38">
        <f>VLOOKUP(B428,'Player Data'!$A1:$AE734,6,FALSE)</f>
        <v>17.514088328693202</v>
      </c>
      <c r="S428" s="40">
        <f>VLOOKUP(B428,'Player Data'!$A1:$AE734,7,FALSE)*$Q428*IFERROR((VLOOKUP(P428,Settings!$E$28:$F$33,2,FALSE)+1),1)</f>
        <v>3.0371655606080381</v>
      </c>
      <c r="T428" s="40">
        <f>VLOOKUP(B428,'Player Data'!$A1:$AE734,8,FALSE)*$Q428*IFERROR((VLOOKUP(P428,Settings!$E$28:$F$33,2,FALSE)+1),1)</f>
        <v>13.621459754863826</v>
      </c>
      <c r="U428" s="40">
        <f t="shared" si="42"/>
        <v>16.658625315471866</v>
      </c>
      <c r="V428" s="40">
        <f>VLOOKUP(B428,'Player Data'!$A1:$AE734,10,FALSE)*$Q428*IFERROR(((VLOOKUP(P428,Settings!$E$28:$F$33,2,FALSE)/2)+1),1)</f>
        <v>118.11182424548539</v>
      </c>
      <c r="W428" s="40">
        <f>VLOOKUP(B428,'Player Data'!$A1:$AE734,11,FALSE)*$Q428*IFERROR((VLOOKUP(P428,Settings!$E$28:$F$33,2,FALSE)+1),1)</f>
        <v>9.8881062795155017E-3</v>
      </c>
      <c r="X428" s="40">
        <f>VLOOKUP(B428,'Player Data'!$A1:$AE734,12,FALSE)*$Q428*IFERROR((VLOOKUP(P428,Settings!$E$28:$F$33,2,FALSE)+1),1)</f>
        <v>6.8742164276458184E-2</v>
      </c>
      <c r="Y428" s="40">
        <f>VLOOKUP(B428,'Player Data'!$A1:$AE734,13,FALSE)*$Q428</f>
        <v>-1.9113065823496776E-2</v>
      </c>
      <c r="Z428" s="40">
        <f>VLOOKUP(B428,'Player Data'!$A1:$AE734,14,FALSE)*$Q428</f>
        <v>0.24640976532930531</v>
      </c>
      <c r="AA428" s="40">
        <f>VLOOKUP(B428,'Player Data'!$A1:$AE734,15,FALSE)*$Q428</f>
        <v>117.74707135661205</v>
      </c>
      <c r="AB428" s="40">
        <f>VLOOKUP(B428,'Player Data'!$A1:$AE734,16,FALSE)*$Q428</f>
        <v>126.9066142978042</v>
      </c>
      <c r="AC428" s="40">
        <f>VLOOKUP(B428,'Player Data'!$A1:$AE734,17,FALSE)*$Q428*IFERROR((VLOOKUP(P428,Settings!$E$28:$F$33,2,FALSE)+1),1)</f>
        <v>0.34604229050485202</v>
      </c>
      <c r="AD428" s="40">
        <f>VLOOKUP(B428,'Player Data'!$A1:$AE734,18,FALSE)*$Q428</f>
        <v>47.575021667484812</v>
      </c>
      <c r="AE428" s="40">
        <f>VLOOKUP(B428,'Player Data'!$A1:$AE734,19,FALSE)*$Q428*IFERROR((VLOOKUP(P428,Settings!$E$28:$F$33,2,FALSE)+1),1)</f>
        <v>0.48752588694753124</v>
      </c>
      <c r="AF428" s="40">
        <f>VLOOKUP(B428,'Player Data'!$A1:$AE734,20,FALSE)*$Q428</f>
        <v>0</v>
      </c>
      <c r="AG428" s="40">
        <f>VLOOKUP(B428,'Player Data'!$A1:$AE734,21,FALSE)*$Q428</f>
        <v>0</v>
      </c>
      <c r="AH428" s="41">
        <f>VLOOKUP(B428,'Player Data'!$A1:$AE734,22,FALSE)</f>
        <v>0</v>
      </c>
      <c r="AI428" s="38"/>
      <c r="AJ428" s="42"/>
      <c r="AK428" s="40"/>
      <c r="AL428" s="40"/>
      <c r="AM428" s="40"/>
      <c r="AN428" s="40"/>
      <c r="AO428" s="40"/>
      <c r="AP428" s="40"/>
      <c r="AQ428" s="43"/>
      <c r="AR428" s="44"/>
      <c r="AS428" s="38"/>
    </row>
    <row r="429" spans="1:45" ht="21.2" customHeight="1">
      <c r="A429" s="181">
        <f t="shared" si="38"/>
        <v>428</v>
      </c>
      <c r="B429" s="8" t="s">
        <v>584</v>
      </c>
      <c r="C429" s="31" t="s">
        <v>104</v>
      </c>
      <c r="D429" s="32" t="str">
        <f>VLOOKUP(B429,'Player Data'!A1:D734,4,FALSE)</f>
        <v>D</v>
      </c>
      <c r="E429" s="47">
        <f>VLOOKUP(B429,D!A1:C229,3,FALSE)</f>
        <v>153</v>
      </c>
      <c r="F429" s="34" t="str">
        <f>VLOOKUP(B429,'Player Data'!A1:B734,2,FALSE)</f>
        <v>ARI</v>
      </c>
      <c r="G429" s="9">
        <f>VLOOKUP(B429,'Player Data'!A1:D734,3,FALSE)</f>
        <v>22</v>
      </c>
      <c r="H429" s="35">
        <f>IFERROR(VLOOKUP(B429,ADP!A1:G731,7,FALSE)/1000000,VLOOKUP(B429,ADP!A1:G731,7,FALSE))</f>
        <v>0</v>
      </c>
      <c r="I429" s="36">
        <f>IF(Settings!$E$15="POINTS",((R429*Q429)*Settings!$B$12)+(S429*Settings!$B$2)+(T429*Settings!$B$3)+(U429*Settings!$B$4)+(V429*Settings!$B$5)+(X429*Settings!$B$9)+(AA429*Settings!$B$6)+(W429*Settings!$B$8)+(AB429*Settings!$B$7)+(AC429*Settings!$B$14)+(AD429*Settings!$B$15)+(AE429*Settings!$B$16)+(AF429*Settings!$B$17)+(AG429*Settings!$B$18)+(U429*Settings!$B$13)+(Y429*Settings!$B$10)+(Z429*Settings!$B$11),VLOOKUP(B429,'Standard Deviations'!A1:C731,3,FALSE))</f>
        <v>-4.1175954250175026</v>
      </c>
      <c r="J429" s="37">
        <f t="shared" si="39"/>
        <v>-5.0214578353871983E-2</v>
      </c>
      <c r="K429" s="183">
        <f>VLOOKUP(B429,D!A1:F229,6,FALSE)</f>
        <v>-6.0593359686518138</v>
      </c>
      <c r="L429" s="49" t="str">
        <f t="shared" si="40"/>
        <v>N/A</v>
      </c>
      <c r="M429" s="52" t="str">
        <f>IF(Settings!$E$9="YAHOO",VLOOKUP(B429,ADP!A1:E731,2,FALSE),IF(Settings!$E$9="ESPN",VLOOKUP(B429,ADP!A1:E731,3,FALSE),IF(Settings!$E$9="FANTRAX",VLOOKUP(B429,ADP!A1:E731,4,FALSE),VLOOKUP(B429,ADP!A1:E731,5,FALSE))))</f>
        <v>-</v>
      </c>
      <c r="N429" s="52" t="str">
        <f t="shared" si="41"/>
        <v>N/A</v>
      </c>
      <c r="O429" s="38"/>
      <c r="P429" s="39" t="str">
        <f>IF(Settings!$E$27="ON",_xlfn.XLOOKUP(B429,ADP!A2:A731,ADP!H2:H731)," ")</f>
        <v xml:space="preserve"> </v>
      </c>
      <c r="Q429" s="40">
        <f>IF(Settings!$E$12="YES",VLOOKUP(B429,'Player Data'!A1:E734,5,FALSE),82)</f>
        <v>82</v>
      </c>
      <c r="R429" s="38">
        <f>VLOOKUP(B429,'Player Data'!$A1:$AE734,6,FALSE)</f>
        <v>16.5161842348652</v>
      </c>
      <c r="S429" s="40">
        <f>VLOOKUP(B429,'Player Data'!$A1:$AE734,7,FALSE)*$Q429*IFERROR((VLOOKUP(P429,Settings!$E$28:$F$33,2,FALSE)+1),1)</f>
        <v>2.7330064055299474</v>
      </c>
      <c r="T429" s="40">
        <f>VLOOKUP(B429,'Player Data'!$A1:$AE734,8,FALSE)*$Q429*IFERROR((VLOOKUP(P429,Settings!$E$28:$F$33,2,FALSE)+1),1)</f>
        <v>16.725436643555099</v>
      </c>
      <c r="U429" s="40">
        <f t="shared" si="42"/>
        <v>19.458443049085048</v>
      </c>
      <c r="V429" s="40">
        <f>VLOOKUP(B429,'Player Data'!$A1:$AE734,10,FALSE)*$Q429*IFERROR(((VLOOKUP(P429,Settings!$E$28:$F$33,2,FALSE)/2)+1),1)</f>
        <v>87.864515911912477</v>
      </c>
      <c r="W429" s="40">
        <f>VLOOKUP(B429,'Player Data'!$A1:$AE734,11,FALSE)*$Q429*IFERROR((VLOOKUP(P429,Settings!$E$28:$F$33,2,FALSE)+1),1)</f>
        <v>0.12460942841503993</v>
      </c>
      <c r="X429" s="40">
        <f>VLOOKUP(B429,'Player Data'!$A1:$AE734,12,FALSE)*$Q429*IFERROR((VLOOKUP(P429,Settings!$E$28:$F$33,2,FALSE)+1),1)</f>
        <v>1.8874114098927466</v>
      </c>
      <c r="Y429" s="40">
        <f>VLOOKUP(B429,'Player Data'!$A1:$AE734,13,FALSE)*$Q429</f>
        <v>2.1547397915414917E-2</v>
      </c>
      <c r="Z429" s="40">
        <f>VLOOKUP(B429,'Player Data'!$A1:$AE734,14,FALSE)*$Q429</f>
        <v>9.4567597552704566E-2</v>
      </c>
      <c r="AA429" s="40">
        <f>VLOOKUP(B429,'Player Data'!$A1:$AE734,15,FALSE)*$Q429</f>
        <v>103.6886487158294</v>
      </c>
      <c r="AB429" s="40">
        <f>VLOOKUP(B429,'Player Data'!$A1:$AE734,16,FALSE)*$Q429</f>
        <v>80.750146374128974</v>
      </c>
      <c r="AC429" s="40">
        <f>VLOOKUP(B429,'Player Data'!$A1:$AE734,17,FALSE)*$Q429*IFERROR((VLOOKUP(P429,Settings!$E$28:$F$33,2,FALSE)+1),1)</f>
        <v>-3.6869264066229408</v>
      </c>
      <c r="AD429" s="40">
        <f>VLOOKUP(B429,'Player Data'!$A1:$AE734,18,FALSE)*$Q429</f>
        <v>45.257489980274933</v>
      </c>
      <c r="AE429" s="40">
        <f>VLOOKUP(B429,'Player Data'!$A1:$AE734,19,FALSE)*$Q429*IFERROR((VLOOKUP(P429,Settings!$E$28:$F$33,2,FALSE)+1),1)</f>
        <v>0.34489611040256424</v>
      </c>
      <c r="AF429" s="40">
        <f>VLOOKUP(B429,'Player Data'!$A1:$AE734,20,FALSE)*$Q429</f>
        <v>0</v>
      </c>
      <c r="AG429" s="40">
        <f>VLOOKUP(B429,'Player Data'!$A1:$AE734,21,FALSE)*$Q429</f>
        <v>0</v>
      </c>
      <c r="AH429" s="41">
        <f>VLOOKUP(B429,'Player Data'!$A1:$AE734,22,FALSE)</f>
        <v>0</v>
      </c>
      <c r="AI429" s="38"/>
      <c r="AJ429" s="42"/>
      <c r="AK429" s="40"/>
      <c r="AL429" s="40"/>
      <c r="AM429" s="40"/>
      <c r="AN429" s="40"/>
      <c r="AO429" s="40"/>
      <c r="AP429" s="40"/>
      <c r="AQ429" s="43"/>
      <c r="AR429" s="44"/>
      <c r="AS429" s="38"/>
    </row>
    <row r="430" spans="1:45" ht="21.2" customHeight="1">
      <c r="A430" s="181">
        <f t="shared" si="38"/>
        <v>429</v>
      </c>
      <c r="B430" s="8" t="s">
        <v>451</v>
      </c>
      <c r="C430" s="31" t="s">
        <v>104</v>
      </c>
      <c r="D430" s="32" t="str">
        <f>VLOOKUP(B430,'Player Data'!A1:D734,4,FALSE)</f>
        <v>D</v>
      </c>
      <c r="E430" s="47">
        <f>VLOOKUP(B430,D!A1:C229,3,FALSE)</f>
        <v>154</v>
      </c>
      <c r="F430" s="34" t="str">
        <f>VLOOKUP(B430,'Player Data'!A1:B734,2,FALSE)</f>
        <v>NYI</v>
      </c>
      <c r="G430" s="9">
        <f>VLOOKUP(B430,'Player Data'!A1:D734,3,FALSE)</f>
        <v>23</v>
      </c>
      <c r="H430" s="35">
        <f>IFERROR(VLOOKUP(B430,ADP!A1:G731,7,FALSE)/1000000,VLOOKUP(B430,ADP!A1:G731,7,FALSE))</f>
        <v>2.5</v>
      </c>
      <c r="I430" s="36">
        <f>IF(Settings!$E$15="POINTS",((R430*Q430)*Settings!$B$12)+(S430*Settings!$B$2)+(T430*Settings!$B$3)+(U430*Settings!$B$4)+(V430*Settings!$B$5)+(X430*Settings!$B$9)+(AA430*Settings!$B$6)+(W430*Settings!$B$8)+(AB430*Settings!$B$7)+(AC430*Settings!$B$14)+(AD430*Settings!$B$15)+(AE430*Settings!$B$16)+(AF430*Settings!$B$17)+(AG430*Settings!$B$18)+(U430*Settings!$B$13)+(Y430*Settings!$B$10)+(Z430*Settings!$B$11),VLOOKUP(B430,'Standard Deviations'!A1:C731,3,FALSE))</f>
        <v>-4.1400733322183072</v>
      </c>
      <c r="J430" s="37">
        <f t="shared" si="39"/>
        <v>-5.0488699173393992E-2</v>
      </c>
      <c r="K430" s="183">
        <f>VLOOKUP(B430,D!A1:F229,6,FALSE)</f>
        <v>-6.0818138758526175</v>
      </c>
      <c r="L430" s="36">
        <f t="shared" si="40"/>
        <v>-2.432725550341047</v>
      </c>
      <c r="M430" s="52" t="str">
        <f>IF(Settings!$E$9="YAHOO",VLOOKUP(B430,ADP!A1:E731,2,FALSE),IF(Settings!$E$9="ESPN",VLOOKUP(B430,ADP!A1:E731,3,FALSE),IF(Settings!$E$9="FANTRAX",VLOOKUP(B430,ADP!A1:E731,4,FALSE),VLOOKUP(B430,ADP!A1:E731,5,FALSE))))</f>
        <v>-</v>
      </c>
      <c r="N430" s="52" t="str">
        <f t="shared" si="41"/>
        <v>N/A</v>
      </c>
      <c r="O430" s="38"/>
      <c r="P430" s="39" t="str">
        <f>IF(Settings!$E$27="ON",_xlfn.XLOOKUP(B430,ADP!A2:A731,ADP!H2:H731)," ")</f>
        <v xml:space="preserve"> </v>
      </c>
      <c r="Q430" s="40">
        <f>IF(Settings!$E$12="YES",VLOOKUP(B430,'Player Data'!A1:E734,5,FALSE),82)</f>
        <v>82</v>
      </c>
      <c r="R430" s="38">
        <f>VLOOKUP(B430,'Player Data'!$A1:$AE734,6,FALSE)</f>
        <v>18.520226288671601</v>
      </c>
      <c r="S430" s="40">
        <f>VLOOKUP(B430,'Player Data'!$A1:$AE734,7,FALSE)*$Q430*IFERROR((VLOOKUP(P430,Settings!$E$28:$F$33,2,FALSE)+1),1)</f>
        <v>2.8650078778968986</v>
      </c>
      <c r="T430" s="40">
        <f>VLOOKUP(B430,'Player Data'!$A1:$AE734,8,FALSE)*$Q430*IFERROR((VLOOKUP(P430,Settings!$E$28:$F$33,2,FALSE)+1),1)</f>
        <v>15.794432119376182</v>
      </c>
      <c r="U430" s="40">
        <f t="shared" si="42"/>
        <v>18.659439997273083</v>
      </c>
      <c r="V430" s="40">
        <f>VLOOKUP(B430,'Player Data'!$A1:$AE734,10,FALSE)*$Q430*IFERROR(((VLOOKUP(P430,Settings!$E$28:$F$33,2,FALSE)/2)+1),1)</f>
        <v>102.62843318573812</v>
      </c>
      <c r="W430" s="40">
        <f>VLOOKUP(B430,'Player Data'!$A1:$AE734,11,FALSE)*$Q430*IFERROR((VLOOKUP(P430,Settings!$E$28:$F$33,2,FALSE)+1),1)</f>
        <v>1.1735344554927441E-2</v>
      </c>
      <c r="X430" s="40">
        <f>VLOOKUP(B430,'Player Data'!$A1:$AE734,12,FALSE)*$Q430*IFERROR((VLOOKUP(P430,Settings!$E$28:$F$33,2,FALSE)+1),1)</f>
        <v>8.9986064708470648E-2</v>
      </c>
      <c r="Y430" s="40">
        <f>VLOOKUP(B430,'Player Data'!$A1:$AE734,13,FALSE)*$Q430</f>
        <v>5.0928166866031174E-2</v>
      </c>
      <c r="Z430" s="40">
        <f>VLOOKUP(B430,'Player Data'!$A1:$AE734,14,FALSE)*$Q430</f>
        <v>0.35259066060983763</v>
      </c>
      <c r="AA430" s="40">
        <f>VLOOKUP(B430,'Player Data'!$A1:$AE734,15,FALSE)*$Q430</f>
        <v>130.01052666597815</v>
      </c>
      <c r="AB430" s="40">
        <f>VLOOKUP(B430,'Player Data'!$A1:$AE734,16,FALSE)*$Q430</f>
        <v>189.14670249484413</v>
      </c>
      <c r="AC430" s="40">
        <f>VLOOKUP(B430,'Player Data'!$A1:$AE734,17,FALSE)*$Q430*IFERROR((VLOOKUP(P430,Settings!$E$28:$F$33,2,FALSE)+1),1)</f>
        <v>-0.66065849382889674</v>
      </c>
      <c r="AD430" s="40">
        <f>VLOOKUP(B430,'Player Data'!$A1:$AE734,18,FALSE)*$Q430</f>
        <v>41.542167179169439</v>
      </c>
      <c r="AE430" s="40">
        <f>VLOOKUP(B430,'Player Data'!$A1:$AE734,19,FALSE)*$Q430*IFERROR((VLOOKUP(P430,Settings!$E$28:$F$33,2,FALSE)+1),1)</f>
        <v>0.44270633859377717</v>
      </c>
      <c r="AF430" s="40">
        <f>VLOOKUP(B430,'Player Data'!$A1:$AE734,20,FALSE)*$Q430</f>
        <v>0</v>
      </c>
      <c r="AG430" s="40">
        <f>VLOOKUP(B430,'Player Data'!$A1:$AE734,21,FALSE)*$Q430</f>
        <v>0</v>
      </c>
      <c r="AH430" s="41">
        <f>VLOOKUP(B430,'Player Data'!$A1:$AE734,22,FALSE)</f>
        <v>0</v>
      </c>
      <c r="AI430" s="38"/>
      <c r="AJ430" s="42"/>
      <c r="AK430" s="40"/>
      <c r="AL430" s="40"/>
      <c r="AM430" s="40"/>
      <c r="AN430" s="40"/>
      <c r="AO430" s="40"/>
      <c r="AP430" s="40"/>
      <c r="AQ430" s="43"/>
      <c r="AR430" s="44"/>
      <c r="AS430" s="38"/>
    </row>
    <row r="431" spans="1:45" ht="21.2" customHeight="1">
      <c r="A431" s="181">
        <f t="shared" si="38"/>
        <v>430</v>
      </c>
      <c r="B431" s="8" t="s">
        <v>419</v>
      </c>
      <c r="C431" s="31" t="s">
        <v>104</v>
      </c>
      <c r="D431" s="32" t="str">
        <f>VLOOKUP(B431,'Player Data'!A1:D734,4,FALSE)</f>
        <v>RW</v>
      </c>
      <c r="E431" s="46">
        <f>VLOOKUP(B431,RW!A1:F189,3,FALSE)</f>
        <v>98</v>
      </c>
      <c r="F431" s="34" t="str">
        <f>VLOOKUP(B431,'Player Data'!A1:B734,2,FALSE)</f>
        <v>MTL</v>
      </c>
      <c r="G431" s="9">
        <f>VLOOKUP(B431,'Player Data'!A1:D734,3,FALSE)</f>
        <v>29</v>
      </c>
      <c r="H431" s="35">
        <f>IFERROR(VLOOKUP(B431,ADP!A1:G731,7,FALSE)/1000000,VLOOKUP(B431,ADP!A1:G731,7,FALSE))</f>
        <v>5.5</v>
      </c>
      <c r="I431" s="36">
        <f>IF(Settings!$E$15="POINTS",((R431*Q431)*Settings!$B$12)+(S431*Settings!$B$2)+(T431*Settings!$B$3)+(U431*Settings!$B$4)+(V431*Settings!$B$5)+(X431*Settings!$B$9)+(AA431*Settings!$B$6)+(W431*Settings!$B$8)+(AB431*Settings!$B$7)+(AC431*Settings!$B$14)+(AD431*Settings!$B$15)+(AE431*Settings!$B$16)+(AF431*Settings!$B$17)+(AG431*Settings!$B$18)+(Y431*Settings!$B$10)+(Z431*Settings!$B$11),VLOOKUP(B431,'Standard Deviations'!A1:C731,3,FALSE))</f>
        <v>0.19409268236957888</v>
      </c>
      <c r="J431" s="37">
        <f t="shared" si="39"/>
        <v>2.366983931336328E-3</v>
      </c>
      <c r="K431" s="183">
        <f>IF(Settings!$E$18="C/LW/RW",VLOOKUP(B431,RW!A1:F189,6,FALSE),VLOOKUP(B431,F!A1:F431,6,FALSE))</f>
        <v>-6.0861660366415018</v>
      </c>
      <c r="L431" s="36">
        <f t="shared" si="40"/>
        <v>-1.1065756430257276</v>
      </c>
      <c r="M431" s="38">
        <f>IF(Settings!$E$9="YAHOO",VLOOKUP(B431,ADP!A1:E731,2,FALSE),IF(Settings!$E$9="ESPN",VLOOKUP(B431,ADP!A1:E731,3,FALSE),IF(Settings!$E$9="FANTRAX",VLOOKUP(B431,ADP!A1:E731,4,FALSE),VLOOKUP(B431,ADP!A1:E731,5,FALSE))))</f>
        <v>403.4</v>
      </c>
      <c r="N431" s="38">
        <f t="shared" si="41"/>
        <v>-26.600000000000023</v>
      </c>
      <c r="O431" s="38"/>
      <c r="P431" s="39" t="str">
        <f>IF(Settings!$E$27="ON",_xlfn.XLOOKUP(B431,ADP!A2:A731,ADP!H2:H731)," ")</f>
        <v xml:space="preserve"> </v>
      </c>
      <c r="Q431" s="40">
        <f>IF(Settings!$E$12="YES",VLOOKUP(B431,'Player Data'!A1:E734,5,FALSE),82)</f>
        <v>82</v>
      </c>
      <c r="R431" s="38">
        <f>VLOOKUP(B431,'Player Data'!$A1:$AE734,6,FALSE)</f>
        <v>16.739677973027099</v>
      </c>
      <c r="S431" s="40">
        <f>VLOOKUP(B431,'Player Data'!$A1:$AE734,7,FALSE)*$Q431*IFERROR((VLOOKUP(P431,Settings!$E$28:$F$33,2,FALSE)+1),1)</f>
        <v>22.576845999997502</v>
      </c>
      <c r="T431" s="40">
        <f>VLOOKUP(B431,'Player Data'!$A1:$AE734,8,FALSE)*$Q431*IFERROR((VLOOKUP(P431,Settings!$E$28:$F$33,2,FALSE)+1),1)</f>
        <v>15.208588268352818</v>
      </c>
      <c r="U431" s="40">
        <f t="shared" si="42"/>
        <v>37.785434268350322</v>
      </c>
      <c r="V431" s="40">
        <f>VLOOKUP(B431,'Player Data'!$A1:$AE734,10,FALSE)*$Q431*IFERROR(((VLOOKUP(P431,Settings!$E$28:$F$33,2,FALSE)/2)+1),1)</f>
        <v>175.13926391026664</v>
      </c>
      <c r="W431" s="40">
        <f>VLOOKUP(B431,'Player Data'!$A1:$AE734,11,FALSE)*$Q431*IFERROR((VLOOKUP(P431,Settings!$E$28:$F$33,2,FALSE)+1),1)</f>
        <v>3.0336526969827413</v>
      </c>
      <c r="X431" s="40">
        <f>VLOOKUP(B431,'Player Data'!$A1:$AE734,12,FALSE)*$Q431*IFERROR((VLOOKUP(P431,Settings!$E$28:$F$33,2,FALSE)+1),1)</f>
        <v>4.3561955993127537</v>
      </c>
      <c r="Y431" s="40">
        <f>VLOOKUP(B431,'Player Data'!$A1:$AE734,13,FALSE)*$Q431</f>
        <v>1.3814864478312625</v>
      </c>
      <c r="Z431" s="40">
        <f>VLOOKUP(B431,'Player Data'!$A1:$AE734,14,FALSE)*$Q431</f>
        <v>1.5154436878353315</v>
      </c>
      <c r="AA431" s="40">
        <f>VLOOKUP(B431,'Player Data'!$A1:$AE734,15,FALSE)*$Q431</f>
        <v>50.034874462982785</v>
      </c>
      <c r="AB431" s="40">
        <f>VLOOKUP(B431,'Player Data'!$A1:$AE734,16,FALSE)*$Q431</f>
        <v>149.91971637809172</v>
      </c>
      <c r="AC431" s="40">
        <f>VLOOKUP(B431,'Player Data'!$A1:$AE734,17,FALSE)*$Q431*IFERROR((VLOOKUP(P431,Settings!$E$28:$F$33,2,FALSE)+1),1)</f>
        <v>-8.3490435654860544</v>
      </c>
      <c r="AD431" s="40">
        <f>VLOOKUP(B431,'Player Data'!$A1:$AE734,18,FALSE)*$Q431</f>
        <v>56.958914721809968</v>
      </c>
      <c r="AE431" s="40">
        <f>VLOOKUP(B431,'Player Data'!$A1:$AE734,19,FALSE)*$Q431*IFERROR((VLOOKUP(P431,Settings!$E$28:$F$33,2,FALSE)+1),1)</f>
        <v>2.3128198448624606</v>
      </c>
      <c r="AF431" s="40">
        <f>VLOOKUP(B431,'Player Data'!$A1:$AE734,20,FALSE)*$Q431</f>
        <v>22.6823774050679</v>
      </c>
      <c r="AG431" s="40">
        <f>VLOOKUP(B431,'Player Data'!$A1:$AE734,21,FALSE)*$Q431</f>
        <v>24.879902043512708</v>
      </c>
      <c r="AH431" s="41">
        <f>VLOOKUP(B431,'Player Data'!$A1:$AE734,22,FALSE)</f>
        <v>0.47689845121047603</v>
      </c>
      <c r="AI431" s="38"/>
      <c r="AJ431" s="42"/>
      <c r="AK431" s="40"/>
      <c r="AL431" s="40"/>
      <c r="AM431" s="40"/>
      <c r="AN431" s="40"/>
      <c r="AO431" s="40"/>
      <c r="AP431" s="40"/>
      <c r="AQ431" s="43"/>
      <c r="AR431" s="44"/>
      <c r="AS431" s="38"/>
    </row>
    <row r="432" spans="1:45" ht="21.2" customHeight="1">
      <c r="A432" s="181">
        <f t="shared" si="38"/>
        <v>431</v>
      </c>
      <c r="B432" s="8" t="s">
        <v>424</v>
      </c>
      <c r="C432" s="31" t="s">
        <v>104</v>
      </c>
      <c r="D432" s="32" t="str">
        <f>VLOOKUP(B432,'Player Data'!A1:D734,4,FALSE)</f>
        <v>D</v>
      </c>
      <c r="E432" s="47">
        <f>VLOOKUP(B432,D!A1:C229,3,FALSE)</f>
        <v>155</v>
      </c>
      <c r="F432" s="34" t="str">
        <f>VLOOKUP(B432,'Player Data'!A1:B734,2,FALSE)</f>
        <v>VGK</v>
      </c>
      <c r="G432" s="9">
        <f>VLOOKUP(B432,'Player Data'!A1:D734,3,FALSE)</f>
        <v>32</v>
      </c>
      <c r="H432" s="35">
        <f>IFERROR(VLOOKUP(B432,ADP!A1:G731,7,FALSE)/1000000,VLOOKUP(B432,ADP!A1:G731,7,FALSE))</f>
        <v>2.5</v>
      </c>
      <c r="I432" s="36">
        <f>IF(Settings!$E$15="POINTS",((R432*Q432)*Settings!$B$12)+(S432*Settings!$B$2)+(T432*Settings!$B$3)+(U432*Settings!$B$4)+(V432*Settings!$B$5)+(X432*Settings!$B$9)+(AA432*Settings!$B$6)+(W432*Settings!$B$8)+(AB432*Settings!$B$7)+(AC432*Settings!$B$14)+(AD432*Settings!$B$15)+(AE432*Settings!$B$16)+(AF432*Settings!$B$17)+(AG432*Settings!$B$18)+(U432*Settings!$B$13)+(Y432*Settings!$B$10)+(Z432*Settings!$B$11),VLOOKUP(B432,'Standard Deviations'!A1:C731,3,FALSE))</f>
        <v>-4.1578919444438354</v>
      </c>
      <c r="J432" s="37">
        <f t="shared" si="39"/>
        <v>-5.0705999322485797E-2</v>
      </c>
      <c r="K432" s="183">
        <f>VLOOKUP(B432,D!A1:F229,6,FALSE)</f>
        <v>-6.0996324880781465</v>
      </c>
      <c r="L432" s="36">
        <f t="shared" si="40"/>
        <v>-2.4398529952312584</v>
      </c>
      <c r="M432" s="38">
        <f>IF(Settings!$E$9="YAHOO",VLOOKUP(B432,ADP!A1:E731,2,FALSE),IF(Settings!$E$9="ESPN",VLOOKUP(B432,ADP!A1:E731,3,FALSE),IF(Settings!$E$9="FANTRAX",VLOOKUP(B432,ADP!A1:E731,4,FALSE),VLOOKUP(B432,ADP!A1:E731,5,FALSE))))</f>
        <v>311.42</v>
      </c>
      <c r="N432" s="38">
        <f t="shared" si="41"/>
        <v>-119.57999999999998</v>
      </c>
      <c r="O432" s="38"/>
      <c r="P432" s="39" t="str">
        <f>IF(Settings!$E$27="ON",_xlfn.XLOOKUP(B432,ADP!A2:A731,ADP!H2:H731)," ")</f>
        <v xml:space="preserve"> </v>
      </c>
      <c r="Q432" s="40">
        <f>IF(Settings!$E$12="YES",VLOOKUP(B432,'Player Data'!A1:E734,5,FALSE),82)</f>
        <v>82</v>
      </c>
      <c r="R432" s="38">
        <f>VLOOKUP(B432,'Player Data'!$A1:$AE734,6,FALSE)</f>
        <v>20.097319954268301</v>
      </c>
      <c r="S432" s="40">
        <f>VLOOKUP(B432,'Player Data'!$A1:$AE734,7,FALSE)*$Q432*IFERROR((VLOOKUP(P432,Settings!$E$28:$F$33,2,FALSE)+1),1)</f>
        <v>2.6594805431226973</v>
      </c>
      <c r="T432" s="40">
        <f>VLOOKUP(B432,'Player Data'!$A1:$AE734,8,FALSE)*$Q432*IFERROR((VLOOKUP(P432,Settings!$E$28:$F$33,2,FALSE)+1),1)</f>
        <v>16.699126058920815</v>
      </c>
      <c r="U432" s="40">
        <f t="shared" si="42"/>
        <v>19.358606602043512</v>
      </c>
      <c r="V432" s="40">
        <f>VLOOKUP(B432,'Player Data'!$A1:$AE734,10,FALSE)*$Q432*IFERROR(((VLOOKUP(P432,Settings!$E$28:$F$33,2,FALSE)/2)+1),1)</f>
        <v>96.577147068808358</v>
      </c>
      <c r="W432" s="40">
        <f>VLOOKUP(B432,'Player Data'!$A1:$AE734,11,FALSE)*$Q432*IFERROR((VLOOKUP(P432,Settings!$E$28:$F$33,2,FALSE)+1),1)</f>
        <v>2.4102371265040598E-2</v>
      </c>
      <c r="X432" s="40">
        <f>VLOOKUP(B432,'Player Data'!$A1:$AE734,12,FALSE)*$Q432*IFERROR((VLOOKUP(P432,Settings!$E$28:$F$33,2,FALSE)+1),1)</f>
        <v>0.15926382733593211</v>
      </c>
      <c r="Y432" s="40">
        <f>VLOOKUP(B432,'Player Data'!$A1:$AE734,13,FALSE)*$Q432</f>
        <v>-2.969942724280631E-2</v>
      </c>
      <c r="Z432" s="40">
        <f>VLOOKUP(B432,'Player Data'!$A1:$AE734,14,FALSE)*$Q432</f>
        <v>0.94956414349017593</v>
      </c>
      <c r="AA432" s="40">
        <f>VLOOKUP(B432,'Player Data'!$A1:$AE734,15,FALSE)*$Q432</f>
        <v>189.7386102663821</v>
      </c>
      <c r="AB432" s="40">
        <f>VLOOKUP(B432,'Player Data'!$A1:$AE734,16,FALSE)*$Q432</f>
        <v>184.82684301844569</v>
      </c>
      <c r="AC432" s="40">
        <f>VLOOKUP(B432,'Player Data'!$A1:$AE734,17,FALSE)*$Q432*IFERROR((VLOOKUP(P432,Settings!$E$28:$F$33,2,FALSE)+1),1)</f>
        <v>5.5250432916357388</v>
      </c>
      <c r="AD432" s="40">
        <f>VLOOKUP(B432,'Player Data'!$A1:$AE734,18,FALSE)*$Q432</f>
        <v>43.036602571032212</v>
      </c>
      <c r="AE432" s="40">
        <f>VLOOKUP(B432,'Player Data'!$A1:$AE734,19,FALSE)*$Q432*IFERROR((VLOOKUP(P432,Settings!$E$28:$F$33,2,FALSE)+1),1)</f>
        <v>0.43463168402904917</v>
      </c>
      <c r="AF432" s="40">
        <f>VLOOKUP(B432,'Player Data'!$A1:$AE734,20,FALSE)*$Q432</f>
        <v>0</v>
      </c>
      <c r="AG432" s="40">
        <f>VLOOKUP(B432,'Player Data'!$A1:$AE734,21,FALSE)*$Q432</f>
        <v>0</v>
      </c>
      <c r="AH432" s="41">
        <f>VLOOKUP(B432,'Player Data'!$A1:$AE734,22,FALSE)</f>
        <v>0</v>
      </c>
      <c r="AI432" s="38"/>
      <c r="AJ432" s="42"/>
      <c r="AK432" s="40"/>
      <c r="AL432" s="40"/>
      <c r="AM432" s="40"/>
      <c r="AN432" s="40"/>
      <c r="AO432" s="40"/>
      <c r="AP432" s="40"/>
      <c r="AQ432" s="43"/>
      <c r="AR432" s="44"/>
      <c r="AS432" s="38"/>
    </row>
    <row r="433" spans="1:45" ht="21.2" customHeight="1">
      <c r="A433" s="181">
        <f t="shared" si="38"/>
        <v>432</v>
      </c>
      <c r="B433" s="8" t="s">
        <v>459</v>
      </c>
      <c r="C433" s="31" t="s">
        <v>104</v>
      </c>
      <c r="D433" s="32" t="str">
        <f>VLOOKUP(B433,'Player Data'!A1:D734,4,FALSE)</f>
        <v>D</v>
      </c>
      <c r="E433" s="47">
        <f>VLOOKUP(B433,D!A1:C229,3,FALSE)</f>
        <v>156</v>
      </c>
      <c r="F433" s="34" t="str">
        <f>VLOOKUP(B433,'Player Data'!A1:B734,2,FALSE)</f>
        <v>TOR</v>
      </c>
      <c r="G433" s="9">
        <f>VLOOKUP(B433,'Player Data'!A1:D734,3,FALSE)</f>
        <v>33</v>
      </c>
      <c r="H433" s="35">
        <f>IFERROR(VLOOKUP(B433,ADP!A1:G731,7,FALSE)/1000000,VLOOKUP(B433,ADP!A1:G731,7,FALSE))</f>
        <v>5</v>
      </c>
      <c r="I433" s="36">
        <f>IF(Settings!$E$15="POINTS",((R433*Q433)*Settings!$B$12)+(S433*Settings!$B$2)+(T433*Settings!$B$3)+(U433*Settings!$B$4)+(V433*Settings!$B$5)+(X433*Settings!$B$9)+(AA433*Settings!$B$6)+(W433*Settings!$B$8)+(AB433*Settings!$B$7)+(AC433*Settings!$B$14)+(AD433*Settings!$B$15)+(AE433*Settings!$B$16)+(AF433*Settings!$B$17)+(AG433*Settings!$B$18)+(U433*Settings!$B$13)+(Y433*Settings!$B$10)+(Z433*Settings!$B$11),VLOOKUP(B433,'Standard Deviations'!A1:C731,3,FALSE))</f>
        <v>-4.159247314303979</v>
      </c>
      <c r="J433" s="37">
        <f t="shared" si="39"/>
        <v>-5.0722528223219258E-2</v>
      </c>
      <c r="K433" s="183">
        <f>VLOOKUP(B433,D!A1:F229,6,FALSE)</f>
        <v>-6.1009878579382892</v>
      </c>
      <c r="L433" s="36">
        <f t="shared" si="40"/>
        <v>-1.2201975715876578</v>
      </c>
      <c r="M433" s="52" t="str">
        <f>IF(Settings!$E$9="YAHOO",VLOOKUP(B433,ADP!A1:E731,2,FALSE),IF(Settings!$E$9="ESPN",VLOOKUP(B433,ADP!A1:E731,3,FALSE),IF(Settings!$E$9="FANTRAX",VLOOKUP(B433,ADP!A1:E731,4,FALSE),VLOOKUP(B433,ADP!A1:E731,5,FALSE))))</f>
        <v>-</v>
      </c>
      <c r="N433" s="52" t="str">
        <f t="shared" si="41"/>
        <v>N/A</v>
      </c>
      <c r="O433" s="38"/>
      <c r="P433" s="39" t="str">
        <f>IF(Settings!$E$27="ON",_xlfn.XLOOKUP(B433,ADP!A2:A731,ADP!H2:H731)," ")</f>
        <v xml:space="preserve"> </v>
      </c>
      <c r="Q433" s="40">
        <f>IF(Settings!$E$12="YES",VLOOKUP(B433,'Player Data'!A1:E734,5,FALSE),82)</f>
        <v>82</v>
      </c>
      <c r="R433" s="38">
        <f>VLOOKUP(B433,'Player Data'!$A1:$AE734,6,FALSE)</f>
        <v>21.296945505239499</v>
      </c>
      <c r="S433" s="40">
        <f>VLOOKUP(B433,'Player Data'!$A1:$AE734,7,FALSE)*$Q433*IFERROR((VLOOKUP(P433,Settings!$E$28:$F$33,2,FALSE)+1),1)</f>
        <v>2.937064014077384</v>
      </c>
      <c r="T433" s="40">
        <f>VLOOKUP(B433,'Player Data'!$A1:$AE734,8,FALSE)*$Q433*IFERROR((VLOOKUP(P433,Settings!$E$28:$F$33,2,FALSE)+1),1)</f>
        <v>18.517050316208625</v>
      </c>
      <c r="U433" s="40">
        <f t="shared" si="42"/>
        <v>21.454114330286011</v>
      </c>
      <c r="V433" s="40">
        <f>VLOOKUP(B433,'Player Data'!$A1:$AE734,10,FALSE)*$Q433*IFERROR(((VLOOKUP(P433,Settings!$E$28:$F$33,2,FALSE)/2)+1),1)</f>
        <v>81.132807919275265</v>
      </c>
      <c r="W433" s="40">
        <f>VLOOKUP(B433,'Player Data'!$A1:$AE734,11,FALSE)*$Q433*IFERROR((VLOOKUP(P433,Settings!$E$28:$F$33,2,FALSE)+1),1)</f>
        <v>1.5196587452439996E-2</v>
      </c>
      <c r="X433" s="40">
        <f>VLOOKUP(B433,'Player Data'!$A1:$AE734,12,FALSE)*$Q433*IFERROR((VLOOKUP(P433,Settings!$E$28:$F$33,2,FALSE)+1),1)</f>
        <v>0.22798821766593533</v>
      </c>
      <c r="Y433" s="40">
        <f>VLOOKUP(B433,'Player Data'!$A1:$AE734,13,FALSE)*$Q433</f>
        <v>-5.7307896844147617E-2</v>
      </c>
      <c r="Z433" s="40">
        <f>VLOOKUP(B433,'Player Data'!$A1:$AE734,14,FALSE)*$Q433</f>
        <v>1.284580848809588</v>
      </c>
      <c r="AA433" s="40">
        <f>VLOOKUP(B433,'Player Data'!$A1:$AE734,15,FALSE)*$Q433</f>
        <v>141.85605767190418</v>
      </c>
      <c r="AB433" s="40">
        <f>VLOOKUP(B433,'Player Data'!$A1:$AE734,16,FALSE)*$Q433</f>
        <v>78.290551797346623</v>
      </c>
      <c r="AC433" s="40">
        <f>VLOOKUP(B433,'Player Data'!$A1:$AE734,17,FALSE)*$Q433*IFERROR((VLOOKUP(P433,Settings!$E$28:$F$33,2,FALSE)+1),1)</f>
        <v>6.5615177448335933</v>
      </c>
      <c r="AD433" s="40">
        <f>VLOOKUP(B433,'Player Data'!$A1:$AE734,18,FALSE)*$Q433</f>
        <v>28.66420022514221</v>
      </c>
      <c r="AE433" s="40">
        <f>VLOOKUP(B433,'Player Data'!$A1:$AE734,19,FALSE)*$Q433*IFERROR((VLOOKUP(P433,Settings!$E$28:$F$33,2,FALSE)+1),1)</f>
        <v>0.47183855320175022</v>
      </c>
      <c r="AF433" s="40">
        <f>VLOOKUP(B433,'Player Data'!$A1:$AE734,20,FALSE)*$Q433</f>
        <v>0</v>
      </c>
      <c r="AG433" s="40">
        <f>VLOOKUP(B433,'Player Data'!$A1:$AE734,21,FALSE)*$Q433</f>
        <v>0</v>
      </c>
      <c r="AH433" s="41">
        <f>VLOOKUP(B433,'Player Data'!$A1:$AE734,22,FALSE)</f>
        <v>0</v>
      </c>
      <c r="AI433" s="38"/>
      <c r="AJ433" s="42"/>
      <c r="AK433" s="40"/>
      <c r="AL433" s="40"/>
      <c r="AM433" s="40"/>
      <c r="AN433" s="40"/>
      <c r="AO433" s="40"/>
      <c r="AP433" s="40"/>
      <c r="AQ433" s="43"/>
      <c r="AR433" s="44"/>
      <c r="AS433" s="38"/>
    </row>
    <row r="434" spans="1:45" ht="21.2" customHeight="1">
      <c r="A434" s="181">
        <f t="shared" si="38"/>
        <v>433</v>
      </c>
      <c r="B434" s="8" t="s">
        <v>468</v>
      </c>
      <c r="C434" s="31" t="s">
        <v>104</v>
      </c>
      <c r="D434" s="32" t="str">
        <f>VLOOKUP(B434,'Player Data'!A1:D734,4,FALSE)</f>
        <v>LW</v>
      </c>
      <c r="E434" s="48">
        <f>VLOOKUP(B434,LW!A1:C227,3,FALSE)</f>
        <v>99</v>
      </c>
      <c r="F434" s="34" t="str">
        <f>VLOOKUP(B434,'Player Data'!A1:B734,2,FALSE)</f>
        <v>PHI</v>
      </c>
      <c r="G434" s="9">
        <f>VLOOKUP(B434,'Player Data'!A1:D734,3,FALSE)</f>
        <v>24</v>
      </c>
      <c r="H434" s="35">
        <f>IFERROR(VLOOKUP(B434,ADP!A1:G731,7,FALSE)/1000000,VLOOKUP(B434,ADP!A1:G731,7,FALSE))</f>
        <v>2.625</v>
      </c>
      <c r="I434" s="36">
        <f>IF(Settings!$E$15="POINTS",((R434*Q434)*Settings!$B$12)+(S434*Settings!$B$2)+(T434*Settings!$B$3)+(U434*Settings!$B$4)+(V434*Settings!$B$5)+(X434*Settings!$B$9)+(AA434*Settings!$B$6)+(W434*Settings!$B$8)+(AB434*Settings!$B$7)+(AC434*Settings!$B$14)+(AD434*Settings!$B$15)+(AE434*Settings!$B$16)+(AF434*Settings!$B$17)+(AG434*Settings!$B$18)+(Y434*Settings!$B$10)+(Z434*Settings!$B$11),VLOOKUP(B434,'Standard Deviations'!A1:C731,3,FALSE))</f>
        <v>0.53953715834264759</v>
      </c>
      <c r="J434" s="37">
        <f t="shared" si="39"/>
        <v>6.5797214432030196E-3</v>
      </c>
      <c r="K434" s="183">
        <f>IF(Settings!$E$18="C/LW/RW",VLOOKUP(B434,LW!A1:F227,6,FALSE),VLOOKUP(B434,F!A1:F431,6,FALSE))</f>
        <v>-6.1151318857817536</v>
      </c>
      <c r="L434" s="36">
        <f t="shared" si="40"/>
        <v>-2.3295740517263823</v>
      </c>
      <c r="M434" s="52" t="str">
        <f>IF(Settings!$E$9="YAHOO",VLOOKUP(B434,ADP!A1:E731,2,FALSE),IF(Settings!$E$9="ESPN",VLOOKUP(B434,ADP!A1:E731,3,FALSE),IF(Settings!$E$9="FANTRAX",VLOOKUP(B434,ADP!A1:E731,4,FALSE),VLOOKUP(B434,ADP!A1:E731,5,FALSE))))</f>
        <v>-</v>
      </c>
      <c r="N434" s="52" t="str">
        <f t="shared" si="41"/>
        <v>N/A</v>
      </c>
      <c r="O434" s="38"/>
      <c r="P434" s="39" t="str">
        <f>IF(Settings!$E$27="ON",_xlfn.XLOOKUP(B434,ADP!A2:A731,ADP!H2:H731)," ")</f>
        <v xml:space="preserve"> </v>
      </c>
      <c r="Q434" s="40">
        <f>IF(Settings!$E$12="YES",VLOOKUP(B434,'Player Data'!A1:E734,5,FALSE),82)</f>
        <v>82</v>
      </c>
      <c r="R434" s="38">
        <f>VLOOKUP(B434,'Player Data'!$A1:$AE734,6,FALSE)</f>
        <v>17.9930099085366</v>
      </c>
      <c r="S434" s="40">
        <f>VLOOKUP(B434,'Player Data'!$A1:$AE734,7,FALSE)*$Q434*IFERROR((VLOOKUP(P434,Settings!$E$28:$F$33,2,FALSE)+1),1)</f>
        <v>17.587486444797776</v>
      </c>
      <c r="T434" s="40">
        <f>VLOOKUP(B434,'Player Data'!$A1:$AE734,8,FALSE)*$Q434*IFERROR((VLOOKUP(P434,Settings!$E$28:$F$33,2,FALSE)+1),1)</f>
        <v>27.96971307983571</v>
      </c>
      <c r="U434" s="40">
        <f t="shared" si="42"/>
        <v>45.557199524633489</v>
      </c>
      <c r="V434" s="40">
        <f>VLOOKUP(B434,'Player Data'!$A1:$AE734,10,FALSE)*$Q434*IFERROR(((VLOOKUP(P434,Settings!$E$28:$F$33,2,FALSE)/2)+1),1)</f>
        <v>119.30744501984034</v>
      </c>
      <c r="W434" s="40">
        <f>VLOOKUP(B434,'Player Data'!$A1:$AE734,11,FALSE)*$Q434*IFERROR((VLOOKUP(P434,Settings!$E$28:$F$33,2,FALSE)+1),1)</f>
        <v>3.9135363362288227</v>
      </c>
      <c r="X434" s="40">
        <f>VLOOKUP(B434,'Player Data'!$A1:$AE734,12,FALSE)*$Q434*IFERROR((VLOOKUP(P434,Settings!$E$28:$F$33,2,FALSE)+1),1)</f>
        <v>9.2641570601957159</v>
      </c>
      <c r="Y434" s="40">
        <f>VLOOKUP(B434,'Player Data'!$A1:$AE734,13,FALSE)*$Q434</f>
        <v>1.1336090285345242</v>
      </c>
      <c r="Z434" s="40">
        <f>VLOOKUP(B434,'Player Data'!$A1:$AE734,14,FALSE)*$Q434</f>
        <v>2.3220154935973292</v>
      </c>
      <c r="AA434" s="40">
        <f>VLOOKUP(B434,'Player Data'!$A1:$AE734,15,FALSE)*$Q434</f>
        <v>60.616438107337622</v>
      </c>
      <c r="AB434" s="40">
        <f>VLOOKUP(B434,'Player Data'!$A1:$AE734,16,FALSE)*$Q434</f>
        <v>88.172317277143165</v>
      </c>
      <c r="AC434" s="40">
        <f>VLOOKUP(B434,'Player Data'!$A1:$AE734,17,FALSE)*$Q434*IFERROR((VLOOKUP(P434,Settings!$E$28:$F$33,2,FALSE)+1),1)</f>
        <v>-4.3813109161153436</v>
      </c>
      <c r="AD434" s="40">
        <f>VLOOKUP(B434,'Player Data'!$A1:$AE734,18,FALSE)*$Q434</f>
        <v>19.705125295657201</v>
      </c>
      <c r="AE434" s="40">
        <f>VLOOKUP(B434,'Player Data'!$A1:$AE734,19,FALSE)*$Q434*IFERROR((VLOOKUP(P434,Settings!$E$28:$F$33,2,FALSE)+1),1)</f>
        <v>2.0673323924034941</v>
      </c>
      <c r="AF434" s="40">
        <f>VLOOKUP(B434,'Player Data'!$A1:$AE734,20,FALSE)*$Q434</f>
        <v>364.50041875233626</v>
      </c>
      <c r="AG434" s="40">
        <f>VLOOKUP(B434,'Player Data'!$A1:$AE734,21,FALSE)*$Q434</f>
        <v>671.91256780408708</v>
      </c>
      <c r="AH434" s="41">
        <f>VLOOKUP(B434,'Player Data'!$A1:$AE734,22,FALSE)</f>
        <v>0.35169418318794099</v>
      </c>
      <c r="AI434" s="38"/>
      <c r="AJ434" s="42"/>
      <c r="AK434" s="40"/>
      <c r="AL434" s="40"/>
      <c r="AM434" s="40"/>
      <c r="AN434" s="40"/>
      <c r="AO434" s="40"/>
      <c r="AP434" s="40"/>
      <c r="AQ434" s="43"/>
      <c r="AR434" s="44"/>
      <c r="AS434" s="38"/>
    </row>
    <row r="435" spans="1:45" ht="21.2" customHeight="1">
      <c r="A435" s="181">
        <f t="shared" si="38"/>
        <v>434</v>
      </c>
      <c r="B435" s="8" t="s">
        <v>542</v>
      </c>
      <c r="C435" s="31" t="s">
        <v>104</v>
      </c>
      <c r="D435" s="32" t="str">
        <f>VLOOKUP(B435,'Player Data'!A1:D734,4,FALSE)</f>
        <v>D</v>
      </c>
      <c r="E435" s="47">
        <f>VLOOKUP(B435,D!A1:C229,3,FALSE)</f>
        <v>157</v>
      </c>
      <c r="F435" s="34" t="str">
        <f>VLOOKUP(B435,'Player Data'!A1:B734,2,FALSE)</f>
        <v>MTL</v>
      </c>
      <c r="G435" s="9">
        <f>VLOOKUP(B435,'Player Data'!A1:D734,3,FALSE)</f>
        <v>22</v>
      </c>
      <c r="H435" s="35">
        <f>IFERROR(VLOOKUP(B435,ADP!A1:G731,7,FALSE)/1000000,VLOOKUP(B435,ADP!A1:G731,7,FALSE))</f>
        <v>0.82833299999999999</v>
      </c>
      <c r="I435" s="36">
        <f>IF(Settings!$E$15="POINTS",((R435*Q435)*Settings!$B$12)+(S435*Settings!$B$2)+(T435*Settings!$B$3)+(U435*Settings!$B$4)+(V435*Settings!$B$5)+(X435*Settings!$B$9)+(AA435*Settings!$B$6)+(W435*Settings!$B$8)+(AB435*Settings!$B$7)+(AC435*Settings!$B$14)+(AD435*Settings!$B$15)+(AE435*Settings!$B$16)+(AF435*Settings!$B$17)+(AG435*Settings!$B$18)+(U435*Settings!$B$13)+(Y435*Settings!$B$10)+(Z435*Settings!$B$11),VLOOKUP(B435,'Standard Deviations'!A1:C731,3,FALSE))</f>
        <v>-4.1772580080061257</v>
      </c>
      <c r="J435" s="37">
        <f t="shared" si="39"/>
        <v>-5.0942170829342999E-2</v>
      </c>
      <c r="K435" s="183">
        <f>VLOOKUP(B435,D!A1:F229,6,FALSE)</f>
        <v>-6.1189985516404359</v>
      </c>
      <c r="L435" s="36">
        <f t="shared" si="40"/>
        <v>-7.3871239605815973</v>
      </c>
      <c r="M435" s="52" t="str">
        <f>IF(Settings!$E$9="YAHOO",VLOOKUP(B435,ADP!A1:E731,2,FALSE),IF(Settings!$E$9="ESPN",VLOOKUP(B435,ADP!A1:E731,3,FALSE),IF(Settings!$E$9="FANTRAX",VLOOKUP(B435,ADP!A1:E731,4,FALSE),VLOOKUP(B435,ADP!A1:E731,5,FALSE))))</f>
        <v>-</v>
      </c>
      <c r="N435" s="52" t="str">
        <f t="shared" si="41"/>
        <v>N/A</v>
      </c>
      <c r="O435" s="38"/>
      <c r="P435" s="39" t="str">
        <f>IF(Settings!$E$27="ON",_xlfn.XLOOKUP(B435,ADP!A2:A731,ADP!H2:H731)," ")</f>
        <v xml:space="preserve"> </v>
      </c>
      <c r="Q435" s="40">
        <f>IF(Settings!$E$12="YES",VLOOKUP(B435,'Player Data'!A1:E734,5,FALSE),82)</f>
        <v>82</v>
      </c>
      <c r="R435" s="38">
        <f>VLOOKUP(B435,'Player Data'!$A1:$AE734,6,FALSE)</f>
        <v>14.5802203248371</v>
      </c>
      <c r="S435" s="40">
        <f>VLOOKUP(B435,'Player Data'!$A1:$AE734,7,FALSE)*$Q435*IFERROR((VLOOKUP(P435,Settings!$E$28:$F$33,2,FALSE)+1),1)</f>
        <v>4.5735004525261482</v>
      </c>
      <c r="T435" s="40">
        <f>VLOOKUP(B435,'Player Data'!$A1:$AE734,8,FALSE)*$Q435*IFERROR((VLOOKUP(P435,Settings!$E$28:$F$33,2,FALSE)+1),1)</f>
        <v>11.158946197789561</v>
      </c>
      <c r="U435" s="40">
        <f t="shared" si="42"/>
        <v>15.732446650315708</v>
      </c>
      <c r="V435" s="40">
        <f>VLOOKUP(B435,'Player Data'!$A1:$AE734,10,FALSE)*$Q435*IFERROR(((VLOOKUP(P435,Settings!$E$28:$F$33,2,FALSE)/2)+1),1)</f>
        <v>105.9953815640759</v>
      </c>
      <c r="W435" s="40">
        <f>VLOOKUP(B435,'Player Data'!$A1:$AE734,11,FALSE)*$Q435*IFERROR((VLOOKUP(P435,Settings!$E$28:$F$33,2,FALSE)+1),1)</f>
        <v>0.97142487267165345</v>
      </c>
      <c r="X435" s="40">
        <f>VLOOKUP(B435,'Player Data'!$A1:$AE734,12,FALSE)*$Q435*IFERROR((VLOOKUP(P435,Settings!$E$28:$F$33,2,FALSE)+1),1)</f>
        <v>2.1664845981656091</v>
      </c>
      <c r="Y435" s="40">
        <f>VLOOKUP(B435,'Player Data'!$A1:$AE734,13,FALSE)*$Q435</f>
        <v>1.7369504590956111E-2</v>
      </c>
      <c r="Z435" s="40">
        <f>VLOOKUP(B435,'Player Data'!$A1:$AE734,14,FALSE)*$Q435</f>
        <v>8.0719899777412979E-2</v>
      </c>
      <c r="AA435" s="40">
        <f>VLOOKUP(B435,'Player Data'!$A1:$AE734,15,FALSE)*$Q435</f>
        <v>79.859381702131358</v>
      </c>
      <c r="AB435" s="40">
        <f>VLOOKUP(B435,'Player Data'!$A1:$AE734,16,FALSE)*$Q435</f>
        <v>196.39117552401913</v>
      </c>
      <c r="AC435" s="40">
        <f>VLOOKUP(B435,'Player Data'!$A1:$AE734,17,FALSE)*$Q435*IFERROR((VLOOKUP(P435,Settings!$E$28:$F$33,2,FALSE)+1),1)</f>
        <v>-8.8009563029101248</v>
      </c>
      <c r="AD435" s="40">
        <f>VLOOKUP(B435,'Player Data'!$A1:$AE734,18,FALSE)*$Q435</f>
        <v>86.888140911154949</v>
      </c>
      <c r="AE435" s="40">
        <f>VLOOKUP(B435,'Player Data'!$A1:$AE734,19,FALSE)*$Q435*IFERROR((VLOOKUP(P435,Settings!$E$28:$F$33,2,FALSE)+1),1)</f>
        <v>0.46851905740470062</v>
      </c>
      <c r="AF435" s="40">
        <f>VLOOKUP(B435,'Player Data'!$A1:$AE734,20,FALSE)*$Q435</f>
        <v>0</v>
      </c>
      <c r="AG435" s="40">
        <f>VLOOKUP(B435,'Player Data'!$A1:$AE734,21,FALSE)*$Q435</f>
        <v>0</v>
      </c>
      <c r="AH435" s="41">
        <f>VLOOKUP(B435,'Player Data'!$A1:$AE734,22,FALSE)</f>
        <v>0</v>
      </c>
      <c r="AI435" s="38"/>
      <c r="AJ435" s="42"/>
      <c r="AK435" s="40"/>
      <c r="AL435" s="40"/>
      <c r="AM435" s="40"/>
      <c r="AN435" s="40"/>
      <c r="AO435" s="40"/>
      <c r="AP435" s="40"/>
      <c r="AQ435" s="43"/>
      <c r="AR435" s="44"/>
      <c r="AS435" s="38"/>
    </row>
    <row r="436" spans="1:45" ht="21.2" customHeight="1">
      <c r="A436" s="181">
        <f t="shared" si="38"/>
        <v>435</v>
      </c>
      <c r="B436" s="8" t="s">
        <v>604</v>
      </c>
      <c r="C436" s="31" t="s">
        <v>104</v>
      </c>
      <c r="D436" s="32" t="str">
        <f>VLOOKUP(B436,'Player Data'!A1:D734,4,FALSE)</f>
        <v>D</v>
      </c>
      <c r="E436" s="47">
        <f>VLOOKUP(B436,D!A1:C229,3,FALSE)</f>
        <v>158</v>
      </c>
      <c r="F436" s="34" t="str">
        <f>VLOOKUP(B436,'Player Data'!A1:B734,2,FALSE)</f>
        <v>NYI</v>
      </c>
      <c r="G436" s="9">
        <f>VLOOKUP(B436,'Player Data'!A1:D734,3,FALSE)</f>
        <v>22</v>
      </c>
      <c r="H436" s="35">
        <f>IFERROR(VLOOKUP(B436,ADP!A1:G731,7,FALSE)/1000000,VLOOKUP(B436,ADP!A1:G731,7,FALSE))</f>
        <v>0.8</v>
      </c>
      <c r="I436" s="36">
        <f>IF(Settings!$E$15="POINTS",((R436*Q436)*Settings!$B$12)+(S436*Settings!$B$2)+(T436*Settings!$B$3)+(U436*Settings!$B$4)+(V436*Settings!$B$5)+(X436*Settings!$B$9)+(AA436*Settings!$B$6)+(W436*Settings!$B$8)+(AB436*Settings!$B$7)+(AC436*Settings!$B$14)+(AD436*Settings!$B$15)+(AE436*Settings!$B$16)+(AF436*Settings!$B$17)+(AG436*Settings!$B$18)+(U436*Settings!$B$13)+(Y436*Settings!$B$10)+(Z436*Settings!$B$11),VLOOKUP(B436,'Standard Deviations'!A1:C731,3,FALSE))</f>
        <v>-4.1790368773706028</v>
      </c>
      <c r="J436" s="37">
        <f t="shared" si="39"/>
        <v>-5.0963864358178082E-2</v>
      </c>
      <c r="K436" s="183">
        <f>VLOOKUP(B436,D!A1:F229,6,FALSE)</f>
        <v>-6.1207774210049131</v>
      </c>
      <c r="L436" s="36">
        <f t="shared" si="40"/>
        <v>-7.6509717762561413</v>
      </c>
      <c r="M436" s="52" t="str">
        <f>IF(Settings!$E$9="YAHOO",VLOOKUP(B436,ADP!A1:E731,2,FALSE),IF(Settings!$E$9="ESPN",VLOOKUP(B436,ADP!A1:E731,3,FALSE),IF(Settings!$E$9="FANTRAX",VLOOKUP(B436,ADP!A1:E731,4,FALSE),VLOOKUP(B436,ADP!A1:E731,5,FALSE))))</f>
        <v>-</v>
      </c>
      <c r="N436" s="52" t="str">
        <f t="shared" si="41"/>
        <v>N/A</v>
      </c>
      <c r="O436" s="38"/>
      <c r="P436" s="39" t="str">
        <f>IF(Settings!$E$27="ON",_xlfn.XLOOKUP(B436,ADP!A2:A731,ADP!H2:H731)," ")</f>
        <v xml:space="preserve"> </v>
      </c>
      <c r="Q436" s="40">
        <f>IF(Settings!$E$12="YES",VLOOKUP(B436,'Player Data'!A1:E734,5,FALSE),82)</f>
        <v>82</v>
      </c>
      <c r="R436" s="38">
        <f>VLOOKUP(B436,'Player Data'!$A1:$AE734,6,FALSE)</f>
        <v>14.4955031132376</v>
      </c>
      <c r="S436" s="40">
        <f>VLOOKUP(B436,'Player Data'!$A1:$AE734,7,FALSE)*$Q436*IFERROR((VLOOKUP(P436,Settings!$E$28:$F$33,2,FALSE)+1),1)</f>
        <v>6.1428795392392113</v>
      </c>
      <c r="T436" s="40">
        <f>VLOOKUP(B436,'Player Data'!$A1:$AE734,8,FALSE)*$Q436*IFERROR((VLOOKUP(P436,Settings!$E$28:$F$33,2,FALSE)+1),1)</f>
        <v>13.378656673623471</v>
      </c>
      <c r="U436" s="40">
        <f t="shared" si="42"/>
        <v>19.521536212862681</v>
      </c>
      <c r="V436" s="40">
        <f>VLOOKUP(B436,'Player Data'!$A1:$AE734,10,FALSE)*$Q436*IFERROR(((VLOOKUP(P436,Settings!$E$28:$F$33,2,FALSE)/2)+1),1)</f>
        <v>81.158915801908378</v>
      </c>
      <c r="W436" s="40">
        <f>VLOOKUP(B436,'Player Data'!$A1:$AE734,11,FALSE)*$Q436*IFERROR((VLOOKUP(P436,Settings!$E$28:$F$33,2,FALSE)+1),1)</f>
        <v>0.2256804734380799</v>
      </c>
      <c r="X436" s="40">
        <f>VLOOKUP(B436,'Player Data'!$A1:$AE734,12,FALSE)*$Q436*IFERROR((VLOOKUP(P436,Settings!$E$28:$F$33,2,FALSE)+1),1)</f>
        <v>1.5320684511808695</v>
      </c>
      <c r="Y436" s="40">
        <f>VLOOKUP(B436,'Player Data'!$A1:$AE734,13,FALSE)*$Q436</f>
        <v>3.3000924471709276E-3</v>
      </c>
      <c r="Z436" s="40">
        <f>VLOOKUP(B436,'Player Data'!$A1:$AE734,14,FALSE)*$Q436</f>
        <v>1.5422694459232106E-2</v>
      </c>
      <c r="AA436" s="40">
        <f>VLOOKUP(B436,'Player Data'!$A1:$AE734,15,FALSE)*$Q436</f>
        <v>78.551000037750924</v>
      </c>
      <c r="AB436" s="40">
        <f>VLOOKUP(B436,'Player Data'!$A1:$AE734,16,FALSE)*$Q436</f>
        <v>110.11247849288432</v>
      </c>
      <c r="AC436" s="40">
        <f>VLOOKUP(B436,'Player Data'!$A1:$AE734,17,FALSE)*$Q436*IFERROR((VLOOKUP(P436,Settings!$E$28:$F$33,2,FALSE)+1),1)</f>
        <v>0.77117394650206139</v>
      </c>
      <c r="AD436" s="40">
        <f>VLOOKUP(B436,'Player Data'!$A1:$AE734,18,FALSE)*$Q436</f>
        <v>23.8099295907585</v>
      </c>
      <c r="AE436" s="40">
        <f>VLOOKUP(B436,'Player Data'!$A1:$AE734,19,FALSE)*$Q436*IFERROR((VLOOKUP(P436,Settings!$E$28:$F$33,2,FALSE)+1),1)</f>
        <v>0.94920915583502863</v>
      </c>
      <c r="AF436" s="40">
        <f>VLOOKUP(B436,'Player Data'!$A1:$AE734,20,FALSE)*$Q436</f>
        <v>0</v>
      </c>
      <c r="AG436" s="40">
        <f>VLOOKUP(B436,'Player Data'!$A1:$AE734,21,FALSE)*$Q436</f>
        <v>0</v>
      </c>
      <c r="AH436" s="41">
        <f>VLOOKUP(B436,'Player Data'!$A1:$AE734,22,FALSE)</f>
        <v>0</v>
      </c>
      <c r="AI436" s="38"/>
      <c r="AJ436" s="42"/>
      <c r="AK436" s="40"/>
      <c r="AL436" s="40"/>
      <c r="AM436" s="40"/>
      <c r="AN436" s="40"/>
      <c r="AO436" s="40"/>
      <c r="AP436" s="40"/>
      <c r="AQ436" s="43"/>
      <c r="AR436" s="44"/>
      <c r="AS436" s="38"/>
    </row>
    <row r="437" spans="1:45" ht="21.2" customHeight="1">
      <c r="A437" s="181">
        <f t="shared" si="38"/>
        <v>436</v>
      </c>
      <c r="B437" s="8" t="s">
        <v>446</v>
      </c>
      <c r="C437" s="31" t="s">
        <v>104</v>
      </c>
      <c r="D437" s="32" t="str">
        <f>VLOOKUP(B437,'Player Data'!A1:D734,4,FALSE)</f>
        <v>RW</v>
      </c>
      <c r="E437" s="46">
        <f>VLOOKUP(B437,RW!A1:F189,3,FALSE)</f>
        <v>99</v>
      </c>
      <c r="F437" s="34" t="str">
        <f>VLOOKUP(B437,'Player Data'!A1:B734,2,FALSE)</f>
        <v>CHI</v>
      </c>
      <c r="G437" s="9">
        <f>VLOOKUP(B437,'Player Data'!A1:D734,3,FALSE)</f>
        <v>25</v>
      </c>
      <c r="H437" s="35">
        <f>IFERROR(VLOOKUP(B437,ADP!A1:G731,7,FALSE)/1000000,VLOOKUP(B437,ADP!A1:G731,7,FALSE))</f>
        <v>0.75833300000000003</v>
      </c>
      <c r="I437" s="36">
        <f>IF(Settings!$E$15="POINTS",((R437*Q437)*Settings!$B$12)+(S437*Settings!$B$2)+(T437*Settings!$B$3)+(U437*Settings!$B$4)+(V437*Settings!$B$5)+(X437*Settings!$B$9)+(AA437*Settings!$B$6)+(W437*Settings!$B$8)+(AB437*Settings!$B$7)+(AC437*Settings!$B$14)+(AD437*Settings!$B$15)+(AE437*Settings!$B$16)+(AF437*Settings!$B$17)+(AG437*Settings!$B$18)+(Y437*Settings!$B$10)+(Z437*Settings!$B$11),VLOOKUP(B437,'Standard Deviations'!A1:C731,3,FALSE))</f>
        <v>0.14510855806169834</v>
      </c>
      <c r="J437" s="37">
        <f t="shared" si="39"/>
        <v>1.7696165617280286E-3</v>
      </c>
      <c r="K437" s="183">
        <f>IF(Settings!$E$18="C/LW/RW",VLOOKUP(B437,RW!A1:F189,6,FALSE),VLOOKUP(B437,F!A1:F431,6,FALSE))</f>
        <v>-6.1351501609493821</v>
      </c>
      <c r="L437" s="36">
        <f t="shared" si="40"/>
        <v>-8.090311460729497</v>
      </c>
      <c r="M437" s="38">
        <f>IF(Settings!$E$9="YAHOO",VLOOKUP(B437,ADP!A1:E731,2,FALSE),IF(Settings!$E$9="ESPN",VLOOKUP(B437,ADP!A1:E731,3,FALSE),IF(Settings!$E$9="FANTRAX",VLOOKUP(B437,ADP!A1:E731,4,FALSE),VLOOKUP(B437,ADP!A1:E731,5,FALSE))))</f>
        <v>389.01</v>
      </c>
      <c r="N437" s="38">
        <f t="shared" si="41"/>
        <v>-46.990000000000009</v>
      </c>
      <c r="O437" s="38"/>
      <c r="P437" s="39" t="str">
        <f>IF(Settings!$E$27="ON",_xlfn.XLOOKUP(B437,ADP!A2:A731,ADP!H2:H731)," ")</f>
        <v xml:space="preserve"> </v>
      </c>
      <c r="Q437" s="40">
        <f>IF(Settings!$E$12="YES",VLOOKUP(B437,'Player Data'!A1:E734,5,FALSE),82)</f>
        <v>82</v>
      </c>
      <c r="R437" s="38">
        <f>VLOOKUP(B437,'Player Data'!$A1:$AE734,6,FALSE)</f>
        <v>15.9991238602388</v>
      </c>
      <c r="S437" s="40">
        <f>VLOOKUP(B437,'Player Data'!$A1:$AE734,7,FALSE)*$Q437*IFERROR((VLOOKUP(P437,Settings!$E$28:$F$33,2,FALSE)+1),1)</f>
        <v>19.312254348916738</v>
      </c>
      <c r="T437" s="40">
        <f>VLOOKUP(B437,'Player Data'!$A1:$AE734,8,FALSE)*$Q437*IFERROR((VLOOKUP(P437,Settings!$E$28:$F$33,2,FALSE)+1),1)</f>
        <v>20.026282374673318</v>
      </c>
      <c r="U437" s="40">
        <f t="shared" si="42"/>
        <v>39.338536723590053</v>
      </c>
      <c r="V437" s="40">
        <f>VLOOKUP(B437,'Player Data'!$A1:$AE734,10,FALSE)*$Q437*IFERROR(((VLOOKUP(P437,Settings!$E$28:$F$33,2,FALSE)/2)+1),1)</f>
        <v>125.452611158883</v>
      </c>
      <c r="W437" s="40">
        <f>VLOOKUP(B437,'Player Data'!$A1:$AE734,11,FALSE)*$Q437*IFERROR((VLOOKUP(P437,Settings!$E$28:$F$33,2,FALSE)+1),1)</f>
        <v>5.4572244659320237</v>
      </c>
      <c r="X437" s="40">
        <f>VLOOKUP(B437,'Player Data'!$A1:$AE734,12,FALSE)*$Q437*IFERROR((VLOOKUP(P437,Settings!$E$28:$F$33,2,FALSE)+1),1)</f>
        <v>11.138847227224984</v>
      </c>
      <c r="Y437" s="40">
        <f>VLOOKUP(B437,'Player Data'!$A1:$AE734,13,FALSE)*$Q437</f>
        <v>4.3025237370591376E-3</v>
      </c>
      <c r="Z437" s="40">
        <f>VLOOKUP(B437,'Player Data'!$A1:$AE734,14,FALSE)*$Q437</f>
        <v>5.4939688217219137E-3</v>
      </c>
      <c r="AA437" s="40">
        <f>VLOOKUP(B437,'Player Data'!$A1:$AE734,15,FALSE)*$Q437</f>
        <v>34.377857416543321</v>
      </c>
      <c r="AB437" s="40">
        <f>VLOOKUP(B437,'Player Data'!$A1:$AE734,16,FALSE)*$Q437</f>
        <v>91.332101770439394</v>
      </c>
      <c r="AC437" s="40">
        <f>VLOOKUP(B437,'Player Data'!$A1:$AE734,17,FALSE)*$Q437*IFERROR((VLOOKUP(P437,Settings!$E$28:$F$33,2,FALSE)+1),1)</f>
        <v>-6.1706463181813707</v>
      </c>
      <c r="AD437" s="40">
        <f>VLOOKUP(B437,'Player Data'!$A1:$AE734,18,FALSE)*$Q437</f>
        <v>19.499366280107786</v>
      </c>
      <c r="AE437" s="40">
        <f>VLOOKUP(B437,'Player Data'!$A1:$AE734,19,FALSE)*$Q437*IFERROR((VLOOKUP(P437,Settings!$E$28:$F$33,2,FALSE)+1),1)</f>
        <v>2.2630399362976106</v>
      </c>
      <c r="AF437" s="40">
        <f>VLOOKUP(B437,'Player Data'!$A1:$AE734,20,FALSE)*$Q437</f>
        <v>9.2273017252394265</v>
      </c>
      <c r="AG437" s="40">
        <f>VLOOKUP(B437,'Player Data'!$A1:$AE734,21,FALSE)*$Q437</f>
        <v>9.6484728915159863</v>
      </c>
      <c r="AH437" s="41">
        <f>VLOOKUP(B437,'Player Data'!$A1:$AE734,22,FALSE)</f>
        <v>0.48884360576379599</v>
      </c>
      <c r="AI437" s="38"/>
      <c r="AJ437" s="42"/>
      <c r="AK437" s="40"/>
      <c r="AL437" s="40"/>
      <c r="AM437" s="40"/>
      <c r="AN437" s="40"/>
      <c r="AO437" s="40"/>
      <c r="AP437" s="40"/>
      <c r="AQ437" s="43"/>
      <c r="AR437" s="44"/>
      <c r="AS437" s="38"/>
    </row>
    <row r="438" spans="1:45" ht="21.2" customHeight="1">
      <c r="A438" s="181">
        <f t="shared" si="38"/>
        <v>437</v>
      </c>
      <c r="B438" s="8" t="s">
        <v>510</v>
      </c>
      <c r="C438" s="31" t="s">
        <v>104</v>
      </c>
      <c r="D438" s="32" t="str">
        <f>VLOOKUP(B438,'Player Data'!A1:D734,4,FALSE)</f>
        <v>D</v>
      </c>
      <c r="E438" s="47">
        <f>VLOOKUP(B438,D!A1:C229,3,FALSE)</f>
        <v>159</v>
      </c>
      <c r="F438" s="34" t="str">
        <f>VLOOKUP(B438,'Player Data'!A1:B734,2,FALSE)</f>
        <v>OTT</v>
      </c>
      <c r="G438" s="9">
        <f>VLOOKUP(B438,'Player Data'!A1:D734,3,FALSE)</f>
        <v>27</v>
      </c>
      <c r="H438" s="35">
        <f>IFERROR(VLOOKUP(B438,ADP!A1:G731,7,FALSE)/1000000,VLOOKUP(B438,ADP!A1:G731,7,FALSE))</f>
        <v>4.5999999999999996</v>
      </c>
      <c r="I438" s="36">
        <f>IF(Settings!$E$15="POINTS",((R438*Q438)*Settings!$B$12)+(S438*Settings!$B$2)+(T438*Settings!$B$3)+(U438*Settings!$B$4)+(V438*Settings!$B$5)+(X438*Settings!$B$9)+(AA438*Settings!$B$6)+(W438*Settings!$B$8)+(AB438*Settings!$B$7)+(AC438*Settings!$B$14)+(AD438*Settings!$B$15)+(AE438*Settings!$B$16)+(AF438*Settings!$B$17)+(AG438*Settings!$B$18)+(U438*Settings!$B$13)+(Y438*Settings!$B$10)+(Z438*Settings!$B$11),VLOOKUP(B438,'Standard Deviations'!A1:C731,3,FALSE))</f>
        <v>-4.2066301316804617</v>
      </c>
      <c r="J438" s="37">
        <f t="shared" si="39"/>
        <v>-5.1300367459517826E-2</v>
      </c>
      <c r="K438" s="183">
        <f>VLOOKUP(B438,D!A1:F229,6,FALSE)</f>
        <v>-6.1483706753147729</v>
      </c>
      <c r="L438" s="36">
        <f t="shared" si="40"/>
        <v>-1.3366023207206028</v>
      </c>
      <c r="M438" s="52" t="str">
        <f>IF(Settings!$E$9="YAHOO",VLOOKUP(B438,ADP!A1:E731,2,FALSE),IF(Settings!$E$9="ESPN",VLOOKUP(B438,ADP!A1:E731,3,FALSE),IF(Settings!$E$9="FANTRAX",VLOOKUP(B438,ADP!A1:E731,4,FALSE),VLOOKUP(B438,ADP!A1:E731,5,FALSE))))</f>
        <v>-</v>
      </c>
      <c r="N438" s="52" t="str">
        <f t="shared" si="41"/>
        <v>N/A</v>
      </c>
      <c r="O438" s="38"/>
      <c r="P438" s="39" t="str">
        <f>IF(Settings!$E$27="ON",_xlfn.XLOOKUP(B438,ADP!A2:A731,ADP!H2:H731)," ")</f>
        <v xml:space="preserve"> </v>
      </c>
      <c r="Q438" s="40">
        <f>IF(Settings!$E$12="YES",VLOOKUP(B438,'Player Data'!A1:E734,5,FALSE),82)</f>
        <v>82</v>
      </c>
      <c r="R438" s="38">
        <f>VLOOKUP(B438,'Player Data'!$A1:$AE734,6,FALSE)</f>
        <v>19.1066687682261</v>
      </c>
      <c r="S438" s="40">
        <f>VLOOKUP(B438,'Player Data'!$A1:$AE734,7,FALSE)*$Q438*IFERROR((VLOOKUP(P438,Settings!$E$28:$F$33,2,FALSE)+1),1)</f>
        <v>5.4068164082778871</v>
      </c>
      <c r="T438" s="40">
        <f>VLOOKUP(B438,'Player Data'!$A1:$AE734,8,FALSE)*$Q438*IFERROR((VLOOKUP(P438,Settings!$E$28:$F$33,2,FALSE)+1),1)</f>
        <v>15.872076600942215</v>
      </c>
      <c r="U438" s="40">
        <f t="shared" si="42"/>
        <v>21.278893009220102</v>
      </c>
      <c r="V438" s="40">
        <f>VLOOKUP(B438,'Player Data'!$A1:$AE734,10,FALSE)*$Q438*IFERROR(((VLOOKUP(P438,Settings!$E$28:$F$33,2,FALSE)/2)+1),1)</f>
        <v>76.644164246313636</v>
      </c>
      <c r="W438" s="40">
        <f>VLOOKUP(B438,'Player Data'!$A1:$AE734,11,FALSE)*$Q438*IFERROR((VLOOKUP(P438,Settings!$E$28:$F$33,2,FALSE)+1),1)</f>
        <v>2.1828009350664299E-2</v>
      </c>
      <c r="X438" s="40">
        <f>VLOOKUP(B438,'Player Data'!$A1:$AE734,12,FALSE)*$Q438*IFERROR((VLOOKUP(P438,Settings!$E$28:$F$33,2,FALSE)+1),1)</f>
        <v>0.13743612497519184</v>
      </c>
      <c r="Y438" s="40">
        <f>VLOOKUP(B438,'Player Data'!$A1:$AE734,13,FALSE)*$Q438</f>
        <v>2.8346022220584001E-2</v>
      </c>
      <c r="Z438" s="40">
        <f>VLOOKUP(B438,'Player Data'!$A1:$AE734,14,FALSE)*$Q438</f>
        <v>0.1528870179948969</v>
      </c>
      <c r="AA438" s="40">
        <f>VLOOKUP(B438,'Player Data'!$A1:$AE734,15,FALSE)*$Q438</f>
        <v>109.83985277868491</v>
      </c>
      <c r="AB438" s="40">
        <f>VLOOKUP(B438,'Player Data'!$A1:$AE734,16,FALSE)*$Q438</f>
        <v>161.39139367990586</v>
      </c>
      <c r="AC438" s="40">
        <f>VLOOKUP(B438,'Player Data'!$A1:$AE734,17,FALSE)*$Q438*IFERROR((VLOOKUP(P438,Settings!$E$28:$F$33,2,FALSE)+1),1)</f>
        <v>1.8183535864267677</v>
      </c>
      <c r="AD438" s="40">
        <f>VLOOKUP(B438,'Player Data'!$A1:$AE734,18,FALSE)*$Q438</f>
        <v>51.941516831300618</v>
      </c>
      <c r="AE438" s="40">
        <f>VLOOKUP(B438,'Player Data'!$A1:$AE734,19,FALSE)*$Q438*IFERROR((VLOOKUP(P438,Settings!$E$28:$F$33,2,FALSE)+1),1)</f>
        <v>0.81310899569170481</v>
      </c>
      <c r="AF438" s="40">
        <f>VLOOKUP(B438,'Player Data'!$A1:$AE734,20,FALSE)*$Q438</f>
        <v>0</v>
      </c>
      <c r="AG438" s="40">
        <f>VLOOKUP(B438,'Player Data'!$A1:$AE734,21,FALSE)*$Q438</f>
        <v>0</v>
      </c>
      <c r="AH438" s="41">
        <f>VLOOKUP(B438,'Player Data'!$A1:$AE734,22,FALSE)</f>
        <v>0</v>
      </c>
      <c r="AI438" s="38"/>
      <c r="AJ438" s="42"/>
      <c r="AK438" s="40"/>
      <c r="AL438" s="40"/>
      <c r="AM438" s="40"/>
      <c r="AN438" s="40"/>
      <c r="AO438" s="40"/>
      <c r="AP438" s="40"/>
      <c r="AQ438" s="43"/>
      <c r="AR438" s="44"/>
      <c r="AS438" s="38"/>
    </row>
    <row r="439" spans="1:45" ht="21.2" customHeight="1">
      <c r="A439" s="181">
        <f t="shared" si="38"/>
        <v>438</v>
      </c>
      <c r="B439" s="8" t="s">
        <v>536</v>
      </c>
      <c r="C439" s="31" t="s">
        <v>104</v>
      </c>
      <c r="D439" s="32" t="str">
        <f>VLOOKUP(B439,'Player Data'!A1:D734,4,FALSE)</f>
        <v>D</v>
      </c>
      <c r="E439" s="47">
        <f>VLOOKUP(B439,D!A1:C229,3,FALSE)</f>
        <v>160</v>
      </c>
      <c r="F439" s="34" t="str">
        <f>VLOOKUP(B439,'Player Data'!A1:B734,2,FALSE)</f>
        <v>FLA</v>
      </c>
      <c r="G439" s="9">
        <f>VLOOKUP(B439,'Player Data'!A1:D734,3,FALSE)</f>
        <v>25</v>
      </c>
      <c r="H439" s="35">
        <f>IFERROR(VLOOKUP(B439,ADP!A1:G731,7,FALSE)/1000000,VLOOKUP(B439,ADP!A1:G731,7,FALSE))</f>
        <v>0.92500000000000004</v>
      </c>
      <c r="I439" s="36">
        <f>IF(Settings!$E$15="POINTS",((R439*Q439)*Settings!$B$12)+(S439*Settings!$B$2)+(T439*Settings!$B$3)+(U439*Settings!$B$4)+(V439*Settings!$B$5)+(X439*Settings!$B$9)+(AA439*Settings!$B$6)+(W439*Settings!$B$8)+(AB439*Settings!$B$7)+(AC439*Settings!$B$14)+(AD439*Settings!$B$15)+(AE439*Settings!$B$16)+(AF439*Settings!$B$17)+(AG439*Settings!$B$18)+(U439*Settings!$B$13)+(Y439*Settings!$B$10)+(Z439*Settings!$B$11),VLOOKUP(B439,'Standard Deviations'!A1:C731,3,FALSE))</f>
        <v>-4.209114498992804</v>
      </c>
      <c r="J439" s="37">
        <f t="shared" si="39"/>
        <v>-5.1330664621863462E-2</v>
      </c>
      <c r="K439" s="183">
        <f>VLOOKUP(B439,D!A1:F229,6,FALSE)</f>
        <v>-6.1508550426271142</v>
      </c>
      <c r="L439" s="36">
        <f t="shared" si="40"/>
        <v>-6.6495730190563398</v>
      </c>
      <c r="M439" s="52" t="str">
        <f>IF(Settings!$E$9="YAHOO",VLOOKUP(B439,ADP!A1:E731,2,FALSE),IF(Settings!$E$9="ESPN",VLOOKUP(B439,ADP!A1:E731,3,FALSE),IF(Settings!$E$9="FANTRAX",VLOOKUP(B439,ADP!A1:E731,4,FALSE),VLOOKUP(B439,ADP!A1:E731,5,FALSE))))</f>
        <v>-</v>
      </c>
      <c r="N439" s="52" t="str">
        <f t="shared" si="41"/>
        <v>N/A</v>
      </c>
      <c r="O439" s="38"/>
      <c r="P439" s="39" t="str">
        <f>IF(Settings!$E$27="ON",_xlfn.XLOOKUP(B439,ADP!A2:A731,ADP!H2:H731)," ")</f>
        <v xml:space="preserve"> </v>
      </c>
      <c r="Q439" s="40">
        <f>IF(Settings!$E$12="YES",VLOOKUP(B439,'Player Data'!A1:E734,5,FALSE),82)</f>
        <v>82</v>
      </c>
      <c r="R439" s="38">
        <f>VLOOKUP(B439,'Player Data'!$A1:$AE734,6,FALSE)</f>
        <v>15.8757315118324</v>
      </c>
      <c r="S439" s="40">
        <f>VLOOKUP(B439,'Player Data'!$A1:$AE734,7,FALSE)*$Q439*IFERROR((VLOOKUP(P439,Settings!$E$28:$F$33,2,FALSE)+1),1)</f>
        <v>5.1546210867932221</v>
      </c>
      <c r="T439" s="40">
        <f>VLOOKUP(B439,'Player Data'!$A1:$AE734,8,FALSE)*$Q439*IFERROR((VLOOKUP(P439,Settings!$E$28:$F$33,2,FALSE)+1),1)</f>
        <v>14.207057708471979</v>
      </c>
      <c r="U439" s="40">
        <f t="shared" si="42"/>
        <v>19.361678795265199</v>
      </c>
      <c r="V439" s="40">
        <f>VLOOKUP(B439,'Player Data'!$A1:$AE734,10,FALSE)*$Q439*IFERROR(((VLOOKUP(P439,Settings!$E$28:$F$33,2,FALSE)/2)+1),1)</f>
        <v>90.153080667807288</v>
      </c>
      <c r="W439" s="40">
        <f>VLOOKUP(B439,'Player Data'!$A1:$AE734,11,FALSE)*$Q439*IFERROR((VLOOKUP(P439,Settings!$E$28:$F$33,2,FALSE)+1),1)</f>
        <v>2.2558268381154475E-2</v>
      </c>
      <c r="X439" s="40">
        <f>VLOOKUP(B439,'Player Data'!$A1:$AE734,12,FALSE)*$Q439*IFERROR((VLOOKUP(P439,Settings!$E$28:$F$33,2,FALSE)+1),1)</f>
        <v>0.14104672247218092</v>
      </c>
      <c r="Y439" s="40">
        <f>VLOOKUP(B439,'Player Data'!$A1:$AE734,13,FALSE)*$Q439</f>
        <v>2.2422053355331394E-2</v>
      </c>
      <c r="Z439" s="40">
        <f>VLOOKUP(B439,'Player Data'!$A1:$AE734,14,FALSE)*$Q439</f>
        <v>9.9628292074206953E-2</v>
      </c>
      <c r="AA439" s="40">
        <f>VLOOKUP(B439,'Player Data'!$A1:$AE734,15,FALSE)*$Q439</f>
        <v>87.994043673199201</v>
      </c>
      <c r="AB439" s="40">
        <f>VLOOKUP(B439,'Player Data'!$A1:$AE734,16,FALSE)*$Q439</f>
        <v>115.53045070111408</v>
      </c>
      <c r="AC439" s="40">
        <f>VLOOKUP(B439,'Player Data'!$A1:$AE734,17,FALSE)*$Q439*IFERROR((VLOOKUP(P439,Settings!$E$28:$F$33,2,FALSE)+1),1)</f>
        <v>4.4004593682974598</v>
      </c>
      <c r="AD439" s="40">
        <f>VLOOKUP(B439,'Player Data'!$A1:$AE734,18,FALSE)*$Q439</f>
        <v>31.190973985778569</v>
      </c>
      <c r="AE439" s="40">
        <f>VLOOKUP(B439,'Player Data'!$A1:$AE734,19,FALSE)*$Q439*IFERROR((VLOOKUP(P439,Settings!$E$28:$F$33,2,FALSE)+1),1)</f>
        <v>0.73944215250232492</v>
      </c>
      <c r="AF439" s="40">
        <f>VLOOKUP(B439,'Player Data'!$A1:$AE734,20,FALSE)*$Q439</f>
        <v>0</v>
      </c>
      <c r="AG439" s="40">
        <f>VLOOKUP(B439,'Player Data'!$A1:$AE734,21,FALSE)*$Q439</f>
        <v>0</v>
      </c>
      <c r="AH439" s="41">
        <f>VLOOKUP(B439,'Player Data'!$A1:$AE734,22,FALSE)</f>
        <v>0</v>
      </c>
      <c r="AI439" s="38"/>
      <c r="AJ439" s="42"/>
      <c r="AK439" s="40"/>
      <c r="AL439" s="40"/>
      <c r="AM439" s="40"/>
      <c r="AN439" s="40"/>
      <c r="AO439" s="40"/>
      <c r="AP439" s="40"/>
      <c r="AQ439" s="43"/>
      <c r="AR439" s="44"/>
      <c r="AS439" s="38"/>
    </row>
    <row r="440" spans="1:45" ht="21.2" customHeight="1">
      <c r="A440" s="181">
        <f t="shared" si="38"/>
        <v>439</v>
      </c>
      <c r="B440" s="8" t="s">
        <v>465</v>
      </c>
      <c r="C440" s="31" t="s">
        <v>104</v>
      </c>
      <c r="D440" s="32" t="str">
        <f>VLOOKUP(B440,'Player Data'!A1:D734,4,FALSE)</f>
        <v>D</v>
      </c>
      <c r="E440" s="47">
        <f>VLOOKUP(B440,D!A1:C229,3,FALSE)</f>
        <v>161</v>
      </c>
      <c r="F440" s="34" t="str">
        <f>VLOOKUP(B440,'Player Data'!A1:B734,2,FALSE)</f>
        <v>VAN</v>
      </c>
      <c r="G440" s="9">
        <f>VLOOKUP(B440,'Player Data'!A1:D734,3,FALSE)</f>
        <v>34</v>
      </c>
      <c r="H440" s="35">
        <f>IFERROR(VLOOKUP(B440,ADP!A1:G731,7,FALSE)/1000000,VLOOKUP(B440,ADP!A1:G731,7,FALSE))</f>
        <v>3</v>
      </c>
      <c r="I440" s="36">
        <f>IF(Settings!$E$15="POINTS",((R440*Q440)*Settings!$B$12)+(S440*Settings!$B$2)+(T440*Settings!$B$3)+(U440*Settings!$B$4)+(V440*Settings!$B$5)+(X440*Settings!$B$9)+(AA440*Settings!$B$6)+(W440*Settings!$B$8)+(AB440*Settings!$B$7)+(AC440*Settings!$B$14)+(AD440*Settings!$B$15)+(AE440*Settings!$B$16)+(AF440*Settings!$B$17)+(AG440*Settings!$B$18)+(U440*Settings!$B$13)+(Y440*Settings!$B$10)+(Z440*Settings!$B$11),VLOOKUP(B440,'Standard Deviations'!A1:C731,3,FALSE))</f>
        <v>-4.243467952561411</v>
      </c>
      <c r="J440" s="37">
        <f t="shared" si="39"/>
        <v>-5.1749609177578183E-2</v>
      </c>
      <c r="K440" s="183">
        <f>VLOOKUP(B440,D!A1:F229,6,FALSE)</f>
        <v>-6.1852084961957221</v>
      </c>
      <c r="L440" s="36">
        <f t="shared" si="40"/>
        <v>-2.0617361653985742</v>
      </c>
      <c r="M440" s="52" t="str">
        <f>IF(Settings!$E$9="YAHOO",VLOOKUP(B440,ADP!A1:E731,2,FALSE),IF(Settings!$E$9="ESPN",VLOOKUP(B440,ADP!A1:E731,3,FALSE),IF(Settings!$E$9="FANTRAX",VLOOKUP(B440,ADP!A1:E731,4,FALSE),VLOOKUP(B440,ADP!A1:E731,5,FALSE))))</f>
        <v>-</v>
      </c>
      <c r="N440" s="52" t="str">
        <f t="shared" si="41"/>
        <v>N/A</v>
      </c>
      <c r="O440" s="38"/>
      <c r="P440" s="39" t="str">
        <f>IF(Settings!$E$27="ON",_xlfn.XLOOKUP(B440,ADP!A2:A731,ADP!H2:H731)," ")</f>
        <v xml:space="preserve"> </v>
      </c>
      <c r="Q440" s="40">
        <f>IF(Settings!$E$12="YES",VLOOKUP(B440,'Player Data'!A1:E734,5,FALSE),82)</f>
        <v>82</v>
      </c>
      <c r="R440" s="38">
        <f>VLOOKUP(B440,'Player Data'!$A1:$AE734,6,FALSE)</f>
        <v>18.937944448555701</v>
      </c>
      <c r="S440" s="40">
        <f>VLOOKUP(B440,'Player Data'!$A1:$AE734,7,FALSE)*$Q440*IFERROR((VLOOKUP(P440,Settings!$E$28:$F$33,2,FALSE)+1),1)</f>
        <v>2.3462154361893415</v>
      </c>
      <c r="T440" s="40">
        <f>VLOOKUP(B440,'Player Data'!$A1:$AE734,8,FALSE)*$Q440*IFERROR((VLOOKUP(P440,Settings!$E$28:$F$33,2,FALSE)+1),1)</f>
        <v>15.340810873122978</v>
      </c>
      <c r="U440" s="40">
        <f t="shared" si="42"/>
        <v>17.687026309312319</v>
      </c>
      <c r="V440" s="40">
        <f>VLOOKUP(B440,'Player Data'!$A1:$AE734,10,FALSE)*$Q440*IFERROR(((VLOOKUP(P440,Settings!$E$28:$F$33,2,FALSE)/2)+1),1)</f>
        <v>103.58188383090426</v>
      </c>
      <c r="W440" s="40">
        <f>VLOOKUP(B440,'Player Data'!$A1:$AE734,11,FALSE)*$Q440*IFERROR((VLOOKUP(P440,Settings!$E$28:$F$33,2,FALSE)+1),1)</f>
        <v>2.166658056602979E-2</v>
      </c>
      <c r="X440" s="40">
        <f>VLOOKUP(B440,'Player Data'!$A1:$AE734,12,FALSE)*$Q440*IFERROR((VLOOKUP(P440,Settings!$E$28:$F$33,2,FALSE)+1),1)</f>
        <v>0.15108738264755009</v>
      </c>
      <c r="Y440" s="40">
        <f>VLOOKUP(B440,'Player Data'!$A1:$AE734,13,FALSE)*$Q440</f>
        <v>-6.0531953613010288E-2</v>
      </c>
      <c r="Z440" s="40">
        <f>VLOOKUP(B440,'Player Data'!$A1:$AE734,14,FALSE)*$Q440</f>
        <v>2.1368478778631884E-2</v>
      </c>
      <c r="AA440" s="40">
        <f>VLOOKUP(B440,'Player Data'!$A1:$AE734,15,FALSE)*$Q440</f>
        <v>125.72120788982527</v>
      </c>
      <c r="AB440" s="40">
        <f>VLOOKUP(B440,'Player Data'!$A1:$AE734,16,FALSE)*$Q440</f>
        <v>121.64585955949062</v>
      </c>
      <c r="AC440" s="40">
        <f>VLOOKUP(B440,'Player Data'!$A1:$AE734,17,FALSE)*$Q440*IFERROR((VLOOKUP(P440,Settings!$E$28:$F$33,2,FALSE)+1),1)</f>
        <v>1.0958179584092012</v>
      </c>
      <c r="AD440" s="40">
        <f>VLOOKUP(B440,'Player Data'!$A1:$AE734,18,FALSE)*$Q440</f>
        <v>65.651704420227134</v>
      </c>
      <c r="AE440" s="40">
        <f>VLOOKUP(B440,'Player Data'!$A1:$AE734,19,FALSE)*$Q440*IFERROR((VLOOKUP(P440,Settings!$E$28:$F$33,2,FALSE)+1),1)</f>
        <v>0.33212943351739782</v>
      </c>
      <c r="AF440" s="40">
        <f>VLOOKUP(B440,'Player Data'!$A1:$AE734,20,FALSE)*$Q440</f>
        <v>0</v>
      </c>
      <c r="AG440" s="40">
        <f>VLOOKUP(B440,'Player Data'!$A1:$AE734,21,FALSE)*$Q440</f>
        <v>0</v>
      </c>
      <c r="AH440" s="41">
        <f>VLOOKUP(B440,'Player Data'!$A1:$AE734,22,FALSE)</f>
        <v>0</v>
      </c>
      <c r="AI440" s="38"/>
      <c r="AJ440" s="42"/>
      <c r="AK440" s="40"/>
      <c r="AL440" s="40"/>
      <c r="AM440" s="40"/>
      <c r="AN440" s="40"/>
      <c r="AO440" s="40"/>
      <c r="AP440" s="40"/>
      <c r="AQ440" s="43"/>
      <c r="AR440" s="44"/>
      <c r="AS440" s="42"/>
    </row>
    <row r="441" spans="1:45" ht="21.2" customHeight="1">
      <c r="A441" s="181">
        <f t="shared" si="38"/>
        <v>440</v>
      </c>
      <c r="B441" s="8" t="s">
        <v>589</v>
      </c>
      <c r="C441" s="31" t="s">
        <v>104</v>
      </c>
      <c r="D441" s="32" t="str">
        <f>VLOOKUP(B441,'Player Data'!A1:D734,4,FALSE)</f>
        <v>D</v>
      </c>
      <c r="E441" s="47">
        <f>VLOOKUP(B441,D!A1:C229,3,FALSE)</f>
        <v>162</v>
      </c>
      <c r="F441" s="34" t="str">
        <f>VLOOKUP(B441,'Player Data'!A1:B734,2,FALSE)</f>
        <v>VAN</v>
      </c>
      <c r="G441" s="9">
        <f>VLOOKUP(B441,'Player Data'!A1:D734,3,FALSE)</f>
        <v>28</v>
      </c>
      <c r="H441" s="35">
        <f>IFERROR(VLOOKUP(B441,ADP!A1:G731,7,FALSE)/1000000,VLOOKUP(B441,ADP!A1:G731,7,FALSE))</f>
        <v>0</v>
      </c>
      <c r="I441" s="36">
        <f>IF(Settings!$E$15="POINTS",((R441*Q441)*Settings!$B$12)+(S441*Settings!$B$2)+(T441*Settings!$B$3)+(U441*Settings!$B$4)+(V441*Settings!$B$5)+(X441*Settings!$B$9)+(AA441*Settings!$B$6)+(W441*Settings!$B$8)+(AB441*Settings!$B$7)+(AC441*Settings!$B$14)+(AD441*Settings!$B$15)+(AE441*Settings!$B$16)+(AF441*Settings!$B$17)+(AG441*Settings!$B$18)+(U441*Settings!$B$13)+(Y441*Settings!$B$10)+(Z441*Settings!$B$11),VLOOKUP(B441,'Standard Deviations'!A1:C731,3,FALSE))</f>
        <v>-4.2460348616164554</v>
      </c>
      <c r="J441" s="37">
        <f t="shared" si="39"/>
        <v>-5.1780912946542142E-2</v>
      </c>
      <c r="K441" s="183">
        <f>VLOOKUP(B441,D!A1:F229,6,FALSE)</f>
        <v>-6.1877754052507665</v>
      </c>
      <c r="L441" s="49" t="str">
        <f t="shared" si="40"/>
        <v>N/A</v>
      </c>
      <c r="M441" s="52" t="str">
        <f>IF(Settings!$E$9="YAHOO",VLOOKUP(B441,ADP!A1:E731,2,FALSE),IF(Settings!$E$9="ESPN",VLOOKUP(B441,ADP!A1:E731,3,FALSE),IF(Settings!$E$9="FANTRAX",VLOOKUP(B441,ADP!A1:E731,4,FALSE),VLOOKUP(B441,ADP!A1:E731,5,FALSE))))</f>
        <v>-</v>
      </c>
      <c r="N441" s="52" t="str">
        <f t="shared" si="41"/>
        <v>N/A</v>
      </c>
      <c r="O441" s="38"/>
      <c r="P441" s="39" t="str">
        <f>IF(Settings!$E$27="ON",_xlfn.XLOOKUP(B441,ADP!A2:A731,ADP!H2:H731)," ")</f>
        <v xml:space="preserve"> </v>
      </c>
      <c r="Q441" s="40">
        <f>IF(Settings!$E$12="YES",VLOOKUP(B441,'Player Data'!A1:E734,5,FALSE),82)</f>
        <v>82</v>
      </c>
      <c r="R441" s="38">
        <f>VLOOKUP(B441,'Player Data'!$A1:$AE734,6,FALSE)</f>
        <v>15.3284470019055</v>
      </c>
      <c r="S441" s="40">
        <f>VLOOKUP(B441,'Player Data'!$A1:$AE734,7,FALSE)*$Q441*IFERROR((VLOOKUP(P441,Settings!$E$28:$F$33,2,FALSE)+1),1)</f>
        <v>3.3108269536357038</v>
      </c>
      <c r="T441" s="40">
        <f>VLOOKUP(B441,'Player Data'!$A1:$AE734,8,FALSE)*$Q441*IFERROR((VLOOKUP(P441,Settings!$E$28:$F$33,2,FALSE)+1),1)</f>
        <v>14.713670265959127</v>
      </c>
      <c r="U441" s="40">
        <f t="shared" si="42"/>
        <v>18.024497219594831</v>
      </c>
      <c r="V441" s="40">
        <f>VLOOKUP(B441,'Player Data'!$A1:$AE734,10,FALSE)*$Q441*IFERROR(((VLOOKUP(P441,Settings!$E$28:$F$33,2,FALSE)/2)+1),1)</f>
        <v>86.062941727048923</v>
      </c>
      <c r="W441" s="40">
        <f>VLOOKUP(B441,'Player Data'!$A1:$AE734,11,FALSE)*$Q441*IFERROR((VLOOKUP(P441,Settings!$E$28:$F$33,2,FALSE)+1),1)</f>
        <v>0.25479439270603399</v>
      </c>
      <c r="X441" s="40">
        <f>VLOOKUP(B441,'Player Data'!$A1:$AE734,12,FALSE)*$Q441*IFERROR((VLOOKUP(P441,Settings!$E$28:$F$33,2,FALSE)+1),1)</f>
        <v>2.442773957949433</v>
      </c>
      <c r="Y441" s="40">
        <f>VLOOKUP(B441,'Player Data'!$A1:$AE734,13,FALSE)*$Q441</f>
        <v>8.4856925622426096E-3</v>
      </c>
      <c r="Z441" s="40">
        <f>VLOOKUP(B441,'Player Data'!$A1:$AE734,14,FALSE)*$Q441</f>
        <v>3.3822932807290589E-2</v>
      </c>
      <c r="AA441" s="40">
        <f>VLOOKUP(B441,'Player Data'!$A1:$AE734,15,FALSE)*$Q441</f>
        <v>78.853951663093184</v>
      </c>
      <c r="AB441" s="40">
        <f>VLOOKUP(B441,'Player Data'!$A1:$AE734,16,FALSE)*$Q441</f>
        <v>71.553281796070678</v>
      </c>
      <c r="AC441" s="40">
        <f>VLOOKUP(B441,'Player Data'!$A1:$AE734,17,FALSE)*$Q441*IFERROR((VLOOKUP(P441,Settings!$E$28:$F$33,2,FALSE)+1),1)</f>
        <v>0.4566078598126172</v>
      </c>
      <c r="AD441" s="40">
        <f>VLOOKUP(B441,'Player Data'!$A1:$AE734,18,FALSE)*$Q441</f>
        <v>29.105308103452767</v>
      </c>
      <c r="AE441" s="40">
        <f>VLOOKUP(B441,'Player Data'!$A1:$AE734,19,FALSE)*$Q441*IFERROR((VLOOKUP(P441,Settings!$E$28:$F$33,2,FALSE)+1),1)</f>
        <v>0.46867950130408076</v>
      </c>
      <c r="AF441" s="40">
        <f>VLOOKUP(B441,'Player Data'!$A1:$AE734,20,FALSE)*$Q441</f>
        <v>0</v>
      </c>
      <c r="AG441" s="40">
        <f>VLOOKUP(B441,'Player Data'!$A1:$AE734,21,FALSE)*$Q441</f>
        <v>0</v>
      </c>
      <c r="AH441" s="41">
        <f>VLOOKUP(B441,'Player Data'!$A1:$AE734,22,FALSE)</f>
        <v>0</v>
      </c>
      <c r="AI441" s="38"/>
      <c r="AJ441" s="42"/>
      <c r="AK441" s="40"/>
      <c r="AL441" s="40"/>
      <c r="AM441" s="40"/>
      <c r="AN441" s="40"/>
      <c r="AO441" s="40"/>
      <c r="AP441" s="40"/>
      <c r="AQ441" s="43"/>
      <c r="AR441" s="44"/>
      <c r="AS441" s="38"/>
    </row>
    <row r="442" spans="1:45" ht="21.2" customHeight="1">
      <c r="A442" s="181">
        <f t="shared" si="38"/>
        <v>441</v>
      </c>
      <c r="B442" s="8" t="s">
        <v>482</v>
      </c>
      <c r="C442" s="31" t="s">
        <v>104</v>
      </c>
      <c r="D442" s="32" t="str">
        <f>VLOOKUP(B442,'Player Data'!A1:D734,4,FALSE)</f>
        <v>LW,RW</v>
      </c>
      <c r="E442" s="45">
        <f>VLOOKUP(B442,RW!A1:F189,3,FALSE)</f>
        <v>100</v>
      </c>
      <c r="F442" s="34" t="str">
        <f>VLOOKUP(B442,'Player Data'!A1:B734,2,FALSE)</f>
        <v>SEA</v>
      </c>
      <c r="G442" s="9">
        <f>VLOOKUP(B442,'Player Data'!A1:D734,3,FALSE)</f>
        <v>24</v>
      </c>
      <c r="H442" s="35">
        <f>IFERROR(VLOOKUP(B442,ADP!A1:G731,7,FALSE)/1000000,VLOOKUP(B442,ADP!A1:G731,7,FALSE))</f>
        <v>1.45</v>
      </c>
      <c r="I442" s="36">
        <f>IF(Settings!$E$15="POINTS",((R442*Q442)*Settings!$B$12)+(S442*Settings!$B$2)+(T442*Settings!$B$3)+(U442*Settings!$B$4)+(V442*Settings!$B$5)+(X442*Settings!$B$9)+(AA442*Settings!$B$6)+(W442*Settings!$B$8)+(AB442*Settings!$B$7)+(AC442*Settings!$B$14)+(AD442*Settings!$B$15)+(AE442*Settings!$B$16)+(AF442*Settings!$B$17)+(AG442*Settings!$B$18)+(Y442*Settings!$B$10)+(Z442*Settings!$B$11),VLOOKUP(B442,'Standard Deviations'!A1:C731,3,FALSE))</f>
        <v>8.3463200993936656E-2</v>
      </c>
      <c r="J442" s="37">
        <f t="shared" si="39"/>
        <v>1.0178439145602032E-3</v>
      </c>
      <c r="K442" s="183">
        <f>IF(Settings!$E$18="C/LW/RW",VLOOKUP(B442,RW!A1:F189,6,FALSE),VLOOKUP(B442,F!A1:F431,6,FALSE))</f>
        <v>-6.1967955180171446</v>
      </c>
      <c r="L442" s="36">
        <f t="shared" si="40"/>
        <v>-4.2736520813911341</v>
      </c>
      <c r="M442" s="38">
        <f>IF(Settings!$E$9="YAHOO",VLOOKUP(B442,ADP!A1:E731,2,FALSE),IF(Settings!$E$9="ESPN",VLOOKUP(B442,ADP!A1:E731,3,FALSE),IF(Settings!$E$9="FANTRAX",VLOOKUP(B442,ADP!A1:E731,4,FALSE),VLOOKUP(B442,ADP!A1:E731,5,FALSE))))</f>
        <v>239.91</v>
      </c>
      <c r="N442" s="38">
        <f t="shared" si="41"/>
        <v>-201.09</v>
      </c>
      <c r="O442" s="38"/>
      <c r="P442" s="39" t="str">
        <f>IF(Settings!$E$27="ON",_xlfn.XLOOKUP(B442,ADP!A2:A731,ADP!H2:H731)," ")</f>
        <v xml:space="preserve"> </v>
      </c>
      <c r="Q442" s="40">
        <f>IF(Settings!$E$12="YES",VLOOKUP(B442,'Player Data'!A1:E734,5,FALSE),82)</f>
        <v>82</v>
      </c>
      <c r="R442" s="38">
        <f>VLOOKUP(B442,'Player Data'!$A1:$AE734,6,FALSE)</f>
        <v>14.1531691711759</v>
      </c>
      <c r="S442" s="40">
        <f>VLOOKUP(B442,'Player Data'!$A1:$AE734,7,FALSE)*$Q442*IFERROR((VLOOKUP(P442,Settings!$E$28:$F$33,2,FALSE)+1),1)</f>
        <v>19.040642840914494</v>
      </c>
      <c r="T442" s="40">
        <f>VLOOKUP(B442,'Player Data'!$A1:$AE734,8,FALSE)*$Q442*IFERROR((VLOOKUP(P442,Settings!$E$28:$F$33,2,FALSE)+1),1)</f>
        <v>17.716218719467488</v>
      </c>
      <c r="U442" s="40">
        <f t="shared" si="42"/>
        <v>36.756861560381978</v>
      </c>
      <c r="V442" s="40">
        <f>VLOOKUP(B442,'Player Data'!$A1:$AE734,10,FALSE)*$Q442*IFERROR(((VLOOKUP(P442,Settings!$E$28:$F$33,2,FALSE)/2)+1),1)</f>
        <v>150.61662904095363</v>
      </c>
      <c r="W442" s="40">
        <f>VLOOKUP(B442,'Player Data'!$A1:$AE734,11,FALSE)*$Q442*IFERROR((VLOOKUP(P442,Settings!$E$28:$F$33,2,FALSE)+1),1)</f>
        <v>4.2505407968978464</v>
      </c>
      <c r="X442" s="40">
        <f>VLOOKUP(B442,'Player Data'!$A1:$AE734,12,FALSE)*$Q442*IFERROR((VLOOKUP(P442,Settings!$E$28:$F$33,2,FALSE)+1),1)</f>
        <v>9.378091763168575</v>
      </c>
      <c r="Y442" s="40">
        <f>VLOOKUP(B442,'Player Data'!$A1:$AE734,13,FALSE)*$Q442</f>
        <v>6.1994633959344528E-2</v>
      </c>
      <c r="Z442" s="40">
        <f>VLOOKUP(B442,'Player Data'!$A1:$AE734,14,FALSE)*$Q442</f>
        <v>0.1237935907703024</v>
      </c>
      <c r="AA442" s="40">
        <f>VLOOKUP(B442,'Player Data'!$A1:$AE734,15,FALSE)*$Q442</f>
        <v>57.305338187324523</v>
      </c>
      <c r="AB442" s="40">
        <f>VLOOKUP(B442,'Player Data'!$A1:$AE734,16,FALSE)*$Q442</f>
        <v>142.52966318978002</v>
      </c>
      <c r="AC442" s="40">
        <f>VLOOKUP(B442,'Player Data'!$A1:$AE734,17,FALSE)*$Q442*IFERROR((VLOOKUP(P442,Settings!$E$28:$F$33,2,FALSE)+1),1)</f>
        <v>0.57158322415066276</v>
      </c>
      <c r="AD442" s="40">
        <f>VLOOKUP(B442,'Player Data'!$A1:$AE734,18,FALSE)*$Q442</f>
        <v>19.355194790178388</v>
      </c>
      <c r="AE442" s="40">
        <f>VLOOKUP(B442,'Player Data'!$A1:$AE734,19,FALSE)*$Q442*IFERROR((VLOOKUP(P442,Settings!$E$28:$F$33,2,FALSE)+1),1)</f>
        <v>2.6763713445688122</v>
      </c>
      <c r="AF442" s="40">
        <f>VLOOKUP(B442,'Player Data'!$A1:$AE734,20,FALSE)*$Q442</f>
        <v>1.7341187179024498</v>
      </c>
      <c r="AG442" s="40">
        <f>VLOOKUP(B442,'Player Data'!$A1:$AE734,21,FALSE)*$Q442</f>
        <v>11.106700795330237</v>
      </c>
      <c r="AH442" s="41">
        <f>VLOOKUP(B442,'Player Data'!$A1:$AE734,22,FALSE)</f>
        <v>0.135047355514608</v>
      </c>
      <c r="AI442" s="38"/>
      <c r="AJ442" s="42"/>
      <c r="AK442" s="40"/>
      <c r="AL442" s="40"/>
      <c r="AM442" s="40"/>
      <c r="AN442" s="40"/>
      <c r="AO442" s="40"/>
      <c r="AP442" s="40"/>
      <c r="AQ442" s="43"/>
      <c r="AR442" s="44"/>
      <c r="AS442" s="38"/>
    </row>
    <row r="443" spans="1:45" ht="21.2" customHeight="1">
      <c r="A443" s="181">
        <f t="shared" si="38"/>
        <v>442</v>
      </c>
      <c r="B443" s="8" t="s">
        <v>497</v>
      </c>
      <c r="C443" s="31" t="s">
        <v>104</v>
      </c>
      <c r="D443" s="32" t="str">
        <f>VLOOKUP(B443,'Player Data'!A1:D734,4,FALSE)</f>
        <v>D</v>
      </c>
      <c r="E443" s="47">
        <f>VLOOKUP(B443,D!A1:C229,3,FALSE)</f>
        <v>163</v>
      </c>
      <c r="F443" s="34" t="str">
        <f>VLOOKUP(B443,'Player Data'!A1:B734,2,FALSE)</f>
        <v>BOS</v>
      </c>
      <c r="G443" s="9">
        <f>VLOOKUP(B443,'Player Data'!A1:D734,3,FALSE)</f>
        <v>26</v>
      </c>
      <c r="H443" s="35">
        <f>IFERROR(VLOOKUP(B443,ADP!A1:G731,7,FALSE)/1000000,VLOOKUP(B443,ADP!A1:G731,7,FALSE))</f>
        <v>4.0999999999999996</v>
      </c>
      <c r="I443" s="36">
        <f>IF(Settings!$E$15="POINTS",((R443*Q443)*Settings!$B$12)+(S443*Settings!$B$2)+(T443*Settings!$B$3)+(U443*Settings!$B$4)+(V443*Settings!$B$5)+(X443*Settings!$B$9)+(AA443*Settings!$B$6)+(W443*Settings!$B$8)+(AB443*Settings!$B$7)+(AC443*Settings!$B$14)+(AD443*Settings!$B$15)+(AE443*Settings!$B$16)+(AF443*Settings!$B$17)+(AG443*Settings!$B$18)+(U443*Settings!$B$13)+(Y443*Settings!$B$10)+(Z443*Settings!$B$11),VLOOKUP(B443,'Standard Deviations'!A1:C731,3,FALSE))</f>
        <v>-4.2640336823188028</v>
      </c>
      <c r="J443" s="37">
        <f t="shared" si="39"/>
        <v>-5.2000410759985398E-2</v>
      </c>
      <c r="K443" s="183">
        <f>VLOOKUP(B443,D!A1:F229,6,FALSE)</f>
        <v>-6.2057742259531139</v>
      </c>
      <c r="L443" s="36">
        <f t="shared" si="40"/>
        <v>-1.5136034697446621</v>
      </c>
      <c r="M443" s="52" t="str">
        <f>IF(Settings!$E$9="YAHOO",VLOOKUP(B443,ADP!A1:E731,2,FALSE),IF(Settings!$E$9="ESPN",VLOOKUP(B443,ADP!A1:E731,3,FALSE),IF(Settings!$E$9="FANTRAX",VLOOKUP(B443,ADP!A1:E731,4,FALSE),VLOOKUP(B443,ADP!A1:E731,5,FALSE))))</f>
        <v>-</v>
      </c>
      <c r="N443" s="52" t="str">
        <f t="shared" si="41"/>
        <v>N/A</v>
      </c>
      <c r="O443" s="38"/>
      <c r="P443" s="39" t="str">
        <f>IF(Settings!$E$27="ON",_xlfn.XLOOKUP(B443,ADP!A2:A731,ADP!H2:H731)," ")</f>
        <v xml:space="preserve"> </v>
      </c>
      <c r="Q443" s="40">
        <f>IF(Settings!$E$12="YES",VLOOKUP(B443,'Player Data'!A1:E734,5,FALSE),82)</f>
        <v>82</v>
      </c>
      <c r="R443" s="38">
        <f>VLOOKUP(B443,'Player Data'!$A1:$AE734,6,FALSE)</f>
        <v>18.579255510391199</v>
      </c>
      <c r="S443" s="40">
        <f>VLOOKUP(B443,'Player Data'!$A1:$AE734,7,FALSE)*$Q443*IFERROR((VLOOKUP(P443,Settings!$E$28:$F$33,2,FALSE)+1),1)</f>
        <v>4.9054830582993638</v>
      </c>
      <c r="T443" s="40">
        <f>VLOOKUP(B443,'Player Data'!$A1:$AE734,8,FALSE)*$Q443*IFERROR((VLOOKUP(P443,Settings!$E$28:$F$33,2,FALSE)+1),1)</f>
        <v>11.556634743048267</v>
      </c>
      <c r="U443" s="40">
        <f t="shared" si="42"/>
        <v>16.462117801347631</v>
      </c>
      <c r="V443" s="40">
        <f>VLOOKUP(B443,'Player Data'!$A1:$AE734,10,FALSE)*$Q443*IFERROR(((VLOOKUP(P443,Settings!$E$28:$F$33,2,FALSE)/2)+1),1)</f>
        <v>107.69425450328568</v>
      </c>
      <c r="W443" s="40">
        <f>VLOOKUP(B443,'Player Data'!$A1:$AE734,11,FALSE)*$Q443*IFERROR((VLOOKUP(P443,Settings!$E$28:$F$33,2,FALSE)+1),1)</f>
        <v>1.0635245931471001E-2</v>
      </c>
      <c r="X443" s="40">
        <f>VLOOKUP(B443,'Player Data'!$A1:$AE734,12,FALSE)*$Q443*IFERROR((VLOOKUP(P443,Settings!$E$28:$F$33,2,FALSE)+1),1)</f>
        <v>8.9109527369019045E-2</v>
      </c>
      <c r="Y443" s="40">
        <f>VLOOKUP(B443,'Player Data'!$A1:$AE734,13,FALSE)*$Q443</f>
        <v>0.34498194369271729</v>
      </c>
      <c r="Z443" s="40">
        <f>VLOOKUP(B443,'Player Data'!$A1:$AE734,14,FALSE)*$Q443</f>
        <v>0.6104892169832743</v>
      </c>
      <c r="AA443" s="40">
        <f>VLOOKUP(B443,'Player Data'!$A1:$AE734,15,FALSE)*$Q443</f>
        <v>118.73180335029164</v>
      </c>
      <c r="AB443" s="40">
        <f>VLOOKUP(B443,'Player Data'!$A1:$AE734,16,FALSE)*$Q443</f>
        <v>133.61711740055722</v>
      </c>
      <c r="AC443" s="40">
        <f>VLOOKUP(B443,'Player Data'!$A1:$AE734,17,FALSE)*$Q443*IFERROR((VLOOKUP(P443,Settings!$E$28:$F$33,2,FALSE)+1),1)</f>
        <v>5.0907404048279465</v>
      </c>
      <c r="AD443" s="40">
        <f>VLOOKUP(B443,'Player Data'!$A1:$AE734,18,FALSE)*$Q443</f>
        <v>36.628331975354477</v>
      </c>
      <c r="AE443" s="40">
        <f>VLOOKUP(B443,'Player Data'!$A1:$AE734,19,FALSE)*$Q443*IFERROR((VLOOKUP(P443,Settings!$E$28:$F$33,2,FALSE)+1),1)</f>
        <v>0.82353406862129741</v>
      </c>
      <c r="AF443" s="40">
        <f>VLOOKUP(B443,'Player Data'!$A1:$AE734,20,FALSE)*$Q443</f>
        <v>0</v>
      </c>
      <c r="AG443" s="40">
        <f>VLOOKUP(B443,'Player Data'!$A1:$AE734,21,FALSE)*$Q443</f>
        <v>0</v>
      </c>
      <c r="AH443" s="41">
        <f>VLOOKUP(B443,'Player Data'!$A1:$AE734,22,FALSE)</f>
        <v>0</v>
      </c>
      <c r="AI443" s="38"/>
      <c r="AJ443" s="42"/>
      <c r="AK443" s="40"/>
      <c r="AL443" s="40"/>
      <c r="AM443" s="40"/>
      <c r="AN443" s="40"/>
      <c r="AO443" s="40"/>
      <c r="AP443" s="40"/>
      <c r="AQ443" s="43"/>
      <c r="AR443" s="44"/>
      <c r="AS443" s="38"/>
    </row>
    <row r="444" spans="1:45" ht="21.2" customHeight="1">
      <c r="A444" s="181">
        <f t="shared" si="38"/>
        <v>443</v>
      </c>
      <c r="B444" s="8" t="s">
        <v>469</v>
      </c>
      <c r="C444" s="31" t="s">
        <v>104</v>
      </c>
      <c r="D444" s="32" t="str">
        <f>VLOOKUP(B444,'Player Data'!A1:D734,4,FALSE)</f>
        <v>RW</v>
      </c>
      <c r="E444" s="46">
        <f>VLOOKUP(B444,RW!A1:F189,3,FALSE)</f>
        <v>101</v>
      </c>
      <c r="F444" s="34" t="str">
        <f>VLOOKUP(B444,'Player Data'!A1:B734,2,FALSE)</f>
        <v>NYR</v>
      </c>
      <c r="G444" s="9">
        <f>VLOOKUP(B444,'Player Data'!A1:D734,3,FALSE)</f>
        <v>22</v>
      </c>
      <c r="H444" s="35">
        <f>IFERROR(VLOOKUP(B444,ADP!A1:G731,7,FALSE)/1000000,VLOOKUP(B444,ADP!A1:G731,7,FALSE))</f>
        <v>2.1</v>
      </c>
      <c r="I444" s="36">
        <f>IF(Settings!$E$15="POINTS",((R444*Q444)*Settings!$B$12)+(S444*Settings!$B$2)+(T444*Settings!$B$3)+(U444*Settings!$B$4)+(V444*Settings!$B$5)+(X444*Settings!$B$9)+(AA444*Settings!$B$6)+(W444*Settings!$B$8)+(AB444*Settings!$B$7)+(AC444*Settings!$B$14)+(AD444*Settings!$B$15)+(AE444*Settings!$B$16)+(AF444*Settings!$B$17)+(AG444*Settings!$B$18)+(Y444*Settings!$B$10)+(Z444*Settings!$B$11),VLOOKUP(B444,'Standard Deviations'!A1:C731,3,FALSE))</f>
        <v>6.3786970140292221E-2</v>
      </c>
      <c r="J444" s="37">
        <f t="shared" si="39"/>
        <v>7.778898797596612E-4</v>
      </c>
      <c r="K444" s="183">
        <f>IF(Settings!$E$18="C/LW/RW",VLOOKUP(B444,RW!A1:F189,6,FALSE),VLOOKUP(B444,F!A1:F431,6,FALSE))</f>
        <v>-6.2164717488707888</v>
      </c>
      <c r="L444" s="36">
        <f t="shared" si="40"/>
        <v>-2.9602246423194232</v>
      </c>
      <c r="M444" s="38">
        <f>IF(Settings!$E$9="YAHOO",VLOOKUP(B444,ADP!A1:E731,2,FALSE),IF(Settings!$E$9="ESPN",VLOOKUP(B444,ADP!A1:E731,3,FALSE),IF(Settings!$E$9="FANTRAX",VLOOKUP(B444,ADP!A1:E731,4,FALSE),VLOOKUP(B444,ADP!A1:E731,5,FALSE))))</f>
        <v>409.02</v>
      </c>
      <c r="N444" s="38">
        <f t="shared" si="41"/>
        <v>-33.980000000000018</v>
      </c>
      <c r="O444" s="38"/>
      <c r="P444" s="39" t="str">
        <f>IF(Settings!$E$27="ON",_xlfn.XLOOKUP(B444,ADP!A2:A731,ADP!H2:H731)," ")</f>
        <v>+</v>
      </c>
      <c r="Q444" s="40">
        <f>IF(Settings!$E$12="YES",VLOOKUP(B444,'Player Data'!A1:E734,5,FALSE),82)</f>
        <v>82</v>
      </c>
      <c r="R444" s="38">
        <f>VLOOKUP(B444,'Player Data'!$A1:$AE734,6,FALSE)</f>
        <v>15.4288605306783</v>
      </c>
      <c r="S444" s="40">
        <f>VLOOKUP(B444,'Player Data'!$A1:$AE734,7,FALSE)*$Q444*IFERROR((VLOOKUP(P444,Settings!$E$28:$F$33,2,FALSE)+1),1)</f>
        <v>19.228318436621457</v>
      </c>
      <c r="T444" s="40">
        <f>VLOOKUP(B444,'Player Data'!$A1:$AE734,8,FALSE)*$Q444*IFERROR((VLOOKUP(P444,Settings!$E$28:$F$33,2,FALSE)+1),1)</f>
        <v>24.492208419223189</v>
      </c>
      <c r="U444" s="40">
        <f t="shared" si="42"/>
        <v>43.720526855844646</v>
      </c>
      <c r="V444" s="40">
        <f>VLOOKUP(B444,'Player Data'!$A1:$AE734,10,FALSE)*$Q444*IFERROR(((VLOOKUP(P444,Settings!$E$28:$F$33,2,FALSE)/2)+1),1)</f>
        <v>134.46618339572859</v>
      </c>
      <c r="W444" s="40">
        <f>VLOOKUP(B444,'Player Data'!$A1:$AE734,11,FALSE)*$Q444*IFERROR((VLOOKUP(P444,Settings!$E$28:$F$33,2,FALSE)+1),1)</f>
        <v>1.133511301096809</v>
      </c>
      <c r="X444" s="40">
        <f>VLOOKUP(B444,'Player Data'!$A1:$AE734,12,FALSE)*$Q444*IFERROR((VLOOKUP(P444,Settings!$E$28:$F$33,2,FALSE)+1),1)</f>
        <v>3.73448977118893</v>
      </c>
      <c r="Y444" s="40">
        <f>VLOOKUP(B444,'Player Data'!$A1:$AE734,13,FALSE)*$Q444</f>
        <v>0.13637801268853611</v>
      </c>
      <c r="Z444" s="40">
        <f>VLOOKUP(B444,'Player Data'!$A1:$AE734,14,FALSE)*$Q444</f>
        <v>0.30502153007649196</v>
      </c>
      <c r="AA444" s="40">
        <f>VLOOKUP(B444,'Player Data'!$A1:$AE734,15,FALSE)*$Q444</f>
        <v>28.870936356167277</v>
      </c>
      <c r="AB444" s="40">
        <f>VLOOKUP(B444,'Player Data'!$A1:$AE734,16,FALSE)*$Q444</f>
        <v>31.542776764239264</v>
      </c>
      <c r="AC444" s="40">
        <f>VLOOKUP(B444,'Player Data'!$A1:$AE734,17,FALSE)*$Q444*IFERROR((VLOOKUP(P444,Settings!$E$28:$F$33,2,FALSE)+1),1)</f>
        <v>6.0735653964555407</v>
      </c>
      <c r="AD444" s="40">
        <f>VLOOKUP(B444,'Player Data'!$A1:$AE734,18,FALSE)*$Q444</f>
        <v>16.494526536695822</v>
      </c>
      <c r="AE444" s="40">
        <f>VLOOKUP(B444,'Player Data'!$A1:$AE734,19,FALSE)*$Q444*IFERROR((VLOOKUP(P444,Settings!$E$28:$F$33,2,FALSE)+1),1)</f>
        <v>3.2764695551485867</v>
      </c>
      <c r="AF444" s="40">
        <f>VLOOKUP(B444,'Player Data'!$A1:$AE734,20,FALSE)*$Q444</f>
        <v>1.4535416856741961</v>
      </c>
      <c r="AG444" s="40">
        <f>VLOOKUP(B444,'Player Data'!$A1:$AE734,21,FALSE)*$Q444</f>
        <v>4.224194903872589</v>
      </c>
      <c r="AH444" s="41">
        <f>VLOOKUP(B444,'Player Data'!$A1:$AE734,22,FALSE)</f>
        <v>0.25600724210247799</v>
      </c>
      <c r="AI444" s="38"/>
      <c r="AJ444" s="42"/>
      <c r="AK444" s="40"/>
      <c r="AL444" s="40"/>
      <c r="AM444" s="40"/>
      <c r="AN444" s="40"/>
      <c r="AO444" s="40"/>
      <c r="AP444" s="40"/>
      <c r="AQ444" s="43"/>
      <c r="AR444" s="44"/>
      <c r="AS444" s="38"/>
    </row>
    <row r="445" spans="1:45" ht="21.2" customHeight="1">
      <c r="A445" s="181">
        <f t="shared" si="38"/>
        <v>444</v>
      </c>
      <c r="B445" s="8" t="s">
        <v>427</v>
      </c>
      <c r="C445" s="31" t="s">
        <v>104</v>
      </c>
      <c r="D445" s="32" t="str">
        <f>VLOOKUP(B445,'Player Data'!A1:D734,4,FALSE)</f>
        <v>C,LW,RW</v>
      </c>
      <c r="E445" s="45">
        <f>VLOOKUP(B445,RW!A1:F189,3,FALSE)</f>
        <v>102</v>
      </c>
      <c r="F445" s="34" t="str">
        <f>VLOOKUP(B445,'Player Data'!A1:B734,2,FALSE)</f>
        <v>ANA</v>
      </c>
      <c r="G445" s="9">
        <f>VLOOKUP(B445,'Player Data'!A1:D734,3,FALSE)</f>
        <v>30</v>
      </c>
      <c r="H445" s="35">
        <f>IFERROR(VLOOKUP(B445,ADP!A1:G731,7,FALSE)/1000000,VLOOKUP(B445,ADP!A1:G731,7,FALSE))</f>
        <v>5</v>
      </c>
      <c r="I445" s="36">
        <f>IF(Settings!$E$15="POINTS",((R445*Q445)*Settings!$B$12)+(S445*Settings!$B$2)+(T445*Settings!$B$3)+(U445*Settings!$B$4)+(V445*Settings!$B$5)+(X445*Settings!$B$9)+(AA445*Settings!$B$6)+(W445*Settings!$B$8)+(AB445*Settings!$B$7)+(AC445*Settings!$B$14)+(AD445*Settings!$B$15)+(AE445*Settings!$B$16)+(AF445*Settings!$B$17)+(AG445*Settings!$B$18)+(Y445*Settings!$B$10)+(Z445*Settings!$B$11),VLOOKUP(B445,'Standard Deviations'!A1:C731,3,FALSE))</f>
        <v>6.0623168759821058E-2</v>
      </c>
      <c r="J445" s="37">
        <f t="shared" si="39"/>
        <v>7.3930693609537874E-4</v>
      </c>
      <c r="K445" s="183">
        <f>IF(Settings!$E$18="C/LW/RW",VLOOKUP(B445,RW!A1:F189,6,FALSE),VLOOKUP(B445,F!A1:F431,6,FALSE))</f>
        <v>-6.2196355502512599</v>
      </c>
      <c r="L445" s="36">
        <f t="shared" si="40"/>
        <v>-1.243927110050252</v>
      </c>
      <c r="M445" s="52" t="str">
        <f>IF(Settings!$E$9="YAHOO",VLOOKUP(B445,ADP!A1:E731,2,FALSE),IF(Settings!$E$9="ESPN",VLOOKUP(B445,ADP!A1:E731,3,FALSE),IF(Settings!$E$9="FANTRAX",VLOOKUP(B445,ADP!A1:E731,4,FALSE),VLOOKUP(B445,ADP!A1:E731,5,FALSE))))</f>
        <v>-</v>
      </c>
      <c r="N445" s="52" t="str">
        <f t="shared" si="41"/>
        <v>N/A</v>
      </c>
      <c r="O445" s="38"/>
      <c r="P445" s="39" t="str">
        <f>IF(Settings!$E$27="ON",_xlfn.XLOOKUP(B445,ADP!A2:A731,ADP!H2:H731)," ")</f>
        <v xml:space="preserve"> </v>
      </c>
      <c r="Q445" s="40">
        <f>IF(Settings!$E$12="YES",VLOOKUP(B445,'Player Data'!A1:E734,5,FALSE),82)</f>
        <v>82</v>
      </c>
      <c r="R445" s="38">
        <f>VLOOKUP(B445,'Player Data'!$A1:$AE734,6,FALSE)</f>
        <v>15.152437596701301</v>
      </c>
      <c r="S445" s="40">
        <f>VLOOKUP(B445,'Player Data'!$A1:$AE734,7,FALSE)*$Q445*IFERROR((VLOOKUP(P445,Settings!$E$28:$F$33,2,FALSE)+1),1)</f>
        <v>14.994441155149671</v>
      </c>
      <c r="T445" s="40">
        <f>VLOOKUP(B445,'Player Data'!$A1:$AE734,8,FALSE)*$Q445*IFERROR((VLOOKUP(P445,Settings!$E$28:$F$33,2,FALSE)+1),1)</f>
        <v>26.889356039548673</v>
      </c>
      <c r="U445" s="40">
        <f t="shared" si="42"/>
        <v>41.883797194698346</v>
      </c>
      <c r="V445" s="40">
        <f>VLOOKUP(B445,'Player Data'!$A1:$AE734,10,FALSE)*$Q445*IFERROR(((VLOOKUP(P445,Settings!$E$28:$F$33,2,FALSE)/2)+1),1)</f>
        <v>129.86297370953889</v>
      </c>
      <c r="W445" s="40">
        <f>VLOOKUP(B445,'Player Data'!$A1:$AE734,11,FALSE)*$Q445*IFERROR((VLOOKUP(P445,Settings!$E$28:$F$33,2,FALSE)+1),1)</f>
        <v>2.3235072493633862</v>
      </c>
      <c r="X445" s="40">
        <f>VLOOKUP(B445,'Player Data'!$A1:$AE734,12,FALSE)*$Q445*IFERROR((VLOOKUP(P445,Settings!$E$28:$F$33,2,FALSE)+1),1)</f>
        <v>7.5957234912117402</v>
      </c>
      <c r="Y445" s="40">
        <f>VLOOKUP(B445,'Player Data'!$A1:$AE734,13,FALSE)*$Q445</f>
        <v>0.12187810801297302</v>
      </c>
      <c r="Z445" s="40">
        <f>VLOOKUP(B445,'Player Data'!$A1:$AE734,14,FALSE)*$Q445</f>
        <v>0.26064382256006974</v>
      </c>
      <c r="AA445" s="40">
        <f>VLOOKUP(B445,'Player Data'!$A1:$AE734,15,FALSE)*$Q445</f>
        <v>22.267694070552306</v>
      </c>
      <c r="AB445" s="40">
        <f>VLOOKUP(B445,'Player Data'!$A1:$AE734,16,FALSE)*$Q445</f>
        <v>36.57868743337994</v>
      </c>
      <c r="AC445" s="40">
        <f>VLOOKUP(B445,'Player Data'!$A1:$AE734,17,FALSE)*$Q445*IFERROR((VLOOKUP(P445,Settings!$E$28:$F$33,2,FALSE)+1),1)</f>
        <v>-9.5380680849314672</v>
      </c>
      <c r="AD445" s="40">
        <f>VLOOKUP(B445,'Player Data'!$A1:$AE734,18,FALSE)*$Q445</f>
        <v>50.204231118389295</v>
      </c>
      <c r="AE445" s="40">
        <f>VLOOKUP(B445,'Player Data'!$A1:$AE734,19,FALSE)*$Q445*IFERROR((VLOOKUP(P445,Settings!$E$28:$F$33,2,FALSE)+1),1)</f>
        <v>1.4374124973340965</v>
      </c>
      <c r="AF445" s="40">
        <f>VLOOKUP(B445,'Player Data'!$A1:$AE734,20,FALSE)*$Q445</f>
        <v>358.33055391918907</v>
      </c>
      <c r="AG445" s="40">
        <f>VLOOKUP(B445,'Player Data'!$A1:$AE734,21,FALSE)*$Q445</f>
        <v>458.12581427595069</v>
      </c>
      <c r="AH445" s="41">
        <f>VLOOKUP(B445,'Player Data'!$A1:$AE734,22,FALSE)</f>
        <v>0.43888512341610503</v>
      </c>
      <c r="AI445" s="38"/>
      <c r="AJ445" s="42"/>
      <c r="AK445" s="40"/>
      <c r="AL445" s="40"/>
      <c r="AM445" s="40"/>
      <c r="AN445" s="40"/>
      <c r="AO445" s="40"/>
      <c r="AP445" s="40"/>
      <c r="AQ445" s="43"/>
      <c r="AR445" s="44"/>
      <c r="AS445" s="38"/>
    </row>
    <row r="446" spans="1:45" ht="21.2" customHeight="1">
      <c r="A446" s="181">
        <f t="shared" si="38"/>
        <v>445</v>
      </c>
      <c r="B446" s="8" t="s">
        <v>466</v>
      </c>
      <c r="C446" s="31" t="s">
        <v>104</v>
      </c>
      <c r="D446" s="32" t="str">
        <f>VLOOKUP(B446,'Player Data'!A1:D734,4,FALSE)</f>
        <v>C,LW</v>
      </c>
      <c r="E446" s="45">
        <f>VLOOKUP(B446,LW!A1:C227,3,FALSE)</f>
        <v>101</v>
      </c>
      <c r="F446" s="34" t="str">
        <f>VLOOKUP(B446,'Player Data'!A1:B734,2,FALSE)</f>
        <v>COL</v>
      </c>
      <c r="G446" s="9">
        <f>VLOOKUP(B446,'Player Data'!A1:D734,3,FALSE)</f>
        <v>26</v>
      </c>
      <c r="H446" s="35">
        <f>IFERROR(VLOOKUP(B446,ADP!A1:G731,7,FALSE)/1000000,VLOOKUP(B446,ADP!A1:G731,7,FALSE))</f>
        <v>4</v>
      </c>
      <c r="I446" s="36">
        <f>IF(Settings!$E$15="POINTS",((R446*Q446)*Settings!$B$12)+(S446*Settings!$B$2)+(T446*Settings!$B$3)+(U446*Settings!$B$4)+(V446*Settings!$B$5)+(X446*Settings!$B$9)+(AA446*Settings!$B$6)+(W446*Settings!$B$8)+(AB446*Settings!$B$7)+(AC446*Settings!$B$14)+(AD446*Settings!$B$15)+(AE446*Settings!$B$16)+(AF446*Settings!$B$17)+(AG446*Settings!$B$18)+(Y446*Settings!$B$10)+(Z446*Settings!$B$11),VLOOKUP(B446,'Standard Deviations'!A1:C731,3,FALSE))</f>
        <v>0.42819644101530807</v>
      </c>
      <c r="J446" s="37">
        <f t="shared" si="39"/>
        <v>5.2219078172598549E-3</v>
      </c>
      <c r="K446" s="183">
        <f>IF(Settings!$E$18="C/LW/RW",VLOOKUP(B446,LW!A1:F227,6,FALSE),VLOOKUP(B446,F!A1:F431,6,FALSE))</f>
        <v>-6.2264726031090927</v>
      </c>
      <c r="L446" s="36">
        <f t="shared" si="40"/>
        <v>-1.5566181507772732</v>
      </c>
      <c r="M446" s="38">
        <f>IF(Settings!$E$9="YAHOO",VLOOKUP(B446,ADP!A1:E731,2,FALSE),IF(Settings!$E$9="ESPN",VLOOKUP(B446,ADP!A1:E731,3,FALSE),IF(Settings!$E$9="FANTRAX",VLOOKUP(B446,ADP!A1:E731,4,FALSE),VLOOKUP(B446,ADP!A1:E731,5,FALSE))))</f>
        <v>297.56</v>
      </c>
      <c r="N446" s="38">
        <f t="shared" si="41"/>
        <v>-147.44</v>
      </c>
      <c r="O446" s="38"/>
      <c r="P446" s="39" t="str">
        <f>IF(Settings!$E$27="ON",_xlfn.XLOOKUP(B446,ADP!A2:A731,ADP!H2:H731)," ")</f>
        <v xml:space="preserve"> </v>
      </c>
      <c r="Q446" s="40">
        <f>IF(Settings!$E$12="YES",VLOOKUP(B446,'Player Data'!A1:E734,5,FALSE),82)</f>
        <v>82</v>
      </c>
      <c r="R446" s="38">
        <f>VLOOKUP(B446,'Player Data'!$A1:$AE734,6,FALSE)</f>
        <v>14.3058122803461</v>
      </c>
      <c r="S446" s="40">
        <f>VLOOKUP(B446,'Player Data'!$A1:$AE734,7,FALSE)*$Q446*IFERROR((VLOOKUP(P446,Settings!$E$28:$F$33,2,FALSE)+1),1)</f>
        <v>21.289542622434301</v>
      </c>
      <c r="T446" s="40">
        <f>VLOOKUP(B446,'Player Data'!$A1:$AE734,8,FALSE)*$Q446*IFERROR((VLOOKUP(P446,Settings!$E$28:$F$33,2,FALSE)+1),1)</f>
        <v>19.331963379492031</v>
      </c>
      <c r="U446" s="40">
        <f t="shared" si="42"/>
        <v>40.621506001926335</v>
      </c>
      <c r="V446" s="40">
        <f>VLOOKUP(B446,'Player Data'!$A1:$AE734,10,FALSE)*$Q446*IFERROR(((VLOOKUP(P446,Settings!$E$28:$F$33,2,FALSE)/2)+1),1)</f>
        <v>164.33236604598073</v>
      </c>
      <c r="W446" s="40">
        <f>VLOOKUP(B446,'Player Data'!$A1:$AE734,11,FALSE)*$Q446*IFERROR((VLOOKUP(P446,Settings!$E$28:$F$33,2,FALSE)+1),1)</f>
        <v>1.9579159732649332</v>
      </c>
      <c r="X446" s="40">
        <f>VLOOKUP(B446,'Player Data'!$A1:$AE734,12,FALSE)*$Q446*IFERROR((VLOOKUP(P446,Settings!$E$28:$F$33,2,FALSE)+1),1)</f>
        <v>5.4993138632756207</v>
      </c>
      <c r="Y446" s="40">
        <f>VLOOKUP(B446,'Player Data'!$A1:$AE734,13,FALSE)*$Q446</f>
        <v>1.4425805491155793E-3</v>
      </c>
      <c r="Z446" s="40">
        <f>VLOOKUP(B446,'Player Data'!$A1:$AE734,14,FALSE)*$Q446</f>
        <v>2.7644338485200669E-3</v>
      </c>
      <c r="AA446" s="40">
        <f>VLOOKUP(B446,'Player Data'!$A1:$AE734,15,FALSE)*$Q446</f>
        <v>34.116589638204019</v>
      </c>
      <c r="AB446" s="40">
        <f>VLOOKUP(B446,'Player Data'!$A1:$AE734,16,FALSE)*$Q446</f>
        <v>184.95435693049271</v>
      </c>
      <c r="AC446" s="40">
        <f>VLOOKUP(B446,'Player Data'!$A1:$AE734,17,FALSE)*$Q446*IFERROR((VLOOKUP(P446,Settings!$E$28:$F$33,2,FALSE)+1),1)</f>
        <v>3.5962016078326706</v>
      </c>
      <c r="AD446" s="40">
        <f>VLOOKUP(B446,'Player Data'!$A1:$AE734,18,FALSE)*$Q446</f>
        <v>32.106224886539827</v>
      </c>
      <c r="AE446" s="40">
        <f>VLOOKUP(B446,'Player Data'!$A1:$AE734,19,FALSE)*$Q446*IFERROR((VLOOKUP(P446,Settings!$E$28:$F$33,2,FALSE)+1),1)</f>
        <v>3.3683264068700671</v>
      </c>
      <c r="AF446" s="40">
        <f>VLOOKUP(B446,'Player Data'!$A1:$AE734,20,FALSE)*$Q446</f>
        <v>173.95810256691414</v>
      </c>
      <c r="AG446" s="40">
        <f>VLOOKUP(B446,'Player Data'!$A1:$AE734,21,FALSE)*$Q446</f>
        <v>149.59932932619193</v>
      </c>
      <c r="AH446" s="41">
        <f>VLOOKUP(B446,'Player Data'!$A1:$AE734,22,FALSE)</f>
        <v>0.53764211673056095</v>
      </c>
      <c r="AI446" s="38"/>
      <c r="AJ446" s="42"/>
      <c r="AK446" s="40"/>
      <c r="AL446" s="40"/>
      <c r="AM446" s="40"/>
      <c r="AN446" s="40"/>
      <c r="AO446" s="40"/>
      <c r="AP446" s="40"/>
      <c r="AQ446" s="43"/>
      <c r="AR446" s="44"/>
      <c r="AS446" s="38"/>
    </row>
    <row r="447" spans="1:45" ht="21.2" customHeight="1">
      <c r="A447" s="181">
        <f t="shared" si="38"/>
        <v>446</v>
      </c>
      <c r="B447" s="8" t="s">
        <v>440</v>
      </c>
      <c r="C447" s="31" t="s">
        <v>104</v>
      </c>
      <c r="D447" s="32" t="str">
        <f>VLOOKUP(B447,'Player Data'!A1:D734,4,FALSE)</f>
        <v>C,RW</v>
      </c>
      <c r="E447" s="45">
        <f>VLOOKUP(B447,RW!A1:F189,3,FALSE)</f>
        <v>103</v>
      </c>
      <c r="F447" s="34" t="str">
        <f>VLOOKUP(B447,'Player Data'!A1:B734,2,FALSE)</f>
        <v>VGK</v>
      </c>
      <c r="G447" s="9">
        <f>VLOOKUP(B447,'Player Data'!A1:D734,3,FALSE)</f>
        <v>26</v>
      </c>
      <c r="H447" s="35">
        <f>IFERROR(VLOOKUP(B447,ADP!A1:G731,7,FALSE)/1000000,VLOOKUP(B447,ADP!A1:G731,7,FALSE))</f>
        <v>3</v>
      </c>
      <c r="I447" s="36">
        <f>IF(Settings!$E$15="POINTS",((R447*Q447)*Settings!$B$12)+(S447*Settings!$B$2)+(T447*Settings!$B$3)+(U447*Settings!$B$4)+(V447*Settings!$B$5)+(X447*Settings!$B$9)+(AA447*Settings!$B$6)+(W447*Settings!$B$8)+(AB447*Settings!$B$7)+(AC447*Settings!$B$14)+(AD447*Settings!$B$15)+(AE447*Settings!$B$16)+(AF447*Settings!$B$17)+(AG447*Settings!$B$18)+(Y447*Settings!$B$10)+(Z447*Settings!$B$11),VLOOKUP(B447,'Standard Deviations'!A1:C731,3,FALSE))</f>
        <v>5.2016958963429796E-2</v>
      </c>
      <c r="J447" s="37">
        <f t="shared" si="39"/>
        <v>6.3435315809060727E-4</v>
      </c>
      <c r="K447" s="183">
        <f>IF(Settings!$E$18="C/LW/RW",VLOOKUP(B447,RW!A1:F189,6,FALSE),VLOOKUP(B447,F!A1:F431,6,FALSE))</f>
        <v>-6.2282417600476512</v>
      </c>
      <c r="L447" s="36">
        <f t="shared" si="40"/>
        <v>-2.0760805866825502</v>
      </c>
      <c r="M447" s="52" t="str">
        <f>IF(Settings!$E$9="YAHOO",VLOOKUP(B447,ADP!A1:E731,2,FALSE),IF(Settings!$E$9="ESPN",VLOOKUP(B447,ADP!A1:E731,3,FALSE),IF(Settings!$E$9="FANTRAX",VLOOKUP(B447,ADP!A1:E731,4,FALSE),VLOOKUP(B447,ADP!A1:E731,5,FALSE))))</f>
        <v>-</v>
      </c>
      <c r="N447" s="52" t="str">
        <f t="shared" si="41"/>
        <v>N/A</v>
      </c>
      <c r="O447" s="38"/>
      <c r="P447" s="39" t="str">
        <f>IF(Settings!$E$27="ON",_xlfn.XLOOKUP(B447,ADP!A2:A731,ADP!H2:H731)," ")</f>
        <v xml:space="preserve"> </v>
      </c>
      <c r="Q447" s="40">
        <f>IF(Settings!$E$12="YES",VLOOKUP(B447,'Player Data'!A1:E734,5,FALSE),82)</f>
        <v>82</v>
      </c>
      <c r="R447" s="38">
        <f>VLOOKUP(B447,'Player Data'!$A1:$AE734,6,FALSE)</f>
        <v>16.554576736559</v>
      </c>
      <c r="S447" s="40">
        <f>VLOOKUP(B447,'Player Data'!$A1:$AE734,7,FALSE)*$Q447*IFERROR((VLOOKUP(P447,Settings!$E$28:$F$33,2,FALSE)+1),1)</f>
        <v>17.094238195090242</v>
      </c>
      <c r="T447" s="40">
        <f>VLOOKUP(B447,'Player Data'!$A1:$AE734,8,FALSE)*$Q447*IFERROR((VLOOKUP(P447,Settings!$E$28:$F$33,2,FALSE)+1),1)</f>
        <v>23.47971378787706</v>
      </c>
      <c r="U447" s="40">
        <f t="shared" si="42"/>
        <v>40.573951982967301</v>
      </c>
      <c r="V447" s="40">
        <f>VLOOKUP(B447,'Player Data'!$A1:$AE734,10,FALSE)*$Q447*IFERROR(((VLOOKUP(P447,Settings!$E$28:$F$33,2,FALSE)/2)+1),1)</f>
        <v>133.78460859611968</v>
      </c>
      <c r="W447" s="40">
        <f>VLOOKUP(B447,'Player Data'!$A1:$AE734,11,FALSE)*$Q447*IFERROR((VLOOKUP(P447,Settings!$E$28:$F$33,2,FALSE)+1),1)</f>
        <v>3.4243601189111561</v>
      </c>
      <c r="X447" s="40">
        <f>VLOOKUP(B447,'Player Data'!$A1:$AE734,12,FALSE)*$Q447*IFERROR((VLOOKUP(P447,Settings!$E$28:$F$33,2,FALSE)+1),1)</f>
        <v>7.8906478043313015</v>
      </c>
      <c r="Y447" s="40">
        <f>VLOOKUP(B447,'Player Data'!$A1:$AE734,13,FALSE)*$Q447</f>
        <v>0.13957128304207414</v>
      </c>
      <c r="Z447" s="40">
        <f>VLOOKUP(B447,'Player Data'!$A1:$AE734,14,FALSE)*$Q447</f>
        <v>1.3221998198301133</v>
      </c>
      <c r="AA447" s="40">
        <f>VLOOKUP(B447,'Player Data'!$A1:$AE734,15,FALSE)*$Q447</f>
        <v>45.224892065755498</v>
      </c>
      <c r="AB447" s="40">
        <f>VLOOKUP(B447,'Player Data'!$A1:$AE734,16,FALSE)*$Q447</f>
        <v>96.192302542071118</v>
      </c>
      <c r="AC447" s="40">
        <f>VLOOKUP(B447,'Player Data'!$A1:$AE734,17,FALSE)*$Q447*IFERROR((VLOOKUP(P447,Settings!$E$28:$F$33,2,FALSE)+1),1)</f>
        <v>5.7465392505862418</v>
      </c>
      <c r="AD447" s="40">
        <f>VLOOKUP(B447,'Player Data'!$A1:$AE734,18,FALSE)*$Q447</f>
        <v>35.373818568624337</v>
      </c>
      <c r="AE447" s="40">
        <f>VLOOKUP(B447,'Player Data'!$A1:$AE734,19,FALSE)*$Q447*IFERROR((VLOOKUP(P447,Settings!$E$28:$F$33,2,FALSE)+1),1)</f>
        <v>2.7936649332286412</v>
      </c>
      <c r="AF447" s="40">
        <f>VLOOKUP(B447,'Player Data'!$A1:$AE734,20,FALSE)*$Q447</f>
        <v>458.02283034114271</v>
      </c>
      <c r="AG447" s="40">
        <f>VLOOKUP(B447,'Player Data'!$A1:$AE734,21,FALSE)*$Q447</f>
        <v>499.16429479648815</v>
      </c>
      <c r="AH447" s="41">
        <f>VLOOKUP(B447,'Player Data'!$A1:$AE734,22,FALSE)</f>
        <v>0.47850918416321703</v>
      </c>
      <c r="AI447" s="38"/>
      <c r="AJ447" s="42"/>
      <c r="AK447" s="40"/>
      <c r="AL447" s="40"/>
      <c r="AM447" s="40"/>
      <c r="AN447" s="40"/>
      <c r="AO447" s="40"/>
      <c r="AP447" s="40"/>
      <c r="AQ447" s="43"/>
      <c r="AR447" s="44"/>
      <c r="AS447" s="38"/>
    </row>
    <row r="448" spans="1:45" ht="21.2" customHeight="1">
      <c r="A448" s="181">
        <f t="shared" si="38"/>
        <v>447</v>
      </c>
      <c r="B448" s="8" t="s">
        <v>478</v>
      </c>
      <c r="C448" s="31" t="s">
        <v>104</v>
      </c>
      <c r="D448" s="32" t="str">
        <f>VLOOKUP(B448,'Player Data'!A1:D734,4,FALSE)</f>
        <v>C</v>
      </c>
      <c r="E448" s="33">
        <f>VLOOKUP(B448,'C'!A1:C208,3,FALSE)</f>
        <v>101</v>
      </c>
      <c r="F448" s="34" t="str">
        <f>VLOOKUP(B448,'Player Data'!A1:B734,2,FALSE)</f>
        <v>SEA</v>
      </c>
      <c r="G448" s="9">
        <f>VLOOKUP(B448,'Player Data'!A1:D734,3,FALSE)</f>
        <v>31</v>
      </c>
      <c r="H448" s="35">
        <f>IFERROR(VLOOKUP(B448,ADP!A1:G731,7,FALSE)/1000000,VLOOKUP(B448,ADP!A1:G731,7,FALSE))</f>
        <v>5.1665999999999999</v>
      </c>
      <c r="I448" s="36">
        <f>IF(Settings!$E$15="POINTS",((R448*Q448)*Settings!$B$12)+(S448*Settings!$B$2)+(T448*Settings!$B$3)+(U448*Settings!$B$4)+(V448*Settings!$B$5)+(X448*Settings!$B$9)+(AA448*Settings!$B$6)+(W448*Settings!$B$8)+(AB448*Settings!$B$7)+(AC448*Settings!$B$14)+(AD448*Settings!$B$15)+(AE448*Settings!$B$16)+(AF448*Settings!$B$17)+(AG448*Settings!$B$18)+(Y448*Settings!$B$10)+(Z448*Settings!$B$11),VLOOKUP(B448,'Standard Deviations'!A1:C731,3,FALSE))</f>
        <v>0.10607561065742976</v>
      </c>
      <c r="J448" s="37">
        <f t="shared" si="39"/>
        <v>1.2936050080174361E-3</v>
      </c>
      <c r="K448" s="183">
        <f>IF(Settings!$E$18="C/LW/RW",VLOOKUP(B448,'C'!A1:F208,6,FALSE),VLOOKUP(B448,F!A1:F431,6,FALSE))</f>
        <v>-6.2309751135491727</v>
      </c>
      <c r="L448" s="36">
        <f t="shared" si="40"/>
        <v>-1.2060107446965456</v>
      </c>
      <c r="M448" s="38">
        <f>IF(Settings!$E$9="YAHOO",VLOOKUP(B448,ADP!A1:E731,2,FALSE),IF(Settings!$E$9="ESPN",VLOOKUP(B448,ADP!A1:E731,3,FALSE),IF(Settings!$E$9="FANTRAX",VLOOKUP(B448,ADP!A1:E731,4,FALSE),VLOOKUP(B448,ADP!A1:E731,5,FALSE))))</f>
        <v>465.5</v>
      </c>
      <c r="N448" s="38">
        <f t="shared" si="41"/>
        <v>18.5</v>
      </c>
      <c r="O448" s="38"/>
      <c r="P448" s="39" t="str">
        <f>IF(Settings!$E$27="ON",_xlfn.XLOOKUP(B448,ADP!A2:A731,ADP!H2:H731)," ")</f>
        <v xml:space="preserve"> </v>
      </c>
      <c r="Q448" s="40">
        <f>IF(Settings!$E$12="YES",VLOOKUP(B448,'Player Data'!A1:E734,5,FALSE),82)</f>
        <v>82</v>
      </c>
      <c r="R448" s="38">
        <f>VLOOKUP(B448,'Player Data'!$A1:$AE734,6,FALSE)</f>
        <v>17.279618968072398</v>
      </c>
      <c r="S448" s="40">
        <f>VLOOKUP(B448,'Player Data'!$A1:$AE734,7,FALSE)*$Q448*IFERROR((VLOOKUP(P448,Settings!$E$28:$F$33,2,FALSE)+1),1)</f>
        <v>16.013302243898888</v>
      </c>
      <c r="T448" s="40">
        <f>VLOOKUP(B448,'Player Data'!$A1:$AE734,8,FALSE)*$Q448*IFERROR((VLOOKUP(P448,Settings!$E$28:$F$33,2,FALSE)+1),1)</f>
        <v>28.898136920648373</v>
      </c>
      <c r="U448" s="40">
        <f t="shared" si="42"/>
        <v>44.911439164547261</v>
      </c>
      <c r="V448" s="40">
        <f>VLOOKUP(B448,'Player Data'!$A1:$AE734,10,FALSE)*$Q448*IFERROR(((VLOOKUP(P448,Settings!$E$28:$F$33,2,FALSE)/2)+1),1)</f>
        <v>142.90373184438283</v>
      </c>
      <c r="W448" s="40">
        <f>VLOOKUP(B448,'Player Data'!$A1:$AE734,11,FALSE)*$Q448*IFERROR((VLOOKUP(P448,Settings!$E$28:$F$33,2,FALSE)+1),1)</f>
        <v>1.0057380127592321</v>
      </c>
      <c r="X448" s="40">
        <f>VLOOKUP(B448,'Player Data'!$A1:$AE734,12,FALSE)*$Q448*IFERROR((VLOOKUP(P448,Settings!$E$28:$F$33,2,FALSE)+1),1)</f>
        <v>2.1031454580185636</v>
      </c>
      <c r="Y448" s="40">
        <f>VLOOKUP(B448,'Player Data'!$A1:$AE734,13,FALSE)*$Q448</f>
        <v>0.92874864289256076</v>
      </c>
      <c r="Z448" s="40">
        <f>VLOOKUP(B448,'Player Data'!$A1:$AE734,14,FALSE)*$Q448</f>
        <v>1.920612702777498</v>
      </c>
      <c r="AA448" s="40">
        <f>VLOOKUP(B448,'Player Data'!$A1:$AE734,15,FALSE)*$Q448</f>
        <v>48.867525316989585</v>
      </c>
      <c r="AB448" s="40">
        <f>VLOOKUP(B448,'Player Data'!$A1:$AE734,16,FALSE)*$Q448</f>
        <v>106.859191705269</v>
      </c>
      <c r="AC448" s="40">
        <f>VLOOKUP(B448,'Player Data'!$A1:$AE734,17,FALSE)*$Q448*IFERROR((VLOOKUP(P448,Settings!$E$28:$F$33,2,FALSE)+1),1)</f>
        <v>0.8712789724436224</v>
      </c>
      <c r="AD448" s="40">
        <f>VLOOKUP(B448,'Player Data'!$A1:$AE734,18,FALSE)*$Q448</f>
        <v>53.752973473489092</v>
      </c>
      <c r="AE448" s="40">
        <f>VLOOKUP(B448,'Player Data'!$A1:$AE734,19,FALSE)*$Q448*IFERROR((VLOOKUP(P448,Settings!$E$28:$F$33,2,FALSE)+1),1)</f>
        <v>2.250845395061889</v>
      </c>
      <c r="AF448" s="40">
        <f>VLOOKUP(B448,'Player Data'!$A1:$AE734,20,FALSE)*$Q448</f>
        <v>483.73870572846096</v>
      </c>
      <c r="AG448" s="40">
        <f>VLOOKUP(B448,'Player Data'!$A1:$AE734,21,FALSE)*$Q448</f>
        <v>495.20044391723667</v>
      </c>
      <c r="AH448" s="41">
        <f>VLOOKUP(B448,'Player Data'!$A1:$AE734,22,FALSE)</f>
        <v>0.49414583726019901</v>
      </c>
      <c r="AI448" s="38"/>
      <c r="AJ448" s="42"/>
      <c r="AK448" s="40"/>
      <c r="AL448" s="40"/>
      <c r="AM448" s="40"/>
      <c r="AN448" s="40"/>
      <c r="AO448" s="40"/>
      <c r="AP448" s="40"/>
      <c r="AQ448" s="43"/>
      <c r="AR448" s="44"/>
      <c r="AS448" s="38"/>
    </row>
    <row r="449" spans="1:45" ht="21.2" customHeight="1">
      <c r="A449" s="181">
        <f t="shared" si="38"/>
        <v>448</v>
      </c>
      <c r="B449" s="8" t="s">
        <v>477</v>
      </c>
      <c r="C449" s="31" t="s">
        <v>104</v>
      </c>
      <c r="D449" s="32" t="str">
        <f>VLOOKUP(B449,'Player Data'!A1:D734,4,FALSE)</f>
        <v>D</v>
      </c>
      <c r="E449" s="47">
        <f>VLOOKUP(B449,D!A1:C229,3,FALSE)</f>
        <v>164</v>
      </c>
      <c r="F449" s="34" t="str">
        <f>VLOOKUP(B449,'Player Data'!A1:B734,2,FALSE)</f>
        <v>WPG</v>
      </c>
      <c r="G449" s="9">
        <f>VLOOKUP(B449,'Player Data'!A1:D734,3,FALSE)</f>
        <v>32</v>
      </c>
      <c r="H449" s="35">
        <f>IFERROR(VLOOKUP(B449,ADP!A1:G731,7,FALSE)/1000000,VLOOKUP(B449,ADP!A1:G731,7,FALSE))</f>
        <v>3.9</v>
      </c>
      <c r="I449" s="36">
        <f>IF(Settings!$E$15="POINTS",((R449*Q449)*Settings!$B$12)+(S449*Settings!$B$2)+(T449*Settings!$B$3)+(U449*Settings!$B$4)+(V449*Settings!$B$5)+(X449*Settings!$B$9)+(AA449*Settings!$B$6)+(W449*Settings!$B$8)+(AB449*Settings!$B$7)+(AC449*Settings!$B$14)+(AD449*Settings!$B$15)+(AE449*Settings!$B$16)+(AF449*Settings!$B$17)+(AG449*Settings!$B$18)+(U449*Settings!$B$13)+(Y449*Settings!$B$10)+(Z449*Settings!$B$11),VLOOKUP(B449,'Standard Deviations'!A1:C731,3,FALSE))</f>
        <v>-4.3066254132104245</v>
      </c>
      <c r="J449" s="37">
        <f t="shared" si="39"/>
        <v>-5.2519822112322249E-2</v>
      </c>
      <c r="K449" s="183">
        <f>VLOOKUP(B449,D!A1:F229,6,FALSE)</f>
        <v>-6.2483659568447347</v>
      </c>
      <c r="L449" s="36">
        <f t="shared" si="40"/>
        <v>-1.6021451171396757</v>
      </c>
      <c r="M449" s="52" t="str">
        <f>IF(Settings!$E$9="YAHOO",VLOOKUP(B449,ADP!A1:E731,2,FALSE),IF(Settings!$E$9="ESPN",VLOOKUP(B449,ADP!A1:E731,3,FALSE),IF(Settings!$E$9="FANTRAX",VLOOKUP(B449,ADP!A1:E731,4,FALSE),VLOOKUP(B449,ADP!A1:E731,5,FALSE))))</f>
        <v>-</v>
      </c>
      <c r="N449" s="52" t="str">
        <f t="shared" si="41"/>
        <v>N/A</v>
      </c>
      <c r="O449" s="38"/>
      <c r="P449" s="39" t="str">
        <f>IF(Settings!$E$27="ON",_xlfn.XLOOKUP(B449,ADP!A2:A731,ADP!H2:H731)," ")</f>
        <v xml:space="preserve"> </v>
      </c>
      <c r="Q449" s="40">
        <f>IF(Settings!$E$12="YES",VLOOKUP(B449,'Player Data'!A1:E734,5,FALSE),82)</f>
        <v>82</v>
      </c>
      <c r="R449" s="38">
        <f>VLOOKUP(B449,'Player Data'!$A1:$AE734,6,FALSE)</f>
        <v>18.554670965402401</v>
      </c>
      <c r="S449" s="40">
        <f>VLOOKUP(B449,'Player Data'!$A1:$AE734,7,FALSE)*$Q449*IFERROR((VLOOKUP(P449,Settings!$E$28:$F$33,2,FALSE)+1),1)</f>
        <v>2.3473224071063115</v>
      </c>
      <c r="T449" s="40">
        <f>VLOOKUP(B449,'Player Data'!$A1:$AE734,8,FALSE)*$Q449*IFERROR((VLOOKUP(P449,Settings!$E$28:$F$33,2,FALSE)+1),1)</f>
        <v>18.004479228829876</v>
      </c>
      <c r="U449" s="40">
        <f t="shared" si="42"/>
        <v>20.351801635936187</v>
      </c>
      <c r="V449" s="40">
        <f>VLOOKUP(B449,'Player Data'!$A1:$AE734,10,FALSE)*$Q449*IFERROR(((VLOOKUP(P449,Settings!$E$28:$F$33,2,FALSE)/2)+1),1)</f>
        <v>81.035894556777095</v>
      </c>
      <c r="W449" s="40">
        <f>VLOOKUP(B449,'Player Data'!$A1:$AE734,11,FALSE)*$Q449*IFERROR((VLOOKUP(P449,Settings!$E$28:$F$33,2,FALSE)+1),1)</f>
        <v>2.2650468046733267E-2</v>
      </c>
      <c r="X449" s="40">
        <f>VLOOKUP(B449,'Player Data'!$A1:$AE734,12,FALSE)*$Q449*IFERROR((VLOOKUP(P449,Settings!$E$28:$F$33,2,FALSE)+1),1)</f>
        <v>0.19375241929620282</v>
      </c>
      <c r="Y449" s="40">
        <f>VLOOKUP(B449,'Player Data'!$A1:$AE734,13,FALSE)*$Q449</f>
        <v>-3.4139825291927162E-2</v>
      </c>
      <c r="Z449" s="40">
        <f>VLOOKUP(B449,'Player Data'!$A1:$AE734,14,FALSE)*$Q449</f>
        <v>0.61733852444224779</v>
      </c>
      <c r="AA449" s="40">
        <f>VLOOKUP(B449,'Player Data'!$A1:$AE734,15,FALSE)*$Q449</f>
        <v>108.68602660664875</v>
      </c>
      <c r="AB449" s="40">
        <f>VLOOKUP(B449,'Player Data'!$A1:$AE734,16,FALSE)*$Q449</f>
        <v>179.91594885741591</v>
      </c>
      <c r="AC449" s="40">
        <f>VLOOKUP(B449,'Player Data'!$A1:$AE734,17,FALSE)*$Q449*IFERROR((VLOOKUP(P449,Settings!$E$28:$F$33,2,FALSE)+1),1)</f>
        <v>1.2838381445775819</v>
      </c>
      <c r="AD449" s="40">
        <f>VLOOKUP(B449,'Player Data'!$A1:$AE734,18,FALSE)*$Q449</f>
        <v>62.525001894412135</v>
      </c>
      <c r="AE449" s="40">
        <f>VLOOKUP(B449,'Player Data'!$A1:$AE734,19,FALSE)*$Q449*IFERROR((VLOOKUP(P449,Settings!$E$28:$F$33,2,FALSE)+1),1)</f>
        <v>0.36619015242393838</v>
      </c>
      <c r="AF449" s="40">
        <f>VLOOKUP(B449,'Player Data'!$A1:$AE734,20,FALSE)*$Q449</f>
        <v>0</v>
      </c>
      <c r="AG449" s="40">
        <f>VLOOKUP(B449,'Player Data'!$A1:$AE734,21,FALSE)*$Q449</f>
        <v>0</v>
      </c>
      <c r="AH449" s="41">
        <f>VLOOKUP(B449,'Player Data'!$A1:$AE734,22,FALSE)</f>
        <v>0</v>
      </c>
      <c r="AI449" s="38"/>
      <c r="AJ449" s="42"/>
      <c r="AK449" s="40"/>
      <c r="AL449" s="40"/>
      <c r="AM449" s="40"/>
      <c r="AN449" s="40"/>
      <c r="AO449" s="40"/>
      <c r="AP449" s="40"/>
      <c r="AQ449" s="43"/>
      <c r="AR449" s="44"/>
      <c r="AS449" s="38"/>
    </row>
    <row r="450" spans="1:45" ht="21.2" customHeight="1">
      <c r="A450" s="181">
        <f t="shared" ref="A450:A513" si="43">RANK(K450,K$2:K$730)</f>
        <v>449</v>
      </c>
      <c r="B450" s="8" t="s">
        <v>417</v>
      </c>
      <c r="C450" s="31" t="s">
        <v>104</v>
      </c>
      <c r="D450" s="32" t="str">
        <f>VLOOKUP(B450,'Player Data'!A1:D734,4,FALSE)</f>
        <v>LW,RW</v>
      </c>
      <c r="E450" s="45">
        <f>VLOOKUP(B450,RW!A1:F189,3,FALSE)</f>
        <v>104</v>
      </c>
      <c r="F450" s="34" t="str">
        <f>VLOOKUP(B450,'Player Data'!A1:B734,2,FALSE)</f>
        <v>TBL</v>
      </c>
      <c r="G450" s="9">
        <f>VLOOKUP(B450,'Player Data'!A1:D734,3,FALSE)</f>
        <v>31</v>
      </c>
      <c r="H450" s="35">
        <f>IFERROR(VLOOKUP(B450,ADP!A1:G731,7,FALSE)/1000000,VLOOKUP(B450,ADP!A1:G731,7,FALSE))</f>
        <v>2</v>
      </c>
      <c r="I450" s="36">
        <f>IF(Settings!$E$15="POINTS",((R450*Q450)*Settings!$B$12)+(S450*Settings!$B$2)+(T450*Settings!$B$3)+(U450*Settings!$B$4)+(V450*Settings!$B$5)+(X450*Settings!$B$9)+(AA450*Settings!$B$6)+(W450*Settings!$B$8)+(AB450*Settings!$B$7)+(AC450*Settings!$B$14)+(AD450*Settings!$B$15)+(AE450*Settings!$B$16)+(AF450*Settings!$B$17)+(AG450*Settings!$B$18)+(Y450*Settings!$B$10)+(Z450*Settings!$B$11),VLOOKUP(B450,'Standard Deviations'!A1:C731,3,FALSE))</f>
        <v>1.2910040615504742E-2</v>
      </c>
      <c r="J450" s="37">
        <f t="shared" ref="J450:J513" si="44">IF(D450="G",I450/AJ450,I450/Q450)</f>
        <v>1.5743951970127734E-4</v>
      </c>
      <c r="K450" s="183">
        <f>IF(Settings!$E$18="C/LW/RW",VLOOKUP(B450,RW!A1:F189,6,FALSE),VLOOKUP(B450,F!A1:F431,6,FALSE))</f>
        <v>-6.2673486783955763</v>
      </c>
      <c r="L450" s="36">
        <f t="shared" ref="L450:L513" si="45">IFERROR(K450/H450,"N/A")</f>
        <v>-3.1336743391977882</v>
      </c>
      <c r="M450" s="52" t="str">
        <f>IF(Settings!$E$9="YAHOO",VLOOKUP(B450,ADP!A1:E731,2,FALSE),IF(Settings!$E$9="ESPN",VLOOKUP(B450,ADP!A1:E731,3,FALSE),IF(Settings!$E$9="FANTRAX",VLOOKUP(B450,ADP!A1:E731,4,FALSE),VLOOKUP(B450,ADP!A1:E731,5,FALSE))))</f>
        <v>-</v>
      </c>
      <c r="N450" s="52" t="str">
        <f t="shared" ref="N450:N513" si="46">IFERROR(M450-A450,"N/A")</f>
        <v>N/A</v>
      </c>
      <c r="O450" s="38"/>
      <c r="P450" s="39" t="str">
        <f>IF(Settings!$E$27="ON",_xlfn.XLOOKUP(B450,ADP!A2:A731,ADP!H2:H731)," ")</f>
        <v xml:space="preserve"> </v>
      </c>
      <c r="Q450" s="40">
        <f>IF(Settings!$E$12="YES",VLOOKUP(B450,'Player Data'!A1:E734,5,FALSE),82)</f>
        <v>82</v>
      </c>
      <c r="R450" s="38">
        <f>VLOOKUP(B450,'Player Data'!$A1:$AE734,6,FALSE)</f>
        <v>15.7947745426829</v>
      </c>
      <c r="S450" s="40">
        <f>VLOOKUP(B450,'Player Data'!$A1:$AE734,7,FALSE)*$Q450*IFERROR((VLOOKUP(P450,Settings!$E$28:$F$33,2,FALSE)+1),1)</f>
        <v>16.911813702107082</v>
      </c>
      <c r="T450" s="40">
        <f>VLOOKUP(B450,'Player Data'!$A1:$AE734,8,FALSE)*$Q450*IFERROR((VLOOKUP(P450,Settings!$E$28:$F$33,2,FALSE)+1),1)</f>
        <v>21.592495411965494</v>
      </c>
      <c r="U450" s="40">
        <f t="shared" si="42"/>
        <v>38.504309114072576</v>
      </c>
      <c r="V450" s="40">
        <f>VLOOKUP(B450,'Player Data'!$A1:$AE734,10,FALSE)*$Q450*IFERROR(((VLOOKUP(P450,Settings!$E$28:$F$33,2,FALSE)/2)+1),1)</f>
        <v>153.93188809751166</v>
      </c>
      <c r="W450" s="40">
        <f>VLOOKUP(B450,'Player Data'!$A1:$AE734,11,FALSE)*$Q450*IFERROR((VLOOKUP(P450,Settings!$E$28:$F$33,2,FALSE)+1),1)</f>
        <v>2.1055834888756824</v>
      </c>
      <c r="X450" s="40">
        <f>VLOOKUP(B450,'Player Data'!$A1:$AE734,12,FALSE)*$Q450*IFERROR((VLOOKUP(P450,Settings!$E$28:$F$33,2,FALSE)+1),1)</f>
        <v>6.578166050979199</v>
      </c>
      <c r="Y450" s="40">
        <f>VLOOKUP(B450,'Player Data'!$A1:$AE734,13,FALSE)*$Q450</f>
        <v>0.73653388666292829</v>
      </c>
      <c r="Z450" s="40">
        <f>VLOOKUP(B450,'Player Data'!$A1:$AE734,14,FALSE)*$Q450</f>
        <v>0.70333779565973931</v>
      </c>
      <c r="AA450" s="40">
        <f>VLOOKUP(B450,'Player Data'!$A1:$AE734,15,FALSE)*$Q450</f>
        <v>42.128052736918086</v>
      </c>
      <c r="AB450" s="40">
        <f>VLOOKUP(B450,'Player Data'!$A1:$AE734,16,FALSE)*$Q450</f>
        <v>60.131890021741803</v>
      </c>
      <c r="AC450" s="40">
        <f>VLOOKUP(B450,'Player Data'!$A1:$AE734,17,FALSE)*$Q450*IFERROR((VLOOKUP(P450,Settings!$E$28:$F$33,2,FALSE)+1),1)</f>
        <v>9.8708291553132363E-2</v>
      </c>
      <c r="AD450" s="40">
        <f>VLOOKUP(B450,'Player Data'!$A1:$AE734,18,FALSE)*$Q450</f>
        <v>23.018127212942314</v>
      </c>
      <c r="AE450" s="40">
        <f>VLOOKUP(B450,'Player Data'!$A1:$AE734,19,FALSE)*$Q450*IFERROR((VLOOKUP(P450,Settings!$E$28:$F$33,2,FALSE)+1),1)</f>
        <v>2.6467049876066562</v>
      </c>
      <c r="AF450" s="40">
        <f>VLOOKUP(B450,'Player Data'!$A1:$AE734,20,FALSE)*$Q450</f>
        <v>16.016210342959468</v>
      </c>
      <c r="AG450" s="40">
        <f>VLOOKUP(B450,'Player Data'!$A1:$AE734,21,FALSE)*$Q450</f>
        <v>20.228264461745493</v>
      </c>
      <c r="AH450" s="41">
        <f>VLOOKUP(B450,'Player Data'!$A1:$AE734,22,FALSE)</f>
        <v>0.44189384531736697</v>
      </c>
      <c r="AI450" s="38"/>
      <c r="AJ450" s="42"/>
      <c r="AK450" s="40"/>
      <c r="AL450" s="40"/>
      <c r="AM450" s="40"/>
      <c r="AN450" s="40"/>
      <c r="AO450" s="40"/>
      <c r="AP450" s="40"/>
      <c r="AQ450" s="43"/>
      <c r="AR450" s="44"/>
      <c r="AS450" s="38"/>
    </row>
    <row r="451" spans="1:45" ht="21.2" customHeight="1">
      <c r="A451" s="181">
        <f t="shared" si="43"/>
        <v>450</v>
      </c>
      <c r="B451" s="8" t="s">
        <v>518</v>
      </c>
      <c r="C451" s="31" t="s">
        <v>104</v>
      </c>
      <c r="D451" s="32" t="str">
        <f>VLOOKUP(B451,'Player Data'!A1:D734,4,FALSE)</f>
        <v>D</v>
      </c>
      <c r="E451" s="47">
        <f>VLOOKUP(B451,D!A1:C229,3,FALSE)</f>
        <v>165</v>
      </c>
      <c r="F451" s="34" t="str">
        <f>VLOOKUP(B451,'Player Data'!A1:B734,2,FALSE)</f>
        <v>MIN</v>
      </c>
      <c r="G451" s="9">
        <f>VLOOKUP(B451,'Player Data'!A1:D734,3,FALSE)</f>
        <v>38</v>
      </c>
      <c r="H451" s="35">
        <f>IFERROR(VLOOKUP(B451,ADP!A1:G731,7,FALSE)/1000000,VLOOKUP(B451,ADP!A1:G731,7,FALSE))</f>
        <v>2</v>
      </c>
      <c r="I451" s="36">
        <f>IF(Settings!$E$15="POINTS",((R451*Q451)*Settings!$B$12)+(S451*Settings!$B$2)+(T451*Settings!$B$3)+(U451*Settings!$B$4)+(V451*Settings!$B$5)+(X451*Settings!$B$9)+(AA451*Settings!$B$6)+(W451*Settings!$B$8)+(AB451*Settings!$B$7)+(AC451*Settings!$B$14)+(AD451*Settings!$B$15)+(AE451*Settings!$B$16)+(AF451*Settings!$B$17)+(AG451*Settings!$B$18)+(U451*Settings!$B$13)+(Y451*Settings!$B$10)+(Z451*Settings!$B$11),VLOOKUP(B451,'Standard Deviations'!A1:C731,3,FALSE))</f>
        <v>-4.3271861358711359</v>
      </c>
      <c r="J451" s="37">
        <f t="shared" si="44"/>
        <v>-5.2770562632574826E-2</v>
      </c>
      <c r="K451" s="183">
        <f>VLOOKUP(B451,D!A1:F229,6,FALSE)</f>
        <v>-6.2689266795054461</v>
      </c>
      <c r="L451" s="36">
        <f t="shared" si="45"/>
        <v>-3.1344633397527231</v>
      </c>
      <c r="M451" s="52" t="str">
        <f>IF(Settings!$E$9="YAHOO",VLOOKUP(B451,ADP!A1:E731,2,FALSE),IF(Settings!$E$9="ESPN",VLOOKUP(B451,ADP!A1:E731,3,FALSE),IF(Settings!$E$9="FANTRAX",VLOOKUP(B451,ADP!A1:E731,4,FALSE),VLOOKUP(B451,ADP!A1:E731,5,FALSE))))</f>
        <v>-</v>
      </c>
      <c r="N451" s="52" t="str">
        <f t="shared" si="46"/>
        <v>N/A</v>
      </c>
      <c r="O451" s="38"/>
      <c r="P451" s="39" t="str">
        <f>IF(Settings!$E$27="ON",_xlfn.XLOOKUP(B451,ADP!A2:A731,ADP!H2:H731)," ")</f>
        <v xml:space="preserve"> </v>
      </c>
      <c r="Q451" s="40">
        <f>IF(Settings!$E$12="YES",VLOOKUP(B451,'Player Data'!A1:E734,5,FALSE),82)</f>
        <v>82</v>
      </c>
      <c r="R451" s="38">
        <f>VLOOKUP(B451,'Player Data'!$A1:$AE734,6,FALSE)</f>
        <v>16.496454607824901</v>
      </c>
      <c r="S451" s="40">
        <f>VLOOKUP(B451,'Player Data'!$A1:$AE734,7,FALSE)*$Q451*IFERROR((VLOOKUP(P451,Settings!$E$28:$F$33,2,FALSE)+1),1)</f>
        <v>2.199689968697029</v>
      </c>
      <c r="T451" s="40">
        <f>VLOOKUP(B451,'Player Data'!$A1:$AE734,8,FALSE)*$Q451*IFERROR((VLOOKUP(P451,Settings!$E$28:$F$33,2,FALSE)+1),1)</f>
        <v>15.613251945787425</v>
      </c>
      <c r="U451" s="40">
        <f t="shared" si="42"/>
        <v>17.812941914484455</v>
      </c>
      <c r="V451" s="40">
        <f>VLOOKUP(B451,'Player Data'!$A1:$AE734,10,FALSE)*$Q451*IFERROR(((VLOOKUP(P451,Settings!$E$28:$F$33,2,FALSE)/2)+1),1)</f>
        <v>91.130238006269025</v>
      </c>
      <c r="W451" s="40">
        <f>VLOOKUP(B451,'Player Data'!$A1:$AE734,11,FALSE)*$Q451*IFERROR((VLOOKUP(P451,Settings!$E$28:$F$33,2,FALSE)+1),1)</f>
        <v>2.6983951781775806E-2</v>
      </c>
      <c r="X451" s="40">
        <f>VLOOKUP(B451,'Player Data'!$A1:$AE734,12,FALSE)*$Q451*IFERROR((VLOOKUP(P451,Settings!$E$28:$F$33,2,FALSE)+1),1)</f>
        <v>1.2884324047282809</v>
      </c>
      <c r="Y451" s="40">
        <f>VLOOKUP(B451,'Player Data'!$A1:$AE734,13,FALSE)*$Q451</f>
        <v>-3.212383566510383E-2</v>
      </c>
      <c r="Z451" s="40">
        <f>VLOOKUP(B451,'Player Data'!$A1:$AE734,14,FALSE)*$Q451</f>
        <v>-0.17386136874920993</v>
      </c>
      <c r="AA451" s="40">
        <f>VLOOKUP(B451,'Player Data'!$A1:$AE734,15,FALSE)*$Q451</f>
        <v>104.02291001196284</v>
      </c>
      <c r="AB451" s="40">
        <f>VLOOKUP(B451,'Player Data'!$A1:$AE734,16,FALSE)*$Q451</f>
        <v>72.378073398754907</v>
      </c>
      <c r="AC451" s="40">
        <f>VLOOKUP(B451,'Player Data'!$A1:$AE734,17,FALSE)*$Q451*IFERROR((VLOOKUP(P451,Settings!$E$28:$F$33,2,FALSE)+1),1)</f>
        <v>2.5440749006756485</v>
      </c>
      <c r="AD451" s="40">
        <f>VLOOKUP(B451,'Player Data'!$A1:$AE734,18,FALSE)*$Q451</f>
        <v>28.217523437341711</v>
      </c>
      <c r="AE451" s="40">
        <f>VLOOKUP(B451,'Player Data'!$A1:$AE734,19,FALSE)*$Q451*IFERROR((VLOOKUP(P451,Settings!$E$28:$F$33,2,FALSE)+1),1)</f>
        <v>0.35321833046087381</v>
      </c>
      <c r="AF451" s="40">
        <f>VLOOKUP(B451,'Player Data'!$A1:$AE734,20,FALSE)*$Q451</f>
        <v>0</v>
      </c>
      <c r="AG451" s="40">
        <f>VLOOKUP(B451,'Player Data'!$A1:$AE734,21,FALSE)*$Q451</f>
        <v>0</v>
      </c>
      <c r="AH451" s="41">
        <f>VLOOKUP(B451,'Player Data'!$A1:$AE734,22,FALSE)</f>
        <v>0</v>
      </c>
      <c r="AI451" s="38"/>
      <c r="AJ451" s="42"/>
      <c r="AK451" s="40"/>
      <c r="AL451" s="40"/>
      <c r="AM451" s="40"/>
      <c r="AN451" s="40"/>
      <c r="AO451" s="40"/>
      <c r="AP451" s="40"/>
      <c r="AQ451" s="43"/>
      <c r="AR451" s="44"/>
      <c r="AS451" s="38"/>
    </row>
    <row r="452" spans="1:45" ht="21.2" customHeight="1">
      <c r="A452" s="181">
        <f t="shared" si="43"/>
        <v>451</v>
      </c>
      <c r="B452" s="8" t="s">
        <v>420</v>
      </c>
      <c r="C452" s="31" t="s">
        <v>104</v>
      </c>
      <c r="D452" s="32" t="str">
        <f>VLOOKUP(B452,'Player Data'!A1:D734,4,FALSE)</f>
        <v>LW</v>
      </c>
      <c r="E452" s="48">
        <f>VLOOKUP(B452,LW!A1:C227,3,FALSE)</f>
        <v>103</v>
      </c>
      <c r="F452" s="34" t="str">
        <f>VLOOKUP(B452,'Player Data'!A1:B734,2,FALSE)</f>
        <v>CGY</v>
      </c>
      <c r="G452" s="9">
        <f>VLOOKUP(B452,'Player Data'!A1:D734,3,FALSE)</f>
        <v>25</v>
      </c>
      <c r="H452" s="35">
        <f>IFERROR(VLOOKUP(B452,ADP!A1:G731,7,FALSE)/1000000,VLOOKUP(B452,ADP!A1:G731,7,FALSE))</f>
        <v>3.1</v>
      </c>
      <c r="I452" s="36">
        <f>IF(Settings!$E$15="POINTS",((R452*Q452)*Settings!$B$12)+(S452*Settings!$B$2)+(T452*Settings!$B$3)+(U452*Settings!$B$4)+(V452*Settings!$B$5)+(X452*Settings!$B$9)+(AA452*Settings!$B$6)+(W452*Settings!$B$8)+(AB452*Settings!$B$7)+(AC452*Settings!$B$14)+(AD452*Settings!$B$15)+(AE452*Settings!$B$16)+(AF452*Settings!$B$17)+(AG452*Settings!$B$18)+(Y452*Settings!$B$10)+(Z452*Settings!$B$11),VLOOKUP(B452,'Standard Deviations'!A1:C731,3,FALSE))</f>
        <v>0.38521266617499261</v>
      </c>
      <c r="J452" s="37">
        <f t="shared" si="44"/>
        <v>4.6977154411584465E-3</v>
      </c>
      <c r="K452" s="183">
        <f>IF(Settings!$E$18="C/LW/RW",VLOOKUP(B452,LW!A1:F227,6,FALSE),VLOOKUP(B452,F!A1:F431,6,FALSE))</f>
        <v>-6.2694563779494086</v>
      </c>
      <c r="L452" s="36">
        <f t="shared" si="45"/>
        <v>-2.0224052832094865</v>
      </c>
      <c r="M452" s="38">
        <f>IF(Settings!$E$9="YAHOO",VLOOKUP(B452,ADP!A1:E731,2,FALSE),IF(Settings!$E$9="ESPN",VLOOKUP(B452,ADP!A1:E731,3,FALSE),IF(Settings!$E$9="FANTRAX",VLOOKUP(B452,ADP!A1:E731,4,FALSE),VLOOKUP(B452,ADP!A1:E731,5,FALSE))))</f>
        <v>223.67</v>
      </c>
      <c r="N452" s="38">
        <f t="shared" si="46"/>
        <v>-227.33</v>
      </c>
      <c r="O452" s="38"/>
      <c r="P452" s="39" t="str">
        <f>IF(Settings!$E$27="ON",_xlfn.XLOOKUP(B452,ADP!A2:A731,ADP!H2:H731)," ")</f>
        <v xml:space="preserve"> </v>
      </c>
      <c r="Q452" s="40">
        <f>IF(Settings!$E$12="YES",VLOOKUP(B452,'Player Data'!A1:E734,5,FALSE),82)</f>
        <v>82</v>
      </c>
      <c r="R452" s="38">
        <f>VLOOKUP(B452,'Player Data'!$A1:$AE734,6,FALSE)</f>
        <v>14.463996465955301</v>
      </c>
      <c r="S452" s="40">
        <f>VLOOKUP(B452,'Player Data'!$A1:$AE734,7,FALSE)*$Q452*IFERROR((VLOOKUP(P452,Settings!$E$28:$F$33,2,FALSE)+1),1)</f>
        <v>17.761048417602431</v>
      </c>
      <c r="T452" s="40">
        <f>VLOOKUP(B452,'Player Data'!$A1:$AE734,8,FALSE)*$Q452*IFERROR((VLOOKUP(P452,Settings!$E$28:$F$33,2,FALSE)+1),1)</f>
        <v>19.779163858333295</v>
      </c>
      <c r="U452" s="40">
        <f t="shared" si="42"/>
        <v>37.54021227593573</v>
      </c>
      <c r="V452" s="40">
        <f>VLOOKUP(B452,'Player Data'!$A1:$AE734,10,FALSE)*$Q452*IFERROR(((VLOOKUP(P452,Settings!$E$28:$F$33,2,FALSE)/2)+1),1)</f>
        <v>179.56749247289528</v>
      </c>
      <c r="W452" s="40">
        <f>VLOOKUP(B452,'Player Data'!$A1:$AE734,11,FALSE)*$Q452*IFERROR((VLOOKUP(P452,Settings!$E$28:$F$33,2,FALSE)+1),1)</f>
        <v>3.5044231579543585</v>
      </c>
      <c r="X452" s="40">
        <f>VLOOKUP(B452,'Player Data'!$A1:$AE734,12,FALSE)*$Q452*IFERROR((VLOOKUP(P452,Settings!$E$28:$F$33,2,FALSE)+1),1)</f>
        <v>6.9258061259616106</v>
      </c>
      <c r="Y452" s="40">
        <f>VLOOKUP(B452,'Player Data'!$A1:$AE734,13,FALSE)*$Q452</f>
        <v>1.606711585434994</v>
      </c>
      <c r="Z452" s="40">
        <f>VLOOKUP(B452,'Player Data'!$A1:$AE734,14,FALSE)*$Q452</f>
        <v>2.8574963444854236</v>
      </c>
      <c r="AA452" s="40">
        <f>VLOOKUP(B452,'Player Data'!$A1:$AE734,15,FALSE)*$Q452</f>
        <v>42.866283059777935</v>
      </c>
      <c r="AB452" s="40">
        <f>VLOOKUP(B452,'Player Data'!$A1:$AE734,16,FALSE)*$Q452</f>
        <v>37.57021792327847</v>
      </c>
      <c r="AC452" s="40">
        <f>VLOOKUP(B452,'Player Data'!$A1:$AE734,17,FALSE)*$Q452*IFERROR((VLOOKUP(P452,Settings!$E$28:$F$33,2,FALSE)+1),1)</f>
        <v>-0.13129818709198723</v>
      </c>
      <c r="AD452" s="40">
        <f>VLOOKUP(B452,'Player Data'!$A1:$AE734,18,FALSE)*$Q452</f>
        <v>16.128751956092064</v>
      </c>
      <c r="AE452" s="40">
        <f>VLOOKUP(B452,'Player Data'!$A1:$AE734,19,FALSE)*$Q452*IFERROR((VLOOKUP(P452,Settings!$E$28:$F$33,2,FALSE)+1),1)</f>
        <v>2.9678401098234759</v>
      </c>
      <c r="AF452" s="40">
        <f>VLOOKUP(B452,'Player Data'!$A1:$AE734,20,FALSE)*$Q452</f>
        <v>38.909894264834875</v>
      </c>
      <c r="AG452" s="40">
        <f>VLOOKUP(B452,'Player Data'!$A1:$AE734,21,FALSE)*$Q452</f>
        <v>72.475850841776037</v>
      </c>
      <c r="AH452" s="41">
        <f>VLOOKUP(B452,'Player Data'!$A1:$AE734,22,FALSE)</f>
        <v>0.349325618171275</v>
      </c>
      <c r="AI452" s="38"/>
      <c r="AJ452" s="42"/>
      <c r="AK452" s="40"/>
      <c r="AL452" s="40"/>
      <c r="AM452" s="40"/>
      <c r="AN452" s="40"/>
      <c r="AO452" s="40"/>
      <c r="AP452" s="40"/>
      <c r="AQ452" s="43"/>
      <c r="AR452" s="44"/>
      <c r="AS452" s="38"/>
    </row>
    <row r="453" spans="1:45" ht="21.2" customHeight="1">
      <c r="A453" s="181">
        <f t="shared" si="43"/>
        <v>452</v>
      </c>
      <c r="B453" s="8" t="s">
        <v>520</v>
      </c>
      <c r="C453" s="31" t="s">
        <v>104</v>
      </c>
      <c r="D453" s="32" t="str">
        <f>VLOOKUP(B453,'Player Data'!A1:D734,4,FALSE)</f>
        <v>D</v>
      </c>
      <c r="E453" s="47">
        <f>VLOOKUP(B453,D!A1:C229,3,FALSE)</f>
        <v>166</v>
      </c>
      <c r="F453" s="34" t="str">
        <f>VLOOKUP(B453,'Player Data'!A1:B734,2,FALSE)</f>
        <v>ARI</v>
      </c>
      <c r="G453" s="9">
        <f>VLOOKUP(B453,'Player Data'!A1:D734,3,FALSE)</f>
        <v>29</v>
      </c>
      <c r="H453" s="35">
        <f>IFERROR(VLOOKUP(B453,ADP!A1:G731,7,FALSE)/1000000,VLOOKUP(B453,ADP!A1:G731,7,FALSE))</f>
        <v>1.1000000000000001</v>
      </c>
      <c r="I453" s="36">
        <f>IF(Settings!$E$15="POINTS",((R453*Q453)*Settings!$B$12)+(S453*Settings!$B$2)+(T453*Settings!$B$3)+(U453*Settings!$B$4)+(V453*Settings!$B$5)+(X453*Settings!$B$9)+(AA453*Settings!$B$6)+(W453*Settings!$B$8)+(AB453*Settings!$B$7)+(AC453*Settings!$B$14)+(AD453*Settings!$B$15)+(AE453*Settings!$B$16)+(AF453*Settings!$B$17)+(AG453*Settings!$B$18)+(U453*Settings!$B$13)+(Y453*Settings!$B$10)+(Z453*Settings!$B$11),VLOOKUP(B453,'Standard Deviations'!A1:C731,3,FALSE))</f>
        <v>-4.3314981075657633</v>
      </c>
      <c r="J453" s="37">
        <f t="shared" si="44"/>
        <v>-5.2823147653241018E-2</v>
      </c>
      <c r="K453" s="183">
        <f>VLOOKUP(B453,D!A1:F229,6,FALSE)</f>
        <v>-6.2732386512000744</v>
      </c>
      <c r="L453" s="36">
        <f t="shared" si="45"/>
        <v>-5.7029442283637035</v>
      </c>
      <c r="M453" s="52" t="str">
        <f>IF(Settings!$E$9="YAHOO",VLOOKUP(B453,ADP!A1:E731,2,FALSE),IF(Settings!$E$9="ESPN",VLOOKUP(B453,ADP!A1:E731,3,FALSE),IF(Settings!$E$9="FANTRAX",VLOOKUP(B453,ADP!A1:E731,4,FALSE),VLOOKUP(B453,ADP!A1:E731,5,FALSE))))</f>
        <v>-</v>
      </c>
      <c r="N453" s="52" t="str">
        <f t="shared" si="46"/>
        <v>N/A</v>
      </c>
      <c r="O453" s="38"/>
      <c r="P453" s="39" t="str">
        <f>IF(Settings!$E$27="ON",_xlfn.XLOOKUP(B453,ADP!A2:A731,ADP!H2:H731)," ")</f>
        <v xml:space="preserve"> </v>
      </c>
      <c r="Q453" s="40">
        <f>IF(Settings!$E$12="YES",VLOOKUP(B453,'Player Data'!A1:E734,5,FALSE),82)</f>
        <v>82</v>
      </c>
      <c r="R453" s="38">
        <f>VLOOKUP(B453,'Player Data'!$A1:$AE734,6,FALSE)</f>
        <v>18.2475032158777</v>
      </c>
      <c r="S453" s="40">
        <f>VLOOKUP(B453,'Player Data'!$A1:$AE734,7,FALSE)*$Q453*IFERROR((VLOOKUP(P453,Settings!$E$28:$F$33,2,FALSE)+1),1)</f>
        <v>3.8004159350256228</v>
      </c>
      <c r="T453" s="40">
        <f>VLOOKUP(B453,'Player Data'!$A1:$AE734,8,FALSE)*$Q453*IFERROR((VLOOKUP(P453,Settings!$E$28:$F$33,2,FALSE)+1),1)</f>
        <v>12.650302299554685</v>
      </c>
      <c r="U453" s="40">
        <f t="shared" si="42"/>
        <v>16.450718234580307</v>
      </c>
      <c r="V453" s="40">
        <f>VLOOKUP(B453,'Player Data'!$A1:$AE734,10,FALSE)*$Q453*IFERROR(((VLOOKUP(P453,Settings!$E$28:$F$33,2,FALSE)/2)+1),1)</f>
        <v>104.99330102365884</v>
      </c>
      <c r="W453" s="40">
        <f>VLOOKUP(B453,'Player Data'!$A1:$AE734,11,FALSE)*$Q453*IFERROR((VLOOKUP(P453,Settings!$E$28:$F$33,2,FALSE)+1),1)</f>
        <v>2.1258379864528141E-2</v>
      </c>
      <c r="X453" s="40">
        <f>VLOOKUP(B453,'Player Data'!$A1:$AE734,12,FALSE)*$Q453*IFERROR((VLOOKUP(P453,Settings!$E$28:$F$33,2,FALSE)+1),1)</f>
        <v>0.13800166144694478</v>
      </c>
      <c r="Y453" s="40">
        <f>VLOOKUP(B453,'Player Data'!$A1:$AE734,13,FALSE)*$Q453</f>
        <v>1.4870458209946093E-2</v>
      </c>
      <c r="Z453" s="40">
        <f>VLOOKUP(B453,'Player Data'!$A1:$AE734,14,FALSE)*$Q453</f>
        <v>0.1440818100437487</v>
      </c>
      <c r="AA453" s="40">
        <f>VLOOKUP(B453,'Player Data'!$A1:$AE734,15,FALSE)*$Q453</f>
        <v>108.44737015168488</v>
      </c>
      <c r="AB453" s="40">
        <f>VLOOKUP(B453,'Player Data'!$A1:$AE734,16,FALSE)*$Q453</f>
        <v>91.323704047458889</v>
      </c>
      <c r="AC453" s="40">
        <f>VLOOKUP(B453,'Player Data'!$A1:$AE734,17,FALSE)*$Q453*IFERROR((VLOOKUP(P453,Settings!$E$28:$F$33,2,FALSE)+1),1)</f>
        <v>-5.0085148217800688</v>
      </c>
      <c r="AD453" s="40">
        <f>VLOOKUP(B453,'Player Data'!$A1:$AE734,18,FALSE)*$Q453</f>
        <v>41.624027089594705</v>
      </c>
      <c r="AE453" s="40">
        <f>VLOOKUP(B453,'Player Data'!$A1:$AE734,19,FALSE)*$Q453*IFERROR((VLOOKUP(P453,Settings!$E$28:$F$33,2,FALSE)+1),1)</f>
        <v>0.47959956158540201</v>
      </c>
      <c r="AF453" s="40">
        <f>VLOOKUP(B453,'Player Data'!$A1:$AE734,20,FALSE)*$Q453</f>
        <v>0</v>
      </c>
      <c r="AG453" s="40">
        <f>VLOOKUP(B453,'Player Data'!$A1:$AE734,21,FALSE)*$Q453</f>
        <v>0</v>
      </c>
      <c r="AH453" s="41">
        <f>VLOOKUP(B453,'Player Data'!$A1:$AE734,22,FALSE)</f>
        <v>0</v>
      </c>
      <c r="AI453" s="38"/>
      <c r="AJ453" s="42"/>
      <c r="AK453" s="40"/>
      <c r="AL453" s="40"/>
      <c r="AM453" s="40"/>
      <c r="AN453" s="40"/>
      <c r="AO453" s="40"/>
      <c r="AP453" s="40"/>
      <c r="AQ453" s="43"/>
      <c r="AR453" s="44"/>
      <c r="AS453" s="38"/>
    </row>
    <row r="454" spans="1:45" ht="21.2" customHeight="1">
      <c r="A454" s="181">
        <f t="shared" si="43"/>
        <v>453</v>
      </c>
      <c r="B454" s="8" t="s">
        <v>533</v>
      </c>
      <c r="C454" s="31" t="s">
        <v>104</v>
      </c>
      <c r="D454" s="32" t="str">
        <f>VLOOKUP(B454,'Player Data'!A1:D734,4,FALSE)</f>
        <v>D</v>
      </c>
      <c r="E454" s="47">
        <f>VLOOKUP(B454,D!A1:C229,3,FALSE)</f>
        <v>167</v>
      </c>
      <c r="F454" s="34" t="str">
        <f>VLOOKUP(B454,'Player Data'!A1:B734,2,FALSE)</f>
        <v>MTL</v>
      </c>
      <c r="G454" s="9">
        <f>VLOOKUP(B454,'Player Data'!A1:D734,3,FALSE)</f>
        <v>26</v>
      </c>
      <c r="H454" s="35">
        <f>IFERROR(VLOOKUP(B454,ADP!A1:G731,7,FALSE)/1000000,VLOOKUP(B454,ADP!A1:G731,7,FALSE))</f>
        <v>0.76666699999999999</v>
      </c>
      <c r="I454" s="36">
        <f>IF(Settings!$E$15="POINTS",((R454*Q454)*Settings!$B$12)+(S454*Settings!$B$2)+(T454*Settings!$B$3)+(U454*Settings!$B$4)+(V454*Settings!$B$5)+(X454*Settings!$B$9)+(AA454*Settings!$B$6)+(W454*Settings!$B$8)+(AB454*Settings!$B$7)+(AC454*Settings!$B$14)+(AD454*Settings!$B$15)+(AE454*Settings!$B$16)+(AF454*Settings!$B$17)+(AG454*Settings!$B$18)+(U454*Settings!$B$13)+(Y454*Settings!$B$10)+(Z454*Settings!$B$11),VLOOKUP(B454,'Standard Deviations'!A1:C731,3,FALSE))</f>
        <v>-4.337573284256834</v>
      </c>
      <c r="J454" s="37">
        <f t="shared" si="44"/>
        <v>-5.2897235173863827E-2</v>
      </c>
      <c r="K454" s="183">
        <f>VLOOKUP(B454,D!A1:F229,6,FALSE)</f>
        <v>-6.2793138278911442</v>
      </c>
      <c r="L454" s="36">
        <f t="shared" si="45"/>
        <v>-8.1904057796815888</v>
      </c>
      <c r="M454" s="52" t="str">
        <f>IF(Settings!$E$9="YAHOO",VLOOKUP(B454,ADP!A1:E731,2,FALSE),IF(Settings!$E$9="ESPN",VLOOKUP(B454,ADP!A1:E731,3,FALSE),IF(Settings!$E$9="FANTRAX",VLOOKUP(B454,ADP!A1:E731,4,FALSE),VLOOKUP(B454,ADP!A1:E731,5,FALSE))))</f>
        <v>-</v>
      </c>
      <c r="N454" s="52" t="str">
        <f t="shared" si="46"/>
        <v>N/A</v>
      </c>
      <c r="O454" s="38"/>
      <c r="P454" s="39" t="str">
        <f>IF(Settings!$E$27="ON",_xlfn.XLOOKUP(B454,ADP!A2:A731,ADP!H2:H731)," ")</f>
        <v xml:space="preserve"> </v>
      </c>
      <c r="Q454" s="40">
        <f>IF(Settings!$E$12="YES",VLOOKUP(B454,'Player Data'!A1:E734,5,FALSE),82)</f>
        <v>82</v>
      </c>
      <c r="R454" s="38">
        <f>VLOOKUP(B454,'Player Data'!$A1:$AE734,6,FALSE)</f>
        <v>16.746874710415401</v>
      </c>
      <c r="S454" s="40">
        <f>VLOOKUP(B454,'Player Data'!$A1:$AE734,7,FALSE)*$Q454*IFERROR((VLOOKUP(P454,Settings!$E$28:$F$33,2,FALSE)+1),1)</f>
        <v>3.5469375108114982</v>
      </c>
      <c r="T454" s="40">
        <f>VLOOKUP(B454,'Player Data'!$A1:$AE734,8,FALSE)*$Q454*IFERROR((VLOOKUP(P454,Settings!$E$28:$F$33,2,FALSE)+1),1)</f>
        <v>13.749174943129676</v>
      </c>
      <c r="U454" s="40">
        <f t="shared" si="42"/>
        <v>17.296112453941173</v>
      </c>
      <c r="V454" s="40">
        <f>VLOOKUP(B454,'Player Data'!$A1:$AE734,10,FALSE)*$Q454*IFERROR(((VLOOKUP(P454,Settings!$E$28:$F$33,2,FALSE)/2)+1),1)</f>
        <v>98.847021513330986</v>
      </c>
      <c r="W454" s="40">
        <f>VLOOKUP(B454,'Player Data'!$A1:$AE734,11,FALSE)*$Q454*IFERROR((VLOOKUP(P454,Settings!$E$28:$F$33,2,FALSE)+1),1)</f>
        <v>2.8957090289959214E-2</v>
      </c>
      <c r="X454" s="40">
        <f>VLOOKUP(B454,'Player Data'!$A1:$AE734,12,FALSE)*$Q454*IFERROR((VLOOKUP(P454,Settings!$E$28:$F$33,2,FALSE)+1),1)</f>
        <v>0.18126252302967402</v>
      </c>
      <c r="Y454" s="40">
        <f>VLOOKUP(B454,'Player Data'!$A1:$AE734,13,FALSE)*$Q454</f>
        <v>4.082715553417969E-2</v>
      </c>
      <c r="Z454" s="40">
        <f>VLOOKUP(B454,'Player Data'!$A1:$AE734,14,FALSE)*$Q454</f>
        <v>0.2231710993815236</v>
      </c>
      <c r="AA454" s="40">
        <f>VLOOKUP(B454,'Player Data'!$A1:$AE734,15,FALSE)*$Q454</f>
        <v>93.708417370789917</v>
      </c>
      <c r="AB454" s="40">
        <f>VLOOKUP(B454,'Player Data'!$A1:$AE734,16,FALSE)*$Q454</f>
        <v>100.98597575205604</v>
      </c>
      <c r="AC454" s="40">
        <f>VLOOKUP(B454,'Player Data'!$A1:$AE734,17,FALSE)*$Q454*IFERROR((VLOOKUP(P454,Settings!$E$28:$F$33,2,FALSE)+1),1)</f>
        <v>-6.5770537886527327</v>
      </c>
      <c r="AD454" s="40">
        <f>VLOOKUP(B454,'Player Data'!$A1:$AE734,18,FALSE)*$Q454</f>
        <v>31.675465862484987</v>
      </c>
      <c r="AE454" s="40">
        <f>VLOOKUP(B454,'Player Data'!$A1:$AE734,19,FALSE)*$Q454*IFERROR((VLOOKUP(P454,Settings!$E$28:$F$33,2,FALSE)+1),1)</f>
        <v>0.363355778902545</v>
      </c>
      <c r="AF454" s="40">
        <f>VLOOKUP(B454,'Player Data'!$A1:$AE734,20,FALSE)*$Q454</f>
        <v>0</v>
      </c>
      <c r="AG454" s="40">
        <f>VLOOKUP(B454,'Player Data'!$A1:$AE734,21,FALSE)*$Q454</f>
        <v>0</v>
      </c>
      <c r="AH454" s="41">
        <f>VLOOKUP(B454,'Player Data'!$A1:$AE734,22,FALSE)</f>
        <v>0</v>
      </c>
      <c r="AI454" s="38"/>
      <c r="AJ454" s="42"/>
      <c r="AK454" s="40"/>
      <c r="AL454" s="40"/>
      <c r="AM454" s="40"/>
      <c r="AN454" s="40"/>
      <c r="AO454" s="40"/>
      <c r="AP454" s="40"/>
      <c r="AQ454" s="43"/>
      <c r="AR454" s="44"/>
      <c r="AS454" s="42"/>
    </row>
    <row r="455" spans="1:45" ht="21.2" customHeight="1">
      <c r="A455" s="181">
        <f t="shared" si="43"/>
        <v>454</v>
      </c>
      <c r="B455" s="8" t="s">
        <v>540</v>
      </c>
      <c r="C455" s="31" t="s">
        <v>104</v>
      </c>
      <c r="D455" s="32" t="str">
        <f>VLOOKUP(B455,'Player Data'!A1:D734,4,FALSE)</f>
        <v>D</v>
      </c>
      <c r="E455" s="47">
        <f>VLOOKUP(B455,D!A1:C229,3,FALSE)</f>
        <v>168</v>
      </c>
      <c r="F455" s="34" t="str">
        <f>VLOOKUP(B455,'Player Data'!A1:B734,2,FALSE)</f>
        <v>WSH</v>
      </c>
      <c r="G455" s="9">
        <f>VLOOKUP(B455,'Player Data'!A1:D734,3,FALSE)</f>
        <v>30</v>
      </c>
      <c r="H455" s="35">
        <f>IFERROR(VLOOKUP(B455,ADP!A1:G731,7,FALSE)/1000000,VLOOKUP(B455,ADP!A1:G731,7,FALSE))</f>
        <v>1.75</v>
      </c>
      <c r="I455" s="36">
        <f>IF(Settings!$E$15="POINTS",((R455*Q455)*Settings!$B$12)+(S455*Settings!$B$2)+(T455*Settings!$B$3)+(U455*Settings!$B$4)+(V455*Settings!$B$5)+(X455*Settings!$B$9)+(AA455*Settings!$B$6)+(W455*Settings!$B$8)+(AB455*Settings!$B$7)+(AC455*Settings!$B$14)+(AD455*Settings!$B$15)+(AE455*Settings!$B$16)+(AF455*Settings!$B$17)+(AG455*Settings!$B$18)+(U455*Settings!$B$13)+(Y455*Settings!$B$10)+(Z455*Settings!$B$11),VLOOKUP(B455,'Standard Deviations'!A1:C731,3,FALSE))</f>
        <v>-4.3522749343678937</v>
      </c>
      <c r="J455" s="37">
        <f t="shared" si="44"/>
        <v>-5.3076523589852362E-2</v>
      </c>
      <c r="K455" s="183">
        <f>VLOOKUP(B455,D!A1:F229,6,FALSE)</f>
        <v>-6.2940154780022048</v>
      </c>
      <c r="L455" s="36">
        <f t="shared" si="45"/>
        <v>-3.596580273144117</v>
      </c>
      <c r="M455" s="52" t="str">
        <f>IF(Settings!$E$9="YAHOO",VLOOKUP(B455,ADP!A1:E731,2,FALSE),IF(Settings!$E$9="ESPN",VLOOKUP(B455,ADP!A1:E731,3,FALSE),IF(Settings!$E$9="FANTRAX",VLOOKUP(B455,ADP!A1:E731,4,FALSE),VLOOKUP(B455,ADP!A1:E731,5,FALSE))))</f>
        <v>-</v>
      </c>
      <c r="N455" s="52" t="str">
        <f t="shared" si="46"/>
        <v>N/A</v>
      </c>
      <c r="O455" s="38"/>
      <c r="P455" s="39" t="str">
        <f>IF(Settings!$E$27="ON",_xlfn.XLOOKUP(B455,ADP!A2:A731,ADP!H2:H731)," ")</f>
        <v xml:space="preserve"> </v>
      </c>
      <c r="Q455" s="40">
        <f>IF(Settings!$E$12="YES",VLOOKUP(B455,'Player Data'!A1:E734,5,FALSE),82)</f>
        <v>82</v>
      </c>
      <c r="R455" s="38">
        <f>VLOOKUP(B455,'Player Data'!$A1:$AE734,6,FALSE)</f>
        <v>19.066660898265699</v>
      </c>
      <c r="S455" s="40">
        <f>VLOOKUP(B455,'Player Data'!$A1:$AE734,7,FALSE)*$Q455*IFERROR((VLOOKUP(P455,Settings!$E$28:$F$33,2,FALSE)+1),1)</f>
        <v>4.2119070861926913</v>
      </c>
      <c r="T455" s="40">
        <f>VLOOKUP(B455,'Player Data'!$A1:$AE734,8,FALSE)*$Q455*IFERROR((VLOOKUP(P455,Settings!$E$28:$F$33,2,FALSE)+1),1)</f>
        <v>13.99103919275877</v>
      </c>
      <c r="U455" s="40">
        <f t="shared" si="42"/>
        <v>18.202946278951462</v>
      </c>
      <c r="V455" s="40">
        <f>VLOOKUP(B455,'Player Data'!$A1:$AE734,10,FALSE)*$Q455*IFERROR(((VLOOKUP(P455,Settings!$E$28:$F$33,2,FALSE)/2)+1),1)</f>
        <v>90.889107504972486</v>
      </c>
      <c r="W455" s="40">
        <f>VLOOKUP(B455,'Player Data'!$A1:$AE734,11,FALSE)*$Q455*IFERROR((VLOOKUP(P455,Settings!$E$28:$F$33,2,FALSE)+1),1)</f>
        <v>2.3972260204002595E-2</v>
      </c>
      <c r="X455" s="40">
        <f>VLOOKUP(B455,'Player Data'!$A1:$AE734,12,FALSE)*$Q455*IFERROR((VLOOKUP(P455,Settings!$E$28:$F$33,2,FALSE)+1),1)</f>
        <v>0.1570530465015007</v>
      </c>
      <c r="Y455" s="40">
        <f>VLOOKUP(B455,'Player Data'!$A1:$AE734,13,FALSE)*$Q455</f>
        <v>-5.7334352729082726E-3</v>
      </c>
      <c r="Z455" s="40">
        <f>VLOOKUP(B455,'Player Data'!$A1:$AE734,14,FALSE)*$Q455</f>
        <v>0.80488925848456205</v>
      </c>
      <c r="AA455" s="40">
        <f>VLOOKUP(B455,'Player Data'!$A1:$AE734,15,FALSE)*$Q455</f>
        <v>160.30628351645262</v>
      </c>
      <c r="AB455" s="40">
        <f>VLOOKUP(B455,'Player Data'!$A1:$AE734,16,FALSE)*$Q455</f>
        <v>136.96054764706597</v>
      </c>
      <c r="AC455" s="40">
        <f>VLOOKUP(B455,'Player Data'!$A1:$AE734,17,FALSE)*$Q455*IFERROR((VLOOKUP(P455,Settings!$E$28:$F$33,2,FALSE)+1),1)</f>
        <v>-6.3607483529534932</v>
      </c>
      <c r="AD455" s="40">
        <f>VLOOKUP(B455,'Player Data'!$A1:$AE734,18,FALSE)*$Q455</f>
        <v>48.454330736772199</v>
      </c>
      <c r="AE455" s="40">
        <f>VLOOKUP(B455,'Player Data'!$A1:$AE734,19,FALSE)*$Q455*IFERROR((VLOOKUP(P455,Settings!$E$28:$F$33,2,FALSE)+1),1)</f>
        <v>0.51808936580318199</v>
      </c>
      <c r="AF455" s="40">
        <f>VLOOKUP(B455,'Player Data'!$A1:$AE734,20,FALSE)*$Q455</f>
        <v>0</v>
      </c>
      <c r="AG455" s="40">
        <f>VLOOKUP(B455,'Player Data'!$A1:$AE734,21,FALSE)*$Q455</f>
        <v>0</v>
      </c>
      <c r="AH455" s="41">
        <f>VLOOKUP(B455,'Player Data'!$A1:$AE734,22,FALSE)</f>
        <v>0</v>
      </c>
      <c r="AI455" s="38"/>
      <c r="AJ455" s="42"/>
      <c r="AK455" s="40"/>
      <c r="AL455" s="40"/>
      <c r="AM455" s="40"/>
      <c r="AN455" s="40"/>
      <c r="AO455" s="40"/>
      <c r="AP455" s="40"/>
      <c r="AQ455" s="43"/>
      <c r="AR455" s="44"/>
      <c r="AS455" s="38"/>
    </row>
    <row r="456" spans="1:45" ht="21.2" customHeight="1">
      <c r="A456" s="181">
        <f t="shared" si="43"/>
        <v>455</v>
      </c>
      <c r="B456" s="8" t="s">
        <v>529</v>
      </c>
      <c r="C456" s="31" t="s">
        <v>104</v>
      </c>
      <c r="D456" s="32" t="str">
        <f>VLOOKUP(B456,'Player Data'!A1:D734,4,FALSE)</f>
        <v>D</v>
      </c>
      <c r="E456" s="47">
        <f>VLOOKUP(B456,D!A1:C229,3,FALSE)</f>
        <v>169</v>
      </c>
      <c r="F456" s="34" t="str">
        <f>VLOOKUP(B456,'Player Data'!A1:B734,2,FALSE)</f>
        <v>NYR</v>
      </c>
      <c r="G456" s="9">
        <f>VLOOKUP(B456,'Player Data'!A1:D734,3,FALSE)</f>
        <v>21</v>
      </c>
      <c r="H456" s="35">
        <f>IFERROR(VLOOKUP(B456,ADP!A1:G731,7,FALSE)/1000000,VLOOKUP(B456,ADP!A1:G731,7,FALSE))</f>
        <v>0.92500000000000004</v>
      </c>
      <c r="I456" s="36">
        <f>IF(Settings!$E$15="POINTS",((R456*Q456)*Settings!$B$12)+(S456*Settings!$B$2)+(T456*Settings!$B$3)+(U456*Settings!$B$4)+(V456*Settings!$B$5)+(X456*Settings!$B$9)+(AA456*Settings!$B$6)+(W456*Settings!$B$8)+(AB456*Settings!$B$7)+(AC456*Settings!$B$14)+(AD456*Settings!$B$15)+(AE456*Settings!$B$16)+(AF456*Settings!$B$17)+(AG456*Settings!$B$18)+(U456*Settings!$B$13)+(Y456*Settings!$B$10)+(Z456*Settings!$B$11),VLOOKUP(B456,'Standard Deviations'!A1:C731,3,FALSE))</f>
        <v>-4.3784259923568332</v>
      </c>
      <c r="J456" s="37">
        <f t="shared" si="44"/>
        <v>-5.3395438931180893E-2</v>
      </c>
      <c r="K456" s="183">
        <f>VLOOKUP(B456,D!A1:F229,6,FALSE)</f>
        <v>-6.3201665359911434</v>
      </c>
      <c r="L456" s="36">
        <f t="shared" si="45"/>
        <v>-6.8326124713417764</v>
      </c>
      <c r="M456" s="52" t="str">
        <f>IF(Settings!$E$9="YAHOO",VLOOKUP(B456,ADP!A1:E731,2,FALSE),IF(Settings!$E$9="ESPN",VLOOKUP(B456,ADP!A1:E731,3,FALSE),IF(Settings!$E$9="FANTRAX",VLOOKUP(B456,ADP!A1:E731,4,FALSE),VLOOKUP(B456,ADP!A1:E731,5,FALSE))))</f>
        <v>-</v>
      </c>
      <c r="N456" s="52" t="str">
        <f t="shared" si="46"/>
        <v>N/A</v>
      </c>
      <c r="O456" s="38"/>
      <c r="P456" s="39" t="str">
        <f>IF(Settings!$E$27="ON",_xlfn.XLOOKUP(B456,ADP!A2:A731,ADP!H2:H731)," ")</f>
        <v xml:space="preserve"> </v>
      </c>
      <c r="Q456" s="40">
        <f>IF(Settings!$E$12="YES",VLOOKUP(B456,'Player Data'!A1:E734,5,FALSE),82)</f>
        <v>82</v>
      </c>
      <c r="R456" s="38">
        <f>VLOOKUP(B456,'Player Data'!$A1:$AE734,6,FALSE)</f>
        <v>15.7607254043516</v>
      </c>
      <c r="S456" s="40">
        <f>VLOOKUP(B456,'Player Data'!$A1:$AE734,7,FALSE)*$Q456*IFERROR((VLOOKUP(P456,Settings!$E$28:$F$33,2,FALSE)+1),1)</f>
        <v>4.8555993693149357</v>
      </c>
      <c r="T456" s="40">
        <f>VLOOKUP(B456,'Player Data'!$A1:$AE734,8,FALSE)*$Q456*IFERROR((VLOOKUP(P456,Settings!$E$28:$F$33,2,FALSE)+1),1)</f>
        <v>14.995062936642331</v>
      </c>
      <c r="U456" s="40">
        <f t="shared" si="42"/>
        <v>19.850662305957265</v>
      </c>
      <c r="V456" s="40">
        <f>VLOOKUP(B456,'Player Data'!$A1:$AE734,10,FALSE)*$Q456*IFERROR(((VLOOKUP(P456,Settings!$E$28:$F$33,2,FALSE)/2)+1),1)</f>
        <v>76.622465541659466</v>
      </c>
      <c r="W456" s="40">
        <f>VLOOKUP(B456,'Player Data'!$A1:$AE734,11,FALSE)*$Q456*IFERROR((VLOOKUP(P456,Settings!$E$28:$F$33,2,FALSE)+1),1)</f>
        <v>2.6415830723383014E-2</v>
      </c>
      <c r="X456" s="40">
        <f>VLOOKUP(B456,'Player Data'!$A1:$AE734,12,FALSE)*$Q456*IFERROR((VLOOKUP(P456,Settings!$E$28:$F$33,2,FALSE)+1),1)</f>
        <v>0.21745389548477392</v>
      </c>
      <c r="Y456" s="40">
        <f>VLOOKUP(B456,'Player Data'!$A1:$AE734,13,FALSE)*$Q456</f>
        <v>4.1977824554084636E-2</v>
      </c>
      <c r="Z456" s="40">
        <f>VLOOKUP(B456,'Player Data'!$A1:$AE734,14,FALSE)*$Q456</f>
        <v>0.20277207923589211</v>
      </c>
      <c r="AA456" s="40">
        <f>VLOOKUP(B456,'Player Data'!$A1:$AE734,15,FALSE)*$Q456</f>
        <v>118.01633119605971</v>
      </c>
      <c r="AB456" s="40">
        <f>VLOOKUP(B456,'Player Data'!$A1:$AE734,16,FALSE)*$Q456</f>
        <v>132.60070085525319</v>
      </c>
      <c r="AC456" s="40">
        <f>VLOOKUP(B456,'Player Data'!$A1:$AE734,17,FALSE)*$Q456*IFERROR((VLOOKUP(P456,Settings!$E$28:$F$33,2,FALSE)+1),1)</f>
        <v>3.6321298969638982</v>
      </c>
      <c r="AD456" s="40">
        <f>VLOOKUP(B456,'Player Data'!$A1:$AE734,18,FALSE)*$Q456</f>
        <v>22.377330100989074</v>
      </c>
      <c r="AE456" s="40">
        <f>VLOOKUP(B456,'Player Data'!$A1:$AE734,19,FALSE)*$Q456*IFERROR((VLOOKUP(P456,Settings!$E$28:$F$33,2,FALSE)+1),1)</f>
        <v>0.82738506531382361</v>
      </c>
      <c r="AF456" s="40">
        <f>VLOOKUP(B456,'Player Data'!$A1:$AE734,20,FALSE)*$Q456</f>
        <v>0</v>
      </c>
      <c r="AG456" s="40">
        <f>VLOOKUP(B456,'Player Data'!$A1:$AE734,21,FALSE)*$Q456</f>
        <v>0</v>
      </c>
      <c r="AH456" s="41">
        <f>VLOOKUP(B456,'Player Data'!$A1:$AE734,22,FALSE)</f>
        <v>0</v>
      </c>
      <c r="AI456" s="38"/>
      <c r="AJ456" s="42"/>
      <c r="AK456" s="40"/>
      <c r="AL456" s="40"/>
      <c r="AM456" s="40"/>
      <c r="AN456" s="40"/>
      <c r="AO456" s="40"/>
      <c r="AP456" s="40"/>
      <c r="AQ456" s="43"/>
      <c r="AR456" s="44"/>
      <c r="AS456" s="38"/>
    </row>
    <row r="457" spans="1:45" ht="21.2" customHeight="1">
      <c r="A457" s="181">
        <f t="shared" si="43"/>
        <v>456</v>
      </c>
      <c r="B457" s="8" t="s">
        <v>494</v>
      </c>
      <c r="C457" s="31" t="s">
        <v>104</v>
      </c>
      <c r="D457" s="32" t="str">
        <f>VLOOKUP(B457,'Player Data'!A1:D734,4,FALSE)</f>
        <v>D</v>
      </c>
      <c r="E457" s="47">
        <f>VLOOKUP(B457,D!A1:C229,3,FALSE)</f>
        <v>171</v>
      </c>
      <c r="F457" s="34" t="str">
        <f>VLOOKUP(B457,'Player Data'!A1:B734,2,FALSE)</f>
        <v>DAL</v>
      </c>
      <c r="G457" s="9">
        <f>VLOOKUP(B457,'Player Data'!A1:D734,3,FALSE)</f>
        <v>38</v>
      </c>
      <c r="H457" s="35">
        <f>IFERROR(VLOOKUP(B457,ADP!A1:G731,7,FALSE)/1000000,VLOOKUP(B457,ADP!A1:G731,7,FALSE))</f>
        <v>3.65</v>
      </c>
      <c r="I457" s="36">
        <f>IF(Settings!$E$15="POINTS",((R457*Q457)*Settings!$B$12)+(S457*Settings!$B$2)+(T457*Settings!$B$3)+(U457*Settings!$B$4)+(V457*Settings!$B$5)+(X457*Settings!$B$9)+(AA457*Settings!$B$6)+(W457*Settings!$B$8)+(AB457*Settings!$B$7)+(AC457*Settings!$B$14)+(AD457*Settings!$B$15)+(AE457*Settings!$B$16)+(AF457*Settings!$B$17)+(AG457*Settings!$B$18)+(U457*Settings!$B$13)+(Y457*Settings!$B$10)+(Z457*Settings!$B$11),VLOOKUP(B457,'Standard Deviations'!A1:C731,3,FALSE))</f>
        <v>-4.3857190780985906</v>
      </c>
      <c r="J457" s="37">
        <f t="shared" si="44"/>
        <v>-5.3484379001202322E-2</v>
      </c>
      <c r="K457" s="183">
        <f>VLOOKUP(B457,D!A1:F229,6,FALSE)</f>
        <v>-6.3274596217329009</v>
      </c>
      <c r="L457" s="36">
        <f t="shared" si="45"/>
        <v>-1.7335505812966852</v>
      </c>
      <c r="M457" s="52" t="str">
        <f>IF(Settings!$E$9="YAHOO",VLOOKUP(B457,ADP!A1:E731,2,FALSE),IF(Settings!$E$9="ESPN",VLOOKUP(B457,ADP!A1:E731,3,FALSE),IF(Settings!$E$9="FANTRAX",VLOOKUP(B457,ADP!A1:E731,4,FALSE),VLOOKUP(B457,ADP!A1:E731,5,FALSE))))</f>
        <v>-</v>
      </c>
      <c r="N457" s="52" t="str">
        <f t="shared" si="46"/>
        <v>N/A</v>
      </c>
      <c r="O457" s="38"/>
      <c r="P457" s="39" t="str">
        <f>IF(Settings!$E$27="ON",_xlfn.XLOOKUP(B457,ADP!A2:A731,ADP!H2:H731)," ")</f>
        <v xml:space="preserve"> </v>
      </c>
      <c r="Q457" s="40">
        <f>IF(Settings!$E$12="YES",VLOOKUP(B457,'Player Data'!A1:E734,5,FALSE),82)</f>
        <v>82</v>
      </c>
      <c r="R457" s="38">
        <f>VLOOKUP(B457,'Player Data'!$A1:$AE734,6,FALSE)</f>
        <v>18.530679583151599</v>
      </c>
      <c r="S457" s="40">
        <f>VLOOKUP(B457,'Player Data'!$A1:$AE734,7,FALSE)*$Q457*IFERROR((VLOOKUP(P457,Settings!$E$28:$F$33,2,FALSE)+1),1)</f>
        <v>2.3649979078954071</v>
      </c>
      <c r="T457" s="40">
        <f>VLOOKUP(B457,'Player Data'!$A1:$AE734,8,FALSE)*$Q457*IFERROR((VLOOKUP(P457,Settings!$E$28:$F$33,2,FALSE)+1),1)</f>
        <v>15.354680647944713</v>
      </c>
      <c r="U457" s="40">
        <f t="shared" si="42"/>
        <v>17.719678555840119</v>
      </c>
      <c r="V457" s="40">
        <f>VLOOKUP(B457,'Player Data'!$A1:$AE734,10,FALSE)*$Q457*IFERROR(((VLOOKUP(P457,Settings!$E$28:$F$33,2,FALSE)/2)+1),1)</f>
        <v>85.083072521120641</v>
      </c>
      <c r="W457" s="40">
        <f>VLOOKUP(B457,'Player Data'!$A1:$AE734,11,FALSE)*$Q457*IFERROR((VLOOKUP(P457,Settings!$E$28:$F$33,2,FALSE)+1),1)</f>
        <v>0.32116192512460684</v>
      </c>
      <c r="X457" s="40">
        <f>VLOOKUP(B457,'Player Data'!$A1:$AE734,12,FALSE)*$Q457*IFERROR((VLOOKUP(P457,Settings!$E$28:$F$33,2,FALSE)+1),1)</f>
        <v>1.7872748753360514</v>
      </c>
      <c r="Y457" s="40">
        <f>VLOOKUP(B457,'Player Data'!$A1:$AE734,13,FALSE)*$Q457</f>
        <v>-6.8724647610838893E-2</v>
      </c>
      <c r="Z457" s="40">
        <f>VLOOKUP(B457,'Player Data'!$A1:$AE734,14,FALSE)*$Q457</f>
        <v>0.17963414826130572</v>
      </c>
      <c r="AA457" s="40">
        <f>VLOOKUP(B457,'Player Data'!$A1:$AE734,15,FALSE)*$Q457</f>
        <v>99.874776766058616</v>
      </c>
      <c r="AB457" s="40">
        <f>VLOOKUP(B457,'Player Data'!$A1:$AE734,16,FALSE)*$Q457</f>
        <v>74.765308417524096</v>
      </c>
      <c r="AC457" s="40">
        <f>VLOOKUP(B457,'Player Data'!$A1:$AE734,17,FALSE)*$Q457*IFERROR((VLOOKUP(P457,Settings!$E$28:$F$33,2,FALSE)+1),1)</f>
        <v>4.8338179058090027</v>
      </c>
      <c r="AD457" s="40">
        <f>VLOOKUP(B457,'Player Data'!$A1:$AE734,18,FALSE)*$Q457</f>
        <v>27.011799942620073</v>
      </c>
      <c r="AE457" s="40">
        <f>VLOOKUP(B457,'Player Data'!$A1:$AE734,19,FALSE)*$Q457*IFERROR((VLOOKUP(P457,Settings!$E$28:$F$33,2,FALSE)+1),1)</f>
        <v>0.37838289966430283</v>
      </c>
      <c r="AF457" s="40">
        <f>VLOOKUP(B457,'Player Data'!$A1:$AE734,20,FALSE)*$Q457</f>
        <v>0</v>
      </c>
      <c r="AG457" s="40">
        <f>VLOOKUP(B457,'Player Data'!$A1:$AE734,21,FALSE)*$Q457</f>
        <v>0</v>
      </c>
      <c r="AH457" s="41">
        <f>VLOOKUP(B457,'Player Data'!$A1:$AE734,22,FALSE)</f>
        <v>0</v>
      </c>
      <c r="AI457" s="38"/>
      <c r="AJ457" s="42"/>
      <c r="AK457" s="40"/>
      <c r="AL457" s="40"/>
      <c r="AM457" s="40"/>
      <c r="AN457" s="40"/>
      <c r="AO457" s="40"/>
      <c r="AP457" s="40"/>
      <c r="AQ457" s="43"/>
      <c r="AR457" s="44"/>
      <c r="AS457" s="38"/>
    </row>
    <row r="458" spans="1:45" ht="21.2" customHeight="1">
      <c r="A458" s="181">
        <f t="shared" si="43"/>
        <v>457</v>
      </c>
      <c r="B458" s="8" t="s">
        <v>552</v>
      </c>
      <c r="C458" s="31" t="s">
        <v>104</v>
      </c>
      <c r="D458" s="32" t="str">
        <f>VLOOKUP(B458,'Player Data'!A1:D734,4,FALSE)</f>
        <v>D</v>
      </c>
      <c r="E458" s="47">
        <f>VLOOKUP(B458,D!A1:C229,3,FALSE)</f>
        <v>172</v>
      </c>
      <c r="F458" s="34" t="str">
        <f>VLOOKUP(B458,'Player Data'!A1:B734,2,FALSE)</f>
        <v>SEA</v>
      </c>
      <c r="G458" s="9">
        <f>VLOOKUP(B458,'Player Data'!A1:D734,3,FALSE)</f>
        <v>26</v>
      </c>
      <c r="H458" s="35">
        <f>IFERROR(VLOOKUP(B458,ADP!A1:G731,7,FALSE)/1000000,VLOOKUP(B458,ADP!A1:G731,7,FALSE))</f>
        <v>2.7</v>
      </c>
      <c r="I458" s="36">
        <f>IF(Settings!$E$15="POINTS",((R458*Q458)*Settings!$B$12)+(S458*Settings!$B$2)+(T458*Settings!$B$3)+(U458*Settings!$B$4)+(V458*Settings!$B$5)+(X458*Settings!$B$9)+(AA458*Settings!$B$6)+(W458*Settings!$B$8)+(AB458*Settings!$B$7)+(AC458*Settings!$B$14)+(AD458*Settings!$B$15)+(AE458*Settings!$B$16)+(AF458*Settings!$B$17)+(AG458*Settings!$B$18)+(U458*Settings!$B$13)+(Y458*Settings!$B$10)+(Z458*Settings!$B$11),VLOOKUP(B458,'Standard Deviations'!A1:C731,3,FALSE))</f>
        <v>-4.4014679045929128</v>
      </c>
      <c r="J458" s="37">
        <f t="shared" si="44"/>
        <v>-5.367643786088918E-2</v>
      </c>
      <c r="K458" s="183">
        <f>VLOOKUP(B458,D!A1:F229,6,FALSE)</f>
        <v>-6.3432084482272231</v>
      </c>
      <c r="L458" s="36">
        <f t="shared" si="45"/>
        <v>-2.3493364623063786</v>
      </c>
      <c r="M458" s="52" t="str">
        <f>IF(Settings!$E$9="YAHOO",VLOOKUP(B458,ADP!A1:E731,2,FALSE),IF(Settings!$E$9="ESPN",VLOOKUP(B458,ADP!A1:E731,3,FALSE),IF(Settings!$E$9="FANTRAX",VLOOKUP(B458,ADP!A1:E731,4,FALSE),VLOOKUP(B458,ADP!A1:E731,5,FALSE))))</f>
        <v>-</v>
      </c>
      <c r="N458" s="52" t="str">
        <f t="shared" si="46"/>
        <v>N/A</v>
      </c>
      <c r="O458" s="38"/>
      <c r="P458" s="39" t="str">
        <f>IF(Settings!$E$27="ON",_xlfn.XLOOKUP(B458,ADP!A2:A731,ADP!H2:H731)," ")</f>
        <v xml:space="preserve"> </v>
      </c>
      <c r="Q458" s="40">
        <f>IF(Settings!$E$12="YES",VLOOKUP(B458,'Player Data'!A1:E734,5,FALSE),82)</f>
        <v>82</v>
      </c>
      <c r="R458" s="38">
        <f>VLOOKUP(B458,'Player Data'!$A1:$AE734,6,FALSE)</f>
        <v>16.274512713414701</v>
      </c>
      <c r="S458" s="40">
        <f>VLOOKUP(B458,'Player Data'!$A1:$AE734,7,FALSE)*$Q458*IFERROR((VLOOKUP(P458,Settings!$E$28:$F$33,2,FALSE)+1),1)</f>
        <v>3.5628573911752031</v>
      </c>
      <c r="T458" s="40">
        <f>VLOOKUP(B458,'Player Data'!$A1:$AE734,8,FALSE)*$Q458*IFERROR((VLOOKUP(P458,Settings!$E$28:$F$33,2,FALSE)+1),1)</f>
        <v>15.518405666999675</v>
      </c>
      <c r="U458" s="40">
        <f t="shared" si="42"/>
        <v>19.081263058174876</v>
      </c>
      <c r="V458" s="40">
        <f>VLOOKUP(B458,'Player Data'!$A1:$AE734,10,FALSE)*$Q458*IFERROR(((VLOOKUP(P458,Settings!$E$28:$F$33,2,FALSE)/2)+1),1)</f>
        <v>82.738888815565232</v>
      </c>
      <c r="W458" s="40">
        <f>VLOOKUP(B458,'Player Data'!$A1:$AE734,11,FALSE)*$Q458*IFERROR((VLOOKUP(P458,Settings!$E$28:$F$33,2,FALSE)+1),1)</f>
        <v>2.5334643645736492E-2</v>
      </c>
      <c r="X458" s="40">
        <f>VLOOKUP(B458,'Player Data'!$A1:$AE734,12,FALSE)*$Q458*IFERROR((VLOOKUP(P458,Settings!$E$28:$F$33,2,FALSE)+1),1)</f>
        <v>0.15911313505891997</v>
      </c>
      <c r="Y458" s="40">
        <f>VLOOKUP(B458,'Player Data'!$A1:$AE734,13,FALSE)*$Q458</f>
        <v>4.052756010584372E-2</v>
      </c>
      <c r="Z458" s="40">
        <f>VLOOKUP(B458,'Player Data'!$A1:$AE734,14,FALSE)*$Q458</f>
        <v>0.2214499565837092</v>
      </c>
      <c r="AA458" s="40">
        <f>VLOOKUP(B458,'Player Data'!$A1:$AE734,15,FALSE)*$Q458</f>
        <v>91.901128273702554</v>
      </c>
      <c r="AB458" s="40">
        <f>VLOOKUP(B458,'Player Data'!$A1:$AE734,16,FALSE)*$Q458</f>
        <v>177.6487477634814</v>
      </c>
      <c r="AC458" s="40">
        <f>VLOOKUP(B458,'Player Data'!$A1:$AE734,17,FALSE)*$Q458*IFERROR((VLOOKUP(P458,Settings!$E$28:$F$33,2,FALSE)+1),1)</f>
        <v>-0.22317557741154481</v>
      </c>
      <c r="AD458" s="40">
        <f>VLOOKUP(B458,'Player Data'!$A1:$AE734,18,FALSE)*$Q458</f>
        <v>46.689200521131234</v>
      </c>
      <c r="AE458" s="40">
        <f>VLOOKUP(B458,'Player Data'!$A1:$AE734,19,FALSE)*$Q458*IFERROR((VLOOKUP(P458,Settings!$E$28:$F$33,2,FALSE)+1),1)</f>
        <v>0.50079871284789734</v>
      </c>
      <c r="AF458" s="40">
        <f>VLOOKUP(B458,'Player Data'!$A1:$AE734,20,FALSE)*$Q458</f>
        <v>0</v>
      </c>
      <c r="AG458" s="40">
        <f>VLOOKUP(B458,'Player Data'!$A1:$AE734,21,FALSE)*$Q458</f>
        <v>0</v>
      </c>
      <c r="AH458" s="41">
        <f>VLOOKUP(B458,'Player Data'!$A1:$AE734,22,FALSE)</f>
        <v>0</v>
      </c>
      <c r="AI458" s="38"/>
      <c r="AJ458" s="42"/>
      <c r="AK458" s="40"/>
      <c r="AL458" s="40"/>
      <c r="AM458" s="40"/>
      <c r="AN458" s="40"/>
      <c r="AO458" s="40"/>
      <c r="AP458" s="40"/>
      <c r="AQ458" s="43"/>
      <c r="AR458" s="44"/>
      <c r="AS458" s="38"/>
    </row>
    <row r="459" spans="1:45" ht="21.2" customHeight="1">
      <c r="A459" s="181">
        <f t="shared" si="43"/>
        <v>458</v>
      </c>
      <c r="B459" s="8" t="s">
        <v>507</v>
      </c>
      <c r="C459" s="31" t="s">
        <v>104</v>
      </c>
      <c r="D459" s="32" t="str">
        <f>VLOOKUP(B459,'Player Data'!A1:D734,4,FALSE)</f>
        <v>D</v>
      </c>
      <c r="E459" s="47">
        <f>VLOOKUP(B459,D!A1:C229,3,FALSE)</f>
        <v>173</v>
      </c>
      <c r="F459" s="34" t="str">
        <f>VLOOKUP(B459,'Player Data'!A1:B734,2,FALSE)</f>
        <v>FLA</v>
      </c>
      <c r="G459" s="9">
        <f>VLOOKUP(B459,'Player Data'!A1:D734,3,FALSE)</f>
        <v>32</v>
      </c>
      <c r="H459" s="35">
        <f>IFERROR(VLOOKUP(B459,ADP!A1:G731,7,FALSE)/1000000,VLOOKUP(B459,ADP!A1:G731,7,FALSE))</f>
        <v>1</v>
      </c>
      <c r="I459" s="36">
        <f>IF(Settings!$E$15="POINTS",((R459*Q459)*Settings!$B$12)+(S459*Settings!$B$2)+(T459*Settings!$B$3)+(U459*Settings!$B$4)+(V459*Settings!$B$5)+(X459*Settings!$B$9)+(AA459*Settings!$B$6)+(W459*Settings!$B$8)+(AB459*Settings!$B$7)+(AC459*Settings!$B$14)+(AD459*Settings!$B$15)+(AE459*Settings!$B$16)+(AF459*Settings!$B$17)+(AG459*Settings!$B$18)+(U459*Settings!$B$13)+(Y459*Settings!$B$10)+(Z459*Settings!$B$11),VLOOKUP(B459,'Standard Deviations'!A1:C731,3,FALSE))</f>
        <v>-4.4206874869227422</v>
      </c>
      <c r="J459" s="37">
        <f t="shared" si="44"/>
        <v>-5.3910823011252954E-2</v>
      </c>
      <c r="K459" s="183">
        <f>VLOOKUP(B459,D!A1:F229,6,FALSE)</f>
        <v>-6.3624280305570533</v>
      </c>
      <c r="L459" s="36">
        <f t="shared" si="45"/>
        <v>-6.3624280305570533</v>
      </c>
      <c r="M459" s="52" t="str">
        <f>IF(Settings!$E$9="YAHOO",VLOOKUP(B459,ADP!A1:E731,2,FALSE),IF(Settings!$E$9="ESPN",VLOOKUP(B459,ADP!A1:E731,3,FALSE),IF(Settings!$E$9="FANTRAX",VLOOKUP(B459,ADP!A1:E731,4,FALSE),VLOOKUP(B459,ADP!A1:E731,5,FALSE))))</f>
        <v>-</v>
      </c>
      <c r="N459" s="52" t="str">
        <f t="shared" si="46"/>
        <v>N/A</v>
      </c>
      <c r="O459" s="38"/>
      <c r="P459" s="39" t="str">
        <f>IF(Settings!$E$27="ON",_xlfn.XLOOKUP(B459,ADP!A2:A731,ADP!H2:H731)," ")</f>
        <v xml:space="preserve"> </v>
      </c>
      <c r="Q459" s="40">
        <f>IF(Settings!$E$12="YES",VLOOKUP(B459,'Player Data'!A1:E734,5,FALSE),82)</f>
        <v>82</v>
      </c>
      <c r="R459" s="38">
        <f>VLOOKUP(B459,'Player Data'!$A1:$AE734,6,FALSE)</f>
        <v>18.268588651059499</v>
      </c>
      <c r="S459" s="40">
        <f>VLOOKUP(B459,'Player Data'!$A1:$AE734,7,FALSE)*$Q459*IFERROR((VLOOKUP(P459,Settings!$E$28:$F$33,2,FALSE)+1),1)</f>
        <v>3.9110818802615408</v>
      </c>
      <c r="T459" s="40">
        <f>VLOOKUP(B459,'Player Data'!$A1:$AE734,8,FALSE)*$Q459*IFERROR((VLOOKUP(P459,Settings!$E$28:$F$33,2,FALSE)+1),1)</f>
        <v>13.844854079524071</v>
      </c>
      <c r="U459" s="40">
        <f t="shared" si="42"/>
        <v>17.75593595978561</v>
      </c>
      <c r="V459" s="40">
        <f>VLOOKUP(B459,'Player Data'!$A1:$AE734,10,FALSE)*$Q459*IFERROR(((VLOOKUP(P459,Settings!$E$28:$F$33,2,FALSE)/2)+1),1)</f>
        <v>90.344825211985139</v>
      </c>
      <c r="W459" s="40">
        <f>VLOOKUP(B459,'Player Data'!$A1:$AE734,11,FALSE)*$Q459*IFERROR((VLOOKUP(P459,Settings!$E$28:$F$33,2,FALSE)+1),1)</f>
        <v>2.304369180439839E-2</v>
      </c>
      <c r="X459" s="40">
        <f>VLOOKUP(B459,'Player Data'!$A1:$AE734,12,FALSE)*$Q459*IFERROR((VLOOKUP(P459,Settings!$E$28:$F$33,2,FALSE)+1),1)</f>
        <v>0.15575724655389214</v>
      </c>
      <c r="Y459" s="40">
        <f>VLOOKUP(B459,'Player Data'!$A1:$AE734,13,FALSE)*$Q459</f>
        <v>-3.6748157820042315E-2</v>
      </c>
      <c r="Z459" s="40">
        <f>VLOOKUP(B459,'Player Data'!$A1:$AE734,14,FALSE)*$Q459</f>
        <v>-0.12532386899842982</v>
      </c>
      <c r="AA459" s="40">
        <f>VLOOKUP(B459,'Player Data'!$A1:$AE734,15,FALSE)*$Q459</f>
        <v>117.82780548119304</v>
      </c>
      <c r="AB459" s="40">
        <f>VLOOKUP(B459,'Player Data'!$A1:$AE734,16,FALSE)*$Q459</f>
        <v>111.19406703817975</v>
      </c>
      <c r="AC459" s="40">
        <f>VLOOKUP(B459,'Player Data'!$A1:$AE734,17,FALSE)*$Q459*IFERROR((VLOOKUP(P459,Settings!$E$28:$F$33,2,FALSE)+1),1)</f>
        <v>1.405056443526169</v>
      </c>
      <c r="AD459" s="40">
        <f>VLOOKUP(B459,'Player Data'!$A1:$AE734,18,FALSE)*$Q459</f>
        <v>40.194672501141994</v>
      </c>
      <c r="AE459" s="40">
        <f>VLOOKUP(B459,'Player Data'!$A1:$AE734,19,FALSE)*$Q459*IFERROR((VLOOKUP(P459,Settings!$E$28:$F$33,2,FALSE)+1),1)</f>
        <v>0.56105361683386268</v>
      </c>
      <c r="AF459" s="40">
        <f>VLOOKUP(B459,'Player Data'!$A1:$AE734,20,FALSE)*$Q459</f>
        <v>0</v>
      </c>
      <c r="AG459" s="40">
        <f>VLOOKUP(B459,'Player Data'!$A1:$AE734,21,FALSE)*$Q459</f>
        <v>0</v>
      </c>
      <c r="AH459" s="41">
        <f>VLOOKUP(B459,'Player Data'!$A1:$AE734,22,FALSE)</f>
        <v>0</v>
      </c>
      <c r="AI459" s="38"/>
      <c r="AJ459" s="42"/>
      <c r="AK459" s="40"/>
      <c r="AL459" s="40"/>
      <c r="AM459" s="40"/>
      <c r="AN459" s="40"/>
      <c r="AO459" s="40"/>
      <c r="AP459" s="40"/>
      <c r="AQ459" s="43"/>
      <c r="AR459" s="44"/>
      <c r="AS459" s="38"/>
    </row>
    <row r="460" spans="1:45" ht="21.2" customHeight="1">
      <c r="A460" s="181">
        <f t="shared" si="43"/>
        <v>459</v>
      </c>
      <c r="B460" s="8" t="s">
        <v>563</v>
      </c>
      <c r="C460" s="31" t="s">
        <v>104</v>
      </c>
      <c r="D460" s="32" t="str">
        <f>VLOOKUP(B460,'Player Data'!A1:D734,4,FALSE)</f>
        <v>D</v>
      </c>
      <c r="E460" s="47">
        <f>VLOOKUP(B460,D!A1:C229,3,FALSE)</f>
        <v>174</v>
      </c>
      <c r="F460" s="34" t="str">
        <f>VLOOKUP(B460,'Player Data'!A1:B734,2,FALSE)</f>
        <v>SJS</v>
      </c>
      <c r="G460" s="9">
        <f>VLOOKUP(B460,'Player Data'!A1:D734,3,FALSE)</f>
        <v>28</v>
      </c>
      <c r="H460" s="35">
        <f>IFERROR(VLOOKUP(B460,ADP!A1:G731,7,FALSE)/1000000,VLOOKUP(B460,ADP!A1:G731,7,FALSE))</f>
        <v>1.1000000000000001</v>
      </c>
      <c r="I460" s="36">
        <f>IF(Settings!$E$15="POINTS",((R460*Q460)*Settings!$B$12)+(S460*Settings!$B$2)+(T460*Settings!$B$3)+(U460*Settings!$B$4)+(V460*Settings!$B$5)+(X460*Settings!$B$9)+(AA460*Settings!$B$6)+(W460*Settings!$B$8)+(AB460*Settings!$B$7)+(AC460*Settings!$B$14)+(AD460*Settings!$B$15)+(AE460*Settings!$B$16)+(AF460*Settings!$B$17)+(AG460*Settings!$B$18)+(U460*Settings!$B$13)+(Y460*Settings!$B$10)+(Z460*Settings!$B$11),VLOOKUP(B460,'Standard Deviations'!A1:C731,3,FALSE))</f>
        <v>-4.4235658316829287</v>
      </c>
      <c r="J460" s="37">
        <f t="shared" si="44"/>
        <v>-5.3945924776621079E-2</v>
      </c>
      <c r="K460" s="183">
        <f>VLOOKUP(B460,D!A1:F229,6,FALSE)</f>
        <v>-6.365306375317239</v>
      </c>
      <c r="L460" s="36">
        <f t="shared" si="45"/>
        <v>-5.7866421593793076</v>
      </c>
      <c r="M460" s="52" t="str">
        <f>IF(Settings!$E$9="YAHOO",VLOOKUP(B460,ADP!A1:E731,2,FALSE),IF(Settings!$E$9="ESPN",VLOOKUP(B460,ADP!A1:E731,3,FALSE),IF(Settings!$E$9="FANTRAX",VLOOKUP(B460,ADP!A1:E731,4,FALSE),VLOOKUP(B460,ADP!A1:E731,5,FALSE))))</f>
        <v>-</v>
      </c>
      <c r="N460" s="52" t="str">
        <f t="shared" si="46"/>
        <v>N/A</v>
      </c>
      <c r="O460" s="38"/>
      <c r="P460" s="39" t="str">
        <f>IF(Settings!$E$27="ON",_xlfn.XLOOKUP(B460,ADP!A2:A731,ADP!H2:H731)," ")</f>
        <v xml:space="preserve"> </v>
      </c>
      <c r="Q460" s="40">
        <f>IF(Settings!$E$12="YES",VLOOKUP(B460,'Player Data'!A1:E734,5,FALSE),82)</f>
        <v>82</v>
      </c>
      <c r="R460" s="38">
        <f>VLOOKUP(B460,'Player Data'!$A1:$AE734,6,FALSE)</f>
        <v>19.1182654321371</v>
      </c>
      <c r="S460" s="40">
        <f>VLOOKUP(B460,'Player Data'!$A1:$AE734,7,FALSE)*$Q460*IFERROR((VLOOKUP(P460,Settings!$E$28:$F$33,2,FALSE)+1),1)</f>
        <v>4.2288312537552679</v>
      </c>
      <c r="T460" s="40">
        <f>VLOOKUP(B460,'Player Data'!$A1:$AE734,8,FALSE)*$Q460*IFERROR((VLOOKUP(P460,Settings!$E$28:$F$33,2,FALSE)+1),1)</f>
        <v>12.904417791074971</v>
      </c>
      <c r="U460" s="40">
        <f t="shared" si="42"/>
        <v>17.13324904483024</v>
      </c>
      <c r="V460" s="40">
        <f>VLOOKUP(B460,'Player Data'!$A1:$AE734,10,FALSE)*$Q460*IFERROR(((VLOOKUP(P460,Settings!$E$28:$F$33,2,FALSE)/2)+1),1)</f>
        <v>88.693284114213995</v>
      </c>
      <c r="W460" s="40">
        <f>VLOOKUP(B460,'Player Data'!$A1:$AE734,11,FALSE)*$Q460*IFERROR((VLOOKUP(P460,Settings!$E$28:$F$33,2,FALSE)+1),1)</f>
        <v>0.16866154204283501</v>
      </c>
      <c r="X460" s="40">
        <f>VLOOKUP(B460,'Player Data'!$A1:$AE734,12,FALSE)*$Q460*IFERROR((VLOOKUP(P460,Settings!$E$28:$F$33,2,FALSE)+1),1)</f>
        <v>1.0549382390228406</v>
      </c>
      <c r="Y460" s="40">
        <f>VLOOKUP(B460,'Player Data'!$A1:$AE734,13,FALSE)*$Q460</f>
        <v>5.2244603415564292E-2</v>
      </c>
      <c r="Z460" s="40">
        <f>VLOOKUP(B460,'Player Data'!$A1:$AE734,14,FALSE)*$Q460</f>
        <v>0.23567457773204736</v>
      </c>
      <c r="AA460" s="40">
        <f>VLOOKUP(B460,'Player Data'!$A1:$AE734,15,FALSE)*$Q460</f>
        <v>128.83138814466702</v>
      </c>
      <c r="AB460" s="40">
        <f>VLOOKUP(B460,'Player Data'!$A1:$AE734,16,FALSE)*$Q460</f>
        <v>223.19384022384477</v>
      </c>
      <c r="AC460" s="40">
        <f>VLOOKUP(B460,'Player Data'!$A1:$AE734,17,FALSE)*$Q460*IFERROR((VLOOKUP(P460,Settings!$E$28:$F$33,2,FALSE)+1),1)</f>
        <v>-0.55224796379966967</v>
      </c>
      <c r="AD460" s="40">
        <f>VLOOKUP(B460,'Player Data'!$A1:$AE734,18,FALSE)*$Q460</f>
        <v>92.701192457906487</v>
      </c>
      <c r="AE460" s="40">
        <f>VLOOKUP(B460,'Player Data'!$A1:$AE734,19,FALSE)*$Q460*IFERROR((VLOOKUP(P460,Settings!$E$28:$F$33,2,FALSE)+1),1)</f>
        <v>0.52503373463908376</v>
      </c>
      <c r="AF460" s="40">
        <f>VLOOKUP(B460,'Player Data'!$A1:$AE734,20,FALSE)*$Q460</f>
        <v>0</v>
      </c>
      <c r="AG460" s="40">
        <f>VLOOKUP(B460,'Player Data'!$A1:$AE734,21,FALSE)*$Q460</f>
        <v>1.6404818438850635</v>
      </c>
      <c r="AH460" s="41">
        <f>VLOOKUP(B460,'Player Data'!$A1:$AE734,22,FALSE)</f>
        <v>0</v>
      </c>
      <c r="AI460" s="38"/>
      <c r="AJ460" s="42"/>
      <c r="AK460" s="40"/>
      <c r="AL460" s="40"/>
      <c r="AM460" s="40"/>
      <c r="AN460" s="40"/>
      <c r="AO460" s="40"/>
      <c r="AP460" s="40"/>
      <c r="AQ460" s="43"/>
      <c r="AR460" s="44"/>
      <c r="AS460" s="38"/>
    </row>
    <row r="461" spans="1:45" ht="21.2" customHeight="1">
      <c r="A461" s="181">
        <f t="shared" si="43"/>
        <v>460</v>
      </c>
      <c r="B461" s="8" t="s">
        <v>470</v>
      </c>
      <c r="C461" s="31" t="s">
        <v>104</v>
      </c>
      <c r="D461" s="32" t="str">
        <f>VLOOKUP(B461,'Player Data'!A1:D734,4,FALSE)</f>
        <v>D</v>
      </c>
      <c r="E461" s="47">
        <f>VLOOKUP(B461,D!A1:C229,3,FALSE)</f>
        <v>175</v>
      </c>
      <c r="F461" s="34" t="str">
        <f>VLOOKUP(B461,'Player Data'!A1:B734,2,FALSE)</f>
        <v>CHI</v>
      </c>
      <c r="G461" s="9">
        <f>VLOOKUP(B461,'Player Data'!A1:D734,3,FALSE)</f>
        <v>30</v>
      </c>
      <c r="H461" s="35">
        <f>IFERROR(VLOOKUP(B461,ADP!A1:G731,7,FALSE)/1000000,VLOOKUP(B461,ADP!A1:G731,7,FALSE))</f>
        <v>4</v>
      </c>
      <c r="I461" s="36">
        <f>IF(Settings!$E$15="POINTS",((R461*Q461)*Settings!$B$12)+(S461*Settings!$B$2)+(T461*Settings!$B$3)+(U461*Settings!$B$4)+(V461*Settings!$B$5)+(X461*Settings!$B$9)+(AA461*Settings!$B$6)+(W461*Settings!$B$8)+(AB461*Settings!$B$7)+(AC461*Settings!$B$14)+(AD461*Settings!$B$15)+(AE461*Settings!$B$16)+(AF461*Settings!$B$17)+(AG461*Settings!$B$18)+(U461*Settings!$B$13)+(Y461*Settings!$B$10)+(Z461*Settings!$B$11),VLOOKUP(B461,'Standard Deviations'!A1:C731,3,FALSE))</f>
        <v>-4.4485052968630061</v>
      </c>
      <c r="J461" s="37">
        <f t="shared" si="44"/>
        <v>-5.4250064595890317E-2</v>
      </c>
      <c r="K461" s="183">
        <f>VLOOKUP(B461,D!A1:F229,6,FALSE)</f>
        <v>-6.3902458404973164</v>
      </c>
      <c r="L461" s="36">
        <f t="shared" si="45"/>
        <v>-1.5975614601243291</v>
      </c>
      <c r="M461" s="52" t="str">
        <f>IF(Settings!$E$9="YAHOO",VLOOKUP(B461,ADP!A1:E731,2,FALSE),IF(Settings!$E$9="ESPN",VLOOKUP(B461,ADP!A1:E731,3,FALSE),IF(Settings!$E$9="FANTRAX",VLOOKUP(B461,ADP!A1:E731,4,FALSE),VLOOKUP(B461,ADP!A1:E731,5,FALSE))))</f>
        <v>-</v>
      </c>
      <c r="N461" s="52" t="str">
        <f t="shared" si="46"/>
        <v>N/A</v>
      </c>
      <c r="O461" s="38"/>
      <c r="P461" s="39" t="str">
        <f>IF(Settings!$E$27="ON",_xlfn.XLOOKUP(B461,ADP!A2:A731,ADP!H2:H731)," ")</f>
        <v xml:space="preserve"> </v>
      </c>
      <c r="Q461" s="40">
        <f>IF(Settings!$E$12="YES",VLOOKUP(B461,'Player Data'!A1:E734,5,FALSE),82)</f>
        <v>82</v>
      </c>
      <c r="R461" s="38">
        <f>VLOOKUP(B461,'Player Data'!$A1:$AE734,6,FALSE)</f>
        <v>19.753508452743901</v>
      </c>
      <c r="S461" s="40">
        <f>VLOOKUP(B461,'Player Data'!$A1:$AE734,7,FALSE)*$Q461*IFERROR((VLOOKUP(P461,Settings!$E$28:$F$33,2,FALSE)+1),1)</f>
        <v>5.7824568574803488</v>
      </c>
      <c r="T461" s="40">
        <f>VLOOKUP(B461,'Player Data'!$A1:$AE734,8,FALSE)*$Q461*IFERROR((VLOOKUP(P461,Settings!$E$28:$F$33,2,FALSE)+1),1)</f>
        <v>10.7052687186408</v>
      </c>
      <c r="U461" s="40">
        <f t="shared" si="42"/>
        <v>16.48772557612115</v>
      </c>
      <c r="V461" s="40">
        <f>VLOOKUP(B461,'Player Data'!$A1:$AE734,10,FALSE)*$Q461*IFERROR(((VLOOKUP(P461,Settings!$E$28:$F$33,2,FALSE)/2)+1),1)</f>
        <v>94.746056156013765</v>
      </c>
      <c r="W461" s="40">
        <f>VLOOKUP(B461,'Player Data'!$A1:$AE734,11,FALSE)*$Q461*IFERROR((VLOOKUP(P461,Settings!$E$28:$F$33,2,FALSE)+1),1)</f>
        <v>5.9931630586462371E-2</v>
      </c>
      <c r="X461" s="40">
        <f>VLOOKUP(B461,'Player Data'!$A1:$AE734,12,FALSE)*$Q461*IFERROR((VLOOKUP(P461,Settings!$E$28:$F$33,2,FALSE)+1),1)</f>
        <v>0.18316300749439168</v>
      </c>
      <c r="Y461" s="40">
        <f>VLOOKUP(B461,'Player Data'!$A1:$AE734,13,FALSE)*$Q461</f>
        <v>1.1245343101584413</v>
      </c>
      <c r="Z461" s="40">
        <f>VLOOKUP(B461,'Player Data'!$A1:$AE734,14,FALSE)*$Q461</f>
        <v>1.1881555253825182</v>
      </c>
      <c r="AA461" s="40">
        <f>VLOOKUP(B461,'Player Data'!$A1:$AE734,15,FALSE)*$Q461</f>
        <v>167.95677455605639</v>
      </c>
      <c r="AB461" s="40">
        <f>VLOOKUP(B461,'Player Data'!$A1:$AE734,16,FALSE)*$Q461</f>
        <v>159.92061666554184</v>
      </c>
      <c r="AC461" s="40">
        <f>VLOOKUP(B461,'Player Data'!$A1:$AE734,17,FALSE)*$Q461*IFERROR((VLOOKUP(P461,Settings!$E$28:$F$33,2,FALSE)+1),1)</f>
        <v>-8.1151187909175118</v>
      </c>
      <c r="AD461" s="40">
        <f>VLOOKUP(B461,'Player Data'!$A1:$AE734,18,FALSE)*$Q461</f>
        <v>55.809727751407387</v>
      </c>
      <c r="AE461" s="40">
        <f>VLOOKUP(B461,'Player Data'!$A1:$AE734,19,FALSE)*$Q461*IFERROR((VLOOKUP(P461,Settings!$E$28:$F$33,2,FALSE)+1),1)</f>
        <v>0.67759726865496839</v>
      </c>
      <c r="AF461" s="40">
        <f>VLOOKUP(B461,'Player Data'!$A1:$AE734,20,FALSE)*$Q461</f>
        <v>0</v>
      </c>
      <c r="AG461" s="40">
        <f>VLOOKUP(B461,'Player Data'!$A1:$AE734,21,FALSE)*$Q461</f>
        <v>0</v>
      </c>
      <c r="AH461" s="41">
        <f>VLOOKUP(B461,'Player Data'!$A1:$AE734,22,FALSE)</f>
        <v>0</v>
      </c>
      <c r="AI461" s="38"/>
      <c r="AJ461" s="42"/>
      <c r="AK461" s="40"/>
      <c r="AL461" s="40"/>
      <c r="AM461" s="40"/>
      <c r="AN461" s="40"/>
      <c r="AO461" s="40"/>
      <c r="AP461" s="40"/>
      <c r="AQ461" s="43"/>
      <c r="AR461" s="44"/>
      <c r="AS461" s="38"/>
    </row>
    <row r="462" spans="1:45" ht="21.2" customHeight="1">
      <c r="A462" s="181">
        <f t="shared" si="43"/>
        <v>461</v>
      </c>
      <c r="B462" s="8" t="s">
        <v>528</v>
      </c>
      <c r="C462" s="31" t="s">
        <v>104</v>
      </c>
      <c r="D462" s="32" t="str">
        <f>VLOOKUP(B462,'Player Data'!A1:D734,4,FALSE)</f>
        <v>RW</v>
      </c>
      <c r="E462" s="46">
        <f>VLOOKUP(B462,RW!A1:F189,3,FALSE)</f>
        <v>105</v>
      </c>
      <c r="F462" s="34" t="str">
        <f>VLOOKUP(B462,'Player Data'!A1:B734,2,FALSE)</f>
        <v>LAK</v>
      </c>
      <c r="G462" s="9">
        <f>VLOOKUP(B462,'Player Data'!A1:D734,3,FALSE)</f>
        <v>22</v>
      </c>
      <c r="H462" s="35">
        <f>IFERROR(VLOOKUP(B462,ADP!A1:G731,7,FALSE)/1000000,VLOOKUP(B462,ADP!A1:G731,7,FALSE))</f>
        <v>0.89416700000000005</v>
      </c>
      <c r="I462" s="36">
        <f>IF(Settings!$E$15="POINTS",((R462*Q462)*Settings!$B$12)+(S462*Settings!$B$2)+(T462*Settings!$B$3)+(U462*Settings!$B$4)+(V462*Settings!$B$5)+(X462*Settings!$B$9)+(AA462*Settings!$B$6)+(W462*Settings!$B$8)+(AB462*Settings!$B$7)+(AC462*Settings!$B$14)+(AD462*Settings!$B$15)+(AE462*Settings!$B$16)+(AF462*Settings!$B$17)+(AG462*Settings!$B$18)+(Y462*Settings!$B$10)+(Z462*Settings!$B$11),VLOOKUP(B462,'Standard Deviations'!A1:C731,3,FALSE))</f>
        <v>-0.11558295116524991</v>
      </c>
      <c r="J462" s="37">
        <f t="shared" si="44"/>
        <v>-1.4095481849420721E-3</v>
      </c>
      <c r="K462" s="183">
        <f>IF(Settings!$E$18="C/LW/RW",VLOOKUP(B462,RW!A1:F189,6,FALSE),VLOOKUP(B462,F!A1:F431,6,FALSE))</f>
        <v>-6.3958416701763303</v>
      </c>
      <c r="L462" s="36">
        <f t="shared" si="45"/>
        <v>-7.1528491547734712</v>
      </c>
      <c r="M462" s="38">
        <f>IF(Settings!$E$9="YAHOO",VLOOKUP(B462,ADP!A1:E731,2,FALSE),IF(Settings!$E$9="ESPN",VLOOKUP(B462,ADP!A1:E731,3,FALSE),IF(Settings!$E$9="FANTRAX",VLOOKUP(B462,ADP!A1:E731,4,FALSE),VLOOKUP(B462,ADP!A1:E731,5,FALSE))))</f>
        <v>343.13</v>
      </c>
      <c r="N462" s="38">
        <f t="shared" si="46"/>
        <v>-117.87</v>
      </c>
      <c r="O462" s="38"/>
      <c r="P462" s="39" t="str">
        <f>IF(Settings!$E$27="ON",_xlfn.XLOOKUP(B462,ADP!A2:A731,ADP!H2:H731)," ")</f>
        <v xml:space="preserve"> </v>
      </c>
      <c r="Q462" s="40">
        <f>IF(Settings!$E$12="YES",VLOOKUP(B462,'Player Data'!A1:E734,5,FALSE),82)</f>
        <v>82</v>
      </c>
      <c r="R462" s="38">
        <f>VLOOKUP(B462,'Player Data'!$A1:$AE734,6,FALSE)</f>
        <v>10.8245709484702</v>
      </c>
      <c r="S462" s="40">
        <f>VLOOKUP(B462,'Player Data'!$A1:$AE734,7,FALSE)*$Q462*IFERROR((VLOOKUP(P462,Settings!$E$28:$F$33,2,FALSE)+1),1)</f>
        <v>13.257536556721785</v>
      </c>
      <c r="T462" s="40">
        <f>VLOOKUP(B462,'Player Data'!$A1:$AE734,8,FALSE)*$Q462*IFERROR((VLOOKUP(P462,Settings!$E$28:$F$33,2,FALSE)+1),1)</f>
        <v>15.811251100979598</v>
      </c>
      <c r="U462" s="40">
        <f t="shared" si="42"/>
        <v>29.068787657701385</v>
      </c>
      <c r="V462" s="40">
        <f>VLOOKUP(B462,'Player Data'!$A1:$AE734,10,FALSE)*$Q462*IFERROR(((VLOOKUP(P462,Settings!$E$28:$F$33,2,FALSE)/2)+1),1)</f>
        <v>209.57092330746769</v>
      </c>
      <c r="W462" s="40">
        <f>VLOOKUP(B462,'Player Data'!$A1:$AE734,11,FALSE)*$Q462*IFERROR((VLOOKUP(P462,Settings!$E$28:$F$33,2,FALSE)+1),1)</f>
        <v>4.9593764782441703</v>
      </c>
      <c r="X462" s="40">
        <f>VLOOKUP(B462,'Player Data'!$A1:$AE734,12,FALSE)*$Q462*IFERROR((VLOOKUP(P462,Settings!$E$28:$F$33,2,FALSE)+1),1)</f>
        <v>7.8121917943690624</v>
      </c>
      <c r="Y462" s="40">
        <f>VLOOKUP(B462,'Player Data'!$A1:$AE734,13,FALSE)*$Q462</f>
        <v>6.8097296625981225E-4</v>
      </c>
      <c r="Z462" s="40">
        <f>VLOOKUP(B462,'Player Data'!$A1:$AE734,14,FALSE)*$Q462</f>
        <v>1.3473971606285441E-3</v>
      </c>
      <c r="AA462" s="40">
        <f>VLOOKUP(B462,'Player Data'!$A1:$AE734,15,FALSE)*$Q462</f>
        <v>21.905550241295774</v>
      </c>
      <c r="AB462" s="40">
        <f>VLOOKUP(B462,'Player Data'!$A1:$AE734,16,FALSE)*$Q462</f>
        <v>68.661560125934969</v>
      </c>
      <c r="AC462" s="40">
        <f>VLOOKUP(B462,'Player Data'!$A1:$AE734,17,FALSE)*$Q462*IFERROR((VLOOKUP(P462,Settings!$E$28:$F$33,2,FALSE)+1),1)</f>
        <v>0.22360628803511959</v>
      </c>
      <c r="AD462" s="40">
        <f>VLOOKUP(B462,'Player Data'!$A1:$AE734,18,FALSE)*$Q462</f>
        <v>20.734390023500271</v>
      </c>
      <c r="AE462" s="40">
        <f>VLOOKUP(B462,'Player Data'!$A1:$AE734,19,FALSE)*$Q462*IFERROR((VLOOKUP(P462,Settings!$E$28:$F$33,2,FALSE)+1),1)</f>
        <v>1.9629248586803831</v>
      </c>
      <c r="AF462" s="40">
        <f>VLOOKUP(B462,'Player Data'!$A1:$AE734,20,FALSE)*$Q462</f>
        <v>0</v>
      </c>
      <c r="AG462" s="40">
        <f>VLOOKUP(B462,'Player Data'!$A1:$AE734,21,FALSE)*$Q462</f>
        <v>0</v>
      </c>
      <c r="AH462" s="41">
        <f>VLOOKUP(B462,'Player Data'!$A1:$AE734,22,FALSE)</f>
        <v>0</v>
      </c>
      <c r="AI462" s="38"/>
      <c r="AJ462" s="40"/>
      <c r="AK462" s="40"/>
      <c r="AL462" s="40"/>
      <c r="AM462" s="40"/>
      <c r="AN462" s="40"/>
      <c r="AO462" s="40"/>
      <c r="AP462" s="40"/>
      <c r="AQ462" s="43"/>
      <c r="AR462" s="44"/>
      <c r="AS462" s="38"/>
    </row>
    <row r="463" spans="1:45" ht="21.2" customHeight="1">
      <c r="A463" s="181">
        <f t="shared" si="43"/>
        <v>462</v>
      </c>
      <c r="B463" s="8" t="s">
        <v>514</v>
      </c>
      <c r="C463" s="31" t="s">
        <v>104</v>
      </c>
      <c r="D463" s="32" t="str">
        <f>VLOOKUP(B463,'Player Data'!A1:D734,4,FALSE)</f>
        <v>LW</v>
      </c>
      <c r="E463" s="48">
        <f>VLOOKUP(B463,LW!A1:C227,3,FALSE)</f>
        <v>105</v>
      </c>
      <c r="F463" s="34" t="str">
        <f>VLOOKUP(B463,'Player Data'!A1:B734,2,FALSE)</f>
        <v>TOR</v>
      </c>
      <c r="G463" s="9">
        <f>VLOOKUP(B463,'Player Data'!A1:D734,3,FALSE)</f>
        <v>20</v>
      </c>
      <c r="H463" s="35">
        <f>IFERROR(VLOOKUP(B463,ADP!A1:G731,7,FALSE)/1000000,VLOOKUP(B463,ADP!A1:G731,7,FALSE))</f>
        <v>0</v>
      </c>
      <c r="I463" s="36">
        <f>IF(Settings!$E$15="POINTS",((R463*Q463)*Settings!$B$12)+(S463*Settings!$B$2)+(T463*Settings!$B$3)+(U463*Settings!$B$4)+(V463*Settings!$B$5)+(X463*Settings!$B$9)+(AA463*Settings!$B$6)+(W463*Settings!$B$8)+(AB463*Settings!$B$7)+(AC463*Settings!$B$14)+(AD463*Settings!$B$15)+(AE463*Settings!$B$16)+(AF463*Settings!$B$17)+(AG463*Settings!$B$18)+(Y463*Settings!$B$10)+(Z463*Settings!$B$11),VLOOKUP(B463,'Standard Deviations'!A1:C731,3,FALSE))</f>
        <v>0.25046725807532122</v>
      </c>
      <c r="J463" s="37">
        <f t="shared" si="44"/>
        <v>3.0544787570161124E-3</v>
      </c>
      <c r="K463" s="183">
        <f>IF(Settings!$E$18="C/LW/RW",VLOOKUP(B463,LW!A1:F227,6,FALSE),VLOOKUP(B463,F!A1:F431,6,FALSE))</f>
        <v>-6.4042017860490796</v>
      </c>
      <c r="L463" s="49" t="str">
        <f t="shared" si="45"/>
        <v>N/A</v>
      </c>
      <c r="M463" s="38">
        <f>IF(Settings!$E$9="YAHOO",VLOOKUP(B463,ADP!A1:E731,2,FALSE),IF(Settings!$E$9="ESPN",VLOOKUP(B463,ADP!A1:E731,3,FALSE),IF(Settings!$E$9="FANTRAX",VLOOKUP(B463,ADP!A1:E731,4,FALSE),VLOOKUP(B463,ADP!A1:E731,5,FALSE))))</f>
        <v>227.5</v>
      </c>
      <c r="N463" s="38">
        <f t="shared" si="46"/>
        <v>-234.5</v>
      </c>
      <c r="O463" s="38"/>
      <c r="P463" s="39" t="str">
        <f>IF(Settings!$E$27="ON",_xlfn.XLOOKUP(B463,ADP!A2:A731,ADP!H2:H731)," ")</f>
        <v>+ + +</v>
      </c>
      <c r="Q463" s="40">
        <f>IF(Settings!$E$12="YES",VLOOKUP(B463,'Player Data'!A1:E734,5,FALSE),82)</f>
        <v>82</v>
      </c>
      <c r="R463" s="38">
        <f>VLOOKUP(B463,'Player Data'!$A1:$AE734,6,FALSE)</f>
        <v>15</v>
      </c>
      <c r="S463" s="40">
        <f>VLOOKUP(B463,'Player Data'!$A1:$AE734,7,FALSE)*$Q463*IFERROR((VLOOKUP(P463,Settings!$E$28:$F$33,2,FALSE)+1),1)</f>
        <v>17.402270694330571</v>
      </c>
      <c r="T463" s="40">
        <f>VLOOKUP(B463,'Player Data'!$A1:$AE734,8,FALSE)*$Q463*IFERROR((VLOOKUP(P463,Settings!$E$28:$F$33,2,FALSE)+1),1)</f>
        <v>23.307997398116843</v>
      </c>
      <c r="U463" s="40">
        <f t="shared" si="42"/>
        <v>40.710268092447414</v>
      </c>
      <c r="V463" s="40">
        <f>VLOOKUP(B463,'Player Data'!$A1:$AE734,10,FALSE)*$Q463*IFERROR(((VLOOKUP(P463,Settings!$E$28:$F$33,2,FALSE)/2)+1),1)</f>
        <v>144.27478290807417</v>
      </c>
      <c r="W463" s="40">
        <f>VLOOKUP(B463,'Player Data'!$A1:$AE734,11,FALSE)*$Q463*IFERROR((VLOOKUP(P463,Settings!$E$28:$F$33,2,FALSE)+1),1)</f>
        <v>3.3701907344229003</v>
      </c>
      <c r="X463" s="40">
        <f>VLOOKUP(B463,'Player Data'!$A1:$AE734,12,FALSE)*$Q463*IFERROR((VLOOKUP(P463,Settings!$E$28:$F$33,2,FALSE)+1),1)</f>
        <v>7.884107236978946</v>
      </c>
      <c r="Y463" s="40">
        <f>VLOOKUP(B463,'Player Data'!$A1:$AE734,13,FALSE)*$Q463</f>
        <v>0</v>
      </c>
      <c r="Z463" s="40">
        <f>VLOOKUP(B463,'Player Data'!$A1:$AE734,14,FALSE)*$Q463</f>
        <v>0</v>
      </c>
      <c r="AA463" s="40">
        <f>VLOOKUP(B463,'Player Data'!$A1:$AE734,15,FALSE)*$Q463</f>
        <v>35.000000000000007</v>
      </c>
      <c r="AB463" s="40">
        <f>VLOOKUP(B463,'Player Data'!$A1:$AE734,16,FALSE)*$Q463</f>
        <v>97.013577067915321</v>
      </c>
      <c r="AC463" s="40">
        <f>VLOOKUP(B463,'Player Data'!$A1:$AE734,17,FALSE)*$Q463*IFERROR((VLOOKUP(P463,Settings!$E$28:$F$33,2,FALSE)+1),1)</f>
        <v>1.1999999999999988E-2</v>
      </c>
      <c r="AD463" s="40">
        <f>VLOOKUP(B463,'Player Data'!$A1:$AE734,18,FALSE)*$Q463</f>
        <v>33.133485667447331</v>
      </c>
      <c r="AE463" s="40">
        <f>VLOOKUP(B463,'Player Data'!$A1:$AE734,19,FALSE)*$Q463*IFERROR((VLOOKUP(P463,Settings!$E$28:$F$33,2,FALSE)+1),1)</f>
        <v>2.7956701615907797</v>
      </c>
      <c r="AF463" s="40">
        <f>VLOOKUP(B463,'Player Data'!$A1:$AE734,20,FALSE)*$Q463</f>
        <v>0</v>
      </c>
      <c r="AG463" s="40">
        <f>VLOOKUP(B463,'Player Data'!$A1:$AE734,21,FALSE)*$Q463</f>
        <v>0</v>
      </c>
      <c r="AH463" s="41">
        <f>VLOOKUP(B463,'Player Data'!$A1:$AE734,22,FALSE)</f>
        <v>0</v>
      </c>
      <c r="AI463" s="38"/>
      <c r="AJ463" s="42"/>
      <c r="AK463" s="40"/>
      <c r="AL463" s="40"/>
      <c r="AM463" s="40"/>
      <c r="AN463" s="40"/>
      <c r="AO463" s="40"/>
      <c r="AP463" s="40"/>
      <c r="AQ463" s="43"/>
      <c r="AR463" s="44"/>
      <c r="AS463" s="38"/>
    </row>
    <row r="464" spans="1:45" ht="21.2" customHeight="1">
      <c r="A464" s="181">
        <f t="shared" si="43"/>
        <v>463</v>
      </c>
      <c r="B464" s="8" t="s">
        <v>523</v>
      </c>
      <c r="C464" s="31" t="s">
        <v>104</v>
      </c>
      <c r="D464" s="32" t="str">
        <f>VLOOKUP(B464,'Player Data'!A1:D734,4,FALSE)</f>
        <v>RW</v>
      </c>
      <c r="E464" s="46">
        <f>VLOOKUP(B464,RW!A1:F189,3,FALSE)</f>
        <v>106</v>
      </c>
      <c r="F464" s="34" t="str">
        <f>VLOOKUP(B464,'Player Data'!A1:B734,2,FALSE)</f>
        <v>EDM</v>
      </c>
      <c r="G464" s="9">
        <f>VLOOKUP(B464,'Player Data'!A1:D734,3,FALSE)</f>
        <v>29</v>
      </c>
      <c r="H464" s="35">
        <f>IFERROR(VLOOKUP(B464,ADP!A1:G731,7,FALSE)/1000000,VLOOKUP(B464,ADP!A1:G731,7,FALSE))</f>
        <v>0.77500000000000002</v>
      </c>
      <c r="I464" s="36">
        <f>IF(Settings!$E$15="POINTS",((R464*Q464)*Settings!$B$12)+(S464*Settings!$B$2)+(T464*Settings!$B$3)+(U464*Settings!$B$4)+(V464*Settings!$B$5)+(X464*Settings!$B$9)+(AA464*Settings!$B$6)+(W464*Settings!$B$8)+(AB464*Settings!$B$7)+(AC464*Settings!$B$14)+(AD464*Settings!$B$15)+(AE464*Settings!$B$16)+(AF464*Settings!$B$17)+(AG464*Settings!$B$18)+(Y464*Settings!$B$10)+(Z464*Settings!$B$11),VLOOKUP(B464,'Standard Deviations'!A1:C731,3,FALSE))</f>
        <v>-0.14262814300211948</v>
      </c>
      <c r="J464" s="37">
        <f t="shared" si="44"/>
        <v>-1.739367597586823E-3</v>
      </c>
      <c r="K464" s="183">
        <f>IF(Settings!$E$18="C/LW/RW",VLOOKUP(B464,RW!A1:F189,6,FALSE),VLOOKUP(B464,F!A1:F431,6,FALSE))</f>
        <v>-6.4228868620132005</v>
      </c>
      <c r="L464" s="36">
        <f t="shared" si="45"/>
        <v>-8.287595950984775</v>
      </c>
      <c r="M464" s="38">
        <f>IF(Settings!$E$9="YAHOO",VLOOKUP(B464,ADP!A1:E731,2,FALSE),IF(Settings!$E$9="ESPN",VLOOKUP(B464,ADP!A1:E731,3,FALSE),IF(Settings!$E$9="FANTRAX",VLOOKUP(B464,ADP!A1:E731,4,FALSE),VLOOKUP(B464,ADP!A1:E731,5,FALSE))))</f>
        <v>195.95</v>
      </c>
      <c r="N464" s="38">
        <f t="shared" si="46"/>
        <v>-267.05</v>
      </c>
      <c r="O464" s="38"/>
      <c r="P464" s="39" t="str">
        <f>IF(Settings!$E$27="ON",_xlfn.XLOOKUP(B464,ADP!A2:A731,ADP!H2:H731)," ")</f>
        <v xml:space="preserve"> </v>
      </c>
      <c r="Q464" s="40">
        <f>IF(Settings!$E$12="YES",VLOOKUP(B464,'Player Data'!A1:E734,5,FALSE),82)</f>
        <v>82</v>
      </c>
      <c r="R464" s="38">
        <f>VLOOKUP(B464,'Player Data'!$A1:$AE734,6,FALSE)</f>
        <v>16.850728471946599</v>
      </c>
      <c r="S464" s="40">
        <f>VLOOKUP(B464,'Player Data'!$A1:$AE734,7,FALSE)*$Q464*IFERROR((VLOOKUP(P464,Settings!$E$28:$F$33,2,FALSE)+1),1)</f>
        <v>16.264094984274326</v>
      </c>
      <c r="T464" s="40">
        <f>VLOOKUP(B464,'Player Data'!$A1:$AE734,8,FALSE)*$Q464*IFERROR((VLOOKUP(P464,Settings!$E$28:$F$33,2,FALSE)+1),1)</f>
        <v>24.560069504722637</v>
      </c>
      <c r="U464" s="40">
        <f t="shared" si="42"/>
        <v>40.824164488996963</v>
      </c>
      <c r="V464" s="40">
        <f>VLOOKUP(B464,'Player Data'!$A1:$AE734,10,FALSE)*$Q464*IFERROR(((VLOOKUP(P464,Settings!$E$28:$F$33,2,FALSE)/2)+1),1)</f>
        <v>141.83016851330925</v>
      </c>
      <c r="W464" s="40">
        <f>VLOOKUP(B464,'Player Data'!$A1:$AE734,11,FALSE)*$Q464*IFERROR((VLOOKUP(P464,Settings!$E$28:$F$33,2,FALSE)+1),1)</f>
        <v>0.68791589921806784</v>
      </c>
      <c r="X464" s="40">
        <f>VLOOKUP(B464,'Player Data'!$A1:$AE734,12,FALSE)*$Q464*IFERROR((VLOOKUP(P464,Settings!$E$28:$F$33,2,FALSE)+1),1)</f>
        <v>4.5017683300888711</v>
      </c>
      <c r="Y464" s="40">
        <f>VLOOKUP(B464,'Player Data'!$A1:$AE734,13,FALSE)*$Q464</f>
        <v>1.9430442647577897</v>
      </c>
      <c r="Z464" s="40">
        <f>VLOOKUP(B464,'Player Data'!$A1:$AE734,14,FALSE)*$Q464</f>
        <v>3.3834184615723486</v>
      </c>
      <c r="AA464" s="40">
        <f>VLOOKUP(B464,'Player Data'!$A1:$AE734,15,FALSE)*$Q464</f>
        <v>39.993226756409172</v>
      </c>
      <c r="AB464" s="40">
        <f>VLOOKUP(B464,'Player Data'!$A1:$AE734,16,FALSE)*$Q464</f>
        <v>42.969829662669078</v>
      </c>
      <c r="AC464" s="40">
        <f>VLOOKUP(B464,'Player Data'!$A1:$AE734,17,FALSE)*$Q464*IFERROR((VLOOKUP(P464,Settings!$E$28:$F$33,2,FALSE)+1),1)</f>
        <v>4.3589012648791563</v>
      </c>
      <c r="AD464" s="40">
        <f>VLOOKUP(B464,'Player Data'!$A1:$AE734,18,FALSE)*$Q464</f>
        <v>18.200915367265168</v>
      </c>
      <c r="AE464" s="40">
        <f>VLOOKUP(B464,'Player Data'!$A1:$AE734,19,FALSE)*$Q464*IFERROR((VLOOKUP(P464,Settings!$E$28:$F$33,2,FALSE)+1),1)</f>
        <v>2.5744316308193991</v>
      </c>
      <c r="AF464" s="40">
        <f>VLOOKUP(B464,'Player Data'!$A1:$AE734,20,FALSE)*$Q464</f>
        <v>37.882566655693324</v>
      </c>
      <c r="AG464" s="40">
        <f>VLOOKUP(B464,'Player Data'!$A1:$AE734,21,FALSE)*$Q464</f>
        <v>58.907390931338632</v>
      </c>
      <c r="AH464" s="41">
        <f>VLOOKUP(B464,'Player Data'!$A1:$AE734,22,FALSE)</f>
        <v>0.39138943336791898</v>
      </c>
      <c r="AI464" s="38"/>
      <c r="AJ464" s="42"/>
      <c r="AK464" s="40"/>
      <c r="AL464" s="40"/>
      <c r="AM464" s="40"/>
      <c r="AN464" s="40"/>
      <c r="AO464" s="40"/>
      <c r="AP464" s="40"/>
      <c r="AQ464" s="43"/>
      <c r="AR464" s="44"/>
      <c r="AS464" s="38"/>
    </row>
    <row r="465" spans="1:45" ht="21.2" customHeight="1">
      <c r="A465" s="181">
        <f t="shared" si="43"/>
        <v>464</v>
      </c>
      <c r="B465" s="8" t="s">
        <v>498</v>
      </c>
      <c r="C465" s="31" t="s">
        <v>104</v>
      </c>
      <c r="D465" s="32" t="str">
        <f>VLOOKUP(B465,'Player Data'!A1:D734,4,FALSE)</f>
        <v>D</v>
      </c>
      <c r="E465" s="47">
        <f>VLOOKUP(B465,D!A1:C229,3,FALSE)</f>
        <v>176</v>
      </c>
      <c r="F465" s="34" t="str">
        <f>VLOOKUP(B465,'Player Data'!A1:B734,2,FALSE)</f>
        <v>DET</v>
      </c>
      <c r="G465" s="9">
        <f>VLOOKUP(B465,'Player Data'!A1:D734,3,FALSE)</f>
        <v>31</v>
      </c>
      <c r="H465" s="35">
        <f>IFERROR(VLOOKUP(B465,ADP!A1:G731,7,FALSE)/1000000,VLOOKUP(B465,ADP!A1:G731,7,FALSE))</f>
        <v>3.4</v>
      </c>
      <c r="I465" s="36">
        <f>IF(Settings!$E$15="POINTS",((R465*Q465)*Settings!$B$12)+(S465*Settings!$B$2)+(T465*Settings!$B$3)+(U465*Settings!$B$4)+(V465*Settings!$B$5)+(X465*Settings!$B$9)+(AA465*Settings!$B$6)+(W465*Settings!$B$8)+(AB465*Settings!$B$7)+(AC465*Settings!$B$14)+(AD465*Settings!$B$15)+(AE465*Settings!$B$16)+(AF465*Settings!$B$17)+(AG465*Settings!$B$18)+(U465*Settings!$B$13)+(Y465*Settings!$B$10)+(Z465*Settings!$B$11),VLOOKUP(B465,'Standard Deviations'!A1:C731,3,FALSE))</f>
        <v>-4.4879280668842911</v>
      </c>
      <c r="J465" s="37">
        <f t="shared" si="44"/>
        <v>-5.4730830083954768E-2</v>
      </c>
      <c r="K465" s="183">
        <f>VLOOKUP(B465,D!A1:F229,6,FALSE)</f>
        <v>-6.4296686105186023</v>
      </c>
      <c r="L465" s="36">
        <f t="shared" si="45"/>
        <v>-1.8910790030937066</v>
      </c>
      <c r="M465" s="52" t="str">
        <f>IF(Settings!$E$9="YAHOO",VLOOKUP(B465,ADP!A1:E731,2,FALSE),IF(Settings!$E$9="ESPN",VLOOKUP(B465,ADP!A1:E731,3,FALSE),IF(Settings!$E$9="FANTRAX",VLOOKUP(B465,ADP!A1:E731,4,FALSE),VLOOKUP(B465,ADP!A1:E731,5,FALSE))))</f>
        <v>-</v>
      </c>
      <c r="N465" s="52" t="str">
        <f t="shared" si="46"/>
        <v>N/A</v>
      </c>
      <c r="O465" s="38"/>
      <c r="P465" s="39" t="str">
        <f>IF(Settings!$E$27="ON",_xlfn.XLOOKUP(B465,ADP!A2:A731,ADP!H2:H731)," ")</f>
        <v xml:space="preserve"> </v>
      </c>
      <c r="Q465" s="40">
        <f>IF(Settings!$E$12="YES",VLOOKUP(B465,'Player Data'!A1:E734,5,FALSE),82)</f>
        <v>82</v>
      </c>
      <c r="R465" s="38">
        <f>VLOOKUP(B465,'Player Data'!$A1:$AE734,6,FALSE)</f>
        <v>18.589297127749902</v>
      </c>
      <c r="S465" s="40">
        <f>VLOOKUP(B465,'Player Data'!$A1:$AE734,7,FALSE)*$Q465*IFERROR((VLOOKUP(P465,Settings!$E$28:$F$33,2,FALSE)+1),1)</f>
        <v>2.4460765852111614</v>
      </c>
      <c r="T465" s="40">
        <f>VLOOKUP(B465,'Player Data'!$A1:$AE734,8,FALSE)*$Q465*IFERROR((VLOOKUP(P465,Settings!$E$28:$F$33,2,FALSE)+1),1)</f>
        <v>18.289629974709566</v>
      </c>
      <c r="U465" s="40">
        <f t="shared" si="42"/>
        <v>20.735706559920729</v>
      </c>
      <c r="V465" s="40">
        <f>VLOOKUP(B465,'Player Data'!$A1:$AE734,10,FALSE)*$Q465*IFERROR(((VLOOKUP(P465,Settings!$E$28:$F$33,2,FALSE)/2)+1),1)</f>
        <v>67.662339049343913</v>
      </c>
      <c r="W465" s="40">
        <f>VLOOKUP(B465,'Player Data'!$A1:$AE734,11,FALSE)*$Q465*IFERROR((VLOOKUP(P465,Settings!$E$28:$F$33,2,FALSE)+1),1)</f>
        <v>2.3221224311607187E-2</v>
      </c>
      <c r="X465" s="40">
        <f>VLOOKUP(B465,'Player Data'!$A1:$AE734,12,FALSE)*$Q465*IFERROR((VLOOKUP(P465,Settings!$E$28:$F$33,2,FALSE)+1),1)</f>
        <v>0.15416599219178229</v>
      </c>
      <c r="Y465" s="40">
        <f>VLOOKUP(B465,'Player Data'!$A1:$AE734,13,FALSE)*$Q465</f>
        <v>0.2103527873881017</v>
      </c>
      <c r="Z465" s="40">
        <f>VLOOKUP(B465,'Player Data'!$A1:$AE734,14,FALSE)*$Q465</f>
        <v>0.80735257441863173</v>
      </c>
      <c r="AA465" s="40">
        <f>VLOOKUP(B465,'Player Data'!$A1:$AE734,15,FALSE)*$Q465</f>
        <v>122.96973455899283</v>
      </c>
      <c r="AB465" s="40">
        <f>VLOOKUP(B465,'Player Data'!$A1:$AE734,16,FALSE)*$Q465</f>
        <v>136.35177682633565</v>
      </c>
      <c r="AC465" s="40">
        <f>VLOOKUP(B465,'Player Data'!$A1:$AE734,17,FALSE)*$Q465*IFERROR((VLOOKUP(P465,Settings!$E$28:$F$33,2,FALSE)+1),1)</f>
        <v>-1.7257262891511187</v>
      </c>
      <c r="AD465" s="40">
        <f>VLOOKUP(B465,'Player Data'!$A1:$AE734,18,FALSE)*$Q465</f>
        <v>38.415542427024832</v>
      </c>
      <c r="AE465" s="40">
        <f>VLOOKUP(B465,'Player Data'!$A1:$AE734,19,FALSE)*$Q465*IFERROR((VLOOKUP(P465,Settings!$E$28:$F$33,2,FALSE)+1),1)</f>
        <v>0.32370364801018325</v>
      </c>
      <c r="AF465" s="40">
        <f>VLOOKUP(B465,'Player Data'!$A1:$AE734,20,FALSE)*$Q465</f>
        <v>0</v>
      </c>
      <c r="AG465" s="40">
        <f>VLOOKUP(B465,'Player Data'!$A1:$AE734,21,FALSE)*$Q465</f>
        <v>0</v>
      </c>
      <c r="AH465" s="41">
        <f>VLOOKUP(B465,'Player Data'!$A1:$AE734,22,FALSE)</f>
        <v>0</v>
      </c>
      <c r="AI465" s="38"/>
      <c r="AJ465" s="42"/>
      <c r="AK465" s="40"/>
      <c r="AL465" s="40"/>
      <c r="AM465" s="40"/>
      <c r="AN465" s="40"/>
      <c r="AO465" s="40"/>
      <c r="AP465" s="40"/>
      <c r="AQ465" s="43"/>
      <c r="AR465" s="44"/>
      <c r="AS465" s="38"/>
    </row>
    <row r="466" spans="1:45" ht="21.2" customHeight="1">
      <c r="A466" s="181">
        <f t="shared" si="43"/>
        <v>465</v>
      </c>
      <c r="B466" s="8" t="s">
        <v>467</v>
      </c>
      <c r="C466" s="31" t="s">
        <v>104</v>
      </c>
      <c r="D466" s="32" t="str">
        <f>VLOOKUP(B466,'Player Data'!A1:D734,4,FALSE)</f>
        <v>C,LW</v>
      </c>
      <c r="E466" s="45">
        <f>VLOOKUP(B466,LW!A1:C227,3,FALSE)</f>
        <v>106</v>
      </c>
      <c r="F466" s="34" t="str">
        <f>VLOOKUP(B466,'Player Data'!A1:B734,2,FALSE)</f>
        <v>CHI</v>
      </c>
      <c r="G466" s="9">
        <f>VLOOKUP(B466,'Player Data'!A1:D734,3,FALSE)</f>
        <v>27</v>
      </c>
      <c r="H466" s="35">
        <f>IFERROR(VLOOKUP(B466,ADP!A1:G731,7,FALSE)/1000000,VLOOKUP(B466,ADP!A1:G731,7,FALSE))</f>
        <v>2</v>
      </c>
      <c r="I466" s="36">
        <f>IF(Settings!$E$15="POINTS",((R466*Q466)*Settings!$B$12)+(S466*Settings!$B$2)+(T466*Settings!$B$3)+(U466*Settings!$B$4)+(V466*Settings!$B$5)+(X466*Settings!$B$9)+(AA466*Settings!$B$6)+(W466*Settings!$B$8)+(AB466*Settings!$B$7)+(AC466*Settings!$B$14)+(AD466*Settings!$B$15)+(AE466*Settings!$B$16)+(AF466*Settings!$B$17)+(AG466*Settings!$B$18)+(Y466*Settings!$B$10)+(Z466*Settings!$B$11),VLOOKUP(B466,'Standard Deviations'!A1:C731,3,FALSE))</f>
        <v>0.20470761957327416</v>
      </c>
      <c r="J466" s="37">
        <f t="shared" si="44"/>
        <v>2.4964343850399288E-3</v>
      </c>
      <c r="K466" s="183">
        <f>IF(Settings!$E$18="C/LW/RW",VLOOKUP(B466,LW!A1:F227,6,FALSE),VLOOKUP(B466,F!A1:F431,6,FALSE))</f>
        <v>-6.4499614245511268</v>
      </c>
      <c r="L466" s="36">
        <f t="shared" si="45"/>
        <v>-3.2249807122755634</v>
      </c>
      <c r="M466" s="52" t="str">
        <f>IF(Settings!$E$9="YAHOO",VLOOKUP(B466,ADP!A1:E731,2,FALSE),IF(Settings!$E$9="ESPN",VLOOKUP(B466,ADP!A1:E731,3,FALSE),IF(Settings!$E$9="FANTRAX",VLOOKUP(B466,ADP!A1:E731,4,FALSE),VLOOKUP(B466,ADP!A1:E731,5,FALSE))))</f>
        <v>-</v>
      </c>
      <c r="N466" s="52" t="str">
        <f t="shared" si="46"/>
        <v>N/A</v>
      </c>
      <c r="O466" s="38"/>
      <c r="P466" s="39" t="str">
        <f>IF(Settings!$E$27="ON",_xlfn.XLOOKUP(B466,ADP!A2:A731,ADP!H2:H731)," ")</f>
        <v xml:space="preserve"> </v>
      </c>
      <c r="Q466" s="40">
        <f>IF(Settings!$E$12="YES",VLOOKUP(B466,'Player Data'!A1:E734,5,FALSE),82)</f>
        <v>82</v>
      </c>
      <c r="R466" s="38">
        <f>VLOOKUP(B466,'Player Data'!$A1:$AE734,6,FALSE)</f>
        <v>13.1853251012783</v>
      </c>
      <c r="S466" s="40">
        <f>VLOOKUP(B466,'Player Data'!$A1:$AE734,7,FALSE)*$Q466*IFERROR((VLOOKUP(P466,Settings!$E$28:$F$33,2,FALSE)+1),1)</f>
        <v>15.858745184594735</v>
      </c>
      <c r="T466" s="40">
        <f>VLOOKUP(B466,'Player Data'!$A1:$AE734,8,FALSE)*$Q466*IFERROR((VLOOKUP(P466,Settings!$E$28:$F$33,2,FALSE)+1),1)</f>
        <v>17.410028473115617</v>
      </c>
      <c r="U466" s="40">
        <f t="shared" si="42"/>
        <v>33.268773657710355</v>
      </c>
      <c r="V466" s="40">
        <f>VLOOKUP(B466,'Player Data'!$A1:$AE734,10,FALSE)*$Q466*IFERROR(((VLOOKUP(P466,Settings!$E$28:$F$33,2,FALSE)/2)+1),1)</f>
        <v>205.62925185599826</v>
      </c>
      <c r="W466" s="40">
        <f>VLOOKUP(B466,'Player Data'!$A1:$AE734,11,FALSE)*$Q466*IFERROR((VLOOKUP(P466,Settings!$E$28:$F$33,2,FALSE)+1),1)</f>
        <v>2.0586266791766672</v>
      </c>
      <c r="X466" s="40">
        <f>VLOOKUP(B466,'Player Data'!$A1:$AE734,12,FALSE)*$Q466*IFERROR((VLOOKUP(P466,Settings!$E$28:$F$33,2,FALSE)+1),1)</f>
        <v>6.1746056517797099</v>
      </c>
      <c r="Y466" s="40">
        <f>VLOOKUP(B466,'Player Data'!$A1:$AE734,13,FALSE)*$Q466</f>
        <v>0.18004162830938295</v>
      </c>
      <c r="Z466" s="40">
        <f>VLOOKUP(B466,'Player Data'!$A1:$AE734,14,FALSE)*$Q466</f>
        <v>0.32781364488804865</v>
      </c>
      <c r="AA466" s="40">
        <f>VLOOKUP(B466,'Player Data'!$A1:$AE734,15,FALSE)*$Q466</f>
        <v>24.097677629712067</v>
      </c>
      <c r="AB466" s="40">
        <f>VLOOKUP(B466,'Player Data'!$A1:$AE734,16,FALSE)*$Q466</f>
        <v>98.260929846298055</v>
      </c>
      <c r="AC466" s="40">
        <f>VLOOKUP(B466,'Player Data'!$A1:$AE734,17,FALSE)*$Q466*IFERROR((VLOOKUP(P466,Settings!$E$28:$F$33,2,FALSE)+1),1)</f>
        <v>-5.2128172838136893</v>
      </c>
      <c r="AD466" s="40">
        <f>VLOOKUP(B466,'Player Data'!$A1:$AE734,18,FALSE)*$Q466</f>
        <v>34.956806148716517</v>
      </c>
      <c r="AE466" s="40">
        <f>VLOOKUP(B466,'Player Data'!$A1:$AE734,19,FALSE)*$Q466*IFERROR((VLOOKUP(P466,Settings!$E$28:$F$33,2,FALSE)+1),1)</f>
        <v>1.8583523727419402</v>
      </c>
      <c r="AF466" s="40">
        <f>VLOOKUP(B466,'Player Data'!$A1:$AE734,20,FALSE)*$Q466</f>
        <v>65.563278717589924</v>
      </c>
      <c r="AG466" s="40">
        <f>VLOOKUP(B466,'Player Data'!$A1:$AE734,21,FALSE)*$Q466</f>
        <v>93.698953857157051</v>
      </c>
      <c r="AH466" s="41">
        <f>VLOOKUP(B466,'Player Data'!$A1:$AE734,22,FALSE)</f>
        <v>0.41166871553693002</v>
      </c>
      <c r="AI466" s="38"/>
      <c r="AJ466" s="42"/>
      <c r="AK466" s="40"/>
      <c r="AL466" s="40"/>
      <c r="AM466" s="40"/>
      <c r="AN466" s="40"/>
      <c r="AO466" s="40"/>
      <c r="AP466" s="40"/>
      <c r="AQ466" s="43"/>
      <c r="AR466" s="44"/>
      <c r="AS466" s="38"/>
    </row>
    <row r="467" spans="1:45" ht="21.2" customHeight="1">
      <c r="A467" s="181">
        <f t="shared" si="43"/>
        <v>466</v>
      </c>
      <c r="B467" s="8" t="s">
        <v>537</v>
      </c>
      <c r="C467" s="31" t="s">
        <v>104</v>
      </c>
      <c r="D467" s="32" t="str">
        <f>VLOOKUP(B467,'Player Data'!A1:D734,4,FALSE)</f>
        <v>C,LW</v>
      </c>
      <c r="E467" s="45">
        <f>VLOOKUP(B467,LW!A1:C227,3,FALSE)</f>
        <v>107</v>
      </c>
      <c r="F467" s="34" t="str">
        <f>VLOOKUP(B467,'Player Data'!A1:B734,2,FALSE)</f>
        <v>NSH</v>
      </c>
      <c r="G467" s="9">
        <f>VLOOKUP(B467,'Player Data'!A1:D734,3,FALSE)</f>
        <v>22</v>
      </c>
      <c r="H467" s="35">
        <f>IFERROR(VLOOKUP(B467,ADP!A1:G731,7,FALSE)/1000000,VLOOKUP(B467,ADP!A1:G731,7,FALSE))</f>
        <v>0.85083299999999995</v>
      </c>
      <c r="I467" s="36">
        <f>IF(Settings!$E$15="POINTS",((R467*Q467)*Settings!$B$12)+(S467*Settings!$B$2)+(T467*Settings!$B$3)+(U467*Settings!$B$4)+(V467*Settings!$B$5)+(X467*Settings!$B$9)+(AA467*Settings!$B$6)+(W467*Settings!$B$8)+(AB467*Settings!$B$7)+(AC467*Settings!$B$14)+(AD467*Settings!$B$15)+(AE467*Settings!$B$16)+(AF467*Settings!$B$17)+(AG467*Settings!$B$18)+(Y467*Settings!$B$10)+(Z467*Settings!$B$11),VLOOKUP(B467,'Standard Deviations'!A1:C731,3,FALSE))</f>
        <v>0.20281027208889657</v>
      </c>
      <c r="J467" s="37">
        <f t="shared" si="44"/>
        <v>2.4732960010841044E-3</v>
      </c>
      <c r="K467" s="183">
        <f>IF(Settings!$E$18="C/LW/RW",VLOOKUP(B467,LW!A1:F227,6,FALSE),VLOOKUP(B467,F!A1:F431,6,FALSE))</f>
        <v>-6.4518587720355045</v>
      </c>
      <c r="L467" s="36">
        <f t="shared" si="45"/>
        <v>-7.5829907538089198</v>
      </c>
      <c r="M467" s="52" t="str">
        <f>IF(Settings!$E$9="YAHOO",VLOOKUP(B467,ADP!A1:E731,2,FALSE),IF(Settings!$E$9="ESPN",VLOOKUP(B467,ADP!A1:E731,3,FALSE),IF(Settings!$E$9="FANTRAX",VLOOKUP(B467,ADP!A1:E731,4,FALSE),VLOOKUP(B467,ADP!A1:E731,5,FALSE))))</f>
        <v>-</v>
      </c>
      <c r="N467" s="52" t="str">
        <f t="shared" si="46"/>
        <v>N/A</v>
      </c>
      <c r="O467" s="38"/>
      <c r="P467" s="39" t="str">
        <f>IF(Settings!$E$27="ON",_xlfn.XLOOKUP(B467,ADP!A2:A731,ADP!H2:H731)," ")</f>
        <v xml:space="preserve"> </v>
      </c>
      <c r="Q467" s="40">
        <f>IF(Settings!$E$12="YES",VLOOKUP(B467,'Player Data'!A1:E734,5,FALSE),82)</f>
        <v>82</v>
      </c>
      <c r="R467" s="38">
        <f>VLOOKUP(B467,'Player Data'!$A1:$AE734,6,FALSE)</f>
        <v>14.120485748556</v>
      </c>
      <c r="S467" s="40">
        <f>VLOOKUP(B467,'Player Data'!$A1:$AE734,7,FALSE)*$Q467*IFERROR((VLOOKUP(P467,Settings!$E$28:$F$33,2,FALSE)+1),1)</f>
        <v>13.875908392015479</v>
      </c>
      <c r="T467" s="40">
        <f>VLOOKUP(B467,'Player Data'!$A1:$AE734,8,FALSE)*$Q467*IFERROR((VLOOKUP(P467,Settings!$E$28:$F$33,2,FALSE)+1),1)</f>
        <v>30.410780798397813</v>
      </c>
      <c r="U467" s="40">
        <f t="shared" si="42"/>
        <v>44.286689190413291</v>
      </c>
      <c r="V467" s="40">
        <f>VLOOKUP(B467,'Player Data'!$A1:$AE734,10,FALSE)*$Q467*IFERROR(((VLOOKUP(P467,Settings!$E$28:$F$33,2,FALSE)/2)+1),1)</f>
        <v>102.38960595000812</v>
      </c>
      <c r="W467" s="40">
        <f>VLOOKUP(B467,'Player Data'!$A1:$AE734,11,FALSE)*$Q467*IFERROR((VLOOKUP(P467,Settings!$E$28:$F$33,2,FALSE)+1),1)</f>
        <v>2.4628988254791473</v>
      </c>
      <c r="X467" s="40">
        <f>VLOOKUP(B467,'Player Data'!$A1:$AE734,12,FALSE)*$Q467*IFERROR((VLOOKUP(P467,Settings!$E$28:$F$33,2,FALSE)+1),1)</f>
        <v>11.078113919874587</v>
      </c>
      <c r="Y467" s="40">
        <f>VLOOKUP(B467,'Player Data'!$A1:$AE734,13,FALSE)*$Q467</f>
        <v>1.8741404768863393E-2</v>
      </c>
      <c r="Z467" s="40">
        <f>VLOOKUP(B467,'Player Data'!$A1:$AE734,14,FALSE)*$Q467</f>
        <v>3.775067482408051E-2</v>
      </c>
      <c r="AA467" s="40">
        <f>VLOOKUP(B467,'Player Data'!$A1:$AE734,15,FALSE)*$Q467</f>
        <v>33.4887043611755</v>
      </c>
      <c r="AB467" s="40">
        <f>VLOOKUP(B467,'Player Data'!$A1:$AE734,16,FALSE)*$Q467</f>
        <v>124.20516118307373</v>
      </c>
      <c r="AC467" s="40">
        <f>VLOOKUP(B467,'Player Data'!$A1:$AE734,17,FALSE)*$Q467*IFERROR((VLOOKUP(P467,Settings!$E$28:$F$33,2,FALSE)+1),1)</f>
        <v>-0.1972276952472278</v>
      </c>
      <c r="AD467" s="40">
        <f>VLOOKUP(B467,'Player Data'!$A1:$AE734,18,FALSE)*$Q467</f>
        <v>27.996142902315988</v>
      </c>
      <c r="AE467" s="40">
        <f>VLOOKUP(B467,'Player Data'!$A1:$AE734,19,FALSE)*$Q467*IFERROR((VLOOKUP(P467,Settings!$E$28:$F$33,2,FALSE)+1),1)</f>
        <v>2.0262455368151171</v>
      </c>
      <c r="AF467" s="40">
        <f>VLOOKUP(B467,'Player Data'!$A1:$AE734,20,FALSE)*$Q467</f>
        <v>278.25019203743682</v>
      </c>
      <c r="AG467" s="40">
        <f>VLOOKUP(B467,'Player Data'!$A1:$AE734,21,FALSE)*$Q467</f>
        <v>280.04535456671107</v>
      </c>
      <c r="AH467" s="41">
        <f>VLOOKUP(B467,'Player Data'!$A1:$AE734,22,FALSE)</f>
        <v>0.49839228295819898</v>
      </c>
      <c r="AI467" s="38"/>
      <c r="AJ467" s="42"/>
      <c r="AK467" s="40"/>
      <c r="AL467" s="40"/>
      <c r="AM467" s="40"/>
      <c r="AN467" s="40"/>
      <c r="AO467" s="40"/>
      <c r="AP467" s="40"/>
      <c r="AQ467" s="43"/>
      <c r="AR467" s="44"/>
      <c r="AS467" s="38"/>
    </row>
    <row r="468" spans="1:45" ht="21.2" customHeight="1">
      <c r="A468" s="181">
        <f t="shared" si="43"/>
        <v>467</v>
      </c>
      <c r="B468" s="8" t="s">
        <v>517</v>
      </c>
      <c r="C468" s="31" t="s">
        <v>104</v>
      </c>
      <c r="D468" s="32" t="str">
        <f>VLOOKUP(B468,'Player Data'!A1:D734,4,FALSE)</f>
        <v>D</v>
      </c>
      <c r="E468" s="47">
        <f>VLOOKUP(B468,D!A1:C229,3,FALSE)</f>
        <v>177</v>
      </c>
      <c r="F468" s="34" t="str">
        <f>VLOOKUP(B468,'Player Data'!A1:B734,2,FALSE)</f>
        <v>STL</v>
      </c>
      <c r="G468" s="9">
        <f>VLOOKUP(B468,'Player Data'!A1:D734,3,FALSE)</f>
        <v>32</v>
      </c>
      <c r="H468" s="35">
        <f>IFERROR(VLOOKUP(B468,ADP!A1:G731,7,FALSE)/1000000,VLOOKUP(B468,ADP!A1:G731,7,FALSE))</f>
        <v>4</v>
      </c>
      <c r="I468" s="36">
        <f>IF(Settings!$E$15="POINTS",((R468*Q468)*Settings!$B$12)+(S468*Settings!$B$2)+(T468*Settings!$B$3)+(U468*Settings!$B$4)+(V468*Settings!$B$5)+(X468*Settings!$B$9)+(AA468*Settings!$B$6)+(W468*Settings!$B$8)+(AB468*Settings!$B$7)+(AC468*Settings!$B$14)+(AD468*Settings!$B$15)+(AE468*Settings!$B$16)+(AF468*Settings!$B$17)+(AG468*Settings!$B$18)+(U468*Settings!$B$13)+(Y468*Settings!$B$10)+(Z468*Settings!$B$11),VLOOKUP(B468,'Standard Deviations'!A1:C731,3,FALSE))</f>
        <v>-4.5141941434165043</v>
      </c>
      <c r="J468" s="37">
        <f t="shared" si="44"/>
        <v>-5.5051148090445173E-2</v>
      </c>
      <c r="K468" s="183">
        <f>VLOOKUP(B468,D!A1:F229,6,FALSE)</f>
        <v>-6.4559346870508154</v>
      </c>
      <c r="L468" s="36">
        <f t="shared" si="45"/>
        <v>-1.6139836717627039</v>
      </c>
      <c r="M468" s="52" t="str">
        <f>IF(Settings!$E$9="YAHOO",VLOOKUP(B468,ADP!A1:E731,2,FALSE),IF(Settings!$E$9="ESPN",VLOOKUP(B468,ADP!A1:E731,3,FALSE),IF(Settings!$E$9="FANTRAX",VLOOKUP(B468,ADP!A1:E731,4,FALSE),VLOOKUP(B468,ADP!A1:E731,5,FALSE))))</f>
        <v>-</v>
      </c>
      <c r="N468" s="52" t="str">
        <f t="shared" si="46"/>
        <v>N/A</v>
      </c>
      <c r="O468" s="38"/>
      <c r="P468" s="39" t="str">
        <f>IF(Settings!$E$27="ON",_xlfn.XLOOKUP(B468,ADP!A2:A731,ADP!H2:H731)," ")</f>
        <v xml:space="preserve"> </v>
      </c>
      <c r="Q468" s="40">
        <f>IF(Settings!$E$12="YES",VLOOKUP(B468,'Player Data'!A1:E734,5,FALSE),82)</f>
        <v>82</v>
      </c>
      <c r="R468" s="38">
        <f>VLOOKUP(B468,'Player Data'!$A1:$AE734,6,FALSE)</f>
        <v>17.669817243627499</v>
      </c>
      <c r="S468" s="40">
        <f>VLOOKUP(B468,'Player Data'!$A1:$AE734,7,FALSE)*$Q468*IFERROR((VLOOKUP(P468,Settings!$E$28:$F$33,2,FALSE)+1),1)</f>
        <v>2.0390673455176094</v>
      </c>
      <c r="T468" s="40">
        <f>VLOOKUP(B468,'Player Data'!$A1:$AE734,8,FALSE)*$Q468*IFERROR((VLOOKUP(P468,Settings!$E$28:$F$33,2,FALSE)+1),1)</f>
        <v>17.322180677335776</v>
      </c>
      <c r="U468" s="40">
        <f t="shared" si="42"/>
        <v>19.361248022853385</v>
      </c>
      <c r="V468" s="40">
        <f>VLOOKUP(B468,'Player Data'!$A1:$AE734,10,FALSE)*$Q468*IFERROR(((VLOOKUP(P468,Settings!$E$28:$F$33,2,FALSE)/2)+1),1)</f>
        <v>70.935132036687406</v>
      </c>
      <c r="W468" s="40">
        <f>VLOOKUP(B468,'Player Data'!$A1:$AE734,11,FALSE)*$Q468*IFERROR((VLOOKUP(P468,Settings!$E$28:$F$33,2,FALSE)+1),1)</f>
        <v>6.551487692397498E-2</v>
      </c>
      <c r="X468" s="40">
        <f>VLOOKUP(B468,'Player Data'!$A1:$AE734,12,FALSE)*$Q468*IFERROR((VLOOKUP(P468,Settings!$E$28:$F$33,2,FALSE)+1),1)</f>
        <v>1.0388085460189975</v>
      </c>
      <c r="Y468" s="40">
        <f>VLOOKUP(B468,'Player Data'!$A1:$AE734,13,FALSE)*$Q468</f>
        <v>-9.7726198966355694E-4</v>
      </c>
      <c r="Z468" s="40">
        <f>VLOOKUP(B468,'Player Data'!$A1:$AE734,14,FALSE)*$Q468</f>
        <v>-1.4871168449680115E-2</v>
      </c>
      <c r="AA468" s="40">
        <f>VLOOKUP(B468,'Player Data'!$A1:$AE734,15,FALSE)*$Q468</f>
        <v>86.795088538277568</v>
      </c>
      <c r="AB468" s="40">
        <f>VLOOKUP(B468,'Player Data'!$A1:$AE734,16,FALSE)*$Q468</f>
        <v>54.771971290941778</v>
      </c>
      <c r="AC468" s="40">
        <f>VLOOKUP(B468,'Player Data'!$A1:$AE734,17,FALSE)*$Q468*IFERROR((VLOOKUP(P468,Settings!$E$28:$F$33,2,FALSE)+1),1)</f>
        <v>-5.2466729843126512</v>
      </c>
      <c r="AD468" s="40">
        <f>VLOOKUP(B468,'Player Data'!$A1:$AE734,18,FALSE)*$Q468</f>
        <v>20.157934492451563</v>
      </c>
      <c r="AE468" s="40">
        <f>VLOOKUP(B468,'Player Data'!$A1:$AE734,19,FALSE)*$Q468*IFERROR((VLOOKUP(P468,Settings!$E$28:$F$33,2,FALSE)+1),1)</f>
        <v>0.23464104949570289</v>
      </c>
      <c r="AF468" s="40">
        <f>VLOOKUP(B468,'Player Data'!$A1:$AE734,20,FALSE)*$Q468</f>
        <v>0</v>
      </c>
      <c r="AG468" s="40">
        <f>VLOOKUP(B468,'Player Data'!$A1:$AE734,21,FALSE)*$Q468</f>
        <v>0</v>
      </c>
      <c r="AH468" s="41">
        <f>VLOOKUP(B468,'Player Data'!$A1:$AE734,22,FALSE)</f>
        <v>0</v>
      </c>
      <c r="AI468" s="38"/>
      <c r="AJ468" s="42"/>
      <c r="AK468" s="40"/>
      <c r="AL468" s="40"/>
      <c r="AM468" s="40"/>
      <c r="AN468" s="40"/>
      <c r="AO468" s="40"/>
      <c r="AP468" s="40"/>
      <c r="AQ468" s="43"/>
      <c r="AR468" s="44"/>
      <c r="AS468" s="38"/>
    </row>
    <row r="469" spans="1:45" ht="21.2" customHeight="1">
      <c r="A469" s="181">
        <f t="shared" si="43"/>
        <v>468</v>
      </c>
      <c r="B469" s="8" t="s">
        <v>500</v>
      </c>
      <c r="C469" s="31" t="s">
        <v>104</v>
      </c>
      <c r="D469" s="32" t="str">
        <f>VLOOKUP(B469,'Player Data'!A1:D734,4,FALSE)</f>
        <v>D</v>
      </c>
      <c r="E469" s="47">
        <f>VLOOKUP(B469,D!A1:C229,3,FALSE)</f>
        <v>178</v>
      </c>
      <c r="F469" s="34" t="str">
        <f>VLOOKUP(B469,'Player Data'!A1:B734,2,FALSE)</f>
        <v>MIN</v>
      </c>
      <c r="G469" s="9">
        <f>VLOOKUP(B469,'Player Data'!A1:D734,3,FALSE)</f>
        <v>27</v>
      </c>
      <c r="H469" s="35">
        <f>IFERROR(VLOOKUP(B469,ADP!A1:G731,7,FALSE)/1000000,VLOOKUP(B469,ADP!A1:G731,7,FALSE))</f>
        <v>2.4500000000000002</v>
      </c>
      <c r="I469" s="36">
        <f>IF(Settings!$E$15="POINTS",((R469*Q469)*Settings!$B$12)+(S469*Settings!$B$2)+(T469*Settings!$B$3)+(U469*Settings!$B$4)+(V469*Settings!$B$5)+(X469*Settings!$B$9)+(AA469*Settings!$B$6)+(W469*Settings!$B$8)+(AB469*Settings!$B$7)+(AC469*Settings!$B$14)+(AD469*Settings!$B$15)+(AE469*Settings!$B$16)+(AF469*Settings!$B$17)+(AG469*Settings!$B$18)+(U469*Settings!$B$13)+(Y469*Settings!$B$10)+(Z469*Settings!$B$11),VLOOKUP(B469,'Standard Deviations'!A1:C731,3,FALSE))</f>
        <v>-4.5171208311545321</v>
      </c>
      <c r="J469" s="37">
        <f t="shared" si="44"/>
        <v>-5.5086839404323559E-2</v>
      </c>
      <c r="K469" s="183">
        <f>VLOOKUP(B469,D!A1:F229,6,FALSE)</f>
        <v>-6.4588613747888424</v>
      </c>
      <c r="L469" s="36">
        <f t="shared" si="45"/>
        <v>-2.6362699488934047</v>
      </c>
      <c r="M469" s="52" t="str">
        <f>IF(Settings!$E$9="YAHOO",VLOOKUP(B469,ADP!A1:E731,2,FALSE),IF(Settings!$E$9="ESPN",VLOOKUP(B469,ADP!A1:E731,3,FALSE),IF(Settings!$E$9="FANTRAX",VLOOKUP(B469,ADP!A1:E731,4,FALSE),VLOOKUP(B469,ADP!A1:E731,5,FALSE))))</f>
        <v>-</v>
      </c>
      <c r="N469" s="52" t="str">
        <f t="shared" si="46"/>
        <v>N/A</v>
      </c>
      <c r="O469" s="38"/>
      <c r="P469" s="39" t="str">
        <f>IF(Settings!$E$27="ON",_xlfn.XLOOKUP(B469,ADP!A2:A731,ADP!H2:H731)," ")</f>
        <v xml:space="preserve"> </v>
      </c>
      <c r="Q469" s="40">
        <f>IF(Settings!$E$12="YES",VLOOKUP(B469,'Player Data'!A1:E734,5,FALSE),82)</f>
        <v>82</v>
      </c>
      <c r="R469" s="38">
        <f>VLOOKUP(B469,'Player Data'!$A1:$AE734,6,FALSE)</f>
        <v>18.9596385290324</v>
      </c>
      <c r="S469" s="40">
        <f>VLOOKUP(B469,'Player Data'!$A1:$AE734,7,FALSE)*$Q469*IFERROR((VLOOKUP(P469,Settings!$E$28:$F$33,2,FALSE)+1),1)</f>
        <v>4.0904662613437273</v>
      </c>
      <c r="T469" s="40">
        <f>VLOOKUP(B469,'Player Data'!$A1:$AE734,8,FALSE)*$Q469*IFERROR((VLOOKUP(P469,Settings!$E$28:$F$33,2,FALSE)+1),1)</f>
        <v>13.315181328414265</v>
      </c>
      <c r="U469" s="40">
        <f t="shared" si="42"/>
        <v>17.405647589757994</v>
      </c>
      <c r="V469" s="40">
        <f>VLOOKUP(B469,'Player Data'!$A1:$AE734,10,FALSE)*$Q469*IFERROR(((VLOOKUP(P469,Settings!$E$28:$F$33,2,FALSE)/2)+1),1)</f>
        <v>86.61064695188368</v>
      </c>
      <c r="W469" s="40">
        <f>VLOOKUP(B469,'Player Data'!$A1:$AE734,11,FALSE)*$Q469*IFERROR((VLOOKUP(P469,Settings!$E$28:$F$33,2,FALSE)+1),1)</f>
        <v>2.1713834929171963E-2</v>
      </c>
      <c r="X469" s="40">
        <f>VLOOKUP(B469,'Player Data'!$A1:$AE734,12,FALSE)*$Q469*IFERROR((VLOOKUP(P469,Settings!$E$28:$F$33,2,FALSE)+1),1)</f>
        <v>0.18493636111051007</v>
      </c>
      <c r="Y469" s="40">
        <f>VLOOKUP(B469,'Player Data'!$A1:$AE734,13,FALSE)*$Q469</f>
        <v>3.4153274666236008E-2</v>
      </c>
      <c r="Z469" s="40">
        <f>VLOOKUP(B469,'Player Data'!$A1:$AE734,14,FALSE)*$Q469</f>
        <v>1.094923844618358</v>
      </c>
      <c r="AA469" s="40">
        <f>VLOOKUP(B469,'Player Data'!$A1:$AE734,15,FALSE)*$Q469</f>
        <v>150.88056635020277</v>
      </c>
      <c r="AB469" s="40">
        <f>VLOOKUP(B469,'Player Data'!$A1:$AE734,16,FALSE)*$Q469</f>
        <v>126.05541765902176</v>
      </c>
      <c r="AC469" s="40">
        <f>VLOOKUP(B469,'Player Data'!$A1:$AE734,17,FALSE)*$Q469*IFERROR((VLOOKUP(P469,Settings!$E$28:$F$33,2,FALSE)+1),1)</f>
        <v>2.1930282481933094</v>
      </c>
      <c r="AD469" s="40">
        <f>VLOOKUP(B469,'Player Data'!$A1:$AE734,18,FALSE)*$Q469</f>
        <v>66.499444254586322</v>
      </c>
      <c r="AE469" s="40">
        <f>VLOOKUP(B469,'Player Data'!$A1:$AE734,19,FALSE)*$Q469*IFERROR((VLOOKUP(P469,Settings!$E$28:$F$33,2,FALSE)+1),1)</f>
        <v>0.65683241011195659</v>
      </c>
      <c r="AF469" s="40">
        <f>VLOOKUP(B469,'Player Data'!$A1:$AE734,20,FALSE)*$Q469</f>
        <v>0</v>
      </c>
      <c r="AG469" s="40">
        <f>VLOOKUP(B469,'Player Data'!$A1:$AE734,21,FALSE)*$Q469</f>
        <v>0</v>
      </c>
      <c r="AH469" s="41">
        <f>VLOOKUP(B469,'Player Data'!$A1:$AE734,22,FALSE)</f>
        <v>0</v>
      </c>
      <c r="AI469" s="38"/>
      <c r="AJ469" s="42"/>
      <c r="AK469" s="40"/>
      <c r="AL469" s="40"/>
      <c r="AM469" s="40"/>
      <c r="AN469" s="40"/>
      <c r="AO469" s="40"/>
      <c r="AP469" s="40"/>
      <c r="AQ469" s="43"/>
      <c r="AR469" s="44"/>
      <c r="AS469" s="38"/>
    </row>
    <row r="470" spans="1:45" ht="21.2" customHeight="1">
      <c r="A470" s="181">
        <f t="shared" si="43"/>
        <v>469</v>
      </c>
      <c r="B470" s="8" t="s">
        <v>475</v>
      </c>
      <c r="C470" s="31" t="s">
        <v>104</v>
      </c>
      <c r="D470" s="32" t="str">
        <f>VLOOKUP(B470,'Player Data'!A1:D734,4,FALSE)</f>
        <v>D</v>
      </c>
      <c r="E470" s="47">
        <f>VLOOKUP(B470,D!A1:C229,3,FALSE)</f>
        <v>179</v>
      </c>
      <c r="F470" s="34" t="str">
        <f>VLOOKUP(B470,'Player Data'!A1:B734,2,FALSE)</f>
        <v>MTL</v>
      </c>
      <c r="G470" s="9">
        <f>VLOOKUP(B470,'Player Data'!A1:D734,3,FALSE)</f>
        <v>32</v>
      </c>
      <c r="H470" s="35">
        <f>IFERROR(VLOOKUP(B470,ADP!A1:G731,7,FALSE)/1000000,VLOOKUP(B470,ADP!A1:G731,7,FALSE))</f>
        <v>3.5</v>
      </c>
      <c r="I470" s="36">
        <f>IF(Settings!$E$15="POINTS",((R470*Q470)*Settings!$B$12)+(S470*Settings!$B$2)+(T470*Settings!$B$3)+(U470*Settings!$B$4)+(V470*Settings!$B$5)+(X470*Settings!$B$9)+(AA470*Settings!$B$6)+(W470*Settings!$B$8)+(AB470*Settings!$B$7)+(AC470*Settings!$B$14)+(AD470*Settings!$B$15)+(AE470*Settings!$B$16)+(AF470*Settings!$B$17)+(AG470*Settings!$B$18)+(U470*Settings!$B$13)+(Y470*Settings!$B$10)+(Z470*Settings!$B$11),VLOOKUP(B470,'Standard Deviations'!A1:C731,3,FALSE))</f>
        <v>-4.5271447792210529</v>
      </c>
      <c r="J470" s="37">
        <f t="shared" si="44"/>
        <v>-5.5209082673427473E-2</v>
      </c>
      <c r="K470" s="183">
        <f>VLOOKUP(B470,D!A1:F229,6,FALSE)</f>
        <v>-6.468885322855364</v>
      </c>
      <c r="L470" s="36">
        <f t="shared" si="45"/>
        <v>-1.8482529493872468</v>
      </c>
      <c r="M470" s="52" t="str">
        <f>IF(Settings!$E$9="YAHOO",VLOOKUP(B470,ADP!A1:E731,2,FALSE),IF(Settings!$E$9="ESPN",VLOOKUP(B470,ADP!A1:E731,3,FALSE),IF(Settings!$E$9="FANTRAX",VLOOKUP(B470,ADP!A1:E731,4,FALSE),VLOOKUP(B470,ADP!A1:E731,5,FALSE))))</f>
        <v>-</v>
      </c>
      <c r="N470" s="52" t="str">
        <f t="shared" si="46"/>
        <v>N/A</v>
      </c>
      <c r="O470" s="38"/>
      <c r="P470" s="39" t="str">
        <f>IF(Settings!$E$27="ON",_xlfn.XLOOKUP(B470,ADP!A2:A731,ADP!H2:H731)," ")</f>
        <v xml:space="preserve"> </v>
      </c>
      <c r="Q470" s="40">
        <f>IF(Settings!$E$12="YES",VLOOKUP(B470,'Player Data'!A1:E734,5,FALSE),82)</f>
        <v>82</v>
      </c>
      <c r="R470" s="38">
        <f>VLOOKUP(B470,'Player Data'!$A1:$AE734,6,FALSE)</f>
        <v>18.754761174302502</v>
      </c>
      <c r="S470" s="40">
        <f>VLOOKUP(B470,'Player Data'!$A1:$AE734,7,FALSE)*$Q470*IFERROR((VLOOKUP(P470,Settings!$E$28:$F$33,2,FALSE)+1),1)</f>
        <v>2.8363588378464497</v>
      </c>
      <c r="T470" s="40">
        <f>VLOOKUP(B470,'Player Data'!$A1:$AE734,8,FALSE)*$Q470*IFERROR((VLOOKUP(P470,Settings!$E$28:$F$33,2,FALSE)+1),1)</f>
        <v>15.016533310274125</v>
      </c>
      <c r="U470" s="40">
        <f t="shared" ref="U470:U533" si="47">SUM(S470:T470)</f>
        <v>17.852892148120574</v>
      </c>
      <c r="V470" s="40">
        <f>VLOOKUP(B470,'Player Data'!$A1:$AE734,10,FALSE)*$Q470*IFERROR(((VLOOKUP(P470,Settings!$E$28:$F$33,2,FALSE)/2)+1),1)</f>
        <v>84.97982904707699</v>
      </c>
      <c r="W470" s="40">
        <f>VLOOKUP(B470,'Player Data'!$A1:$AE734,11,FALSE)*$Q470*IFERROR((VLOOKUP(P470,Settings!$E$28:$F$33,2,FALSE)+1),1)</f>
        <v>1.882808194473979E-2</v>
      </c>
      <c r="X470" s="40">
        <f>VLOOKUP(B470,'Player Data'!$A1:$AE734,12,FALSE)*$Q470*IFERROR((VLOOKUP(P470,Settings!$E$28:$F$33,2,FALSE)+1),1)</f>
        <v>0.12844791515311876</v>
      </c>
      <c r="Y470" s="40">
        <f>VLOOKUP(B470,'Player Data'!$A1:$AE734,13,FALSE)*$Q470</f>
        <v>-3.9932464286320801E-2</v>
      </c>
      <c r="Z470" s="40">
        <f>VLOOKUP(B470,'Player Data'!$A1:$AE734,14,FALSE)*$Q470</f>
        <v>1.0196299625808292</v>
      </c>
      <c r="AA470" s="40">
        <f>VLOOKUP(B470,'Player Data'!$A1:$AE734,15,FALSE)*$Q470</f>
        <v>186.09441235583179</v>
      </c>
      <c r="AB470" s="40">
        <f>VLOOKUP(B470,'Player Data'!$A1:$AE734,16,FALSE)*$Q470</f>
        <v>110.47522863073493</v>
      </c>
      <c r="AC470" s="40">
        <f>VLOOKUP(B470,'Player Data'!$A1:$AE734,17,FALSE)*$Q470*IFERROR((VLOOKUP(P470,Settings!$E$28:$F$33,2,FALSE)+1),1)</f>
        <v>-10.418590466114068</v>
      </c>
      <c r="AD470" s="40">
        <f>VLOOKUP(B470,'Player Data'!$A1:$AE734,18,FALSE)*$Q470</f>
        <v>32.534377838342316</v>
      </c>
      <c r="AE470" s="40">
        <f>VLOOKUP(B470,'Player Data'!$A1:$AE734,19,FALSE)*$Q470*IFERROR((VLOOKUP(P470,Settings!$E$28:$F$33,2,FALSE)+1),1)</f>
        <v>0.2905625970661716</v>
      </c>
      <c r="AF470" s="40">
        <f>VLOOKUP(B470,'Player Data'!$A1:$AE734,20,FALSE)*$Q470</f>
        <v>0</v>
      </c>
      <c r="AG470" s="40">
        <f>VLOOKUP(B470,'Player Data'!$A1:$AE734,21,FALSE)*$Q470</f>
        <v>0</v>
      </c>
      <c r="AH470" s="41">
        <f>VLOOKUP(B470,'Player Data'!$A1:$AE734,22,FALSE)</f>
        <v>0</v>
      </c>
      <c r="AI470" s="38"/>
      <c r="AJ470" s="40"/>
      <c r="AK470" s="40"/>
      <c r="AL470" s="40"/>
      <c r="AM470" s="40"/>
      <c r="AN470" s="40"/>
      <c r="AO470" s="40"/>
      <c r="AP470" s="40"/>
      <c r="AQ470" s="43"/>
      <c r="AR470" s="44"/>
      <c r="AS470" s="38"/>
    </row>
    <row r="471" spans="1:45" ht="21.2" customHeight="1">
      <c r="A471" s="181">
        <f t="shared" si="43"/>
        <v>470</v>
      </c>
      <c r="B471" s="8" t="s">
        <v>505</v>
      </c>
      <c r="C471" s="31" t="s">
        <v>104</v>
      </c>
      <c r="D471" s="32" t="str">
        <f>VLOOKUP(B471,'Player Data'!A1:D734,4,FALSE)</f>
        <v>D</v>
      </c>
      <c r="E471" s="47">
        <f>VLOOKUP(B471,D!A1:C229,3,FALSE)</f>
        <v>180</v>
      </c>
      <c r="F471" s="34" t="str">
        <f>VLOOKUP(B471,'Player Data'!A1:B734,2,FALSE)</f>
        <v>SEA</v>
      </c>
      <c r="G471" s="9">
        <f>VLOOKUP(B471,'Player Data'!A1:D734,3,FALSE)</f>
        <v>31</v>
      </c>
      <c r="H471" s="35">
        <f>IFERROR(VLOOKUP(B471,ADP!A1:G731,7,FALSE)/1000000,VLOOKUP(B471,ADP!A1:G731,7,FALSE))</f>
        <v>3.15</v>
      </c>
      <c r="I471" s="36">
        <f>IF(Settings!$E$15="POINTS",((R471*Q471)*Settings!$B$12)+(S471*Settings!$B$2)+(T471*Settings!$B$3)+(U471*Settings!$B$4)+(V471*Settings!$B$5)+(X471*Settings!$B$9)+(AA471*Settings!$B$6)+(W471*Settings!$B$8)+(AB471*Settings!$B$7)+(AC471*Settings!$B$14)+(AD471*Settings!$B$15)+(AE471*Settings!$B$16)+(AF471*Settings!$B$17)+(AG471*Settings!$B$18)+(U471*Settings!$B$13)+(Y471*Settings!$B$10)+(Z471*Settings!$B$11),VLOOKUP(B471,'Standard Deviations'!A1:C731,3,FALSE))</f>
        <v>-4.5273596046403579</v>
      </c>
      <c r="J471" s="37">
        <f t="shared" si="44"/>
        <v>-5.5211702495614121E-2</v>
      </c>
      <c r="K471" s="183">
        <f>VLOOKUP(B471,D!A1:F229,6,FALSE)</f>
        <v>-6.4691001482746682</v>
      </c>
      <c r="L471" s="36">
        <f t="shared" si="45"/>
        <v>-2.0536825867538631</v>
      </c>
      <c r="M471" s="52" t="str">
        <f>IF(Settings!$E$9="YAHOO",VLOOKUP(B471,ADP!A1:E731,2,FALSE),IF(Settings!$E$9="ESPN",VLOOKUP(B471,ADP!A1:E731,3,FALSE),IF(Settings!$E$9="FANTRAX",VLOOKUP(B471,ADP!A1:E731,4,FALSE),VLOOKUP(B471,ADP!A1:E731,5,FALSE))))</f>
        <v>-</v>
      </c>
      <c r="N471" s="52" t="str">
        <f t="shared" si="46"/>
        <v>N/A</v>
      </c>
      <c r="O471" s="38"/>
      <c r="P471" s="39" t="str">
        <f>IF(Settings!$E$27="ON",_xlfn.XLOOKUP(B471,ADP!A2:A731,ADP!H2:H731)," ")</f>
        <v xml:space="preserve"> </v>
      </c>
      <c r="Q471" s="40">
        <f>IF(Settings!$E$12="YES",VLOOKUP(B471,'Player Data'!A1:E734,5,FALSE),82)</f>
        <v>82</v>
      </c>
      <c r="R471" s="38">
        <f>VLOOKUP(B471,'Player Data'!$A1:$AE734,6,FALSE)</f>
        <v>17.851580830566199</v>
      </c>
      <c r="S471" s="40">
        <f>VLOOKUP(B471,'Player Data'!$A1:$AE734,7,FALSE)*$Q471*IFERROR((VLOOKUP(P471,Settings!$E$28:$F$33,2,FALSE)+1),1)</f>
        <v>2.4551757581383584</v>
      </c>
      <c r="T471" s="40">
        <f>VLOOKUP(B471,'Player Data'!$A1:$AE734,8,FALSE)*$Q471*IFERROR((VLOOKUP(P471,Settings!$E$28:$F$33,2,FALSE)+1),1)</f>
        <v>16.52057907048129</v>
      </c>
      <c r="U471" s="40">
        <f t="shared" si="47"/>
        <v>18.97575482861965</v>
      </c>
      <c r="V471" s="40">
        <f>VLOOKUP(B471,'Player Data'!$A1:$AE734,10,FALSE)*$Q471*IFERROR(((VLOOKUP(P471,Settings!$E$28:$F$33,2,FALSE)/2)+1),1)</f>
        <v>77.557576038376524</v>
      </c>
      <c r="W471" s="40">
        <f>VLOOKUP(B471,'Player Data'!$A1:$AE734,11,FALSE)*$Q471*IFERROR((VLOOKUP(P471,Settings!$E$28:$F$33,2,FALSE)+1),1)</f>
        <v>2.3027962058094476E-2</v>
      </c>
      <c r="X471" s="40">
        <f>VLOOKUP(B471,'Player Data'!$A1:$AE734,12,FALSE)*$Q471*IFERROR((VLOOKUP(P471,Settings!$E$28:$F$33,2,FALSE)+1),1)</f>
        <v>0.15047370803272006</v>
      </c>
      <c r="Y471" s="40">
        <f>VLOOKUP(B471,'Player Data'!$A1:$AE734,13,FALSE)*$Q471</f>
        <v>-3.2651230353326108E-2</v>
      </c>
      <c r="Z471" s="40">
        <f>VLOOKUP(B471,'Player Data'!$A1:$AE734,14,FALSE)*$Q471</f>
        <v>0.81532639526905171</v>
      </c>
      <c r="AA471" s="40">
        <f>VLOOKUP(B471,'Player Data'!$A1:$AE734,15,FALSE)*$Q471</f>
        <v>118.88840940614899</v>
      </c>
      <c r="AB471" s="40">
        <f>VLOOKUP(B471,'Player Data'!$A1:$AE734,16,FALSE)*$Q471</f>
        <v>101.98539391917419</v>
      </c>
      <c r="AC471" s="40">
        <f>VLOOKUP(B471,'Player Data'!$A1:$AE734,17,FALSE)*$Q471*IFERROR((VLOOKUP(P471,Settings!$E$28:$F$33,2,FALSE)+1),1)</f>
        <v>-1.7731758199404468</v>
      </c>
      <c r="AD471" s="40">
        <f>VLOOKUP(B471,'Player Data'!$A1:$AE734,18,FALSE)*$Q471</f>
        <v>20.731970317179822</v>
      </c>
      <c r="AE471" s="40">
        <f>VLOOKUP(B471,'Player Data'!$A1:$AE734,19,FALSE)*$Q471*IFERROR((VLOOKUP(P471,Settings!$E$28:$F$33,2,FALSE)+1),1)</f>
        <v>0.34510190122582612</v>
      </c>
      <c r="AF471" s="40">
        <f>VLOOKUP(B471,'Player Data'!$A1:$AE734,20,FALSE)*$Q471</f>
        <v>0</v>
      </c>
      <c r="AG471" s="40">
        <f>VLOOKUP(B471,'Player Data'!$A1:$AE734,21,FALSE)*$Q471</f>
        <v>0</v>
      </c>
      <c r="AH471" s="41">
        <f>VLOOKUP(B471,'Player Data'!$A1:$AE734,22,FALSE)</f>
        <v>0</v>
      </c>
      <c r="AI471" s="38"/>
      <c r="AJ471" s="42"/>
      <c r="AK471" s="40"/>
      <c r="AL471" s="40"/>
      <c r="AM471" s="40"/>
      <c r="AN471" s="40"/>
      <c r="AO471" s="40"/>
      <c r="AP471" s="40"/>
      <c r="AQ471" s="43"/>
      <c r="AR471" s="44"/>
      <c r="AS471" s="38"/>
    </row>
    <row r="472" spans="1:45" ht="21.2" customHeight="1">
      <c r="A472" s="181">
        <f t="shared" si="43"/>
        <v>471</v>
      </c>
      <c r="B472" s="8" t="s">
        <v>487</v>
      </c>
      <c r="C472" s="31" t="s">
        <v>104</v>
      </c>
      <c r="D472" s="32" t="str">
        <f>VLOOKUP(B472,'Player Data'!A1:D734,4,FALSE)</f>
        <v>D</v>
      </c>
      <c r="E472" s="47">
        <f>VLOOKUP(B472,D!A1:C229,3,FALSE)</f>
        <v>181</v>
      </c>
      <c r="F472" s="34" t="str">
        <f>VLOOKUP(B472,'Player Data'!A1:B734,2,FALSE)</f>
        <v>VAN</v>
      </c>
      <c r="G472" s="9">
        <f>VLOOKUP(B472,'Player Data'!A1:D734,3,FALSE)</f>
        <v>33</v>
      </c>
      <c r="H472" s="35">
        <f>IFERROR(VLOOKUP(B472,ADP!A1:G731,7,FALSE)/1000000,VLOOKUP(B472,ADP!A1:G731,7,FALSE))</f>
        <v>6</v>
      </c>
      <c r="I472" s="36">
        <f>IF(Settings!$E$15="POINTS",((R472*Q472)*Settings!$B$12)+(S472*Settings!$B$2)+(T472*Settings!$B$3)+(U472*Settings!$B$4)+(V472*Settings!$B$5)+(X472*Settings!$B$9)+(AA472*Settings!$B$6)+(W472*Settings!$B$8)+(AB472*Settings!$B$7)+(AC472*Settings!$B$14)+(AD472*Settings!$B$15)+(AE472*Settings!$B$16)+(AF472*Settings!$B$17)+(AG472*Settings!$B$18)+(U472*Settings!$B$13)+(Y472*Settings!$B$10)+(Z472*Settings!$B$11),VLOOKUP(B472,'Standard Deviations'!A1:C731,3,FALSE))</f>
        <v>-4.5277782390692174</v>
      </c>
      <c r="J472" s="37">
        <f t="shared" si="44"/>
        <v>-5.5216807793527042E-2</v>
      </c>
      <c r="K472" s="183">
        <f>VLOOKUP(B472,D!A1:F229,6,FALSE)</f>
        <v>-6.4695187827035276</v>
      </c>
      <c r="L472" s="36">
        <f t="shared" si="45"/>
        <v>-1.078253130450588</v>
      </c>
      <c r="M472" s="52" t="str">
        <f>IF(Settings!$E$9="YAHOO",VLOOKUP(B472,ADP!A1:E731,2,FALSE),IF(Settings!$E$9="ESPN",VLOOKUP(B472,ADP!A1:E731,3,FALSE),IF(Settings!$E$9="FANTRAX",VLOOKUP(B472,ADP!A1:E731,4,FALSE),VLOOKUP(B472,ADP!A1:E731,5,FALSE))))</f>
        <v>-</v>
      </c>
      <c r="N472" s="52" t="str">
        <f t="shared" si="46"/>
        <v>N/A</v>
      </c>
      <c r="O472" s="38"/>
      <c r="P472" s="39" t="str">
        <f>IF(Settings!$E$27="ON",_xlfn.XLOOKUP(B472,ADP!A2:A731,ADP!H2:H731)," ")</f>
        <v xml:space="preserve"> </v>
      </c>
      <c r="Q472" s="40">
        <f>IF(Settings!$E$12="YES",VLOOKUP(B472,'Player Data'!A1:E734,5,FALSE),82)</f>
        <v>82</v>
      </c>
      <c r="R472" s="38">
        <f>VLOOKUP(B472,'Player Data'!$A1:$AE734,6,FALSE)</f>
        <v>17.543180197851001</v>
      </c>
      <c r="S472" s="40">
        <f>VLOOKUP(B472,'Player Data'!$A1:$AE734,7,FALSE)*$Q472*IFERROR((VLOOKUP(P472,Settings!$E$28:$F$33,2,FALSE)+1),1)</f>
        <v>1.8468658568647709</v>
      </c>
      <c r="T472" s="40">
        <f>VLOOKUP(B472,'Player Data'!$A1:$AE734,8,FALSE)*$Q472*IFERROR((VLOOKUP(P472,Settings!$E$28:$F$33,2,FALSE)+1),1)</f>
        <v>13.926703616265371</v>
      </c>
      <c r="U472" s="40">
        <f t="shared" si="47"/>
        <v>15.773569473130141</v>
      </c>
      <c r="V472" s="40">
        <f>VLOOKUP(B472,'Player Data'!$A1:$AE734,10,FALSE)*$Q472*IFERROR(((VLOOKUP(P472,Settings!$E$28:$F$33,2,FALSE)/2)+1),1)</f>
        <v>97.362570014114965</v>
      </c>
      <c r="W472" s="40">
        <f>VLOOKUP(B472,'Player Data'!$A1:$AE734,11,FALSE)*$Q472*IFERROR((VLOOKUP(P472,Settings!$E$28:$F$33,2,FALSE)+1),1)</f>
        <v>4.4266448254916019E-2</v>
      </c>
      <c r="X472" s="40">
        <f>VLOOKUP(B472,'Player Data'!$A1:$AE734,12,FALSE)*$Q472*IFERROR((VLOOKUP(P472,Settings!$E$28:$F$33,2,FALSE)+1),1)</f>
        <v>0.69911519000612865</v>
      </c>
      <c r="Y472" s="40">
        <f>VLOOKUP(B472,'Player Data'!$A1:$AE734,13,FALSE)*$Q472</f>
        <v>8.5085520495856715E-2</v>
      </c>
      <c r="Z472" s="40">
        <f>VLOOKUP(B472,'Player Data'!$A1:$AE734,14,FALSE)*$Q472</f>
        <v>0.32782943216626281</v>
      </c>
      <c r="AA472" s="40">
        <f>VLOOKUP(B472,'Player Data'!$A1:$AE734,15,FALSE)*$Q472</f>
        <v>119.03794917076019</v>
      </c>
      <c r="AB472" s="40">
        <f>VLOOKUP(B472,'Player Data'!$A1:$AE734,16,FALSE)*$Q472</f>
        <v>95.841696713855313</v>
      </c>
      <c r="AC472" s="40">
        <f>VLOOKUP(B472,'Player Data'!$A1:$AE734,17,FALSE)*$Q472*IFERROR((VLOOKUP(P472,Settings!$E$28:$F$33,2,FALSE)+1),1)</f>
        <v>-2.1005463554133428</v>
      </c>
      <c r="AD472" s="40">
        <f>VLOOKUP(B472,'Player Data'!$A1:$AE734,18,FALSE)*$Q472</f>
        <v>51.477481773599209</v>
      </c>
      <c r="AE472" s="40">
        <f>VLOOKUP(B472,'Player Data'!$A1:$AE734,19,FALSE)*$Q472*IFERROR((VLOOKUP(P472,Settings!$E$28:$F$33,2,FALSE)+1),1)</f>
        <v>0.26144168236288928</v>
      </c>
      <c r="AF472" s="40">
        <f>VLOOKUP(B472,'Player Data'!$A1:$AE734,20,FALSE)*$Q472</f>
        <v>0</v>
      </c>
      <c r="AG472" s="40">
        <f>VLOOKUP(B472,'Player Data'!$A1:$AE734,21,FALSE)*$Q472</f>
        <v>0</v>
      </c>
      <c r="AH472" s="41">
        <f>VLOOKUP(B472,'Player Data'!$A1:$AE734,22,FALSE)</f>
        <v>0</v>
      </c>
      <c r="AI472" s="38"/>
      <c r="AJ472" s="42"/>
      <c r="AK472" s="40"/>
      <c r="AL472" s="40"/>
      <c r="AM472" s="40"/>
      <c r="AN472" s="40"/>
      <c r="AO472" s="40"/>
      <c r="AP472" s="40"/>
      <c r="AQ472" s="43"/>
      <c r="AR472" s="44"/>
      <c r="AS472" s="38"/>
    </row>
    <row r="473" spans="1:45" ht="21.2" customHeight="1">
      <c r="A473" s="181">
        <f t="shared" si="43"/>
        <v>472</v>
      </c>
      <c r="B473" s="8" t="s">
        <v>545</v>
      </c>
      <c r="C473" s="31" t="s">
        <v>104</v>
      </c>
      <c r="D473" s="32" t="str">
        <f>VLOOKUP(B473,'Player Data'!A1:D734,4,FALSE)</f>
        <v>LW</v>
      </c>
      <c r="E473" s="48">
        <f>VLOOKUP(B473,LW!A1:C227,3,FALSE)</f>
        <v>108</v>
      </c>
      <c r="F473" s="34" t="str">
        <f>VLOOKUP(B473,'Player Data'!A1:B734,2,FALSE)</f>
        <v>MTL</v>
      </c>
      <c r="G473" s="9">
        <f>VLOOKUP(B473,'Player Data'!A1:D734,3,FALSE)</f>
        <v>24</v>
      </c>
      <c r="H473" s="35">
        <f>IFERROR(VLOOKUP(B473,ADP!A1:G731,7,FALSE)/1000000,VLOOKUP(B473,ADP!A1:G731,7,FALSE))</f>
        <v>1.1000000000000001</v>
      </c>
      <c r="I473" s="36">
        <f>IF(Settings!$E$15="POINTS",((R473*Q473)*Settings!$B$12)+(S473*Settings!$B$2)+(T473*Settings!$B$3)+(U473*Settings!$B$4)+(V473*Settings!$B$5)+(X473*Settings!$B$9)+(AA473*Settings!$B$6)+(W473*Settings!$B$8)+(AB473*Settings!$B$7)+(AC473*Settings!$B$14)+(AD473*Settings!$B$15)+(AE473*Settings!$B$16)+(AF473*Settings!$B$17)+(AG473*Settings!$B$18)+(Y473*Settings!$B$10)+(Z473*Settings!$B$11),VLOOKUP(B473,'Standard Deviations'!A1:C731,3,FALSE))</f>
        <v>0.17106985975741568</v>
      </c>
      <c r="J473" s="37">
        <f t="shared" si="44"/>
        <v>2.0862178019197034E-3</v>
      </c>
      <c r="K473" s="183">
        <f>IF(Settings!$E$18="C/LW/RW",VLOOKUP(B473,LW!A1:F227,6,FALSE),VLOOKUP(B473,F!A1:F431,6,FALSE))</f>
        <v>-6.4835991843669856</v>
      </c>
      <c r="L473" s="36">
        <f t="shared" si="45"/>
        <v>-5.8941810766972589</v>
      </c>
      <c r="M473" s="38">
        <f>IF(Settings!$E$9="YAHOO",VLOOKUP(B473,ADP!A1:E731,2,FALSE),IF(Settings!$E$9="ESPN",VLOOKUP(B473,ADP!A1:E731,3,FALSE),IF(Settings!$E$9="FANTRAX",VLOOKUP(B473,ADP!A1:E731,4,FALSE),VLOOKUP(B473,ADP!A1:E731,5,FALSE))))</f>
        <v>306.68</v>
      </c>
      <c r="N473" s="38">
        <f t="shared" si="46"/>
        <v>-165.32</v>
      </c>
      <c r="O473" s="38"/>
      <c r="P473" s="39" t="str">
        <f>IF(Settings!$E$27="ON",_xlfn.XLOOKUP(B473,ADP!A2:A731,ADP!H2:H731)," ")</f>
        <v xml:space="preserve"> </v>
      </c>
      <c r="Q473" s="40">
        <f>IF(Settings!$E$12="YES",VLOOKUP(B473,'Player Data'!A1:E734,5,FALSE),82)</f>
        <v>82</v>
      </c>
      <c r="R473" s="38">
        <f>VLOOKUP(B473,'Player Data'!$A1:$AE734,6,FALSE)</f>
        <v>15.5307984366531</v>
      </c>
      <c r="S473" s="40">
        <f>VLOOKUP(B473,'Player Data'!$A1:$AE734,7,FALSE)*$Q473*IFERROR((VLOOKUP(P473,Settings!$E$28:$F$33,2,FALSE)+1),1)</f>
        <v>25.275413920317895</v>
      </c>
      <c r="T473" s="40">
        <f>VLOOKUP(B473,'Player Data'!$A1:$AE734,8,FALSE)*$Q473*IFERROR((VLOOKUP(P473,Settings!$E$28:$F$33,2,FALSE)+1),1)</f>
        <v>18.198455967634072</v>
      </c>
      <c r="U473" s="40">
        <f t="shared" si="47"/>
        <v>43.473869887951963</v>
      </c>
      <c r="V473" s="40">
        <f>VLOOKUP(B473,'Player Data'!$A1:$AE734,10,FALSE)*$Q473*IFERROR(((VLOOKUP(P473,Settings!$E$28:$F$33,2,FALSE)/2)+1),1)</f>
        <v>127.64139867717516</v>
      </c>
      <c r="W473" s="40">
        <f>VLOOKUP(B473,'Player Data'!$A1:$AE734,11,FALSE)*$Q473*IFERROR((VLOOKUP(P473,Settings!$E$28:$F$33,2,FALSE)+1),1)</f>
        <v>3.46304625378689</v>
      </c>
      <c r="X473" s="40">
        <f>VLOOKUP(B473,'Player Data'!$A1:$AE734,12,FALSE)*$Q473*IFERROR((VLOOKUP(P473,Settings!$E$28:$F$33,2,FALSE)+1),1)</f>
        <v>4.8314595776799329</v>
      </c>
      <c r="Y473" s="40">
        <f>VLOOKUP(B473,'Player Data'!$A1:$AE734,13,FALSE)*$Q473</f>
        <v>1.3813343195788332</v>
      </c>
      <c r="Z473" s="40">
        <f>VLOOKUP(B473,'Player Data'!$A1:$AE734,14,FALSE)*$Q473</f>
        <v>1.683614889927838</v>
      </c>
      <c r="AA473" s="40">
        <f>VLOOKUP(B473,'Player Data'!$A1:$AE734,15,FALSE)*$Q473</f>
        <v>96.162329556219731</v>
      </c>
      <c r="AB473" s="40">
        <f>VLOOKUP(B473,'Player Data'!$A1:$AE734,16,FALSE)*$Q473</f>
        <v>122.0577528321887</v>
      </c>
      <c r="AC473" s="40">
        <f>VLOOKUP(B473,'Player Data'!$A1:$AE734,17,FALSE)*$Q473*IFERROR((VLOOKUP(P473,Settings!$E$28:$F$33,2,FALSE)+1),1)</f>
        <v>-5.7312559067406914</v>
      </c>
      <c r="AD473" s="40">
        <f>VLOOKUP(B473,'Player Data'!$A1:$AE734,18,FALSE)*$Q473</f>
        <v>25.95539902784548</v>
      </c>
      <c r="AE473" s="40">
        <f>VLOOKUP(B473,'Player Data'!$A1:$AE734,19,FALSE)*$Q473*IFERROR((VLOOKUP(P473,Settings!$E$28:$F$33,2,FALSE)+1),1)</f>
        <v>2.589266848966882</v>
      </c>
      <c r="AF473" s="40">
        <f>VLOOKUP(B473,'Player Data'!$A1:$AE734,20,FALSE)*$Q473</f>
        <v>0</v>
      </c>
      <c r="AG473" s="40">
        <f>VLOOKUP(B473,'Player Data'!$A1:$AE734,21,FALSE)*$Q473</f>
        <v>2.5743025779445694</v>
      </c>
      <c r="AH473" s="41">
        <f>VLOOKUP(B473,'Player Data'!$A1:$AE734,22,FALSE)</f>
        <v>0</v>
      </c>
      <c r="AI473" s="38"/>
      <c r="AJ473" s="42"/>
      <c r="AK473" s="40"/>
      <c r="AL473" s="40"/>
      <c r="AM473" s="40"/>
      <c r="AN473" s="40"/>
      <c r="AO473" s="40"/>
      <c r="AP473" s="40"/>
      <c r="AQ473" s="43"/>
      <c r="AR473" s="44"/>
      <c r="AS473" s="38"/>
    </row>
    <row r="474" spans="1:45" ht="21.2" customHeight="1">
      <c r="A474" s="181">
        <f t="shared" si="43"/>
        <v>473</v>
      </c>
      <c r="B474" s="8" t="s">
        <v>509</v>
      </c>
      <c r="C474" s="31" t="s">
        <v>104</v>
      </c>
      <c r="D474" s="32" t="str">
        <f>VLOOKUP(B474,'Player Data'!A1:D734,4,FALSE)</f>
        <v>D</v>
      </c>
      <c r="E474" s="47">
        <f>VLOOKUP(B474,D!A1:C229,3,FALSE)</f>
        <v>182</v>
      </c>
      <c r="F474" s="34" t="str">
        <f>VLOOKUP(B474,'Player Data'!A1:B734,2,FALSE)</f>
        <v>PHI</v>
      </c>
      <c r="G474" s="9">
        <f>VLOOKUP(B474,'Player Data'!A1:D734,3,FALSE)</f>
        <v>30</v>
      </c>
      <c r="H474" s="35">
        <f>IFERROR(VLOOKUP(B474,ADP!A1:G731,7,FALSE)/1000000,VLOOKUP(B474,ADP!A1:G731,7,FALSE))</f>
        <v>0.77500000000000002</v>
      </c>
      <c r="I474" s="36">
        <f>IF(Settings!$E$15="POINTS",((R474*Q474)*Settings!$B$12)+(S474*Settings!$B$2)+(T474*Settings!$B$3)+(U474*Settings!$B$4)+(V474*Settings!$B$5)+(X474*Settings!$B$9)+(AA474*Settings!$B$6)+(W474*Settings!$B$8)+(AB474*Settings!$B$7)+(AC474*Settings!$B$14)+(AD474*Settings!$B$15)+(AE474*Settings!$B$16)+(AF474*Settings!$B$17)+(AG474*Settings!$B$18)+(U474*Settings!$B$13)+(Y474*Settings!$B$10)+(Z474*Settings!$B$11),VLOOKUP(B474,'Standard Deviations'!A1:C731,3,FALSE))</f>
        <v>-4.5533637007982373</v>
      </c>
      <c r="J474" s="37">
        <f t="shared" si="44"/>
        <v>-5.5528825619490699E-2</v>
      </c>
      <c r="K474" s="183">
        <f>VLOOKUP(B474,D!A1:F229,6,FALSE)</f>
        <v>-6.4951042444325484</v>
      </c>
      <c r="L474" s="36">
        <f t="shared" si="45"/>
        <v>-8.3807796702355457</v>
      </c>
      <c r="M474" s="52" t="str">
        <f>IF(Settings!$E$9="YAHOO",VLOOKUP(B474,ADP!A1:E731,2,FALSE),IF(Settings!$E$9="ESPN",VLOOKUP(B474,ADP!A1:E731,3,FALSE),IF(Settings!$E$9="FANTRAX",VLOOKUP(B474,ADP!A1:E731,4,FALSE),VLOOKUP(B474,ADP!A1:E731,5,FALSE))))</f>
        <v>-</v>
      </c>
      <c r="N474" s="52" t="str">
        <f t="shared" si="46"/>
        <v>N/A</v>
      </c>
      <c r="O474" s="38"/>
      <c r="P474" s="39" t="str">
        <f>IF(Settings!$E$27="ON",_xlfn.XLOOKUP(B474,ADP!A2:A731,ADP!H2:H731)," ")</f>
        <v xml:space="preserve"> </v>
      </c>
      <c r="Q474" s="40">
        <f>IF(Settings!$E$12="YES",VLOOKUP(B474,'Player Data'!A1:E734,5,FALSE),82)</f>
        <v>82</v>
      </c>
      <c r="R474" s="38">
        <f>VLOOKUP(B474,'Player Data'!$A1:$AE734,6,FALSE)</f>
        <v>16.444215701023602</v>
      </c>
      <c r="S474" s="40">
        <f>VLOOKUP(B474,'Player Data'!$A1:$AE734,7,FALSE)*$Q474*IFERROR((VLOOKUP(P474,Settings!$E$28:$F$33,2,FALSE)+1),1)</f>
        <v>3.8880074492554075</v>
      </c>
      <c r="T474" s="40">
        <f>VLOOKUP(B474,'Player Data'!$A1:$AE734,8,FALSE)*$Q474*IFERROR((VLOOKUP(P474,Settings!$E$28:$F$33,2,FALSE)+1),1)</f>
        <v>10.955233040328961</v>
      </c>
      <c r="U474" s="40">
        <f t="shared" si="47"/>
        <v>14.843240489584369</v>
      </c>
      <c r="V474" s="40">
        <f>VLOOKUP(B474,'Player Data'!$A1:$AE734,10,FALSE)*$Q474*IFERROR(((VLOOKUP(P474,Settings!$E$28:$F$33,2,FALSE)/2)+1),1)</f>
        <v>103.26052254125696</v>
      </c>
      <c r="W474" s="40">
        <f>VLOOKUP(B474,'Player Data'!$A1:$AE734,11,FALSE)*$Q474*IFERROR((VLOOKUP(P474,Settings!$E$28:$F$33,2,FALSE)+1),1)</f>
        <v>9.9210318270994569E-3</v>
      </c>
      <c r="X474" s="40">
        <f>VLOOKUP(B474,'Player Data'!$A1:$AE734,12,FALSE)*$Q474*IFERROR((VLOOKUP(P474,Settings!$E$28:$F$33,2,FALSE)+1),1)</f>
        <v>6.5259292241791111E-2</v>
      </c>
      <c r="Y474" s="40">
        <f>VLOOKUP(B474,'Player Data'!$A1:$AE734,13,FALSE)*$Q474</f>
        <v>1.8174585446117893E-2</v>
      </c>
      <c r="Z474" s="40">
        <f>VLOOKUP(B474,'Player Data'!$A1:$AE734,14,FALSE)*$Q474</f>
        <v>0.55471830176259973</v>
      </c>
      <c r="AA474" s="40">
        <f>VLOOKUP(B474,'Player Data'!$A1:$AE734,15,FALSE)*$Q474</f>
        <v>169.83563142223792</v>
      </c>
      <c r="AB474" s="40">
        <f>VLOOKUP(B474,'Player Data'!$A1:$AE734,16,FALSE)*$Q474</f>
        <v>150.99577564631889</v>
      </c>
      <c r="AC474" s="40">
        <f>VLOOKUP(B474,'Player Data'!$A1:$AE734,17,FALSE)*$Q474*IFERROR((VLOOKUP(P474,Settings!$E$28:$F$33,2,FALSE)+1),1)</f>
        <v>-5.4653643235081972</v>
      </c>
      <c r="AD474" s="40">
        <f>VLOOKUP(B474,'Player Data'!$A1:$AE734,18,FALSE)*$Q474</f>
        <v>59.035000444497413</v>
      </c>
      <c r="AE474" s="40">
        <f>VLOOKUP(B474,'Player Data'!$A1:$AE734,19,FALSE)*$Q474*IFERROR((VLOOKUP(P474,Settings!$E$28:$F$33,2,FALSE)+1),1)</f>
        <v>0.45701833328942076</v>
      </c>
      <c r="AF474" s="40">
        <f>VLOOKUP(B474,'Player Data'!$A1:$AE734,20,FALSE)*$Q474</f>
        <v>0</v>
      </c>
      <c r="AG474" s="40">
        <f>VLOOKUP(B474,'Player Data'!$A1:$AE734,21,FALSE)*$Q474</f>
        <v>0</v>
      </c>
      <c r="AH474" s="41">
        <f>VLOOKUP(B474,'Player Data'!$A1:$AE734,22,FALSE)</f>
        <v>0</v>
      </c>
      <c r="AI474" s="38"/>
      <c r="AJ474" s="42"/>
      <c r="AK474" s="40"/>
      <c r="AL474" s="40"/>
      <c r="AM474" s="40"/>
      <c r="AN474" s="40"/>
      <c r="AO474" s="40"/>
      <c r="AP474" s="40"/>
      <c r="AQ474" s="43"/>
      <c r="AR474" s="44"/>
      <c r="AS474" s="38"/>
    </row>
    <row r="475" spans="1:45" ht="21.2" customHeight="1">
      <c r="A475" s="181">
        <f t="shared" si="43"/>
        <v>474</v>
      </c>
      <c r="B475" s="8" t="s">
        <v>550</v>
      </c>
      <c r="C475" s="31" t="s">
        <v>104</v>
      </c>
      <c r="D475" s="32" t="str">
        <f>VLOOKUP(B475,'Player Data'!A1:D734,4,FALSE)</f>
        <v>D</v>
      </c>
      <c r="E475" s="47">
        <f>VLOOKUP(B475,D!A1:C229,3,FALSE)</f>
        <v>183</v>
      </c>
      <c r="F475" s="34" t="str">
        <f>VLOOKUP(B475,'Player Data'!A1:B734,2,FALSE)</f>
        <v>ANA</v>
      </c>
      <c r="G475" s="9">
        <f>VLOOKUP(B475,'Player Data'!A1:D734,3,FALSE)</f>
        <v>28</v>
      </c>
      <c r="H475" s="35">
        <f>IFERROR(VLOOKUP(B475,ADP!A1:G731,7,FALSE)/1000000,VLOOKUP(B475,ADP!A1:G731,7,FALSE))</f>
        <v>0.77500000000000002</v>
      </c>
      <c r="I475" s="36">
        <f>IF(Settings!$E$15="POINTS",((R475*Q475)*Settings!$B$12)+(S475*Settings!$B$2)+(T475*Settings!$B$3)+(U475*Settings!$B$4)+(V475*Settings!$B$5)+(X475*Settings!$B$9)+(AA475*Settings!$B$6)+(W475*Settings!$B$8)+(AB475*Settings!$B$7)+(AC475*Settings!$B$14)+(AD475*Settings!$B$15)+(AE475*Settings!$B$16)+(AF475*Settings!$B$17)+(AG475*Settings!$B$18)+(U475*Settings!$B$13)+(Y475*Settings!$B$10)+(Z475*Settings!$B$11),VLOOKUP(B475,'Standard Deviations'!A1:C731,3,FALSE))</f>
        <v>-4.5574910082540327</v>
      </c>
      <c r="J475" s="37">
        <f t="shared" si="44"/>
        <v>-5.5579158637244302E-2</v>
      </c>
      <c r="K475" s="183">
        <f>VLOOKUP(B475,D!A1:F229,6,FALSE)</f>
        <v>-6.499231551888343</v>
      </c>
      <c r="L475" s="36">
        <f t="shared" si="45"/>
        <v>-8.3861052282430233</v>
      </c>
      <c r="M475" s="52" t="str">
        <f>IF(Settings!$E$9="YAHOO",VLOOKUP(B475,ADP!A1:E731,2,FALSE),IF(Settings!$E$9="ESPN",VLOOKUP(B475,ADP!A1:E731,3,FALSE),IF(Settings!$E$9="FANTRAX",VLOOKUP(B475,ADP!A1:E731,4,FALSE),VLOOKUP(B475,ADP!A1:E731,5,FALSE))))</f>
        <v>-</v>
      </c>
      <c r="N475" s="52" t="str">
        <f t="shared" si="46"/>
        <v>N/A</v>
      </c>
      <c r="O475" s="38"/>
      <c r="P475" s="39" t="str">
        <f>IF(Settings!$E$27="ON",_xlfn.XLOOKUP(B475,ADP!A2:A731,ADP!H2:H731)," ")</f>
        <v xml:space="preserve"> </v>
      </c>
      <c r="Q475" s="40">
        <f>IF(Settings!$E$12="YES",VLOOKUP(B475,'Player Data'!A1:E734,5,FALSE),82)</f>
        <v>82</v>
      </c>
      <c r="R475" s="38">
        <f>VLOOKUP(B475,'Player Data'!$A1:$AE734,6,FALSE)</f>
        <v>17.351981267632201</v>
      </c>
      <c r="S475" s="40">
        <f>VLOOKUP(B475,'Player Data'!$A1:$AE734,7,FALSE)*$Q475*IFERROR((VLOOKUP(P475,Settings!$E$28:$F$33,2,FALSE)+1),1)</f>
        <v>3.5827646595248419</v>
      </c>
      <c r="T475" s="40">
        <f>VLOOKUP(B475,'Player Data'!$A1:$AE734,8,FALSE)*$Q475*IFERROR((VLOOKUP(P475,Settings!$E$28:$F$33,2,FALSE)+1),1)</f>
        <v>12.735139659266004</v>
      </c>
      <c r="U475" s="40">
        <f t="shared" si="47"/>
        <v>16.317904318790845</v>
      </c>
      <c r="V475" s="40">
        <f>VLOOKUP(B475,'Player Data'!$A1:$AE734,10,FALSE)*$Q475*IFERROR(((VLOOKUP(P475,Settings!$E$28:$F$33,2,FALSE)/2)+1),1)</f>
        <v>92.953487195864582</v>
      </c>
      <c r="W475" s="40">
        <f>VLOOKUP(B475,'Player Data'!$A1:$AE734,11,FALSE)*$Q475*IFERROR((VLOOKUP(P475,Settings!$E$28:$F$33,2,FALSE)+1),1)</f>
        <v>1.6298023085795574E-2</v>
      </c>
      <c r="X475" s="40">
        <f>VLOOKUP(B475,'Player Data'!$A1:$AE734,12,FALSE)*$Q475*IFERROR((VLOOKUP(P475,Settings!$E$28:$F$33,2,FALSE)+1),1)</f>
        <v>0.10412731608892895</v>
      </c>
      <c r="Y475" s="40">
        <f>VLOOKUP(B475,'Player Data'!$A1:$AE734,13,FALSE)*$Q475</f>
        <v>2.1549725746408125E-2</v>
      </c>
      <c r="Z475" s="40">
        <f>VLOOKUP(B475,'Player Data'!$A1:$AE734,14,FALSE)*$Q475</f>
        <v>0.10348671432610534</v>
      </c>
      <c r="AA475" s="40">
        <f>VLOOKUP(B475,'Player Data'!$A1:$AE734,15,FALSE)*$Q475</f>
        <v>114.31522560170309</v>
      </c>
      <c r="AB475" s="40">
        <f>VLOOKUP(B475,'Player Data'!$A1:$AE734,16,FALSE)*$Q475</f>
        <v>197.20679893125333</v>
      </c>
      <c r="AC475" s="40">
        <f>VLOOKUP(B475,'Player Data'!$A1:$AE734,17,FALSE)*$Q475*IFERROR((VLOOKUP(P475,Settings!$E$28:$F$33,2,FALSE)+1),1)</f>
        <v>-7.2736112087992399</v>
      </c>
      <c r="AD475" s="40">
        <f>VLOOKUP(B475,'Player Data'!$A1:$AE734,18,FALSE)*$Q475</f>
        <v>49.105704551370231</v>
      </c>
      <c r="AE475" s="40">
        <f>VLOOKUP(B475,'Player Data'!$A1:$AE734,19,FALSE)*$Q475*IFERROR((VLOOKUP(P475,Settings!$E$28:$F$33,2,FALSE)+1),1)</f>
        <v>0.34345466051859302</v>
      </c>
      <c r="AF475" s="40">
        <f>VLOOKUP(B475,'Player Data'!$A1:$AE734,20,FALSE)*$Q475</f>
        <v>0</v>
      </c>
      <c r="AG475" s="40">
        <f>VLOOKUP(B475,'Player Data'!$A1:$AE734,21,FALSE)*$Q475</f>
        <v>0</v>
      </c>
      <c r="AH475" s="41">
        <f>VLOOKUP(B475,'Player Data'!$A1:$AE734,22,FALSE)</f>
        <v>0</v>
      </c>
      <c r="AI475" s="38"/>
      <c r="AJ475" s="42"/>
      <c r="AK475" s="40"/>
      <c r="AL475" s="40"/>
      <c r="AM475" s="40"/>
      <c r="AN475" s="40"/>
      <c r="AO475" s="40"/>
      <c r="AP475" s="40"/>
      <c r="AQ475" s="43"/>
      <c r="AR475" s="44"/>
      <c r="AS475" s="38"/>
    </row>
    <row r="476" spans="1:45" ht="21.2" customHeight="1">
      <c r="A476" s="181">
        <f t="shared" si="43"/>
        <v>475</v>
      </c>
      <c r="B476" s="8" t="s">
        <v>488</v>
      </c>
      <c r="C476" s="31" t="s">
        <v>104</v>
      </c>
      <c r="D476" s="32" t="str">
        <f>VLOOKUP(B476,'Player Data'!A1:D734,4,FALSE)</f>
        <v>LW</v>
      </c>
      <c r="E476" s="48">
        <f>VLOOKUP(B476,LW!A1:C227,3,FALSE)</f>
        <v>109</v>
      </c>
      <c r="F476" s="34" t="str">
        <f>VLOOKUP(B476,'Player Data'!A1:B734,2,FALSE)</f>
        <v>BOS</v>
      </c>
      <c r="G476" s="9">
        <f>VLOOKUP(B476,'Player Data'!A1:D734,3,FALSE)</f>
        <v>34</v>
      </c>
      <c r="H476" s="35">
        <f>IFERROR(VLOOKUP(B476,ADP!A1:G731,7,FALSE)/1000000,VLOOKUP(B476,ADP!A1:G731,7,FALSE))</f>
        <v>1</v>
      </c>
      <c r="I476" s="36">
        <f>IF(Settings!$E$15="POINTS",((R476*Q476)*Settings!$B$12)+(S476*Settings!$B$2)+(T476*Settings!$B$3)+(U476*Settings!$B$4)+(V476*Settings!$B$5)+(X476*Settings!$B$9)+(AA476*Settings!$B$6)+(W476*Settings!$B$8)+(AB476*Settings!$B$7)+(AC476*Settings!$B$14)+(AD476*Settings!$B$15)+(AE476*Settings!$B$16)+(AF476*Settings!$B$17)+(AG476*Settings!$B$18)+(Y476*Settings!$B$10)+(Z476*Settings!$B$11),VLOOKUP(B476,'Standard Deviations'!A1:C731,3,FALSE))</f>
        <v>0.12010380469079747</v>
      </c>
      <c r="J476" s="37">
        <f t="shared" si="44"/>
        <v>1.4646805450097252E-3</v>
      </c>
      <c r="K476" s="183">
        <f>IF(Settings!$E$18="C/LW/RW",VLOOKUP(B476,LW!A1:F227,6,FALSE),VLOOKUP(B476,F!A1:F431,6,FALSE))</f>
        <v>-6.5345652394336033</v>
      </c>
      <c r="L476" s="36">
        <f t="shared" si="45"/>
        <v>-6.5345652394336033</v>
      </c>
      <c r="M476" s="52" t="str">
        <f>IF(Settings!$E$9="YAHOO",VLOOKUP(B476,ADP!A1:E731,2,FALSE),IF(Settings!$E$9="ESPN",VLOOKUP(B476,ADP!A1:E731,3,FALSE),IF(Settings!$E$9="FANTRAX",VLOOKUP(B476,ADP!A1:E731,4,FALSE),VLOOKUP(B476,ADP!A1:E731,5,FALSE))))</f>
        <v>-</v>
      </c>
      <c r="N476" s="52" t="str">
        <f t="shared" si="46"/>
        <v>N/A</v>
      </c>
      <c r="O476" s="38"/>
      <c r="P476" s="39" t="str">
        <f>IF(Settings!$E$27="ON",_xlfn.XLOOKUP(B476,ADP!A2:A731,ADP!H2:H731)," ")</f>
        <v xml:space="preserve"> </v>
      </c>
      <c r="Q476" s="40">
        <f>IF(Settings!$E$12="YES",VLOOKUP(B476,'Player Data'!A1:E734,5,FALSE),82)</f>
        <v>82</v>
      </c>
      <c r="R476" s="38">
        <f>VLOOKUP(B476,'Player Data'!$A1:$AE734,6,FALSE)</f>
        <v>15.3075794547175</v>
      </c>
      <c r="S476" s="40">
        <f>VLOOKUP(B476,'Player Data'!$A1:$AE734,7,FALSE)*$Q476*IFERROR((VLOOKUP(P476,Settings!$E$28:$F$33,2,FALSE)+1),1)</f>
        <v>17.440970111162727</v>
      </c>
      <c r="T476" s="40">
        <f>VLOOKUP(B476,'Player Data'!$A1:$AE734,8,FALSE)*$Q476*IFERROR((VLOOKUP(P476,Settings!$E$28:$F$33,2,FALSE)+1),1)</f>
        <v>19.34734848248743</v>
      </c>
      <c r="U476" s="40">
        <f t="shared" si="47"/>
        <v>36.78831859365016</v>
      </c>
      <c r="V476" s="40">
        <f>VLOOKUP(B476,'Player Data'!$A1:$AE734,10,FALSE)*$Q476*IFERROR(((VLOOKUP(P476,Settings!$E$28:$F$33,2,FALSE)/2)+1),1)</f>
        <v>165.50403595445195</v>
      </c>
      <c r="W476" s="40">
        <f>VLOOKUP(B476,'Player Data'!$A1:$AE734,11,FALSE)*$Q476*IFERROR((VLOOKUP(P476,Settings!$E$28:$F$33,2,FALSE)+1),1)</f>
        <v>5.4504060806058163</v>
      </c>
      <c r="X476" s="40">
        <f>VLOOKUP(B476,'Player Data'!$A1:$AE734,12,FALSE)*$Q476*IFERROR((VLOOKUP(P476,Settings!$E$28:$F$33,2,FALSE)+1),1)</f>
        <v>7.5851149264259607</v>
      </c>
      <c r="Y476" s="40">
        <f>VLOOKUP(B476,'Player Data'!$A1:$AE734,13,FALSE)*$Q476</f>
        <v>2.0704654145207416E-3</v>
      </c>
      <c r="Z476" s="40">
        <f>VLOOKUP(B476,'Player Data'!$A1:$AE734,14,FALSE)*$Q476</f>
        <v>3.4595490623798423E-3</v>
      </c>
      <c r="AA476" s="40">
        <f>VLOOKUP(B476,'Player Data'!$A1:$AE734,15,FALSE)*$Q476</f>
        <v>27.316116810494432</v>
      </c>
      <c r="AB476" s="40">
        <f>VLOOKUP(B476,'Player Data'!$A1:$AE734,16,FALSE)*$Q476</f>
        <v>38.052188136623421</v>
      </c>
      <c r="AC476" s="40">
        <f>VLOOKUP(B476,'Player Data'!$A1:$AE734,17,FALSE)*$Q476*IFERROR((VLOOKUP(P476,Settings!$E$28:$F$33,2,FALSE)+1),1)</f>
        <v>4.0437495619096122</v>
      </c>
      <c r="AD476" s="40">
        <f>VLOOKUP(B476,'Player Data'!$A1:$AE734,18,FALSE)*$Q476</f>
        <v>28.683406098250067</v>
      </c>
      <c r="AE476" s="40">
        <f>VLOOKUP(B476,'Player Data'!$A1:$AE734,19,FALSE)*$Q476*IFERROR((VLOOKUP(P476,Settings!$E$28:$F$33,2,FALSE)+1),1)</f>
        <v>2.9279956541787984</v>
      </c>
      <c r="AF476" s="40">
        <f>VLOOKUP(B476,'Player Data'!$A1:$AE734,20,FALSE)*$Q476</f>
        <v>9.4376095154612791</v>
      </c>
      <c r="AG476" s="40">
        <f>VLOOKUP(B476,'Player Data'!$A1:$AE734,21,FALSE)*$Q476</f>
        <v>10.877188920780421</v>
      </c>
      <c r="AH476" s="41">
        <f>VLOOKUP(B476,'Player Data'!$A1:$AE734,22,FALSE)</f>
        <v>0.46456820849497399</v>
      </c>
      <c r="AI476" s="38"/>
      <c r="AJ476" s="42"/>
      <c r="AK476" s="40"/>
      <c r="AL476" s="40"/>
      <c r="AM476" s="40"/>
      <c r="AN476" s="40"/>
      <c r="AO476" s="40"/>
      <c r="AP476" s="40"/>
      <c r="AQ476" s="43"/>
      <c r="AR476" s="44"/>
      <c r="AS476" s="38"/>
    </row>
    <row r="477" spans="1:45" ht="21.2" customHeight="1">
      <c r="A477" s="181">
        <f t="shared" si="43"/>
        <v>476</v>
      </c>
      <c r="B477" s="8" t="s">
        <v>512</v>
      </c>
      <c r="C477" s="31" t="s">
        <v>104</v>
      </c>
      <c r="D477" s="32" t="str">
        <f>VLOOKUP(B477,'Player Data'!A1:D734,4,FALSE)</f>
        <v>C</v>
      </c>
      <c r="E477" s="33">
        <f>VLOOKUP(B477,'C'!A1:C208,3,FALSE)</f>
        <v>105</v>
      </c>
      <c r="F477" s="34" t="str">
        <f>VLOOKUP(B477,'Player Data'!A1:B734,2,FALSE)</f>
        <v>NYI</v>
      </c>
      <c r="G477" s="9">
        <f>VLOOKUP(B477,'Player Data'!A1:D734,3,FALSE)</f>
        <v>30</v>
      </c>
      <c r="H477" s="35">
        <f>IFERROR(VLOOKUP(B477,ADP!A1:G731,7,FALSE)/1000000,VLOOKUP(B477,ADP!A1:G731,7,FALSE))</f>
        <v>5</v>
      </c>
      <c r="I477" s="36">
        <f>IF(Settings!$E$15="POINTS",((R477*Q477)*Settings!$B$12)+(S477*Settings!$B$2)+(T477*Settings!$B$3)+(U477*Settings!$B$4)+(V477*Settings!$B$5)+(X477*Settings!$B$9)+(AA477*Settings!$B$6)+(W477*Settings!$B$8)+(AB477*Settings!$B$7)+(AC477*Settings!$B$14)+(AD477*Settings!$B$15)+(AE477*Settings!$B$16)+(AF477*Settings!$B$17)+(AG477*Settings!$B$18)+(Y477*Settings!$B$10)+(Z477*Settings!$B$11),VLOOKUP(B477,'Standard Deviations'!A1:C731,3,FALSE))</f>
        <v>-0.21533339657211931</v>
      </c>
      <c r="J477" s="37">
        <f t="shared" si="44"/>
        <v>-2.6260170313673085E-3</v>
      </c>
      <c r="K477" s="183">
        <f>IF(Settings!$E$18="C/LW/RW",VLOOKUP(B477,'C'!A1:F208,6,FALSE),VLOOKUP(B477,F!A1:F431,6,FALSE))</f>
        <v>-6.5523841207787221</v>
      </c>
      <c r="L477" s="36">
        <f t="shared" si="45"/>
        <v>-1.3104768241557445</v>
      </c>
      <c r="M477" s="52" t="str">
        <f>IF(Settings!$E$9="YAHOO",VLOOKUP(B477,ADP!A1:E731,2,FALSE),IF(Settings!$E$9="ESPN",VLOOKUP(B477,ADP!A1:E731,3,FALSE),IF(Settings!$E$9="FANTRAX",VLOOKUP(B477,ADP!A1:E731,4,FALSE),VLOOKUP(B477,ADP!A1:E731,5,FALSE))))</f>
        <v>-</v>
      </c>
      <c r="N477" s="52" t="str">
        <f t="shared" si="46"/>
        <v>N/A</v>
      </c>
      <c r="O477" s="38"/>
      <c r="P477" s="39" t="str">
        <f>IF(Settings!$E$27="ON",_xlfn.XLOOKUP(B477,ADP!A2:A731,ADP!H2:H731)," ")</f>
        <v xml:space="preserve"> </v>
      </c>
      <c r="Q477" s="40">
        <f>IF(Settings!$E$12="YES",VLOOKUP(B477,'Player Data'!A1:E734,5,FALSE),82)</f>
        <v>82</v>
      </c>
      <c r="R477" s="38">
        <f>VLOOKUP(B477,'Player Data'!$A1:$AE734,6,FALSE)</f>
        <v>16.541189061839301</v>
      </c>
      <c r="S477" s="40">
        <f>VLOOKUP(B477,'Player Data'!$A1:$AE734,7,FALSE)*$Q477*IFERROR((VLOOKUP(P477,Settings!$E$28:$F$33,2,FALSE)+1),1)</f>
        <v>15.230823330612107</v>
      </c>
      <c r="T477" s="40">
        <f>VLOOKUP(B477,'Player Data'!$A1:$AE734,8,FALSE)*$Q477*IFERROR((VLOOKUP(P477,Settings!$E$28:$F$33,2,FALSE)+1),1)</f>
        <v>24.156237848711481</v>
      </c>
      <c r="U477" s="40">
        <f t="shared" si="47"/>
        <v>39.387061179323588</v>
      </c>
      <c r="V477" s="40">
        <f>VLOOKUP(B477,'Player Data'!$A1:$AE734,10,FALSE)*$Q477*IFERROR(((VLOOKUP(P477,Settings!$E$28:$F$33,2,FALSE)/2)+1),1)</f>
        <v>133.12520470884033</v>
      </c>
      <c r="W477" s="40">
        <f>VLOOKUP(B477,'Player Data'!$A1:$AE734,11,FALSE)*$Q477*IFERROR((VLOOKUP(P477,Settings!$E$28:$F$33,2,FALSE)+1),1)</f>
        <v>4.0617209585432379</v>
      </c>
      <c r="X477" s="40">
        <f>VLOOKUP(B477,'Player Data'!$A1:$AE734,12,FALSE)*$Q477*IFERROR((VLOOKUP(P477,Settings!$E$28:$F$33,2,FALSE)+1),1)</f>
        <v>7.1474190228060435</v>
      </c>
      <c r="Y477" s="40">
        <f>VLOOKUP(B477,'Player Data'!$A1:$AE734,13,FALSE)*$Q477</f>
        <v>1.970137231583559</v>
      </c>
      <c r="Z477" s="40">
        <f>VLOOKUP(B477,'Player Data'!$A1:$AE734,14,FALSE)*$Q477</f>
        <v>3.019183189348309</v>
      </c>
      <c r="AA477" s="40">
        <f>VLOOKUP(B477,'Player Data'!$A1:$AE734,15,FALSE)*$Q477</f>
        <v>64.216138726312167</v>
      </c>
      <c r="AB477" s="40">
        <f>VLOOKUP(B477,'Player Data'!$A1:$AE734,16,FALSE)*$Q477</f>
        <v>174.49420694821771</v>
      </c>
      <c r="AC477" s="40">
        <f>VLOOKUP(B477,'Player Data'!$A1:$AE734,17,FALSE)*$Q477*IFERROR((VLOOKUP(P477,Settings!$E$28:$F$33,2,FALSE)+1),1)</f>
        <v>0.78158181777719504</v>
      </c>
      <c r="AD477" s="40">
        <f>VLOOKUP(B477,'Player Data'!$A1:$AE734,18,FALSE)*$Q477</f>
        <v>22.825233835963679</v>
      </c>
      <c r="AE477" s="40">
        <f>VLOOKUP(B477,'Player Data'!$A1:$AE734,19,FALSE)*$Q477*IFERROR((VLOOKUP(P477,Settings!$E$28:$F$33,2,FALSE)+1),1)</f>
        <v>2.3534951099030121</v>
      </c>
      <c r="AF477" s="40">
        <f>VLOOKUP(B477,'Player Data'!$A1:$AE734,20,FALSE)*$Q477</f>
        <v>768.06949862698332</v>
      </c>
      <c r="AG477" s="40">
        <f>VLOOKUP(B477,'Player Data'!$A1:$AE734,21,FALSE)*$Q477</f>
        <v>593.19454135613887</v>
      </c>
      <c r="AH477" s="41">
        <f>VLOOKUP(B477,'Player Data'!$A1:$AE734,22,FALSE)</f>
        <v>0.56423256331409899</v>
      </c>
      <c r="AI477" s="38"/>
      <c r="AJ477" s="40"/>
      <c r="AK477" s="40"/>
      <c r="AL477" s="40"/>
      <c r="AM477" s="40"/>
      <c r="AN477" s="40"/>
      <c r="AO477" s="40"/>
      <c r="AP477" s="40"/>
      <c r="AQ477" s="43"/>
      <c r="AR477" s="44"/>
      <c r="AS477" s="38"/>
    </row>
    <row r="478" spans="1:45" ht="21.2" customHeight="1">
      <c r="A478" s="181">
        <f t="shared" si="43"/>
        <v>477</v>
      </c>
      <c r="B478" s="8" t="s">
        <v>639</v>
      </c>
      <c r="C478" s="31" t="s">
        <v>104</v>
      </c>
      <c r="D478" s="32" t="str">
        <f>VLOOKUP(B478,'Player Data'!A1:D734,4,FALSE)</f>
        <v>D</v>
      </c>
      <c r="E478" s="47">
        <f>VLOOKUP(B478,D!A1:C229,3,FALSE)</f>
        <v>184</v>
      </c>
      <c r="F478" s="34" t="str">
        <f>VLOOKUP(B478,'Player Data'!A1:B734,2,FALSE)</f>
        <v>NYR</v>
      </c>
      <c r="G478" s="9">
        <f>VLOOKUP(B478,'Player Data'!A1:D734,3,FALSE)</f>
        <v>22</v>
      </c>
      <c r="H478" s="35">
        <f>IFERROR(VLOOKUP(B478,ADP!A1:G731,7,FALSE)/1000000,VLOOKUP(B478,ADP!A1:G731,7,FALSE))</f>
        <v>0.8125</v>
      </c>
      <c r="I478" s="36">
        <f>IF(Settings!$E$15="POINTS",((R478*Q478)*Settings!$B$12)+(S478*Settings!$B$2)+(T478*Settings!$B$3)+(U478*Settings!$B$4)+(V478*Settings!$B$5)+(X478*Settings!$B$9)+(AA478*Settings!$B$6)+(W478*Settings!$B$8)+(AB478*Settings!$B$7)+(AC478*Settings!$B$14)+(AD478*Settings!$B$15)+(AE478*Settings!$B$16)+(AF478*Settings!$B$17)+(AG478*Settings!$B$18)+(U478*Settings!$B$13)+(Y478*Settings!$B$10)+(Z478*Settings!$B$11),VLOOKUP(B478,'Standard Deviations'!A1:C731,3,FALSE))</f>
        <v>-4.6116148160253072</v>
      </c>
      <c r="J478" s="37">
        <f t="shared" si="44"/>
        <v>-5.6239205073479355E-2</v>
      </c>
      <c r="K478" s="183">
        <f>VLOOKUP(B478,D!A1:F229,6,FALSE)</f>
        <v>-6.5533553596596175</v>
      </c>
      <c r="L478" s="36">
        <f t="shared" si="45"/>
        <v>-8.0656681349656836</v>
      </c>
      <c r="M478" s="52" t="str">
        <f>IF(Settings!$E$9="YAHOO",VLOOKUP(B478,ADP!A1:E731,2,FALSE),IF(Settings!$E$9="ESPN",VLOOKUP(B478,ADP!A1:E731,3,FALSE),IF(Settings!$E$9="FANTRAX",VLOOKUP(B478,ADP!A1:E731,4,FALSE),VLOOKUP(B478,ADP!A1:E731,5,FALSE))))</f>
        <v>-</v>
      </c>
      <c r="N478" s="52" t="str">
        <f t="shared" si="46"/>
        <v>N/A</v>
      </c>
      <c r="O478" s="38"/>
      <c r="P478" s="39" t="str">
        <f>IF(Settings!$E$27="ON",_xlfn.XLOOKUP(B478,ADP!A2:A731,ADP!H2:H731)," ")</f>
        <v xml:space="preserve"> </v>
      </c>
      <c r="Q478" s="40">
        <f>IF(Settings!$E$12="YES",VLOOKUP(B478,'Player Data'!A1:E734,5,FALSE),82)</f>
        <v>82</v>
      </c>
      <c r="R478" s="38">
        <f>VLOOKUP(B478,'Player Data'!$A1:$AE734,6,FALSE)</f>
        <v>14.9489150752668</v>
      </c>
      <c r="S478" s="40">
        <f>VLOOKUP(B478,'Player Data'!$A1:$AE734,7,FALSE)*$Q478*IFERROR((VLOOKUP(P478,Settings!$E$28:$F$33,2,FALSE)+1),1)</f>
        <v>3.7378663479250589</v>
      </c>
      <c r="T478" s="40">
        <f>VLOOKUP(B478,'Player Data'!$A1:$AE734,8,FALSE)*$Q478*IFERROR((VLOOKUP(P478,Settings!$E$28:$F$33,2,FALSE)+1),1)</f>
        <v>13.836803432479972</v>
      </c>
      <c r="U478" s="40">
        <f t="shared" si="47"/>
        <v>17.574669780405031</v>
      </c>
      <c r="V478" s="40">
        <f>VLOOKUP(B478,'Player Data'!$A1:$AE734,10,FALSE)*$Q478*IFERROR(((VLOOKUP(P478,Settings!$E$28:$F$33,2,FALSE)/2)+1),1)</f>
        <v>77.03735554295281</v>
      </c>
      <c r="W478" s="40">
        <f>VLOOKUP(B478,'Player Data'!$A1:$AE734,11,FALSE)*$Q478*IFERROR((VLOOKUP(P478,Settings!$E$28:$F$33,2,FALSE)+1),1)</f>
        <v>9.4587529078678012E-2</v>
      </c>
      <c r="X478" s="40">
        <f>VLOOKUP(B478,'Player Data'!$A1:$AE734,12,FALSE)*$Q478*IFERROR((VLOOKUP(P478,Settings!$E$28:$F$33,2,FALSE)+1),1)</f>
        <v>0.73028924926024819</v>
      </c>
      <c r="Y478" s="40">
        <f>VLOOKUP(B478,'Player Data'!$A1:$AE734,13,FALSE)*$Q478</f>
        <v>9.2280984960419546E-3</v>
      </c>
      <c r="Z478" s="40">
        <f>VLOOKUP(B478,'Player Data'!$A1:$AE734,14,FALSE)*$Q478</f>
        <v>3.9460189824869263E-2</v>
      </c>
      <c r="AA478" s="40">
        <f>VLOOKUP(B478,'Player Data'!$A1:$AE734,15,FALSE)*$Q478</f>
        <v>85.174871746504195</v>
      </c>
      <c r="AB478" s="40">
        <f>VLOOKUP(B478,'Player Data'!$A1:$AE734,16,FALSE)*$Q478</f>
        <v>72.2022843932249</v>
      </c>
      <c r="AC478" s="40">
        <f>VLOOKUP(B478,'Player Data'!$A1:$AE734,17,FALSE)*$Q478*IFERROR((VLOOKUP(P478,Settings!$E$28:$F$33,2,FALSE)+1),1)</f>
        <v>2.8792086938247934</v>
      </c>
      <c r="AD478" s="40">
        <f>VLOOKUP(B478,'Player Data'!$A1:$AE734,18,FALSE)*$Q478</f>
        <v>22.98575860278417</v>
      </c>
      <c r="AE478" s="40">
        <f>VLOOKUP(B478,'Player Data'!$A1:$AE734,19,FALSE)*$Q478*IFERROR((VLOOKUP(P478,Settings!$E$28:$F$33,2,FALSE)+1),1)</f>
        <v>0.63692544569398024</v>
      </c>
      <c r="AF478" s="40">
        <f>VLOOKUP(B478,'Player Data'!$A1:$AE734,20,FALSE)*$Q478</f>
        <v>0</v>
      </c>
      <c r="AG478" s="40">
        <f>VLOOKUP(B478,'Player Data'!$A1:$AE734,21,FALSE)*$Q478</f>
        <v>0</v>
      </c>
      <c r="AH478" s="41">
        <f>VLOOKUP(B478,'Player Data'!$A1:$AE734,22,FALSE)</f>
        <v>0</v>
      </c>
      <c r="AI478" s="38"/>
      <c r="AJ478" s="42"/>
      <c r="AK478" s="40"/>
      <c r="AL478" s="40"/>
      <c r="AM478" s="40"/>
      <c r="AN478" s="40"/>
      <c r="AO478" s="40"/>
      <c r="AP478" s="40"/>
      <c r="AQ478" s="43"/>
      <c r="AR478" s="44"/>
      <c r="AS478" s="38"/>
    </row>
    <row r="479" spans="1:45" ht="21.2" customHeight="1">
      <c r="A479" s="181">
        <f t="shared" si="43"/>
        <v>478</v>
      </c>
      <c r="B479" s="8" t="s">
        <v>558</v>
      </c>
      <c r="C479" s="31" t="s">
        <v>104</v>
      </c>
      <c r="D479" s="32" t="str">
        <f>VLOOKUP(B479,'Player Data'!A1:D734,4,FALSE)</f>
        <v>C</v>
      </c>
      <c r="E479" s="33">
        <f>VLOOKUP(B479,'C'!A1:C208,3,FALSE)</f>
        <v>106</v>
      </c>
      <c r="F479" s="34" t="str">
        <f>VLOOKUP(B479,'Player Data'!A1:B734,2,FALSE)</f>
        <v>BOS</v>
      </c>
      <c r="G479" s="9">
        <f>VLOOKUP(B479,'Player Data'!A1:D734,3,FALSE)</f>
        <v>25</v>
      </c>
      <c r="H479" s="35">
        <f>IFERROR(VLOOKUP(B479,ADP!A1:G731,7,FALSE)/1000000,VLOOKUP(B479,ADP!A1:G731,7,FALSE))</f>
        <v>2</v>
      </c>
      <c r="I479" s="36">
        <f>IF(Settings!$E$15="POINTS",((R479*Q479)*Settings!$B$12)+(S479*Settings!$B$2)+(T479*Settings!$B$3)+(U479*Settings!$B$4)+(V479*Settings!$B$5)+(X479*Settings!$B$9)+(AA479*Settings!$B$6)+(W479*Settings!$B$8)+(AB479*Settings!$B$7)+(AC479*Settings!$B$14)+(AD479*Settings!$B$15)+(AE479*Settings!$B$16)+(AF479*Settings!$B$17)+(AG479*Settings!$B$18)+(Y479*Settings!$B$10)+(Z479*Settings!$B$11),VLOOKUP(B479,'Standard Deviations'!A1:C731,3,FALSE))</f>
        <v>-0.22055290184675336</v>
      </c>
      <c r="J479" s="37">
        <f t="shared" si="44"/>
        <v>-2.6896695347165041E-3</v>
      </c>
      <c r="K479" s="183">
        <f>IF(Settings!$E$18="C/LW/RW",VLOOKUP(B479,'C'!A1:F208,6,FALSE),VLOOKUP(B479,F!A1:F431,6,FALSE))</f>
        <v>-6.5576036260533561</v>
      </c>
      <c r="L479" s="36">
        <f t="shared" si="45"/>
        <v>-3.2788018130266781</v>
      </c>
      <c r="M479" s="52" t="str">
        <f>IF(Settings!$E$9="YAHOO",VLOOKUP(B479,ADP!A1:E731,2,FALSE),IF(Settings!$E$9="ESPN",VLOOKUP(B479,ADP!A1:E731,3,FALSE),IF(Settings!$E$9="FANTRAX",VLOOKUP(B479,ADP!A1:E731,4,FALSE),VLOOKUP(B479,ADP!A1:E731,5,FALSE))))</f>
        <v>-</v>
      </c>
      <c r="N479" s="52" t="str">
        <f t="shared" si="46"/>
        <v>N/A</v>
      </c>
      <c r="O479" s="38"/>
      <c r="P479" s="39" t="str">
        <f>IF(Settings!$E$27="ON",_xlfn.XLOOKUP(B479,ADP!A2:A731,ADP!H2:H731)," ")</f>
        <v xml:space="preserve"> </v>
      </c>
      <c r="Q479" s="40">
        <f>IF(Settings!$E$12="YES",VLOOKUP(B479,'Player Data'!A1:E734,5,FALSE),82)</f>
        <v>82</v>
      </c>
      <c r="R479" s="38">
        <f>VLOOKUP(B479,'Player Data'!$A1:$AE734,6,FALSE)</f>
        <v>15.1161716758256</v>
      </c>
      <c r="S479" s="40">
        <f>VLOOKUP(B479,'Player Data'!$A1:$AE734,7,FALSE)*$Q479*IFERROR((VLOOKUP(P479,Settings!$E$28:$F$33,2,FALSE)+1),1)</f>
        <v>14.049751619657986</v>
      </c>
      <c r="T479" s="40">
        <f>VLOOKUP(B479,'Player Data'!$A1:$AE734,8,FALSE)*$Q479*IFERROR((VLOOKUP(P479,Settings!$E$28:$F$33,2,FALSE)+1),1)</f>
        <v>25.868319147069315</v>
      </c>
      <c r="U479" s="40">
        <f t="shared" si="47"/>
        <v>39.918070766727297</v>
      </c>
      <c r="V479" s="40">
        <f>VLOOKUP(B479,'Player Data'!$A1:$AE734,10,FALSE)*$Q479*IFERROR(((VLOOKUP(P479,Settings!$E$28:$F$33,2,FALSE)/2)+1),1)</f>
        <v>136.67812455367365</v>
      </c>
      <c r="W479" s="40">
        <f>VLOOKUP(B479,'Player Data'!$A1:$AE734,11,FALSE)*$Q479*IFERROR((VLOOKUP(P479,Settings!$E$28:$F$33,2,FALSE)+1),1)</f>
        <v>2.6134179807869495</v>
      </c>
      <c r="X479" s="40">
        <f>VLOOKUP(B479,'Player Data'!$A1:$AE734,12,FALSE)*$Q479*IFERROR((VLOOKUP(P479,Settings!$E$28:$F$33,2,FALSE)+1),1)</f>
        <v>6.1561632019145565</v>
      </c>
      <c r="Y479" s="40">
        <f>VLOOKUP(B479,'Player Data'!$A1:$AE734,13,FALSE)*$Q479</f>
        <v>0.23903712749821426</v>
      </c>
      <c r="Z479" s="40">
        <f>VLOOKUP(B479,'Player Data'!$A1:$AE734,14,FALSE)*$Q479</f>
        <v>0.51875404675458803</v>
      </c>
      <c r="AA479" s="40">
        <f>VLOOKUP(B479,'Player Data'!$A1:$AE734,15,FALSE)*$Q479</f>
        <v>43.92153638225161</v>
      </c>
      <c r="AB479" s="40">
        <f>VLOOKUP(B479,'Player Data'!$A1:$AE734,16,FALSE)*$Q479</f>
        <v>81.559627448548895</v>
      </c>
      <c r="AC479" s="40">
        <f>VLOOKUP(B479,'Player Data'!$A1:$AE734,17,FALSE)*$Q479*IFERROR((VLOOKUP(P479,Settings!$E$28:$F$33,2,FALSE)+1),1)</f>
        <v>2.9757701205454294</v>
      </c>
      <c r="AD479" s="40">
        <f>VLOOKUP(B479,'Player Data'!$A1:$AE734,18,FALSE)*$Q479</f>
        <v>32.822941161549437</v>
      </c>
      <c r="AE479" s="40">
        <f>VLOOKUP(B479,'Player Data'!$A1:$AE734,19,FALSE)*$Q479*IFERROR((VLOOKUP(P479,Settings!$E$28:$F$33,2,FALSE)+1),1)</f>
        <v>2.3586768065338917</v>
      </c>
      <c r="AF479" s="40">
        <f>VLOOKUP(B479,'Player Data'!$A1:$AE734,20,FALSE)*$Q479</f>
        <v>497.0646387298836</v>
      </c>
      <c r="AG479" s="40">
        <f>VLOOKUP(B479,'Player Data'!$A1:$AE734,21,FALSE)*$Q479</f>
        <v>475.67057288710703</v>
      </c>
      <c r="AH479" s="41">
        <f>VLOOKUP(B479,'Player Data'!$A1:$AE734,22,FALSE)</f>
        <v>0.510996859981666</v>
      </c>
      <c r="AI479" s="38"/>
      <c r="AJ479" s="42"/>
      <c r="AK479" s="40"/>
      <c r="AL479" s="40"/>
      <c r="AM479" s="40"/>
      <c r="AN479" s="40"/>
      <c r="AO479" s="40"/>
      <c r="AP479" s="40"/>
      <c r="AQ479" s="43"/>
      <c r="AR479" s="44"/>
      <c r="AS479" s="38"/>
    </row>
    <row r="480" spans="1:45" ht="21.2" customHeight="1">
      <c r="A480" s="181">
        <f t="shared" si="43"/>
        <v>479</v>
      </c>
      <c r="B480" s="8" t="s">
        <v>525</v>
      </c>
      <c r="C480" s="31" t="s">
        <v>104</v>
      </c>
      <c r="D480" s="32" t="str">
        <f>VLOOKUP(B480,'Player Data'!A1:D734,4,FALSE)</f>
        <v>D</v>
      </c>
      <c r="E480" s="47">
        <f>VLOOKUP(B480,D!A1:C229,3,FALSE)</f>
        <v>185</v>
      </c>
      <c r="F480" s="34" t="str">
        <f>VLOOKUP(B480,'Player Data'!A1:B734,2,FALSE)</f>
        <v>CBJ</v>
      </c>
      <c r="G480" s="9">
        <f>VLOOKUP(B480,'Player Data'!A1:D734,3,FALSE)</f>
        <v>31</v>
      </c>
      <c r="H480" s="35">
        <f>IFERROR(VLOOKUP(B480,ADP!A1:G731,7,FALSE)/1000000,VLOOKUP(B480,ADP!A1:G731,7,FALSE))</f>
        <v>4</v>
      </c>
      <c r="I480" s="36">
        <f>IF(Settings!$E$15="POINTS",((R480*Q480)*Settings!$B$12)+(S480*Settings!$B$2)+(T480*Settings!$B$3)+(U480*Settings!$B$4)+(V480*Settings!$B$5)+(X480*Settings!$B$9)+(AA480*Settings!$B$6)+(W480*Settings!$B$8)+(AB480*Settings!$B$7)+(AC480*Settings!$B$14)+(AD480*Settings!$B$15)+(AE480*Settings!$B$16)+(AF480*Settings!$B$17)+(AG480*Settings!$B$18)+(U480*Settings!$B$13)+(Y480*Settings!$B$10)+(Z480*Settings!$B$11),VLOOKUP(B480,'Standard Deviations'!A1:C731,3,FALSE))</f>
        <v>-4.6374242101236662</v>
      </c>
      <c r="J480" s="37">
        <f t="shared" si="44"/>
        <v>-5.655395378199593E-2</v>
      </c>
      <c r="K480" s="183">
        <f>VLOOKUP(B480,D!A1:F229,6,FALSE)</f>
        <v>-6.5791647537579774</v>
      </c>
      <c r="L480" s="36">
        <f t="shared" si="45"/>
        <v>-1.6447911884394943</v>
      </c>
      <c r="M480" s="52" t="str">
        <f>IF(Settings!$E$9="YAHOO",VLOOKUP(B480,ADP!A1:E731,2,FALSE),IF(Settings!$E$9="ESPN",VLOOKUP(B480,ADP!A1:E731,3,FALSE),IF(Settings!$E$9="FANTRAX",VLOOKUP(B480,ADP!A1:E731,4,FALSE),VLOOKUP(B480,ADP!A1:E731,5,FALSE))))</f>
        <v>-</v>
      </c>
      <c r="N480" s="52" t="str">
        <f t="shared" si="46"/>
        <v>N/A</v>
      </c>
      <c r="O480" s="38"/>
      <c r="P480" s="39" t="str">
        <f>IF(Settings!$E$27="ON",_xlfn.XLOOKUP(B480,ADP!A2:A731,ADP!H2:H731)," ")</f>
        <v xml:space="preserve"> </v>
      </c>
      <c r="Q480" s="40">
        <f>IF(Settings!$E$12="YES",VLOOKUP(B480,'Player Data'!A1:E734,5,FALSE),82)</f>
        <v>82</v>
      </c>
      <c r="R480" s="38">
        <f>VLOOKUP(B480,'Player Data'!$A1:$AE734,6,FALSE)</f>
        <v>17.460989196708201</v>
      </c>
      <c r="S480" s="40">
        <f>VLOOKUP(B480,'Player Data'!$A1:$AE734,7,FALSE)*$Q480*IFERROR((VLOOKUP(P480,Settings!$E$28:$F$33,2,FALSE)+1),1)</f>
        <v>2.9997430832489527</v>
      </c>
      <c r="T480" s="40">
        <f>VLOOKUP(B480,'Player Data'!$A1:$AE734,8,FALSE)*$Q480*IFERROR((VLOOKUP(P480,Settings!$E$28:$F$33,2,FALSE)+1),1)</f>
        <v>10.849516331256112</v>
      </c>
      <c r="U480" s="40">
        <f t="shared" si="47"/>
        <v>13.849259414505065</v>
      </c>
      <c r="V480" s="40">
        <f>VLOOKUP(B480,'Player Data'!$A1:$AE734,10,FALSE)*$Q480*IFERROR(((VLOOKUP(P480,Settings!$E$28:$F$33,2,FALSE)/2)+1),1)</f>
        <v>105.89617594308012</v>
      </c>
      <c r="W480" s="40">
        <f>VLOOKUP(B480,'Player Data'!$A1:$AE734,11,FALSE)*$Q480*IFERROR((VLOOKUP(P480,Settings!$E$28:$F$33,2,FALSE)+1),1)</f>
        <v>2.2151265828018411E-2</v>
      </c>
      <c r="X480" s="40">
        <f>VLOOKUP(B480,'Player Data'!$A1:$AE734,12,FALSE)*$Q480*IFERROR((VLOOKUP(P480,Settings!$E$28:$F$33,2,FALSE)+1),1)</f>
        <v>0.14848350877370869</v>
      </c>
      <c r="Y480" s="40">
        <f>VLOOKUP(B480,'Player Data'!$A1:$AE734,13,FALSE)*$Q480</f>
        <v>-1.8047143568619688E-2</v>
      </c>
      <c r="Z480" s="40">
        <f>VLOOKUP(B480,'Player Data'!$A1:$AE734,14,FALSE)*$Q480</f>
        <v>-3.5096920501901899E-2</v>
      </c>
      <c r="AA480" s="40">
        <f>VLOOKUP(B480,'Player Data'!$A1:$AE734,15,FALSE)*$Q480</f>
        <v>120.11634693397195</v>
      </c>
      <c r="AB480" s="40">
        <f>VLOOKUP(B480,'Player Data'!$A1:$AE734,16,FALSE)*$Q480</f>
        <v>122.31110199926783</v>
      </c>
      <c r="AC480" s="40">
        <f>VLOOKUP(B480,'Player Data'!$A1:$AE734,17,FALSE)*$Q480*IFERROR((VLOOKUP(P480,Settings!$E$28:$F$33,2,FALSE)+1),1)</f>
        <v>-6.9893404485282833</v>
      </c>
      <c r="AD480" s="40">
        <f>VLOOKUP(B480,'Player Data'!$A1:$AE734,18,FALSE)*$Q480</f>
        <v>60.172734152446878</v>
      </c>
      <c r="AE480" s="40">
        <f>VLOOKUP(B480,'Player Data'!$A1:$AE734,19,FALSE)*$Q480*IFERROR((VLOOKUP(P480,Settings!$E$28:$F$33,2,FALSE)+1),1)</f>
        <v>0.32144312516300388</v>
      </c>
      <c r="AF480" s="40">
        <f>VLOOKUP(B480,'Player Data'!$A1:$AE734,20,FALSE)*$Q480</f>
        <v>0</v>
      </c>
      <c r="AG480" s="40">
        <f>VLOOKUP(B480,'Player Data'!$A1:$AE734,21,FALSE)*$Q480</f>
        <v>0</v>
      </c>
      <c r="AH480" s="41">
        <f>VLOOKUP(B480,'Player Data'!$A1:$AE734,22,FALSE)</f>
        <v>0</v>
      </c>
      <c r="AI480" s="38"/>
      <c r="AJ480" s="42"/>
      <c r="AK480" s="40"/>
      <c r="AL480" s="40"/>
      <c r="AM480" s="40"/>
      <c r="AN480" s="40"/>
      <c r="AO480" s="40"/>
      <c r="AP480" s="40"/>
      <c r="AQ480" s="43"/>
      <c r="AR480" s="44"/>
      <c r="AS480" s="38"/>
    </row>
    <row r="481" spans="1:45" ht="21.2" customHeight="1">
      <c r="A481" s="181">
        <f t="shared" si="43"/>
        <v>480</v>
      </c>
      <c r="B481" s="8" t="s">
        <v>569</v>
      </c>
      <c r="C481" s="31" t="s">
        <v>104</v>
      </c>
      <c r="D481" s="32" t="str">
        <f>VLOOKUP(B481,'Player Data'!A1:D734,4,FALSE)</f>
        <v>D</v>
      </c>
      <c r="E481" s="47">
        <f>VLOOKUP(B481,D!A1:C229,3,FALSE)</f>
        <v>186</v>
      </c>
      <c r="F481" s="34" t="str">
        <f>VLOOKUP(B481,'Player Data'!A1:B734,2,FALSE)</f>
        <v>BUF</v>
      </c>
      <c r="G481" s="9">
        <f>VLOOKUP(B481,'Player Data'!A1:D734,3,FALSE)</f>
        <v>24</v>
      </c>
      <c r="H481" s="35">
        <f>IFERROR(VLOOKUP(B481,ADP!A1:G731,7,FALSE)/1000000,VLOOKUP(B481,ADP!A1:G731,7,FALSE))</f>
        <v>2.5</v>
      </c>
      <c r="I481" s="36">
        <f>IF(Settings!$E$15="POINTS",((R481*Q481)*Settings!$B$12)+(S481*Settings!$B$2)+(T481*Settings!$B$3)+(U481*Settings!$B$4)+(V481*Settings!$B$5)+(X481*Settings!$B$9)+(AA481*Settings!$B$6)+(W481*Settings!$B$8)+(AB481*Settings!$B$7)+(AC481*Settings!$B$14)+(AD481*Settings!$B$15)+(AE481*Settings!$B$16)+(AF481*Settings!$B$17)+(AG481*Settings!$B$18)+(U481*Settings!$B$13)+(Y481*Settings!$B$10)+(Z481*Settings!$B$11),VLOOKUP(B481,'Standard Deviations'!A1:C731,3,FALSE))</f>
        <v>-4.6513739202687567</v>
      </c>
      <c r="J481" s="37">
        <f t="shared" si="44"/>
        <v>-5.6724072198399471E-2</v>
      </c>
      <c r="K481" s="183">
        <f>VLOOKUP(B481,D!A1:F229,6,FALSE)</f>
        <v>-6.593114463903067</v>
      </c>
      <c r="L481" s="36">
        <f t="shared" si="45"/>
        <v>-2.6372457855612268</v>
      </c>
      <c r="M481" s="52" t="str">
        <f>IF(Settings!$E$9="YAHOO",VLOOKUP(B481,ADP!A1:E731,2,FALSE),IF(Settings!$E$9="ESPN",VLOOKUP(B481,ADP!A1:E731,3,FALSE),IF(Settings!$E$9="FANTRAX",VLOOKUP(B481,ADP!A1:E731,4,FALSE),VLOOKUP(B481,ADP!A1:E731,5,FALSE))))</f>
        <v>-</v>
      </c>
      <c r="N481" s="52" t="str">
        <f t="shared" si="46"/>
        <v>N/A</v>
      </c>
      <c r="O481" s="38"/>
      <c r="P481" s="39" t="str">
        <f>IF(Settings!$E$27="ON",_xlfn.XLOOKUP(B481,ADP!A2:A731,ADP!H2:H731)," ")</f>
        <v xml:space="preserve"> </v>
      </c>
      <c r="Q481" s="40">
        <f>IF(Settings!$E$12="YES",VLOOKUP(B481,'Player Data'!A1:E734,5,FALSE),82)</f>
        <v>82</v>
      </c>
      <c r="R481" s="38">
        <f>VLOOKUP(B481,'Player Data'!$A1:$AE734,6,FALSE)</f>
        <v>17.0340037185215</v>
      </c>
      <c r="S481" s="40">
        <f>VLOOKUP(B481,'Player Data'!$A1:$AE734,7,FALSE)*$Q481*IFERROR((VLOOKUP(P481,Settings!$E$28:$F$33,2,FALSE)+1),1)</f>
        <v>3.8150129140828599</v>
      </c>
      <c r="T481" s="40">
        <f>VLOOKUP(B481,'Player Data'!$A1:$AE734,8,FALSE)*$Q481*IFERROR((VLOOKUP(P481,Settings!$E$28:$F$33,2,FALSE)+1),1)</f>
        <v>12.733610192453483</v>
      </c>
      <c r="U481" s="40">
        <f t="shared" si="47"/>
        <v>16.548623106536343</v>
      </c>
      <c r="V481" s="40">
        <f>VLOOKUP(B481,'Player Data'!$A1:$AE734,10,FALSE)*$Q481*IFERROR(((VLOOKUP(P481,Settings!$E$28:$F$33,2,FALSE)/2)+1),1)</f>
        <v>84.934692543102528</v>
      </c>
      <c r="W481" s="40">
        <f>VLOOKUP(B481,'Player Data'!$A1:$AE734,11,FALSE)*$Q481*IFERROR((VLOOKUP(P481,Settings!$E$28:$F$33,2,FALSE)+1),1)</f>
        <v>1.3014862417363706E-2</v>
      </c>
      <c r="X481" s="40">
        <f>VLOOKUP(B481,'Player Data'!$A1:$AE734,12,FALSE)*$Q481*IFERROR((VLOOKUP(P481,Settings!$E$28:$F$33,2,FALSE)+1),1)</f>
        <v>0.18757700732378635</v>
      </c>
      <c r="Y481" s="40">
        <f>VLOOKUP(B481,'Player Data'!$A1:$AE734,13,FALSE)*$Q481</f>
        <v>5.4985239331645619E-2</v>
      </c>
      <c r="Z481" s="40">
        <f>VLOOKUP(B481,'Player Data'!$A1:$AE734,14,FALSE)*$Q481</f>
        <v>0.31402057760334801</v>
      </c>
      <c r="AA481" s="40">
        <f>VLOOKUP(B481,'Player Data'!$A1:$AE734,15,FALSE)*$Q481</f>
        <v>77.561682382464625</v>
      </c>
      <c r="AB481" s="40">
        <f>VLOOKUP(B481,'Player Data'!$A1:$AE734,16,FALSE)*$Q481</f>
        <v>80.838868191663053</v>
      </c>
      <c r="AC481" s="40">
        <f>VLOOKUP(B481,'Player Data'!$A1:$AE734,17,FALSE)*$Q481*IFERROR((VLOOKUP(P481,Settings!$E$28:$F$33,2,FALSE)+1),1)</f>
        <v>-3.5379435244984108</v>
      </c>
      <c r="AD481" s="40">
        <f>VLOOKUP(B481,'Player Data'!$A1:$AE734,18,FALSE)*$Q481</f>
        <v>26.05294273944461</v>
      </c>
      <c r="AE481" s="40">
        <f>VLOOKUP(B481,'Player Data'!$A1:$AE734,19,FALSE)*$Q481*IFERROR((VLOOKUP(P481,Settings!$E$28:$F$33,2,FALSE)+1),1)</f>
        <v>0.48839435382411306</v>
      </c>
      <c r="AF481" s="40">
        <f>VLOOKUP(B481,'Player Data'!$A1:$AE734,20,FALSE)*$Q481</f>
        <v>0</v>
      </c>
      <c r="AG481" s="40">
        <f>VLOOKUP(B481,'Player Data'!$A1:$AE734,21,FALSE)*$Q481</f>
        <v>0</v>
      </c>
      <c r="AH481" s="41">
        <f>VLOOKUP(B481,'Player Data'!$A1:$AE734,22,FALSE)</f>
        <v>0</v>
      </c>
      <c r="AI481" s="38"/>
      <c r="AJ481" s="42"/>
      <c r="AK481" s="40"/>
      <c r="AL481" s="40"/>
      <c r="AM481" s="40"/>
      <c r="AN481" s="40"/>
      <c r="AO481" s="40"/>
      <c r="AP481" s="40"/>
      <c r="AQ481" s="43"/>
      <c r="AR481" s="44"/>
      <c r="AS481" s="38"/>
    </row>
    <row r="482" spans="1:45" ht="21.2" customHeight="1">
      <c r="A482" s="181">
        <f t="shared" si="43"/>
        <v>481</v>
      </c>
      <c r="B482" s="8" t="s">
        <v>458</v>
      </c>
      <c r="C482" s="31" t="s">
        <v>104</v>
      </c>
      <c r="D482" s="32" t="str">
        <f>VLOOKUP(B482,'Player Data'!A1:D734,4,FALSE)</f>
        <v>C,LW</v>
      </c>
      <c r="E482" s="45">
        <f>VLOOKUP(B482,LW!A1:C227,3,FALSE)</f>
        <v>112</v>
      </c>
      <c r="F482" s="34" t="str">
        <f>VLOOKUP(B482,'Player Data'!A1:B734,2,FALSE)</f>
        <v>DET</v>
      </c>
      <c r="G482" s="9">
        <f>VLOOKUP(B482,'Player Data'!A1:D734,3,FALSE)</f>
        <v>28</v>
      </c>
      <c r="H482" s="35">
        <f>IFERROR(VLOOKUP(B482,ADP!A1:G731,7,FALSE)/1000000,VLOOKUP(B482,ADP!A1:G731,7,FALSE))</f>
        <v>5.0999999999999996</v>
      </c>
      <c r="I482" s="36">
        <f>IF(Settings!$E$15="POINTS",((R482*Q482)*Settings!$B$12)+(S482*Settings!$B$2)+(T482*Settings!$B$3)+(U482*Settings!$B$4)+(V482*Settings!$B$5)+(X482*Settings!$B$9)+(AA482*Settings!$B$6)+(W482*Settings!$B$8)+(AB482*Settings!$B$7)+(AC482*Settings!$B$14)+(AD482*Settings!$B$15)+(AE482*Settings!$B$16)+(AF482*Settings!$B$17)+(AG482*Settings!$B$18)+(Y482*Settings!$B$10)+(Z482*Settings!$B$11),VLOOKUP(B482,'Standard Deviations'!A1:C731,3,FALSE))</f>
        <v>5.791815359645458E-2</v>
      </c>
      <c r="J482" s="37">
        <f t="shared" si="44"/>
        <v>7.0631894629822657E-4</v>
      </c>
      <c r="K482" s="183">
        <f>IF(Settings!$E$18="C/LW/RW",VLOOKUP(B482,LW!A1:F227,6,FALSE),VLOOKUP(B482,F!A1:F431,6,FALSE))</f>
        <v>-6.5967508905279466</v>
      </c>
      <c r="L482" s="36">
        <f t="shared" si="45"/>
        <v>-1.2934805667701856</v>
      </c>
      <c r="M482" s="38">
        <f>IF(Settings!$E$9="YAHOO",VLOOKUP(B482,ADP!A1:E731,2,FALSE),IF(Settings!$E$9="ESPN",VLOOKUP(B482,ADP!A1:E731,3,FALSE),IF(Settings!$E$9="FANTRAX",VLOOKUP(B482,ADP!A1:E731,4,FALSE),VLOOKUP(B482,ADP!A1:E731,5,FALSE))))</f>
        <v>319.89999999999998</v>
      </c>
      <c r="N482" s="38">
        <f t="shared" si="46"/>
        <v>-161.10000000000002</v>
      </c>
      <c r="O482" s="38"/>
      <c r="P482" s="39" t="str">
        <f>IF(Settings!$E$27="ON",_xlfn.XLOOKUP(B482,ADP!A2:A731,ADP!H2:H731)," ")</f>
        <v xml:space="preserve"> </v>
      </c>
      <c r="Q482" s="40">
        <f>IF(Settings!$E$12="YES",VLOOKUP(B482,'Player Data'!A1:E734,5,FALSE),82)</f>
        <v>82</v>
      </c>
      <c r="R482" s="38">
        <f>VLOOKUP(B482,'Player Data'!$A1:$AE734,6,FALSE)</f>
        <v>18.2927089835242</v>
      </c>
      <c r="S482" s="40">
        <f>VLOOKUP(B482,'Player Data'!$A1:$AE734,7,FALSE)*$Q482*IFERROR((VLOOKUP(P482,Settings!$E$28:$F$33,2,FALSE)+1),1)</f>
        <v>17.649315576467068</v>
      </c>
      <c r="T482" s="40">
        <f>VLOOKUP(B482,'Player Data'!$A1:$AE734,8,FALSE)*$Q482*IFERROR((VLOOKUP(P482,Settings!$E$28:$F$33,2,FALSE)+1),1)</f>
        <v>26.687564788303508</v>
      </c>
      <c r="U482" s="40">
        <f t="shared" si="47"/>
        <v>44.336880364770579</v>
      </c>
      <c r="V482" s="40">
        <f>VLOOKUP(B482,'Player Data'!$A1:$AE734,10,FALSE)*$Q482*IFERROR(((VLOOKUP(P482,Settings!$E$28:$F$33,2,FALSE)/2)+1),1)</f>
        <v>124.82543821014139</v>
      </c>
      <c r="W482" s="40">
        <f>VLOOKUP(B482,'Player Data'!$A1:$AE734,11,FALSE)*$Q482*IFERROR((VLOOKUP(P482,Settings!$E$28:$F$33,2,FALSE)+1),1)</f>
        <v>2.1184621346724875</v>
      </c>
      <c r="X482" s="40">
        <f>VLOOKUP(B482,'Player Data'!$A1:$AE734,12,FALSE)*$Q482*IFERROR((VLOOKUP(P482,Settings!$E$28:$F$33,2,FALSE)+1),1)</f>
        <v>4.9395786565367494</v>
      </c>
      <c r="Y482" s="40">
        <f>VLOOKUP(B482,'Player Data'!$A1:$AE734,13,FALSE)*$Q482</f>
        <v>0.42661166031632114</v>
      </c>
      <c r="Z482" s="40">
        <f>VLOOKUP(B482,'Player Data'!$A1:$AE734,14,FALSE)*$Q482</f>
        <v>0.50618698873172219</v>
      </c>
      <c r="AA482" s="40">
        <f>VLOOKUP(B482,'Player Data'!$A1:$AE734,15,FALSE)*$Q482</f>
        <v>71.062686725561619</v>
      </c>
      <c r="AB482" s="40">
        <f>VLOOKUP(B482,'Player Data'!$A1:$AE734,16,FALSE)*$Q482</f>
        <v>39.992952513378604</v>
      </c>
      <c r="AC482" s="40">
        <f>VLOOKUP(B482,'Player Data'!$A1:$AE734,17,FALSE)*$Q482*IFERROR((VLOOKUP(P482,Settings!$E$28:$F$33,2,FALSE)+1),1)</f>
        <v>-0.7899786545632822</v>
      </c>
      <c r="AD482" s="40">
        <f>VLOOKUP(B482,'Player Data'!$A1:$AE734,18,FALSE)*$Q482</f>
        <v>32.991730476429325</v>
      </c>
      <c r="AE482" s="40">
        <f>VLOOKUP(B482,'Player Data'!$A1:$AE734,19,FALSE)*$Q482*IFERROR((VLOOKUP(P482,Settings!$E$28:$F$33,2,FALSE)+1),1)</f>
        <v>2.3356373514740674</v>
      </c>
      <c r="AF482" s="40">
        <f>VLOOKUP(B482,'Player Data'!$A1:$AE734,20,FALSE)*$Q482</f>
        <v>680.54714637579775</v>
      </c>
      <c r="AG482" s="40">
        <f>VLOOKUP(B482,'Player Data'!$A1:$AE734,21,FALSE)*$Q482</f>
        <v>701.63135491132118</v>
      </c>
      <c r="AH482" s="41">
        <f>VLOOKUP(B482,'Player Data'!$A1:$AE734,22,FALSE)</f>
        <v>0.49237283443640301</v>
      </c>
      <c r="AI482" s="38"/>
      <c r="AJ482" s="42"/>
      <c r="AK482" s="40"/>
      <c r="AL482" s="40"/>
      <c r="AM482" s="40"/>
      <c r="AN482" s="40"/>
      <c r="AO482" s="40"/>
      <c r="AP482" s="40"/>
      <c r="AQ482" s="43"/>
      <c r="AR482" s="44"/>
      <c r="AS482" s="38"/>
    </row>
    <row r="483" spans="1:45" ht="21.2" customHeight="1">
      <c r="A483" s="181">
        <f t="shared" si="43"/>
        <v>482</v>
      </c>
      <c r="B483" s="8" t="s">
        <v>476</v>
      </c>
      <c r="C483" s="31" t="s">
        <v>104</v>
      </c>
      <c r="D483" s="32" t="str">
        <f>VLOOKUP(B483,'Player Data'!A1:D734,4,FALSE)</f>
        <v>LW,RW</v>
      </c>
      <c r="E483" s="45">
        <f>VLOOKUP(B483,RW!A1:F189,3,FALSE)</f>
        <v>107</v>
      </c>
      <c r="F483" s="34" t="str">
        <f>VLOOKUP(B483,'Player Data'!A1:B734,2,FALSE)</f>
        <v>TBL</v>
      </c>
      <c r="G483" s="9">
        <f>VLOOKUP(B483,'Player Data'!A1:D734,3,FALSE)</f>
        <v>26</v>
      </c>
      <c r="H483" s="35">
        <f>IFERROR(VLOOKUP(B483,ADP!A1:G731,7,FALSE)/1000000,VLOOKUP(B483,ADP!A1:G731,7,FALSE))</f>
        <v>2.665</v>
      </c>
      <c r="I483" s="36">
        <f>IF(Settings!$E$15="POINTS",((R483*Q483)*Settings!$B$12)+(S483*Settings!$B$2)+(T483*Settings!$B$3)+(U483*Settings!$B$4)+(V483*Settings!$B$5)+(X483*Settings!$B$9)+(AA483*Settings!$B$6)+(W483*Settings!$B$8)+(AB483*Settings!$B$7)+(AC483*Settings!$B$14)+(AD483*Settings!$B$15)+(AE483*Settings!$B$16)+(AF483*Settings!$B$17)+(AG483*Settings!$B$18)+(Y483*Settings!$B$10)+(Z483*Settings!$B$11),VLOOKUP(B483,'Standard Deviations'!A1:C731,3,FALSE))</f>
        <v>-0.33858336483851242</v>
      </c>
      <c r="J483" s="37">
        <f t="shared" si="44"/>
        <v>-4.129065424859908E-3</v>
      </c>
      <c r="K483" s="183">
        <f>IF(Settings!$E$18="C/LW/RW",VLOOKUP(B483,RW!A1:F189,6,FALSE),VLOOKUP(B483,F!A1:F431,6,FALSE))</f>
        <v>-6.6188420838495929</v>
      </c>
      <c r="L483" s="36">
        <f t="shared" si="45"/>
        <v>-2.4836180427202974</v>
      </c>
      <c r="M483" s="38">
        <f>IF(Settings!$E$9="YAHOO",VLOOKUP(B483,ADP!A1:E731,2,FALSE),IF(Settings!$E$9="ESPN",VLOOKUP(B483,ADP!A1:E731,3,FALSE),IF(Settings!$E$9="FANTRAX",VLOOKUP(B483,ADP!A1:E731,4,FALSE),VLOOKUP(B483,ADP!A1:E731,5,FALSE))))</f>
        <v>267.12</v>
      </c>
      <c r="N483" s="38">
        <f t="shared" si="46"/>
        <v>-214.88</v>
      </c>
      <c r="O483" s="38"/>
      <c r="P483" s="39" t="str">
        <f>IF(Settings!$E$27="ON",_xlfn.XLOOKUP(B483,ADP!A2:A731,ADP!H2:H731)," ")</f>
        <v xml:space="preserve"> </v>
      </c>
      <c r="Q483" s="40">
        <f>IF(Settings!$E$12="YES",VLOOKUP(B483,'Player Data'!A1:E734,5,FALSE),82)</f>
        <v>82</v>
      </c>
      <c r="R483" s="38">
        <f>VLOOKUP(B483,'Player Data'!$A1:$AE734,6,FALSE)</f>
        <v>16.8118233024544</v>
      </c>
      <c r="S483" s="40">
        <f>VLOOKUP(B483,'Player Data'!$A1:$AE734,7,FALSE)*$Q483*IFERROR((VLOOKUP(P483,Settings!$E$28:$F$33,2,FALSE)+1),1)</f>
        <v>17.907969189765094</v>
      </c>
      <c r="T483" s="40">
        <f>VLOOKUP(B483,'Player Data'!$A1:$AE734,8,FALSE)*$Q483*IFERROR((VLOOKUP(P483,Settings!$E$28:$F$33,2,FALSE)+1),1)</f>
        <v>20.028404144191533</v>
      </c>
      <c r="U483" s="40">
        <f t="shared" si="47"/>
        <v>37.936373333956624</v>
      </c>
      <c r="V483" s="40">
        <f>VLOOKUP(B483,'Player Data'!$A1:$AE734,10,FALSE)*$Q483*IFERROR(((VLOOKUP(P483,Settings!$E$28:$F$33,2,FALSE)/2)+1),1)</f>
        <v>145.59737014014462</v>
      </c>
      <c r="W483" s="40">
        <f>VLOOKUP(B483,'Player Data'!$A1:$AE734,11,FALSE)*$Q483*IFERROR((VLOOKUP(P483,Settings!$E$28:$F$33,2,FALSE)+1),1)</f>
        <v>2.4655264648635731</v>
      </c>
      <c r="X483" s="40">
        <f>VLOOKUP(B483,'Player Data'!$A1:$AE734,12,FALSE)*$Q483*IFERROR((VLOOKUP(P483,Settings!$E$28:$F$33,2,FALSE)+1),1)</f>
        <v>4.8959133299590638</v>
      </c>
      <c r="Y483" s="40">
        <f>VLOOKUP(B483,'Player Data'!$A1:$AE734,13,FALSE)*$Q483</f>
        <v>0.58550393529140976</v>
      </c>
      <c r="Z483" s="40">
        <f>VLOOKUP(B483,'Player Data'!$A1:$AE734,14,FALSE)*$Q483</f>
        <v>1.4225799686704605</v>
      </c>
      <c r="AA483" s="40">
        <f>VLOOKUP(B483,'Player Data'!$A1:$AE734,15,FALSE)*$Q483</f>
        <v>67.189373865356202</v>
      </c>
      <c r="AB483" s="40">
        <f>VLOOKUP(B483,'Player Data'!$A1:$AE734,16,FALSE)*$Q483</f>
        <v>316.82314271865732</v>
      </c>
      <c r="AC483" s="40">
        <f>VLOOKUP(B483,'Player Data'!$A1:$AE734,17,FALSE)*$Q483*IFERROR((VLOOKUP(P483,Settings!$E$28:$F$33,2,FALSE)+1),1)</f>
        <v>-4.3404594406991196E-4</v>
      </c>
      <c r="AD483" s="40">
        <f>VLOOKUP(B483,'Player Data'!$A1:$AE734,18,FALSE)*$Q483</f>
        <v>102.2567131853402</v>
      </c>
      <c r="AE483" s="40">
        <f>VLOOKUP(B483,'Player Data'!$A1:$AE734,19,FALSE)*$Q483*IFERROR((VLOOKUP(P483,Settings!$E$28:$F$33,2,FALSE)+1),1)</f>
        <v>2.8026036832792385</v>
      </c>
      <c r="AF483" s="40">
        <f>VLOOKUP(B483,'Player Data'!$A1:$AE734,20,FALSE)*$Q483</f>
        <v>11.958702197546472</v>
      </c>
      <c r="AG483" s="40">
        <f>VLOOKUP(B483,'Player Data'!$A1:$AE734,21,FALSE)*$Q483</f>
        <v>16.420201577957108</v>
      </c>
      <c r="AH483" s="41">
        <f>VLOOKUP(B483,'Player Data'!$A1:$AE734,22,FALSE)</f>
        <v>0.42139408527362299</v>
      </c>
      <c r="AI483" s="38"/>
      <c r="AJ483" s="42"/>
      <c r="AK483" s="40"/>
      <c r="AL483" s="40"/>
      <c r="AM483" s="40"/>
      <c r="AN483" s="40"/>
      <c r="AO483" s="40"/>
      <c r="AP483" s="40"/>
      <c r="AQ483" s="43"/>
      <c r="AR483" s="44"/>
      <c r="AS483" s="38"/>
    </row>
    <row r="484" spans="1:45" ht="21.2" customHeight="1">
      <c r="A484" s="181">
        <f t="shared" si="43"/>
        <v>483</v>
      </c>
      <c r="B484" s="8" t="s">
        <v>564</v>
      </c>
      <c r="C484" s="31" t="s">
        <v>104</v>
      </c>
      <c r="D484" s="32" t="str">
        <f>VLOOKUP(B484,'Player Data'!A1:D734,4,FALSE)</f>
        <v>LW,RW</v>
      </c>
      <c r="E484" s="45">
        <f>VLOOKUP(B484,RW!A1:F189,3,FALSE)</f>
        <v>108</v>
      </c>
      <c r="F484" s="34" t="str">
        <f>VLOOKUP(B484,'Player Data'!A1:B734,2,FALSE)</f>
        <v>SJS</v>
      </c>
      <c r="G484" s="9">
        <f>VLOOKUP(B484,'Player Data'!A1:D734,3,FALSE)</f>
        <v>23</v>
      </c>
      <c r="H484" s="35">
        <f>IFERROR(VLOOKUP(B484,ADP!A1:G731,7,FALSE)/1000000,VLOOKUP(B484,ADP!A1:G731,7,FALSE))</f>
        <v>1.45</v>
      </c>
      <c r="I484" s="36">
        <f>IF(Settings!$E$15="POINTS",((R484*Q484)*Settings!$B$12)+(S484*Settings!$B$2)+(T484*Settings!$B$3)+(U484*Settings!$B$4)+(V484*Settings!$B$5)+(X484*Settings!$B$9)+(AA484*Settings!$B$6)+(W484*Settings!$B$8)+(AB484*Settings!$B$7)+(AC484*Settings!$B$14)+(AD484*Settings!$B$15)+(AE484*Settings!$B$16)+(AF484*Settings!$B$17)+(AG484*Settings!$B$18)+(Y484*Settings!$B$10)+(Z484*Settings!$B$11),VLOOKUP(B484,'Standard Deviations'!A1:C731,3,FALSE))</f>
        <v>-0.39229664389519248</v>
      </c>
      <c r="J484" s="37">
        <f t="shared" si="44"/>
        <v>-4.784105413356006E-3</v>
      </c>
      <c r="K484" s="183">
        <f>IF(Settings!$E$18="C/LW/RW",VLOOKUP(B484,RW!A1:F189,6,FALSE),VLOOKUP(B484,F!A1:F431,6,FALSE))</f>
        <v>-6.672555362906273</v>
      </c>
      <c r="L484" s="36">
        <f t="shared" si="45"/>
        <v>-4.6017623192457053</v>
      </c>
      <c r="M484" s="52" t="str">
        <f>IF(Settings!$E$9="YAHOO",VLOOKUP(B484,ADP!A1:E731,2,FALSE),IF(Settings!$E$9="ESPN",VLOOKUP(B484,ADP!A1:E731,3,FALSE),IF(Settings!$E$9="FANTRAX",VLOOKUP(B484,ADP!A1:E731,4,FALSE),VLOOKUP(B484,ADP!A1:E731,5,FALSE))))</f>
        <v>-</v>
      </c>
      <c r="N484" s="52" t="str">
        <f t="shared" si="46"/>
        <v>N/A</v>
      </c>
      <c r="O484" s="38"/>
      <c r="P484" s="39" t="str">
        <f>IF(Settings!$E$27="ON",_xlfn.XLOOKUP(B484,ADP!A2:A731,ADP!H2:H731)," ")</f>
        <v xml:space="preserve"> </v>
      </c>
      <c r="Q484" s="40">
        <f>IF(Settings!$E$12="YES",VLOOKUP(B484,'Player Data'!A1:E734,5,FALSE),82)</f>
        <v>82</v>
      </c>
      <c r="R484" s="38">
        <f>VLOOKUP(B484,'Player Data'!$A1:$AE734,6,FALSE)</f>
        <v>12.9291446136325</v>
      </c>
      <c r="S484" s="40">
        <f>VLOOKUP(B484,'Player Data'!$A1:$AE734,7,FALSE)*$Q484*IFERROR((VLOOKUP(P484,Settings!$E$28:$F$33,2,FALSE)+1),1)</f>
        <v>10.42088967303993</v>
      </c>
      <c r="T484" s="40">
        <f>VLOOKUP(B484,'Player Data'!$A1:$AE734,8,FALSE)*$Q484*IFERROR((VLOOKUP(P484,Settings!$E$28:$F$33,2,FALSE)+1),1)</f>
        <v>21.550079106383798</v>
      </c>
      <c r="U484" s="40">
        <f t="shared" si="47"/>
        <v>31.970968779423728</v>
      </c>
      <c r="V484" s="40">
        <f>VLOOKUP(B484,'Player Data'!$A1:$AE734,10,FALSE)*$Q484*IFERROR(((VLOOKUP(P484,Settings!$E$28:$F$33,2,FALSE)/2)+1),1)</f>
        <v>170.46216415010093</v>
      </c>
      <c r="W484" s="40">
        <f>VLOOKUP(B484,'Player Data'!$A1:$AE734,11,FALSE)*$Q484*IFERROR((VLOOKUP(P484,Settings!$E$28:$F$33,2,FALSE)+1),1)</f>
        <v>3.3201489283792394</v>
      </c>
      <c r="X484" s="40">
        <f>VLOOKUP(B484,'Player Data'!$A1:$AE734,12,FALSE)*$Q484*IFERROR((VLOOKUP(P484,Settings!$E$28:$F$33,2,FALSE)+1),1)</f>
        <v>8.8799414564173169</v>
      </c>
      <c r="Y484" s="40">
        <f>VLOOKUP(B484,'Player Data'!$A1:$AE734,13,FALSE)*$Q484</f>
        <v>5.4705275822217363E-3</v>
      </c>
      <c r="Z484" s="40">
        <f>VLOOKUP(B484,'Player Data'!$A1:$AE734,14,FALSE)*$Q484</f>
        <v>1.1009725967274769E-2</v>
      </c>
      <c r="AA484" s="40">
        <f>VLOOKUP(B484,'Player Data'!$A1:$AE734,15,FALSE)*$Q484</f>
        <v>27.277761213829393</v>
      </c>
      <c r="AB484" s="40">
        <f>VLOOKUP(B484,'Player Data'!$A1:$AE734,16,FALSE)*$Q484</f>
        <v>75.270750663859701</v>
      </c>
      <c r="AC484" s="40">
        <f>VLOOKUP(B484,'Player Data'!$A1:$AE734,17,FALSE)*$Q484*IFERROR((VLOOKUP(P484,Settings!$E$28:$F$33,2,FALSE)+1),1)</f>
        <v>-0.29191253696409813</v>
      </c>
      <c r="AD484" s="40">
        <f>VLOOKUP(B484,'Player Data'!$A1:$AE734,18,FALSE)*$Q484</f>
        <v>18.827425871874919</v>
      </c>
      <c r="AE484" s="40">
        <f>VLOOKUP(B484,'Player Data'!$A1:$AE734,19,FALSE)*$Q484*IFERROR((VLOOKUP(P484,Settings!$E$28:$F$33,2,FALSE)+1),1)</f>
        <v>1.293813419118911</v>
      </c>
      <c r="AF484" s="40">
        <f>VLOOKUP(B484,'Player Data'!$A1:$AE734,20,FALSE)*$Q484</f>
        <v>9.0625871160793974</v>
      </c>
      <c r="AG484" s="40">
        <f>VLOOKUP(B484,'Player Data'!$A1:$AE734,21,FALSE)*$Q484</f>
        <v>11.093290493329638</v>
      </c>
      <c r="AH484" s="41">
        <f>VLOOKUP(B484,'Player Data'!$A1:$AE734,22,FALSE)</f>
        <v>0.44962503204766602</v>
      </c>
      <c r="AI484" s="38"/>
      <c r="AJ484" s="42"/>
      <c r="AK484" s="40"/>
      <c r="AL484" s="40"/>
      <c r="AM484" s="40"/>
      <c r="AN484" s="40"/>
      <c r="AO484" s="40"/>
      <c r="AP484" s="40"/>
      <c r="AQ484" s="43"/>
      <c r="AR484" s="44"/>
      <c r="AS484" s="38"/>
    </row>
    <row r="485" spans="1:45" ht="21.2" customHeight="1">
      <c r="A485" s="181">
        <f t="shared" si="43"/>
        <v>484</v>
      </c>
      <c r="B485" s="8" t="s">
        <v>620</v>
      </c>
      <c r="C485" s="31" t="s">
        <v>104</v>
      </c>
      <c r="D485" s="32" t="str">
        <f>VLOOKUP(B485,'Player Data'!A1:D734,4,FALSE)</f>
        <v>D</v>
      </c>
      <c r="E485" s="47">
        <f>VLOOKUP(B485,D!A1:C229,3,FALSE)</f>
        <v>187</v>
      </c>
      <c r="F485" s="34" t="str">
        <f>VLOOKUP(B485,'Player Data'!A1:B734,2,FALSE)</f>
        <v>WSH</v>
      </c>
      <c r="G485" s="9">
        <f>VLOOKUP(B485,'Player Data'!A1:D734,3,FALSE)</f>
        <v>23</v>
      </c>
      <c r="H485" s="35">
        <f>IFERROR(VLOOKUP(B485,ADP!A1:G731,7,FALSE)/1000000,VLOOKUP(B485,ADP!A1:G731,7,FALSE))</f>
        <v>0</v>
      </c>
      <c r="I485" s="36">
        <f>IF(Settings!$E$15="POINTS",((R485*Q485)*Settings!$B$12)+(S485*Settings!$B$2)+(T485*Settings!$B$3)+(U485*Settings!$B$4)+(V485*Settings!$B$5)+(X485*Settings!$B$9)+(AA485*Settings!$B$6)+(W485*Settings!$B$8)+(AB485*Settings!$B$7)+(AC485*Settings!$B$14)+(AD485*Settings!$B$15)+(AE485*Settings!$B$16)+(AF485*Settings!$B$17)+(AG485*Settings!$B$18)+(U485*Settings!$B$13)+(Y485*Settings!$B$10)+(Z485*Settings!$B$11),VLOOKUP(B485,'Standard Deviations'!A1:C731,3,FALSE))</f>
        <v>-4.7406170929570788</v>
      </c>
      <c r="J485" s="37">
        <f t="shared" si="44"/>
        <v>-5.7812403572647303E-2</v>
      </c>
      <c r="K485" s="183">
        <f>VLOOKUP(B485,D!A1:F229,6,FALSE)</f>
        <v>-6.682357636591389</v>
      </c>
      <c r="L485" s="49" t="str">
        <f t="shared" si="45"/>
        <v>N/A</v>
      </c>
      <c r="M485" s="52" t="str">
        <f>IF(Settings!$E$9="YAHOO",VLOOKUP(B485,ADP!A1:E731,2,FALSE),IF(Settings!$E$9="ESPN",VLOOKUP(B485,ADP!A1:E731,3,FALSE),IF(Settings!$E$9="FANTRAX",VLOOKUP(B485,ADP!A1:E731,4,FALSE),VLOOKUP(B485,ADP!A1:E731,5,FALSE))))</f>
        <v>-</v>
      </c>
      <c r="N485" s="52" t="str">
        <f t="shared" si="46"/>
        <v>N/A</v>
      </c>
      <c r="O485" s="38"/>
      <c r="P485" s="39" t="str">
        <f>IF(Settings!$E$27="ON",_xlfn.XLOOKUP(B485,ADP!A2:A731,ADP!H2:H731)," ")</f>
        <v xml:space="preserve"> </v>
      </c>
      <c r="Q485" s="40">
        <f>IF(Settings!$E$12="YES",VLOOKUP(B485,'Player Data'!A1:E734,5,FALSE),82)</f>
        <v>82</v>
      </c>
      <c r="R485" s="38">
        <f>VLOOKUP(B485,'Player Data'!$A1:$AE734,6,FALSE)</f>
        <v>16.532377158536601</v>
      </c>
      <c r="S485" s="40">
        <f>VLOOKUP(B485,'Player Data'!$A1:$AE734,7,FALSE)*$Q485*IFERROR((VLOOKUP(P485,Settings!$E$28:$F$33,2,FALSE)+1),1)</f>
        <v>2.3048001933498803</v>
      </c>
      <c r="T485" s="40">
        <f>VLOOKUP(B485,'Player Data'!$A1:$AE734,8,FALSE)*$Q485*IFERROR((VLOOKUP(P485,Settings!$E$28:$F$33,2,FALSE)+1),1)</f>
        <v>14.563385009242879</v>
      </c>
      <c r="U485" s="40">
        <f t="shared" si="47"/>
        <v>16.868185202592759</v>
      </c>
      <c r="V485" s="40">
        <f>VLOOKUP(B485,'Player Data'!$A1:$AE734,10,FALSE)*$Q485*IFERROR(((VLOOKUP(P485,Settings!$E$28:$F$33,2,FALSE)/2)+1),1)</f>
        <v>79.853787764637602</v>
      </c>
      <c r="W485" s="40">
        <f>VLOOKUP(B485,'Player Data'!$A1:$AE734,11,FALSE)*$Q485*IFERROR((VLOOKUP(P485,Settings!$E$28:$F$33,2,FALSE)+1),1)</f>
        <v>2.0561466421232306E-2</v>
      </c>
      <c r="X485" s="40">
        <f>VLOOKUP(B485,'Player Data'!$A1:$AE734,12,FALSE)*$Q485*IFERROR((VLOOKUP(P485,Settings!$E$28:$F$33,2,FALSE)+1),1)</f>
        <v>0.12640781976369692</v>
      </c>
      <c r="Y485" s="40">
        <f>VLOOKUP(B485,'Player Data'!$A1:$AE734,13,FALSE)*$Q485</f>
        <v>8.0778174255925983E-2</v>
      </c>
      <c r="Z485" s="40">
        <f>VLOOKUP(B485,'Player Data'!$A1:$AE734,14,FALSE)*$Q485</f>
        <v>0.36569180962820014</v>
      </c>
      <c r="AA485" s="40">
        <f>VLOOKUP(B485,'Player Data'!$A1:$AE734,15,FALSE)*$Q485</f>
        <v>111.13284654043187</v>
      </c>
      <c r="AB485" s="40">
        <f>VLOOKUP(B485,'Player Data'!$A1:$AE734,16,FALSE)*$Q485</f>
        <v>97.263448413978836</v>
      </c>
      <c r="AC485" s="40">
        <f>VLOOKUP(B485,'Player Data'!$A1:$AE734,17,FALSE)*$Q485*IFERROR((VLOOKUP(P485,Settings!$E$28:$F$33,2,FALSE)+1),1)</f>
        <v>-3.6559154433263594</v>
      </c>
      <c r="AD485" s="40">
        <f>VLOOKUP(B485,'Player Data'!$A1:$AE734,18,FALSE)*$Q485</f>
        <v>24.232661876166478</v>
      </c>
      <c r="AE485" s="40">
        <f>VLOOKUP(B485,'Player Data'!$A1:$AE734,19,FALSE)*$Q485*IFERROR((VLOOKUP(P485,Settings!$E$28:$F$33,2,FALSE)+1),1)</f>
        <v>0.28350399143184324</v>
      </c>
      <c r="AF485" s="40">
        <f>VLOOKUP(B485,'Player Data'!$A1:$AE734,20,FALSE)*$Q485</f>
        <v>0</v>
      </c>
      <c r="AG485" s="40">
        <f>VLOOKUP(B485,'Player Data'!$A1:$AE734,21,FALSE)*$Q485</f>
        <v>0</v>
      </c>
      <c r="AH485" s="41">
        <f>VLOOKUP(B485,'Player Data'!$A1:$AE734,22,FALSE)</f>
        <v>0</v>
      </c>
      <c r="AI485" s="38"/>
      <c r="AJ485" s="42"/>
      <c r="AK485" s="40"/>
      <c r="AL485" s="40"/>
      <c r="AM485" s="40"/>
      <c r="AN485" s="40"/>
      <c r="AO485" s="40"/>
      <c r="AP485" s="40"/>
      <c r="AQ485" s="43"/>
      <c r="AR485" s="44"/>
      <c r="AS485" s="38"/>
    </row>
    <row r="486" spans="1:45" ht="21.2" customHeight="1">
      <c r="A486" s="181">
        <f t="shared" si="43"/>
        <v>485</v>
      </c>
      <c r="B486" s="8" t="s">
        <v>434</v>
      </c>
      <c r="C486" s="31" t="s">
        <v>104</v>
      </c>
      <c r="D486" s="32" t="str">
        <f>VLOOKUP(B486,'Player Data'!A1:D734,4,FALSE)</f>
        <v>C,LW,RW</v>
      </c>
      <c r="E486" s="45">
        <f>VLOOKUP(B486,RW!A1:F189,3,FALSE)</f>
        <v>109</v>
      </c>
      <c r="F486" s="34" t="str">
        <f>VLOOKUP(B486,'Player Data'!A1:B734,2,FALSE)</f>
        <v>DET</v>
      </c>
      <c r="G486" s="9">
        <f>VLOOKUP(B486,'Player Data'!A1:D734,3,FALSE)</f>
        <v>29</v>
      </c>
      <c r="H486" s="35">
        <f>IFERROR(VLOOKUP(B486,ADP!A1:G731,7,FALSE)/1000000,VLOOKUP(B486,ADP!A1:G731,7,FALSE))</f>
        <v>5.625</v>
      </c>
      <c r="I486" s="36">
        <f>IF(Settings!$E$15="POINTS",((R486*Q486)*Settings!$B$12)+(S486*Settings!$B$2)+(T486*Settings!$B$3)+(U486*Settings!$B$4)+(V486*Settings!$B$5)+(X486*Settings!$B$9)+(AA486*Settings!$B$6)+(W486*Settings!$B$8)+(AB486*Settings!$B$7)+(AC486*Settings!$B$14)+(AD486*Settings!$B$15)+(AE486*Settings!$B$16)+(AF486*Settings!$B$17)+(AG486*Settings!$B$18)+(Y486*Settings!$B$10)+(Z486*Settings!$B$11),VLOOKUP(B486,'Standard Deviations'!A1:C731,3,FALSE))</f>
        <v>-0.40479022619704474</v>
      </c>
      <c r="J486" s="37">
        <f t="shared" si="44"/>
        <v>-4.9364661731346919E-3</v>
      </c>
      <c r="K486" s="183">
        <f>IF(Settings!$E$18="C/LW/RW",VLOOKUP(B486,RW!A1:F189,6,FALSE),VLOOKUP(B486,F!A1:F431,6,FALSE))</f>
        <v>-6.6850489452081252</v>
      </c>
      <c r="L486" s="36">
        <f t="shared" si="45"/>
        <v>-1.1884531458147778</v>
      </c>
      <c r="M486" s="52" t="str">
        <f>IF(Settings!$E$9="YAHOO",VLOOKUP(B486,ADP!A1:E731,2,FALSE),IF(Settings!$E$9="ESPN",VLOOKUP(B486,ADP!A1:E731,3,FALSE),IF(Settings!$E$9="FANTRAX",VLOOKUP(B486,ADP!A1:E731,4,FALSE),VLOOKUP(B486,ADP!A1:E731,5,FALSE))))</f>
        <v>-</v>
      </c>
      <c r="N486" s="52" t="str">
        <f t="shared" si="46"/>
        <v>N/A</v>
      </c>
      <c r="O486" s="38"/>
      <c r="P486" s="39" t="str">
        <f>IF(Settings!$E$27="ON",_xlfn.XLOOKUP(B486,ADP!A2:A731,ADP!H2:H731)," ")</f>
        <v xml:space="preserve"> </v>
      </c>
      <c r="Q486" s="40">
        <f>IF(Settings!$E$12="YES",VLOOKUP(B486,'Player Data'!A1:E734,5,FALSE),82)</f>
        <v>82</v>
      </c>
      <c r="R486" s="38">
        <f>VLOOKUP(B486,'Player Data'!$A1:$AE734,6,FALSE)</f>
        <v>16.858716608083899</v>
      </c>
      <c r="S486" s="40">
        <f>VLOOKUP(B486,'Player Data'!$A1:$AE734,7,FALSE)*$Q486*IFERROR((VLOOKUP(P486,Settings!$E$28:$F$33,2,FALSE)+1),1)</f>
        <v>13.261247132905526</v>
      </c>
      <c r="T486" s="40">
        <f>VLOOKUP(B486,'Player Data'!$A1:$AE734,8,FALSE)*$Q486*IFERROR((VLOOKUP(P486,Settings!$E$28:$F$33,2,FALSE)+1),1)</f>
        <v>29.391482182351009</v>
      </c>
      <c r="U486" s="40">
        <f t="shared" si="47"/>
        <v>42.652729315256536</v>
      </c>
      <c r="V486" s="40">
        <f>VLOOKUP(B486,'Player Data'!$A1:$AE734,10,FALSE)*$Q486*IFERROR(((VLOOKUP(P486,Settings!$E$28:$F$33,2,FALSE)/2)+1),1)</f>
        <v>131.79742493821405</v>
      </c>
      <c r="W486" s="40">
        <f>VLOOKUP(B486,'Player Data'!$A1:$AE734,11,FALSE)*$Q486*IFERROR((VLOOKUP(P486,Settings!$E$28:$F$33,2,FALSE)+1),1)</f>
        <v>0.7437218501284476</v>
      </c>
      <c r="X486" s="40">
        <f>VLOOKUP(B486,'Player Data'!$A1:$AE734,12,FALSE)*$Q486*IFERROR((VLOOKUP(P486,Settings!$E$28:$F$33,2,FALSE)+1),1)</f>
        <v>2.1335573330442261</v>
      </c>
      <c r="Y486" s="40">
        <f>VLOOKUP(B486,'Player Data'!$A1:$AE734,13,FALSE)*$Q486</f>
        <v>0.82342189404477639</v>
      </c>
      <c r="Z486" s="40">
        <f>VLOOKUP(B486,'Player Data'!$A1:$AE734,14,FALSE)*$Q486</f>
        <v>1.3046037626825389</v>
      </c>
      <c r="AA486" s="40">
        <f>VLOOKUP(B486,'Player Data'!$A1:$AE734,15,FALSE)*$Q486</f>
        <v>45.945083416107167</v>
      </c>
      <c r="AB486" s="40">
        <f>VLOOKUP(B486,'Player Data'!$A1:$AE734,16,FALSE)*$Q486</f>
        <v>43.355645758046336</v>
      </c>
      <c r="AC486" s="40">
        <f>VLOOKUP(B486,'Player Data'!$A1:$AE734,17,FALSE)*$Q486*IFERROR((VLOOKUP(P486,Settings!$E$28:$F$33,2,FALSE)+1),1)</f>
        <v>-2.1169908146432763</v>
      </c>
      <c r="AD486" s="40">
        <f>VLOOKUP(B486,'Player Data'!$A1:$AE734,18,FALSE)*$Q486</f>
        <v>23.728687478646787</v>
      </c>
      <c r="AE486" s="40">
        <f>VLOOKUP(B486,'Player Data'!$A1:$AE734,19,FALSE)*$Q486*IFERROR((VLOOKUP(P486,Settings!$E$28:$F$33,2,FALSE)+1),1)</f>
        <v>1.7549385411886129</v>
      </c>
      <c r="AF486" s="40">
        <f>VLOOKUP(B486,'Player Data'!$A1:$AE734,20,FALSE)*$Q486</f>
        <v>537.76670060461322</v>
      </c>
      <c r="AG486" s="40">
        <f>VLOOKUP(B486,'Player Data'!$A1:$AE734,21,FALSE)*$Q486</f>
        <v>504.60159806546028</v>
      </c>
      <c r="AH486" s="41">
        <f>VLOOKUP(B486,'Player Data'!$A1:$AE734,22,FALSE)</f>
        <v>0.51590853375983703</v>
      </c>
      <c r="AI486" s="38"/>
      <c r="AJ486" s="42"/>
      <c r="AK486" s="40"/>
      <c r="AL486" s="40"/>
      <c r="AM486" s="40"/>
      <c r="AN486" s="40"/>
      <c r="AO486" s="40"/>
      <c r="AP486" s="40"/>
      <c r="AQ486" s="43"/>
      <c r="AR486" s="44"/>
      <c r="AS486" s="38"/>
    </row>
    <row r="487" spans="1:45" ht="21.2" customHeight="1">
      <c r="A487" s="181">
        <f t="shared" si="43"/>
        <v>486</v>
      </c>
      <c r="B487" s="8" t="s">
        <v>534</v>
      </c>
      <c r="C487" s="31" t="s">
        <v>104</v>
      </c>
      <c r="D487" s="32" t="str">
        <f>VLOOKUP(B487,'Player Data'!A1:D734,4,FALSE)</f>
        <v>D</v>
      </c>
      <c r="E487" s="47">
        <f>VLOOKUP(B487,D!A1:C229,3,FALSE)</f>
        <v>188</v>
      </c>
      <c r="F487" s="34" t="str">
        <f>VLOOKUP(B487,'Player Data'!A1:B734,2,FALSE)</f>
        <v>WPG</v>
      </c>
      <c r="G487" s="9">
        <f>VLOOKUP(B487,'Player Data'!A1:D734,3,FALSE)</f>
        <v>24</v>
      </c>
      <c r="H487" s="35">
        <f>IFERROR(VLOOKUP(B487,ADP!A1:G731,7,FALSE)/1000000,VLOOKUP(B487,ADP!A1:G731,7,FALSE))</f>
        <v>1.4</v>
      </c>
      <c r="I487" s="36">
        <f>IF(Settings!$E$15="POINTS",((R487*Q487)*Settings!$B$12)+(S487*Settings!$B$2)+(T487*Settings!$B$3)+(U487*Settings!$B$4)+(V487*Settings!$B$5)+(X487*Settings!$B$9)+(AA487*Settings!$B$6)+(W487*Settings!$B$8)+(AB487*Settings!$B$7)+(AC487*Settings!$B$14)+(AD487*Settings!$B$15)+(AE487*Settings!$B$16)+(AF487*Settings!$B$17)+(AG487*Settings!$B$18)+(U487*Settings!$B$13)+(Y487*Settings!$B$10)+(Z487*Settings!$B$11),VLOOKUP(B487,'Standard Deviations'!A1:C731,3,FALSE))</f>
        <v>-4.746943927063799</v>
      </c>
      <c r="J487" s="37">
        <f t="shared" si="44"/>
        <v>-5.788956008614389E-2</v>
      </c>
      <c r="K487" s="183">
        <f>VLOOKUP(B487,D!A1:F229,6,FALSE)</f>
        <v>-6.6886844706981101</v>
      </c>
      <c r="L487" s="36">
        <f t="shared" si="45"/>
        <v>-4.7776317647843642</v>
      </c>
      <c r="M487" s="52" t="str">
        <f>IF(Settings!$E$9="YAHOO",VLOOKUP(B487,ADP!A1:E731,2,FALSE),IF(Settings!$E$9="ESPN",VLOOKUP(B487,ADP!A1:E731,3,FALSE),IF(Settings!$E$9="FANTRAX",VLOOKUP(B487,ADP!A1:E731,4,FALSE),VLOOKUP(B487,ADP!A1:E731,5,FALSE))))</f>
        <v>-</v>
      </c>
      <c r="N487" s="52" t="str">
        <f t="shared" si="46"/>
        <v>N/A</v>
      </c>
      <c r="O487" s="38"/>
      <c r="P487" s="39" t="str">
        <f>IF(Settings!$E$27="ON",_xlfn.XLOOKUP(B487,ADP!A2:A731,ADP!H2:H731)," ")</f>
        <v xml:space="preserve"> </v>
      </c>
      <c r="Q487" s="40">
        <f>IF(Settings!$E$12="YES",VLOOKUP(B487,'Player Data'!A1:E734,5,FALSE),82)</f>
        <v>82</v>
      </c>
      <c r="R487" s="38">
        <f>VLOOKUP(B487,'Player Data'!$A1:$AE734,6,FALSE)</f>
        <v>16.6680274090347</v>
      </c>
      <c r="S487" s="40">
        <f>VLOOKUP(B487,'Player Data'!$A1:$AE734,7,FALSE)*$Q487*IFERROR((VLOOKUP(P487,Settings!$E$28:$F$33,2,FALSE)+1),1)</f>
        <v>3.2724596704543489</v>
      </c>
      <c r="T487" s="40">
        <f>VLOOKUP(B487,'Player Data'!$A1:$AE734,8,FALSE)*$Q487*IFERROR((VLOOKUP(P487,Settings!$E$28:$F$33,2,FALSE)+1),1)</f>
        <v>13.526531289919838</v>
      </c>
      <c r="U487" s="40">
        <f t="shared" si="47"/>
        <v>16.798990960374187</v>
      </c>
      <c r="V487" s="40">
        <f>VLOOKUP(B487,'Player Data'!$A1:$AE734,10,FALSE)*$Q487*IFERROR(((VLOOKUP(P487,Settings!$E$28:$F$33,2,FALSE)/2)+1),1)</f>
        <v>78.293007762997291</v>
      </c>
      <c r="W487" s="40">
        <f>VLOOKUP(B487,'Player Data'!$A1:$AE734,11,FALSE)*$Q487*IFERROR((VLOOKUP(P487,Settings!$E$28:$F$33,2,FALSE)+1),1)</f>
        <v>2.9325938291135795E-2</v>
      </c>
      <c r="X487" s="40">
        <f>VLOOKUP(B487,'Player Data'!$A1:$AE734,12,FALSE)*$Q487*IFERROR((VLOOKUP(P487,Settings!$E$28:$F$33,2,FALSE)+1),1)</f>
        <v>0.18056116136241621</v>
      </c>
      <c r="Y487" s="40">
        <f>VLOOKUP(B487,'Player Data'!$A1:$AE734,13,FALSE)*$Q487</f>
        <v>6.1699796301340412E-2</v>
      </c>
      <c r="Z487" s="40">
        <f>VLOOKUP(B487,'Player Data'!$A1:$AE734,14,FALSE)*$Q487</f>
        <v>1.03375024120356</v>
      </c>
      <c r="AA487" s="40">
        <f>VLOOKUP(B487,'Player Data'!$A1:$AE734,15,FALSE)*$Q487</f>
        <v>119.5732458580768</v>
      </c>
      <c r="AB487" s="40">
        <f>VLOOKUP(B487,'Player Data'!$A1:$AE734,16,FALSE)*$Q487</f>
        <v>124.523233163334</v>
      </c>
      <c r="AC487" s="40">
        <f>VLOOKUP(B487,'Player Data'!$A1:$AE734,17,FALSE)*$Q487*IFERROR((VLOOKUP(P487,Settings!$E$28:$F$33,2,FALSE)+1),1)</f>
        <v>2.8117024281494616</v>
      </c>
      <c r="AD487" s="40">
        <f>VLOOKUP(B487,'Player Data'!$A1:$AE734,18,FALSE)*$Q487</f>
        <v>34.576515851253582</v>
      </c>
      <c r="AE487" s="40">
        <f>VLOOKUP(B487,'Player Data'!$A1:$AE734,19,FALSE)*$Q487*IFERROR((VLOOKUP(P487,Settings!$E$28:$F$33,2,FALSE)+1),1)</f>
        <v>0.51051466210904606</v>
      </c>
      <c r="AF487" s="40">
        <f>VLOOKUP(B487,'Player Data'!$A1:$AE734,20,FALSE)*$Q487</f>
        <v>0</v>
      </c>
      <c r="AG487" s="40">
        <f>VLOOKUP(B487,'Player Data'!$A1:$AE734,21,FALSE)*$Q487</f>
        <v>0</v>
      </c>
      <c r="AH487" s="41">
        <f>VLOOKUP(B487,'Player Data'!$A1:$AE734,22,FALSE)</f>
        <v>0</v>
      </c>
      <c r="AI487" s="38"/>
      <c r="AJ487" s="42"/>
      <c r="AK487" s="40"/>
      <c r="AL487" s="40"/>
      <c r="AM487" s="40"/>
      <c r="AN487" s="40"/>
      <c r="AO487" s="40"/>
      <c r="AP487" s="40"/>
      <c r="AQ487" s="43"/>
      <c r="AR487" s="44"/>
      <c r="AS487" s="38"/>
    </row>
    <row r="488" spans="1:45" ht="21.2" customHeight="1">
      <c r="A488" s="181">
        <f t="shared" si="43"/>
        <v>487</v>
      </c>
      <c r="B488" s="8" t="s">
        <v>612</v>
      </c>
      <c r="C488" s="31" t="s">
        <v>104</v>
      </c>
      <c r="D488" s="32" t="str">
        <f>VLOOKUP(B488,'Player Data'!A1:D734,4,FALSE)</f>
        <v>D</v>
      </c>
      <c r="E488" s="47">
        <f>VLOOKUP(B488,D!A1:C229,3,FALSE)</f>
        <v>189</v>
      </c>
      <c r="F488" s="34" t="str">
        <f>VLOOKUP(B488,'Player Data'!A1:B734,2,FALSE)</f>
        <v>ANA</v>
      </c>
      <c r="G488" s="9">
        <f>VLOOKUP(B488,'Player Data'!A1:D734,3,FALSE)</f>
        <v>24</v>
      </c>
      <c r="H488" s="35">
        <f>IFERROR(VLOOKUP(B488,ADP!A1:G731,7,FALSE)/1000000,VLOOKUP(B488,ADP!A1:G731,7,FALSE))</f>
        <v>0.85</v>
      </c>
      <c r="I488" s="36">
        <f>IF(Settings!$E$15="POINTS",((R488*Q488)*Settings!$B$12)+(S488*Settings!$B$2)+(T488*Settings!$B$3)+(U488*Settings!$B$4)+(V488*Settings!$B$5)+(X488*Settings!$B$9)+(AA488*Settings!$B$6)+(W488*Settings!$B$8)+(AB488*Settings!$B$7)+(AC488*Settings!$B$14)+(AD488*Settings!$B$15)+(AE488*Settings!$B$16)+(AF488*Settings!$B$17)+(AG488*Settings!$B$18)+(U488*Settings!$B$13)+(Y488*Settings!$B$10)+(Z488*Settings!$B$11),VLOOKUP(B488,'Standard Deviations'!A1:C731,3,FALSE))</f>
        <v>-4.7745501415659293</v>
      </c>
      <c r="J488" s="37">
        <f t="shared" si="44"/>
        <v>-5.8226221238608891E-2</v>
      </c>
      <c r="K488" s="183">
        <f>VLOOKUP(B488,D!A1:F229,6,FALSE)</f>
        <v>-6.7162906852002404</v>
      </c>
      <c r="L488" s="36">
        <f t="shared" si="45"/>
        <v>-7.9015184531767533</v>
      </c>
      <c r="M488" s="52" t="str">
        <f>IF(Settings!$E$9="YAHOO",VLOOKUP(B488,ADP!A1:E731,2,FALSE),IF(Settings!$E$9="ESPN",VLOOKUP(B488,ADP!A1:E731,3,FALSE),IF(Settings!$E$9="FANTRAX",VLOOKUP(B488,ADP!A1:E731,4,FALSE),VLOOKUP(B488,ADP!A1:E731,5,FALSE))))</f>
        <v>-</v>
      </c>
      <c r="N488" s="52" t="str">
        <f t="shared" si="46"/>
        <v>N/A</v>
      </c>
      <c r="O488" s="38"/>
      <c r="P488" s="39" t="str">
        <f>IF(Settings!$E$27="ON",_xlfn.XLOOKUP(B488,ADP!A2:A731,ADP!H2:H731)," ")</f>
        <v xml:space="preserve"> </v>
      </c>
      <c r="Q488" s="40">
        <f>IF(Settings!$E$12="YES",VLOOKUP(B488,'Player Data'!A1:E734,5,FALSE),82)</f>
        <v>82</v>
      </c>
      <c r="R488" s="38">
        <f>VLOOKUP(B488,'Player Data'!$A1:$AE734,6,FALSE)</f>
        <v>16.499399728061999</v>
      </c>
      <c r="S488" s="40">
        <f>VLOOKUP(B488,'Player Data'!$A1:$AE734,7,FALSE)*$Q488*IFERROR((VLOOKUP(P488,Settings!$E$28:$F$33,2,FALSE)+1),1)</f>
        <v>1.8536252264151718</v>
      </c>
      <c r="T488" s="40">
        <f>VLOOKUP(B488,'Player Data'!$A1:$AE734,8,FALSE)*$Q488*IFERROR((VLOOKUP(P488,Settings!$E$28:$F$33,2,FALSE)+1),1)</f>
        <v>13.222739654751029</v>
      </c>
      <c r="U488" s="40">
        <f t="shared" si="47"/>
        <v>15.076364881166201</v>
      </c>
      <c r="V488" s="40">
        <f>VLOOKUP(B488,'Player Data'!$A1:$AE734,10,FALSE)*$Q488*IFERROR(((VLOOKUP(P488,Settings!$E$28:$F$33,2,FALSE)/2)+1),1)</f>
        <v>90.446922824427261</v>
      </c>
      <c r="W488" s="40">
        <f>VLOOKUP(B488,'Player Data'!$A1:$AE734,11,FALSE)*$Q488*IFERROR((VLOOKUP(P488,Settings!$E$28:$F$33,2,FALSE)+1),1)</f>
        <v>2.4759466545707199E-2</v>
      </c>
      <c r="X488" s="40">
        <f>VLOOKUP(B488,'Player Data'!$A1:$AE734,12,FALSE)*$Q488*IFERROR((VLOOKUP(P488,Settings!$E$28:$F$33,2,FALSE)+1),1)</f>
        <v>0.20468643756266025</v>
      </c>
      <c r="Y488" s="40">
        <f>VLOOKUP(B488,'Player Data'!$A1:$AE734,13,FALSE)*$Q488</f>
        <v>2.8172973135155707E-2</v>
      </c>
      <c r="Z488" s="40">
        <f>VLOOKUP(B488,'Player Data'!$A1:$AE734,14,FALSE)*$Q488</f>
        <v>0.12661294730467898</v>
      </c>
      <c r="AA488" s="40">
        <f>VLOOKUP(B488,'Player Data'!$A1:$AE734,15,FALSE)*$Q488</f>
        <v>91.528253608056815</v>
      </c>
      <c r="AB488" s="40">
        <f>VLOOKUP(B488,'Player Data'!$A1:$AE734,16,FALSE)*$Q488</f>
        <v>85.168159387639932</v>
      </c>
      <c r="AC488" s="40">
        <f>VLOOKUP(B488,'Player Data'!$A1:$AE734,17,FALSE)*$Q488*IFERROR((VLOOKUP(P488,Settings!$E$28:$F$33,2,FALSE)+1),1)</f>
        <v>-10.900051881952132</v>
      </c>
      <c r="AD488" s="40">
        <f>VLOOKUP(B488,'Player Data'!$A1:$AE734,18,FALSE)*$Q488</f>
        <v>21.099855381355532</v>
      </c>
      <c r="AE488" s="40">
        <f>VLOOKUP(B488,'Player Data'!$A1:$AE734,19,FALSE)*$Q488*IFERROR((VLOOKUP(P488,Settings!$E$28:$F$33,2,FALSE)+1),1)</f>
        <v>0.17769412265877177</v>
      </c>
      <c r="AF488" s="40">
        <f>VLOOKUP(B488,'Player Data'!$A1:$AE734,20,FALSE)*$Q488</f>
        <v>0</v>
      </c>
      <c r="AG488" s="40">
        <f>VLOOKUP(B488,'Player Data'!$A1:$AE734,21,FALSE)*$Q488</f>
        <v>0</v>
      </c>
      <c r="AH488" s="41">
        <f>VLOOKUP(B488,'Player Data'!$A1:$AE734,22,FALSE)</f>
        <v>0</v>
      </c>
      <c r="AI488" s="38"/>
      <c r="AJ488" s="42"/>
      <c r="AK488" s="40"/>
      <c r="AL488" s="40"/>
      <c r="AM488" s="40"/>
      <c r="AN488" s="40"/>
      <c r="AO488" s="40"/>
      <c r="AP488" s="40"/>
      <c r="AQ488" s="43"/>
      <c r="AR488" s="44"/>
      <c r="AS488" s="38"/>
    </row>
    <row r="489" spans="1:45" ht="21.2" customHeight="1">
      <c r="A489" s="181">
        <f t="shared" si="43"/>
        <v>488</v>
      </c>
      <c r="B489" s="8" t="s">
        <v>456</v>
      </c>
      <c r="C489" s="31" t="s">
        <v>104</v>
      </c>
      <c r="D489" s="32" t="str">
        <f>VLOOKUP(B489,'Player Data'!A1:D734,4,FALSE)</f>
        <v>C,RW</v>
      </c>
      <c r="E489" s="45">
        <f>VLOOKUP(B489,RW!A1:F189,3,FALSE)</f>
        <v>110</v>
      </c>
      <c r="F489" s="34" t="str">
        <f>VLOOKUP(B489,'Player Data'!A1:B734,2,FALSE)</f>
        <v>SJS</v>
      </c>
      <c r="G489" s="9">
        <f>VLOOKUP(B489,'Player Data'!A1:D734,3,FALSE)</f>
        <v>31</v>
      </c>
      <c r="H489" s="35">
        <f>IFERROR(VLOOKUP(B489,ADP!A1:G731,7,FALSE)/1000000,VLOOKUP(B489,ADP!A1:G731,7,FALSE))</f>
        <v>5</v>
      </c>
      <c r="I489" s="36">
        <f>IF(Settings!$E$15="POINTS",((R489*Q489)*Settings!$B$12)+(S489*Settings!$B$2)+(T489*Settings!$B$3)+(U489*Settings!$B$4)+(V489*Settings!$B$5)+(X489*Settings!$B$9)+(AA489*Settings!$B$6)+(W489*Settings!$B$8)+(AB489*Settings!$B$7)+(AC489*Settings!$B$14)+(AD489*Settings!$B$15)+(AE489*Settings!$B$16)+(AF489*Settings!$B$17)+(AG489*Settings!$B$18)+(Y489*Settings!$B$10)+(Z489*Settings!$B$11),VLOOKUP(B489,'Standard Deviations'!A1:C731,3,FALSE))</f>
        <v>-0.45567638894215978</v>
      </c>
      <c r="J489" s="37">
        <f t="shared" si="44"/>
        <v>-5.5570291334409733E-3</v>
      </c>
      <c r="K489" s="183">
        <f>IF(Settings!$E$18="C/LW/RW",VLOOKUP(B489,RW!A1:F189,6,FALSE),VLOOKUP(B489,F!A1:F431,6,FALSE))</f>
        <v>-6.7359351079532406</v>
      </c>
      <c r="L489" s="36">
        <f t="shared" si="45"/>
        <v>-1.3471870215906481</v>
      </c>
      <c r="M489" s="52" t="str">
        <f>IF(Settings!$E$9="YAHOO",VLOOKUP(B489,ADP!A1:E731,2,FALSE),IF(Settings!$E$9="ESPN",VLOOKUP(B489,ADP!A1:E731,3,FALSE),IF(Settings!$E$9="FANTRAX",VLOOKUP(B489,ADP!A1:E731,4,FALSE),VLOOKUP(B489,ADP!A1:E731,5,FALSE))))</f>
        <v>-</v>
      </c>
      <c r="N489" s="52" t="str">
        <f t="shared" si="46"/>
        <v>N/A</v>
      </c>
      <c r="O489" s="38"/>
      <c r="P489" s="39" t="str">
        <f>IF(Settings!$E$27="ON",_xlfn.XLOOKUP(B489,ADP!A2:A731,ADP!H2:H731)," ")</f>
        <v xml:space="preserve"> </v>
      </c>
      <c r="Q489" s="40">
        <f>IF(Settings!$E$12="YES",VLOOKUP(B489,'Player Data'!A1:E734,5,FALSE),82)</f>
        <v>82</v>
      </c>
      <c r="R489" s="38">
        <f>VLOOKUP(B489,'Player Data'!$A1:$AE734,6,FALSE)</f>
        <v>16.121150196768699</v>
      </c>
      <c r="S489" s="40">
        <f>VLOOKUP(B489,'Player Data'!$A1:$AE734,7,FALSE)*$Q489*IFERROR((VLOOKUP(P489,Settings!$E$28:$F$33,2,FALSE)+1),1)</f>
        <v>10.248415348708336</v>
      </c>
      <c r="T489" s="40">
        <f>VLOOKUP(B489,'Player Data'!$A1:$AE734,8,FALSE)*$Q489*IFERROR((VLOOKUP(P489,Settings!$E$28:$F$33,2,FALSE)+1),1)</f>
        <v>28.892351434321526</v>
      </c>
      <c r="U489" s="40">
        <f t="shared" si="47"/>
        <v>39.140766783029861</v>
      </c>
      <c r="V489" s="40">
        <f>VLOOKUP(B489,'Player Data'!$A1:$AE734,10,FALSE)*$Q489*IFERROR(((VLOOKUP(P489,Settings!$E$28:$F$33,2,FALSE)/2)+1),1)</f>
        <v>112.72665484032396</v>
      </c>
      <c r="W489" s="40">
        <f>VLOOKUP(B489,'Player Data'!$A1:$AE734,11,FALSE)*$Q489*IFERROR((VLOOKUP(P489,Settings!$E$28:$F$33,2,FALSE)+1),1)</f>
        <v>1.6245336998360038</v>
      </c>
      <c r="X489" s="40">
        <f>VLOOKUP(B489,'Player Data'!$A1:$AE734,12,FALSE)*$Q489*IFERROR((VLOOKUP(P489,Settings!$E$28:$F$33,2,FALSE)+1),1)</f>
        <v>9.6088128617613311</v>
      </c>
      <c r="Y489" s="40">
        <f>VLOOKUP(B489,'Player Data'!$A1:$AE734,13,FALSE)*$Q489</f>
        <v>-1.2365394744177138E-2</v>
      </c>
      <c r="Z489" s="40">
        <f>VLOOKUP(B489,'Player Data'!$A1:$AE734,14,FALSE)*$Q489</f>
        <v>-6.8196012644468076E-2</v>
      </c>
      <c r="AA489" s="40">
        <f>VLOOKUP(B489,'Player Data'!$A1:$AE734,15,FALSE)*$Q489</f>
        <v>50.677342580916331</v>
      </c>
      <c r="AB489" s="40">
        <f>VLOOKUP(B489,'Player Data'!$A1:$AE734,16,FALSE)*$Q489</f>
        <v>78.242296492624462</v>
      </c>
      <c r="AC489" s="40">
        <f>VLOOKUP(B489,'Player Data'!$A1:$AE734,17,FALSE)*$Q489*IFERROR((VLOOKUP(P489,Settings!$E$28:$F$33,2,FALSE)+1),1)</f>
        <v>-0.57062739176868693</v>
      </c>
      <c r="AD489" s="40">
        <f>VLOOKUP(B489,'Player Data'!$A1:$AE734,18,FALSE)*$Q489</f>
        <v>23.460466018937733</v>
      </c>
      <c r="AE489" s="40">
        <f>VLOOKUP(B489,'Player Data'!$A1:$AE734,19,FALSE)*$Q489*IFERROR((VLOOKUP(P489,Settings!$E$28:$F$33,2,FALSE)+1),1)</f>
        <v>1.6450758718880798</v>
      </c>
      <c r="AF489" s="40">
        <f>VLOOKUP(B489,'Player Data'!$A1:$AE734,20,FALSE)*$Q489</f>
        <v>231.91299323542307</v>
      </c>
      <c r="AG489" s="40">
        <f>VLOOKUP(B489,'Player Data'!$A1:$AE734,21,FALSE)*$Q489</f>
        <v>262.83833856358899</v>
      </c>
      <c r="AH489" s="41">
        <f>VLOOKUP(B489,'Player Data'!$A1:$AE734,22,FALSE)</f>
        <v>0.46874657697664401</v>
      </c>
      <c r="AI489" s="38"/>
      <c r="AJ489" s="42"/>
      <c r="AK489" s="40"/>
      <c r="AL489" s="40"/>
      <c r="AM489" s="40"/>
      <c r="AN489" s="40"/>
      <c r="AO489" s="40"/>
      <c r="AP489" s="40"/>
      <c r="AQ489" s="43"/>
      <c r="AR489" s="44"/>
      <c r="AS489" s="38"/>
    </row>
    <row r="490" spans="1:45" ht="21.2" customHeight="1">
      <c r="A490" s="181">
        <f t="shared" si="43"/>
        <v>489</v>
      </c>
      <c r="B490" s="8" t="s">
        <v>502</v>
      </c>
      <c r="C490" s="31" t="s">
        <v>104</v>
      </c>
      <c r="D490" s="32" t="str">
        <f>VLOOKUP(B490,'Player Data'!A1:D734,4,FALSE)</f>
        <v>RW</v>
      </c>
      <c r="E490" s="46">
        <f>VLOOKUP(B490,RW!A1:F189,3,FALSE)</f>
        <v>111</v>
      </c>
      <c r="F490" s="34" t="str">
        <f>VLOOKUP(B490,'Player Data'!A1:B734,2,FALSE)</f>
        <v>STL</v>
      </c>
      <c r="G490" s="9">
        <f>VLOOKUP(B490,'Player Data'!A1:D734,3,FALSE)</f>
        <v>27</v>
      </c>
      <c r="H490" s="35">
        <f>IFERROR(VLOOKUP(B490,ADP!A1:G731,7,FALSE)/1000000,VLOOKUP(B490,ADP!A1:G731,7,FALSE))</f>
        <v>3.2</v>
      </c>
      <c r="I490" s="36">
        <f>IF(Settings!$E$15="POINTS",((R490*Q490)*Settings!$B$12)+(S490*Settings!$B$2)+(T490*Settings!$B$3)+(U490*Settings!$B$4)+(V490*Settings!$B$5)+(X490*Settings!$B$9)+(AA490*Settings!$B$6)+(W490*Settings!$B$8)+(AB490*Settings!$B$7)+(AC490*Settings!$B$14)+(AD490*Settings!$B$15)+(AE490*Settings!$B$16)+(AF490*Settings!$B$17)+(AG490*Settings!$B$18)+(Y490*Settings!$B$10)+(Z490*Settings!$B$11),VLOOKUP(B490,'Standard Deviations'!A1:C731,3,FALSE))</f>
        <v>-0.45919423271548199</v>
      </c>
      <c r="J490" s="37">
        <f t="shared" si="44"/>
        <v>-5.5999296672619757E-3</v>
      </c>
      <c r="K490" s="183">
        <f>IF(Settings!$E$18="C/LW/RW",VLOOKUP(B490,RW!A1:F189,6,FALSE),VLOOKUP(B490,F!A1:F431,6,FALSE))</f>
        <v>-6.7394529517265624</v>
      </c>
      <c r="L490" s="36">
        <f t="shared" si="45"/>
        <v>-2.1060790474145508</v>
      </c>
      <c r="M490" s="38">
        <f>IF(Settings!$E$9="YAHOO",VLOOKUP(B490,ADP!A1:E731,2,FALSE),IF(Settings!$E$9="ESPN",VLOOKUP(B490,ADP!A1:E731,3,FALSE),IF(Settings!$E$9="FANTRAX",VLOOKUP(B490,ADP!A1:E731,4,FALSE),VLOOKUP(B490,ADP!A1:E731,5,FALSE))))</f>
        <v>448.52</v>
      </c>
      <c r="N490" s="38">
        <f t="shared" si="46"/>
        <v>-40.480000000000018</v>
      </c>
      <c r="O490" s="38"/>
      <c r="P490" s="39" t="str">
        <f>IF(Settings!$E$27="ON",_xlfn.XLOOKUP(B490,ADP!A2:A731,ADP!H2:H731)," ")</f>
        <v xml:space="preserve"> </v>
      </c>
      <c r="Q490" s="40">
        <f>IF(Settings!$E$12="YES",VLOOKUP(B490,'Player Data'!A1:E734,5,FALSE),82)</f>
        <v>82</v>
      </c>
      <c r="R490" s="38">
        <f>VLOOKUP(B490,'Player Data'!$A1:$AE734,6,FALSE)</f>
        <v>13.9940849690036</v>
      </c>
      <c r="S490" s="40">
        <f>VLOOKUP(B490,'Player Data'!$A1:$AE734,7,FALSE)*$Q490*IFERROR((VLOOKUP(P490,Settings!$E$28:$F$33,2,FALSE)+1),1)</f>
        <v>15.435373453631794</v>
      </c>
      <c r="T490" s="40">
        <f>VLOOKUP(B490,'Player Data'!$A1:$AE734,8,FALSE)*$Q490*IFERROR((VLOOKUP(P490,Settings!$E$28:$F$33,2,FALSE)+1),1)</f>
        <v>22.622047858732326</v>
      </c>
      <c r="U490" s="40">
        <f t="shared" si="47"/>
        <v>38.05742131236412</v>
      </c>
      <c r="V490" s="40">
        <f>VLOOKUP(B490,'Player Data'!$A1:$AE734,10,FALSE)*$Q490*IFERROR(((VLOOKUP(P490,Settings!$E$28:$F$33,2,FALSE)/2)+1),1)</f>
        <v>138.39216799184604</v>
      </c>
      <c r="W490" s="40">
        <f>VLOOKUP(B490,'Player Data'!$A1:$AE734,11,FALSE)*$Q490*IFERROR((VLOOKUP(P490,Settings!$E$28:$F$33,2,FALSE)+1),1)</f>
        <v>1.8083801247472937</v>
      </c>
      <c r="X490" s="40">
        <f>VLOOKUP(B490,'Player Data'!$A1:$AE734,12,FALSE)*$Q490*IFERROR((VLOOKUP(P490,Settings!$E$28:$F$33,2,FALSE)+1),1)</f>
        <v>5.332080252750278</v>
      </c>
      <c r="Y490" s="40">
        <f>VLOOKUP(B490,'Player Data'!$A1:$AE734,13,FALSE)*$Q490</f>
        <v>0.85194306759837235</v>
      </c>
      <c r="Z490" s="40">
        <f>VLOOKUP(B490,'Player Data'!$A1:$AE734,14,FALSE)*$Q490</f>
        <v>0.98679692580814982</v>
      </c>
      <c r="AA490" s="40">
        <f>VLOOKUP(B490,'Player Data'!$A1:$AE734,15,FALSE)*$Q490</f>
        <v>25.86056568380021</v>
      </c>
      <c r="AB490" s="40">
        <f>VLOOKUP(B490,'Player Data'!$A1:$AE734,16,FALSE)*$Q490</f>
        <v>118.2418546393956</v>
      </c>
      <c r="AC490" s="40">
        <f>VLOOKUP(B490,'Player Data'!$A1:$AE734,17,FALSE)*$Q490*IFERROR((VLOOKUP(P490,Settings!$E$28:$F$33,2,FALSE)+1),1)</f>
        <v>-4.410430701032352</v>
      </c>
      <c r="AD490" s="40">
        <f>VLOOKUP(B490,'Player Data'!$A1:$AE734,18,FALSE)*$Q490</f>
        <v>20.641898884935788</v>
      </c>
      <c r="AE490" s="40">
        <f>VLOOKUP(B490,'Player Data'!$A1:$AE734,19,FALSE)*$Q490*IFERROR((VLOOKUP(P490,Settings!$E$28:$F$33,2,FALSE)+1),1)</f>
        <v>1.7761905875643922</v>
      </c>
      <c r="AF490" s="40">
        <f>VLOOKUP(B490,'Player Data'!$A1:$AE734,20,FALSE)*$Q490</f>
        <v>24.630763873476926</v>
      </c>
      <c r="AG490" s="40">
        <f>VLOOKUP(B490,'Player Data'!$A1:$AE734,21,FALSE)*$Q490</f>
        <v>49.316076281788263</v>
      </c>
      <c r="AH490" s="41">
        <f>VLOOKUP(B490,'Player Data'!$A1:$AE734,22,FALSE)</f>
        <v>0.33308744257036599</v>
      </c>
      <c r="AI490" s="38"/>
      <c r="AJ490" s="40"/>
      <c r="AK490" s="40"/>
      <c r="AL490" s="40"/>
      <c r="AM490" s="40"/>
      <c r="AN490" s="40"/>
      <c r="AO490" s="40"/>
      <c r="AP490" s="40"/>
      <c r="AQ490" s="43"/>
      <c r="AR490" s="44"/>
      <c r="AS490" s="38"/>
    </row>
    <row r="491" spans="1:45" ht="21.2" customHeight="1">
      <c r="A491" s="181">
        <f t="shared" si="43"/>
        <v>490</v>
      </c>
      <c r="B491" s="8" t="s">
        <v>521</v>
      </c>
      <c r="C491" s="31" t="s">
        <v>104</v>
      </c>
      <c r="D491" s="32" t="str">
        <f>VLOOKUP(B491,'Player Data'!A1:D734,4,FALSE)</f>
        <v>D</v>
      </c>
      <c r="E491" s="47">
        <f>VLOOKUP(B491,D!A1:C229,3,FALSE)</f>
        <v>190</v>
      </c>
      <c r="F491" s="34" t="str">
        <f>VLOOKUP(B491,'Player Data'!A1:B734,2,FALSE)</f>
        <v>SJS</v>
      </c>
      <c r="G491" s="9">
        <f>VLOOKUP(B491,'Player Data'!A1:D734,3,FALSE)</f>
        <v>36</v>
      </c>
      <c r="H491" s="35">
        <f>IFERROR(VLOOKUP(B491,ADP!A1:G731,7,FALSE)/1000000,VLOOKUP(B491,ADP!A1:G731,7,FALSE))</f>
        <v>7</v>
      </c>
      <c r="I491" s="36">
        <f>IF(Settings!$E$15="POINTS",((R491*Q491)*Settings!$B$12)+(S491*Settings!$B$2)+(T491*Settings!$B$3)+(U491*Settings!$B$4)+(V491*Settings!$B$5)+(X491*Settings!$B$9)+(AA491*Settings!$B$6)+(W491*Settings!$B$8)+(AB491*Settings!$B$7)+(AC491*Settings!$B$14)+(AD491*Settings!$B$15)+(AE491*Settings!$B$16)+(AF491*Settings!$B$17)+(AG491*Settings!$B$18)+(U491*Settings!$B$13)+(Y491*Settings!$B$10)+(Z491*Settings!$B$11),VLOOKUP(B491,'Standard Deviations'!A1:C731,3,FALSE))</f>
        <v>-4.8077912979192066</v>
      </c>
      <c r="J491" s="37">
        <f t="shared" si="44"/>
        <v>-5.8631601194136664E-2</v>
      </c>
      <c r="K491" s="183">
        <f>VLOOKUP(B491,D!A1:F229,6,FALSE)</f>
        <v>-6.7495318415535177</v>
      </c>
      <c r="L491" s="36">
        <f t="shared" si="45"/>
        <v>-0.96421883450764534</v>
      </c>
      <c r="M491" s="52" t="str">
        <f>IF(Settings!$E$9="YAHOO",VLOOKUP(B491,ADP!A1:E731,2,FALSE),IF(Settings!$E$9="ESPN",VLOOKUP(B491,ADP!A1:E731,3,FALSE),IF(Settings!$E$9="FANTRAX",VLOOKUP(B491,ADP!A1:E731,4,FALSE),VLOOKUP(B491,ADP!A1:E731,5,FALSE))))</f>
        <v>-</v>
      </c>
      <c r="N491" s="52" t="str">
        <f t="shared" si="46"/>
        <v>N/A</v>
      </c>
      <c r="O491" s="38"/>
      <c r="P491" s="39" t="str">
        <f>IF(Settings!$E$27="ON",_xlfn.XLOOKUP(B491,ADP!A2:A731,ADP!H2:H731)," ")</f>
        <v xml:space="preserve"> </v>
      </c>
      <c r="Q491" s="40">
        <f>IF(Settings!$E$12="YES",VLOOKUP(B491,'Player Data'!A1:E734,5,FALSE),82)</f>
        <v>82</v>
      </c>
      <c r="R491" s="38">
        <f>VLOOKUP(B491,'Player Data'!$A1:$AE734,6,FALSE)</f>
        <v>19.120010454026499</v>
      </c>
      <c r="S491" s="40">
        <f>VLOOKUP(B491,'Player Data'!$A1:$AE734,7,FALSE)*$Q491*IFERROR((VLOOKUP(P491,Settings!$E$28:$F$33,2,FALSE)+1),1)</f>
        <v>1.6756735869652288</v>
      </c>
      <c r="T491" s="40">
        <f>VLOOKUP(B491,'Player Data'!$A1:$AE734,8,FALSE)*$Q491*IFERROR((VLOOKUP(P491,Settings!$E$28:$F$33,2,FALSE)+1),1)</f>
        <v>14.358252851664835</v>
      </c>
      <c r="U491" s="40">
        <f t="shared" si="47"/>
        <v>16.033926438630065</v>
      </c>
      <c r="V491" s="40">
        <f>VLOOKUP(B491,'Player Data'!$A1:$AE734,10,FALSE)*$Q491*IFERROR(((VLOOKUP(P491,Settings!$E$28:$F$33,2,FALSE)/2)+1),1)</f>
        <v>82.079134674735542</v>
      </c>
      <c r="W491" s="40">
        <f>VLOOKUP(B491,'Player Data'!$A1:$AE734,11,FALSE)*$Q491*IFERROR((VLOOKUP(P491,Settings!$E$28:$F$33,2,FALSE)+1),1)</f>
        <v>6.1003897454529755E-2</v>
      </c>
      <c r="X491" s="40">
        <f>VLOOKUP(B491,'Player Data'!$A1:$AE734,12,FALSE)*$Q491*IFERROR((VLOOKUP(P491,Settings!$E$28:$F$33,2,FALSE)+1),1)</f>
        <v>0.20073923871879165</v>
      </c>
      <c r="Y491" s="40">
        <f>VLOOKUP(B491,'Player Data'!$A1:$AE734,13,FALSE)*$Q491</f>
        <v>-8.2428302808919246E-2</v>
      </c>
      <c r="Z491" s="40">
        <f>VLOOKUP(B491,'Player Data'!$A1:$AE734,14,FALSE)*$Q491</f>
        <v>-0.38325768778641306</v>
      </c>
      <c r="AA491" s="40">
        <f>VLOOKUP(B491,'Player Data'!$A1:$AE734,15,FALSE)*$Q491</f>
        <v>128.63943118244526</v>
      </c>
      <c r="AB491" s="40">
        <f>VLOOKUP(B491,'Player Data'!$A1:$AE734,16,FALSE)*$Q491</f>
        <v>73.518071279151314</v>
      </c>
      <c r="AC491" s="40">
        <f>VLOOKUP(B491,'Player Data'!$A1:$AE734,17,FALSE)*$Q491*IFERROR((VLOOKUP(P491,Settings!$E$28:$F$33,2,FALSE)+1),1)</f>
        <v>-0.65041387865063638</v>
      </c>
      <c r="AD491" s="40">
        <f>VLOOKUP(B491,'Player Data'!$A1:$AE734,18,FALSE)*$Q491</f>
        <v>18.11464712636916</v>
      </c>
      <c r="AE491" s="40">
        <f>VLOOKUP(B491,'Player Data'!$A1:$AE734,19,FALSE)*$Q491*IFERROR((VLOOKUP(P491,Settings!$E$28:$F$33,2,FALSE)+1),1)</f>
        <v>0.20804451835697199</v>
      </c>
      <c r="AF491" s="40">
        <f>VLOOKUP(B491,'Player Data'!$A1:$AE734,20,FALSE)*$Q491</f>
        <v>0</v>
      </c>
      <c r="AG491" s="40">
        <f>VLOOKUP(B491,'Player Data'!$A1:$AE734,21,FALSE)*$Q491</f>
        <v>0</v>
      </c>
      <c r="AH491" s="41">
        <f>VLOOKUP(B491,'Player Data'!$A1:$AE734,22,FALSE)</f>
        <v>0</v>
      </c>
      <c r="AI491" s="38"/>
      <c r="AJ491" s="42"/>
      <c r="AK491" s="40"/>
      <c r="AL491" s="40"/>
      <c r="AM491" s="40"/>
      <c r="AN491" s="40"/>
      <c r="AO491" s="40"/>
      <c r="AP491" s="40"/>
      <c r="AQ491" s="43"/>
      <c r="AR491" s="44"/>
      <c r="AS491" s="38"/>
    </row>
    <row r="492" spans="1:45" ht="21.2" customHeight="1">
      <c r="A492" s="181">
        <f t="shared" si="43"/>
        <v>491</v>
      </c>
      <c r="B492" s="8" t="s">
        <v>553</v>
      </c>
      <c r="C492" s="31" t="s">
        <v>104</v>
      </c>
      <c r="D492" s="32" t="str">
        <f>VLOOKUP(B492,'Player Data'!A1:D734,4,FALSE)</f>
        <v>RW</v>
      </c>
      <c r="E492" s="46">
        <f>VLOOKUP(B492,RW!A1:F189,3,FALSE)</f>
        <v>112</v>
      </c>
      <c r="F492" s="34" t="str">
        <f>VLOOKUP(B492,'Player Data'!A1:B734,2,FALSE)</f>
        <v>MTL</v>
      </c>
      <c r="G492" s="9">
        <f>VLOOKUP(B492,'Player Data'!A1:D734,3,FALSE)</f>
        <v>31</v>
      </c>
      <c r="H492" s="35">
        <f>IFERROR(VLOOKUP(B492,ADP!A1:G731,7,FALSE)/1000000,VLOOKUP(B492,ADP!A1:G731,7,FALSE))</f>
        <v>6.5</v>
      </c>
      <c r="I492" s="36">
        <f>IF(Settings!$E$15="POINTS",((R492*Q492)*Settings!$B$12)+(S492*Settings!$B$2)+(T492*Settings!$B$3)+(U492*Settings!$B$4)+(V492*Settings!$B$5)+(X492*Settings!$B$9)+(AA492*Settings!$B$6)+(W492*Settings!$B$8)+(AB492*Settings!$B$7)+(AC492*Settings!$B$14)+(AD492*Settings!$B$15)+(AE492*Settings!$B$16)+(AF492*Settings!$B$17)+(AG492*Settings!$B$18)+(Y492*Settings!$B$10)+(Z492*Settings!$B$11),VLOOKUP(B492,'Standard Deviations'!A1:C731,3,FALSE))</f>
        <v>-0.50048058060842238</v>
      </c>
      <c r="J492" s="37">
        <f t="shared" si="44"/>
        <v>-6.1034217147368586E-3</v>
      </c>
      <c r="K492" s="183">
        <f>IF(Settings!$E$18="C/LW/RW",VLOOKUP(B492,RW!A1:F189,6,FALSE),VLOOKUP(B492,F!A1:F431,6,FALSE))</f>
        <v>-6.7807392996195031</v>
      </c>
      <c r="L492" s="36">
        <f t="shared" si="45"/>
        <v>-1.0431906614799236</v>
      </c>
      <c r="M492" s="38">
        <f>IF(Settings!$E$9="YAHOO",VLOOKUP(B492,ADP!A1:E731,2,FALSE),IF(Settings!$E$9="ESPN",VLOOKUP(B492,ADP!A1:E731,3,FALSE),IF(Settings!$E$9="FANTRAX",VLOOKUP(B492,ADP!A1:E731,4,FALSE),VLOOKUP(B492,ADP!A1:E731,5,FALSE))))</f>
        <v>1190.5999999999999</v>
      </c>
      <c r="N492" s="38">
        <f t="shared" si="46"/>
        <v>699.59999999999991</v>
      </c>
      <c r="O492" s="38"/>
      <c r="P492" s="39" t="str">
        <f>IF(Settings!$E$27="ON",_xlfn.XLOOKUP(B492,ADP!A2:A731,ADP!H2:H731)," ")</f>
        <v xml:space="preserve"> </v>
      </c>
      <c r="Q492" s="40">
        <f>IF(Settings!$E$12="YES",VLOOKUP(B492,'Player Data'!A1:E734,5,FALSE),82)</f>
        <v>82</v>
      </c>
      <c r="R492" s="38">
        <f>VLOOKUP(B492,'Player Data'!$A1:$AE734,6,FALSE)</f>
        <v>13.6606361414098</v>
      </c>
      <c r="S492" s="40">
        <f>VLOOKUP(B492,'Player Data'!$A1:$AE734,7,FALSE)*$Q492*IFERROR((VLOOKUP(P492,Settings!$E$28:$F$33,2,FALSE)+1),1)</f>
        <v>13.803206823651964</v>
      </c>
      <c r="T492" s="40">
        <f>VLOOKUP(B492,'Player Data'!$A1:$AE734,8,FALSE)*$Q492*IFERROR((VLOOKUP(P492,Settings!$E$28:$F$33,2,FALSE)+1),1)</f>
        <v>17.641572990843596</v>
      </c>
      <c r="U492" s="40">
        <f t="shared" si="47"/>
        <v>31.444779814495561</v>
      </c>
      <c r="V492" s="40">
        <f>VLOOKUP(B492,'Player Data'!$A1:$AE734,10,FALSE)*$Q492*IFERROR(((VLOOKUP(P492,Settings!$E$28:$F$33,2,FALSE)/2)+1),1)</f>
        <v>190.95016207981618</v>
      </c>
      <c r="W492" s="40">
        <f>VLOOKUP(B492,'Player Data'!$A1:$AE734,11,FALSE)*$Q492*IFERROR((VLOOKUP(P492,Settings!$E$28:$F$33,2,FALSE)+1),1)</f>
        <v>2.1156884628039894</v>
      </c>
      <c r="X492" s="40">
        <f>VLOOKUP(B492,'Player Data'!$A1:$AE734,12,FALSE)*$Q492*IFERROR((VLOOKUP(P492,Settings!$E$28:$F$33,2,FALSE)+1),1)</f>
        <v>4.1959900658959413</v>
      </c>
      <c r="Y492" s="40">
        <f>VLOOKUP(B492,'Player Data'!$A1:$AE734,13,FALSE)*$Q492</f>
        <v>2.870235298631459E-3</v>
      </c>
      <c r="Z492" s="40">
        <f>VLOOKUP(B492,'Player Data'!$A1:$AE734,14,FALSE)*$Q492</f>
        <v>5.1133332476215728E-3</v>
      </c>
      <c r="AA492" s="40">
        <f>VLOOKUP(B492,'Player Data'!$A1:$AE734,15,FALSE)*$Q492</f>
        <v>33.595522300322862</v>
      </c>
      <c r="AB492" s="40">
        <f>VLOOKUP(B492,'Player Data'!$A1:$AE734,16,FALSE)*$Q492</f>
        <v>63.35175191230087</v>
      </c>
      <c r="AC492" s="40">
        <f>VLOOKUP(B492,'Player Data'!$A1:$AE734,17,FALSE)*$Q492*IFERROR((VLOOKUP(P492,Settings!$E$28:$F$33,2,FALSE)+1),1)</f>
        <v>-5.0880412395123669</v>
      </c>
      <c r="AD492" s="40">
        <f>VLOOKUP(B492,'Player Data'!$A1:$AE734,18,FALSE)*$Q492</f>
        <v>52.550998731683237</v>
      </c>
      <c r="AE492" s="40">
        <f>VLOOKUP(B492,'Player Data'!$A1:$AE734,19,FALSE)*$Q492*IFERROR((VLOOKUP(P492,Settings!$E$28:$F$33,2,FALSE)+1),1)</f>
        <v>1.4140296950462783</v>
      </c>
      <c r="AF492" s="40">
        <f>VLOOKUP(B492,'Player Data'!$A1:$AE734,20,FALSE)*$Q492</f>
        <v>18.203654867853572</v>
      </c>
      <c r="AG492" s="40">
        <f>VLOOKUP(B492,'Player Data'!$A1:$AE734,21,FALSE)*$Q492</f>
        <v>27.244853001042976</v>
      </c>
      <c r="AH492" s="41">
        <f>VLOOKUP(B492,'Player Data'!$A1:$AE734,22,FALSE)</f>
        <v>0.40053360872407401</v>
      </c>
      <c r="AI492" s="38"/>
      <c r="AJ492" s="42"/>
      <c r="AK492" s="40"/>
      <c r="AL492" s="40"/>
      <c r="AM492" s="40"/>
      <c r="AN492" s="40"/>
      <c r="AO492" s="40"/>
      <c r="AP492" s="40"/>
      <c r="AQ492" s="43"/>
      <c r="AR492" s="44"/>
      <c r="AS492" s="38"/>
    </row>
    <row r="493" spans="1:45" ht="21.2" customHeight="1">
      <c r="A493" s="181">
        <f t="shared" si="43"/>
        <v>492</v>
      </c>
      <c r="B493" s="8" t="s">
        <v>640</v>
      </c>
      <c r="C493" s="31" t="s">
        <v>104</v>
      </c>
      <c r="D493" s="32" t="str">
        <f>VLOOKUP(B493,'Player Data'!A1:D734,4,FALSE)</f>
        <v>D</v>
      </c>
      <c r="E493" s="47">
        <f>VLOOKUP(B493,D!A1:C229,3,FALSE)</f>
        <v>191</v>
      </c>
      <c r="F493" s="34" t="str">
        <f>VLOOKUP(B493,'Player Data'!A1:B734,2,FALSE)</f>
        <v>OTT</v>
      </c>
      <c r="G493" s="9">
        <f>VLOOKUP(B493,'Player Data'!A1:D734,3,FALSE)</f>
        <v>23</v>
      </c>
      <c r="H493" s="35">
        <f>IFERROR(VLOOKUP(B493,ADP!A1:G731,7,FALSE)/1000000,VLOOKUP(B493,ADP!A1:G731,7,FALSE))</f>
        <v>0</v>
      </c>
      <c r="I493" s="36">
        <f>IF(Settings!$E$15="POINTS",((R493*Q493)*Settings!$B$12)+(S493*Settings!$B$2)+(T493*Settings!$B$3)+(U493*Settings!$B$4)+(V493*Settings!$B$5)+(X493*Settings!$B$9)+(AA493*Settings!$B$6)+(W493*Settings!$B$8)+(AB493*Settings!$B$7)+(AC493*Settings!$B$14)+(AD493*Settings!$B$15)+(AE493*Settings!$B$16)+(AF493*Settings!$B$17)+(AG493*Settings!$B$18)+(U493*Settings!$B$13)+(Y493*Settings!$B$10)+(Z493*Settings!$B$11),VLOOKUP(B493,'Standard Deviations'!A1:C731,3,FALSE))</f>
        <v>-4.8658027327979472</v>
      </c>
      <c r="J493" s="37">
        <f t="shared" si="44"/>
        <v>-5.9339057717048137E-2</v>
      </c>
      <c r="K493" s="183">
        <f>VLOOKUP(B493,D!A1:F229,6,FALSE)</f>
        <v>-6.8075432764322574</v>
      </c>
      <c r="L493" s="49" t="str">
        <f t="shared" si="45"/>
        <v>N/A</v>
      </c>
      <c r="M493" s="52" t="str">
        <f>IF(Settings!$E$9="YAHOO",VLOOKUP(B493,ADP!A1:E731,2,FALSE),IF(Settings!$E$9="ESPN",VLOOKUP(B493,ADP!A1:E731,3,FALSE),IF(Settings!$E$9="FANTRAX",VLOOKUP(B493,ADP!A1:E731,4,FALSE),VLOOKUP(B493,ADP!A1:E731,5,FALSE))))</f>
        <v>-</v>
      </c>
      <c r="N493" s="52" t="str">
        <f t="shared" si="46"/>
        <v>N/A</v>
      </c>
      <c r="O493" s="38"/>
      <c r="P493" s="39" t="str">
        <f>IF(Settings!$E$27="ON",_xlfn.XLOOKUP(B493,ADP!A2:A731,ADP!H2:H731)," ")</f>
        <v xml:space="preserve"> </v>
      </c>
      <c r="Q493" s="40">
        <f>IF(Settings!$E$12="YES",VLOOKUP(B493,'Player Data'!A1:E734,5,FALSE),82)</f>
        <v>82</v>
      </c>
      <c r="R493" s="38">
        <f>VLOOKUP(B493,'Player Data'!$A1:$AE734,6,FALSE)</f>
        <v>16.016842105263098</v>
      </c>
      <c r="S493" s="40">
        <f>VLOOKUP(B493,'Player Data'!$A1:$AE734,7,FALSE)*$Q493*IFERROR((VLOOKUP(P493,Settings!$E$28:$F$33,2,FALSE)+1),1)</f>
        <v>2.511549821273459</v>
      </c>
      <c r="T493" s="40">
        <f>VLOOKUP(B493,'Player Data'!$A1:$AE734,8,FALSE)*$Q493*IFERROR((VLOOKUP(P493,Settings!$E$28:$F$33,2,FALSE)+1),1)</f>
        <v>11.3481188628139</v>
      </c>
      <c r="U493" s="40">
        <f t="shared" si="47"/>
        <v>13.859668684087358</v>
      </c>
      <c r="V493" s="40">
        <f>VLOOKUP(B493,'Player Data'!$A1:$AE734,10,FALSE)*$Q493*IFERROR(((VLOOKUP(P493,Settings!$E$28:$F$33,2,FALSE)/2)+1),1)</f>
        <v>92.933694268137771</v>
      </c>
      <c r="W493" s="40">
        <f>VLOOKUP(B493,'Player Data'!$A1:$AE734,11,FALSE)*$Q493*IFERROR((VLOOKUP(P493,Settings!$E$28:$F$33,2,FALSE)+1),1)</f>
        <v>2.3184782572436339E-2</v>
      </c>
      <c r="X493" s="40">
        <f>VLOOKUP(B493,'Player Data'!$A1:$AE734,12,FALSE)*$Q493*IFERROR((VLOOKUP(P493,Settings!$E$28:$F$33,2,FALSE)+1),1)</f>
        <v>0.14138165025765922</v>
      </c>
      <c r="Y493" s="40">
        <f>VLOOKUP(B493,'Player Data'!$A1:$AE734,13,FALSE)*$Q493</f>
        <v>3.5928286637930996E-2</v>
      </c>
      <c r="Z493" s="40">
        <f>VLOOKUP(B493,'Player Data'!$A1:$AE734,14,FALSE)*$Q493</f>
        <v>0.15302101738532095</v>
      </c>
      <c r="AA493" s="40">
        <f>VLOOKUP(B493,'Player Data'!$A1:$AE734,15,FALSE)*$Q493</f>
        <v>95.484825593999489</v>
      </c>
      <c r="AB493" s="40">
        <f>VLOOKUP(B493,'Player Data'!$A1:$AE734,16,FALSE)*$Q493</f>
        <v>100.59800015841577</v>
      </c>
      <c r="AC493" s="40">
        <f>VLOOKUP(B493,'Player Data'!$A1:$AE734,17,FALSE)*$Q493*IFERROR((VLOOKUP(P493,Settings!$E$28:$F$33,2,FALSE)+1),1)</f>
        <v>-0.26781558344570272</v>
      </c>
      <c r="AD493" s="40">
        <f>VLOOKUP(B493,'Player Data'!$A1:$AE734,18,FALSE)*$Q493</f>
        <v>37.215852230961481</v>
      </c>
      <c r="AE493" s="40">
        <f>VLOOKUP(B493,'Player Data'!$A1:$AE734,19,FALSE)*$Q493*IFERROR((VLOOKUP(P493,Settings!$E$28:$F$33,2,FALSE)+1),1)</f>
        <v>0.37770170070483128</v>
      </c>
      <c r="AF493" s="40">
        <f>VLOOKUP(B493,'Player Data'!$A1:$AE734,20,FALSE)*$Q493</f>
        <v>0</v>
      </c>
      <c r="AG493" s="40">
        <f>VLOOKUP(B493,'Player Data'!$A1:$AE734,21,FALSE)*$Q493</f>
        <v>0</v>
      </c>
      <c r="AH493" s="41">
        <f>VLOOKUP(B493,'Player Data'!$A1:$AE734,22,FALSE)</f>
        <v>0</v>
      </c>
      <c r="AI493" s="38"/>
      <c r="AJ493" s="42"/>
      <c r="AK493" s="40"/>
      <c r="AL493" s="40"/>
      <c r="AM493" s="40"/>
      <c r="AN493" s="40"/>
      <c r="AO493" s="40"/>
      <c r="AP493" s="40"/>
      <c r="AQ493" s="43"/>
      <c r="AR493" s="44"/>
      <c r="AS493" s="38"/>
    </row>
    <row r="494" spans="1:45" ht="21.2" customHeight="1">
      <c r="A494" s="181">
        <f t="shared" si="43"/>
        <v>493</v>
      </c>
      <c r="B494" s="8" t="s">
        <v>504</v>
      </c>
      <c r="C494" s="31" t="s">
        <v>104</v>
      </c>
      <c r="D494" s="32" t="str">
        <f>VLOOKUP(B494,'Player Data'!A1:D734,4,FALSE)</f>
        <v>LW</v>
      </c>
      <c r="E494" s="48">
        <f>VLOOKUP(B494,LW!A1:C227,3,FALSE)</f>
        <v>114</v>
      </c>
      <c r="F494" s="34" t="str">
        <f>VLOOKUP(B494,'Player Data'!A1:B734,2,FALSE)</f>
        <v>WPG</v>
      </c>
      <c r="G494" s="9">
        <f>VLOOKUP(B494,'Player Data'!A1:D734,3,FALSE)</f>
        <v>29</v>
      </c>
      <c r="H494" s="35">
        <f>IFERROR(VLOOKUP(B494,ADP!A1:G731,7,FALSE)/1000000,VLOOKUP(B494,ADP!A1:G731,7,FALSE))</f>
        <v>4</v>
      </c>
      <c r="I494" s="36">
        <f>IF(Settings!$E$15="POINTS",((R494*Q494)*Settings!$B$12)+(S494*Settings!$B$2)+(T494*Settings!$B$3)+(U494*Settings!$B$4)+(V494*Settings!$B$5)+(X494*Settings!$B$9)+(AA494*Settings!$B$6)+(W494*Settings!$B$8)+(AB494*Settings!$B$7)+(AC494*Settings!$B$14)+(AD494*Settings!$B$15)+(AE494*Settings!$B$16)+(AF494*Settings!$B$17)+(AG494*Settings!$B$18)+(Y494*Settings!$B$10)+(Z494*Settings!$B$11),VLOOKUP(B494,'Standard Deviations'!A1:C731,3,FALSE))</f>
        <v>-0.15644267709479087</v>
      </c>
      <c r="J494" s="37">
        <f t="shared" si="44"/>
        <v>-1.9078375255462301E-3</v>
      </c>
      <c r="K494" s="183">
        <f>IF(Settings!$E$18="C/LW/RW",VLOOKUP(B494,LW!A1:F227,6,FALSE),VLOOKUP(B494,F!A1:F431,6,FALSE))</f>
        <v>-6.8111117212191923</v>
      </c>
      <c r="L494" s="36">
        <f t="shared" si="45"/>
        <v>-1.7027779303047981</v>
      </c>
      <c r="M494" s="52" t="str">
        <f>IF(Settings!$E$9="YAHOO",VLOOKUP(B494,ADP!A1:E731,2,FALSE),IF(Settings!$E$9="ESPN",VLOOKUP(B494,ADP!A1:E731,3,FALSE),IF(Settings!$E$9="FANTRAX",VLOOKUP(B494,ADP!A1:E731,4,FALSE),VLOOKUP(B494,ADP!A1:E731,5,FALSE))))</f>
        <v>-</v>
      </c>
      <c r="N494" s="52" t="str">
        <f t="shared" si="46"/>
        <v>N/A</v>
      </c>
      <c r="O494" s="38"/>
      <c r="P494" s="39" t="str">
        <f>IF(Settings!$E$27="ON",_xlfn.XLOOKUP(B494,ADP!A2:A731,ADP!H2:H731)," ")</f>
        <v xml:space="preserve"> </v>
      </c>
      <c r="Q494" s="40">
        <f>IF(Settings!$E$12="YES",VLOOKUP(B494,'Player Data'!A1:E734,5,FALSE),82)</f>
        <v>82</v>
      </c>
      <c r="R494" s="38">
        <f>VLOOKUP(B494,'Player Data'!$A1:$AE734,6,FALSE)</f>
        <v>16.158772970752398</v>
      </c>
      <c r="S494" s="40">
        <f>VLOOKUP(B494,'Player Data'!$A1:$AE734,7,FALSE)*$Q494*IFERROR((VLOOKUP(P494,Settings!$E$28:$F$33,2,FALSE)+1),1)</f>
        <v>15.353874788883664</v>
      </c>
      <c r="T494" s="40">
        <f>VLOOKUP(B494,'Player Data'!$A1:$AE734,8,FALSE)*$Q494*IFERROR((VLOOKUP(P494,Settings!$E$28:$F$33,2,FALSE)+1),1)</f>
        <v>23.615395406790395</v>
      </c>
      <c r="U494" s="40">
        <f t="shared" si="47"/>
        <v>38.969270195674056</v>
      </c>
      <c r="V494" s="40">
        <f>VLOOKUP(B494,'Player Data'!$A1:$AE734,10,FALSE)*$Q494*IFERROR(((VLOOKUP(P494,Settings!$E$28:$F$33,2,FALSE)/2)+1),1)</f>
        <v>161.61634353469395</v>
      </c>
      <c r="W494" s="40">
        <f>VLOOKUP(B494,'Player Data'!$A1:$AE734,11,FALSE)*$Q494*IFERROR((VLOOKUP(P494,Settings!$E$28:$F$33,2,FALSE)+1),1)</f>
        <v>2.2966587975794694</v>
      </c>
      <c r="X494" s="40">
        <f>VLOOKUP(B494,'Player Data'!$A1:$AE734,12,FALSE)*$Q494*IFERROR((VLOOKUP(P494,Settings!$E$28:$F$33,2,FALSE)+1),1)</f>
        <v>3.4211399616008986</v>
      </c>
      <c r="Y494" s="40">
        <f>VLOOKUP(B494,'Player Data'!$A1:$AE734,13,FALSE)*$Q494</f>
        <v>0.35644348265414544</v>
      </c>
      <c r="Z494" s="40">
        <f>VLOOKUP(B494,'Player Data'!$A1:$AE734,14,FALSE)*$Q494</f>
        <v>0.68060725125530641</v>
      </c>
      <c r="AA494" s="40">
        <f>VLOOKUP(B494,'Player Data'!$A1:$AE734,15,FALSE)*$Q494</f>
        <v>45.36520701279224</v>
      </c>
      <c r="AB494" s="40">
        <f>VLOOKUP(B494,'Player Data'!$A1:$AE734,16,FALSE)*$Q494</f>
        <v>47.261334870405229</v>
      </c>
      <c r="AC494" s="40">
        <f>VLOOKUP(B494,'Player Data'!$A1:$AE734,17,FALSE)*$Q494*IFERROR((VLOOKUP(P494,Settings!$E$28:$F$33,2,FALSE)+1),1)</f>
        <v>2.0826097217332404</v>
      </c>
      <c r="AD494" s="40">
        <f>VLOOKUP(B494,'Player Data'!$A1:$AE734,18,FALSE)*$Q494</f>
        <v>17.394042915094488</v>
      </c>
      <c r="AE494" s="40">
        <f>VLOOKUP(B494,'Player Data'!$A1:$AE734,19,FALSE)*$Q494*IFERROR((VLOOKUP(P494,Settings!$E$28:$F$33,2,FALSE)+1),1)</f>
        <v>2.3952558592794686</v>
      </c>
      <c r="AF494" s="40">
        <f>VLOOKUP(B494,'Player Data'!$A1:$AE734,20,FALSE)*$Q494</f>
        <v>8.4418848488707425</v>
      </c>
      <c r="AG494" s="40">
        <f>VLOOKUP(B494,'Player Data'!$A1:$AE734,21,FALSE)*$Q494</f>
        <v>10.286809095462806</v>
      </c>
      <c r="AH494" s="41">
        <f>VLOOKUP(B494,'Player Data'!$A1:$AE734,22,FALSE)</f>
        <v>0.45074605169811699</v>
      </c>
      <c r="AI494" s="38"/>
      <c r="AJ494" s="40"/>
      <c r="AK494" s="40"/>
      <c r="AL494" s="40"/>
      <c r="AM494" s="40"/>
      <c r="AN494" s="40"/>
      <c r="AO494" s="40"/>
      <c r="AP494" s="40"/>
      <c r="AQ494" s="43"/>
      <c r="AR494" s="44"/>
      <c r="AS494" s="38"/>
    </row>
    <row r="495" spans="1:45" ht="21.2" customHeight="1">
      <c r="A495" s="181">
        <f t="shared" si="43"/>
        <v>494</v>
      </c>
      <c r="B495" s="8" t="s">
        <v>590</v>
      </c>
      <c r="C495" s="31" t="s">
        <v>104</v>
      </c>
      <c r="D495" s="32" t="str">
        <f>VLOOKUP(B495,'Player Data'!A1:D734,4,FALSE)</f>
        <v>D</v>
      </c>
      <c r="E495" s="47">
        <f>VLOOKUP(B495,D!A1:C229,3,FALSE)</f>
        <v>192</v>
      </c>
      <c r="F495" s="34" t="str">
        <f>VLOOKUP(B495,'Player Data'!A1:B734,2,FALSE)</f>
        <v>VGK</v>
      </c>
      <c r="G495" s="9">
        <f>VLOOKUP(B495,'Player Data'!A1:D734,3,FALSE)</f>
        <v>30</v>
      </c>
      <c r="H495" s="35">
        <f>IFERROR(VLOOKUP(B495,ADP!A1:G731,7,FALSE)/1000000,VLOOKUP(B495,ADP!A1:G731,7,FALSE))</f>
        <v>0.85</v>
      </c>
      <c r="I495" s="36">
        <f>IF(Settings!$E$15="POINTS",((R495*Q495)*Settings!$B$12)+(S495*Settings!$B$2)+(T495*Settings!$B$3)+(U495*Settings!$B$4)+(V495*Settings!$B$5)+(X495*Settings!$B$9)+(AA495*Settings!$B$6)+(W495*Settings!$B$8)+(AB495*Settings!$B$7)+(AC495*Settings!$B$14)+(AD495*Settings!$B$15)+(AE495*Settings!$B$16)+(AF495*Settings!$B$17)+(AG495*Settings!$B$18)+(U495*Settings!$B$13)+(Y495*Settings!$B$10)+(Z495*Settings!$B$11),VLOOKUP(B495,'Standard Deviations'!A1:C731,3,FALSE))</f>
        <v>-4.8710014524368184</v>
      </c>
      <c r="J495" s="37">
        <f t="shared" si="44"/>
        <v>-5.940245673703437E-2</v>
      </c>
      <c r="K495" s="183">
        <f>VLOOKUP(B495,D!A1:F229,6,FALSE)</f>
        <v>-6.8127419960711286</v>
      </c>
      <c r="L495" s="36">
        <f t="shared" si="45"/>
        <v>-8.014990583613093</v>
      </c>
      <c r="M495" s="52" t="str">
        <f>IF(Settings!$E$9="YAHOO",VLOOKUP(B495,ADP!A1:E731,2,FALSE),IF(Settings!$E$9="ESPN",VLOOKUP(B495,ADP!A1:E731,3,FALSE),IF(Settings!$E$9="FANTRAX",VLOOKUP(B495,ADP!A1:E731,4,FALSE),VLOOKUP(B495,ADP!A1:E731,5,FALSE))))</f>
        <v>-</v>
      </c>
      <c r="N495" s="52" t="str">
        <f t="shared" si="46"/>
        <v>N/A</v>
      </c>
      <c r="O495" s="38"/>
      <c r="P495" s="39" t="str">
        <f>IF(Settings!$E$27="ON",_xlfn.XLOOKUP(B495,ADP!A2:A731,ADP!H2:H731)," ")</f>
        <v xml:space="preserve"> </v>
      </c>
      <c r="Q495" s="40">
        <f>IF(Settings!$E$12="YES",VLOOKUP(B495,'Player Data'!A1:E734,5,FALSE),82)</f>
        <v>82</v>
      </c>
      <c r="R495" s="38">
        <f>VLOOKUP(B495,'Player Data'!$A1:$AE734,6,FALSE)</f>
        <v>12.422328199314</v>
      </c>
      <c r="S495" s="40">
        <f>VLOOKUP(B495,'Player Data'!$A1:$AE734,7,FALSE)*$Q495*IFERROR((VLOOKUP(P495,Settings!$E$28:$F$33,2,FALSE)+1),1)</f>
        <v>3.3798424208955566</v>
      </c>
      <c r="T495" s="40">
        <f>VLOOKUP(B495,'Player Data'!$A1:$AE734,8,FALSE)*$Q495*IFERROR((VLOOKUP(P495,Settings!$E$28:$F$33,2,FALSE)+1),1)</f>
        <v>9.8644878152268198</v>
      </c>
      <c r="U495" s="40">
        <f t="shared" si="47"/>
        <v>13.244330236122376</v>
      </c>
      <c r="V495" s="40">
        <f>VLOOKUP(B495,'Player Data'!$A1:$AE734,10,FALSE)*$Q495*IFERROR(((VLOOKUP(P495,Settings!$E$28:$F$33,2,FALSE)/2)+1),1)</f>
        <v>91.630192963186062</v>
      </c>
      <c r="W495" s="40">
        <f>VLOOKUP(B495,'Player Data'!$A1:$AE734,11,FALSE)*$Q495*IFERROR((VLOOKUP(P495,Settings!$E$28:$F$33,2,FALSE)+1),1)</f>
        <v>8.2172519519361567E-2</v>
      </c>
      <c r="X495" s="40">
        <f>VLOOKUP(B495,'Player Data'!$A1:$AE734,12,FALSE)*$Q495*IFERROR((VLOOKUP(P495,Settings!$E$28:$F$33,2,FALSE)+1),1)</f>
        <v>0.82272005856710462</v>
      </c>
      <c r="Y495" s="40">
        <f>VLOOKUP(B495,'Player Data'!$A1:$AE734,13,FALSE)*$Q495</f>
        <v>5.8101825469370899E-3</v>
      </c>
      <c r="Z495" s="40">
        <f>VLOOKUP(B495,'Player Data'!$A1:$AE734,14,FALSE)*$Q495</f>
        <v>2.3264140983201495E-2</v>
      </c>
      <c r="AA495" s="40">
        <f>VLOOKUP(B495,'Player Data'!$A1:$AE734,15,FALSE)*$Q495</f>
        <v>72.593352255572029</v>
      </c>
      <c r="AB495" s="40">
        <f>VLOOKUP(B495,'Player Data'!$A1:$AE734,16,FALSE)*$Q495</f>
        <v>66.579214540865323</v>
      </c>
      <c r="AC495" s="40">
        <f>VLOOKUP(B495,'Player Data'!$A1:$AE734,17,FALSE)*$Q495*IFERROR((VLOOKUP(P495,Settings!$E$28:$F$33,2,FALSE)+1),1)</f>
        <v>4.2853741619357999</v>
      </c>
      <c r="AD495" s="40">
        <f>VLOOKUP(B495,'Player Data'!$A1:$AE734,18,FALSE)*$Q495</f>
        <v>23.942599725537775</v>
      </c>
      <c r="AE495" s="40">
        <f>VLOOKUP(B495,'Player Data'!$A1:$AE734,19,FALSE)*$Q495*IFERROR((VLOOKUP(P495,Settings!$E$28:$F$33,2,FALSE)+1),1)</f>
        <v>0.55235846975658021</v>
      </c>
      <c r="AF495" s="40">
        <f>VLOOKUP(B495,'Player Data'!$A1:$AE734,20,FALSE)*$Q495</f>
        <v>0</v>
      </c>
      <c r="AG495" s="40">
        <f>VLOOKUP(B495,'Player Data'!$A1:$AE734,21,FALSE)*$Q495</f>
        <v>0</v>
      </c>
      <c r="AH495" s="41">
        <f>VLOOKUP(B495,'Player Data'!$A1:$AE734,22,FALSE)</f>
        <v>0</v>
      </c>
      <c r="AI495" s="38"/>
      <c r="AJ495" s="42"/>
      <c r="AK495" s="40"/>
      <c r="AL495" s="40"/>
      <c r="AM495" s="40"/>
      <c r="AN495" s="40"/>
      <c r="AO495" s="40"/>
      <c r="AP495" s="40"/>
      <c r="AQ495" s="43"/>
      <c r="AR495" s="44"/>
      <c r="AS495" s="38"/>
    </row>
    <row r="496" spans="1:45" ht="21.2" customHeight="1">
      <c r="A496" s="181">
        <f t="shared" si="43"/>
        <v>495</v>
      </c>
      <c r="B496" s="8" t="s">
        <v>560</v>
      </c>
      <c r="C496" s="31" t="s">
        <v>104</v>
      </c>
      <c r="D496" s="32" t="str">
        <f>VLOOKUP(B496,'Player Data'!A1:D734,4,FALSE)</f>
        <v>D</v>
      </c>
      <c r="E496" s="47">
        <f>VLOOKUP(B496,D!A1:C229,3,FALSE)</f>
        <v>193</v>
      </c>
      <c r="F496" s="34" t="str">
        <f>VLOOKUP(B496,'Player Data'!A1:B734,2,FALSE)</f>
        <v>NSH</v>
      </c>
      <c r="G496" s="9">
        <f>VLOOKUP(B496,'Player Data'!A1:D734,3,FALSE)</f>
        <v>26</v>
      </c>
      <c r="H496" s="35">
        <f>IFERROR(VLOOKUP(B496,ADP!A1:G731,7,FALSE)/1000000,VLOOKUP(B496,ADP!A1:G731,7,FALSE))</f>
        <v>2</v>
      </c>
      <c r="I496" s="36">
        <f>IF(Settings!$E$15="POINTS",((R496*Q496)*Settings!$B$12)+(S496*Settings!$B$2)+(T496*Settings!$B$3)+(U496*Settings!$B$4)+(V496*Settings!$B$5)+(X496*Settings!$B$9)+(AA496*Settings!$B$6)+(W496*Settings!$B$8)+(AB496*Settings!$B$7)+(AC496*Settings!$B$14)+(AD496*Settings!$B$15)+(AE496*Settings!$B$16)+(AF496*Settings!$B$17)+(AG496*Settings!$B$18)+(U496*Settings!$B$13)+(Y496*Settings!$B$10)+(Z496*Settings!$B$11),VLOOKUP(B496,'Standard Deviations'!A1:C731,3,FALSE))</f>
        <v>-4.8930595232832808</v>
      </c>
      <c r="J496" s="37">
        <f t="shared" si="44"/>
        <v>-5.9671457601015616E-2</v>
      </c>
      <c r="K496" s="183">
        <f>VLOOKUP(B496,D!A1:F229,6,FALSE)</f>
        <v>-6.834800066917591</v>
      </c>
      <c r="L496" s="36">
        <f t="shared" si="45"/>
        <v>-3.4174000334587955</v>
      </c>
      <c r="M496" s="52" t="str">
        <f>IF(Settings!$E$9="YAHOO",VLOOKUP(B496,ADP!A1:E731,2,FALSE),IF(Settings!$E$9="ESPN",VLOOKUP(B496,ADP!A1:E731,3,FALSE),IF(Settings!$E$9="FANTRAX",VLOOKUP(B496,ADP!A1:E731,4,FALSE),VLOOKUP(B496,ADP!A1:E731,5,FALSE))))</f>
        <v>-</v>
      </c>
      <c r="N496" s="52" t="str">
        <f t="shared" si="46"/>
        <v>N/A</v>
      </c>
      <c r="O496" s="38"/>
      <c r="P496" s="39" t="str">
        <f>IF(Settings!$E$27="ON",_xlfn.XLOOKUP(B496,ADP!A2:A731,ADP!H2:H731)," ")</f>
        <v xml:space="preserve"> </v>
      </c>
      <c r="Q496" s="40">
        <f>IF(Settings!$E$12="YES",VLOOKUP(B496,'Player Data'!A1:E734,5,FALSE),82)</f>
        <v>82</v>
      </c>
      <c r="R496" s="38">
        <f>VLOOKUP(B496,'Player Data'!$A1:$AE734,6,FALSE)</f>
        <v>16.180768574226501</v>
      </c>
      <c r="S496" s="40">
        <f>VLOOKUP(B496,'Player Data'!$A1:$AE734,7,FALSE)*$Q496*IFERROR((VLOOKUP(P496,Settings!$E$28:$F$33,2,FALSE)+1),1)</f>
        <v>3.1109810338728363</v>
      </c>
      <c r="T496" s="40">
        <f>VLOOKUP(B496,'Player Data'!$A1:$AE734,8,FALSE)*$Q496*IFERROR((VLOOKUP(P496,Settings!$E$28:$F$33,2,FALSE)+1),1)</f>
        <v>10.651706933534527</v>
      </c>
      <c r="U496" s="40">
        <f t="shared" si="47"/>
        <v>13.762687967407363</v>
      </c>
      <c r="V496" s="40">
        <f>VLOOKUP(B496,'Player Data'!$A1:$AE734,10,FALSE)*$Q496*IFERROR(((VLOOKUP(P496,Settings!$E$28:$F$33,2,FALSE)/2)+1),1)</f>
        <v>91.157091265702576</v>
      </c>
      <c r="W496" s="40">
        <f>VLOOKUP(B496,'Player Data'!$A1:$AE734,11,FALSE)*$Q496*IFERROR((VLOOKUP(P496,Settings!$E$28:$F$33,2,FALSE)+1),1)</f>
        <v>2.2596453218039887E-2</v>
      </c>
      <c r="X496" s="40">
        <f>VLOOKUP(B496,'Player Data'!$A1:$AE734,12,FALSE)*$Q496*IFERROR((VLOOKUP(P496,Settings!$E$28:$F$33,2,FALSE)+1),1)</f>
        <v>0.14063958588186634</v>
      </c>
      <c r="Y496" s="40">
        <f>VLOOKUP(B496,'Player Data'!$A1:$AE734,13,FALSE)*$Q496</f>
        <v>2.9474755736831164E-2</v>
      </c>
      <c r="Z496" s="40">
        <f>VLOOKUP(B496,'Player Data'!$A1:$AE734,14,FALSE)*$Q496</f>
        <v>0.69586216386923194</v>
      </c>
      <c r="AA496" s="40">
        <f>VLOOKUP(B496,'Player Data'!$A1:$AE734,15,FALSE)*$Q496</f>
        <v>85.730430359097852</v>
      </c>
      <c r="AB496" s="40">
        <f>VLOOKUP(B496,'Player Data'!$A1:$AE734,16,FALSE)*$Q496</f>
        <v>234.94843598364486</v>
      </c>
      <c r="AC496" s="40">
        <f>VLOOKUP(B496,'Player Data'!$A1:$AE734,17,FALSE)*$Q496*IFERROR((VLOOKUP(P496,Settings!$E$28:$F$33,2,FALSE)+1),1)</f>
        <v>-3.0131942970902701</v>
      </c>
      <c r="AD496" s="40">
        <f>VLOOKUP(B496,'Player Data'!$A1:$AE734,18,FALSE)*$Q496</f>
        <v>66.38011761037771</v>
      </c>
      <c r="AE496" s="40">
        <f>VLOOKUP(B496,'Player Data'!$A1:$AE734,19,FALSE)*$Q496*IFERROR((VLOOKUP(P496,Settings!$E$28:$F$33,2,FALSE)+1),1)</f>
        <v>0.45428459578390967</v>
      </c>
      <c r="AF496" s="40">
        <f>VLOOKUP(B496,'Player Data'!$A1:$AE734,20,FALSE)*$Q496</f>
        <v>0</v>
      </c>
      <c r="AG496" s="40">
        <f>VLOOKUP(B496,'Player Data'!$A1:$AE734,21,FALSE)*$Q496</f>
        <v>0</v>
      </c>
      <c r="AH496" s="41">
        <f>VLOOKUP(B496,'Player Data'!$A1:$AE734,22,FALSE)</f>
        <v>0</v>
      </c>
      <c r="AI496" s="38"/>
      <c r="AJ496" s="42"/>
      <c r="AK496" s="40"/>
      <c r="AL496" s="40"/>
      <c r="AM496" s="40"/>
      <c r="AN496" s="40"/>
      <c r="AO496" s="40"/>
      <c r="AP496" s="40"/>
      <c r="AQ496" s="43"/>
      <c r="AR496" s="44"/>
      <c r="AS496" s="38"/>
    </row>
    <row r="497" spans="1:45" ht="21.2" customHeight="1">
      <c r="A497" s="181">
        <f t="shared" si="43"/>
        <v>496</v>
      </c>
      <c r="B497" s="8" t="s">
        <v>479</v>
      </c>
      <c r="C497" s="31" t="s">
        <v>104</v>
      </c>
      <c r="D497" s="32" t="str">
        <f>VLOOKUP(B497,'Player Data'!A1:D734,4,FALSE)</f>
        <v>LW,RW</v>
      </c>
      <c r="E497" s="45">
        <f>VLOOKUP(B497,RW!A1:F189,3,FALSE)</f>
        <v>113</v>
      </c>
      <c r="F497" s="34" t="str">
        <f>VLOOKUP(B497,'Player Data'!A1:B734,2,FALSE)</f>
        <v>UFA</v>
      </c>
      <c r="G497" s="9">
        <f>VLOOKUP(B497,'Player Data'!A1:D734,3,FALSE)</f>
        <v>32</v>
      </c>
      <c r="H497" s="35">
        <f>IFERROR(VLOOKUP(B497,ADP!A1:G731,7,FALSE)/1000000,VLOOKUP(B497,ADP!A1:G731,7,FALSE))</f>
        <v>4.2770000000000001</v>
      </c>
      <c r="I497" s="36">
        <f>IF(Settings!$E$15="POINTS",((R497*Q497)*Settings!$B$12)+(S497*Settings!$B$2)+(T497*Settings!$B$3)+(U497*Settings!$B$4)+(V497*Settings!$B$5)+(X497*Settings!$B$9)+(AA497*Settings!$B$6)+(W497*Settings!$B$8)+(AB497*Settings!$B$7)+(AC497*Settings!$B$14)+(AD497*Settings!$B$15)+(AE497*Settings!$B$16)+(AF497*Settings!$B$17)+(AG497*Settings!$B$18)+(Y497*Settings!$B$10)+(Z497*Settings!$B$11),VLOOKUP(B497,'Standard Deviations'!A1:C731,3,FALSE))</f>
        <v>-0.58358225361903582</v>
      </c>
      <c r="J497" s="37">
        <f t="shared" si="44"/>
        <v>-7.1168567514516565E-3</v>
      </c>
      <c r="K497" s="183">
        <f>IF(Settings!$E$18="C/LW/RW",VLOOKUP(B497,RW!A1:F189,6,FALSE),VLOOKUP(B497,F!A1:F431,6,FALSE))</f>
        <v>-6.8638409726301166</v>
      </c>
      <c r="L497" s="36">
        <f t="shared" si="45"/>
        <v>-1.6048260398948133</v>
      </c>
      <c r="M497" s="52" t="str">
        <f>IF(Settings!$E$9="YAHOO",VLOOKUP(B497,ADP!A1:E731,2,FALSE),IF(Settings!$E$9="ESPN",VLOOKUP(B497,ADP!A1:E731,3,FALSE),IF(Settings!$E$9="FANTRAX",VLOOKUP(B497,ADP!A1:E731,4,FALSE),VLOOKUP(B497,ADP!A1:E731,5,FALSE))))</f>
        <v>-</v>
      </c>
      <c r="N497" s="52" t="str">
        <f t="shared" si="46"/>
        <v>N/A</v>
      </c>
      <c r="O497" s="38"/>
      <c r="P497" s="39" t="str">
        <f>IF(Settings!$E$27="ON",_xlfn.XLOOKUP(B497,ADP!A2:A731,ADP!H2:H731)," ")</f>
        <v xml:space="preserve"> </v>
      </c>
      <c r="Q497" s="40">
        <f>IF(Settings!$E$12="YES",VLOOKUP(B497,'Player Data'!A1:E734,5,FALSE),82)</f>
        <v>82</v>
      </c>
      <c r="R497" s="38">
        <f>VLOOKUP(B497,'Player Data'!$A1:$AE734,6,FALSE)</f>
        <v>14.4734531789996</v>
      </c>
      <c r="S497" s="40">
        <f>VLOOKUP(B497,'Player Data'!$A1:$AE734,7,FALSE)*$Q497*IFERROR((VLOOKUP(P497,Settings!$E$28:$F$33,2,FALSE)+1),1)</f>
        <v>16.290175392224178</v>
      </c>
      <c r="T497" s="40">
        <f>VLOOKUP(B497,'Player Data'!$A1:$AE734,8,FALSE)*$Q497*IFERROR((VLOOKUP(P497,Settings!$E$28:$F$33,2,FALSE)+1),1)</f>
        <v>22.337338655570424</v>
      </c>
      <c r="U497" s="40">
        <f t="shared" si="47"/>
        <v>38.627514047794605</v>
      </c>
      <c r="V497" s="40">
        <f>VLOOKUP(B497,'Player Data'!$A1:$AE734,10,FALSE)*$Q497*IFERROR(((VLOOKUP(P497,Settings!$E$28:$F$33,2,FALSE)/2)+1),1)</f>
        <v>137.6956885413916</v>
      </c>
      <c r="W497" s="40">
        <f>VLOOKUP(B497,'Player Data'!$A1:$AE734,11,FALSE)*$Q497*IFERROR((VLOOKUP(P497,Settings!$E$28:$F$33,2,FALSE)+1),1)</f>
        <v>0.99397965832585455</v>
      </c>
      <c r="X497" s="40">
        <f>VLOOKUP(B497,'Player Data'!$A1:$AE734,12,FALSE)*$Q497*IFERROR((VLOOKUP(P497,Settings!$E$28:$F$33,2,FALSE)+1),1)</f>
        <v>3.3449189624631703</v>
      </c>
      <c r="Y497" s="40">
        <f>VLOOKUP(B497,'Player Data'!$A1:$AE734,13,FALSE)*$Q497</f>
        <v>0</v>
      </c>
      <c r="Z497" s="40">
        <f>VLOOKUP(B497,'Player Data'!$A1:$AE734,14,FALSE)*$Q497</f>
        <v>0</v>
      </c>
      <c r="AA497" s="40">
        <f>VLOOKUP(B497,'Player Data'!$A1:$AE734,15,FALSE)*$Q497</f>
        <v>29.562471998445922</v>
      </c>
      <c r="AB497" s="40">
        <f>VLOOKUP(B497,'Player Data'!$A1:$AE734,16,FALSE)*$Q497</f>
        <v>70.118723108932613</v>
      </c>
      <c r="AC497" s="40">
        <f>VLOOKUP(B497,'Player Data'!$A1:$AE734,17,FALSE)*$Q497*IFERROR((VLOOKUP(P497,Settings!$E$28:$F$33,2,FALSE)+1),1)</f>
        <v>1.9329730000587422</v>
      </c>
      <c r="AD497" s="40">
        <f>VLOOKUP(B497,'Player Data'!$A1:$AE734,18,FALSE)*$Q497</f>
        <v>25.165096484098861</v>
      </c>
      <c r="AE497" s="40">
        <f>VLOOKUP(B497,'Player Data'!$A1:$AE734,19,FALSE)*$Q497*IFERROR((VLOOKUP(P497,Settings!$E$28:$F$33,2,FALSE)+1),1)</f>
        <v>0</v>
      </c>
      <c r="AF497" s="40">
        <f>VLOOKUP(B497,'Player Data'!$A1:$AE734,20,FALSE)*$Q497</f>
        <v>17.104442952023611</v>
      </c>
      <c r="AG497" s="40">
        <f>VLOOKUP(B497,'Player Data'!$A1:$AE734,21,FALSE)*$Q497</f>
        <v>25.857447302398771</v>
      </c>
      <c r="AH497" s="41">
        <f>VLOOKUP(B497,'Player Data'!$A1:$AE734,22,FALSE)</f>
        <v>0.39813059552850799</v>
      </c>
      <c r="AI497" s="38"/>
      <c r="AJ497" s="40"/>
      <c r="AK497" s="40"/>
      <c r="AL497" s="40"/>
      <c r="AM497" s="40"/>
      <c r="AN497" s="40"/>
      <c r="AO497" s="40"/>
      <c r="AP497" s="40"/>
      <c r="AQ497" s="43"/>
      <c r="AR497" s="44"/>
      <c r="AS497" s="38"/>
    </row>
    <row r="498" spans="1:45" ht="21.2" customHeight="1">
      <c r="A498" s="181">
        <f t="shared" si="43"/>
        <v>497</v>
      </c>
      <c r="B498" s="8" t="s">
        <v>433</v>
      </c>
      <c r="C498" s="31" t="s">
        <v>104</v>
      </c>
      <c r="D498" s="32" t="str">
        <f>VLOOKUP(B498,'Player Data'!A1:D734,4,FALSE)</f>
        <v>LW,RW</v>
      </c>
      <c r="E498" s="45">
        <f>VLOOKUP(B498,RW!A1:F189,3,FALSE)</f>
        <v>114</v>
      </c>
      <c r="F498" s="34" t="str">
        <f>VLOOKUP(B498,'Player Data'!A1:B734,2,FALSE)</f>
        <v>CGY</v>
      </c>
      <c r="G498" s="9">
        <f>VLOOKUP(B498,'Player Data'!A1:D734,3,FALSE)</f>
        <v>31</v>
      </c>
      <c r="H498" s="35">
        <f>IFERROR(VLOOKUP(B498,ADP!A1:G731,7,FALSE)/1000000,VLOOKUP(B498,ADP!A1:G731,7,FALSE))</f>
        <v>4.9000000000000004</v>
      </c>
      <c r="I498" s="36">
        <f>IF(Settings!$E$15="POINTS",((R498*Q498)*Settings!$B$12)+(S498*Settings!$B$2)+(T498*Settings!$B$3)+(U498*Settings!$B$4)+(V498*Settings!$B$5)+(X498*Settings!$B$9)+(AA498*Settings!$B$6)+(W498*Settings!$B$8)+(AB498*Settings!$B$7)+(AC498*Settings!$B$14)+(AD498*Settings!$B$15)+(AE498*Settings!$B$16)+(AF498*Settings!$B$17)+(AG498*Settings!$B$18)+(Y498*Settings!$B$10)+(Z498*Settings!$B$11),VLOOKUP(B498,'Standard Deviations'!A1:C731,3,FALSE))</f>
        <v>-0.5981205346971552</v>
      </c>
      <c r="J498" s="37">
        <f t="shared" si="44"/>
        <v>-7.2941528621604289E-3</v>
      </c>
      <c r="K498" s="183">
        <f>IF(Settings!$E$18="C/LW/RW",VLOOKUP(B498,RW!A1:F189,6,FALSE),VLOOKUP(B498,F!A1:F431,6,FALSE))</f>
        <v>-6.8783792537082356</v>
      </c>
      <c r="L498" s="36">
        <f t="shared" si="45"/>
        <v>-1.4037508681037214</v>
      </c>
      <c r="M498" s="38">
        <f>IF(Settings!$E$9="YAHOO",VLOOKUP(B498,ADP!A1:E731,2,FALSE),IF(Settings!$E$9="ESPN",VLOOKUP(B498,ADP!A1:E731,3,FALSE),IF(Settings!$E$9="FANTRAX",VLOOKUP(B498,ADP!A1:E731,4,FALSE),VLOOKUP(B498,ADP!A1:E731,5,FALSE))))</f>
        <v>469.7</v>
      </c>
      <c r="N498" s="38">
        <f t="shared" si="46"/>
        <v>-27.300000000000011</v>
      </c>
      <c r="O498" s="38"/>
      <c r="P498" s="39" t="str">
        <f>IF(Settings!$E$27="ON",_xlfn.XLOOKUP(B498,ADP!A2:A731,ADP!H2:H731)," ")</f>
        <v xml:space="preserve"> </v>
      </c>
      <c r="Q498" s="40">
        <f>IF(Settings!$E$12="YES",VLOOKUP(B498,'Player Data'!A1:E734,5,FALSE),82)</f>
        <v>82</v>
      </c>
      <c r="R498" s="38">
        <f>VLOOKUP(B498,'Player Data'!$A1:$AE734,6,FALSE)</f>
        <v>14.708450076719499</v>
      </c>
      <c r="S498" s="40">
        <f>VLOOKUP(B498,'Player Data'!$A1:$AE734,7,FALSE)*$Q498*IFERROR((VLOOKUP(P498,Settings!$E$28:$F$33,2,FALSE)+1),1)</f>
        <v>15.858881127485231</v>
      </c>
      <c r="T498" s="40">
        <f>VLOOKUP(B498,'Player Data'!$A1:$AE734,8,FALSE)*$Q498*IFERROR((VLOOKUP(P498,Settings!$E$28:$F$33,2,FALSE)+1),1)</f>
        <v>18.83661193590094</v>
      </c>
      <c r="U498" s="40">
        <f t="shared" si="47"/>
        <v>34.695493063386174</v>
      </c>
      <c r="V498" s="40">
        <f>VLOOKUP(B498,'Player Data'!$A1:$AE734,10,FALSE)*$Q498*IFERROR(((VLOOKUP(P498,Settings!$E$28:$F$33,2,FALSE)/2)+1),1)</f>
        <v>183.952223649405</v>
      </c>
      <c r="W498" s="40">
        <f>VLOOKUP(B498,'Player Data'!$A1:$AE734,11,FALSE)*$Q498*IFERROR((VLOOKUP(P498,Settings!$E$28:$F$33,2,FALSE)+1),1)</f>
        <v>6.0763153029276484E-2</v>
      </c>
      <c r="X498" s="40">
        <f>VLOOKUP(B498,'Player Data'!$A1:$AE734,12,FALSE)*$Q498*IFERROR((VLOOKUP(P498,Settings!$E$28:$F$33,2,FALSE)+1),1)</f>
        <v>0.13100759064518699</v>
      </c>
      <c r="Y498" s="40">
        <f>VLOOKUP(B498,'Player Data'!$A1:$AE734,13,FALSE)*$Q498</f>
        <v>1.0933107953352277</v>
      </c>
      <c r="Z498" s="40">
        <f>VLOOKUP(B498,'Player Data'!$A1:$AE734,14,FALSE)*$Q498</f>
        <v>1.2949604301088584</v>
      </c>
      <c r="AA498" s="40">
        <f>VLOOKUP(B498,'Player Data'!$A1:$AE734,15,FALSE)*$Q498</f>
        <v>39.694436470766838</v>
      </c>
      <c r="AB498" s="40">
        <f>VLOOKUP(B498,'Player Data'!$A1:$AE734,16,FALSE)*$Q498</f>
        <v>119.96784260642411</v>
      </c>
      <c r="AC498" s="40">
        <f>VLOOKUP(B498,'Player Data'!$A1:$AE734,17,FALSE)*$Q498*IFERROR((VLOOKUP(P498,Settings!$E$28:$F$33,2,FALSE)+1),1)</f>
        <v>3.6498954971647666</v>
      </c>
      <c r="AD498" s="40">
        <f>VLOOKUP(B498,'Player Data'!$A1:$AE734,18,FALSE)*$Q498</f>
        <v>50.645039770892964</v>
      </c>
      <c r="AE498" s="40">
        <f>VLOOKUP(B498,'Player Data'!$A1:$AE734,19,FALSE)*$Q498*IFERROR((VLOOKUP(P498,Settings!$E$28:$F$33,2,FALSE)+1),1)</f>
        <v>2.6499912843223274</v>
      </c>
      <c r="AF498" s="40">
        <f>VLOOKUP(B498,'Player Data'!$A1:$AE734,20,FALSE)*$Q498</f>
        <v>10.188976358714102</v>
      </c>
      <c r="AG498" s="40">
        <f>VLOOKUP(B498,'Player Data'!$A1:$AE734,21,FALSE)*$Q498</f>
        <v>24.325449707768591</v>
      </c>
      <c r="AH498" s="41">
        <f>VLOOKUP(B498,'Player Data'!$A1:$AE734,22,FALSE)</f>
        <v>0.29520920727720501</v>
      </c>
      <c r="AI498" s="38"/>
      <c r="AJ498" s="42"/>
      <c r="AK498" s="40"/>
      <c r="AL498" s="40"/>
      <c r="AM498" s="40"/>
      <c r="AN498" s="40"/>
      <c r="AO498" s="40"/>
      <c r="AP498" s="40"/>
      <c r="AQ498" s="43"/>
      <c r="AR498" s="44"/>
      <c r="AS498" s="38"/>
    </row>
    <row r="499" spans="1:45" ht="21.2" customHeight="1">
      <c r="A499" s="181">
        <f t="shared" si="43"/>
        <v>498</v>
      </c>
      <c r="B499" s="8" t="s">
        <v>594</v>
      </c>
      <c r="C499" s="31" t="s">
        <v>104</v>
      </c>
      <c r="D499" s="32" t="str">
        <f>VLOOKUP(B499,'Player Data'!A1:D734,4,FALSE)</f>
        <v>D</v>
      </c>
      <c r="E499" s="47">
        <f>VLOOKUP(B499,D!A1:C229,3,FALSE)</f>
        <v>194</v>
      </c>
      <c r="F499" s="34" t="str">
        <f>VLOOKUP(B499,'Player Data'!A1:B734,2,FALSE)</f>
        <v>SEA</v>
      </c>
      <c r="G499" s="9">
        <f>VLOOKUP(B499,'Player Data'!A1:D734,3,FALSE)</f>
        <v>30</v>
      </c>
      <c r="H499" s="35">
        <f>IFERROR(VLOOKUP(B499,ADP!A1:G731,7,FALSE)/1000000,VLOOKUP(B499,ADP!A1:G731,7,FALSE))</f>
        <v>0.76249999999999996</v>
      </c>
      <c r="I499" s="36">
        <f>IF(Settings!$E$15="POINTS",((R499*Q499)*Settings!$B$12)+(S499*Settings!$B$2)+(T499*Settings!$B$3)+(U499*Settings!$B$4)+(V499*Settings!$B$5)+(X499*Settings!$B$9)+(AA499*Settings!$B$6)+(W499*Settings!$B$8)+(AB499*Settings!$B$7)+(AC499*Settings!$B$14)+(AD499*Settings!$B$15)+(AE499*Settings!$B$16)+(AF499*Settings!$B$17)+(AG499*Settings!$B$18)+(U499*Settings!$B$13)+(Y499*Settings!$B$10)+(Z499*Settings!$B$11),VLOOKUP(B499,'Standard Deviations'!A1:C731,3,FALSE))</f>
        <v>-4.9475347375943732</v>
      </c>
      <c r="J499" s="37">
        <f t="shared" si="44"/>
        <v>-6.0335789482858213E-2</v>
      </c>
      <c r="K499" s="183">
        <f>VLOOKUP(B499,D!A1:F229,6,FALSE)</f>
        <v>-6.8892752812286844</v>
      </c>
      <c r="L499" s="36">
        <f t="shared" si="45"/>
        <v>-9.0351151229228659</v>
      </c>
      <c r="M499" s="52" t="str">
        <f>IF(Settings!$E$9="YAHOO",VLOOKUP(B499,ADP!A1:E731,2,FALSE),IF(Settings!$E$9="ESPN",VLOOKUP(B499,ADP!A1:E731,3,FALSE),IF(Settings!$E$9="FANTRAX",VLOOKUP(B499,ADP!A1:E731,4,FALSE),VLOOKUP(B499,ADP!A1:E731,5,FALSE))))</f>
        <v>-</v>
      </c>
      <c r="N499" s="52" t="str">
        <f t="shared" si="46"/>
        <v>N/A</v>
      </c>
      <c r="O499" s="38"/>
      <c r="P499" s="39" t="str">
        <f>IF(Settings!$E$27="ON",_xlfn.XLOOKUP(B499,ADP!A2:A731,ADP!H2:H731)," ")</f>
        <v xml:space="preserve"> </v>
      </c>
      <c r="Q499" s="40">
        <f>IF(Settings!$E$12="YES",VLOOKUP(B499,'Player Data'!A1:E734,5,FALSE),82)</f>
        <v>82</v>
      </c>
      <c r="R499" s="38">
        <f>VLOOKUP(B499,'Player Data'!$A1:$AE734,6,FALSE)</f>
        <v>16.288789119687198</v>
      </c>
      <c r="S499" s="40">
        <f>VLOOKUP(B499,'Player Data'!$A1:$AE734,7,FALSE)*$Q499*IFERROR((VLOOKUP(P499,Settings!$E$28:$F$33,2,FALSE)+1),1)</f>
        <v>2.5311179253722242</v>
      </c>
      <c r="T499" s="40">
        <f>VLOOKUP(B499,'Player Data'!$A1:$AE734,8,FALSE)*$Q499*IFERROR((VLOOKUP(P499,Settings!$E$28:$F$33,2,FALSE)+1),1)</f>
        <v>12.936508874736408</v>
      </c>
      <c r="U499" s="40">
        <f t="shared" si="47"/>
        <v>15.467626800108633</v>
      </c>
      <c r="V499" s="40">
        <f>VLOOKUP(B499,'Player Data'!$A1:$AE734,10,FALSE)*$Q499*IFERROR(((VLOOKUP(P499,Settings!$E$28:$F$33,2,FALSE)/2)+1),1)</f>
        <v>76.693637534033613</v>
      </c>
      <c r="W499" s="40">
        <f>VLOOKUP(B499,'Player Data'!$A1:$AE734,11,FALSE)*$Q499*IFERROR((VLOOKUP(P499,Settings!$E$28:$F$33,2,FALSE)+1),1)</f>
        <v>2.569228783370198E-2</v>
      </c>
      <c r="X499" s="40">
        <f>VLOOKUP(B499,'Player Data'!$A1:$AE734,12,FALSE)*$Q499*IFERROR((VLOOKUP(P499,Settings!$E$28:$F$33,2,FALSE)+1),1)</f>
        <v>0.16877569930214401</v>
      </c>
      <c r="Y499" s="40">
        <f>VLOOKUP(B499,'Player Data'!$A1:$AE734,13,FALSE)*$Q499</f>
        <v>1.2584991226016683E-2</v>
      </c>
      <c r="Z499" s="40">
        <f>VLOOKUP(B499,'Player Data'!$A1:$AE734,14,FALSE)*$Q499</f>
        <v>0.47063188352852503</v>
      </c>
      <c r="AA499" s="40">
        <f>VLOOKUP(B499,'Player Data'!$A1:$AE734,15,FALSE)*$Q499</f>
        <v>99.652597965977904</v>
      </c>
      <c r="AB499" s="40">
        <f>VLOOKUP(B499,'Player Data'!$A1:$AE734,16,FALSE)*$Q499</f>
        <v>111.27808077673836</v>
      </c>
      <c r="AC499" s="40">
        <f>VLOOKUP(B499,'Player Data'!$A1:$AE734,17,FALSE)*$Q499*IFERROR((VLOOKUP(P499,Settings!$E$28:$F$33,2,FALSE)+1),1)</f>
        <v>0.33079587830608537</v>
      </c>
      <c r="AD499" s="40">
        <f>VLOOKUP(B499,'Player Data'!$A1:$AE734,18,FALSE)*$Q499</f>
        <v>28.518040186662905</v>
      </c>
      <c r="AE499" s="40">
        <f>VLOOKUP(B499,'Player Data'!$A1:$AE734,19,FALSE)*$Q499*IFERROR((VLOOKUP(P499,Settings!$E$28:$F$33,2,FALSE)+1),1)</f>
        <v>0.35577640638446639</v>
      </c>
      <c r="AF499" s="40">
        <f>VLOOKUP(B499,'Player Data'!$A1:$AE734,20,FALSE)*$Q499</f>
        <v>0</v>
      </c>
      <c r="AG499" s="40">
        <f>VLOOKUP(B499,'Player Data'!$A1:$AE734,21,FALSE)*$Q499</f>
        <v>0</v>
      </c>
      <c r="AH499" s="41">
        <f>VLOOKUP(B499,'Player Data'!$A1:$AE734,22,FALSE)</f>
        <v>0</v>
      </c>
      <c r="AI499" s="38"/>
      <c r="AJ499" s="42"/>
      <c r="AK499" s="40"/>
      <c r="AL499" s="40"/>
      <c r="AM499" s="40"/>
      <c r="AN499" s="40"/>
      <c r="AO499" s="40"/>
      <c r="AP499" s="40"/>
      <c r="AQ499" s="43"/>
      <c r="AR499" s="44"/>
      <c r="AS499" s="38"/>
    </row>
    <row r="500" spans="1:45" ht="21.2" customHeight="1">
      <c r="A500" s="181">
        <f t="shared" si="43"/>
        <v>499</v>
      </c>
      <c r="B500" s="8" t="s">
        <v>522</v>
      </c>
      <c r="C500" s="31" t="s">
        <v>104</v>
      </c>
      <c r="D500" s="32" t="str">
        <f>VLOOKUP(B500,'Player Data'!A1:D734,4,FALSE)</f>
        <v>LW</v>
      </c>
      <c r="E500" s="48">
        <f>VLOOKUP(B500,LW!A1:C227,3,FALSE)</f>
        <v>115</v>
      </c>
      <c r="F500" s="34" t="str">
        <f>VLOOKUP(B500,'Player Data'!A1:B734,2,FALSE)</f>
        <v>NJD</v>
      </c>
      <c r="G500" s="9">
        <f>VLOOKUP(B500,'Player Data'!A1:D734,3,FALSE)</f>
        <v>32</v>
      </c>
      <c r="H500" s="35">
        <f>IFERROR(VLOOKUP(B500,ADP!A1:G731,7,FALSE)/1000000,VLOOKUP(B500,ADP!A1:G731,7,FALSE))</f>
        <v>6</v>
      </c>
      <c r="I500" s="36">
        <f>IF(Settings!$E$15="POINTS",((R500*Q500)*Settings!$B$12)+(S500*Settings!$B$2)+(T500*Settings!$B$3)+(U500*Settings!$B$4)+(V500*Settings!$B$5)+(X500*Settings!$B$9)+(AA500*Settings!$B$6)+(W500*Settings!$B$8)+(AB500*Settings!$B$7)+(AC500*Settings!$B$14)+(AD500*Settings!$B$15)+(AE500*Settings!$B$16)+(AF500*Settings!$B$17)+(AG500*Settings!$B$18)+(Y500*Settings!$B$10)+(Z500*Settings!$B$11),VLOOKUP(B500,'Standard Deviations'!A1:C731,3,FALSE))</f>
        <v>-0.2350076535420573</v>
      </c>
      <c r="J500" s="37">
        <f t="shared" si="44"/>
        <v>-2.8659469944153329E-3</v>
      </c>
      <c r="K500" s="183">
        <f>IF(Settings!$E$18="C/LW/RW",VLOOKUP(B500,LW!A1:F227,6,FALSE),VLOOKUP(B500,F!A1:F431,6,FALSE))</f>
        <v>-6.8896766976664585</v>
      </c>
      <c r="L500" s="36">
        <f t="shared" si="45"/>
        <v>-1.1482794496110764</v>
      </c>
      <c r="M500" s="52" t="str">
        <f>IF(Settings!$E$9="YAHOO",VLOOKUP(B500,ADP!A1:E731,2,FALSE),IF(Settings!$E$9="ESPN",VLOOKUP(B500,ADP!A1:E731,3,FALSE),IF(Settings!$E$9="FANTRAX",VLOOKUP(B500,ADP!A1:E731,4,FALSE),VLOOKUP(B500,ADP!A1:E731,5,FALSE))))</f>
        <v>-</v>
      </c>
      <c r="N500" s="52" t="str">
        <f t="shared" si="46"/>
        <v>N/A</v>
      </c>
      <c r="O500" s="38"/>
      <c r="P500" s="39" t="str">
        <f>IF(Settings!$E$27="ON",_xlfn.XLOOKUP(B500,ADP!A2:A731,ADP!H2:H731)," ")</f>
        <v xml:space="preserve"> </v>
      </c>
      <c r="Q500" s="40">
        <f>IF(Settings!$E$12="YES",VLOOKUP(B500,'Player Data'!A1:E734,5,FALSE),82)</f>
        <v>82</v>
      </c>
      <c r="R500" s="38">
        <f>VLOOKUP(B500,'Player Data'!$A1:$AE734,6,FALSE)</f>
        <v>14.524762777318101</v>
      </c>
      <c r="S500" s="40">
        <f>VLOOKUP(B500,'Player Data'!$A1:$AE734,7,FALSE)*$Q500*IFERROR((VLOOKUP(P500,Settings!$E$28:$F$33,2,FALSE)+1),1)</f>
        <v>14.432348045072773</v>
      </c>
      <c r="T500" s="40">
        <f>VLOOKUP(B500,'Player Data'!$A1:$AE734,8,FALSE)*$Q500*IFERROR((VLOOKUP(P500,Settings!$E$28:$F$33,2,FALSE)+1),1)</f>
        <v>25.733038903342191</v>
      </c>
      <c r="U500" s="40">
        <f t="shared" si="47"/>
        <v>40.165386948414962</v>
      </c>
      <c r="V500" s="40">
        <f>VLOOKUP(B500,'Player Data'!$A1:$AE734,10,FALSE)*$Q500*IFERROR(((VLOOKUP(P500,Settings!$E$28:$F$33,2,FALSE)/2)+1),1)</f>
        <v>130.49730637429639</v>
      </c>
      <c r="W500" s="40">
        <f>VLOOKUP(B500,'Player Data'!$A1:$AE734,11,FALSE)*$Q500*IFERROR((VLOOKUP(P500,Settings!$E$28:$F$33,2,FALSE)+1),1)</f>
        <v>2.0779725070551414</v>
      </c>
      <c r="X500" s="40">
        <f>VLOOKUP(B500,'Player Data'!$A1:$AE734,12,FALSE)*$Q500*IFERROR((VLOOKUP(P500,Settings!$E$28:$F$33,2,FALSE)+1),1)</f>
        <v>6.6702976873413711</v>
      </c>
      <c r="Y500" s="40">
        <f>VLOOKUP(B500,'Player Data'!$A1:$AE734,13,FALSE)*$Q500</f>
        <v>2.8919744638918516E-2</v>
      </c>
      <c r="Z500" s="40">
        <f>VLOOKUP(B500,'Player Data'!$A1:$AE734,14,FALSE)*$Q500</f>
        <v>0.16061353092951233</v>
      </c>
      <c r="AA500" s="40">
        <f>VLOOKUP(B500,'Player Data'!$A1:$AE734,15,FALSE)*$Q500</f>
        <v>54.980809680110433</v>
      </c>
      <c r="AB500" s="40">
        <f>VLOOKUP(B500,'Player Data'!$A1:$AE734,16,FALSE)*$Q500</f>
        <v>109.67438891709817</v>
      </c>
      <c r="AC500" s="40">
        <f>VLOOKUP(B500,'Player Data'!$A1:$AE734,17,FALSE)*$Q500*IFERROR((VLOOKUP(P500,Settings!$E$28:$F$33,2,FALSE)+1),1)</f>
        <v>0.71294051072019171</v>
      </c>
      <c r="AD500" s="40">
        <f>VLOOKUP(B500,'Player Data'!$A1:$AE734,18,FALSE)*$Q500</f>
        <v>22.014195170980837</v>
      </c>
      <c r="AE500" s="40">
        <f>VLOOKUP(B500,'Player Data'!$A1:$AE734,19,FALSE)*$Q500*IFERROR((VLOOKUP(P500,Settings!$E$28:$F$33,2,FALSE)+1),1)</f>
        <v>2.1212373766989696</v>
      </c>
      <c r="AF500" s="40">
        <f>VLOOKUP(B500,'Player Data'!$A1:$AE734,20,FALSE)*$Q500</f>
        <v>0.66934203998187325</v>
      </c>
      <c r="AG500" s="40">
        <f>VLOOKUP(B500,'Player Data'!$A1:$AE734,21,FALSE)*$Q500</f>
        <v>12.936540013506773</v>
      </c>
      <c r="AH500" s="41">
        <f>VLOOKUP(B500,'Player Data'!$A1:$AE734,22,FALSE)</f>
        <v>4.9195049416898902E-2</v>
      </c>
      <c r="AI500" s="38"/>
      <c r="AJ500" s="42"/>
      <c r="AK500" s="40"/>
      <c r="AL500" s="40"/>
      <c r="AM500" s="40"/>
      <c r="AN500" s="40"/>
      <c r="AO500" s="40"/>
      <c r="AP500" s="40"/>
      <c r="AQ500" s="43"/>
      <c r="AR500" s="44"/>
      <c r="AS500" s="38"/>
    </row>
    <row r="501" spans="1:45" ht="21.2" customHeight="1">
      <c r="A501" s="181">
        <f t="shared" si="43"/>
        <v>500</v>
      </c>
      <c r="B501" s="8" t="s">
        <v>591</v>
      </c>
      <c r="C501" s="31" t="s">
        <v>104</v>
      </c>
      <c r="D501" s="32" t="str">
        <f>VLOOKUP(B501,'Player Data'!A1:D734,4,FALSE)</f>
        <v>D</v>
      </c>
      <c r="E501" s="47">
        <f>VLOOKUP(B501,D!A1:C229,3,FALSE)</f>
        <v>195</v>
      </c>
      <c r="F501" s="34" t="str">
        <f>VLOOKUP(B501,'Player Data'!A1:B734,2,FALSE)</f>
        <v>CAR</v>
      </c>
      <c r="G501" s="9">
        <f>VLOOKUP(B501,'Player Data'!A1:D734,3,FALSE)</f>
        <v>27</v>
      </c>
      <c r="H501" s="35">
        <f>IFERROR(VLOOKUP(B501,ADP!A1:G731,7,FALSE)/1000000,VLOOKUP(B501,ADP!A1:G731,7,FALSE))</f>
        <v>0.76200000000000001</v>
      </c>
      <c r="I501" s="36">
        <f>IF(Settings!$E$15="POINTS",((R501*Q501)*Settings!$B$12)+(S501*Settings!$B$2)+(T501*Settings!$B$3)+(U501*Settings!$B$4)+(V501*Settings!$B$5)+(X501*Settings!$B$9)+(AA501*Settings!$B$6)+(W501*Settings!$B$8)+(AB501*Settings!$B$7)+(AC501*Settings!$B$14)+(AD501*Settings!$B$15)+(AE501*Settings!$B$16)+(AF501*Settings!$B$17)+(AG501*Settings!$B$18)+(U501*Settings!$B$13)+(Y501*Settings!$B$10)+(Z501*Settings!$B$11),VLOOKUP(B501,'Standard Deviations'!A1:C731,3,FALSE))</f>
        <v>-4.9647593938615895</v>
      </c>
      <c r="J501" s="37">
        <f t="shared" si="44"/>
        <v>-6.0545846266604753E-2</v>
      </c>
      <c r="K501" s="183">
        <f>VLOOKUP(B501,D!A1:F229,6,FALSE)</f>
        <v>-6.9064999374958997</v>
      </c>
      <c r="L501" s="36">
        <f t="shared" si="45"/>
        <v>-9.0636482119368758</v>
      </c>
      <c r="M501" s="52" t="str">
        <f>IF(Settings!$E$9="YAHOO",VLOOKUP(B501,ADP!A1:E731,2,FALSE),IF(Settings!$E$9="ESPN",VLOOKUP(B501,ADP!A1:E731,3,FALSE),IF(Settings!$E$9="FANTRAX",VLOOKUP(B501,ADP!A1:E731,4,FALSE),VLOOKUP(B501,ADP!A1:E731,5,FALSE))))</f>
        <v>-</v>
      </c>
      <c r="N501" s="52" t="str">
        <f t="shared" si="46"/>
        <v>N/A</v>
      </c>
      <c r="O501" s="38"/>
      <c r="P501" s="39" t="str">
        <f>IF(Settings!$E$27="ON",_xlfn.XLOOKUP(B501,ADP!A2:A731,ADP!H2:H731)," ")</f>
        <v xml:space="preserve"> </v>
      </c>
      <c r="Q501" s="40">
        <f>IF(Settings!$E$12="YES",VLOOKUP(B501,'Player Data'!A1:E734,5,FALSE),82)</f>
        <v>82</v>
      </c>
      <c r="R501" s="38">
        <f>VLOOKUP(B501,'Player Data'!$A1:$AE734,6,FALSE)</f>
        <v>13.629156639835401</v>
      </c>
      <c r="S501" s="40">
        <f>VLOOKUP(B501,'Player Data'!$A1:$AE734,7,FALSE)*$Q501*IFERROR((VLOOKUP(P501,Settings!$E$28:$F$33,2,FALSE)+1),1)</f>
        <v>3.8019640212074028</v>
      </c>
      <c r="T501" s="40">
        <f>VLOOKUP(B501,'Player Data'!$A1:$AE734,8,FALSE)*$Q501*IFERROR((VLOOKUP(P501,Settings!$E$28:$F$33,2,FALSE)+1),1)</f>
        <v>9.2246185201218474</v>
      </c>
      <c r="U501" s="40">
        <f t="shared" si="47"/>
        <v>13.026582541329251</v>
      </c>
      <c r="V501" s="40">
        <f>VLOOKUP(B501,'Player Data'!$A1:$AE734,10,FALSE)*$Q501*IFERROR(((VLOOKUP(P501,Settings!$E$28:$F$33,2,FALSE)/2)+1),1)</f>
        <v>91.45331122117247</v>
      </c>
      <c r="W501" s="40">
        <f>VLOOKUP(B501,'Player Data'!$A1:$AE734,11,FALSE)*$Q501*IFERROR((VLOOKUP(P501,Settings!$E$28:$F$33,2,FALSE)+1),1)</f>
        <v>1.1460674287322939E-2</v>
      </c>
      <c r="X501" s="40">
        <f>VLOOKUP(B501,'Player Data'!$A1:$AE734,12,FALSE)*$Q501*IFERROR((VLOOKUP(P501,Settings!$E$28:$F$33,2,FALSE)+1),1)</f>
        <v>7.2094974694278169E-2</v>
      </c>
      <c r="Y501" s="40">
        <f>VLOOKUP(B501,'Player Data'!$A1:$AE734,13,FALSE)*$Q501</f>
        <v>0.25246979146763104</v>
      </c>
      <c r="Z501" s="40">
        <f>VLOOKUP(B501,'Player Data'!$A1:$AE734,14,FALSE)*$Q501</f>
        <v>0.53656471474038625</v>
      </c>
      <c r="AA501" s="40">
        <f>VLOOKUP(B501,'Player Data'!$A1:$AE734,15,FALSE)*$Q501</f>
        <v>67.962091192882937</v>
      </c>
      <c r="AB501" s="40">
        <f>VLOOKUP(B501,'Player Data'!$A1:$AE734,16,FALSE)*$Q501</f>
        <v>91.657197164612427</v>
      </c>
      <c r="AC501" s="40">
        <f>VLOOKUP(B501,'Player Data'!$A1:$AE734,17,FALSE)*$Q501*IFERROR((VLOOKUP(P501,Settings!$E$28:$F$33,2,FALSE)+1),1)</f>
        <v>7.3206320105658316</v>
      </c>
      <c r="AD501" s="40">
        <f>VLOOKUP(B501,'Player Data'!$A1:$AE734,18,FALSE)*$Q501</f>
        <v>35.071170970759027</v>
      </c>
      <c r="AE501" s="40">
        <f>VLOOKUP(B501,'Player Data'!$A1:$AE734,19,FALSE)*$Q501*IFERROR((VLOOKUP(P501,Settings!$E$28:$F$33,2,FALSE)+1),1)</f>
        <v>0.6821574778170727</v>
      </c>
      <c r="AF501" s="40">
        <f>VLOOKUP(B501,'Player Data'!$A1:$AE734,20,FALSE)*$Q501</f>
        <v>0</v>
      </c>
      <c r="AG501" s="40">
        <f>VLOOKUP(B501,'Player Data'!$A1:$AE734,21,FALSE)*$Q501</f>
        <v>0</v>
      </c>
      <c r="AH501" s="41">
        <f>VLOOKUP(B501,'Player Data'!$A1:$AE734,22,FALSE)</f>
        <v>0</v>
      </c>
      <c r="AI501" s="38"/>
      <c r="AJ501" s="42"/>
      <c r="AK501" s="40"/>
      <c r="AL501" s="40"/>
      <c r="AM501" s="40"/>
      <c r="AN501" s="40"/>
      <c r="AO501" s="40"/>
      <c r="AP501" s="40"/>
      <c r="AQ501" s="43"/>
      <c r="AR501" s="44"/>
      <c r="AS501" s="38"/>
    </row>
    <row r="502" spans="1:45" ht="21.2" customHeight="1">
      <c r="A502" s="181">
        <f t="shared" si="43"/>
        <v>501</v>
      </c>
      <c r="B502" s="8" t="s">
        <v>624</v>
      </c>
      <c r="C502" s="31" t="s">
        <v>104</v>
      </c>
      <c r="D502" s="32" t="str">
        <f>VLOOKUP(B502,'Player Data'!A1:D734,4,FALSE)</f>
        <v>D</v>
      </c>
      <c r="E502" s="47">
        <f>VLOOKUP(B502,D!A1:C229,3,FALSE)</f>
        <v>196</v>
      </c>
      <c r="F502" s="34" t="str">
        <f>VLOOKUP(B502,'Player Data'!A1:B734,2,FALSE)</f>
        <v>ANA</v>
      </c>
      <c r="G502" s="9">
        <f>VLOOKUP(B502,'Player Data'!A1:D734,3,FALSE)</f>
        <v>26</v>
      </c>
      <c r="H502" s="35">
        <f>IFERROR(VLOOKUP(B502,ADP!A1:G731,7,FALSE)/1000000,VLOOKUP(B502,ADP!A1:G731,7,FALSE))</f>
        <v>0</v>
      </c>
      <c r="I502" s="36">
        <f>IF(Settings!$E$15="POINTS",((R502*Q502)*Settings!$B$12)+(S502*Settings!$B$2)+(T502*Settings!$B$3)+(U502*Settings!$B$4)+(V502*Settings!$B$5)+(X502*Settings!$B$9)+(AA502*Settings!$B$6)+(W502*Settings!$B$8)+(AB502*Settings!$B$7)+(AC502*Settings!$B$14)+(AD502*Settings!$B$15)+(AE502*Settings!$B$16)+(AF502*Settings!$B$17)+(AG502*Settings!$B$18)+(U502*Settings!$B$13)+(Y502*Settings!$B$10)+(Z502*Settings!$B$11),VLOOKUP(B502,'Standard Deviations'!A1:C731,3,FALSE))</f>
        <v>-4.9831003881560445</v>
      </c>
      <c r="J502" s="37">
        <f t="shared" si="44"/>
        <v>-6.0769516928732253E-2</v>
      </c>
      <c r="K502" s="183">
        <f>VLOOKUP(B502,D!A1:F229,6,FALSE)</f>
        <v>-6.9248409317903548</v>
      </c>
      <c r="L502" s="49" t="str">
        <f t="shared" si="45"/>
        <v>N/A</v>
      </c>
      <c r="M502" s="52" t="str">
        <f>IF(Settings!$E$9="YAHOO",VLOOKUP(B502,ADP!A1:E731,2,FALSE),IF(Settings!$E$9="ESPN",VLOOKUP(B502,ADP!A1:E731,3,FALSE),IF(Settings!$E$9="FANTRAX",VLOOKUP(B502,ADP!A1:E731,4,FALSE),VLOOKUP(B502,ADP!A1:E731,5,FALSE))))</f>
        <v>-</v>
      </c>
      <c r="N502" s="52" t="str">
        <f t="shared" si="46"/>
        <v>N/A</v>
      </c>
      <c r="O502" s="38"/>
      <c r="P502" s="39" t="str">
        <f>IF(Settings!$E$27="ON",_xlfn.XLOOKUP(B502,ADP!A2:A731,ADP!H2:H731)," ")</f>
        <v xml:space="preserve"> </v>
      </c>
      <c r="Q502" s="40">
        <f>IF(Settings!$E$12="YES",VLOOKUP(B502,'Player Data'!A1:E734,5,FALSE),82)</f>
        <v>82</v>
      </c>
      <c r="R502" s="38">
        <f>VLOOKUP(B502,'Player Data'!$A1:$AE734,6,FALSE)</f>
        <v>16.5139484230831</v>
      </c>
      <c r="S502" s="40">
        <f>VLOOKUP(B502,'Player Data'!$A1:$AE734,7,FALSE)*$Q502*IFERROR((VLOOKUP(P502,Settings!$E$28:$F$33,2,FALSE)+1),1)</f>
        <v>1.7608779811354971</v>
      </c>
      <c r="T502" s="40">
        <f>VLOOKUP(B502,'Player Data'!$A1:$AE734,8,FALSE)*$Q502*IFERROR((VLOOKUP(P502,Settings!$E$28:$F$33,2,FALSE)+1),1)</f>
        <v>14.23224471364377</v>
      </c>
      <c r="U502" s="40">
        <f t="shared" si="47"/>
        <v>15.993122694779267</v>
      </c>
      <c r="V502" s="40">
        <f>VLOOKUP(B502,'Player Data'!$A1:$AE734,10,FALSE)*$Q502*IFERROR(((VLOOKUP(P502,Settings!$E$28:$F$33,2,FALSE)/2)+1),1)</f>
        <v>71.986848418295409</v>
      </c>
      <c r="W502" s="40">
        <f>VLOOKUP(B502,'Player Data'!$A1:$AE734,11,FALSE)*$Q502*IFERROR((VLOOKUP(P502,Settings!$E$28:$F$33,2,FALSE)+1),1)</f>
        <v>2.6900467160032505E-2</v>
      </c>
      <c r="X502" s="40">
        <f>VLOOKUP(B502,'Player Data'!$A1:$AE734,12,FALSE)*$Q502*IFERROR((VLOOKUP(P502,Settings!$E$28:$F$33,2,FALSE)+1),1)</f>
        <v>0.16908276495885485</v>
      </c>
      <c r="Y502" s="40">
        <f>VLOOKUP(B502,'Player Data'!$A1:$AE734,13,FALSE)*$Q502</f>
        <v>4.5511413063573612E-2</v>
      </c>
      <c r="Z502" s="40">
        <f>VLOOKUP(B502,'Player Data'!$A1:$AE734,14,FALSE)*$Q502</f>
        <v>0.20143780234636474</v>
      </c>
      <c r="AA502" s="40">
        <f>VLOOKUP(B502,'Player Data'!$A1:$AE734,15,FALSE)*$Q502</f>
        <v>80.772599127385092</v>
      </c>
      <c r="AB502" s="40">
        <f>VLOOKUP(B502,'Player Data'!$A1:$AE734,16,FALSE)*$Q502</f>
        <v>87.843933851038145</v>
      </c>
      <c r="AC502" s="40">
        <f>VLOOKUP(B502,'Player Data'!$A1:$AE734,17,FALSE)*$Q502*IFERROR((VLOOKUP(P502,Settings!$E$28:$F$33,2,FALSE)+1),1)</f>
        <v>-9.0504359715713125</v>
      </c>
      <c r="AD502" s="40">
        <f>VLOOKUP(B502,'Player Data'!$A1:$AE734,18,FALSE)*$Q502</f>
        <v>25.124254527187293</v>
      </c>
      <c r="AE502" s="40">
        <f>VLOOKUP(B502,'Player Data'!$A1:$AE734,19,FALSE)*$Q502*IFERROR((VLOOKUP(P502,Settings!$E$28:$F$33,2,FALSE)+1),1)</f>
        <v>0.16880309110388703</v>
      </c>
      <c r="AF502" s="40">
        <f>VLOOKUP(B502,'Player Data'!$A1:$AE734,20,FALSE)*$Q502</f>
        <v>0</v>
      </c>
      <c r="AG502" s="40">
        <f>VLOOKUP(B502,'Player Data'!$A1:$AE734,21,FALSE)*$Q502</f>
        <v>0</v>
      </c>
      <c r="AH502" s="41">
        <f>VLOOKUP(B502,'Player Data'!$A1:$AE734,22,FALSE)</f>
        <v>0</v>
      </c>
      <c r="AI502" s="38"/>
      <c r="AJ502" s="40"/>
      <c r="AK502" s="40"/>
      <c r="AL502" s="40"/>
      <c r="AM502" s="40"/>
      <c r="AN502" s="40"/>
      <c r="AO502" s="40"/>
      <c r="AP502" s="40"/>
      <c r="AQ502" s="43"/>
      <c r="AR502" s="44"/>
      <c r="AS502" s="38"/>
    </row>
    <row r="503" spans="1:45" ht="21.2" customHeight="1">
      <c r="A503" s="181">
        <f t="shared" si="43"/>
        <v>502</v>
      </c>
      <c r="B503" s="8" t="s">
        <v>539</v>
      </c>
      <c r="C503" s="31" t="s">
        <v>104</v>
      </c>
      <c r="D503" s="32" t="str">
        <f>VLOOKUP(B503,'Player Data'!A1:D734,4,FALSE)</f>
        <v>D</v>
      </c>
      <c r="E503" s="47">
        <f>VLOOKUP(B503,D!A1:C229,3,FALSE)</f>
        <v>197</v>
      </c>
      <c r="F503" s="34" t="str">
        <f>VLOOKUP(B503,'Player Data'!A1:B734,2,FALSE)</f>
        <v>BOS</v>
      </c>
      <c r="G503" s="9">
        <f>VLOOKUP(B503,'Player Data'!A1:D734,3,FALSE)</f>
        <v>31</v>
      </c>
      <c r="H503" s="35">
        <f>IFERROR(VLOOKUP(B503,ADP!A1:G731,7,FALSE)/1000000,VLOOKUP(B503,ADP!A1:G731,7,FALSE))</f>
        <v>3</v>
      </c>
      <c r="I503" s="36">
        <f>IF(Settings!$E$15="POINTS",((R503*Q503)*Settings!$B$12)+(S503*Settings!$B$2)+(T503*Settings!$B$3)+(U503*Settings!$B$4)+(V503*Settings!$B$5)+(X503*Settings!$B$9)+(AA503*Settings!$B$6)+(W503*Settings!$B$8)+(AB503*Settings!$B$7)+(AC503*Settings!$B$14)+(AD503*Settings!$B$15)+(AE503*Settings!$B$16)+(AF503*Settings!$B$17)+(AG503*Settings!$B$18)+(U503*Settings!$B$13)+(Y503*Settings!$B$10)+(Z503*Settings!$B$11),VLOOKUP(B503,'Standard Deviations'!A1:C731,3,FALSE))</f>
        <v>-4.9840902076760285</v>
      </c>
      <c r="J503" s="37">
        <f t="shared" si="44"/>
        <v>-6.078158789848815E-2</v>
      </c>
      <c r="K503" s="183">
        <f>VLOOKUP(B503,D!A1:F229,6,FALSE)</f>
        <v>-6.9258307513103397</v>
      </c>
      <c r="L503" s="36">
        <f t="shared" si="45"/>
        <v>-2.30861025043678</v>
      </c>
      <c r="M503" s="52" t="str">
        <f>IF(Settings!$E$9="YAHOO",VLOOKUP(B503,ADP!A1:E731,2,FALSE),IF(Settings!$E$9="ESPN",VLOOKUP(B503,ADP!A1:E731,3,FALSE),IF(Settings!$E$9="FANTRAX",VLOOKUP(B503,ADP!A1:E731,4,FALSE),VLOOKUP(B503,ADP!A1:E731,5,FALSE))))</f>
        <v>-</v>
      </c>
      <c r="N503" s="52" t="str">
        <f t="shared" si="46"/>
        <v>N/A</v>
      </c>
      <c r="O503" s="38"/>
      <c r="P503" s="39" t="str">
        <f>IF(Settings!$E$27="ON",_xlfn.XLOOKUP(B503,ADP!A2:A731,ADP!H2:H731)," ")</f>
        <v xml:space="preserve"> </v>
      </c>
      <c r="Q503" s="40">
        <f>IF(Settings!$E$12="YES",VLOOKUP(B503,'Player Data'!A1:E734,5,FALSE),82)</f>
        <v>82</v>
      </c>
      <c r="R503" s="38">
        <f>VLOOKUP(B503,'Player Data'!$A1:$AE734,6,FALSE)</f>
        <v>17.565507904034</v>
      </c>
      <c r="S503" s="40">
        <f>VLOOKUP(B503,'Player Data'!$A1:$AE734,7,FALSE)*$Q503*IFERROR((VLOOKUP(P503,Settings!$E$28:$F$33,2,FALSE)+1),1)</f>
        <v>4.6959836462059812</v>
      </c>
      <c r="T503" s="40">
        <f>VLOOKUP(B503,'Player Data'!$A1:$AE734,8,FALSE)*$Q503*IFERROR((VLOOKUP(P503,Settings!$E$28:$F$33,2,FALSE)+1),1)</f>
        <v>11.15943094048157</v>
      </c>
      <c r="U503" s="40">
        <f t="shared" si="47"/>
        <v>15.855414586687552</v>
      </c>
      <c r="V503" s="40">
        <f>VLOOKUP(B503,'Player Data'!$A1:$AE734,10,FALSE)*$Q503*IFERROR(((VLOOKUP(P503,Settings!$E$28:$F$33,2,FALSE)/2)+1),1)</f>
        <v>69.07310123809647</v>
      </c>
      <c r="W503" s="40">
        <f>VLOOKUP(B503,'Player Data'!$A1:$AE734,11,FALSE)*$Q503*IFERROR((VLOOKUP(P503,Settings!$E$28:$F$33,2,FALSE)+1),1)</f>
        <v>1.8920442777867696E-2</v>
      </c>
      <c r="X503" s="40">
        <f>VLOOKUP(B503,'Player Data'!$A1:$AE734,12,FALSE)*$Q503*IFERROR((VLOOKUP(P503,Settings!$E$28:$F$33,2,FALSE)+1),1)</f>
        <v>0.12606090230696276</v>
      </c>
      <c r="Y503" s="40">
        <f>VLOOKUP(B503,'Player Data'!$A1:$AE734,13,FALSE)*$Q503</f>
        <v>1.1392223037975036</v>
      </c>
      <c r="Z503" s="40">
        <f>VLOOKUP(B503,'Player Data'!$A1:$AE734,14,FALSE)*$Q503</f>
        <v>1.4879044150887302</v>
      </c>
      <c r="AA503" s="40">
        <f>VLOOKUP(B503,'Player Data'!$A1:$AE734,15,FALSE)*$Q503</f>
        <v>122.83677608003987</v>
      </c>
      <c r="AB503" s="40">
        <f>VLOOKUP(B503,'Player Data'!$A1:$AE734,16,FALSE)*$Q503</f>
        <v>139.33313251708825</v>
      </c>
      <c r="AC503" s="40">
        <f>VLOOKUP(B503,'Player Data'!$A1:$AE734,17,FALSE)*$Q503*IFERROR((VLOOKUP(P503,Settings!$E$28:$F$33,2,FALSE)+1),1)</f>
        <v>1.9027892113272165</v>
      </c>
      <c r="AD503" s="40">
        <f>VLOOKUP(B503,'Player Data'!$A1:$AE734,18,FALSE)*$Q503</f>
        <v>36.420698729622991</v>
      </c>
      <c r="AE503" s="40">
        <f>VLOOKUP(B503,'Player Data'!$A1:$AE734,19,FALSE)*$Q503*IFERROR((VLOOKUP(P503,Settings!$E$28:$F$33,2,FALSE)+1),1)</f>
        <v>0.7883632401494437</v>
      </c>
      <c r="AF503" s="40">
        <f>VLOOKUP(B503,'Player Data'!$A1:$AE734,20,FALSE)*$Q503</f>
        <v>0</v>
      </c>
      <c r="AG503" s="40">
        <f>VLOOKUP(B503,'Player Data'!$A1:$AE734,21,FALSE)*$Q503</f>
        <v>0</v>
      </c>
      <c r="AH503" s="41">
        <f>VLOOKUP(B503,'Player Data'!$A1:$AE734,22,FALSE)</f>
        <v>0</v>
      </c>
      <c r="AI503" s="38"/>
      <c r="AJ503" s="42"/>
      <c r="AK503" s="40"/>
      <c r="AL503" s="40"/>
      <c r="AM503" s="40"/>
      <c r="AN503" s="40"/>
      <c r="AO503" s="40"/>
      <c r="AP503" s="40"/>
      <c r="AQ503" s="43"/>
      <c r="AR503" s="44"/>
      <c r="AS503" s="38"/>
    </row>
    <row r="504" spans="1:45" ht="21.2" customHeight="1">
      <c r="A504" s="181">
        <f t="shared" si="43"/>
        <v>503</v>
      </c>
      <c r="B504" s="8" t="s">
        <v>579</v>
      </c>
      <c r="C504" s="31" t="s">
        <v>104</v>
      </c>
      <c r="D504" s="32" t="str">
        <f>VLOOKUP(B504,'Player Data'!A1:D734,4,FALSE)</f>
        <v>D</v>
      </c>
      <c r="E504" s="47">
        <f>VLOOKUP(B504,D!A1:C229,3,FALSE)</f>
        <v>198</v>
      </c>
      <c r="F504" s="34" t="str">
        <f>VLOOKUP(B504,'Player Data'!A1:B734,2,FALSE)</f>
        <v>STL</v>
      </c>
      <c r="G504" s="9">
        <f>VLOOKUP(B504,'Player Data'!A1:D734,3,FALSE)</f>
        <v>33</v>
      </c>
      <c r="H504" s="35">
        <f>IFERROR(VLOOKUP(B504,ADP!A1:G731,7,FALSE)/1000000,VLOOKUP(B504,ADP!A1:G731,7,FALSE))</f>
        <v>3.2749999999999999</v>
      </c>
      <c r="I504" s="36">
        <f>IF(Settings!$E$15="POINTS",((R504*Q504)*Settings!$B$12)+(S504*Settings!$B$2)+(T504*Settings!$B$3)+(U504*Settings!$B$4)+(V504*Settings!$B$5)+(X504*Settings!$B$9)+(AA504*Settings!$B$6)+(W504*Settings!$B$8)+(AB504*Settings!$B$7)+(AC504*Settings!$B$14)+(AD504*Settings!$B$15)+(AE504*Settings!$B$16)+(AF504*Settings!$B$17)+(AG504*Settings!$B$18)+(U504*Settings!$B$13)+(Y504*Settings!$B$10)+(Z504*Settings!$B$11),VLOOKUP(B504,'Standard Deviations'!A1:C731,3,FALSE))</f>
        <v>-4.9909045305745527</v>
      </c>
      <c r="J504" s="37">
        <f t="shared" si="44"/>
        <v>-6.0864689397250642E-2</v>
      </c>
      <c r="K504" s="183">
        <f>VLOOKUP(B504,D!A1:F229,6,FALSE)</f>
        <v>-6.9326450742088639</v>
      </c>
      <c r="L504" s="36">
        <f t="shared" si="45"/>
        <v>-2.1168381905981266</v>
      </c>
      <c r="M504" s="52" t="str">
        <f>IF(Settings!$E$9="YAHOO",VLOOKUP(B504,ADP!A1:E731,2,FALSE),IF(Settings!$E$9="ESPN",VLOOKUP(B504,ADP!A1:E731,3,FALSE),IF(Settings!$E$9="FANTRAX",VLOOKUP(B504,ADP!A1:E731,4,FALSE),VLOOKUP(B504,ADP!A1:E731,5,FALSE))))</f>
        <v>-</v>
      </c>
      <c r="N504" s="52" t="str">
        <f t="shared" si="46"/>
        <v>N/A</v>
      </c>
      <c r="O504" s="38"/>
      <c r="P504" s="39" t="str">
        <f>IF(Settings!$E$27="ON",_xlfn.XLOOKUP(B504,ADP!A2:A731,ADP!H2:H731)," ")</f>
        <v xml:space="preserve"> </v>
      </c>
      <c r="Q504" s="40">
        <f>IF(Settings!$E$12="YES",VLOOKUP(B504,'Player Data'!A1:E734,5,FALSE),82)</f>
        <v>82</v>
      </c>
      <c r="R504" s="38">
        <f>VLOOKUP(B504,'Player Data'!$A1:$AE734,6,FALSE)</f>
        <v>17.720280807926802</v>
      </c>
      <c r="S504" s="40">
        <f>VLOOKUP(B504,'Player Data'!$A1:$AE734,7,FALSE)*$Q504*IFERROR((VLOOKUP(P504,Settings!$E$28:$F$33,2,FALSE)+1),1)</f>
        <v>3.3760670877172365</v>
      </c>
      <c r="T504" s="40">
        <f>VLOOKUP(B504,'Player Data'!$A1:$AE734,8,FALSE)*$Q504*IFERROR((VLOOKUP(P504,Settings!$E$28:$F$33,2,FALSE)+1),1)</f>
        <v>10.536802850329041</v>
      </c>
      <c r="U504" s="40">
        <f t="shared" si="47"/>
        <v>13.912869938046278</v>
      </c>
      <c r="V504" s="40">
        <f>VLOOKUP(B504,'Player Data'!$A1:$AE734,10,FALSE)*$Q504*IFERROR(((VLOOKUP(P504,Settings!$E$28:$F$33,2,FALSE)/2)+1),1)</f>
        <v>83.683905084770103</v>
      </c>
      <c r="W504" s="40">
        <f>VLOOKUP(B504,'Player Data'!$A1:$AE734,11,FALSE)*$Q504*IFERROR((VLOOKUP(P504,Settings!$E$28:$F$33,2,FALSE)+1),1)</f>
        <v>2.5861648476199976E-2</v>
      </c>
      <c r="X504" s="40">
        <f>VLOOKUP(B504,'Player Data'!$A1:$AE734,12,FALSE)*$Q504*IFERROR((VLOOKUP(P504,Settings!$E$28:$F$33,2,FALSE)+1),1)</f>
        <v>0.17931458439197187</v>
      </c>
      <c r="Y504" s="40">
        <f>VLOOKUP(B504,'Player Data'!$A1:$AE734,13,FALSE)*$Q504</f>
        <v>-2.8726051440190414E-2</v>
      </c>
      <c r="Z504" s="40">
        <f>VLOOKUP(B504,'Player Data'!$A1:$AE734,14,FALSE)*$Q504</f>
        <v>1.1859164468319532</v>
      </c>
      <c r="AA504" s="40">
        <f>VLOOKUP(B504,'Player Data'!$A1:$AE734,15,FALSE)*$Q504</f>
        <v>101.14515865286138</v>
      </c>
      <c r="AB504" s="40">
        <f>VLOOKUP(B504,'Player Data'!$A1:$AE734,16,FALSE)*$Q504</f>
        <v>113.7731579894986</v>
      </c>
      <c r="AC504" s="40">
        <f>VLOOKUP(B504,'Player Data'!$A1:$AE734,17,FALSE)*$Q504*IFERROR((VLOOKUP(P504,Settings!$E$28:$F$33,2,FALSE)+1),1)</f>
        <v>-3.7985017758062174</v>
      </c>
      <c r="AD504" s="40">
        <f>VLOOKUP(B504,'Player Data'!$A1:$AE734,18,FALSE)*$Q504</f>
        <v>28.484082599275876</v>
      </c>
      <c r="AE504" s="40">
        <f>VLOOKUP(B504,'Player Data'!$A1:$AE734,19,FALSE)*$Q504*IFERROR((VLOOKUP(P504,Settings!$E$28:$F$33,2,FALSE)+1),1)</f>
        <v>0.38849326206476331</v>
      </c>
      <c r="AF504" s="40">
        <f>VLOOKUP(B504,'Player Data'!$A1:$AE734,20,FALSE)*$Q504</f>
        <v>0</v>
      </c>
      <c r="AG504" s="40">
        <f>VLOOKUP(B504,'Player Data'!$A1:$AE734,21,FALSE)*$Q504</f>
        <v>0</v>
      </c>
      <c r="AH504" s="41">
        <f>VLOOKUP(B504,'Player Data'!$A1:$AE734,22,FALSE)</f>
        <v>0</v>
      </c>
      <c r="AI504" s="38"/>
      <c r="AJ504" s="42"/>
      <c r="AK504" s="40"/>
      <c r="AL504" s="40"/>
      <c r="AM504" s="40"/>
      <c r="AN504" s="40"/>
      <c r="AO504" s="40"/>
      <c r="AP504" s="40"/>
      <c r="AQ504" s="43"/>
      <c r="AR504" s="44"/>
      <c r="AS504" s="38"/>
    </row>
    <row r="505" spans="1:45" ht="21.2" customHeight="1">
      <c r="A505" s="181">
        <f t="shared" si="43"/>
        <v>504</v>
      </c>
      <c r="B505" s="8" t="s">
        <v>490</v>
      </c>
      <c r="C505" s="31" t="s">
        <v>104</v>
      </c>
      <c r="D505" s="32" t="str">
        <f>VLOOKUP(B505,'Player Data'!A1:D734,4,FALSE)</f>
        <v>C,RW</v>
      </c>
      <c r="E505" s="45">
        <f>VLOOKUP(B505,RW!A1:F189,3,FALSE)</f>
        <v>115</v>
      </c>
      <c r="F505" s="34" t="str">
        <f>VLOOKUP(B505,'Player Data'!A1:B734,2,FALSE)</f>
        <v>MIN</v>
      </c>
      <c r="G505" s="9">
        <f>VLOOKUP(B505,'Player Data'!A1:D734,3,FALSE)</f>
        <v>30</v>
      </c>
      <c r="H505" s="35">
        <f>IFERROR(VLOOKUP(B505,ADP!A1:G731,7,FALSE)/1000000,VLOOKUP(B505,ADP!A1:G731,7,FALSE))</f>
        <v>2.1</v>
      </c>
      <c r="I505" s="36">
        <f>IF(Settings!$E$15="POINTS",((R505*Q505)*Settings!$B$12)+(S505*Settings!$B$2)+(T505*Settings!$B$3)+(U505*Settings!$B$4)+(V505*Settings!$B$5)+(X505*Settings!$B$9)+(AA505*Settings!$B$6)+(W505*Settings!$B$8)+(AB505*Settings!$B$7)+(AC505*Settings!$B$14)+(AD505*Settings!$B$15)+(AE505*Settings!$B$16)+(AF505*Settings!$B$17)+(AG505*Settings!$B$18)+(Y505*Settings!$B$10)+(Z505*Settings!$B$11),VLOOKUP(B505,'Standard Deviations'!A1:C731,3,FALSE))</f>
        <v>-0.66902699317565273</v>
      </c>
      <c r="J505" s="37">
        <f t="shared" si="44"/>
        <v>-8.1588657704347901E-3</v>
      </c>
      <c r="K505" s="183">
        <f>IF(Settings!$E$18="C/LW/RW",VLOOKUP(B505,RW!A1:F189,6,FALSE),VLOOKUP(B505,F!A1:F431,6,FALSE))</f>
        <v>-6.9492857121867333</v>
      </c>
      <c r="L505" s="36">
        <f t="shared" si="45"/>
        <v>-3.3091836724698727</v>
      </c>
      <c r="M505" s="52" t="str">
        <f>IF(Settings!$E$9="YAHOO",VLOOKUP(B505,ADP!A1:E731,2,FALSE),IF(Settings!$E$9="ESPN",VLOOKUP(B505,ADP!A1:E731,3,FALSE),IF(Settings!$E$9="FANTRAX",VLOOKUP(B505,ADP!A1:E731,4,FALSE),VLOOKUP(B505,ADP!A1:E731,5,FALSE))))</f>
        <v>-</v>
      </c>
      <c r="N505" s="52" t="str">
        <f t="shared" si="46"/>
        <v>N/A</v>
      </c>
      <c r="O505" s="38"/>
      <c r="P505" s="39" t="str">
        <f>IF(Settings!$E$27="ON",_xlfn.XLOOKUP(B505,ADP!A2:A731,ADP!H2:H731)," ")</f>
        <v xml:space="preserve"> </v>
      </c>
      <c r="Q505" s="40">
        <f>IF(Settings!$E$12="YES",VLOOKUP(B505,'Player Data'!A1:E734,5,FALSE),82)</f>
        <v>82</v>
      </c>
      <c r="R505" s="38">
        <f>VLOOKUP(B505,'Player Data'!$A1:$AE734,6,FALSE)</f>
        <v>15.839862500000001</v>
      </c>
      <c r="S505" s="40">
        <f>VLOOKUP(B505,'Player Data'!$A1:$AE734,7,FALSE)*$Q505*IFERROR((VLOOKUP(P505,Settings!$E$28:$F$33,2,FALSE)+1),1)</f>
        <v>15.548999871182165</v>
      </c>
      <c r="T505" s="40">
        <f>VLOOKUP(B505,'Player Data'!$A1:$AE734,8,FALSE)*$Q505*IFERROR((VLOOKUP(P505,Settings!$E$28:$F$33,2,FALSE)+1),1)</f>
        <v>23.2664116758936</v>
      </c>
      <c r="U505" s="40">
        <f t="shared" si="47"/>
        <v>38.815411547075769</v>
      </c>
      <c r="V505" s="40">
        <f>VLOOKUP(B505,'Player Data'!$A1:$AE734,10,FALSE)*$Q505*IFERROR(((VLOOKUP(P505,Settings!$E$28:$F$33,2,FALSE)/2)+1),1)</f>
        <v>135.31428781102207</v>
      </c>
      <c r="W505" s="40">
        <f>VLOOKUP(B505,'Player Data'!$A1:$AE734,11,FALSE)*$Q505*IFERROR((VLOOKUP(P505,Settings!$E$28:$F$33,2,FALSE)+1),1)</f>
        <v>1.567510038453277</v>
      </c>
      <c r="X505" s="40">
        <f>VLOOKUP(B505,'Player Data'!$A1:$AE734,12,FALSE)*$Q505*IFERROR((VLOOKUP(P505,Settings!$E$28:$F$33,2,FALSE)+1),1)</f>
        <v>2.8442692777370202</v>
      </c>
      <c r="Y505" s="40">
        <f>VLOOKUP(B505,'Player Data'!$A1:$AE734,13,FALSE)*$Q505</f>
        <v>1.1453845247689705</v>
      </c>
      <c r="Z505" s="40">
        <f>VLOOKUP(B505,'Player Data'!$A1:$AE734,14,FALSE)*$Q505</f>
        <v>2.6011395897652489</v>
      </c>
      <c r="AA505" s="40">
        <f>VLOOKUP(B505,'Player Data'!$A1:$AE734,15,FALSE)*$Q505</f>
        <v>49.959893398057027</v>
      </c>
      <c r="AB505" s="40">
        <f>VLOOKUP(B505,'Player Data'!$A1:$AE734,16,FALSE)*$Q505</f>
        <v>50.465622911895402</v>
      </c>
      <c r="AC505" s="40">
        <f>VLOOKUP(B505,'Player Data'!$A1:$AE734,17,FALSE)*$Q505*IFERROR((VLOOKUP(P505,Settings!$E$28:$F$33,2,FALSE)+1),1)</f>
        <v>2.0736339747389385</v>
      </c>
      <c r="AD505" s="40">
        <f>VLOOKUP(B505,'Player Data'!$A1:$AE734,18,FALSE)*$Q505</f>
        <v>13.824940310768383</v>
      </c>
      <c r="AE505" s="40">
        <f>VLOOKUP(B505,'Player Data'!$A1:$AE734,19,FALSE)*$Q505*IFERROR((VLOOKUP(P505,Settings!$E$28:$F$33,2,FALSE)+1),1)</f>
        <v>2.4968026644630168</v>
      </c>
      <c r="AF505" s="40">
        <f>VLOOKUP(B505,'Player Data'!$A1:$AE734,20,FALSE)*$Q505</f>
        <v>494.07133736327285</v>
      </c>
      <c r="AG505" s="40">
        <f>VLOOKUP(B505,'Player Data'!$A1:$AE734,21,FALSE)*$Q505</f>
        <v>497.50633638045133</v>
      </c>
      <c r="AH505" s="41">
        <f>VLOOKUP(B505,'Player Data'!$A1:$AE734,22,FALSE)</f>
        <v>0.49826791228355899</v>
      </c>
      <c r="AI505" s="38"/>
      <c r="AJ505" s="40"/>
      <c r="AK505" s="40"/>
      <c r="AL505" s="40"/>
      <c r="AM505" s="40"/>
      <c r="AN505" s="40"/>
      <c r="AO505" s="40"/>
      <c r="AP505" s="40"/>
      <c r="AQ505" s="43"/>
      <c r="AR505" s="44"/>
      <c r="AS505" s="38"/>
    </row>
    <row r="506" spans="1:45" ht="21.2" customHeight="1">
      <c r="A506" s="181">
        <f t="shared" si="43"/>
        <v>505</v>
      </c>
      <c r="B506" s="8" t="s">
        <v>519</v>
      </c>
      <c r="C506" s="31" t="s">
        <v>104</v>
      </c>
      <c r="D506" s="32" t="str">
        <f>VLOOKUP(B506,'Player Data'!A1:D734,4,FALSE)</f>
        <v>LW</v>
      </c>
      <c r="E506" s="48">
        <f>VLOOKUP(B506,LW!A1:C227,3,FALSE)</f>
        <v>116</v>
      </c>
      <c r="F506" s="34" t="str">
        <f>VLOOKUP(B506,'Player Data'!A1:B734,2,FALSE)</f>
        <v>NYI</v>
      </c>
      <c r="G506" s="9">
        <f>VLOOKUP(B506,'Player Data'!A1:D734,3,FALSE)</f>
        <v>27</v>
      </c>
      <c r="H506" s="35">
        <f>IFERROR(VLOOKUP(B506,ADP!A1:G731,7,FALSE)/1000000,VLOOKUP(B506,ADP!A1:G731,7,FALSE))</f>
        <v>3</v>
      </c>
      <c r="I506" s="36">
        <f>IF(Settings!$E$15="POINTS",((R506*Q506)*Settings!$B$12)+(S506*Settings!$B$2)+(T506*Settings!$B$3)+(U506*Settings!$B$4)+(V506*Settings!$B$5)+(X506*Settings!$B$9)+(AA506*Settings!$B$6)+(W506*Settings!$B$8)+(AB506*Settings!$B$7)+(AC506*Settings!$B$14)+(AD506*Settings!$B$15)+(AE506*Settings!$B$16)+(AF506*Settings!$B$17)+(AG506*Settings!$B$18)+(Y506*Settings!$B$10)+(Z506*Settings!$B$11),VLOOKUP(B506,'Standard Deviations'!A1:C731,3,FALSE))</f>
        <v>-0.29675405518980102</v>
      </c>
      <c r="J506" s="37">
        <f t="shared" si="44"/>
        <v>-3.6189518925585492E-3</v>
      </c>
      <c r="K506" s="183">
        <f>IF(Settings!$E$18="C/LW/RW",VLOOKUP(B506,LW!A1:F227,6,FALSE),VLOOKUP(B506,F!A1:F431,6,FALSE))</f>
        <v>-6.9514230993142023</v>
      </c>
      <c r="L506" s="36">
        <f t="shared" si="45"/>
        <v>-2.317141033104734</v>
      </c>
      <c r="M506" s="52" t="str">
        <f>IF(Settings!$E$9="YAHOO",VLOOKUP(B506,ADP!A1:E731,2,FALSE),IF(Settings!$E$9="ESPN",VLOOKUP(B506,ADP!A1:E731,3,FALSE),IF(Settings!$E$9="FANTRAX",VLOOKUP(B506,ADP!A1:E731,4,FALSE),VLOOKUP(B506,ADP!A1:E731,5,FALSE))))</f>
        <v>-</v>
      </c>
      <c r="N506" s="52" t="str">
        <f t="shared" si="46"/>
        <v>N/A</v>
      </c>
      <c r="O506" s="38"/>
      <c r="P506" s="39" t="str">
        <f>IF(Settings!$E$27="ON",_xlfn.XLOOKUP(B506,ADP!A2:A731,ADP!H2:H731)," ")</f>
        <v xml:space="preserve"> </v>
      </c>
      <c r="Q506" s="40">
        <f>IF(Settings!$E$12="YES",VLOOKUP(B506,'Player Data'!A1:E734,5,FALSE),82)</f>
        <v>82</v>
      </c>
      <c r="R506" s="38">
        <f>VLOOKUP(B506,'Player Data'!$A1:$AE734,6,FALSE)</f>
        <v>14.714846547559301</v>
      </c>
      <c r="S506" s="40">
        <f>VLOOKUP(B506,'Player Data'!$A1:$AE734,7,FALSE)*$Q506*IFERROR((VLOOKUP(P506,Settings!$E$28:$F$33,2,FALSE)+1),1)</f>
        <v>18.34882689454437</v>
      </c>
      <c r="T506" s="40">
        <f>VLOOKUP(B506,'Player Data'!$A1:$AE734,8,FALSE)*$Q506*IFERROR((VLOOKUP(P506,Settings!$E$28:$F$33,2,FALSE)+1),1)</f>
        <v>18.916652624961319</v>
      </c>
      <c r="U506" s="40">
        <f t="shared" si="47"/>
        <v>37.265479519505689</v>
      </c>
      <c r="V506" s="40">
        <f>VLOOKUP(B506,'Player Data'!$A1:$AE734,10,FALSE)*$Q506*IFERROR(((VLOOKUP(P506,Settings!$E$28:$F$33,2,FALSE)/2)+1),1)</f>
        <v>160.26512529662523</v>
      </c>
      <c r="W506" s="40">
        <f>VLOOKUP(B506,'Player Data'!$A1:$AE734,11,FALSE)*$Q506*IFERROR((VLOOKUP(P506,Settings!$E$28:$F$33,2,FALSE)+1),1)</f>
        <v>1.259605317593802</v>
      </c>
      <c r="X506" s="40">
        <f>VLOOKUP(B506,'Player Data'!$A1:$AE734,12,FALSE)*$Q506*IFERROR((VLOOKUP(P506,Settings!$E$28:$F$33,2,FALSE)+1),1)</f>
        <v>3.535548779034174</v>
      </c>
      <c r="Y506" s="40">
        <f>VLOOKUP(B506,'Player Data'!$A1:$AE734,13,FALSE)*$Q506</f>
        <v>0.41842107619032792</v>
      </c>
      <c r="Z506" s="40">
        <f>VLOOKUP(B506,'Player Data'!$A1:$AE734,14,FALSE)*$Q506</f>
        <v>0.65476599389453127</v>
      </c>
      <c r="AA506" s="40">
        <f>VLOOKUP(B506,'Player Data'!$A1:$AE734,15,FALSE)*$Q506</f>
        <v>13.170891376754863</v>
      </c>
      <c r="AB506" s="40">
        <f>VLOOKUP(B506,'Player Data'!$A1:$AE734,16,FALSE)*$Q506</f>
        <v>65.408232309802017</v>
      </c>
      <c r="AC506" s="40">
        <f>VLOOKUP(B506,'Player Data'!$A1:$AE734,17,FALSE)*$Q506*IFERROR((VLOOKUP(P506,Settings!$E$28:$F$33,2,FALSE)+1),1)</f>
        <v>1.9149036108695863</v>
      </c>
      <c r="AD506" s="40">
        <f>VLOOKUP(B506,'Player Data'!$A1:$AE734,18,FALSE)*$Q506</f>
        <v>30.266281469866719</v>
      </c>
      <c r="AE506" s="40">
        <f>VLOOKUP(B506,'Player Data'!$A1:$AE734,19,FALSE)*$Q506*IFERROR((VLOOKUP(P506,Settings!$E$28:$F$33,2,FALSE)+1),1)</f>
        <v>2.8352948118026422</v>
      </c>
      <c r="AF506" s="40">
        <f>VLOOKUP(B506,'Player Data'!$A1:$AE734,20,FALSE)*$Q506</f>
        <v>52.872337623587235</v>
      </c>
      <c r="AG506" s="40">
        <f>VLOOKUP(B506,'Player Data'!$A1:$AE734,21,FALSE)*$Q506</f>
        <v>60.403023723786518</v>
      </c>
      <c r="AH506" s="41">
        <f>VLOOKUP(B506,'Player Data'!$A1:$AE734,22,FALSE)</f>
        <v>0.46675938169331699</v>
      </c>
      <c r="AI506" s="38"/>
      <c r="AJ506" s="42"/>
      <c r="AK506" s="40"/>
      <c r="AL506" s="40"/>
      <c r="AM506" s="40"/>
      <c r="AN506" s="40"/>
      <c r="AO506" s="40"/>
      <c r="AP506" s="40"/>
      <c r="AQ506" s="43"/>
      <c r="AR506" s="44"/>
      <c r="AS506" s="38"/>
    </row>
    <row r="507" spans="1:45" ht="21.2" customHeight="1">
      <c r="A507" s="181">
        <f t="shared" si="43"/>
        <v>506</v>
      </c>
      <c r="B507" s="8" t="s">
        <v>596</v>
      </c>
      <c r="C507" s="31" t="s">
        <v>104</v>
      </c>
      <c r="D507" s="32" t="str">
        <f>VLOOKUP(B507,'Player Data'!A1:D734,4,FALSE)</f>
        <v>D</v>
      </c>
      <c r="E507" s="47">
        <f>VLOOKUP(B507,D!A1:C229,3,FALSE)</f>
        <v>199</v>
      </c>
      <c r="F507" s="34" t="str">
        <f>VLOOKUP(B507,'Player Data'!A1:B734,2,FALSE)</f>
        <v>WPG</v>
      </c>
      <c r="G507" s="9">
        <f>VLOOKUP(B507,'Player Data'!A1:D734,3,FALSE)</f>
        <v>25</v>
      </c>
      <c r="H507" s="35">
        <f>IFERROR(VLOOKUP(B507,ADP!A1:G731,7,FALSE)/1000000,VLOOKUP(B507,ADP!A1:G731,7,FALSE))</f>
        <v>0</v>
      </c>
      <c r="I507" s="36">
        <f>IF(Settings!$E$15="POINTS",((R507*Q507)*Settings!$B$12)+(S507*Settings!$B$2)+(T507*Settings!$B$3)+(U507*Settings!$B$4)+(V507*Settings!$B$5)+(X507*Settings!$B$9)+(AA507*Settings!$B$6)+(W507*Settings!$B$8)+(AB507*Settings!$B$7)+(AC507*Settings!$B$14)+(AD507*Settings!$B$15)+(AE507*Settings!$B$16)+(AF507*Settings!$B$17)+(AG507*Settings!$B$18)+(U507*Settings!$B$13)+(Y507*Settings!$B$10)+(Z507*Settings!$B$11),VLOOKUP(B507,'Standard Deviations'!A1:C731,3,FALSE))</f>
        <v>-5.033772221980306</v>
      </c>
      <c r="J507" s="37">
        <f t="shared" si="44"/>
        <v>-6.1387466121711053E-2</v>
      </c>
      <c r="K507" s="183">
        <f>VLOOKUP(B507,D!A1:F229,6,FALSE)</f>
        <v>-6.9755127656146172</v>
      </c>
      <c r="L507" s="49" t="str">
        <f t="shared" si="45"/>
        <v>N/A</v>
      </c>
      <c r="M507" s="52" t="str">
        <f>IF(Settings!$E$9="YAHOO",VLOOKUP(B507,ADP!A1:E731,2,FALSE),IF(Settings!$E$9="ESPN",VLOOKUP(B507,ADP!A1:E731,3,FALSE),IF(Settings!$E$9="FANTRAX",VLOOKUP(B507,ADP!A1:E731,4,FALSE),VLOOKUP(B507,ADP!A1:E731,5,FALSE))))</f>
        <v>-</v>
      </c>
      <c r="N507" s="52" t="str">
        <f t="shared" si="46"/>
        <v>N/A</v>
      </c>
      <c r="O507" s="38"/>
      <c r="P507" s="39" t="str">
        <f>IF(Settings!$E$27="ON",_xlfn.XLOOKUP(B507,ADP!A2:A731,ADP!H2:H731)," ")</f>
        <v xml:space="preserve"> </v>
      </c>
      <c r="Q507" s="40">
        <f>IF(Settings!$E$12="YES",VLOOKUP(B507,'Player Data'!A1:E734,5,FALSE),82)</f>
        <v>82</v>
      </c>
      <c r="R507" s="38">
        <f>VLOOKUP(B507,'Player Data'!$A1:$AE734,6,FALSE)</f>
        <v>13.583729425746199</v>
      </c>
      <c r="S507" s="40">
        <f>VLOOKUP(B507,'Player Data'!$A1:$AE734,7,FALSE)*$Q507*IFERROR((VLOOKUP(P507,Settings!$E$28:$F$33,2,FALSE)+1),1)</f>
        <v>2.5141024507128131</v>
      </c>
      <c r="T507" s="40">
        <f>VLOOKUP(B507,'Player Data'!$A1:$AE734,8,FALSE)*$Q507*IFERROR((VLOOKUP(P507,Settings!$E$28:$F$33,2,FALSE)+1),1)</f>
        <v>11.482110566695271</v>
      </c>
      <c r="U507" s="40">
        <f t="shared" si="47"/>
        <v>13.996213017408085</v>
      </c>
      <c r="V507" s="40">
        <f>VLOOKUP(B507,'Player Data'!$A1:$AE734,10,FALSE)*$Q507*IFERROR(((VLOOKUP(P507,Settings!$E$28:$F$33,2,FALSE)/2)+1),1)</f>
        <v>82.815516925089497</v>
      </c>
      <c r="W507" s="40">
        <f>VLOOKUP(B507,'Player Data'!$A1:$AE734,11,FALSE)*$Q507*IFERROR((VLOOKUP(P507,Settings!$E$28:$F$33,2,FALSE)+1),1)</f>
        <v>0</v>
      </c>
      <c r="X507" s="40">
        <f>VLOOKUP(B507,'Player Data'!$A1:$AE734,12,FALSE)*$Q507*IFERROR((VLOOKUP(P507,Settings!$E$28:$F$33,2,FALSE)+1),1)</f>
        <v>0</v>
      </c>
      <c r="Y507" s="40">
        <f>VLOOKUP(B507,'Player Data'!$A1:$AE734,13,FALSE)*$Q507</f>
        <v>4.8081633043604285E-2</v>
      </c>
      <c r="Z507" s="40">
        <f>VLOOKUP(B507,'Player Data'!$A1:$AE734,14,FALSE)*$Q507</f>
        <v>0.56108906288928218</v>
      </c>
      <c r="AA507" s="40">
        <f>VLOOKUP(B507,'Player Data'!$A1:$AE734,15,FALSE)*$Q507</f>
        <v>95.228166151890605</v>
      </c>
      <c r="AB507" s="40">
        <f>VLOOKUP(B507,'Player Data'!$A1:$AE734,16,FALSE)*$Q507</f>
        <v>138.67336401214308</v>
      </c>
      <c r="AC507" s="40">
        <f>VLOOKUP(B507,'Player Data'!$A1:$AE734,17,FALSE)*$Q507*IFERROR((VLOOKUP(P507,Settings!$E$28:$F$33,2,FALSE)+1),1)</f>
        <v>0.67150638607738555</v>
      </c>
      <c r="AD507" s="40">
        <f>VLOOKUP(B507,'Player Data'!$A1:$AE734,18,FALSE)*$Q507</f>
        <v>51.955108393077367</v>
      </c>
      <c r="AE507" s="40">
        <f>VLOOKUP(B507,'Player Data'!$A1:$AE734,19,FALSE)*$Q507*IFERROR((VLOOKUP(P507,Settings!$E$28:$F$33,2,FALSE)+1),1)</f>
        <v>0.39220839746971509</v>
      </c>
      <c r="AF507" s="40">
        <f>VLOOKUP(B507,'Player Data'!$A1:$AE734,20,FALSE)*$Q507</f>
        <v>0</v>
      </c>
      <c r="AG507" s="40">
        <f>VLOOKUP(B507,'Player Data'!$A1:$AE734,21,FALSE)*$Q507</f>
        <v>0</v>
      </c>
      <c r="AH507" s="41">
        <f>VLOOKUP(B507,'Player Data'!$A1:$AE734,22,FALSE)</f>
        <v>0</v>
      </c>
      <c r="AI507" s="38"/>
      <c r="AJ507" s="42"/>
      <c r="AK507" s="40"/>
      <c r="AL507" s="40"/>
      <c r="AM507" s="40"/>
      <c r="AN507" s="40"/>
      <c r="AO507" s="40"/>
      <c r="AP507" s="40"/>
      <c r="AQ507" s="43"/>
      <c r="AR507" s="44"/>
      <c r="AS507" s="42"/>
    </row>
    <row r="508" spans="1:45" ht="21.2" customHeight="1">
      <c r="A508" s="181">
        <f t="shared" si="43"/>
        <v>507</v>
      </c>
      <c r="B508" s="8" t="s">
        <v>548</v>
      </c>
      <c r="C508" s="31" t="s">
        <v>104</v>
      </c>
      <c r="D508" s="32" t="str">
        <f>VLOOKUP(B508,'Player Data'!A1:D734,4,FALSE)</f>
        <v>RW</v>
      </c>
      <c r="E508" s="46">
        <f>VLOOKUP(B508,RW!A1:F189,3,FALSE)</f>
        <v>116</v>
      </c>
      <c r="F508" s="34" t="str">
        <f>VLOOKUP(B508,'Player Data'!A1:B734,2,FALSE)</f>
        <v>SJS</v>
      </c>
      <c r="G508" s="9">
        <f>VLOOKUP(B508,'Player Data'!A1:D734,3,FALSE)</f>
        <v>27</v>
      </c>
      <c r="H508" s="35">
        <f>IFERROR(VLOOKUP(B508,ADP!A1:G731,7,FALSE)/1000000,VLOOKUP(B508,ADP!A1:G731,7,FALSE))</f>
        <v>4.7249999999999996</v>
      </c>
      <c r="I508" s="36">
        <f>IF(Settings!$E$15="POINTS",((R508*Q508)*Settings!$B$12)+(S508*Settings!$B$2)+(T508*Settings!$B$3)+(U508*Settings!$B$4)+(V508*Settings!$B$5)+(X508*Settings!$B$9)+(AA508*Settings!$B$6)+(W508*Settings!$B$8)+(AB508*Settings!$B$7)+(AC508*Settings!$B$14)+(AD508*Settings!$B$15)+(AE508*Settings!$B$16)+(AF508*Settings!$B$17)+(AG508*Settings!$B$18)+(Y508*Settings!$B$10)+(Z508*Settings!$B$11),VLOOKUP(B508,'Standard Deviations'!A1:C731,3,FALSE))</f>
        <v>-0.70583714055063551</v>
      </c>
      <c r="J508" s="37">
        <f t="shared" si="44"/>
        <v>-8.6077700067150667E-3</v>
      </c>
      <c r="K508" s="183">
        <f>IF(Settings!$E$18="C/LW/RW",VLOOKUP(B508,RW!A1:F189,6,FALSE),VLOOKUP(B508,F!A1:F431,6,FALSE))</f>
        <v>-6.9860958595617166</v>
      </c>
      <c r="L508" s="36">
        <f t="shared" si="45"/>
        <v>-1.4785388062564482</v>
      </c>
      <c r="M508" s="52" t="str">
        <f>IF(Settings!$E$9="YAHOO",VLOOKUP(B508,ADP!A1:E731,2,FALSE),IF(Settings!$E$9="ESPN",VLOOKUP(B508,ADP!A1:E731,3,FALSE),IF(Settings!$E$9="FANTRAX",VLOOKUP(B508,ADP!A1:E731,4,FALSE),VLOOKUP(B508,ADP!A1:E731,5,FALSE))))</f>
        <v>-</v>
      </c>
      <c r="N508" s="52" t="str">
        <f t="shared" si="46"/>
        <v>N/A</v>
      </c>
      <c r="O508" s="38"/>
      <c r="P508" s="39" t="str">
        <f>IF(Settings!$E$27="ON",_xlfn.XLOOKUP(B508,ADP!A2:A731,ADP!H2:H731)," ")</f>
        <v xml:space="preserve"> </v>
      </c>
      <c r="Q508" s="40">
        <f>IF(Settings!$E$12="YES",VLOOKUP(B508,'Player Data'!A1:E734,5,FALSE),82)</f>
        <v>82</v>
      </c>
      <c r="R508" s="38">
        <f>VLOOKUP(B508,'Player Data'!$A1:$AE734,6,FALSE)</f>
        <v>14.3090425424712</v>
      </c>
      <c r="S508" s="40">
        <f>VLOOKUP(B508,'Player Data'!$A1:$AE734,7,FALSE)*$Q508*IFERROR((VLOOKUP(P508,Settings!$E$28:$F$33,2,FALSE)+1),1)</f>
        <v>15.86563290178051</v>
      </c>
      <c r="T508" s="40">
        <f>VLOOKUP(B508,'Player Data'!$A1:$AE734,8,FALSE)*$Q508*IFERROR((VLOOKUP(P508,Settings!$E$28:$F$33,2,FALSE)+1),1)</f>
        <v>20.017905505754367</v>
      </c>
      <c r="U508" s="40">
        <f t="shared" si="47"/>
        <v>35.883538407534878</v>
      </c>
      <c r="V508" s="40">
        <f>VLOOKUP(B508,'Player Data'!$A1:$AE734,10,FALSE)*$Q508*IFERROR(((VLOOKUP(P508,Settings!$E$28:$F$33,2,FALSE)/2)+1),1)</f>
        <v>141.12178440466192</v>
      </c>
      <c r="W508" s="40">
        <f>VLOOKUP(B508,'Player Data'!$A1:$AE734,11,FALSE)*$Q508*IFERROR((VLOOKUP(P508,Settings!$E$28:$F$33,2,FALSE)+1),1)</f>
        <v>1.9729929546458378</v>
      </c>
      <c r="X508" s="40">
        <f>VLOOKUP(B508,'Player Data'!$A1:$AE734,12,FALSE)*$Q508*IFERROR((VLOOKUP(P508,Settings!$E$28:$F$33,2,FALSE)+1),1)</f>
        <v>4.8446037694455075</v>
      </c>
      <c r="Y508" s="40">
        <f>VLOOKUP(B508,'Player Data'!$A1:$AE734,13,FALSE)*$Q508</f>
        <v>5.7951728860836376E-4</v>
      </c>
      <c r="Z508" s="40">
        <f>VLOOKUP(B508,'Player Data'!$A1:$AE734,14,FALSE)*$Q508</f>
        <v>1.0961405218936119E-3</v>
      </c>
      <c r="AA508" s="40">
        <f>VLOOKUP(B508,'Player Data'!$A1:$AE734,15,FALSE)*$Q508</f>
        <v>30.840923881534462</v>
      </c>
      <c r="AB508" s="40">
        <f>VLOOKUP(B508,'Player Data'!$A1:$AE734,16,FALSE)*$Q508</f>
        <v>84.409731536908595</v>
      </c>
      <c r="AC508" s="40">
        <f>VLOOKUP(B508,'Player Data'!$A1:$AE734,17,FALSE)*$Q508*IFERROR((VLOOKUP(P508,Settings!$E$28:$F$33,2,FALSE)+1),1)</f>
        <v>0.53825023785656589</v>
      </c>
      <c r="AD508" s="40">
        <f>VLOOKUP(B508,'Player Data'!$A1:$AE734,18,FALSE)*$Q508</f>
        <v>36.705823286128009</v>
      </c>
      <c r="AE508" s="40">
        <f>VLOOKUP(B508,'Player Data'!$A1:$AE734,19,FALSE)*$Q508*IFERROR((VLOOKUP(P508,Settings!$E$28:$F$33,2,FALSE)+1),1)</f>
        <v>1.9698096223247028</v>
      </c>
      <c r="AF508" s="40">
        <f>VLOOKUP(B508,'Player Data'!$A1:$AE734,20,FALSE)*$Q508</f>
        <v>2.7814553406654028</v>
      </c>
      <c r="AG508" s="40">
        <f>VLOOKUP(B508,'Player Data'!$A1:$AE734,21,FALSE)*$Q508</f>
        <v>4.9601387999003936</v>
      </c>
      <c r="AH508" s="41">
        <f>VLOOKUP(B508,'Player Data'!$A1:$AE734,22,FALSE)</f>
        <v>0.35928715587021398</v>
      </c>
      <c r="AI508" s="38"/>
      <c r="AJ508" s="42"/>
      <c r="AK508" s="40"/>
      <c r="AL508" s="40"/>
      <c r="AM508" s="40"/>
      <c r="AN508" s="40"/>
      <c r="AO508" s="40"/>
      <c r="AP508" s="40"/>
      <c r="AQ508" s="43"/>
      <c r="AR508" s="44"/>
      <c r="AS508" s="38"/>
    </row>
    <row r="509" spans="1:45" ht="21.2" customHeight="1">
      <c r="A509" s="181">
        <f t="shared" si="43"/>
        <v>508</v>
      </c>
      <c r="B509" s="8" t="s">
        <v>587</v>
      </c>
      <c r="C509" s="31" t="s">
        <v>104</v>
      </c>
      <c r="D509" s="32" t="str">
        <f>VLOOKUP(B509,'Player Data'!A1:D734,4,FALSE)</f>
        <v>D</v>
      </c>
      <c r="E509" s="47">
        <f>VLOOKUP(B509,D!A1:C229,3,FALSE)</f>
        <v>200</v>
      </c>
      <c r="F509" s="34" t="str">
        <f>VLOOKUP(B509,'Player Data'!A1:B734,2,FALSE)</f>
        <v>CGY</v>
      </c>
      <c r="G509" s="9">
        <f>VLOOKUP(B509,'Player Data'!A1:D734,3,FALSE)</f>
        <v>31</v>
      </c>
      <c r="H509" s="35">
        <f>IFERROR(VLOOKUP(B509,ADP!A1:G731,7,FALSE)/1000000,VLOOKUP(B509,ADP!A1:G731,7,FALSE))</f>
        <v>1.1080000000000001</v>
      </c>
      <c r="I509" s="36">
        <f>IF(Settings!$E$15="POINTS",((R509*Q509)*Settings!$B$12)+(S509*Settings!$B$2)+(T509*Settings!$B$3)+(U509*Settings!$B$4)+(V509*Settings!$B$5)+(X509*Settings!$B$9)+(AA509*Settings!$B$6)+(W509*Settings!$B$8)+(AB509*Settings!$B$7)+(AC509*Settings!$B$14)+(AD509*Settings!$B$15)+(AE509*Settings!$B$16)+(AF509*Settings!$B$17)+(AG509*Settings!$B$18)+(U509*Settings!$B$13)+(Y509*Settings!$B$10)+(Z509*Settings!$B$11),VLOOKUP(B509,'Standard Deviations'!A1:C731,3,FALSE))</f>
        <v>-5.0556467191153436</v>
      </c>
      <c r="J509" s="37">
        <f t="shared" si="44"/>
        <v>-6.1654228281894437E-2</v>
      </c>
      <c r="K509" s="183">
        <f>VLOOKUP(B509,D!A1:F229,6,FALSE)</f>
        <v>-6.9973872627496547</v>
      </c>
      <c r="L509" s="36">
        <f t="shared" si="45"/>
        <v>-6.3153314645755003</v>
      </c>
      <c r="M509" s="52" t="str">
        <f>IF(Settings!$E$9="YAHOO",VLOOKUP(B509,ADP!A1:E731,2,FALSE),IF(Settings!$E$9="ESPN",VLOOKUP(B509,ADP!A1:E731,3,FALSE),IF(Settings!$E$9="FANTRAX",VLOOKUP(B509,ADP!A1:E731,4,FALSE),VLOOKUP(B509,ADP!A1:E731,5,FALSE))))</f>
        <v>-</v>
      </c>
      <c r="N509" s="52" t="str">
        <f t="shared" si="46"/>
        <v>N/A</v>
      </c>
      <c r="O509" s="38"/>
      <c r="P509" s="39" t="str">
        <f>IF(Settings!$E$27="ON",_xlfn.XLOOKUP(B509,ADP!A2:A731,ADP!H2:H731)," ")</f>
        <v xml:space="preserve"> </v>
      </c>
      <c r="Q509" s="40">
        <f>IF(Settings!$E$12="YES",VLOOKUP(B509,'Player Data'!A1:E734,5,FALSE),82)</f>
        <v>82</v>
      </c>
      <c r="R509" s="38">
        <f>VLOOKUP(B509,'Player Data'!$A1:$AE734,6,FALSE)</f>
        <v>14.7104584833884</v>
      </c>
      <c r="S509" s="40">
        <f>VLOOKUP(B509,'Player Data'!$A1:$AE734,7,FALSE)*$Q509*IFERROR((VLOOKUP(P509,Settings!$E$28:$F$33,2,FALSE)+1),1)</f>
        <v>2.5724311801498865</v>
      </c>
      <c r="T509" s="40">
        <f>VLOOKUP(B509,'Player Data'!$A1:$AE734,8,FALSE)*$Q509*IFERROR((VLOOKUP(P509,Settings!$E$28:$F$33,2,FALSE)+1),1)</f>
        <v>11.185606112184882</v>
      </c>
      <c r="U509" s="40">
        <f t="shared" si="47"/>
        <v>13.758037292334768</v>
      </c>
      <c r="V509" s="40">
        <f>VLOOKUP(B509,'Player Data'!$A1:$AE734,10,FALSE)*$Q509*IFERROR(((VLOOKUP(P509,Settings!$E$28:$F$33,2,FALSE)/2)+1),1)</f>
        <v>82.30918215940784</v>
      </c>
      <c r="W509" s="40">
        <f>VLOOKUP(B509,'Player Data'!$A1:$AE734,11,FALSE)*$Q509*IFERROR((VLOOKUP(P509,Settings!$E$28:$F$33,2,FALSE)+1),1)</f>
        <v>1.066620020428434E-2</v>
      </c>
      <c r="X509" s="40">
        <f>VLOOKUP(B509,'Player Data'!$A1:$AE734,12,FALSE)*$Q509*IFERROR((VLOOKUP(P509,Settings!$E$28:$F$33,2,FALSE)+1),1)</f>
        <v>0.13027338722686083</v>
      </c>
      <c r="Y509" s="40">
        <f>VLOOKUP(B509,'Player Data'!$A1:$AE734,13,FALSE)*$Q509</f>
        <v>6.8484861094897688E-3</v>
      </c>
      <c r="Z509" s="40">
        <f>VLOOKUP(B509,'Player Data'!$A1:$AE734,14,FALSE)*$Q509</f>
        <v>2.5492015388846701E-2</v>
      </c>
      <c r="AA509" s="40">
        <f>VLOOKUP(B509,'Player Data'!$A1:$AE734,15,FALSE)*$Q509</f>
        <v>90.64155230936673</v>
      </c>
      <c r="AB509" s="40">
        <f>VLOOKUP(B509,'Player Data'!$A1:$AE734,16,FALSE)*$Q509</f>
        <v>75.656975439449155</v>
      </c>
      <c r="AC509" s="40">
        <f>VLOOKUP(B509,'Player Data'!$A1:$AE734,17,FALSE)*$Q509*IFERROR((VLOOKUP(P509,Settings!$E$28:$F$33,2,FALSE)+1),1)</f>
        <v>0.35931580215275993</v>
      </c>
      <c r="AD509" s="40">
        <f>VLOOKUP(B509,'Player Data'!$A1:$AE734,18,FALSE)*$Q509</f>
        <v>20.874518444388272</v>
      </c>
      <c r="AE509" s="40">
        <f>VLOOKUP(B509,'Player Data'!$A1:$AE734,19,FALSE)*$Q509*IFERROR((VLOOKUP(P509,Settings!$E$28:$F$33,2,FALSE)+1),1)</f>
        <v>0.42984874860444794</v>
      </c>
      <c r="AF509" s="40">
        <f>VLOOKUP(B509,'Player Data'!$A1:$AE734,20,FALSE)*$Q509</f>
        <v>5.0507208909100564E-2</v>
      </c>
      <c r="AG509" s="40">
        <f>VLOOKUP(B509,'Player Data'!$A1:$AE734,21,FALSE)*$Q509</f>
        <v>0.16694842377205538</v>
      </c>
      <c r="AH509" s="41">
        <f>VLOOKUP(B509,'Player Data'!$A1:$AE734,22,FALSE)</f>
        <v>0.232264431536509</v>
      </c>
      <c r="AI509" s="38"/>
      <c r="AJ509" s="42"/>
      <c r="AK509" s="40"/>
      <c r="AL509" s="40"/>
      <c r="AM509" s="40"/>
      <c r="AN509" s="40"/>
      <c r="AO509" s="40"/>
      <c r="AP509" s="40"/>
      <c r="AQ509" s="43"/>
      <c r="AR509" s="44"/>
      <c r="AS509" s="38"/>
    </row>
    <row r="510" spans="1:45" ht="21.2" customHeight="1">
      <c r="A510" s="181">
        <f t="shared" si="43"/>
        <v>509</v>
      </c>
      <c r="B510" s="8" t="s">
        <v>635</v>
      </c>
      <c r="C510" s="31" t="s">
        <v>104</v>
      </c>
      <c r="D510" s="32" t="str">
        <f>VLOOKUP(B510,'Player Data'!A1:D734,4,FALSE)</f>
        <v>D</v>
      </c>
      <c r="E510" s="47">
        <f>VLOOKUP(B510,D!A1:C229,3,FALSE)</f>
        <v>201</v>
      </c>
      <c r="F510" s="34" t="str">
        <f>VLOOKUP(B510,'Player Data'!A1:B734,2,FALSE)</f>
        <v>COL</v>
      </c>
      <c r="G510" s="9">
        <f>VLOOKUP(B510,'Player Data'!A1:D734,3,FALSE)</f>
        <v>34</v>
      </c>
      <c r="H510" s="35">
        <f>IFERROR(VLOOKUP(B510,ADP!A1:G731,7,FALSE)/1000000,VLOOKUP(B510,ADP!A1:G731,7,FALSE))</f>
        <v>0</v>
      </c>
      <c r="I510" s="36">
        <f>IF(Settings!$E$15="POINTS",((R510*Q510)*Settings!$B$12)+(S510*Settings!$B$2)+(T510*Settings!$B$3)+(U510*Settings!$B$4)+(V510*Settings!$B$5)+(X510*Settings!$B$9)+(AA510*Settings!$B$6)+(W510*Settings!$B$8)+(AB510*Settings!$B$7)+(AC510*Settings!$B$14)+(AD510*Settings!$B$15)+(AE510*Settings!$B$16)+(AF510*Settings!$B$17)+(AG510*Settings!$B$18)+(U510*Settings!$B$13)+(Y510*Settings!$B$10)+(Z510*Settings!$B$11),VLOOKUP(B510,'Standard Deviations'!A1:C731,3,FALSE))</f>
        <v>-5.0619462428606399</v>
      </c>
      <c r="J510" s="37">
        <f t="shared" si="44"/>
        <v>-6.1731051742202926E-2</v>
      </c>
      <c r="K510" s="183">
        <f>VLOOKUP(B510,D!A1:F229,6,FALSE)</f>
        <v>-7.003686786494951</v>
      </c>
      <c r="L510" s="49" t="str">
        <f t="shared" si="45"/>
        <v>N/A</v>
      </c>
      <c r="M510" s="52" t="str">
        <f>IF(Settings!$E$9="YAHOO",VLOOKUP(B510,ADP!A1:E731,2,FALSE),IF(Settings!$E$9="ESPN",VLOOKUP(B510,ADP!A1:E731,3,FALSE),IF(Settings!$E$9="FANTRAX",VLOOKUP(B510,ADP!A1:E731,4,FALSE),VLOOKUP(B510,ADP!A1:E731,5,FALSE))))</f>
        <v>-</v>
      </c>
      <c r="N510" s="52" t="str">
        <f t="shared" si="46"/>
        <v>N/A</v>
      </c>
      <c r="O510" s="38"/>
      <c r="P510" s="39" t="str">
        <f>IF(Settings!$E$27="ON",_xlfn.XLOOKUP(B510,ADP!A2:A731,ADP!H2:H731)," ")</f>
        <v xml:space="preserve"> </v>
      </c>
      <c r="Q510" s="40">
        <f>IF(Settings!$E$12="YES",VLOOKUP(B510,'Player Data'!A1:E734,5,FALSE),82)</f>
        <v>82</v>
      </c>
      <c r="R510" s="38">
        <f>VLOOKUP(B510,'Player Data'!$A1:$AE734,6,FALSE)</f>
        <v>11.2119842054359</v>
      </c>
      <c r="S510" s="40">
        <f>VLOOKUP(B510,'Player Data'!$A1:$AE734,7,FALSE)*$Q510*IFERROR((VLOOKUP(P510,Settings!$E$28:$F$33,2,FALSE)+1),1)</f>
        <v>3.9433226321086172</v>
      </c>
      <c r="T510" s="40">
        <f>VLOOKUP(B510,'Player Data'!$A1:$AE734,8,FALSE)*$Q510*IFERROR((VLOOKUP(P510,Settings!$E$28:$F$33,2,FALSE)+1),1)</f>
        <v>10.496253445195412</v>
      </c>
      <c r="U510" s="40">
        <f t="shared" si="47"/>
        <v>14.439576077304029</v>
      </c>
      <c r="V510" s="40">
        <f>VLOOKUP(B510,'Player Data'!$A1:$AE734,10,FALSE)*$Q510*IFERROR(((VLOOKUP(P510,Settings!$E$28:$F$33,2,FALSE)/2)+1),1)</f>
        <v>75.154877135951125</v>
      </c>
      <c r="W510" s="40">
        <f>VLOOKUP(B510,'Player Data'!$A1:$AE734,11,FALSE)*$Q510*IFERROR((VLOOKUP(P510,Settings!$E$28:$F$33,2,FALSE)+1),1)</f>
        <v>1.2210262576145001E-2</v>
      </c>
      <c r="X510" s="40">
        <f>VLOOKUP(B510,'Player Data'!$A1:$AE734,12,FALSE)*$Q510*IFERROR((VLOOKUP(P510,Settings!$E$28:$F$33,2,FALSE)+1),1)</f>
        <v>0.15375626517383884</v>
      </c>
      <c r="Y510" s="40">
        <f>VLOOKUP(B510,'Player Data'!$A1:$AE734,13,FALSE)*$Q510</f>
        <v>1.5165148191321606E-3</v>
      </c>
      <c r="Z510" s="40">
        <f>VLOOKUP(B510,'Player Data'!$A1:$AE734,14,FALSE)*$Q510</f>
        <v>4.6791680682626716E-3</v>
      </c>
      <c r="AA510" s="40">
        <f>VLOOKUP(B510,'Player Data'!$A1:$AE734,15,FALSE)*$Q510</f>
        <v>46.285260760209987</v>
      </c>
      <c r="AB510" s="40">
        <f>VLOOKUP(B510,'Player Data'!$A1:$AE734,16,FALSE)*$Q510</f>
        <v>52.152916865128269</v>
      </c>
      <c r="AC510" s="40">
        <f>VLOOKUP(B510,'Player Data'!$A1:$AE734,17,FALSE)*$Q510*IFERROR((VLOOKUP(P510,Settings!$E$28:$F$33,2,FALSE)+1),1)</f>
        <v>3.9088220425991103</v>
      </c>
      <c r="AD510" s="40">
        <f>VLOOKUP(B510,'Player Data'!$A1:$AE734,18,FALSE)*$Q510</f>
        <v>19.796705863990123</v>
      </c>
      <c r="AE510" s="40">
        <f>VLOOKUP(B510,'Player Data'!$A1:$AE734,19,FALSE)*$Q510*IFERROR((VLOOKUP(P510,Settings!$E$28:$F$33,2,FALSE)+1),1)</f>
        <v>0.62389305341596479</v>
      </c>
      <c r="AF510" s="40">
        <f>VLOOKUP(B510,'Player Data'!$A1:$AE734,20,FALSE)*$Q510</f>
        <v>0</v>
      </c>
      <c r="AG510" s="40">
        <f>VLOOKUP(B510,'Player Data'!$A1:$AE734,21,FALSE)*$Q510</f>
        <v>0</v>
      </c>
      <c r="AH510" s="41">
        <f>VLOOKUP(B510,'Player Data'!$A1:$AE734,22,FALSE)</f>
        <v>0</v>
      </c>
      <c r="AI510" s="38"/>
      <c r="AJ510" s="42"/>
      <c r="AK510" s="40"/>
      <c r="AL510" s="40"/>
      <c r="AM510" s="40"/>
      <c r="AN510" s="40"/>
      <c r="AO510" s="40"/>
      <c r="AP510" s="40"/>
      <c r="AQ510" s="43"/>
      <c r="AR510" s="44"/>
      <c r="AS510" s="38"/>
    </row>
    <row r="511" spans="1:45" ht="21.2" customHeight="1">
      <c r="A511" s="181">
        <f t="shared" si="43"/>
        <v>510</v>
      </c>
      <c r="B511" s="8" t="s">
        <v>555</v>
      </c>
      <c r="C511" s="31" t="s">
        <v>104</v>
      </c>
      <c r="D511" s="32" t="str">
        <f>VLOOKUP(B511,'Player Data'!A1:D734,4,FALSE)</f>
        <v>LW</v>
      </c>
      <c r="E511" s="48">
        <f>VLOOKUP(B511,LW!A1:C227,3,FALSE)</f>
        <v>118</v>
      </c>
      <c r="F511" s="34" t="str">
        <f>VLOOKUP(B511,'Player Data'!A1:B734,2,FALSE)</f>
        <v>DAL</v>
      </c>
      <c r="G511" s="9">
        <f>VLOOKUP(B511,'Player Data'!A1:D734,3,FALSE)</f>
        <v>28</v>
      </c>
      <c r="H511" s="35">
        <f>IFERROR(VLOOKUP(B511,ADP!A1:G731,7,FALSE)/1000000,VLOOKUP(B511,ADP!A1:G731,7,FALSE))</f>
        <v>4.5</v>
      </c>
      <c r="I511" s="36">
        <f>IF(Settings!$E$15="POINTS",((R511*Q511)*Settings!$B$12)+(S511*Settings!$B$2)+(T511*Settings!$B$3)+(U511*Settings!$B$4)+(V511*Settings!$B$5)+(X511*Settings!$B$9)+(AA511*Settings!$B$6)+(W511*Settings!$B$8)+(AB511*Settings!$B$7)+(AC511*Settings!$B$14)+(AD511*Settings!$B$15)+(AE511*Settings!$B$16)+(AF511*Settings!$B$17)+(AG511*Settings!$B$18)+(Y511*Settings!$B$10)+(Z511*Settings!$B$11),VLOOKUP(B511,'Standard Deviations'!A1:C731,3,FALSE))</f>
        <v>-0.35417527889976352</v>
      </c>
      <c r="J511" s="37">
        <f t="shared" si="44"/>
        <v>-4.3192107182897987E-3</v>
      </c>
      <c r="K511" s="183">
        <f>IF(Settings!$E$18="C/LW/RW",VLOOKUP(B511,LW!A1:F227,6,FALSE),VLOOKUP(B511,F!A1:F431,6,FALSE))</f>
        <v>-7.0088443230241646</v>
      </c>
      <c r="L511" s="36">
        <f t="shared" si="45"/>
        <v>-1.5575209606720366</v>
      </c>
      <c r="M511" s="52" t="str">
        <f>IF(Settings!$E$9="YAHOO",VLOOKUP(B511,ADP!A1:E731,2,FALSE),IF(Settings!$E$9="ESPN",VLOOKUP(B511,ADP!A1:E731,3,FALSE),IF(Settings!$E$9="FANTRAX",VLOOKUP(B511,ADP!A1:E731,4,FALSE),VLOOKUP(B511,ADP!A1:E731,5,FALSE))))</f>
        <v>-</v>
      </c>
      <c r="N511" s="52" t="str">
        <f t="shared" si="46"/>
        <v>N/A</v>
      </c>
      <c r="O511" s="38"/>
      <c r="P511" s="39" t="str">
        <f>IF(Settings!$E$27="ON",_xlfn.XLOOKUP(B511,ADP!A2:A731,ADP!H2:H731)," ")</f>
        <v xml:space="preserve"> </v>
      </c>
      <c r="Q511" s="40">
        <f>IF(Settings!$E$12="YES",VLOOKUP(B511,'Player Data'!A1:E734,5,FALSE),82)</f>
        <v>82</v>
      </c>
      <c r="R511" s="38">
        <f>VLOOKUP(B511,'Player Data'!$A1:$AE734,6,FALSE)</f>
        <v>13.6386271776898</v>
      </c>
      <c r="S511" s="40">
        <f>VLOOKUP(B511,'Player Data'!$A1:$AE734,7,FALSE)*$Q511*IFERROR((VLOOKUP(P511,Settings!$E$28:$F$33,2,FALSE)+1),1)</f>
        <v>14.911171485965964</v>
      </c>
      <c r="T511" s="40">
        <f>VLOOKUP(B511,'Player Data'!$A1:$AE734,8,FALSE)*$Q511*IFERROR((VLOOKUP(P511,Settings!$E$28:$F$33,2,FALSE)+1),1)</f>
        <v>24.950784478253308</v>
      </c>
      <c r="U511" s="40">
        <f t="shared" si="47"/>
        <v>39.86195596421927</v>
      </c>
      <c r="V511" s="40">
        <f>VLOOKUP(B511,'Player Data'!$A1:$AE734,10,FALSE)*$Q511*IFERROR(((VLOOKUP(P511,Settings!$E$28:$F$33,2,FALSE)/2)+1),1)</f>
        <v>149.08938085834586</v>
      </c>
      <c r="W511" s="40">
        <f>VLOOKUP(B511,'Player Data'!$A1:$AE734,11,FALSE)*$Q511*IFERROR((VLOOKUP(P511,Settings!$E$28:$F$33,2,FALSE)+1),1)</f>
        <v>1.0632053645905613</v>
      </c>
      <c r="X511" s="40">
        <f>VLOOKUP(B511,'Player Data'!$A1:$AE734,12,FALSE)*$Q511*IFERROR((VLOOKUP(P511,Settings!$E$28:$F$33,2,FALSE)+1),1)</f>
        <v>2.6090583272430439</v>
      </c>
      <c r="Y511" s="40">
        <f>VLOOKUP(B511,'Player Data'!$A1:$AE734,13,FALSE)*$Q511</f>
        <v>6.7023796301286321E-3</v>
      </c>
      <c r="Z511" s="40">
        <f>VLOOKUP(B511,'Player Data'!$A1:$AE734,14,FALSE)*$Q511</f>
        <v>1.2524079115444411E-2</v>
      </c>
      <c r="AA511" s="40">
        <f>VLOOKUP(B511,'Player Data'!$A1:$AE734,15,FALSE)*$Q511</f>
        <v>35.329384303213828</v>
      </c>
      <c r="AB511" s="40">
        <f>VLOOKUP(B511,'Player Data'!$A1:$AE734,16,FALSE)*$Q511</f>
        <v>110.914098951117</v>
      </c>
      <c r="AC511" s="40">
        <f>VLOOKUP(B511,'Player Data'!$A1:$AE734,17,FALSE)*$Q511*IFERROR((VLOOKUP(P511,Settings!$E$28:$F$33,2,FALSE)+1),1)</f>
        <v>4.9950244432955273</v>
      </c>
      <c r="AD511" s="40">
        <f>VLOOKUP(B511,'Player Data'!$A1:$AE734,18,FALSE)*$Q511</f>
        <v>52.831818509558893</v>
      </c>
      <c r="AE511" s="40">
        <f>VLOOKUP(B511,'Player Data'!$A1:$AE734,19,FALSE)*$Q511*IFERROR((VLOOKUP(P511,Settings!$E$28:$F$33,2,FALSE)+1),1)</f>
        <v>2.3856817316478605</v>
      </c>
      <c r="AF511" s="40">
        <f>VLOOKUP(B511,'Player Data'!$A1:$AE734,20,FALSE)*$Q511</f>
        <v>12.178985774934672</v>
      </c>
      <c r="AG511" s="40">
        <f>VLOOKUP(B511,'Player Data'!$A1:$AE734,21,FALSE)*$Q511</f>
        <v>21.886353637380584</v>
      </c>
      <c r="AH511" s="41">
        <f>VLOOKUP(B511,'Player Data'!$A1:$AE734,22,FALSE)</f>
        <v>0.35751840389800399</v>
      </c>
      <c r="AI511" s="38"/>
      <c r="AJ511" s="42"/>
      <c r="AK511" s="40"/>
      <c r="AL511" s="40"/>
      <c r="AM511" s="40"/>
      <c r="AN511" s="40"/>
      <c r="AO511" s="40"/>
      <c r="AP511" s="40"/>
      <c r="AQ511" s="43"/>
      <c r="AR511" s="44"/>
      <c r="AS511" s="38"/>
    </row>
    <row r="512" spans="1:45" ht="21.2" customHeight="1">
      <c r="A512" s="181">
        <f t="shared" si="43"/>
        <v>511</v>
      </c>
      <c r="B512" s="8" t="s">
        <v>571</v>
      </c>
      <c r="C512" s="31" t="s">
        <v>104</v>
      </c>
      <c r="D512" s="32" t="str">
        <f>VLOOKUP(B512,'Player Data'!A1:D734,4,FALSE)</f>
        <v>LW,RW</v>
      </c>
      <c r="E512" s="45">
        <f>VLOOKUP(B512,RW!A1:F189,3,FALSE)</f>
        <v>117</v>
      </c>
      <c r="F512" s="34" t="str">
        <f>VLOOKUP(B512,'Player Data'!A1:B734,2,FALSE)</f>
        <v>CAR</v>
      </c>
      <c r="G512" s="9">
        <f>VLOOKUP(B512,'Player Data'!A1:D734,3,FALSE)</f>
        <v>30</v>
      </c>
      <c r="H512" s="35">
        <f>IFERROR(VLOOKUP(B512,ADP!A1:G731,7,FALSE)/1000000,VLOOKUP(B512,ADP!A1:G731,7,FALSE))</f>
        <v>0.76249999999999996</v>
      </c>
      <c r="I512" s="36">
        <f>IF(Settings!$E$15="POINTS",((R512*Q512)*Settings!$B$12)+(S512*Settings!$B$2)+(T512*Settings!$B$3)+(U512*Settings!$B$4)+(V512*Settings!$B$5)+(X512*Settings!$B$9)+(AA512*Settings!$B$6)+(W512*Settings!$B$8)+(AB512*Settings!$B$7)+(AC512*Settings!$B$14)+(AD512*Settings!$B$15)+(AE512*Settings!$B$16)+(AF512*Settings!$B$17)+(AG512*Settings!$B$18)+(Y512*Settings!$B$10)+(Z512*Settings!$B$11),VLOOKUP(B512,'Standard Deviations'!A1:C731,3,FALSE))</f>
        <v>-0.72913718363124858</v>
      </c>
      <c r="J512" s="37">
        <f t="shared" si="44"/>
        <v>-8.8919168735518122E-3</v>
      </c>
      <c r="K512" s="183">
        <f>IF(Settings!$E$18="C/LW/RW",VLOOKUP(B512,RW!A1:F189,6,FALSE),VLOOKUP(B512,F!A1:F431,6,FALSE))</f>
        <v>-7.0093959026423294</v>
      </c>
      <c r="L512" s="36">
        <f t="shared" si="45"/>
        <v>-9.1926503641210875</v>
      </c>
      <c r="M512" s="52" t="str">
        <f>IF(Settings!$E$9="YAHOO",VLOOKUP(B512,ADP!A1:E731,2,FALSE),IF(Settings!$E$9="ESPN",VLOOKUP(B512,ADP!A1:E731,3,FALSE),IF(Settings!$E$9="FANTRAX",VLOOKUP(B512,ADP!A1:E731,4,FALSE),VLOOKUP(B512,ADP!A1:E731,5,FALSE))))</f>
        <v>-</v>
      </c>
      <c r="N512" s="52" t="str">
        <f t="shared" si="46"/>
        <v>N/A</v>
      </c>
      <c r="O512" s="38"/>
      <c r="P512" s="39" t="str">
        <f>IF(Settings!$E$27="ON",_xlfn.XLOOKUP(B512,ADP!A2:A731,ADP!H2:H731)," ")</f>
        <v xml:space="preserve"> </v>
      </c>
      <c r="Q512" s="40">
        <f>IF(Settings!$E$12="YES",VLOOKUP(B512,'Player Data'!A1:E734,5,FALSE),82)</f>
        <v>82</v>
      </c>
      <c r="R512" s="38">
        <f>VLOOKUP(B512,'Player Data'!$A1:$AE734,6,FALSE)</f>
        <v>12.339441786388001</v>
      </c>
      <c r="S512" s="40">
        <f>VLOOKUP(B512,'Player Data'!$A1:$AE734,7,FALSE)*$Q512*IFERROR((VLOOKUP(P512,Settings!$E$28:$F$33,2,FALSE)+1),1)</f>
        <v>13.101158987026528</v>
      </c>
      <c r="T512" s="40">
        <f>VLOOKUP(B512,'Player Data'!$A1:$AE734,8,FALSE)*$Q512*IFERROR((VLOOKUP(P512,Settings!$E$28:$F$33,2,FALSE)+1),1)</f>
        <v>21.833862722113111</v>
      </c>
      <c r="U512" s="40">
        <f t="shared" si="47"/>
        <v>34.93502170913964</v>
      </c>
      <c r="V512" s="40">
        <f>VLOOKUP(B512,'Player Data'!$A1:$AE734,10,FALSE)*$Q512*IFERROR(((VLOOKUP(P512,Settings!$E$28:$F$33,2,FALSE)/2)+1),1)</f>
        <v>118.1734626201328</v>
      </c>
      <c r="W512" s="40">
        <f>VLOOKUP(B512,'Player Data'!$A1:$AE734,11,FALSE)*$Q512*IFERROR((VLOOKUP(P512,Settings!$E$28:$F$33,2,FALSE)+1),1)</f>
        <v>5.1905588695247085</v>
      </c>
      <c r="X512" s="40">
        <f>VLOOKUP(B512,'Player Data'!$A1:$AE734,12,FALSE)*$Q512*IFERROR((VLOOKUP(P512,Settings!$E$28:$F$33,2,FALSE)+1),1)</f>
        <v>10.202033072770584</v>
      </c>
      <c r="Y512" s="40">
        <f>VLOOKUP(B512,'Player Data'!$A1:$AE734,13,FALSE)*$Q512</f>
        <v>7.5497545793530817E-3</v>
      </c>
      <c r="Z512" s="40">
        <f>VLOOKUP(B512,'Player Data'!$A1:$AE734,14,FALSE)*$Q512</f>
        <v>1.2841426190583418E-2</v>
      </c>
      <c r="AA512" s="40">
        <f>VLOOKUP(B512,'Player Data'!$A1:$AE734,15,FALSE)*$Q512</f>
        <v>21.252997134715304</v>
      </c>
      <c r="AB512" s="40">
        <f>VLOOKUP(B512,'Player Data'!$A1:$AE734,16,FALSE)*$Q512</f>
        <v>105.92953378128684</v>
      </c>
      <c r="AC512" s="40">
        <f>VLOOKUP(B512,'Player Data'!$A1:$AE734,17,FALSE)*$Q512*IFERROR((VLOOKUP(P512,Settings!$E$28:$F$33,2,FALSE)+1),1)</f>
        <v>7.7193105499990518</v>
      </c>
      <c r="AD512" s="40">
        <f>VLOOKUP(B512,'Player Data'!$A1:$AE734,18,FALSE)*$Q512</f>
        <v>30.369724475695282</v>
      </c>
      <c r="AE512" s="40">
        <f>VLOOKUP(B512,'Player Data'!$A1:$AE734,19,FALSE)*$Q512*IFERROR((VLOOKUP(P512,Settings!$E$28:$F$33,2,FALSE)+1),1)</f>
        <v>2.3506412794070308</v>
      </c>
      <c r="AF512" s="40">
        <f>VLOOKUP(B512,'Player Data'!$A1:$AE734,20,FALSE)*$Q512</f>
        <v>52.951235997064813</v>
      </c>
      <c r="AG512" s="40">
        <f>VLOOKUP(B512,'Player Data'!$A1:$AE734,21,FALSE)*$Q512</f>
        <v>59.399406357192738</v>
      </c>
      <c r="AH512" s="41">
        <f>VLOOKUP(B512,'Player Data'!$A1:$AE734,22,FALSE)</f>
        <v>0.47130336674090401</v>
      </c>
      <c r="AI512" s="38"/>
      <c r="AJ512" s="42"/>
      <c r="AK512" s="40"/>
      <c r="AL512" s="40"/>
      <c r="AM512" s="40"/>
      <c r="AN512" s="40"/>
      <c r="AO512" s="40"/>
      <c r="AP512" s="40"/>
      <c r="AQ512" s="43"/>
      <c r="AR512" s="44"/>
      <c r="AS512" s="38"/>
    </row>
    <row r="513" spans="1:45" ht="21.2" customHeight="1">
      <c r="A513" s="181">
        <f t="shared" si="43"/>
        <v>512</v>
      </c>
      <c r="B513" s="8" t="s">
        <v>565</v>
      </c>
      <c r="C513" s="31" t="s">
        <v>104</v>
      </c>
      <c r="D513" s="32" t="str">
        <f>VLOOKUP(B513,'Player Data'!A1:D734,4,FALSE)</f>
        <v>D</v>
      </c>
      <c r="E513" s="47">
        <f>VLOOKUP(B513,D!A1:C229,3,FALSE)</f>
        <v>202</v>
      </c>
      <c r="F513" s="34" t="str">
        <f>VLOOKUP(B513,'Player Data'!A1:B734,2,FALSE)</f>
        <v>DET</v>
      </c>
      <c r="G513" s="9">
        <f>VLOOKUP(B513,'Player Data'!A1:D734,3,FALSE)</f>
        <v>28</v>
      </c>
      <c r="H513" s="35">
        <f>IFERROR(VLOOKUP(B513,ADP!A1:G731,7,FALSE)/1000000,VLOOKUP(B513,ADP!A1:G731,7,FALSE))</f>
        <v>3</v>
      </c>
      <c r="I513" s="36">
        <f>IF(Settings!$E$15="POINTS",((R513*Q513)*Settings!$B$12)+(S513*Settings!$B$2)+(T513*Settings!$B$3)+(U513*Settings!$B$4)+(V513*Settings!$B$5)+(X513*Settings!$B$9)+(AA513*Settings!$B$6)+(W513*Settings!$B$8)+(AB513*Settings!$B$7)+(AC513*Settings!$B$14)+(AD513*Settings!$B$15)+(AE513*Settings!$B$16)+(AF513*Settings!$B$17)+(AG513*Settings!$B$18)+(U513*Settings!$B$13)+(Y513*Settings!$B$10)+(Z513*Settings!$B$11),VLOOKUP(B513,'Standard Deviations'!A1:C731,3,FALSE))</f>
        <v>-5.0695697399333062</v>
      </c>
      <c r="J513" s="37">
        <f t="shared" si="44"/>
        <v>-6.1824021218698857E-2</v>
      </c>
      <c r="K513" s="183">
        <f>VLOOKUP(B513,D!A1:F229,6,FALSE)</f>
        <v>-7.0113102835676173</v>
      </c>
      <c r="L513" s="36">
        <f t="shared" si="45"/>
        <v>-2.3371034278558724</v>
      </c>
      <c r="M513" s="52" t="str">
        <f>IF(Settings!$E$9="YAHOO",VLOOKUP(B513,ADP!A1:E731,2,FALSE),IF(Settings!$E$9="ESPN",VLOOKUP(B513,ADP!A1:E731,3,FALSE),IF(Settings!$E$9="FANTRAX",VLOOKUP(B513,ADP!A1:E731,4,FALSE),VLOOKUP(B513,ADP!A1:E731,5,FALSE))))</f>
        <v>-</v>
      </c>
      <c r="N513" s="52" t="str">
        <f t="shared" si="46"/>
        <v>N/A</v>
      </c>
      <c r="O513" s="38"/>
      <c r="P513" s="39" t="str">
        <f>IF(Settings!$E$27="ON",_xlfn.XLOOKUP(B513,ADP!A2:A731,ADP!H2:H731)," ")</f>
        <v xml:space="preserve"> </v>
      </c>
      <c r="Q513" s="40">
        <f>IF(Settings!$E$12="YES",VLOOKUP(B513,'Player Data'!A1:E734,5,FALSE),82)</f>
        <v>82</v>
      </c>
      <c r="R513" s="38">
        <f>VLOOKUP(B513,'Player Data'!$A1:$AE734,6,FALSE)</f>
        <v>15.7099611391567</v>
      </c>
      <c r="S513" s="40">
        <f>VLOOKUP(B513,'Player Data'!$A1:$AE734,7,FALSE)*$Q513*IFERROR((VLOOKUP(P513,Settings!$E$28:$F$33,2,FALSE)+1),1)</f>
        <v>3.2430725838581989</v>
      </c>
      <c r="T513" s="40">
        <f>VLOOKUP(B513,'Player Data'!$A1:$AE734,8,FALSE)*$Q513*IFERROR((VLOOKUP(P513,Settings!$E$28:$F$33,2,FALSE)+1),1)</f>
        <v>12.520413748714436</v>
      </c>
      <c r="U513" s="40">
        <f t="shared" si="47"/>
        <v>15.763486332572635</v>
      </c>
      <c r="V513" s="40">
        <f>VLOOKUP(B513,'Player Data'!$A1:$AE734,10,FALSE)*$Q513*IFERROR(((VLOOKUP(P513,Settings!$E$28:$F$33,2,FALSE)/2)+1),1)</f>
        <v>66.449122223575102</v>
      </c>
      <c r="W513" s="40">
        <f>VLOOKUP(B513,'Player Data'!$A1:$AE734,11,FALSE)*$Q513*IFERROR((VLOOKUP(P513,Settings!$E$28:$F$33,2,FALSE)+1),1)</f>
        <v>2.4365447048451783E-2</v>
      </c>
      <c r="X513" s="40">
        <f>VLOOKUP(B513,'Player Data'!$A1:$AE734,12,FALSE)*$Q513*IFERROR((VLOOKUP(P513,Settings!$E$28:$F$33,2,FALSE)+1),1)</f>
        <v>0.15679109771420377</v>
      </c>
      <c r="Y513" s="40">
        <f>VLOOKUP(B513,'Player Data'!$A1:$AE734,13,FALSE)*$Q513</f>
        <v>5.3159059725747795E-3</v>
      </c>
      <c r="Z513" s="40">
        <f>VLOOKUP(B513,'Player Data'!$A1:$AE734,14,FALSE)*$Q513</f>
        <v>2.8450236398418267E-2</v>
      </c>
      <c r="AA513" s="40">
        <f>VLOOKUP(B513,'Player Data'!$A1:$AE734,15,FALSE)*$Q513</f>
        <v>100.1127359443233</v>
      </c>
      <c r="AB513" s="40">
        <f>VLOOKUP(B513,'Player Data'!$A1:$AE734,16,FALSE)*$Q513</f>
        <v>75.967533435664706</v>
      </c>
      <c r="AC513" s="40">
        <f>VLOOKUP(B513,'Player Data'!$A1:$AE734,17,FALSE)*$Q513*IFERROR((VLOOKUP(P513,Settings!$E$28:$F$33,2,FALSE)+1),1)</f>
        <v>-3.5643339478809519</v>
      </c>
      <c r="AD513" s="40">
        <f>VLOOKUP(B513,'Player Data'!$A1:$AE734,18,FALSE)*$Q513</f>
        <v>15.227857709866315</v>
      </c>
      <c r="AE513" s="40">
        <f>VLOOKUP(B513,'Player Data'!$A1:$AE734,19,FALSE)*$Q513*IFERROR((VLOOKUP(P513,Settings!$E$28:$F$33,2,FALSE)+1),1)</f>
        <v>0.42917479873839776</v>
      </c>
      <c r="AF513" s="40">
        <f>VLOOKUP(B513,'Player Data'!$A1:$AE734,20,FALSE)*$Q513</f>
        <v>0</v>
      </c>
      <c r="AG513" s="40">
        <f>VLOOKUP(B513,'Player Data'!$A1:$AE734,21,FALSE)*$Q513</f>
        <v>0</v>
      </c>
      <c r="AH513" s="41">
        <f>VLOOKUP(B513,'Player Data'!$A1:$AE734,22,FALSE)</f>
        <v>0</v>
      </c>
      <c r="AI513" s="38"/>
      <c r="AJ513" s="42"/>
      <c r="AK513" s="40"/>
      <c r="AL513" s="40"/>
      <c r="AM513" s="40"/>
      <c r="AN513" s="40"/>
      <c r="AO513" s="40"/>
      <c r="AP513" s="40"/>
      <c r="AQ513" s="43"/>
      <c r="AR513" s="44"/>
      <c r="AS513" s="38"/>
    </row>
    <row r="514" spans="1:45" ht="21.2" customHeight="1">
      <c r="A514" s="181">
        <f t="shared" ref="A514:A577" si="48">RANK(K514,K$2:K$730)</f>
        <v>513</v>
      </c>
      <c r="B514" s="8" t="s">
        <v>586</v>
      </c>
      <c r="C514" s="31" t="s">
        <v>104</v>
      </c>
      <c r="D514" s="32" t="str">
        <f>VLOOKUP(B514,'Player Data'!A1:D734,4,FALSE)</f>
        <v>D</v>
      </c>
      <c r="E514" s="47">
        <f>VLOOKUP(B514,D!A1:C229,3,FALSE)</f>
        <v>203</v>
      </c>
      <c r="F514" s="34" t="str">
        <f>VLOOKUP(B514,'Player Data'!A1:B734,2,FALSE)</f>
        <v>NJD</v>
      </c>
      <c r="G514" s="9">
        <f>VLOOKUP(B514,'Player Data'!A1:D734,3,FALSE)</f>
        <v>23</v>
      </c>
      <c r="H514" s="35">
        <f>IFERROR(VLOOKUP(B514,ADP!A1:G731,7,FALSE)/1000000,VLOOKUP(B514,ADP!A1:G731,7,FALSE))</f>
        <v>0</v>
      </c>
      <c r="I514" s="36">
        <f>IF(Settings!$E$15="POINTS",((R514*Q514)*Settings!$B$12)+(S514*Settings!$B$2)+(T514*Settings!$B$3)+(U514*Settings!$B$4)+(V514*Settings!$B$5)+(X514*Settings!$B$9)+(AA514*Settings!$B$6)+(W514*Settings!$B$8)+(AB514*Settings!$B$7)+(AC514*Settings!$B$14)+(AD514*Settings!$B$15)+(AE514*Settings!$B$16)+(AF514*Settings!$B$17)+(AG514*Settings!$B$18)+(U514*Settings!$B$13)+(Y514*Settings!$B$10)+(Z514*Settings!$B$11),VLOOKUP(B514,'Standard Deviations'!A1:C731,3,FALSE))</f>
        <v>-5.0859193194998635</v>
      </c>
      <c r="J514" s="37">
        <f t="shared" ref="J514:J577" si="49">IF(D514="G",I514/AJ514,I514/Q514)</f>
        <v>-6.2023406335364191E-2</v>
      </c>
      <c r="K514" s="183">
        <f>VLOOKUP(B514,D!A1:F229,6,FALSE)</f>
        <v>-7.0276598631341738</v>
      </c>
      <c r="L514" s="49" t="str">
        <f t="shared" ref="L514:L577" si="50">IFERROR(K514/H514,"N/A")</f>
        <v>N/A</v>
      </c>
      <c r="M514" s="52" t="str">
        <f>IF(Settings!$E$9="YAHOO",VLOOKUP(B514,ADP!A1:E731,2,FALSE),IF(Settings!$E$9="ESPN",VLOOKUP(B514,ADP!A1:E731,3,FALSE),IF(Settings!$E$9="FANTRAX",VLOOKUP(B514,ADP!A1:E731,4,FALSE),VLOOKUP(B514,ADP!A1:E731,5,FALSE))))</f>
        <v>-</v>
      </c>
      <c r="N514" s="52" t="str">
        <f t="shared" ref="N514:N577" si="51">IFERROR(M514-A514,"N/A")</f>
        <v>N/A</v>
      </c>
      <c r="O514" s="38"/>
      <c r="P514" s="39" t="str">
        <f>IF(Settings!$E$27="ON",_xlfn.XLOOKUP(B514,ADP!A2:A731,ADP!H2:H731)," ")</f>
        <v xml:space="preserve"> </v>
      </c>
      <c r="Q514" s="40">
        <f>IF(Settings!$E$12="YES",VLOOKUP(B514,'Player Data'!A1:E734,5,FALSE),82)</f>
        <v>82</v>
      </c>
      <c r="R514" s="38">
        <f>VLOOKUP(B514,'Player Data'!$A1:$AE734,6,FALSE)</f>
        <v>14.6392454892567</v>
      </c>
      <c r="S514" s="40">
        <f>VLOOKUP(B514,'Player Data'!$A1:$AE734,7,FALSE)*$Q514*IFERROR((VLOOKUP(P514,Settings!$E$28:$F$33,2,FALSE)+1),1)</f>
        <v>3.663734811169316</v>
      </c>
      <c r="T514" s="40">
        <f>VLOOKUP(B514,'Player Data'!$A1:$AE734,8,FALSE)*$Q514*IFERROR((VLOOKUP(P514,Settings!$E$28:$F$33,2,FALSE)+1),1)</f>
        <v>12.508072394825888</v>
      </c>
      <c r="U514" s="40">
        <f t="shared" si="47"/>
        <v>16.171807205995204</v>
      </c>
      <c r="V514" s="40">
        <f>VLOOKUP(B514,'Player Data'!$A1:$AE734,10,FALSE)*$Q514*IFERROR(((VLOOKUP(P514,Settings!$E$28:$F$33,2,FALSE)/2)+1),1)</f>
        <v>61.977788895814882</v>
      </c>
      <c r="W514" s="40">
        <f>VLOOKUP(B514,'Player Data'!$A1:$AE734,11,FALSE)*$Q514*IFERROR((VLOOKUP(P514,Settings!$E$28:$F$33,2,FALSE)+1),1)</f>
        <v>2.7669602602237577E-2</v>
      </c>
      <c r="X514" s="40">
        <f>VLOOKUP(B514,'Player Data'!$A1:$AE734,12,FALSE)*$Q514*IFERROR((VLOOKUP(P514,Settings!$E$28:$F$33,2,FALSE)+1),1)</f>
        <v>0.16937546528556974</v>
      </c>
      <c r="Y514" s="40">
        <f>VLOOKUP(B514,'Player Data'!$A1:$AE734,13,FALSE)*$Q514</f>
        <v>9.0973484238042135E-2</v>
      </c>
      <c r="Z514" s="40">
        <f>VLOOKUP(B514,'Player Data'!$A1:$AE734,14,FALSE)*$Q514</f>
        <v>0.41902355669127489</v>
      </c>
      <c r="AA514" s="40">
        <f>VLOOKUP(B514,'Player Data'!$A1:$AE734,15,FALSE)*$Q514</f>
        <v>85.259322623002149</v>
      </c>
      <c r="AB514" s="40">
        <f>VLOOKUP(B514,'Player Data'!$A1:$AE734,16,FALSE)*$Q514</f>
        <v>121.64673531221968</v>
      </c>
      <c r="AC514" s="40">
        <f>VLOOKUP(B514,'Player Data'!$A1:$AE734,17,FALSE)*$Q514*IFERROR((VLOOKUP(P514,Settings!$E$28:$F$33,2,FALSE)+1),1)</f>
        <v>1.520322357638043E-2</v>
      </c>
      <c r="AD514" s="40">
        <f>VLOOKUP(B514,'Player Data'!$A1:$AE734,18,FALSE)*$Q514</f>
        <v>39.456837871255637</v>
      </c>
      <c r="AE514" s="40">
        <f>VLOOKUP(B514,'Player Data'!$A1:$AE734,19,FALSE)*$Q514*IFERROR((VLOOKUP(P514,Settings!$E$28:$F$33,2,FALSE)+1),1)</f>
        <v>0.53848834545108881</v>
      </c>
      <c r="AF514" s="40">
        <f>VLOOKUP(B514,'Player Data'!$A1:$AE734,20,FALSE)*$Q514</f>
        <v>0</v>
      </c>
      <c r="AG514" s="40">
        <f>VLOOKUP(B514,'Player Data'!$A1:$AE734,21,FALSE)*$Q514</f>
        <v>0</v>
      </c>
      <c r="AH514" s="41">
        <f>VLOOKUP(B514,'Player Data'!$A1:$AE734,22,FALSE)</f>
        <v>0</v>
      </c>
      <c r="AI514" s="38"/>
      <c r="AJ514" s="42"/>
      <c r="AK514" s="40"/>
      <c r="AL514" s="40"/>
      <c r="AM514" s="40"/>
      <c r="AN514" s="40"/>
      <c r="AO514" s="40"/>
      <c r="AP514" s="40"/>
      <c r="AQ514" s="43"/>
      <c r="AR514" s="44"/>
      <c r="AS514" s="38"/>
    </row>
    <row r="515" spans="1:45" ht="21.2" customHeight="1">
      <c r="A515" s="181">
        <f t="shared" si="48"/>
        <v>514</v>
      </c>
      <c r="B515" s="8" t="s">
        <v>615</v>
      </c>
      <c r="C515" s="31" t="s">
        <v>104</v>
      </c>
      <c r="D515" s="32" t="str">
        <f>VLOOKUP(B515,'Player Data'!A1:D734,4,FALSE)</f>
        <v>D</v>
      </c>
      <c r="E515" s="47">
        <f>VLOOKUP(B515,D!A1:C229,3,FALSE)</f>
        <v>204</v>
      </c>
      <c r="F515" s="34" t="str">
        <f>VLOOKUP(B515,'Player Data'!A1:B734,2,FALSE)</f>
        <v>CHI</v>
      </c>
      <c r="G515" s="9">
        <f>VLOOKUP(B515,'Player Data'!A1:D734,3,FALSE)</f>
        <v>31</v>
      </c>
      <c r="H515" s="35">
        <f>IFERROR(VLOOKUP(B515,ADP!A1:G731,7,FALSE)/1000000,VLOOKUP(B515,ADP!A1:G731,7,FALSE))</f>
        <v>1.25</v>
      </c>
      <c r="I515" s="36">
        <f>IF(Settings!$E$15="POINTS",((R515*Q515)*Settings!$B$12)+(S515*Settings!$B$2)+(T515*Settings!$B$3)+(U515*Settings!$B$4)+(V515*Settings!$B$5)+(X515*Settings!$B$9)+(AA515*Settings!$B$6)+(W515*Settings!$B$8)+(AB515*Settings!$B$7)+(AC515*Settings!$B$14)+(AD515*Settings!$B$15)+(AE515*Settings!$B$16)+(AF515*Settings!$B$17)+(AG515*Settings!$B$18)+(U515*Settings!$B$13)+(Y515*Settings!$B$10)+(Z515*Settings!$B$11),VLOOKUP(B515,'Standard Deviations'!A1:C731,3,FALSE))</f>
        <v>-5.1320624632339449</v>
      </c>
      <c r="J515" s="37">
        <f t="shared" si="49"/>
        <v>-6.258612760041396E-2</v>
      </c>
      <c r="K515" s="183">
        <f>VLOOKUP(B515,D!A1:F229,6,FALSE)</f>
        <v>-7.0738030068682551</v>
      </c>
      <c r="L515" s="36">
        <f t="shared" si="50"/>
        <v>-5.6590424054946045</v>
      </c>
      <c r="M515" s="52" t="str">
        <f>IF(Settings!$E$9="YAHOO",VLOOKUP(B515,ADP!A1:E731,2,FALSE),IF(Settings!$E$9="ESPN",VLOOKUP(B515,ADP!A1:E731,3,FALSE),IF(Settings!$E$9="FANTRAX",VLOOKUP(B515,ADP!A1:E731,4,FALSE),VLOOKUP(B515,ADP!A1:E731,5,FALSE))))</f>
        <v>-</v>
      </c>
      <c r="N515" s="52" t="str">
        <f t="shared" si="51"/>
        <v>N/A</v>
      </c>
      <c r="O515" s="38"/>
      <c r="P515" s="39" t="str">
        <f>IF(Settings!$E$27="ON",_xlfn.XLOOKUP(B515,ADP!A2:A731,ADP!H2:H731)," ")</f>
        <v xml:space="preserve"> </v>
      </c>
      <c r="Q515" s="40">
        <f>IF(Settings!$E$12="YES",VLOOKUP(B515,'Player Data'!A1:E734,5,FALSE),82)</f>
        <v>82</v>
      </c>
      <c r="R515" s="38">
        <f>VLOOKUP(B515,'Player Data'!$A1:$AE734,6,FALSE)</f>
        <v>16.7671081221037</v>
      </c>
      <c r="S515" s="40">
        <f>VLOOKUP(B515,'Player Data'!$A1:$AE734,7,FALSE)*$Q515*IFERROR((VLOOKUP(P515,Settings!$E$28:$F$33,2,FALSE)+1),1)</f>
        <v>3.604052251464227</v>
      </c>
      <c r="T515" s="40">
        <f>VLOOKUP(B515,'Player Data'!$A1:$AE734,8,FALSE)*$Q515*IFERROR((VLOOKUP(P515,Settings!$E$28:$F$33,2,FALSE)+1),1)</f>
        <v>10.535415163282638</v>
      </c>
      <c r="U515" s="40">
        <f t="shared" si="47"/>
        <v>14.139467414746864</v>
      </c>
      <c r="V515" s="40">
        <f>VLOOKUP(B515,'Player Data'!$A1:$AE734,10,FALSE)*$Q515*IFERROR(((VLOOKUP(P515,Settings!$E$28:$F$33,2,FALSE)/2)+1),1)</f>
        <v>73.652620633780188</v>
      </c>
      <c r="W515" s="40">
        <f>VLOOKUP(B515,'Player Data'!$A1:$AE734,11,FALSE)*$Q515*IFERROR((VLOOKUP(P515,Settings!$E$28:$F$33,2,FALSE)+1),1)</f>
        <v>2.0015185887302115E-2</v>
      </c>
      <c r="X515" s="40">
        <f>VLOOKUP(B515,'Player Data'!$A1:$AE734,12,FALSE)*$Q515*IFERROR((VLOOKUP(P515,Settings!$E$28:$F$33,2,FALSE)+1),1)</f>
        <v>0.13377792012841874</v>
      </c>
      <c r="Y515" s="40">
        <f>VLOOKUP(B515,'Player Data'!$A1:$AE734,13,FALSE)*$Q515</f>
        <v>2.3116221903270472E-2</v>
      </c>
      <c r="Z515" s="40">
        <f>VLOOKUP(B515,'Player Data'!$A1:$AE734,14,FALSE)*$Q515</f>
        <v>9.4781801367399388E-2</v>
      </c>
      <c r="AA515" s="40">
        <f>VLOOKUP(B515,'Player Data'!$A1:$AE734,15,FALSE)*$Q515</f>
        <v>121.00743478181289</v>
      </c>
      <c r="AB515" s="40">
        <f>VLOOKUP(B515,'Player Data'!$A1:$AE734,16,FALSE)*$Q515</f>
        <v>196.07237889759008</v>
      </c>
      <c r="AC515" s="40">
        <f>VLOOKUP(B515,'Player Data'!$A1:$AE734,17,FALSE)*$Q515*IFERROR((VLOOKUP(P515,Settings!$E$28:$F$33,2,FALSE)+1),1)</f>
        <v>-8.4428661770193134</v>
      </c>
      <c r="AD515" s="40">
        <f>VLOOKUP(B515,'Player Data'!$A1:$AE734,18,FALSE)*$Q515</f>
        <v>59.69843442433514</v>
      </c>
      <c r="AE515" s="40">
        <f>VLOOKUP(B515,'Player Data'!$A1:$AE734,19,FALSE)*$Q515*IFERROR((VLOOKUP(P515,Settings!$E$28:$F$33,2,FALSE)+1),1)</f>
        <v>0.42232843614263776</v>
      </c>
      <c r="AF515" s="40">
        <f>VLOOKUP(B515,'Player Data'!$A1:$AE734,20,FALSE)*$Q515</f>
        <v>0</v>
      </c>
      <c r="AG515" s="40">
        <f>VLOOKUP(B515,'Player Data'!$A1:$AE734,21,FALSE)*$Q515</f>
        <v>0</v>
      </c>
      <c r="AH515" s="41">
        <f>VLOOKUP(B515,'Player Data'!$A1:$AE734,22,FALSE)</f>
        <v>0</v>
      </c>
      <c r="AI515" s="38"/>
      <c r="AJ515" s="42"/>
      <c r="AK515" s="40"/>
      <c r="AL515" s="40"/>
      <c r="AM515" s="40"/>
      <c r="AN515" s="40"/>
      <c r="AO515" s="40"/>
      <c r="AP515" s="40"/>
      <c r="AQ515" s="43"/>
      <c r="AR515" s="44"/>
      <c r="AS515" s="38"/>
    </row>
    <row r="516" spans="1:45" ht="21.2" customHeight="1">
      <c r="A516" s="181">
        <f t="shared" si="48"/>
        <v>515</v>
      </c>
      <c r="B516" s="8" t="s">
        <v>532</v>
      </c>
      <c r="C516" s="31" t="s">
        <v>104</v>
      </c>
      <c r="D516" s="32" t="str">
        <f>VLOOKUP(B516,'Player Data'!A1:D734,4,FALSE)</f>
        <v>D</v>
      </c>
      <c r="E516" s="47">
        <f>VLOOKUP(B516,D!A1:C229,3,FALSE)</f>
        <v>205</v>
      </c>
      <c r="F516" s="34" t="str">
        <f>VLOOKUP(B516,'Player Data'!A1:B734,2,FALSE)</f>
        <v>DAL</v>
      </c>
      <c r="G516" s="9">
        <f>VLOOKUP(B516,'Player Data'!A1:D734,3,FALSE)</f>
        <v>31</v>
      </c>
      <c r="H516" s="35">
        <f>IFERROR(VLOOKUP(B516,ADP!A1:G731,7,FALSE)/1000000,VLOOKUP(B516,ADP!A1:G731,7,FALSE))</f>
        <v>1.5</v>
      </c>
      <c r="I516" s="36">
        <f>IF(Settings!$E$15="POINTS",((R516*Q516)*Settings!$B$12)+(S516*Settings!$B$2)+(T516*Settings!$B$3)+(U516*Settings!$B$4)+(V516*Settings!$B$5)+(X516*Settings!$B$9)+(AA516*Settings!$B$6)+(W516*Settings!$B$8)+(AB516*Settings!$B$7)+(AC516*Settings!$B$14)+(AD516*Settings!$B$15)+(AE516*Settings!$B$16)+(AF516*Settings!$B$17)+(AG516*Settings!$B$18)+(U516*Settings!$B$13)+(Y516*Settings!$B$10)+(Z516*Settings!$B$11),VLOOKUP(B516,'Standard Deviations'!A1:C731,3,FALSE))</f>
        <v>-5.1320672667622045</v>
      </c>
      <c r="J516" s="37">
        <f t="shared" si="49"/>
        <v>-6.2586186180026884E-2</v>
      </c>
      <c r="K516" s="183">
        <f>VLOOKUP(B516,D!A1:F229,6,FALSE)</f>
        <v>-7.0738078103965147</v>
      </c>
      <c r="L516" s="36">
        <f t="shared" si="50"/>
        <v>-4.7158718735976768</v>
      </c>
      <c r="M516" s="38">
        <f>IF(Settings!$E$9="YAHOO",VLOOKUP(B516,ADP!A1:E731,2,FALSE),IF(Settings!$E$9="ESPN",VLOOKUP(B516,ADP!A1:E731,3,FALSE),IF(Settings!$E$9="FANTRAX",VLOOKUP(B516,ADP!A1:E731,4,FALSE),VLOOKUP(B516,ADP!A1:E731,5,FALSE))))</f>
        <v>1120</v>
      </c>
      <c r="N516" s="38">
        <f t="shared" si="51"/>
        <v>605</v>
      </c>
      <c r="O516" s="38"/>
      <c r="P516" s="39" t="str">
        <f>IF(Settings!$E$27="ON",_xlfn.XLOOKUP(B516,ADP!A2:A731,ADP!H2:H731)," ")</f>
        <v xml:space="preserve"> </v>
      </c>
      <c r="Q516" s="40">
        <f>IF(Settings!$E$12="YES",VLOOKUP(B516,'Player Data'!A1:E734,5,FALSE),82)</f>
        <v>82</v>
      </c>
      <c r="R516" s="38">
        <f>VLOOKUP(B516,'Player Data'!$A1:$AE734,6,FALSE)</f>
        <v>18.300264117446801</v>
      </c>
      <c r="S516" s="40">
        <f>VLOOKUP(B516,'Player Data'!$A1:$AE734,7,FALSE)*$Q516*IFERROR((VLOOKUP(P516,Settings!$E$28:$F$33,2,FALSE)+1),1)</f>
        <v>4.1879259095835506</v>
      </c>
      <c r="T516" s="40">
        <f>VLOOKUP(B516,'Player Data'!$A1:$AE734,8,FALSE)*$Q516*IFERROR((VLOOKUP(P516,Settings!$E$28:$F$33,2,FALSE)+1),1)</f>
        <v>8.646487304125607</v>
      </c>
      <c r="U516" s="40">
        <f t="shared" si="47"/>
        <v>12.834413213709158</v>
      </c>
      <c r="V516" s="40">
        <f>VLOOKUP(B516,'Player Data'!$A1:$AE734,10,FALSE)*$Q516*IFERROR(((VLOOKUP(P516,Settings!$E$28:$F$33,2,FALSE)/2)+1),1)</f>
        <v>81.578404042202067</v>
      </c>
      <c r="W516" s="40">
        <f>VLOOKUP(B516,'Player Data'!$A1:$AE734,11,FALSE)*$Q516*IFERROR((VLOOKUP(P516,Settings!$E$28:$F$33,2,FALSE)+1),1)</f>
        <v>2.8290135700521375E-2</v>
      </c>
      <c r="X516" s="40">
        <f>VLOOKUP(B516,'Player Data'!$A1:$AE734,12,FALSE)*$Q516*IFERROR((VLOOKUP(P516,Settings!$E$28:$F$33,2,FALSE)+1),1)</f>
        <v>0.19030866920086487</v>
      </c>
      <c r="Y516" s="40">
        <f>VLOOKUP(B516,'Player Data'!$A1:$AE734,13,FALSE)*$Q516</f>
        <v>-3.4249930199032635E-2</v>
      </c>
      <c r="Z516" s="40">
        <f>VLOOKUP(B516,'Player Data'!$A1:$AE734,14,FALSE)*$Q516</f>
        <v>0.44052110630912378</v>
      </c>
      <c r="AA516" s="40">
        <f>VLOOKUP(B516,'Player Data'!$A1:$AE734,15,FALSE)*$Q516</f>
        <v>124.6400841016969</v>
      </c>
      <c r="AB516" s="40">
        <f>VLOOKUP(B516,'Player Data'!$A1:$AE734,16,FALSE)*$Q516</f>
        <v>208.88019347851196</v>
      </c>
      <c r="AC516" s="40">
        <f>VLOOKUP(B516,'Player Data'!$A1:$AE734,17,FALSE)*$Q516*IFERROR((VLOOKUP(P516,Settings!$E$28:$F$33,2,FALSE)+1),1)</f>
        <v>3.5631453771580199</v>
      </c>
      <c r="AD516" s="40">
        <f>VLOOKUP(B516,'Player Data'!$A1:$AE734,18,FALSE)*$Q516</f>
        <v>48.275098981072098</v>
      </c>
      <c r="AE516" s="40">
        <f>VLOOKUP(B516,'Player Data'!$A1:$AE734,19,FALSE)*$Q516*IFERROR((VLOOKUP(P516,Settings!$E$28:$F$33,2,FALSE)+1),1)</f>
        <v>0.67003845709852705</v>
      </c>
      <c r="AF516" s="40">
        <f>VLOOKUP(B516,'Player Data'!$A1:$AE734,20,FALSE)*$Q516</f>
        <v>0</v>
      </c>
      <c r="AG516" s="40">
        <f>VLOOKUP(B516,'Player Data'!$A1:$AE734,21,FALSE)*$Q516</f>
        <v>0</v>
      </c>
      <c r="AH516" s="41">
        <f>VLOOKUP(B516,'Player Data'!$A1:$AE734,22,FALSE)</f>
        <v>0</v>
      </c>
      <c r="AI516" s="38"/>
      <c r="AJ516" s="42"/>
      <c r="AK516" s="40"/>
      <c r="AL516" s="40"/>
      <c r="AM516" s="40"/>
      <c r="AN516" s="40"/>
      <c r="AO516" s="40"/>
      <c r="AP516" s="40"/>
      <c r="AQ516" s="43"/>
      <c r="AR516" s="44"/>
      <c r="AS516" s="38"/>
    </row>
    <row r="517" spans="1:45" ht="21.2" customHeight="1">
      <c r="A517" s="181">
        <f t="shared" si="48"/>
        <v>516</v>
      </c>
      <c r="B517" s="8" t="s">
        <v>531</v>
      </c>
      <c r="C517" s="31" t="s">
        <v>104</v>
      </c>
      <c r="D517" s="32" t="str">
        <f>VLOOKUP(B517,'Player Data'!A1:D734,4,FALSE)</f>
        <v>LW,RW</v>
      </c>
      <c r="E517" s="45">
        <f>VLOOKUP(B517,RW!A1:F189,3,FALSE)</f>
        <v>118</v>
      </c>
      <c r="F517" s="34" t="str">
        <f>VLOOKUP(B517,'Player Data'!A1:B734,2,FALSE)</f>
        <v>BUF</v>
      </c>
      <c r="G517" s="9">
        <f>VLOOKUP(B517,'Player Data'!A1:D734,3,FALSE)</f>
        <v>21</v>
      </c>
      <c r="H517" s="35">
        <f>IFERROR(VLOOKUP(B517,ADP!A1:G731,7,FALSE)/1000000,VLOOKUP(B517,ADP!A1:G731,7,FALSE))</f>
        <v>0.85583299999999995</v>
      </c>
      <c r="I517" s="36">
        <f>IF(Settings!$E$15="POINTS",((R517*Q517)*Settings!$B$12)+(S517*Settings!$B$2)+(T517*Settings!$B$3)+(U517*Settings!$B$4)+(V517*Settings!$B$5)+(X517*Settings!$B$9)+(AA517*Settings!$B$6)+(W517*Settings!$B$8)+(AB517*Settings!$B$7)+(AC517*Settings!$B$14)+(AD517*Settings!$B$15)+(AE517*Settings!$B$16)+(AF517*Settings!$B$17)+(AG517*Settings!$B$18)+(Y517*Settings!$B$10)+(Z517*Settings!$B$11),VLOOKUP(B517,'Standard Deviations'!A1:C731,3,FALSE))</f>
        <v>-0.81107950820774932</v>
      </c>
      <c r="J517" s="37">
        <f t="shared" si="49"/>
        <v>-9.8912135147286497E-3</v>
      </c>
      <c r="K517" s="183">
        <f>IF(Settings!$E$18="C/LW/RW",VLOOKUP(B517,RW!A1:F189,6,FALSE),VLOOKUP(B517,F!A1:F431,6,FALSE))</f>
        <v>-7.0913382272188299</v>
      </c>
      <c r="L517" s="36">
        <f t="shared" si="50"/>
        <v>-8.2858901528906106</v>
      </c>
      <c r="M517" s="52" t="str">
        <f>IF(Settings!$E$9="YAHOO",VLOOKUP(B517,ADP!A1:E731,2,FALSE),IF(Settings!$E$9="ESPN",VLOOKUP(B517,ADP!A1:E731,3,FALSE),IF(Settings!$E$9="FANTRAX",VLOOKUP(B517,ADP!A1:E731,4,FALSE),VLOOKUP(B517,ADP!A1:E731,5,FALSE))))</f>
        <v>-</v>
      </c>
      <c r="N517" s="52" t="str">
        <f t="shared" si="51"/>
        <v>N/A</v>
      </c>
      <c r="O517" s="38"/>
      <c r="P517" s="39" t="str">
        <f>IF(Settings!$E$27="ON",_xlfn.XLOOKUP(B517,ADP!A2:A731,ADP!H2:H731)," ")</f>
        <v xml:space="preserve"> </v>
      </c>
      <c r="Q517" s="40">
        <f>IF(Settings!$E$12="YES",VLOOKUP(B517,'Player Data'!A1:E734,5,FALSE),82)</f>
        <v>82</v>
      </c>
      <c r="R517" s="38">
        <f>VLOOKUP(B517,'Player Data'!$A1:$AE734,6,FALSE)</f>
        <v>13.5183494978545</v>
      </c>
      <c r="S517" s="40">
        <f>VLOOKUP(B517,'Player Data'!$A1:$AE734,7,FALSE)*$Q517*IFERROR((VLOOKUP(P517,Settings!$E$28:$F$33,2,FALSE)+1),1)</f>
        <v>13.995834705099108</v>
      </c>
      <c r="T517" s="40">
        <f>VLOOKUP(B517,'Player Data'!$A1:$AE734,8,FALSE)*$Q517*IFERROR((VLOOKUP(P517,Settings!$E$28:$F$33,2,FALSE)+1),1)</f>
        <v>21.815718141847238</v>
      </c>
      <c r="U517" s="40">
        <f t="shared" si="47"/>
        <v>35.811552846946348</v>
      </c>
      <c r="V517" s="40">
        <f>VLOOKUP(B517,'Player Data'!$A1:$AE734,10,FALSE)*$Q517*IFERROR(((VLOOKUP(P517,Settings!$E$28:$F$33,2,FALSE)/2)+1),1)</f>
        <v>135.53066662928686</v>
      </c>
      <c r="W517" s="40">
        <f>VLOOKUP(B517,'Player Data'!$A1:$AE734,11,FALSE)*$Q517*IFERROR((VLOOKUP(P517,Settings!$E$28:$F$33,2,FALSE)+1),1)</f>
        <v>2.1823751679847012</v>
      </c>
      <c r="X517" s="40">
        <f>VLOOKUP(B517,'Player Data'!$A1:$AE734,12,FALSE)*$Q517*IFERROR((VLOOKUP(P517,Settings!$E$28:$F$33,2,FALSE)+1),1)</f>
        <v>5.2486260853720808</v>
      </c>
      <c r="Y517" s="40">
        <f>VLOOKUP(B517,'Player Data'!$A1:$AE734,13,FALSE)*$Q517</f>
        <v>4.4604138631079107E-2</v>
      </c>
      <c r="Z517" s="40">
        <f>VLOOKUP(B517,'Player Data'!$A1:$AE734,14,FALSE)*$Q517</f>
        <v>9.115237457867148E-2</v>
      </c>
      <c r="AA517" s="40">
        <f>VLOOKUP(B517,'Player Data'!$A1:$AE734,15,FALSE)*$Q517</f>
        <v>16.099048183150067</v>
      </c>
      <c r="AB517" s="40">
        <f>VLOOKUP(B517,'Player Data'!$A1:$AE734,16,FALSE)*$Q517</f>
        <v>32.898376133372494</v>
      </c>
      <c r="AC517" s="40">
        <f>VLOOKUP(B517,'Player Data'!$A1:$AE734,17,FALSE)*$Q517*IFERROR((VLOOKUP(P517,Settings!$E$28:$F$33,2,FALSE)+1),1)</f>
        <v>-2.9238759930839064</v>
      </c>
      <c r="AD517" s="40">
        <f>VLOOKUP(B517,'Player Data'!$A1:$AE734,18,FALSE)*$Q517</f>
        <v>27.226703984106017</v>
      </c>
      <c r="AE517" s="40">
        <f>VLOOKUP(B517,'Player Data'!$A1:$AE734,19,FALSE)*$Q517*IFERROR((VLOOKUP(P517,Settings!$E$28:$F$33,2,FALSE)+1),1)</f>
        <v>1.7917335539791268</v>
      </c>
      <c r="AF517" s="40">
        <f>VLOOKUP(B517,'Player Data'!$A1:$AE734,20,FALSE)*$Q517</f>
        <v>5.1111917532698996</v>
      </c>
      <c r="AG517" s="40">
        <f>VLOOKUP(B517,'Player Data'!$A1:$AE734,21,FALSE)*$Q517</f>
        <v>4.3231480210019928</v>
      </c>
      <c r="AH517" s="41">
        <f>VLOOKUP(B517,'Player Data'!$A1:$AE734,22,FALSE)</f>
        <v>0.541764646553061</v>
      </c>
      <c r="AI517" s="38"/>
      <c r="AJ517" s="42"/>
      <c r="AK517" s="40"/>
      <c r="AL517" s="40"/>
      <c r="AM517" s="40"/>
      <c r="AN517" s="40"/>
      <c r="AO517" s="40"/>
      <c r="AP517" s="40"/>
      <c r="AQ517" s="43"/>
      <c r="AR517" s="44"/>
      <c r="AS517" s="38"/>
    </row>
    <row r="518" spans="1:45" ht="21.2" customHeight="1">
      <c r="A518" s="181">
        <f t="shared" si="48"/>
        <v>517</v>
      </c>
      <c r="B518" s="8" t="s">
        <v>750</v>
      </c>
      <c r="C518" s="31" t="s">
        <v>104</v>
      </c>
      <c r="D518" s="32" t="str">
        <f>VLOOKUP(B518,'Player Data'!A1:D734,4,FALSE)</f>
        <v>C,LW</v>
      </c>
      <c r="E518" s="45">
        <f>VLOOKUP(B518,LW!A1:C227,3,FALSE)</f>
        <v>121</v>
      </c>
      <c r="F518" s="34" t="str">
        <f>VLOOKUP(B518,'Player Data'!A1:B734,2,FALSE)</f>
        <v>CGY</v>
      </c>
      <c r="G518" s="9">
        <f>VLOOKUP(B518,'Player Data'!A1:D734,3,FALSE)</f>
        <v>22</v>
      </c>
      <c r="H518" s="35">
        <f>IFERROR(VLOOKUP(B518,ADP!A1:G731,7,FALSE)/1000000,VLOOKUP(B518,ADP!A1:G731,7,FALSE))</f>
        <v>0</v>
      </c>
      <c r="I518" s="36">
        <f>IF(Settings!$E$15="POINTS",((R518*Q518)*Settings!$B$12)+(S518*Settings!$B$2)+(T518*Settings!$B$3)+(U518*Settings!$B$4)+(V518*Settings!$B$5)+(X518*Settings!$B$9)+(AA518*Settings!$B$6)+(W518*Settings!$B$8)+(AB518*Settings!$B$7)+(AC518*Settings!$B$14)+(AD518*Settings!$B$15)+(AE518*Settings!$B$16)+(AF518*Settings!$B$17)+(AG518*Settings!$B$18)+(Y518*Settings!$B$10)+(Z518*Settings!$B$11),VLOOKUP(B518,'Standard Deviations'!A1:C731,3,FALSE))</f>
        <v>-0.4382943085740027</v>
      </c>
      <c r="J518" s="37">
        <f t="shared" si="49"/>
        <v>-5.3450525435853984E-3</v>
      </c>
      <c r="K518" s="183">
        <f>IF(Settings!$E$18="C/LW/RW",VLOOKUP(B518,LW!A1:F227,6,FALSE),VLOOKUP(B518,F!A1:F431,6,FALSE))</f>
        <v>-7.0929633526984039</v>
      </c>
      <c r="L518" s="49" t="str">
        <f t="shared" si="50"/>
        <v>N/A</v>
      </c>
      <c r="M518" s="38">
        <f>IF(Settings!$E$9="YAHOO",VLOOKUP(B518,ADP!A1:E731,2,FALSE),IF(Settings!$E$9="ESPN",VLOOKUP(B518,ADP!A1:E731,3,FALSE),IF(Settings!$E$9="FANTRAX",VLOOKUP(B518,ADP!A1:E731,4,FALSE),VLOOKUP(B518,ADP!A1:E731,5,FALSE))))</f>
        <v>407.9</v>
      </c>
      <c r="N518" s="38">
        <f t="shared" si="51"/>
        <v>-109.10000000000002</v>
      </c>
      <c r="O518" s="38"/>
      <c r="P518" s="39" t="str">
        <f>IF(Settings!$E$27="ON",_xlfn.XLOOKUP(B518,ADP!A2:A731,ADP!H2:H731)," ")</f>
        <v xml:space="preserve"> </v>
      </c>
      <c r="Q518" s="40">
        <f>IF(Settings!$E$12="YES",VLOOKUP(B518,'Player Data'!A1:E734,5,FALSE),82)</f>
        <v>82</v>
      </c>
      <c r="R518" s="38">
        <f>VLOOKUP(B518,'Player Data'!$A1:$AE734,6,FALSE)</f>
        <v>14.563637588937301</v>
      </c>
      <c r="S518" s="40">
        <f>VLOOKUP(B518,'Player Data'!$A1:$AE734,7,FALSE)*$Q518*IFERROR((VLOOKUP(P518,Settings!$E$28:$F$33,2,FALSE)+1),1)</f>
        <v>15.121851369065787</v>
      </c>
      <c r="T518" s="40">
        <f>VLOOKUP(B518,'Player Data'!$A1:$AE734,8,FALSE)*$Q518*IFERROR((VLOOKUP(P518,Settings!$E$28:$F$33,2,FALSE)+1),1)</f>
        <v>20.762780971171882</v>
      </c>
      <c r="U518" s="40">
        <f t="shared" si="47"/>
        <v>35.884632340237673</v>
      </c>
      <c r="V518" s="40">
        <f>VLOOKUP(B518,'Player Data'!$A1:$AE734,10,FALSE)*$Q518*IFERROR(((VLOOKUP(P518,Settings!$E$28:$F$33,2,FALSE)/2)+1),1)</f>
        <v>140.11853568990131</v>
      </c>
      <c r="W518" s="40">
        <f>VLOOKUP(B518,'Player Data'!$A1:$AE734,11,FALSE)*$Q518*IFERROR((VLOOKUP(P518,Settings!$E$28:$F$33,2,FALSE)+1),1)</f>
        <v>4.408603624657764</v>
      </c>
      <c r="X518" s="40">
        <f>VLOOKUP(B518,'Player Data'!$A1:$AE734,12,FALSE)*$Q518*IFERROR((VLOOKUP(P518,Settings!$E$28:$F$33,2,FALSE)+1),1)</f>
        <v>7.854381460661604</v>
      </c>
      <c r="Y518" s="40">
        <f>VLOOKUP(B518,'Player Data'!$A1:$AE734,13,FALSE)*$Q518</f>
        <v>1.1798377971632726E-2</v>
      </c>
      <c r="Z518" s="40">
        <f>VLOOKUP(B518,'Player Data'!$A1:$AE734,14,FALSE)*$Q518</f>
        <v>2.2595192931694867E-2</v>
      </c>
      <c r="AA518" s="40">
        <f>VLOOKUP(B518,'Player Data'!$A1:$AE734,15,FALSE)*$Q518</f>
        <v>42.616730222221385</v>
      </c>
      <c r="AB518" s="40">
        <f>VLOOKUP(B518,'Player Data'!$A1:$AE734,16,FALSE)*$Q518</f>
        <v>77.05676542609099</v>
      </c>
      <c r="AC518" s="40">
        <f>VLOOKUP(B518,'Player Data'!$A1:$AE734,17,FALSE)*$Q518*IFERROR((VLOOKUP(P518,Settings!$E$28:$F$33,2,FALSE)+1),1)</f>
        <v>1.6791244456592569</v>
      </c>
      <c r="AD518" s="40">
        <f>VLOOKUP(B518,'Player Data'!$A1:$AE734,18,FALSE)*$Q518</f>
        <v>21.372345145343228</v>
      </c>
      <c r="AE518" s="40">
        <f>VLOOKUP(B518,'Player Data'!$A1:$AE734,19,FALSE)*$Q518*IFERROR((VLOOKUP(P518,Settings!$E$28:$F$33,2,FALSE)+1),1)</f>
        <v>2.5268349014478364</v>
      </c>
      <c r="AF518" s="40">
        <f>VLOOKUP(B518,'Player Data'!$A1:$AE734,20,FALSE)*$Q518</f>
        <v>7.0159403242537861</v>
      </c>
      <c r="AG518" s="40">
        <f>VLOOKUP(B518,'Player Data'!$A1:$AE734,21,FALSE)*$Q518</f>
        <v>21.0478209727614</v>
      </c>
      <c r="AH518" s="41">
        <f>VLOOKUP(B518,'Player Data'!$A1:$AE734,22,FALSE)</f>
        <v>0.25</v>
      </c>
      <c r="AI518" s="38"/>
      <c r="AJ518" s="42"/>
      <c r="AK518" s="40"/>
      <c r="AL518" s="40"/>
      <c r="AM518" s="40"/>
      <c r="AN518" s="40"/>
      <c r="AO518" s="40"/>
      <c r="AP518" s="40"/>
      <c r="AQ518" s="43"/>
      <c r="AR518" s="44"/>
      <c r="AS518" s="38"/>
    </row>
    <row r="519" spans="1:45" ht="21.2" customHeight="1">
      <c r="A519" s="181">
        <f t="shared" si="48"/>
        <v>518</v>
      </c>
      <c r="B519" s="8" t="s">
        <v>561</v>
      </c>
      <c r="C519" s="31" t="s">
        <v>104</v>
      </c>
      <c r="D519" s="32" t="str">
        <f>VLOOKUP(B519,'Player Data'!A1:D734,4,FALSE)</f>
        <v>RW</v>
      </c>
      <c r="E519" s="46">
        <f>VLOOKUP(B519,RW!A1:F189,3,FALSE)</f>
        <v>119</v>
      </c>
      <c r="F519" s="34" t="str">
        <f>VLOOKUP(B519,'Player Data'!A1:B734,2,FALSE)</f>
        <v>NYI</v>
      </c>
      <c r="G519" s="9">
        <f>VLOOKUP(B519,'Player Data'!A1:D734,3,FALSE)</f>
        <v>23</v>
      </c>
      <c r="H519" s="35">
        <f>IFERROR(VLOOKUP(B519,ADP!A1:G731,7,FALSE)/1000000,VLOOKUP(B519,ADP!A1:G731,7,FALSE))</f>
        <v>0.874</v>
      </c>
      <c r="I519" s="36">
        <f>IF(Settings!$E$15="POINTS",((R519*Q519)*Settings!$B$12)+(S519*Settings!$B$2)+(T519*Settings!$B$3)+(U519*Settings!$B$4)+(V519*Settings!$B$5)+(X519*Settings!$B$9)+(AA519*Settings!$B$6)+(W519*Settings!$B$8)+(AB519*Settings!$B$7)+(AC519*Settings!$B$14)+(AD519*Settings!$B$15)+(AE519*Settings!$B$16)+(AF519*Settings!$B$17)+(AG519*Settings!$B$18)+(Y519*Settings!$B$10)+(Z519*Settings!$B$11),VLOOKUP(B519,'Standard Deviations'!A1:C731,3,FALSE))</f>
        <v>-0.82522897016565233</v>
      </c>
      <c r="J519" s="37">
        <f t="shared" si="49"/>
        <v>-1.0063767928849419E-2</v>
      </c>
      <c r="K519" s="183">
        <f>IF(Settings!$E$18="C/LW/RW",VLOOKUP(B519,RW!A1:F189,6,FALSE),VLOOKUP(B519,F!A1:F431,6,FALSE))</f>
        <v>-7.1054876891767336</v>
      </c>
      <c r="L519" s="36">
        <f t="shared" si="50"/>
        <v>-8.1298486146186875</v>
      </c>
      <c r="M519" s="38">
        <f>IF(Settings!$E$9="YAHOO",VLOOKUP(B519,ADP!A1:E731,2,FALSE),IF(Settings!$E$9="ESPN",VLOOKUP(B519,ADP!A1:E731,3,FALSE),IF(Settings!$E$9="FANTRAX",VLOOKUP(B519,ADP!A1:E731,4,FALSE),VLOOKUP(B519,ADP!A1:E731,5,FALSE))))</f>
        <v>439.4</v>
      </c>
      <c r="N519" s="38">
        <f t="shared" si="51"/>
        <v>-78.600000000000023</v>
      </c>
      <c r="O519" s="38"/>
      <c r="P519" s="39" t="str">
        <f>IF(Settings!$E$27="ON",_xlfn.XLOOKUP(B519,ADP!A2:A731,ADP!H2:H731)," ")</f>
        <v xml:space="preserve"> </v>
      </c>
      <c r="Q519" s="40">
        <f>IF(Settings!$E$12="YES",VLOOKUP(B519,'Player Data'!A1:E734,5,FALSE),82)</f>
        <v>82</v>
      </c>
      <c r="R519" s="38">
        <f>VLOOKUP(B519,'Player Data'!$A1:$AE734,6,FALSE)</f>
        <v>12.059634716664901</v>
      </c>
      <c r="S519" s="40">
        <f>VLOOKUP(B519,'Player Data'!$A1:$AE734,7,FALSE)*$Q519*IFERROR((VLOOKUP(P519,Settings!$E$28:$F$33,2,FALSE)+1),1)</f>
        <v>14.834190895717162</v>
      </c>
      <c r="T519" s="40">
        <f>VLOOKUP(B519,'Player Data'!$A1:$AE734,8,FALSE)*$Q519*IFERROR((VLOOKUP(P519,Settings!$E$28:$F$33,2,FALSE)+1),1)</f>
        <v>16.611712459636028</v>
      </c>
      <c r="U519" s="40">
        <f t="shared" si="47"/>
        <v>31.445903355353188</v>
      </c>
      <c r="V519" s="40">
        <f>VLOOKUP(B519,'Player Data'!$A1:$AE734,10,FALSE)*$Q519*IFERROR(((VLOOKUP(P519,Settings!$E$28:$F$33,2,FALSE)/2)+1),1)</f>
        <v>158.72916301545209</v>
      </c>
      <c r="W519" s="40">
        <f>VLOOKUP(B519,'Player Data'!$A1:$AE734,11,FALSE)*$Q519*IFERROR((VLOOKUP(P519,Settings!$E$28:$F$33,2,FALSE)+1),1)</f>
        <v>3.3181920595346424</v>
      </c>
      <c r="X519" s="40">
        <f>VLOOKUP(B519,'Player Data'!$A1:$AE734,12,FALSE)*$Q519*IFERROR((VLOOKUP(P519,Settings!$E$28:$F$33,2,FALSE)+1),1)</f>
        <v>6.1107041624746463</v>
      </c>
      <c r="Y519" s="40">
        <f>VLOOKUP(B519,'Player Data'!$A1:$AE734,13,FALSE)*$Q519</f>
        <v>2.9318160058692166E-4</v>
      </c>
      <c r="Z519" s="40">
        <f>VLOOKUP(B519,'Player Data'!$A1:$AE734,14,FALSE)*$Q519</f>
        <v>5.7767974416160495E-4</v>
      </c>
      <c r="AA519" s="40">
        <f>VLOOKUP(B519,'Player Data'!$A1:$AE734,15,FALSE)*$Q519</f>
        <v>30.10388077824781</v>
      </c>
      <c r="AB519" s="40">
        <f>VLOOKUP(B519,'Player Data'!$A1:$AE734,16,FALSE)*$Q519</f>
        <v>114.27422058451997</v>
      </c>
      <c r="AC519" s="40">
        <f>VLOOKUP(B519,'Player Data'!$A1:$AE734,17,FALSE)*$Q519*IFERROR((VLOOKUP(P519,Settings!$E$28:$F$33,2,FALSE)+1),1)</f>
        <v>1.5816461199340499</v>
      </c>
      <c r="AD519" s="40">
        <f>VLOOKUP(B519,'Player Data'!$A1:$AE734,18,FALSE)*$Q519</f>
        <v>49.701663231102025</v>
      </c>
      <c r="AE519" s="40">
        <f>VLOOKUP(B519,'Player Data'!$A1:$AE734,19,FALSE)*$Q519*IFERROR((VLOOKUP(P519,Settings!$E$28:$F$33,2,FALSE)+1),1)</f>
        <v>2.2922067293807364</v>
      </c>
      <c r="AF519" s="40">
        <f>VLOOKUP(B519,'Player Data'!$A1:$AE734,20,FALSE)*$Q519</f>
        <v>14.061304779374598</v>
      </c>
      <c r="AG519" s="40">
        <f>VLOOKUP(B519,'Player Data'!$A1:$AE734,21,FALSE)*$Q519</f>
        <v>20.801483090255307</v>
      </c>
      <c r="AH519" s="41">
        <f>VLOOKUP(B519,'Player Data'!$A1:$AE734,22,FALSE)</f>
        <v>0.40333276936879198</v>
      </c>
      <c r="AI519" s="38"/>
      <c r="AJ519" s="42"/>
      <c r="AK519" s="40"/>
      <c r="AL519" s="40"/>
      <c r="AM519" s="40"/>
      <c r="AN519" s="40"/>
      <c r="AO519" s="40"/>
      <c r="AP519" s="40"/>
      <c r="AQ519" s="43"/>
      <c r="AR519" s="44"/>
      <c r="AS519" s="38"/>
    </row>
    <row r="520" spans="1:45" ht="21.2" customHeight="1">
      <c r="A520" s="181">
        <f t="shared" si="48"/>
        <v>519</v>
      </c>
      <c r="B520" s="8" t="s">
        <v>625</v>
      </c>
      <c r="C520" s="31" t="s">
        <v>104</v>
      </c>
      <c r="D520" s="32" t="str">
        <f>VLOOKUP(B520,'Player Data'!A1:D734,4,FALSE)</f>
        <v>D</v>
      </c>
      <c r="E520" s="47">
        <f>VLOOKUP(B520,D!A1:C229,3,FALSE)</f>
        <v>206</v>
      </c>
      <c r="F520" s="34" t="str">
        <f>VLOOKUP(B520,'Player Data'!A1:B734,2,FALSE)</f>
        <v>MTL</v>
      </c>
      <c r="G520" s="9">
        <f>VLOOKUP(B520,'Player Data'!A1:D734,3,FALSE)</f>
        <v>33</v>
      </c>
      <c r="H520" s="35">
        <f>IFERROR(VLOOKUP(B520,ADP!A1:G731,7,FALSE)/1000000,VLOOKUP(B520,ADP!A1:G731,7,FALSE))</f>
        <v>0.76200000000000001</v>
      </c>
      <c r="I520" s="36">
        <f>IF(Settings!$E$15="POINTS",((R520*Q520)*Settings!$B$12)+(S520*Settings!$B$2)+(T520*Settings!$B$3)+(U520*Settings!$B$4)+(V520*Settings!$B$5)+(X520*Settings!$B$9)+(AA520*Settings!$B$6)+(W520*Settings!$B$8)+(AB520*Settings!$B$7)+(AC520*Settings!$B$14)+(AD520*Settings!$B$15)+(AE520*Settings!$B$16)+(AF520*Settings!$B$17)+(AG520*Settings!$B$18)+(U520*Settings!$B$13)+(Y520*Settings!$B$10)+(Z520*Settings!$B$11),VLOOKUP(B520,'Standard Deviations'!A1:C731,3,FALSE))</f>
        <v>-5.164335179713877</v>
      </c>
      <c r="J520" s="37">
        <f t="shared" si="49"/>
        <v>-6.2979697313583868E-2</v>
      </c>
      <c r="K520" s="183">
        <f>VLOOKUP(B520,D!A1:F229,6,FALSE)</f>
        <v>-7.1060757233481873</v>
      </c>
      <c r="L520" s="36">
        <f t="shared" si="50"/>
        <v>-9.3255586920579887</v>
      </c>
      <c r="M520" s="52" t="str">
        <f>IF(Settings!$E$9="YAHOO",VLOOKUP(B520,ADP!A1:E731,2,FALSE),IF(Settings!$E$9="ESPN",VLOOKUP(B520,ADP!A1:E731,3,FALSE),IF(Settings!$E$9="FANTRAX",VLOOKUP(B520,ADP!A1:E731,4,FALSE),VLOOKUP(B520,ADP!A1:E731,5,FALSE))))</f>
        <v>-</v>
      </c>
      <c r="N520" s="52" t="str">
        <f t="shared" si="51"/>
        <v>N/A</v>
      </c>
      <c r="O520" s="38"/>
      <c r="P520" s="39" t="str">
        <f>IF(Settings!$E$27="ON",_xlfn.XLOOKUP(B520,ADP!A2:A731,ADP!H2:H731)," ")</f>
        <v xml:space="preserve"> </v>
      </c>
      <c r="Q520" s="40">
        <f>IF(Settings!$E$12="YES",VLOOKUP(B520,'Player Data'!A1:E734,5,FALSE),82)</f>
        <v>82</v>
      </c>
      <c r="R520" s="38">
        <f>VLOOKUP(B520,'Player Data'!$A1:$AE734,6,FALSE)</f>
        <v>12.762144040071499</v>
      </c>
      <c r="S520" s="40">
        <f>VLOOKUP(B520,'Player Data'!$A1:$AE734,7,FALSE)*$Q520*IFERROR((VLOOKUP(P520,Settings!$E$28:$F$33,2,FALSE)+1),1)</f>
        <v>2.500337917920477</v>
      </c>
      <c r="T520" s="40">
        <f>VLOOKUP(B520,'Player Data'!$A1:$AE734,8,FALSE)*$Q520*IFERROR((VLOOKUP(P520,Settings!$E$28:$F$33,2,FALSE)+1),1)</f>
        <v>12.091061801815092</v>
      </c>
      <c r="U520" s="40">
        <f t="shared" si="47"/>
        <v>14.59139971973557</v>
      </c>
      <c r="V520" s="40">
        <f>VLOOKUP(B520,'Player Data'!$A1:$AE734,10,FALSE)*$Q520*IFERROR(((VLOOKUP(P520,Settings!$E$28:$F$33,2,FALSE)/2)+1),1)</f>
        <v>62.945752220588076</v>
      </c>
      <c r="W520" s="40">
        <f>VLOOKUP(B520,'Player Data'!$A1:$AE734,11,FALSE)*$Q520*IFERROR((VLOOKUP(P520,Settings!$E$28:$F$33,2,FALSE)+1),1)</f>
        <v>2.2944532432117404E-2</v>
      </c>
      <c r="X520" s="40">
        <f>VLOOKUP(B520,'Player Data'!$A1:$AE734,12,FALSE)*$Q520*IFERROR((VLOOKUP(P520,Settings!$E$28:$F$33,2,FALSE)+1),1)</f>
        <v>1.33499397812967</v>
      </c>
      <c r="Y520" s="40">
        <f>VLOOKUP(B520,'Player Data'!$A1:$AE734,13,FALSE)*$Q520</f>
        <v>3.5553481515432908E-3</v>
      </c>
      <c r="Z520" s="40">
        <f>VLOOKUP(B520,'Player Data'!$A1:$AE734,14,FALSE)*$Q520</f>
        <v>1.3316752218364496E-2</v>
      </c>
      <c r="AA520" s="40">
        <f>VLOOKUP(B520,'Player Data'!$A1:$AE734,15,FALSE)*$Q520</f>
        <v>76.461432197106262</v>
      </c>
      <c r="AB520" s="40">
        <f>VLOOKUP(B520,'Player Data'!$A1:$AE734,16,FALSE)*$Q520</f>
        <v>66.600792648905525</v>
      </c>
      <c r="AC520" s="40">
        <f>VLOOKUP(B520,'Player Data'!$A1:$AE734,17,FALSE)*$Q520*IFERROR((VLOOKUP(P520,Settings!$E$28:$F$33,2,FALSE)+1),1)</f>
        <v>-8.4533334265487241</v>
      </c>
      <c r="AD520" s="40">
        <f>VLOOKUP(B520,'Player Data'!$A1:$AE734,18,FALSE)*$Q520</f>
        <v>49.911124186454799</v>
      </c>
      <c r="AE520" s="40">
        <f>VLOOKUP(B520,'Player Data'!$A1:$AE734,19,FALSE)*$Q520*IFERROR((VLOOKUP(P520,Settings!$E$28:$F$33,2,FALSE)+1),1)</f>
        <v>0.25613990348471211</v>
      </c>
      <c r="AF520" s="40">
        <f>VLOOKUP(B520,'Player Data'!$A1:$AE734,20,FALSE)*$Q520</f>
        <v>0</v>
      </c>
      <c r="AG520" s="40">
        <f>VLOOKUP(B520,'Player Data'!$A1:$AE734,21,FALSE)*$Q520</f>
        <v>0</v>
      </c>
      <c r="AH520" s="41">
        <f>VLOOKUP(B520,'Player Data'!$A1:$AE734,22,FALSE)</f>
        <v>0</v>
      </c>
      <c r="AI520" s="38"/>
      <c r="AJ520" s="42"/>
      <c r="AK520" s="40"/>
      <c r="AL520" s="40"/>
      <c r="AM520" s="40"/>
      <c r="AN520" s="40"/>
      <c r="AO520" s="40"/>
      <c r="AP520" s="40"/>
      <c r="AQ520" s="43"/>
      <c r="AR520" s="44"/>
      <c r="AS520" s="38"/>
    </row>
    <row r="521" spans="1:45" ht="21.2" customHeight="1">
      <c r="A521" s="181">
        <f t="shared" si="48"/>
        <v>520</v>
      </c>
      <c r="B521" s="8" t="s">
        <v>535</v>
      </c>
      <c r="C521" s="31" t="s">
        <v>104</v>
      </c>
      <c r="D521" s="32" t="str">
        <f>VLOOKUP(B521,'Player Data'!A1:D734,4,FALSE)</f>
        <v>C,LW</v>
      </c>
      <c r="E521" s="45">
        <f>VLOOKUP(B521,LW!A1:C227,3,FALSE)</f>
        <v>122</v>
      </c>
      <c r="F521" s="34" t="str">
        <f>VLOOKUP(B521,'Player Data'!A1:B734,2,FALSE)</f>
        <v>MIN</v>
      </c>
      <c r="G521" s="9">
        <f>VLOOKUP(B521,'Player Data'!A1:D734,3,FALSE)</f>
        <v>32</v>
      </c>
      <c r="H521" s="35">
        <f>IFERROR(VLOOKUP(B521,ADP!A1:G731,7,FALSE)/1000000,VLOOKUP(B521,ADP!A1:G731,7,FALSE))</f>
        <v>2</v>
      </c>
      <c r="I521" s="36">
        <f>IF(Settings!$E$15="POINTS",((R521*Q521)*Settings!$B$12)+(S521*Settings!$B$2)+(T521*Settings!$B$3)+(U521*Settings!$B$4)+(V521*Settings!$B$5)+(X521*Settings!$B$9)+(AA521*Settings!$B$6)+(W521*Settings!$B$8)+(AB521*Settings!$B$7)+(AC521*Settings!$B$14)+(AD521*Settings!$B$15)+(AE521*Settings!$B$16)+(AF521*Settings!$B$17)+(AG521*Settings!$B$18)+(Y521*Settings!$B$10)+(Z521*Settings!$B$11),VLOOKUP(B521,'Standard Deviations'!A1:C731,3,FALSE))</f>
        <v>-0.45957490357577924</v>
      </c>
      <c r="J521" s="37">
        <f t="shared" si="49"/>
        <v>-5.6045719948265762E-3</v>
      </c>
      <c r="K521" s="183">
        <f>IF(Settings!$E$18="C/LW/RW",VLOOKUP(B521,LW!A1:F227,6,FALSE),VLOOKUP(B521,F!A1:F431,6,FALSE))</f>
        <v>-7.1142439477001806</v>
      </c>
      <c r="L521" s="36">
        <f t="shared" si="50"/>
        <v>-3.5571219738500903</v>
      </c>
      <c r="M521" s="38">
        <f>IF(Settings!$E$9="YAHOO",VLOOKUP(B521,ADP!A1:E731,2,FALSE),IF(Settings!$E$9="ESPN",VLOOKUP(B521,ADP!A1:E731,3,FALSE),IF(Settings!$E$9="FANTRAX",VLOOKUP(B521,ADP!A1:E731,4,FALSE),VLOOKUP(B521,ADP!A1:E731,5,FALSE))))</f>
        <v>414.95</v>
      </c>
      <c r="N521" s="38">
        <f t="shared" si="51"/>
        <v>-105.05000000000001</v>
      </c>
      <c r="O521" s="38"/>
      <c r="P521" s="39" t="str">
        <f>IF(Settings!$E$27="ON",_xlfn.XLOOKUP(B521,ADP!A2:A731,ADP!H2:H731)," ")</f>
        <v xml:space="preserve"> </v>
      </c>
      <c r="Q521" s="40">
        <f>IF(Settings!$E$12="YES",VLOOKUP(B521,'Player Data'!A1:E734,5,FALSE),82)</f>
        <v>82</v>
      </c>
      <c r="R521" s="38">
        <f>VLOOKUP(B521,'Player Data'!$A1:$AE734,6,FALSE)</f>
        <v>16.187360942794601</v>
      </c>
      <c r="S521" s="40">
        <f>VLOOKUP(B521,'Player Data'!$A1:$AE734,7,FALSE)*$Q521*IFERROR((VLOOKUP(P521,Settings!$E$28:$F$33,2,FALSE)+1),1)</f>
        <v>14.23830650367028</v>
      </c>
      <c r="T521" s="40">
        <f>VLOOKUP(B521,'Player Data'!$A1:$AE734,8,FALSE)*$Q521*IFERROR((VLOOKUP(P521,Settings!$E$28:$F$33,2,FALSE)+1),1)</f>
        <v>21.547501836000713</v>
      </c>
      <c r="U521" s="40">
        <f t="shared" si="47"/>
        <v>35.785808339670993</v>
      </c>
      <c r="V521" s="40">
        <f>VLOOKUP(B521,'Player Data'!$A1:$AE734,10,FALSE)*$Q521*IFERROR(((VLOOKUP(P521,Settings!$E$28:$F$33,2,FALSE)/2)+1),1)</f>
        <v>134.73380285290634</v>
      </c>
      <c r="W521" s="40">
        <f>VLOOKUP(B521,'Player Data'!$A1:$AE734,11,FALSE)*$Q521*IFERROR((VLOOKUP(P521,Settings!$E$28:$F$33,2,FALSE)+1),1)</f>
        <v>2.5648370551736508</v>
      </c>
      <c r="X521" s="40">
        <f>VLOOKUP(B521,'Player Data'!$A1:$AE734,12,FALSE)*$Q521*IFERROR((VLOOKUP(P521,Settings!$E$28:$F$33,2,FALSE)+1),1)</f>
        <v>8.8640979466418646</v>
      </c>
      <c r="Y521" s="40">
        <f>VLOOKUP(B521,'Player Data'!$A1:$AE734,13,FALSE)*$Q521</f>
        <v>0.70956680800542093</v>
      </c>
      <c r="Z521" s="40">
        <f>VLOOKUP(B521,'Player Data'!$A1:$AE734,14,FALSE)*$Q521</f>
        <v>0.72606534727610295</v>
      </c>
      <c r="AA521" s="40">
        <f>VLOOKUP(B521,'Player Data'!$A1:$AE734,15,FALSE)*$Q521</f>
        <v>28.982972162018676</v>
      </c>
      <c r="AB521" s="40">
        <f>VLOOKUP(B521,'Player Data'!$A1:$AE734,16,FALSE)*$Q521</f>
        <v>34.562787406221901</v>
      </c>
      <c r="AC521" s="40">
        <f>VLOOKUP(B521,'Player Data'!$A1:$AE734,17,FALSE)*$Q521*IFERROR((VLOOKUP(P521,Settings!$E$28:$F$33,2,FALSE)+1),1)</f>
        <v>2.3246149951648496</v>
      </c>
      <c r="AD521" s="40">
        <f>VLOOKUP(B521,'Player Data'!$A1:$AE734,18,FALSE)*$Q521</f>
        <v>12.011843751040097</v>
      </c>
      <c r="AE521" s="40">
        <f>VLOOKUP(B521,'Player Data'!$A1:$AE734,19,FALSE)*$Q521*IFERROR((VLOOKUP(P521,Settings!$E$28:$F$33,2,FALSE)+1),1)</f>
        <v>2.2863362216429319</v>
      </c>
      <c r="AF521" s="40">
        <f>VLOOKUP(B521,'Player Data'!$A1:$AE734,20,FALSE)*$Q521</f>
        <v>30.367666497226235</v>
      </c>
      <c r="AG521" s="40">
        <f>VLOOKUP(B521,'Player Data'!$A1:$AE734,21,FALSE)*$Q521</f>
        <v>41.063999730968</v>
      </c>
      <c r="AH521" s="41">
        <f>VLOOKUP(B521,'Player Data'!$A1:$AE734,22,FALSE)</f>
        <v>0.42512891131804598</v>
      </c>
      <c r="AI521" s="38"/>
      <c r="AJ521" s="42"/>
      <c r="AK521" s="40"/>
      <c r="AL521" s="40"/>
      <c r="AM521" s="40"/>
      <c r="AN521" s="40"/>
      <c r="AO521" s="40"/>
      <c r="AP521" s="40"/>
      <c r="AQ521" s="43"/>
      <c r="AR521" s="44"/>
      <c r="AS521" s="38"/>
    </row>
    <row r="522" spans="1:45" ht="21.2" customHeight="1">
      <c r="A522" s="181">
        <f t="shared" si="48"/>
        <v>521</v>
      </c>
      <c r="B522" s="8" t="s">
        <v>588</v>
      </c>
      <c r="C522" s="31" t="s">
        <v>104</v>
      </c>
      <c r="D522" s="32" t="str">
        <f>VLOOKUP(B522,'Player Data'!A1:D734,4,FALSE)</f>
        <v>D</v>
      </c>
      <c r="E522" s="47">
        <f>VLOOKUP(B522,D!A1:C229,3,FALSE)</f>
        <v>207</v>
      </c>
      <c r="F522" s="34" t="str">
        <f>VLOOKUP(B522,'Player Data'!A1:B734,2,FALSE)</f>
        <v>SJS</v>
      </c>
      <c r="G522" s="9">
        <f>VLOOKUP(B522,'Player Data'!A1:D734,3,FALSE)</f>
        <v>30</v>
      </c>
      <c r="H522" s="35">
        <f>IFERROR(VLOOKUP(B522,ADP!A1:G731,7,FALSE)/1000000,VLOOKUP(B522,ADP!A1:G731,7,FALSE))</f>
        <v>2.25</v>
      </c>
      <c r="I522" s="36">
        <f>IF(Settings!$E$15="POINTS",((R522*Q522)*Settings!$B$12)+(S522*Settings!$B$2)+(T522*Settings!$B$3)+(U522*Settings!$B$4)+(V522*Settings!$B$5)+(X522*Settings!$B$9)+(AA522*Settings!$B$6)+(W522*Settings!$B$8)+(AB522*Settings!$B$7)+(AC522*Settings!$B$14)+(AD522*Settings!$B$15)+(AE522*Settings!$B$16)+(AF522*Settings!$B$17)+(AG522*Settings!$B$18)+(U522*Settings!$B$13)+(Y522*Settings!$B$10)+(Z522*Settings!$B$11),VLOOKUP(B522,'Standard Deviations'!A1:C731,3,FALSE))</f>
        <v>-5.174065841401938</v>
      </c>
      <c r="J522" s="37">
        <f t="shared" si="49"/>
        <v>-6.3098363919535827E-2</v>
      </c>
      <c r="K522" s="183">
        <f>VLOOKUP(B522,D!A1:F229,6,FALSE)</f>
        <v>-7.1158063850362492</v>
      </c>
      <c r="L522" s="36">
        <f t="shared" si="50"/>
        <v>-3.1625806155716663</v>
      </c>
      <c r="M522" s="52" t="str">
        <f>IF(Settings!$E$9="YAHOO",VLOOKUP(B522,ADP!A1:E731,2,FALSE),IF(Settings!$E$9="ESPN",VLOOKUP(B522,ADP!A1:E731,3,FALSE),IF(Settings!$E$9="FANTRAX",VLOOKUP(B522,ADP!A1:E731,4,FALSE),VLOOKUP(B522,ADP!A1:E731,5,FALSE))))</f>
        <v>-</v>
      </c>
      <c r="N522" s="52" t="str">
        <f t="shared" si="51"/>
        <v>N/A</v>
      </c>
      <c r="O522" s="38"/>
      <c r="P522" s="39" t="str">
        <f>IF(Settings!$E$27="ON",_xlfn.XLOOKUP(B522,ADP!A2:A731,ADP!H2:H731)," ")</f>
        <v xml:space="preserve"> </v>
      </c>
      <c r="Q522" s="40">
        <f>IF(Settings!$E$12="YES",VLOOKUP(B522,'Player Data'!A1:E734,5,FALSE),82)</f>
        <v>82</v>
      </c>
      <c r="R522" s="38">
        <f>VLOOKUP(B522,'Player Data'!$A1:$AE734,6,FALSE)</f>
        <v>16.6649331566183</v>
      </c>
      <c r="S522" s="40">
        <f>VLOOKUP(B522,'Player Data'!$A1:$AE734,7,FALSE)*$Q522*IFERROR((VLOOKUP(P522,Settings!$E$28:$F$33,2,FALSE)+1),1)</f>
        <v>3.2864123571008061</v>
      </c>
      <c r="T522" s="40">
        <f>VLOOKUP(B522,'Player Data'!$A1:$AE734,8,FALSE)*$Q522*IFERROR((VLOOKUP(P522,Settings!$E$28:$F$33,2,FALSE)+1),1)</f>
        <v>8.6552812473602838</v>
      </c>
      <c r="U522" s="40">
        <f t="shared" si="47"/>
        <v>11.94169360446109</v>
      </c>
      <c r="V522" s="40">
        <f>VLOOKUP(B522,'Player Data'!$A1:$AE734,10,FALSE)*$Q522*IFERROR(((VLOOKUP(P522,Settings!$E$28:$F$33,2,FALSE)/2)+1),1)</f>
        <v>82.560846892609874</v>
      </c>
      <c r="W522" s="40">
        <f>VLOOKUP(B522,'Player Data'!$A1:$AE734,11,FALSE)*$Q522*IFERROR((VLOOKUP(P522,Settings!$E$28:$F$33,2,FALSE)+1),1)</f>
        <v>0.12684342312688582</v>
      </c>
      <c r="X522" s="40">
        <f>VLOOKUP(B522,'Player Data'!$A1:$AE734,12,FALSE)*$Q522*IFERROR((VLOOKUP(P522,Settings!$E$28:$F$33,2,FALSE)+1),1)</f>
        <v>0.85540921608058351</v>
      </c>
      <c r="Y522" s="40">
        <f>VLOOKUP(B522,'Player Data'!$A1:$AE734,13,FALSE)*$Q522</f>
        <v>2.0973912770205227E-2</v>
      </c>
      <c r="Z522" s="40">
        <f>VLOOKUP(B522,'Player Data'!$A1:$AE734,14,FALSE)*$Q522</f>
        <v>7.8911509776020683E-2</v>
      </c>
      <c r="AA522" s="40">
        <f>VLOOKUP(B522,'Player Data'!$A1:$AE734,15,FALSE)*$Q522</f>
        <v>127.29439411007307</v>
      </c>
      <c r="AB522" s="40">
        <f>VLOOKUP(B522,'Player Data'!$A1:$AE734,16,FALSE)*$Q522</f>
        <v>168.02130208563975</v>
      </c>
      <c r="AC522" s="40">
        <f>VLOOKUP(B522,'Player Data'!$A1:$AE734,17,FALSE)*$Q522*IFERROR((VLOOKUP(P522,Settings!$E$28:$F$33,2,FALSE)+1),1)</f>
        <v>-0.83531652672118795</v>
      </c>
      <c r="AD522" s="40">
        <f>VLOOKUP(B522,'Player Data'!$A1:$AE734,18,FALSE)*$Q522</f>
        <v>41.931078443444633</v>
      </c>
      <c r="AE522" s="40">
        <f>VLOOKUP(B522,'Player Data'!$A1:$AE734,19,FALSE)*$Q522*IFERROR((VLOOKUP(P522,Settings!$E$28:$F$33,2,FALSE)+1),1)</f>
        <v>0.4080270055421148</v>
      </c>
      <c r="AF522" s="40">
        <f>VLOOKUP(B522,'Player Data'!$A1:$AE734,20,FALSE)*$Q522</f>
        <v>0</v>
      </c>
      <c r="AG522" s="40">
        <f>VLOOKUP(B522,'Player Data'!$A1:$AE734,21,FALSE)*$Q522</f>
        <v>0</v>
      </c>
      <c r="AH522" s="41">
        <f>VLOOKUP(B522,'Player Data'!$A1:$AE734,22,FALSE)</f>
        <v>0</v>
      </c>
      <c r="AI522" s="38"/>
      <c r="AJ522" s="42"/>
      <c r="AK522" s="40"/>
      <c r="AL522" s="40"/>
      <c r="AM522" s="40"/>
      <c r="AN522" s="40"/>
      <c r="AO522" s="40"/>
      <c r="AP522" s="40"/>
      <c r="AQ522" s="43"/>
      <c r="AR522" s="44"/>
      <c r="AS522" s="38"/>
    </row>
    <row r="523" spans="1:45" ht="21.2" customHeight="1">
      <c r="A523" s="181">
        <f t="shared" si="48"/>
        <v>522</v>
      </c>
      <c r="B523" s="8" t="s">
        <v>661</v>
      </c>
      <c r="C523" s="31" t="s">
        <v>104</v>
      </c>
      <c r="D523" s="32" t="str">
        <f>VLOOKUP(B523,'Player Data'!A1:D734,4,FALSE)</f>
        <v>D</v>
      </c>
      <c r="E523" s="47">
        <f>VLOOKUP(B523,D!A1:C229,3,FALSE)</f>
        <v>208</v>
      </c>
      <c r="F523" s="34" t="str">
        <f>VLOOKUP(B523,'Player Data'!A1:B734,2,FALSE)</f>
        <v>PHI</v>
      </c>
      <c r="G523" s="9">
        <f>VLOOKUP(B523,'Player Data'!A1:D734,3,FALSE)</f>
        <v>23</v>
      </c>
      <c r="H523" s="35">
        <f>IFERROR(VLOOKUP(B523,ADP!A1:G731,7,FALSE)/1000000,VLOOKUP(B523,ADP!A1:G731,7,FALSE))</f>
        <v>0</v>
      </c>
      <c r="I523" s="36">
        <f>IF(Settings!$E$15="POINTS",((R523*Q523)*Settings!$B$12)+(S523*Settings!$B$2)+(T523*Settings!$B$3)+(U523*Settings!$B$4)+(V523*Settings!$B$5)+(X523*Settings!$B$9)+(AA523*Settings!$B$6)+(W523*Settings!$B$8)+(AB523*Settings!$B$7)+(AC523*Settings!$B$14)+(AD523*Settings!$B$15)+(AE523*Settings!$B$16)+(AF523*Settings!$B$17)+(AG523*Settings!$B$18)+(U523*Settings!$B$13)+(Y523*Settings!$B$10)+(Z523*Settings!$B$11),VLOOKUP(B523,'Standard Deviations'!A1:C731,3,FALSE))</f>
        <v>-5.2096864647544772</v>
      </c>
      <c r="J523" s="37">
        <f t="shared" si="49"/>
        <v>-6.3532761765298498E-2</v>
      </c>
      <c r="K523" s="183">
        <f>VLOOKUP(B523,D!A1:F229,6,FALSE)</f>
        <v>-7.1514270083887883</v>
      </c>
      <c r="L523" s="49" t="str">
        <f t="shared" si="50"/>
        <v>N/A</v>
      </c>
      <c r="M523" s="52" t="str">
        <f>IF(Settings!$E$9="YAHOO",VLOOKUP(B523,ADP!A1:E731,2,FALSE),IF(Settings!$E$9="ESPN",VLOOKUP(B523,ADP!A1:E731,3,FALSE),IF(Settings!$E$9="FANTRAX",VLOOKUP(B523,ADP!A1:E731,4,FALSE),VLOOKUP(B523,ADP!A1:E731,5,FALSE))))</f>
        <v>-</v>
      </c>
      <c r="N523" s="52" t="str">
        <f t="shared" si="51"/>
        <v>N/A</v>
      </c>
      <c r="O523" s="38"/>
      <c r="P523" s="39" t="str">
        <f>IF(Settings!$E$27="ON",_xlfn.XLOOKUP(B523,ADP!A2:A731,ADP!H2:H731)," ")</f>
        <v xml:space="preserve"> </v>
      </c>
      <c r="Q523" s="40">
        <f>IF(Settings!$E$12="YES",VLOOKUP(B523,'Player Data'!A1:E734,5,FALSE),82)</f>
        <v>82</v>
      </c>
      <c r="R523" s="38">
        <f>VLOOKUP(B523,'Player Data'!$A1:$AE734,6,FALSE)</f>
        <v>14.098943690605299</v>
      </c>
      <c r="S523" s="40">
        <f>VLOOKUP(B523,'Player Data'!$A1:$AE734,7,FALSE)*$Q523*IFERROR((VLOOKUP(P523,Settings!$E$28:$F$33,2,FALSE)+1),1)</f>
        <v>2.0857778576844792</v>
      </c>
      <c r="T523" s="40">
        <f>VLOOKUP(B523,'Player Data'!$A1:$AE734,8,FALSE)*$Q523*IFERROR((VLOOKUP(P523,Settings!$E$28:$F$33,2,FALSE)+1),1)</f>
        <v>13.125882744893488</v>
      </c>
      <c r="U523" s="40">
        <f t="shared" si="47"/>
        <v>15.211660602577968</v>
      </c>
      <c r="V523" s="40">
        <f>VLOOKUP(B523,'Player Data'!$A1:$AE734,10,FALSE)*$Q523*IFERROR(((VLOOKUP(P523,Settings!$E$28:$F$33,2,FALSE)/2)+1),1)</f>
        <v>63.505697432287434</v>
      </c>
      <c r="W523" s="40">
        <f>VLOOKUP(B523,'Player Data'!$A1:$AE734,11,FALSE)*$Q523*IFERROR((VLOOKUP(P523,Settings!$E$28:$F$33,2,FALSE)+1),1)</f>
        <v>2.6572640308449424E-2</v>
      </c>
      <c r="X523" s="40">
        <f>VLOOKUP(B523,'Player Data'!$A1:$AE734,12,FALSE)*$Q523*IFERROR((VLOOKUP(P523,Settings!$E$28:$F$33,2,FALSE)+1),1)</f>
        <v>0.162573480265267</v>
      </c>
      <c r="Y523" s="40">
        <f>VLOOKUP(B523,'Player Data'!$A1:$AE734,13,FALSE)*$Q523</f>
        <v>5.7549499077558684E-3</v>
      </c>
      <c r="Z523" s="40">
        <f>VLOOKUP(B523,'Player Data'!$A1:$AE734,14,FALSE)*$Q523</f>
        <v>2.4463273956132004E-2</v>
      </c>
      <c r="AA523" s="40">
        <f>VLOOKUP(B523,'Player Data'!$A1:$AE734,15,FALSE)*$Q523</f>
        <v>88.016447112278598</v>
      </c>
      <c r="AB523" s="40">
        <f>VLOOKUP(B523,'Player Data'!$A1:$AE734,16,FALSE)*$Q523</f>
        <v>93.021702994901901</v>
      </c>
      <c r="AC523" s="40">
        <f>VLOOKUP(B523,'Player Data'!$A1:$AE734,17,FALSE)*$Q523*IFERROR((VLOOKUP(P523,Settings!$E$28:$F$33,2,FALSE)+1),1)</f>
        <v>-5.560734626312418</v>
      </c>
      <c r="AD523" s="40">
        <f>VLOOKUP(B523,'Player Data'!$A1:$AE734,18,FALSE)*$Q523</f>
        <v>24.830169579815337</v>
      </c>
      <c r="AE523" s="40">
        <f>VLOOKUP(B523,'Player Data'!$A1:$AE734,19,FALSE)*$Q523*IFERROR((VLOOKUP(P523,Settings!$E$28:$F$33,2,FALSE)+1),1)</f>
        <v>0.24517409819096209</v>
      </c>
      <c r="AF523" s="40">
        <f>VLOOKUP(B523,'Player Data'!$A1:$AE734,20,FALSE)*$Q523</f>
        <v>0</v>
      </c>
      <c r="AG523" s="40">
        <f>VLOOKUP(B523,'Player Data'!$A1:$AE734,21,FALSE)*$Q523</f>
        <v>0</v>
      </c>
      <c r="AH523" s="41">
        <f>VLOOKUP(B523,'Player Data'!$A1:$AE734,22,FALSE)</f>
        <v>0</v>
      </c>
      <c r="AI523" s="38"/>
      <c r="AJ523" s="42"/>
      <c r="AK523" s="40"/>
      <c r="AL523" s="40"/>
      <c r="AM523" s="40"/>
      <c r="AN523" s="40"/>
      <c r="AO523" s="40"/>
      <c r="AP523" s="40"/>
      <c r="AQ523" s="43"/>
      <c r="AR523" s="44"/>
      <c r="AS523" s="38"/>
    </row>
    <row r="524" spans="1:45" ht="21.2" customHeight="1">
      <c r="A524" s="181">
        <f t="shared" si="48"/>
        <v>523</v>
      </c>
      <c r="B524" s="8" t="s">
        <v>629</v>
      </c>
      <c r="C524" s="31" t="s">
        <v>104</v>
      </c>
      <c r="D524" s="32" t="str">
        <f>VLOOKUP(B524,'Player Data'!A1:D734,4,FALSE)</f>
        <v>D</v>
      </c>
      <c r="E524" s="47">
        <f>VLOOKUP(B524,D!A1:C229,3,FALSE)</f>
        <v>209</v>
      </c>
      <c r="F524" s="34" t="str">
        <f>VLOOKUP(B524,'Player Data'!A1:B734,2,FALSE)</f>
        <v>NJD</v>
      </c>
      <c r="G524" s="9">
        <f>VLOOKUP(B524,'Player Data'!A1:D734,3,FALSE)</f>
        <v>34</v>
      </c>
      <c r="H524" s="35">
        <f>IFERROR(VLOOKUP(B524,ADP!A1:G731,7,FALSE)/1000000,VLOOKUP(B524,ADP!A1:G731,7,FALSE))</f>
        <v>1.1000000000000001</v>
      </c>
      <c r="I524" s="36">
        <f>IF(Settings!$E$15="POINTS",((R524*Q524)*Settings!$B$12)+(S524*Settings!$B$2)+(T524*Settings!$B$3)+(U524*Settings!$B$4)+(V524*Settings!$B$5)+(X524*Settings!$B$9)+(AA524*Settings!$B$6)+(W524*Settings!$B$8)+(AB524*Settings!$B$7)+(AC524*Settings!$B$14)+(AD524*Settings!$B$15)+(AE524*Settings!$B$16)+(AF524*Settings!$B$17)+(AG524*Settings!$B$18)+(U524*Settings!$B$13)+(Y524*Settings!$B$10)+(Z524*Settings!$B$11),VLOOKUP(B524,'Standard Deviations'!A1:C731,3,FALSE))</f>
        <v>-5.2276425160348703</v>
      </c>
      <c r="J524" s="37">
        <f t="shared" si="49"/>
        <v>-6.3751738000425245E-2</v>
      </c>
      <c r="K524" s="183">
        <f>VLOOKUP(B524,D!A1:F229,6,FALSE)</f>
        <v>-7.1693830596691814</v>
      </c>
      <c r="L524" s="36">
        <f t="shared" si="50"/>
        <v>-6.5176209633356192</v>
      </c>
      <c r="M524" s="52" t="str">
        <f>IF(Settings!$E$9="YAHOO",VLOOKUP(B524,ADP!A1:E731,2,FALSE),IF(Settings!$E$9="ESPN",VLOOKUP(B524,ADP!A1:E731,3,FALSE),IF(Settings!$E$9="FANTRAX",VLOOKUP(B524,ADP!A1:E731,4,FALSE),VLOOKUP(B524,ADP!A1:E731,5,FALSE))))</f>
        <v>-</v>
      </c>
      <c r="N524" s="52" t="str">
        <f t="shared" si="51"/>
        <v>N/A</v>
      </c>
      <c r="O524" s="38"/>
      <c r="P524" s="39" t="str">
        <f>IF(Settings!$E$27="ON",_xlfn.XLOOKUP(B524,ADP!A2:A731,ADP!H2:H731)," ")</f>
        <v xml:space="preserve"> </v>
      </c>
      <c r="Q524" s="40">
        <f>IF(Settings!$E$12="YES",VLOOKUP(B524,'Player Data'!A1:E734,5,FALSE),82)</f>
        <v>82</v>
      </c>
      <c r="R524" s="38">
        <f>VLOOKUP(B524,'Player Data'!$A1:$AE734,6,FALSE)</f>
        <v>15.516924059044699</v>
      </c>
      <c r="S524" s="40">
        <f>VLOOKUP(B524,'Player Data'!$A1:$AE734,7,FALSE)*$Q524*IFERROR((VLOOKUP(P524,Settings!$E$28:$F$33,2,FALSE)+1),1)</f>
        <v>3.4910195601864693</v>
      </c>
      <c r="T524" s="40">
        <f>VLOOKUP(B524,'Player Data'!$A1:$AE734,8,FALSE)*$Q524*IFERROR((VLOOKUP(P524,Settings!$E$28:$F$33,2,FALSE)+1),1)</f>
        <v>7.6595977258094026</v>
      </c>
      <c r="U524" s="40">
        <f t="shared" si="47"/>
        <v>11.150617285995871</v>
      </c>
      <c r="V524" s="40">
        <f>VLOOKUP(B524,'Player Data'!$A1:$AE734,10,FALSE)*$Q524*IFERROR(((VLOOKUP(P524,Settings!$E$28:$F$33,2,FALSE)/2)+1),1)</f>
        <v>88.72362467145976</v>
      </c>
      <c r="W524" s="40">
        <f>VLOOKUP(B524,'Player Data'!$A1:$AE734,11,FALSE)*$Q524*IFERROR((VLOOKUP(P524,Settings!$E$28:$F$33,2,FALSE)+1),1)</f>
        <v>2.2841263825903339E-2</v>
      </c>
      <c r="X524" s="40">
        <f>VLOOKUP(B524,'Player Data'!$A1:$AE734,12,FALSE)*$Q524*IFERROR((VLOOKUP(P524,Settings!$E$28:$F$33,2,FALSE)+1),1)</f>
        <v>0.16210502425674561</v>
      </c>
      <c r="Y524" s="40">
        <f>VLOOKUP(B524,'Player Data'!$A1:$AE734,13,FALSE)*$Q524</f>
        <v>-1.8107641100265626E-2</v>
      </c>
      <c r="Z524" s="40">
        <f>VLOOKUP(B524,'Player Data'!$A1:$AE734,14,FALSE)*$Q524</f>
        <v>0.55951208252445217</v>
      </c>
      <c r="AA524" s="40">
        <f>VLOOKUP(B524,'Player Data'!$A1:$AE734,15,FALSE)*$Q524</f>
        <v>98.28771935071849</v>
      </c>
      <c r="AB524" s="40">
        <f>VLOOKUP(B524,'Player Data'!$A1:$AE734,16,FALSE)*$Q524</f>
        <v>133.95138870206989</v>
      </c>
      <c r="AC524" s="40">
        <f>VLOOKUP(B524,'Player Data'!$A1:$AE734,17,FALSE)*$Q524*IFERROR((VLOOKUP(P524,Settings!$E$28:$F$33,2,FALSE)+1),1)</f>
        <v>-0.16427536149776215</v>
      </c>
      <c r="AD524" s="40">
        <f>VLOOKUP(B524,'Player Data'!$A1:$AE734,18,FALSE)*$Q524</f>
        <v>75.105499742105735</v>
      </c>
      <c r="AE524" s="40">
        <f>VLOOKUP(B524,'Player Data'!$A1:$AE734,19,FALSE)*$Q524*IFERROR((VLOOKUP(P524,Settings!$E$28:$F$33,2,FALSE)+1),1)</f>
        <v>0.51310300657438068</v>
      </c>
      <c r="AF524" s="40">
        <f>VLOOKUP(B524,'Player Data'!$A1:$AE734,20,FALSE)*$Q524</f>
        <v>0</v>
      </c>
      <c r="AG524" s="40">
        <f>VLOOKUP(B524,'Player Data'!$A1:$AE734,21,FALSE)*$Q524</f>
        <v>0</v>
      </c>
      <c r="AH524" s="41">
        <f>VLOOKUP(B524,'Player Data'!$A1:$AE734,22,FALSE)</f>
        <v>0</v>
      </c>
      <c r="AI524" s="38"/>
      <c r="AJ524" s="42"/>
      <c r="AK524" s="40"/>
      <c r="AL524" s="40"/>
      <c r="AM524" s="40"/>
      <c r="AN524" s="40"/>
      <c r="AO524" s="40"/>
      <c r="AP524" s="40"/>
      <c r="AQ524" s="43"/>
      <c r="AR524" s="44"/>
      <c r="AS524" s="38"/>
    </row>
    <row r="525" spans="1:45" ht="21.2" customHeight="1">
      <c r="A525" s="181">
        <f t="shared" si="48"/>
        <v>524</v>
      </c>
      <c r="B525" s="8" t="s">
        <v>595</v>
      </c>
      <c r="C525" s="31" t="s">
        <v>104</v>
      </c>
      <c r="D525" s="32" t="str">
        <f>VLOOKUP(B525,'Player Data'!A1:D734,4,FALSE)</f>
        <v>D</v>
      </c>
      <c r="E525" s="47">
        <f>VLOOKUP(B525,D!A1:C229,3,FALSE)</f>
        <v>210</v>
      </c>
      <c r="F525" s="34" t="str">
        <f>VLOOKUP(B525,'Player Data'!A1:B734,2,FALSE)</f>
        <v>FLA</v>
      </c>
      <c r="G525" s="9">
        <f>VLOOKUP(B525,'Player Data'!A1:D734,3,FALSE)</f>
        <v>27</v>
      </c>
      <c r="H525" s="35">
        <f>IFERROR(VLOOKUP(B525,ADP!A1:G731,7,FALSE)/1000000,VLOOKUP(B525,ADP!A1:G731,7,FALSE))</f>
        <v>2.5</v>
      </c>
      <c r="I525" s="36">
        <f>IF(Settings!$E$15="POINTS",((R525*Q525)*Settings!$B$12)+(S525*Settings!$B$2)+(T525*Settings!$B$3)+(U525*Settings!$B$4)+(V525*Settings!$B$5)+(X525*Settings!$B$9)+(AA525*Settings!$B$6)+(W525*Settings!$B$8)+(AB525*Settings!$B$7)+(AC525*Settings!$B$14)+(AD525*Settings!$B$15)+(AE525*Settings!$B$16)+(AF525*Settings!$B$17)+(AG525*Settings!$B$18)+(U525*Settings!$B$13)+(Y525*Settings!$B$10)+(Z525*Settings!$B$11),VLOOKUP(B525,'Standard Deviations'!A1:C731,3,FALSE))</f>
        <v>-5.2492700329074751</v>
      </c>
      <c r="J525" s="37">
        <f t="shared" si="49"/>
        <v>-6.4015488206188714E-2</v>
      </c>
      <c r="K525" s="183">
        <f>VLOOKUP(B525,D!A1:F229,6,FALSE)</f>
        <v>-7.1910105765417853</v>
      </c>
      <c r="L525" s="36">
        <f t="shared" si="50"/>
        <v>-2.8764042306167141</v>
      </c>
      <c r="M525" s="52" t="str">
        <f>IF(Settings!$E$9="YAHOO",VLOOKUP(B525,ADP!A1:E731,2,FALSE),IF(Settings!$E$9="ESPN",VLOOKUP(B525,ADP!A1:E731,3,FALSE),IF(Settings!$E$9="FANTRAX",VLOOKUP(B525,ADP!A1:E731,4,FALSE),VLOOKUP(B525,ADP!A1:E731,5,FALSE))))</f>
        <v>-</v>
      </c>
      <c r="N525" s="52" t="str">
        <f t="shared" si="51"/>
        <v>N/A</v>
      </c>
      <c r="O525" s="38"/>
      <c r="P525" s="39" t="str">
        <f>IF(Settings!$E$27="ON",_xlfn.XLOOKUP(B525,ADP!A2:A731,ADP!H2:H731)," ")</f>
        <v xml:space="preserve"> </v>
      </c>
      <c r="Q525" s="40">
        <f>IF(Settings!$E$12="YES",VLOOKUP(B525,'Player Data'!A1:E734,5,FALSE),82)</f>
        <v>82</v>
      </c>
      <c r="R525" s="38">
        <f>VLOOKUP(B525,'Player Data'!$A1:$AE734,6,FALSE)</f>
        <v>17.4989933523267</v>
      </c>
      <c r="S525" s="40">
        <f>VLOOKUP(B525,'Player Data'!$A1:$AE734,7,FALSE)*$Q525*IFERROR((VLOOKUP(P525,Settings!$E$28:$F$33,2,FALSE)+1),1)</f>
        <v>2.8089114563380395</v>
      </c>
      <c r="T525" s="40">
        <f>VLOOKUP(B525,'Player Data'!$A1:$AE734,8,FALSE)*$Q525*IFERROR((VLOOKUP(P525,Settings!$E$28:$F$33,2,FALSE)+1),1)</f>
        <v>10.534320591981638</v>
      </c>
      <c r="U525" s="40">
        <f t="shared" si="47"/>
        <v>13.343232048319678</v>
      </c>
      <c r="V525" s="40">
        <f>VLOOKUP(B525,'Player Data'!$A1:$AE734,10,FALSE)*$Q525*IFERROR(((VLOOKUP(P525,Settings!$E$28:$F$33,2,FALSE)/2)+1),1)</f>
        <v>73.421908193558579</v>
      </c>
      <c r="W525" s="40">
        <f>VLOOKUP(B525,'Player Data'!$A1:$AE734,11,FALSE)*$Q525*IFERROR((VLOOKUP(P525,Settings!$E$28:$F$33,2,FALSE)+1),1)</f>
        <v>1.8197127134306712E-2</v>
      </c>
      <c r="X525" s="40">
        <f>VLOOKUP(B525,'Player Data'!$A1:$AE734,12,FALSE)*$Q525*IFERROR((VLOOKUP(P525,Settings!$E$28:$F$33,2,FALSE)+1),1)</f>
        <v>0.11436901713061226</v>
      </c>
      <c r="Y525" s="40">
        <f>VLOOKUP(B525,'Player Data'!$A1:$AE734,13,FALSE)*$Q525</f>
        <v>0.34973335327900723</v>
      </c>
      <c r="Z525" s="40">
        <f>VLOOKUP(B525,'Player Data'!$A1:$AE734,14,FALSE)*$Q525</f>
        <v>0.50154244659250025</v>
      </c>
      <c r="AA525" s="40">
        <f>VLOOKUP(B525,'Player Data'!$A1:$AE734,15,FALSE)*$Q525</f>
        <v>111.92009506476991</v>
      </c>
      <c r="AB525" s="40">
        <f>VLOOKUP(B525,'Player Data'!$A1:$AE734,16,FALSE)*$Q525</f>
        <v>146.52980037834269</v>
      </c>
      <c r="AC525" s="40">
        <f>VLOOKUP(B525,'Player Data'!$A1:$AE734,17,FALSE)*$Q525*IFERROR((VLOOKUP(P525,Settings!$E$28:$F$33,2,FALSE)+1),1)</f>
        <v>-0.80513538095318005</v>
      </c>
      <c r="AD525" s="40">
        <f>VLOOKUP(B525,'Player Data'!$A1:$AE734,18,FALSE)*$Q525</f>
        <v>58.790460729475875</v>
      </c>
      <c r="AE525" s="40">
        <f>VLOOKUP(B525,'Player Data'!$A1:$AE734,19,FALSE)*$Q525*IFERROR((VLOOKUP(P525,Settings!$E$28:$F$33,2,FALSE)+1),1)</f>
        <v>0.40294475549030029</v>
      </c>
      <c r="AF525" s="40">
        <f>VLOOKUP(B525,'Player Data'!$A1:$AE734,20,FALSE)*$Q525</f>
        <v>0</v>
      </c>
      <c r="AG525" s="40">
        <f>VLOOKUP(B525,'Player Data'!$A1:$AE734,21,FALSE)*$Q525</f>
        <v>0</v>
      </c>
      <c r="AH525" s="41">
        <f>VLOOKUP(B525,'Player Data'!$A1:$AE734,22,FALSE)</f>
        <v>0</v>
      </c>
      <c r="AI525" s="38"/>
      <c r="AJ525" s="42"/>
      <c r="AK525" s="40"/>
      <c r="AL525" s="40"/>
      <c r="AM525" s="40"/>
      <c r="AN525" s="40"/>
      <c r="AO525" s="40"/>
      <c r="AP525" s="40"/>
      <c r="AQ525" s="43"/>
      <c r="AR525" s="44"/>
      <c r="AS525" s="38"/>
    </row>
    <row r="526" spans="1:45" ht="21.2" customHeight="1">
      <c r="A526" s="181">
        <f t="shared" si="48"/>
        <v>525</v>
      </c>
      <c r="B526" s="8" t="s">
        <v>530</v>
      </c>
      <c r="C526" s="31" t="s">
        <v>104</v>
      </c>
      <c r="D526" s="32" t="str">
        <f>VLOOKUP(B526,'Player Data'!A1:D734,4,FALSE)</f>
        <v>C,LW</v>
      </c>
      <c r="E526" s="45">
        <f>VLOOKUP(B526,LW!A1:C227,3,FALSE)</f>
        <v>123</v>
      </c>
      <c r="F526" s="34" t="str">
        <f>VLOOKUP(B526,'Player Data'!A1:B734,2,FALSE)</f>
        <v>MTL</v>
      </c>
      <c r="G526" s="9">
        <f>VLOOKUP(B526,'Player Data'!A1:D734,3,FALSE)</f>
        <v>22</v>
      </c>
      <c r="H526" s="35">
        <f>IFERROR(VLOOKUP(B526,ADP!A1:G731,7,FALSE)/1000000,VLOOKUP(B526,ADP!A1:G731,7,FALSE))</f>
        <v>2.9</v>
      </c>
      <c r="I526" s="36">
        <f>IF(Settings!$E$15="POINTS",((R526*Q526)*Settings!$B$12)+(S526*Settings!$B$2)+(T526*Settings!$B$3)+(U526*Settings!$B$4)+(V526*Settings!$B$5)+(X526*Settings!$B$9)+(AA526*Settings!$B$6)+(W526*Settings!$B$8)+(AB526*Settings!$B$7)+(AC526*Settings!$B$14)+(AD526*Settings!$B$15)+(AE526*Settings!$B$16)+(AF526*Settings!$B$17)+(AG526*Settings!$B$18)+(Y526*Settings!$B$10)+(Z526*Settings!$B$11),VLOOKUP(B526,'Standard Deviations'!A1:C731,3,FALSE))</f>
        <v>-0.53744927351401883</v>
      </c>
      <c r="J526" s="37">
        <f t="shared" si="49"/>
        <v>-6.5542594330977909E-3</v>
      </c>
      <c r="K526" s="183">
        <f>IF(Settings!$E$18="C/LW/RW",VLOOKUP(B526,LW!A1:F227,6,FALSE),VLOOKUP(B526,F!A1:F431,6,FALSE))</f>
        <v>-7.1921183176384202</v>
      </c>
      <c r="L526" s="36">
        <f t="shared" si="50"/>
        <v>-2.4800407991856623</v>
      </c>
      <c r="M526" s="52" t="str">
        <f>IF(Settings!$E$9="YAHOO",VLOOKUP(B526,ADP!A1:E731,2,FALSE),IF(Settings!$E$9="ESPN",VLOOKUP(B526,ADP!A1:E731,3,FALSE),IF(Settings!$E$9="FANTRAX",VLOOKUP(B526,ADP!A1:E731,4,FALSE),VLOOKUP(B526,ADP!A1:E731,5,FALSE))))</f>
        <v>-</v>
      </c>
      <c r="N526" s="52" t="str">
        <f t="shared" si="51"/>
        <v>N/A</v>
      </c>
      <c r="O526" s="38"/>
      <c r="P526" s="39" t="str">
        <f>IF(Settings!$E$27="ON",_xlfn.XLOOKUP(B526,ADP!A2:A731,ADP!H2:H731)," ")</f>
        <v xml:space="preserve"> </v>
      </c>
      <c r="Q526" s="40">
        <f>IF(Settings!$E$12="YES",VLOOKUP(B526,'Player Data'!A1:E734,5,FALSE),82)</f>
        <v>82</v>
      </c>
      <c r="R526" s="38">
        <f>VLOOKUP(B526,'Player Data'!$A1:$AE734,6,FALSE)</f>
        <v>15.153814580747801</v>
      </c>
      <c r="S526" s="40">
        <f>VLOOKUP(B526,'Player Data'!$A1:$AE734,7,FALSE)*$Q526*IFERROR((VLOOKUP(P526,Settings!$E$28:$F$33,2,FALSE)+1),1)</f>
        <v>17.058915000505792</v>
      </c>
      <c r="T526" s="40">
        <f>VLOOKUP(B526,'Player Data'!$A1:$AE734,8,FALSE)*$Q526*IFERROR((VLOOKUP(P526,Settings!$E$28:$F$33,2,FALSE)+1),1)</f>
        <v>23.243310804724633</v>
      </c>
      <c r="U526" s="40">
        <f t="shared" si="47"/>
        <v>40.302225805230421</v>
      </c>
      <c r="V526" s="40">
        <f>VLOOKUP(B526,'Player Data'!$A1:$AE734,10,FALSE)*$Q526*IFERROR(((VLOOKUP(P526,Settings!$E$28:$F$33,2,FALSE)/2)+1),1)</f>
        <v>123.30804301478217</v>
      </c>
      <c r="W526" s="40">
        <f>VLOOKUP(B526,'Player Data'!$A1:$AE734,11,FALSE)*$Q526*IFERROR((VLOOKUP(P526,Settings!$E$28:$F$33,2,FALSE)+1),1)</f>
        <v>1.9048721062269562</v>
      </c>
      <c r="X526" s="40">
        <f>VLOOKUP(B526,'Player Data'!$A1:$AE734,12,FALSE)*$Q526*IFERROR((VLOOKUP(P526,Settings!$E$28:$F$33,2,FALSE)+1),1)</f>
        <v>4.0865757530726103</v>
      </c>
      <c r="Y526" s="40">
        <f>VLOOKUP(B526,'Player Data'!$A1:$AE734,13,FALSE)*$Q526</f>
        <v>2.2298071975943485E-2</v>
      </c>
      <c r="Z526" s="40">
        <f>VLOOKUP(B526,'Player Data'!$A1:$AE734,14,FALSE)*$Q526</f>
        <v>4.5134035243809635E-2</v>
      </c>
      <c r="AA526" s="40">
        <f>VLOOKUP(B526,'Player Data'!$A1:$AE734,15,FALSE)*$Q526</f>
        <v>32.083065913896604</v>
      </c>
      <c r="AB526" s="40">
        <f>VLOOKUP(B526,'Player Data'!$A1:$AE734,16,FALSE)*$Q526</f>
        <v>63.541762253758279</v>
      </c>
      <c r="AC526" s="40">
        <f>VLOOKUP(B526,'Player Data'!$A1:$AE734,17,FALSE)*$Q526*IFERROR((VLOOKUP(P526,Settings!$E$28:$F$33,2,FALSE)+1),1)</f>
        <v>-5.9535471276090171</v>
      </c>
      <c r="AD526" s="40">
        <f>VLOOKUP(B526,'Player Data'!$A1:$AE734,18,FALSE)*$Q526</f>
        <v>23.328547944405308</v>
      </c>
      <c r="AE526" s="40">
        <f>VLOOKUP(B526,'Player Data'!$A1:$AE734,19,FALSE)*$Q526*IFERROR((VLOOKUP(P526,Settings!$E$28:$F$33,2,FALSE)+1),1)</f>
        <v>1.7475513251494987</v>
      </c>
      <c r="AF526" s="40">
        <f>VLOOKUP(B526,'Player Data'!$A1:$AE734,20,FALSE)*$Q526</f>
        <v>209.33362313924178</v>
      </c>
      <c r="AG526" s="40">
        <f>VLOOKUP(B526,'Player Data'!$A1:$AE734,21,FALSE)*$Q526</f>
        <v>331.20525766980307</v>
      </c>
      <c r="AH526" s="41">
        <f>VLOOKUP(B526,'Player Data'!$A1:$AE734,22,FALSE)</f>
        <v>0.38726839191646001</v>
      </c>
      <c r="AI526" s="38"/>
      <c r="AJ526" s="42"/>
      <c r="AK526" s="40"/>
      <c r="AL526" s="40"/>
      <c r="AM526" s="40"/>
      <c r="AN526" s="40"/>
      <c r="AO526" s="40"/>
      <c r="AP526" s="40"/>
      <c r="AQ526" s="43"/>
      <c r="AR526" s="44"/>
      <c r="AS526" s="38"/>
    </row>
    <row r="527" spans="1:45" ht="21.2" customHeight="1">
      <c r="A527" s="181">
        <f t="shared" si="48"/>
        <v>526</v>
      </c>
      <c r="B527" s="8" t="s">
        <v>575</v>
      </c>
      <c r="C527" s="31" t="s">
        <v>104</v>
      </c>
      <c r="D527" s="32" t="str">
        <f>VLOOKUP(B527,'Player Data'!A1:D734,4,FALSE)</f>
        <v>D</v>
      </c>
      <c r="E527" s="47">
        <f>VLOOKUP(B527,D!A1:C229,3,FALSE)</f>
        <v>211</v>
      </c>
      <c r="F527" s="34" t="str">
        <f>VLOOKUP(B527,'Player Data'!A1:B734,2,FALSE)</f>
        <v>PHI</v>
      </c>
      <c r="G527" s="9">
        <f>VLOOKUP(B527,'Player Data'!A1:D734,3,FALSE)</f>
        <v>36</v>
      </c>
      <c r="H527" s="35">
        <f>IFERROR(VLOOKUP(B527,ADP!A1:G731,7,FALSE)/1000000,VLOOKUP(B527,ADP!A1:G731,7,FALSE))</f>
        <v>1.1000000000000001</v>
      </c>
      <c r="I527" s="36">
        <f>IF(Settings!$E$15="POINTS",((R527*Q527)*Settings!$B$12)+(S527*Settings!$B$2)+(T527*Settings!$B$3)+(U527*Settings!$B$4)+(V527*Settings!$B$5)+(X527*Settings!$B$9)+(AA527*Settings!$B$6)+(W527*Settings!$B$8)+(AB527*Settings!$B$7)+(AC527*Settings!$B$14)+(AD527*Settings!$B$15)+(AE527*Settings!$B$16)+(AF527*Settings!$B$17)+(AG527*Settings!$B$18)+(U527*Settings!$B$13)+(Y527*Settings!$B$10)+(Z527*Settings!$B$11),VLOOKUP(B527,'Standard Deviations'!A1:C731,3,FALSE))</f>
        <v>-5.2844541896762234</v>
      </c>
      <c r="J527" s="37">
        <f t="shared" si="49"/>
        <v>-6.4444563288734436E-2</v>
      </c>
      <c r="K527" s="183">
        <f>VLOOKUP(B527,D!A1:F229,6,FALSE)</f>
        <v>-7.2261947333105336</v>
      </c>
      <c r="L527" s="36">
        <f t="shared" si="50"/>
        <v>-6.5692679393732121</v>
      </c>
      <c r="M527" s="52" t="str">
        <f>IF(Settings!$E$9="YAHOO",VLOOKUP(B527,ADP!A1:E731,2,FALSE),IF(Settings!$E$9="ESPN",VLOOKUP(B527,ADP!A1:E731,3,FALSE),IF(Settings!$E$9="FANTRAX",VLOOKUP(B527,ADP!A1:E731,4,FALSE),VLOOKUP(B527,ADP!A1:E731,5,FALSE))))</f>
        <v>-</v>
      </c>
      <c r="N527" s="52" t="str">
        <f t="shared" si="51"/>
        <v>N/A</v>
      </c>
      <c r="O527" s="38"/>
      <c r="P527" s="39" t="str">
        <f>IF(Settings!$E$27="ON",_xlfn.XLOOKUP(B527,ADP!A2:A731,ADP!H2:H731)," ")</f>
        <v xml:space="preserve"> </v>
      </c>
      <c r="Q527" s="40">
        <f>IF(Settings!$E$12="YES",VLOOKUP(B527,'Player Data'!A1:E734,5,FALSE),82)</f>
        <v>82</v>
      </c>
      <c r="R527" s="38">
        <f>VLOOKUP(B527,'Player Data'!$A1:$AE734,6,FALSE)</f>
        <v>16.3655242850154</v>
      </c>
      <c r="S527" s="40">
        <f>VLOOKUP(B527,'Player Data'!$A1:$AE734,7,FALSE)*$Q527*IFERROR((VLOOKUP(P527,Settings!$E$28:$F$33,2,FALSE)+1),1)</f>
        <v>2.6300014235211795</v>
      </c>
      <c r="T527" s="40">
        <f>VLOOKUP(B527,'Player Data'!$A1:$AE734,8,FALSE)*$Q527*IFERROR((VLOOKUP(P527,Settings!$E$28:$F$33,2,FALSE)+1),1)</f>
        <v>11.18727108216593</v>
      </c>
      <c r="U527" s="40">
        <f t="shared" si="47"/>
        <v>13.817272505687109</v>
      </c>
      <c r="V527" s="40">
        <f>VLOOKUP(B527,'Player Data'!$A1:$AE734,10,FALSE)*$Q527*IFERROR(((VLOOKUP(P527,Settings!$E$28:$F$33,2,FALSE)/2)+1),1)</f>
        <v>68.078269188973024</v>
      </c>
      <c r="W527" s="40">
        <f>VLOOKUP(B527,'Player Data'!$A1:$AE734,11,FALSE)*$Q527*IFERROR((VLOOKUP(P527,Settings!$E$28:$F$33,2,FALSE)+1),1)</f>
        <v>2.0379212319417216E-2</v>
      </c>
      <c r="X527" s="40">
        <f>VLOOKUP(B527,'Player Data'!$A1:$AE734,12,FALSE)*$Q527*IFERROR((VLOOKUP(P527,Settings!$E$28:$F$33,2,FALSE)+1),1)</f>
        <v>0.14776188280103197</v>
      </c>
      <c r="Y527" s="40">
        <f>VLOOKUP(B527,'Player Data'!$A1:$AE734,13,FALSE)*$Q527</f>
        <v>-5.4177310731746565E-2</v>
      </c>
      <c r="Z527" s="40">
        <f>VLOOKUP(B527,'Player Data'!$A1:$AE734,14,FALSE)*$Q527</f>
        <v>-0.28034398419251128</v>
      </c>
      <c r="AA527" s="40">
        <f>VLOOKUP(B527,'Player Data'!$A1:$AE734,15,FALSE)*$Q527</f>
        <v>105.73169304560739</v>
      </c>
      <c r="AB527" s="40">
        <f>VLOOKUP(B527,'Player Data'!$A1:$AE734,16,FALSE)*$Q527</f>
        <v>129.68987859074682</v>
      </c>
      <c r="AC527" s="40">
        <f>VLOOKUP(B527,'Player Data'!$A1:$AE734,17,FALSE)*$Q527*IFERROR((VLOOKUP(P527,Settings!$E$28:$F$33,2,FALSE)+1),1)</f>
        <v>-5.391064519952999</v>
      </c>
      <c r="AD527" s="40">
        <f>VLOOKUP(B527,'Player Data'!$A1:$AE734,18,FALSE)*$Q527</f>
        <v>30.340987608061827</v>
      </c>
      <c r="AE527" s="40">
        <f>VLOOKUP(B527,'Player Data'!$A1:$AE734,19,FALSE)*$Q527*IFERROR((VLOOKUP(P527,Settings!$E$28:$F$33,2,FALSE)+1),1)</f>
        <v>0.30914520684795477</v>
      </c>
      <c r="AF527" s="40">
        <f>VLOOKUP(B527,'Player Data'!$A1:$AE734,20,FALSE)*$Q527</f>
        <v>0</v>
      </c>
      <c r="AG527" s="40">
        <f>VLOOKUP(B527,'Player Data'!$A1:$AE734,21,FALSE)*$Q527</f>
        <v>0</v>
      </c>
      <c r="AH527" s="41">
        <f>VLOOKUP(B527,'Player Data'!$A1:$AE734,22,FALSE)</f>
        <v>0</v>
      </c>
      <c r="AI527" s="38"/>
      <c r="AJ527" s="40"/>
      <c r="AK527" s="40"/>
      <c r="AL527" s="40"/>
      <c r="AM527" s="40"/>
      <c r="AN527" s="40"/>
      <c r="AO527" s="40"/>
      <c r="AP527" s="40"/>
      <c r="AQ527" s="43"/>
      <c r="AR527" s="44"/>
      <c r="AS527" s="38"/>
    </row>
    <row r="528" spans="1:45" ht="21.2" customHeight="1">
      <c r="A528" s="181">
        <f t="shared" si="48"/>
        <v>527</v>
      </c>
      <c r="B528" s="8" t="s">
        <v>614</v>
      </c>
      <c r="C528" s="31" t="s">
        <v>104</v>
      </c>
      <c r="D528" s="32" t="str">
        <f>VLOOKUP(B528,'Player Data'!A1:D734,4,FALSE)</f>
        <v>D</v>
      </c>
      <c r="E528" s="47">
        <f>VLOOKUP(B528,D!A1:C229,3,FALSE)</f>
        <v>212</v>
      </c>
      <c r="F528" s="34" t="str">
        <f>VLOOKUP(B528,'Player Data'!A1:B734,2,FALSE)</f>
        <v>TBL</v>
      </c>
      <c r="G528" s="9">
        <f>VLOOKUP(B528,'Player Data'!A1:D734,3,FALSE)</f>
        <v>27</v>
      </c>
      <c r="H528" s="35">
        <f>IFERROR(VLOOKUP(B528,ADP!A1:G731,7,FALSE)/1000000,VLOOKUP(B528,ADP!A1:G731,7,FALSE))</f>
        <v>0.76249999999999996</v>
      </c>
      <c r="I528" s="36">
        <f>IF(Settings!$E$15="POINTS",((R528*Q528)*Settings!$B$12)+(S528*Settings!$B$2)+(T528*Settings!$B$3)+(U528*Settings!$B$4)+(V528*Settings!$B$5)+(X528*Settings!$B$9)+(AA528*Settings!$B$6)+(W528*Settings!$B$8)+(AB528*Settings!$B$7)+(AC528*Settings!$B$14)+(AD528*Settings!$B$15)+(AE528*Settings!$B$16)+(AF528*Settings!$B$17)+(AG528*Settings!$B$18)+(U528*Settings!$B$13)+(Y528*Settings!$B$10)+(Z528*Settings!$B$11),VLOOKUP(B528,'Standard Deviations'!A1:C731,3,FALSE))</f>
        <v>-5.309616926052664</v>
      </c>
      <c r="J528" s="37">
        <f t="shared" si="49"/>
        <v>-6.4751425927471518E-2</v>
      </c>
      <c r="K528" s="183">
        <f>VLOOKUP(B528,D!A1:F229,6,FALSE)</f>
        <v>-7.2513574696869743</v>
      </c>
      <c r="L528" s="36">
        <f t="shared" si="50"/>
        <v>-9.5099770094255405</v>
      </c>
      <c r="M528" s="52" t="str">
        <f>IF(Settings!$E$9="YAHOO",VLOOKUP(B528,ADP!A1:E731,2,FALSE),IF(Settings!$E$9="ESPN",VLOOKUP(B528,ADP!A1:E731,3,FALSE),IF(Settings!$E$9="FANTRAX",VLOOKUP(B528,ADP!A1:E731,4,FALSE),VLOOKUP(B528,ADP!A1:E731,5,FALSE))))</f>
        <v>-</v>
      </c>
      <c r="N528" s="52" t="str">
        <f t="shared" si="51"/>
        <v>N/A</v>
      </c>
      <c r="O528" s="38"/>
      <c r="P528" s="39" t="str">
        <f>IF(Settings!$E$27="ON",_xlfn.XLOOKUP(B528,ADP!A2:A731,ADP!H2:H731)," ")</f>
        <v xml:space="preserve"> </v>
      </c>
      <c r="Q528" s="40">
        <f>IF(Settings!$E$12="YES",VLOOKUP(B528,'Player Data'!A1:E734,5,FALSE),82)</f>
        <v>82</v>
      </c>
      <c r="R528" s="38">
        <f>VLOOKUP(B528,'Player Data'!$A1:$AE734,6,FALSE)</f>
        <v>14.360922533766599</v>
      </c>
      <c r="S528" s="40">
        <f>VLOOKUP(B528,'Player Data'!$A1:$AE734,7,FALSE)*$Q528*IFERROR((VLOOKUP(P528,Settings!$E$28:$F$33,2,FALSE)+1),1)</f>
        <v>3.2935352721662121</v>
      </c>
      <c r="T528" s="40">
        <f>VLOOKUP(B528,'Player Data'!$A1:$AE734,8,FALSE)*$Q528*IFERROR((VLOOKUP(P528,Settings!$E$28:$F$33,2,FALSE)+1),1)</f>
        <v>5.8308041918296407</v>
      </c>
      <c r="U528" s="40">
        <f t="shared" si="47"/>
        <v>9.1243394639958524</v>
      </c>
      <c r="V528" s="40">
        <f>VLOOKUP(B528,'Player Data'!$A1:$AE734,10,FALSE)*$Q528*IFERROR(((VLOOKUP(P528,Settings!$E$28:$F$33,2,FALSE)/2)+1),1)</f>
        <v>98.697067636923279</v>
      </c>
      <c r="W528" s="40">
        <f>VLOOKUP(B528,'Player Data'!$A1:$AE734,11,FALSE)*$Q528*IFERROR((VLOOKUP(P528,Settings!$E$28:$F$33,2,FALSE)+1),1)</f>
        <v>1.2625573031609163E-2</v>
      </c>
      <c r="X528" s="40">
        <f>VLOOKUP(B528,'Player Data'!$A1:$AE734,12,FALSE)*$Q528*IFERROR((VLOOKUP(P528,Settings!$E$28:$F$33,2,FALSE)+1),1)</f>
        <v>7.8783020787207642E-2</v>
      </c>
      <c r="Y528" s="40">
        <f>VLOOKUP(B528,'Player Data'!$A1:$AE734,13,FALSE)*$Q528</f>
        <v>2.1042848391881391E-2</v>
      </c>
      <c r="Z528" s="40">
        <f>VLOOKUP(B528,'Player Data'!$A1:$AE734,14,FALSE)*$Q528</f>
        <v>9.3648689702198043E-2</v>
      </c>
      <c r="AA528" s="40">
        <f>VLOOKUP(B528,'Player Data'!$A1:$AE734,15,FALSE)*$Q528</f>
        <v>95.527223485729351</v>
      </c>
      <c r="AB528" s="40">
        <f>VLOOKUP(B528,'Player Data'!$A1:$AE734,16,FALSE)*$Q528</f>
        <v>108.16112324215636</v>
      </c>
      <c r="AC528" s="40">
        <f>VLOOKUP(B528,'Player Data'!$A1:$AE734,17,FALSE)*$Q528*IFERROR((VLOOKUP(P528,Settings!$E$28:$F$33,2,FALSE)+1),1)</f>
        <v>-0.8206723478959127</v>
      </c>
      <c r="AD528" s="40">
        <f>VLOOKUP(B528,'Player Data'!$A1:$AE734,18,FALSE)*$Q528</f>
        <v>21.325541565400112</v>
      </c>
      <c r="AE528" s="40">
        <f>VLOOKUP(B528,'Player Data'!$A1:$AE734,19,FALSE)*$Q528*IFERROR((VLOOKUP(P528,Settings!$E$28:$F$33,2,FALSE)+1),1)</f>
        <v>0.51543946647275762</v>
      </c>
      <c r="AF528" s="40">
        <f>VLOOKUP(B528,'Player Data'!$A1:$AE734,20,FALSE)*$Q528</f>
        <v>0</v>
      </c>
      <c r="AG528" s="40">
        <f>VLOOKUP(B528,'Player Data'!$A1:$AE734,21,FALSE)*$Q528</f>
        <v>0</v>
      </c>
      <c r="AH528" s="41">
        <f>VLOOKUP(B528,'Player Data'!$A1:$AE734,22,FALSE)</f>
        <v>0</v>
      </c>
      <c r="AI528" s="38"/>
      <c r="AJ528" s="42"/>
      <c r="AK528" s="40"/>
      <c r="AL528" s="40"/>
      <c r="AM528" s="40"/>
      <c r="AN528" s="40"/>
      <c r="AO528" s="40"/>
      <c r="AP528" s="40"/>
      <c r="AQ528" s="43"/>
      <c r="AR528" s="44"/>
      <c r="AS528" s="38"/>
    </row>
    <row r="529" spans="1:45" ht="21.2" customHeight="1">
      <c r="A529" s="181">
        <f t="shared" si="48"/>
        <v>528</v>
      </c>
      <c r="B529" s="8" t="s">
        <v>557</v>
      </c>
      <c r="C529" s="31" t="s">
        <v>104</v>
      </c>
      <c r="D529" s="32" t="str">
        <f>VLOOKUP(B529,'Player Data'!A1:D734,4,FALSE)</f>
        <v>RW</v>
      </c>
      <c r="E529" s="46">
        <f>VLOOKUP(B529,RW!A1:F189,3,FALSE)</f>
        <v>120</v>
      </c>
      <c r="F529" s="34" t="str">
        <f>VLOOKUP(B529,'Player Data'!A1:B734,2,FALSE)</f>
        <v>WSH</v>
      </c>
      <c r="G529" s="9">
        <f>VLOOKUP(B529,'Player Data'!A1:D734,3,FALSE)</f>
        <v>28</v>
      </c>
      <c r="H529" s="35">
        <f>IFERROR(VLOOKUP(B529,ADP!A1:G731,7,FALSE)/1000000,VLOOKUP(B529,ADP!A1:G731,7,FALSE))</f>
        <v>5.7</v>
      </c>
      <c r="I529" s="36">
        <f>IF(Settings!$E$15="POINTS",((R529*Q529)*Settings!$B$12)+(S529*Settings!$B$2)+(T529*Settings!$B$3)+(U529*Settings!$B$4)+(V529*Settings!$B$5)+(X529*Settings!$B$9)+(AA529*Settings!$B$6)+(W529*Settings!$B$8)+(AB529*Settings!$B$7)+(AC529*Settings!$B$14)+(AD529*Settings!$B$15)+(AE529*Settings!$B$16)+(AF529*Settings!$B$17)+(AG529*Settings!$B$18)+(Y529*Settings!$B$10)+(Z529*Settings!$B$11),VLOOKUP(B529,'Standard Deviations'!A1:C731,3,FALSE))</f>
        <v>-0.97179532796226464</v>
      </c>
      <c r="J529" s="37">
        <f t="shared" si="49"/>
        <v>-1.1851162536125179E-2</v>
      </c>
      <c r="K529" s="183">
        <f>IF(Settings!$E$18="C/LW/RW",VLOOKUP(B529,RW!A1:F189,6,FALSE),VLOOKUP(B529,F!A1:F431,6,FALSE))</f>
        <v>-7.2520540469733454</v>
      </c>
      <c r="L529" s="36">
        <f t="shared" si="50"/>
        <v>-1.2722901836795342</v>
      </c>
      <c r="M529" s="52" t="str">
        <f>IF(Settings!$E$9="YAHOO",VLOOKUP(B529,ADP!A1:E731,2,FALSE),IF(Settings!$E$9="ESPN",VLOOKUP(B529,ADP!A1:E731,3,FALSE),IF(Settings!$E$9="FANTRAX",VLOOKUP(B529,ADP!A1:E731,4,FALSE),VLOOKUP(B529,ADP!A1:E731,5,FALSE))))</f>
        <v>-</v>
      </c>
      <c r="N529" s="52" t="str">
        <f t="shared" si="51"/>
        <v>N/A</v>
      </c>
      <c r="O529" s="38"/>
      <c r="P529" s="39" t="str">
        <f>IF(Settings!$E$27="ON",_xlfn.XLOOKUP(B529,ADP!A2:A731,ADP!H2:H731)," ")</f>
        <v xml:space="preserve"> </v>
      </c>
      <c r="Q529" s="40">
        <f>IF(Settings!$E$12="YES",VLOOKUP(B529,'Player Data'!A1:E734,5,FALSE),82)</f>
        <v>82</v>
      </c>
      <c r="R529" s="38">
        <f>VLOOKUP(B529,'Player Data'!$A1:$AE734,6,FALSE)</f>
        <v>14.067539616892301</v>
      </c>
      <c r="S529" s="40">
        <f>VLOOKUP(B529,'Player Data'!$A1:$AE734,7,FALSE)*$Q529*IFERROR((VLOOKUP(P529,Settings!$E$28:$F$33,2,FALSE)+1),1)</f>
        <v>14.787009375132577</v>
      </c>
      <c r="T529" s="40">
        <f>VLOOKUP(B529,'Player Data'!$A1:$AE734,8,FALSE)*$Q529*IFERROR((VLOOKUP(P529,Settings!$E$28:$F$33,2,FALSE)+1),1)</f>
        <v>20.54944428563223</v>
      </c>
      <c r="U529" s="40">
        <f t="shared" si="47"/>
        <v>35.336453660764803</v>
      </c>
      <c r="V529" s="40">
        <f>VLOOKUP(B529,'Player Data'!$A1:$AE734,10,FALSE)*$Q529*IFERROR(((VLOOKUP(P529,Settings!$E$28:$F$33,2,FALSE)/2)+1),1)</f>
        <v>147.04591195471284</v>
      </c>
      <c r="W529" s="40">
        <f>VLOOKUP(B529,'Player Data'!$A1:$AE734,11,FALSE)*$Q529*IFERROR((VLOOKUP(P529,Settings!$E$28:$F$33,2,FALSE)+1),1)</f>
        <v>0.88764469517437716</v>
      </c>
      <c r="X529" s="40">
        <f>VLOOKUP(B529,'Player Data'!$A1:$AE734,12,FALSE)*$Q529*IFERROR((VLOOKUP(P529,Settings!$E$28:$F$33,2,FALSE)+1),1)</f>
        <v>2.0853642049496988</v>
      </c>
      <c r="Y529" s="40">
        <f>VLOOKUP(B529,'Player Data'!$A1:$AE734,13,FALSE)*$Q529</f>
        <v>5.9810351173395235E-3</v>
      </c>
      <c r="Z529" s="40">
        <f>VLOOKUP(B529,'Player Data'!$A1:$AE734,14,FALSE)*$Q529</f>
        <v>1.097976690719768E-2</v>
      </c>
      <c r="AA529" s="40">
        <f>VLOOKUP(B529,'Player Data'!$A1:$AE734,15,FALSE)*$Q529</f>
        <v>32.038149125861267</v>
      </c>
      <c r="AB529" s="40">
        <f>VLOOKUP(B529,'Player Data'!$A1:$AE734,16,FALSE)*$Q529</f>
        <v>85.891584515929679</v>
      </c>
      <c r="AC529" s="40">
        <f>VLOOKUP(B529,'Player Data'!$A1:$AE734,17,FALSE)*$Q529*IFERROR((VLOOKUP(P529,Settings!$E$28:$F$33,2,FALSE)+1),1)</f>
        <v>-2.3438023510555306</v>
      </c>
      <c r="AD529" s="40">
        <f>VLOOKUP(B529,'Player Data'!$A1:$AE734,18,FALSE)*$Q529</f>
        <v>32.097278797830469</v>
      </c>
      <c r="AE529" s="40">
        <f>VLOOKUP(B529,'Player Data'!$A1:$AE734,19,FALSE)*$Q529*IFERROR((VLOOKUP(P529,Settings!$E$28:$F$33,2,FALSE)+1),1)</f>
        <v>1.8188891997171823</v>
      </c>
      <c r="AF529" s="40">
        <f>VLOOKUP(B529,'Player Data'!$A1:$AE734,20,FALSE)*$Q529</f>
        <v>13.132386955866062</v>
      </c>
      <c r="AG529" s="40">
        <f>VLOOKUP(B529,'Player Data'!$A1:$AE734,21,FALSE)*$Q529</f>
        <v>10.589789451228706</v>
      </c>
      <c r="AH529" s="41">
        <f>VLOOKUP(B529,'Player Data'!$A1:$AE734,22,FALSE)</f>
        <v>0.55359115160860395</v>
      </c>
      <c r="AI529" s="38"/>
      <c r="AJ529" s="42"/>
      <c r="AK529" s="40"/>
      <c r="AL529" s="40"/>
      <c r="AM529" s="40"/>
      <c r="AN529" s="40"/>
      <c r="AO529" s="40"/>
      <c r="AP529" s="40"/>
      <c r="AQ529" s="43"/>
      <c r="AR529" s="44"/>
      <c r="AS529" s="38"/>
    </row>
    <row r="530" spans="1:45" ht="21.2" customHeight="1">
      <c r="A530" s="181">
        <f t="shared" si="48"/>
        <v>529</v>
      </c>
      <c r="B530" s="8" t="s">
        <v>672</v>
      </c>
      <c r="C530" s="31" t="s">
        <v>104</v>
      </c>
      <c r="D530" s="32" t="str">
        <f>VLOOKUP(B530,'Player Data'!A1:D734,4,FALSE)</f>
        <v>C</v>
      </c>
      <c r="E530" s="33">
        <f>VLOOKUP(B530,'C'!A1:C208,3,FALSE)</f>
        <v>116</v>
      </c>
      <c r="F530" s="34" t="str">
        <f>VLOOKUP(B530,'Player Data'!A1:B734,2,FALSE)</f>
        <v>UFA</v>
      </c>
      <c r="G530" s="9">
        <f>VLOOKUP(B530,'Player Data'!A1:D734,3,FALSE)</f>
        <v>35</v>
      </c>
      <c r="H530" s="35">
        <f>IFERROR(VLOOKUP(B530,ADP!A1:G731,7,FALSE)/1000000,VLOOKUP(B530,ADP!A1:G731,7,FALSE))</f>
        <v>3.73</v>
      </c>
      <c r="I530" s="36">
        <f>IF(Settings!$E$15="POINTS",((R530*Q530)*Settings!$B$12)+(S530*Settings!$B$2)+(T530*Settings!$B$3)+(U530*Settings!$B$4)+(V530*Settings!$B$5)+(X530*Settings!$B$9)+(AA530*Settings!$B$6)+(W530*Settings!$B$8)+(AB530*Settings!$B$7)+(AC530*Settings!$B$14)+(AD530*Settings!$B$15)+(AE530*Settings!$B$16)+(AF530*Settings!$B$17)+(AG530*Settings!$B$18)+(Y530*Settings!$B$10)+(Z530*Settings!$B$11),VLOOKUP(B530,'Standard Deviations'!A1:C731,3,FALSE))</f>
        <v>-0.92680438218111083</v>
      </c>
      <c r="J530" s="37">
        <f t="shared" si="49"/>
        <v>-1.1302492465623303E-2</v>
      </c>
      <c r="K530" s="183">
        <f>IF(Settings!$E$18="C/LW/RW",VLOOKUP(B530,'C'!A1:F208,6,FALSE),VLOOKUP(B530,F!A1:F431,6,FALSE))</f>
        <v>-7.2638551063877133</v>
      </c>
      <c r="L530" s="36">
        <f t="shared" si="50"/>
        <v>-1.9474142376374566</v>
      </c>
      <c r="M530" s="52" t="str">
        <f>IF(Settings!$E$9="YAHOO",VLOOKUP(B530,ADP!A1:E731,2,FALSE),IF(Settings!$E$9="ESPN",VLOOKUP(B530,ADP!A1:E731,3,FALSE),IF(Settings!$E$9="FANTRAX",VLOOKUP(B530,ADP!A1:E731,4,FALSE),VLOOKUP(B530,ADP!A1:E731,5,FALSE))))</f>
        <v>-</v>
      </c>
      <c r="N530" s="52" t="str">
        <f t="shared" si="51"/>
        <v>N/A</v>
      </c>
      <c r="O530" s="38"/>
      <c r="P530" s="39" t="str">
        <f>IF(Settings!$E$27="ON",_xlfn.XLOOKUP(B530,ADP!A2:A731,ADP!H2:H731)," ")</f>
        <v xml:space="preserve"> </v>
      </c>
      <c r="Q530" s="40">
        <f>IF(Settings!$E$12="YES",VLOOKUP(B530,'Player Data'!A1:E734,5,FALSE),82)</f>
        <v>82</v>
      </c>
      <c r="R530" s="38">
        <f>VLOOKUP(B530,'Player Data'!$A1:$AE734,6,FALSE)</f>
        <v>14.94949830102</v>
      </c>
      <c r="S530" s="40">
        <f>VLOOKUP(B530,'Player Data'!$A1:$AE734,7,FALSE)*$Q530*IFERROR((VLOOKUP(P530,Settings!$E$28:$F$33,2,FALSE)+1),1)</f>
        <v>12.614864255948996</v>
      </c>
      <c r="T530" s="40">
        <f>VLOOKUP(B530,'Player Data'!$A1:$AE734,8,FALSE)*$Q530*IFERROR((VLOOKUP(P530,Settings!$E$28:$F$33,2,FALSE)+1),1)</f>
        <v>22.594674872785713</v>
      </c>
      <c r="U530" s="40">
        <f t="shared" si="47"/>
        <v>35.209539128734711</v>
      </c>
      <c r="V530" s="40">
        <f>VLOOKUP(B530,'Player Data'!$A1:$AE734,10,FALSE)*$Q530*IFERROR(((VLOOKUP(P530,Settings!$E$28:$F$33,2,FALSE)/2)+1),1)</f>
        <v>121.22125228712528</v>
      </c>
      <c r="W530" s="40">
        <f>VLOOKUP(B530,'Player Data'!$A1:$AE734,11,FALSE)*$Q530*IFERROR((VLOOKUP(P530,Settings!$E$28:$F$33,2,FALSE)+1),1)</f>
        <v>4.820043685703987</v>
      </c>
      <c r="X530" s="40">
        <f>VLOOKUP(B530,'Player Data'!$A1:$AE734,12,FALSE)*$Q530*IFERROR((VLOOKUP(P530,Settings!$E$28:$F$33,2,FALSE)+1),1)</f>
        <v>7.5119248790371227</v>
      </c>
      <c r="Y530" s="40">
        <f>VLOOKUP(B530,'Player Data'!$A1:$AE734,13,FALSE)*$Q530</f>
        <v>0</v>
      </c>
      <c r="Z530" s="40">
        <f>VLOOKUP(B530,'Player Data'!$A1:$AE734,14,FALSE)*$Q530</f>
        <v>0</v>
      </c>
      <c r="AA530" s="40">
        <f>VLOOKUP(B530,'Player Data'!$A1:$AE734,15,FALSE)*$Q530</f>
        <v>27.10076002608611</v>
      </c>
      <c r="AB530" s="40">
        <f>VLOOKUP(B530,'Player Data'!$A1:$AE734,16,FALSE)*$Q530</f>
        <v>29.510253262279914</v>
      </c>
      <c r="AC530" s="40">
        <f>VLOOKUP(B530,'Player Data'!$A1:$AE734,17,FALSE)*$Q530*IFERROR((VLOOKUP(P530,Settings!$E$28:$F$33,2,FALSE)+1),1)</f>
        <v>-1.399539389887589</v>
      </c>
      <c r="AD530" s="40">
        <f>VLOOKUP(B530,'Player Data'!$A1:$AE734,18,FALSE)*$Q530</f>
        <v>38.56238146246514</v>
      </c>
      <c r="AE530" s="40">
        <f>VLOOKUP(B530,'Player Data'!$A1:$AE734,19,FALSE)*$Q530*IFERROR((VLOOKUP(P530,Settings!$E$28:$F$33,2,FALSE)+1),1)</f>
        <v>0</v>
      </c>
      <c r="AF530" s="40">
        <f>VLOOKUP(B530,'Player Data'!$A1:$AE734,20,FALSE)*$Q530</f>
        <v>761.12781928322124</v>
      </c>
      <c r="AG530" s="40">
        <f>VLOOKUP(B530,'Player Data'!$A1:$AE734,21,FALSE)*$Q530</f>
        <v>487.48783174582383</v>
      </c>
      <c r="AH530" s="41">
        <f>VLOOKUP(B530,'Player Data'!$A1:$AE734,22,FALSE)</f>
        <v>0.60957734964793897</v>
      </c>
      <c r="AI530" s="38"/>
      <c r="AJ530" s="42"/>
      <c r="AK530" s="40"/>
      <c r="AL530" s="40"/>
      <c r="AM530" s="40"/>
      <c r="AN530" s="40"/>
      <c r="AO530" s="40"/>
      <c r="AP530" s="40"/>
      <c r="AQ530" s="43"/>
      <c r="AR530" s="44"/>
      <c r="AS530" s="38"/>
    </row>
    <row r="531" spans="1:45" ht="21.2" customHeight="1">
      <c r="A531" s="181">
        <f t="shared" si="48"/>
        <v>530</v>
      </c>
      <c r="B531" s="8" t="s">
        <v>508</v>
      </c>
      <c r="C531" s="31" t="s">
        <v>104</v>
      </c>
      <c r="D531" s="32" t="str">
        <f>VLOOKUP(B531,'Player Data'!A1:D734,4,FALSE)</f>
        <v>C,LW</v>
      </c>
      <c r="E531" s="45">
        <f>VLOOKUP(B531,LW!A1:C227,3,FALSE)</f>
        <v>126</v>
      </c>
      <c r="F531" s="34" t="str">
        <f>VLOOKUP(B531,'Player Data'!A1:B734,2,FALSE)</f>
        <v>TBL</v>
      </c>
      <c r="G531" s="9">
        <f>VLOOKUP(B531,'Player Data'!A1:D734,3,FALSE)</f>
        <v>28</v>
      </c>
      <c r="H531" s="35">
        <f>IFERROR(VLOOKUP(B531,ADP!A1:G731,7,FALSE)/1000000,VLOOKUP(B531,ADP!A1:G731,7,FALSE))</f>
        <v>3.15</v>
      </c>
      <c r="I531" s="36">
        <f>IF(Settings!$E$15="POINTS",((R531*Q531)*Settings!$B$12)+(S531*Settings!$B$2)+(T531*Settings!$B$3)+(U531*Settings!$B$4)+(V531*Settings!$B$5)+(X531*Settings!$B$9)+(AA531*Settings!$B$6)+(W531*Settings!$B$8)+(AB531*Settings!$B$7)+(AC531*Settings!$B$14)+(AD531*Settings!$B$15)+(AE531*Settings!$B$16)+(AF531*Settings!$B$17)+(AG531*Settings!$B$18)+(Y531*Settings!$B$10)+(Z531*Settings!$B$11),VLOOKUP(B531,'Standard Deviations'!A1:C731,3,FALSE))</f>
        <v>-0.61660463984921665</v>
      </c>
      <c r="J531" s="37">
        <f t="shared" si="49"/>
        <v>-7.5195687786489837E-3</v>
      </c>
      <c r="K531" s="183">
        <f>IF(Settings!$E$18="C/LW/RW",VLOOKUP(B531,LW!A1:F227,6,FALSE),VLOOKUP(B531,F!A1:F431,6,FALSE))</f>
        <v>-7.2712736839736181</v>
      </c>
      <c r="L531" s="36">
        <f t="shared" si="50"/>
        <v>-2.308340852055117</v>
      </c>
      <c r="M531" s="52" t="str">
        <f>IF(Settings!$E$9="YAHOO",VLOOKUP(B531,ADP!A1:E731,2,FALSE),IF(Settings!$E$9="ESPN",VLOOKUP(B531,ADP!A1:E731,3,FALSE),IF(Settings!$E$9="FANTRAX",VLOOKUP(B531,ADP!A1:E731,4,FALSE),VLOOKUP(B531,ADP!A1:E731,5,FALSE))))</f>
        <v>-</v>
      </c>
      <c r="N531" s="52" t="str">
        <f t="shared" si="51"/>
        <v>N/A</v>
      </c>
      <c r="O531" s="38"/>
      <c r="P531" s="39" t="str">
        <f>IF(Settings!$E$27="ON",_xlfn.XLOOKUP(B531,ADP!A2:A731,ADP!H2:H731)," ")</f>
        <v xml:space="preserve"> </v>
      </c>
      <c r="Q531" s="40">
        <f>IF(Settings!$E$12="YES",VLOOKUP(B531,'Player Data'!A1:E734,5,FALSE),82)</f>
        <v>82</v>
      </c>
      <c r="R531" s="38">
        <f>VLOOKUP(B531,'Player Data'!$A1:$AE734,6,FALSE)</f>
        <v>16.317860285823201</v>
      </c>
      <c r="S531" s="40">
        <f>VLOOKUP(B531,'Player Data'!$A1:$AE734,7,FALSE)*$Q531*IFERROR((VLOOKUP(P531,Settings!$E$28:$F$33,2,FALSE)+1),1)</f>
        <v>16.90272165431908</v>
      </c>
      <c r="T531" s="40">
        <f>VLOOKUP(B531,'Player Data'!$A1:$AE734,8,FALSE)*$Q531*IFERROR((VLOOKUP(P531,Settings!$E$28:$F$33,2,FALSE)+1),1)</f>
        <v>18.582943603433737</v>
      </c>
      <c r="U531" s="40">
        <f t="shared" si="47"/>
        <v>35.485665257752814</v>
      </c>
      <c r="V531" s="40">
        <f>VLOOKUP(B531,'Player Data'!$A1:$AE734,10,FALSE)*$Q531*IFERROR(((VLOOKUP(P531,Settings!$E$28:$F$33,2,FALSE)/2)+1),1)</f>
        <v>141.97551082699087</v>
      </c>
      <c r="W531" s="40">
        <f>VLOOKUP(B531,'Player Data'!$A1:$AE734,11,FALSE)*$Q531*IFERROR((VLOOKUP(P531,Settings!$E$28:$F$33,2,FALSE)+1),1)</f>
        <v>4.1208980990102537</v>
      </c>
      <c r="X531" s="40">
        <f>VLOOKUP(B531,'Player Data'!$A1:$AE734,12,FALSE)*$Q531*IFERROR((VLOOKUP(P531,Settings!$E$28:$F$33,2,FALSE)+1),1)</f>
        <v>5.8147201584326735</v>
      </c>
      <c r="Y531" s="40">
        <f>VLOOKUP(B531,'Player Data'!$A1:$AE734,13,FALSE)*$Q531</f>
        <v>0.40592764661863973</v>
      </c>
      <c r="Z531" s="40">
        <f>VLOOKUP(B531,'Player Data'!$A1:$AE734,14,FALSE)*$Q531</f>
        <v>1.1054643355431368</v>
      </c>
      <c r="AA531" s="40">
        <f>VLOOKUP(B531,'Player Data'!$A1:$AE734,15,FALSE)*$Q531</f>
        <v>47.768672813444113</v>
      </c>
      <c r="AB531" s="40">
        <f>VLOOKUP(B531,'Player Data'!$A1:$AE734,16,FALSE)*$Q531</f>
        <v>107.51194689471374</v>
      </c>
      <c r="AC531" s="40">
        <f>VLOOKUP(B531,'Player Data'!$A1:$AE734,17,FALSE)*$Q531*IFERROR((VLOOKUP(P531,Settings!$E$28:$F$33,2,FALSE)+1),1)</f>
        <v>-0.23305025296794532</v>
      </c>
      <c r="AD531" s="40">
        <f>VLOOKUP(B531,'Player Data'!$A1:$AE734,18,FALSE)*$Q531</f>
        <v>31.787902839398686</v>
      </c>
      <c r="AE531" s="40">
        <f>VLOOKUP(B531,'Player Data'!$A1:$AE734,19,FALSE)*$Q531*IFERROR((VLOOKUP(P531,Settings!$E$28:$F$33,2,FALSE)+1),1)</f>
        <v>2.6452820788251361</v>
      </c>
      <c r="AF531" s="40">
        <f>VLOOKUP(B531,'Player Data'!$A1:$AE734,20,FALSE)*$Q531</f>
        <v>471.52284251901079</v>
      </c>
      <c r="AG531" s="40">
        <f>VLOOKUP(B531,'Player Data'!$A1:$AE734,21,FALSE)*$Q531</f>
        <v>431.70799976541332</v>
      </c>
      <c r="AH531" s="41">
        <f>VLOOKUP(B531,'Player Data'!$A1:$AE734,22,FALSE)</f>
        <v>0.52204023649862297</v>
      </c>
      <c r="AI531" s="38"/>
      <c r="AJ531" s="42"/>
      <c r="AK531" s="40"/>
      <c r="AL531" s="40"/>
      <c r="AM531" s="40"/>
      <c r="AN531" s="40"/>
      <c r="AO531" s="40"/>
      <c r="AP531" s="40"/>
      <c r="AQ531" s="43"/>
      <c r="AR531" s="44"/>
      <c r="AS531" s="38"/>
    </row>
    <row r="532" spans="1:45" ht="21.2" customHeight="1">
      <c r="A532" s="181">
        <f t="shared" si="48"/>
        <v>531</v>
      </c>
      <c r="B532" s="8" t="s">
        <v>619</v>
      </c>
      <c r="C532" s="31" t="s">
        <v>104</v>
      </c>
      <c r="D532" s="32" t="str">
        <f>VLOOKUP(B532,'Player Data'!A1:D734,4,FALSE)</f>
        <v>C</v>
      </c>
      <c r="E532" s="33">
        <f>VLOOKUP(B532,'C'!A1:C208,3,FALSE)</f>
        <v>117</v>
      </c>
      <c r="F532" s="34" t="str">
        <f>VLOOKUP(B532,'Player Data'!A1:B734,2,FALSE)</f>
        <v>CHI</v>
      </c>
      <c r="G532" s="9">
        <f>VLOOKUP(B532,'Player Data'!A1:D734,3,FALSE)</f>
        <v>24</v>
      </c>
      <c r="H532" s="35">
        <f>IFERROR(VLOOKUP(B532,ADP!A1:G731,7,FALSE)/1000000,VLOOKUP(B532,ADP!A1:G731,7,FALSE))</f>
        <v>0.95</v>
      </c>
      <c r="I532" s="36">
        <f>IF(Settings!$E$15="POINTS",((R532*Q532)*Settings!$B$12)+(S532*Settings!$B$2)+(T532*Settings!$B$3)+(U532*Settings!$B$4)+(V532*Settings!$B$5)+(X532*Settings!$B$9)+(AA532*Settings!$B$6)+(W532*Settings!$B$8)+(AB532*Settings!$B$7)+(AC532*Settings!$B$14)+(AD532*Settings!$B$15)+(AE532*Settings!$B$16)+(AF532*Settings!$B$17)+(AG532*Settings!$B$18)+(Y532*Settings!$B$10)+(Z532*Settings!$B$11),VLOOKUP(B532,'Standard Deviations'!A1:C731,3,FALSE))</f>
        <v>-0.93489569008639506</v>
      </c>
      <c r="J532" s="37">
        <f t="shared" si="49"/>
        <v>-1.140116695227311E-2</v>
      </c>
      <c r="K532" s="183">
        <f>IF(Settings!$E$18="C/LW/RW",VLOOKUP(B532,'C'!A1:F208,6,FALSE),VLOOKUP(B532,F!A1:F431,6,FALSE))</f>
        <v>-7.2719464142929979</v>
      </c>
      <c r="L532" s="36">
        <f t="shared" si="50"/>
        <v>-7.6546804360978928</v>
      </c>
      <c r="M532" s="52" t="str">
        <f>IF(Settings!$E$9="YAHOO",VLOOKUP(B532,ADP!A1:E731,2,FALSE),IF(Settings!$E$9="ESPN",VLOOKUP(B532,ADP!A1:E731,3,FALSE),IF(Settings!$E$9="FANTRAX",VLOOKUP(B532,ADP!A1:E731,4,FALSE),VLOOKUP(B532,ADP!A1:E731,5,FALSE))))</f>
        <v>-</v>
      </c>
      <c r="N532" s="52" t="str">
        <f t="shared" si="51"/>
        <v>N/A</v>
      </c>
      <c r="O532" s="38"/>
      <c r="P532" s="39" t="str">
        <f>IF(Settings!$E$27="ON",_xlfn.XLOOKUP(B532,ADP!A2:A731,ADP!H2:H731)," ")</f>
        <v xml:space="preserve"> </v>
      </c>
      <c r="Q532" s="40">
        <f>IF(Settings!$E$12="YES",VLOOKUP(B532,'Player Data'!A1:E734,5,FALSE),82)</f>
        <v>82</v>
      </c>
      <c r="R532" s="38">
        <f>VLOOKUP(B532,'Player Data'!$A1:$AE734,6,FALSE)</f>
        <v>14.2358377558798</v>
      </c>
      <c r="S532" s="40">
        <f>VLOOKUP(B532,'Player Data'!$A1:$AE734,7,FALSE)*$Q532*IFERROR((VLOOKUP(P532,Settings!$E$28:$F$33,2,FALSE)+1),1)</f>
        <v>18.597108658838593</v>
      </c>
      <c r="T532" s="40">
        <f>VLOOKUP(B532,'Player Data'!$A1:$AE734,8,FALSE)*$Q532*IFERROR((VLOOKUP(P532,Settings!$E$28:$F$33,2,FALSE)+1),1)</f>
        <v>18.163029948074438</v>
      </c>
      <c r="U532" s="40">
        <f t="shared" si="47"/>
        <v>36.760138606913031</v>
      </c>
      <c r="V532" s="40">
        <f>VLOOKUP(B532,'Player Data'!$A1:$AE734,10,FALSE)*$Q532*IFERROR(((VLOOKUP(P532,Settings!$E$28:$F$33,2,FALSE)/2)+1),1)</f>
        <v>137.79645509888203</v>
      </c>
      <c r="W532" s="40">
        <f>VLOOKUP(B532,'Player Data'!$A1:$AE734,11,FALSE)*$Q532*IFERROR((VLOOKUP(P532,Settings!$E$28:$F$33,2,FALSE)+1),1)</f>
        <v>0.57978520523828836</v>
      </c>
      <c r="X532" s="40">
        <f>VLOOKUP(B532,'Player Data'!$A1:$AE734,12,FALSE)*$Q532*IFERROR((VLOOKUP(P532,Settings!$E$28:$F$33,2,FALSE)+1),1)</f>
        <v>1.4603838131654472</v>
      </c>
      <c r="Y532" s="40">
        <f>VLOOKUP(B532,'Player Data'!$A1:$AE734,13,FALSE)*$Q532</f>
        <v>0.30391372267797073</v>
      </c>
      <c r="Z532" s="40">
        <f>VLOOKUP(B532,'Player Data'!$A1:$AE734,14,FALSE)*$Q532</f>
        <v>0.59474981424734219</v>
      </c>
      <c r="AA532" s="40">
        <f>VLOOKUP(B532,'Player Data'!$A1:$AE734,15,FALSE)*$Q532</f>
        <v>42.026674198617421</v>
      </c>
      <c r="AB532" s="40">
        <f>VLOOKUP(B532,'Player Data'!$A1:$AE734,16,FALSE)*$Q532</f>
        <v>59.652944437495478</v>
      </c>
      <c r="AC532" s="40">
        <f>VLOOKUP(B532,'Player Data'!$A1:$AE734,17,FALSE)*$Q532*IFERROR((VLOOKUP(P532,Settings!$E$28:$F$33,2,FALSE)+1),1)</f>
        <v>-5.4438435924734705</v>
      </c>
      <c r="AD532" s="40">
        <f>VLOOKUP(B532,'Player Data'!$A1:$AE734,18,FALSE)*$Q532</f>
        <v>24.643091590429762</v>
      </c>
      <c r="AE532" s="40">
        <f>VLOOKUP(B532,'Player Data'!$A1:$AE734,19,FALSE)*$Q532*IFERROR((VLOOKUP(P532,Settings!$E$28:$F$33,2,FALSE)+1),1)</f>
        <v>2.1792380544624805</v>
      </c>
      <c r="AF532" s="40">
        <f>VLOOKUP(B532,'Player Data'!$A1:$AE734,20,FALSE)*$Q532</f>
        <v>503.92840444654786</v>
      </c>
      <c r="AG532" s="40">
        <f>VLOOKUP(B532,'Player Data'!$A1:$AE734,21,FALSE)*$Q532</f>
        <v>463.84319045648061</v>
      </c>
      <c r="AH532" s="41">
        <f>VLOOKUP(B532,'Player Data'!$A1:$AE734,22,FALSE)</f>
        <v>0.52071005917159796</v>
      </c>
      <c r="AI532" s="38"/>
      <c r="AJ532" s="42"/>
      <c r="AK532" s="40"/>
      <c r="AL532" s="40"/>
      <c r="AM532" s="40"/>
      <c r="AN532" s="40"/>
      <c r="AO532" s="40"/>
      <c r="AP532" s="40"/>
      <c r="AQ532" s="43"/>
      <c r="AR532" s="44"/>
      <c r="AS532" s="38"/>
    </row>
    <row r="533" spans="1:45" ht="21.2" customHeight="1">
      <c r="A533" s="181">
        <f t="shared" si="48"/>
        <v>532</v>
      </c>
      <c r="B533" s="8" t="s">
        <v>671</v>
      </c>
      <c r="C533" s="31" t="s">
        <v>104</v>
      </c>
      <c r="D533" s="32" t="str">
        <f>VLOOKUP(B533,'Player Data'!A1:D734,4,FALSE)</f>
        <v>D</v>
      </c>
      <c r="E533" s="47">
        <f>VLOOKUP(B533,D!A1:C229,3,FALSE)</f>
        <v>213</v>
      </c>
      <c r="F533" s="34" t="str">
        <f>VLOOKUP(B533,'Player Data'!A1:B734,2,FALSE)</f>
        <v>BOS</v>
      </c>
      <c r="G533" s="9">
        <f>VLOOKUP(B533,'Player Data'!A1:D734,3,FALSE)</f>
        <v>26</v>
      </c>
      <c r="H533" s="35">
        <f>IFERROR(VLOOKUP(B533,ADP!A1:G731,7,FALSE)/1000000,VLOOKUP(B533,ADP!A1:G731,7,FALSE))</f>
        <v>1.1375</v>
      </c>
      <c r="I533" s="36">
        <f>IF(Settings!$E$15="POINTS",((R533*Q533)*Settings!$B$12)+(S533*Settings!$B$2)+(T533*Settings!$B$3)+(U533*Settings!$B$4)+(V533*Settings!$B$5)+(X533*Settings!$B$9)+(AA533*Settings!$B$6)+(W533*Settings!$B$8)+(AB533*Settings!$B$7)+(AC533*Settings!$B$14)+(AD533*Settings!$B$15)+(AE533*Settings!$B$16)+(AF533*Settings!$B$17)+(AG533*Settings!$B$18)+(U533*Settings!$B$13)+(Y533*Settings!$B$10)+(Z533*Settings!$B$11),VLOOKUP(B533,'Standard Deviations'!A1:C731,3,FALSE))</f>
        <v>-5.3368744166048483</v>
      </c>
      <c r="J533" s="37">
        <f t="shared" si="49"/>
        <v>-6.5083834348839617E-2</v>
      </c>
      <c r="K533" s="183">
        <f>VLOOKUP(B533,D!A1:F229,6,FALSE)</f>
        <v>-7.2786149602391585</v>
      </c>
      <c r="L533" s="36">
        <f t="shared" si="50"/>
        <v>-6.3987823826278323</v>
      </c>
      <c r="M533" s="52" t="str">
        <f>IF(Settings!$E$9="YAHOO",VLOOKUP(B533,ADP!A1:E731,2,FALSE),IF(Settings!$E$9="ESPN",VLOOKUP(B533,ADP!A1:E731,3,FALSE),IF(Settings!$E$9="FANTRAX",VLOOKUP(B533,ADP!A1:E731,4,FALSE),VLOOKUP(B533,ADP!A1:E731,5,FALSE))))</f>
        <v>-</v>
      </c>
      <c r="N533" s="52" t="str">
        <f t="shared" si="51"/>
        <v>N/A</v>
      </c>
      <c r="O533" s="38"/>
      <c r="P533" s="39" t="str">
        <f>IF(Settings!$E$27="ON",_xlfn.XLOOKUP(B533,ADP!A2:A731,ADP!H2:H731)," ")</f>
        <v xml:space="preserve"> </v>
      </c>
      <c r="Q533" s="40">
        <f>IF(Settings!$E$12="YES",VLOOKUP(B533,'Player Data'!A1:E734,5,FALSE),82)</f>
        <v>82</v>
      </c>
      <c r="R533" s="38">
        <f>VLOOKUP(B533,'Player Data'!$A1:$AE734,6,FALSE)</f>
        <v>14.465141706992499</v>
      </c>
      <c r="S533" s="40">
        <f>VLOOKUP(B533,'Player Data'!$A1:$AE734,7,FALSE)*$Q533*IFERROR((VLOOKUP(P533,Settings!$E$28:$F$33,2,FALSE)+1),1)</f>
        <v>2.114591368747373</v>
      </c>
      <c r="T533" s="40">
        <f>VLOOKUP(B533,'Player Data'!$A1:$AE734,8,FALSE)*$Q533*IFERROR((VLOOKUP(P533,Settings!$E$28:$F$33,2,FALSE)+1),1)</f>
        <v>12.84792224401879</v>
      </c>
      <c r="U533" s="40">
        <f t="shared" si="47"/>
        <v>14.962513612766163</v>
      </c>
      <c r="V533" s="40">
        <f>VLOOKUP(B533,'Player Data'!$A1:$AE734,10,FALSE)*$Q533*IFERROR(((VLOOKUP(P533,Settings!$E$28:$F$33,2,FALSE)/2)+1),1)</f>
        <v>58.276318900541483</v>
      </c>
      <c r="W533" s="40">
        <f>VLOOKUP(B533,'Player Data'!$A1:$AE734,11,FALSE)*$Q533*IFERROR((VLOOKUP(P533,Settings!$E$28:$F$33,2,FALSE)+1),1)</f>
        <v>5.5391852822058579E-3</v>
      </c>
      <c r="X533" s="40">
        <f>VLOOKUP(B533,'Player Data'!$A1:$AE734,12,FALSE)*$Q533*IFERROR((VLOOKUP(P533,Settings!$E$28:$F$33,2,FALSE)+1),1)</f>
        <v>5.2415210969450614E-2</v>
      </c>
      <c r="Y533" s="40">
        <f>VLOOKUP(B533,'Player Data'!$A1:$AE734,13,FALSE)*$Q533</f>
        <v>5.0260186806979579E-2</v>
      </c>
      <c r="Z533" s="40">
        <f>VLOOKUP(B533,'Player Data'!$A1:$AE734,14,FALSE)*$Q533</f>
        <v>0.22328537782402502</v>
      </c>
      <c r="AA533" s="40">
        <f>VLOOKUP(B533,'Player Data'!$A1:$AE734,15,FALSE)*$Q533</f>
        <v>71.724669536216226</v>
      </c>
      <c r="AB533" s="40">
        <f>VLOOKUP(B533,'Player Data'!$A1:$AE734,16,FALSE)*$Q533</f>
        <v>102.2343315594498</v>
      </c>
      <c r="AC533" s="40">
        <f>VLOOKUP(B533,'Player Data'!$A1:$AE734,17,FALSE)*$Q533*IFERROR((VLOOKUP(P533,Settings!$E$28:$F$33,2,FALSE)+1),1)</f>
        <v>2.2245436494315864</v>
      </c>
      <c r="AD533" s="40">
        <f>VLOOKUP(B533,'Player Data'!$A1:$AE734,18,FALSE)*$Q533</f>
        <v>29.761135765815524</v>
      </c>
      <c r="AE533" s="40">
        <f>VLOOKUP(B533,'Player Data'!$A1:$AE734,19,FALSE)*$Q533*IFERROR((VLOOKUP(P533,Settings!$E$28:$F$33,2,FALSE)+1),1)</f>
        <v>0.35499827696474129</v>
      </c>
      <c r="AF533" s="40">
        <f>VLOOKUP(B533,'Player Data'!$A1:$AE734,20,FALSE)*$Q533</f>
        <v>0</v>
      </c>
      <c r="AG533" s="40">
        <f>VLOOKUP(B533,'Player Data'!$A1:$AE734,21,FALSE)*$Q533</f>
        <v>0</v>
      </c>
      <c r="AH533" s="41">
        <f>VLOOKUP(B533,'Player Data'!$A1:$AE734,22,FALSE)</f>
        <v>0</v>
      </c>
      <c r="AI533" s="38"/>
      <c r="AJ533" s="42"/>
      <c r="AK533" s="40"/>
      <c r="AL533" s="40"/>
      <c r="AM533" s="40"/>
      <c r="AN533" s="40"/>
      <c r="AO533" s="40"/>
      <c r="AP533" s="40"/>
      <c r="AQ533" s="43"/>
      <c r="AR533" s="44"/>
      <c r="AS533" s="38"/>
    </row>
    <row r="534" spans="1:45" ht="21.2" customHeight="1">
      <c r="A534" s="181">
        <f t="shared" si="48"/>
        <v>533</v>
      </c>
      <c r="B534" s="8" t="s">
        <v>608</v>
      </c>
      <c r="C534" s="31" t="s">
        <v>104</v>
      </c>
      <c r="D534" s="32" t="str">
        <f>VLOOKUP(B534,'Player Data'!A1:D734,4,FALSE)</f>
        <v>D</v>
      </c>
      <c r="E534" s="47">
        <f>VLOOKUP(B534,D!A1:C229,3,FALSE)</f>
        <v>214</v>
      </c>
      <c r="F534" s="34" t="str">
        <f>VLOOKUP(B534,'Player Data'!A1:B734,2,FALSE)</f>
        <v>TBL</v>
      </c>
      <c r="G534" s="9">
        <f>VLOOKUP(B534,'Player Data'!A1:D734,3,FALSE)</f>
        <v>33</v>
      </c>
      <c r="H534" s="35">
        <f>IFERROR(VLOOKUP(B534,ADP!A1:G731,7,FALSE)/1000000,VLOOKUP(B534,ADP!A1:G731,7,FALSE))</f>
        <v>0.85</v>
      </c>
      <c r="I534" s="36">
        <f>IF(Settings!$E$15="POINTS",((R534*Q534)*Settings!$B$12)+(S534*Settings!$B$2)+(T534*Settings!$B$3)+(U534*Settings!$B$4)+(V534*Settings!$B$5)+(X534*Settings!$B$9)+(AA534*Settings!$B$6)+(W534*Settings!$B$8)+(AB534*Settings!$B$7)+(AC534*Settings!$B$14)+(AD534*Settings!$B$15)+(AE534*Settings!$B$16)+(AF534*Settings!$B$17)+(AG534*Settings!$B$18)+(U534*Settings!$B$13)+(Y534*Settings!$B$10)+(Z534*Settings!$B$11),VLOOKUP(B534,'Standard Deviations'!A1:C731,3,FALSE))</f>
        <v>-5.343506735736522</v>
      </c>
      <c r="J534" s="37">
        <f t="shared" si="49"/>
        <v>-6.5164716289469779E-2</v>
      </c>
      <c r="K534" s="183">
        <f>VLOOKUP(B534,D!A1:F229,6,FALSE)</f>
        <v>-7.2852472793708323</v>
      </c>
      <c r="L534" s="36">
        <f t="shared" si="50"/>
        <v>-8.5708791522009786</v>
      </c>
      <c r="M534" s="52" t="str">
        <f>IF(Settings!$E$9="YAHOO",VLOOKUP(B534,ADP!A1:E731,2,FALSE),IF(Settings!$E$9="ESPN",VLOOKUP(B534,ADP!A1:E731,3,FALSE),IF(Settings!$E$9="FANTRAX",VLOOKUP(B534,ADP!A1:E731,4,FALSE),VLOOKUP(B534,ADP!A1:E731,5,FALSE))))</f>
        <v>-</v>
      </c>
      <c r="N534" s="52" t="str">
        <f t="shared" si="51"/>
        <v>N/A</v>
      </c>
      <c r="O534" s="38"/>
      <c r="P534" s="39" t="str">
        <f>IF(Settings!$E$27="ON",_xlfn.XLOOKUP(B534,ADP!A2:A731,ADP!H2:H731)," ")</f>
        <v xml:space="preserve"> </v>
      </c>
      <c r="Q534" s="40">
        <f>IF(Settings!$E$12="YES",VLOOKUP(B534,'Player Data'!A1:E734,5,FALSE),82)</f>
        <v>82</v>
      </c>
      <c r="R534" s="38">
        <f>VLOOKUP(B534,'Player Data'!$A1:$AE734,6,FALSE)</f>
        <v>14.8542998791191</v>
      </c>
      <c r="S534" s="40">
        <f>VLOOKUP(B534,'Player Data'!$A1:$AE734,7,FALSE)*$Q534*IFERROR((VLOOKUP(P534,Settings!$E$28:$F$33,2,FALSE)+1),1)</f>
        <v>2.3627228388131067</v>
      </c>
      <c r="T534" s="40">
        <f>VLOOKUP(B534,'Player Data'!$A1:$AE734,8,FALSE)*$Q534*IFERROR((VLOOKUP(P534,Settings!$E$28:$F$33,2,FALSE)+1),1)</f>
        <v>7.8997515479876812</v>
      </c>
      <c r="U534" s="40">
        <f t="shared" ref="U534:U597" si="52">SUM(S534:T534)</f>
        <v>10.262474386800788</v>
      </c>
      <c r="V534" s="40">
        <f>VLOOKUP(B534,'Player Data'!$A1:$AE734,10,FALSE)*$Q534*IFERROR(((VLOOKUP(P534,Settings!$E$28:$F$33,2,FALSE)/2)+1),1)</f>
        <v>90.26046823487701</v>
      </c>
      <c r="W534" s="40">
        <f>VLOOKUP(B534,'Player Data'!$A1:$AE734,11,FALSE)*$Q534*IFERROR((VLOOKUP(P534,Settings!$E$28:$F$33,2,FALSE)+1),1)</f>
        <v>6.3771555760324221E-3</v>
      </c>
      <c r="X534" s="40">
        <f>VLOOKUP(B534,'Player Data'!$A1:$AE734,12,FALSE)*$Q534*IFERROR((VLOOKUP(P534,Settings!$E$28:$F$33,2,FALSE)+1),1)</f>
        <v>4.4432944595821242E-2</v>
      </c>
      <c r="Y534" s="40">
        <f>VLOOKUP(B534,'Player Data'!$A1:$AE734,13,FALSE)*$Q534</f>
        <v>6.9190696841611912E-3</v>
      </c>
      <c r="Z534" s="40">
        <f>VLOOKUP(B534,'Player Data'!$A1:$AE734,14,FALSE)*$Q534</f>
        <v>1.7272094426307109E-2</v>
      </c>
      <c r="AA534" s="40">
        <f>VLOOKUP(B534,'Player Data'!$A1:$AE734,15,FALSE)*$Q534</f>
        <v>80.953155679515419</v>
      </c>
      <c r="AB534" s="40">
        <f>VLOOKUP(B534,'Player Data'!$A1:$AE734,16,FALSE)*$Q534</f>
        <v>167.37607203864681</v>
      </c>
      <c r="AC534" s="40">
        <f>VLOOKUP(B534,'Player Data'!$A1:$AE734,17,FALSE)*$Q534*IFERROR((VLOOKUP(P534,Settings!$E$28:$F$33,2,FALSE)+1),1)</f>
        <v>-0.65022118092312786</v>
      </c>
      <c r="AD534" s="40">
        <f>VLOOKUP(B534,'Player Data'!$A1:$AE734,18,FALSE)*$Q534</f>
        <v>47.393737223580509</v>
      </c>
      <c r="AE534" s="40">
        <f>VLOOKUP(B534,'Player Data'!$A1:$AE734,19,FALSE)*$Q534*IFERROR((VLOOKUP(P534,Settings!$E$28:$F$33,2,FALSE)+1),1)</f>
        <v>0.369766982534799</v>
      </c>
      <c r="AF534" s="40">
        <f>VLOOKUP(B534,'Player Data'!$A1:$AE734,20,FALSE)*$Q534</f>
        <v>0.51044850352946181</v>
      </c>
      <c r="AG534" s="40">
        <f>VLOOKUP(B534,'Player Data'!$A1:$AE734,21,FALSE)*$Q534</f>
        <v>0.73851309054164271</v>
      </c>
      <c r="AH534" s="41">
        <f>VLOOKUP(B534,'Player Data'!$A1:$AE734,22,FALSE)</f>
        <v>0.40869831862932499</v>
      </c>
      <c r="AI534" s="38"/>
      <c r="AJ534" s="42"/>
      <c r="AK534" s="40"/>
      <c r="AL534" s="40"/>
      <c r="AM534" s="40"/>
      <c r="AN534" s="40"/>
      <c r="AO534" s="40"/>
      <c r="AP534" s="40"/>
      <c r="AQ534" s="43"/>
      <c r="AR534" s="44"/>
      <c r="AS534" s="38"/>
    </row>
    <row r="535" spans="1:45" ht="21.2" customHeight="1">
      <c r="A535" s="181">
        <f t="shared" si="48"/>
        <v>534</v>
      </c>
      <c r="B535" s="8" t="s">
        <v>611</v>
      </c>
      <c r="C535" s="31" t="s">
        <v>104</v>
      </c>
      <c r="D535" s="32" t="str">
        <f>VLOOKUP(B535,'Player Data'!A1:D734,4,FALSE)</f>
        <v>LW</v>
      </c>
      <c r="E535" s="48">
        <f>VLOOKUP(B535,LW!A1:C227,3,FALSE)</f>
        <v>127</v>
      </c>
      <c r="F535" s="34" t="str">
        <f>VLOOKUP(B535,'Player Data'!A1:B734,2,FALSE)</f>
        <v>VGK</v>
      </c>
      <c r="G535" s="9">
        <f>VLOOKUP(B535,'Player Data'!A1:D734,3,FALSE)</f>
        <v>22</v>
      </c>
      <c r="H535" s="35">
        <f>IFERROR(VLOOKUP(B535,ADP!A1:G731,7,FALSE)/1000000,VLOOKUP(B535,ADP!A1:G731,7,FALSE))</f>
        <v>0.82499999999999996</v>
      </c>
      <c r="I535" s="36">
        <f>IF(Settings!$E$15="POINTS",((R535*Q535)*Settings!$B$12)+(S535*Settings!$B$2)+(T535*Settings!$B$3)+(U535*Settings!$B$4)+(V535*Settings!$B$5)+(X535*Settings!$B$9)+(AA535*Settings!$B$6)+(W535*Settings!$B$8)+(AB535*Settings!$B$7)+(AC535*Settings!$B$14)+(AD535*Settings!$B$15)+(AE535*Settings!$B$16)+(AF535*Settings!$B$17)+(AG535*Settings!$B$18)+(Y535*Settings!$B$10)+(Z535*Settings!$B$11),VLOOKUP(B535,'Standard Deviations'!A1:C731,3,FALSE))</f>
        <v>-0.64180324027126878</v>
      </c>
      <c r="J535" s="37">
        <f t="shared" si="49"/>
        <v>-7.8268687837959611E-3</v>
      </c>
      <c r="K535" s="183">
        <f>IF(Settings!$E$18="C/LW/RW",VLOOKUP(B535,LW!A1:F227,6,FALSE),VLOOKUP(B535,F!A1:F431,6,FALSE))</f>
        <v>-7.2964722843956702</v>
      </c>
      <c r="L535" s="36">
        <f t="shared" si="50"/>
        <v>-8.8442088295705101</v>
      </c>
      <c r="M535" s="38">
        <f>IF(Settings!$E$9="YAHOO",VLOOKUP(B535,ADP!A1:E731,2,FALSE),IF(Settings!$E$9="ESPN",VLOOKUP(B535,ADP!A1:E731,3,FALSE),IF(Settings!$E$9="FANTRAX",VLOOKUP(B535,ADP!A1:E731,4,FALSE),VLOOKUP(B535,ADP!A1:E731,5,FALSE))))</f>
        <v>501.5</v>
      </c>
      <c r="N535" s="38">
        <f t="shared" si="51"/>
        <v>-32.5</v>
      </c>
      <c r="O535" s="38"/>
      <c r="P535" s="39" t="str">
        <f>IF(Settings!$E$27="ON",_xlfn.XLOOKUP(B535,ADP!A2:A731,ADP!H2:H731)," ")</f>
        <v xml:space="preserve"> </v>
      </c>
      <c r="Q535" s="40">
        <f>IF(Settings!$E$12="YES",VLOOKUP(B535,'Player Data'!A1:E734,5,FALSE),82)</f>
        <v>82</v>
      </c>
      <c r="R535" s="38">
        <f>VLOOKUP(B535,'Player Data'!$A1:$AE734,6,FALSE)</f>
        <v>13.4822938528963</v>
      </c>
      <c r="S535" s="40">
        <f>VLOOKUP(B535,'Player Data'!$A1:$AE734,7,FALSE)*$Q535*IFERROR((VLOOKUP(P535,Settings!$E$28:$F$33,2,FALSE)+1),1)</f>
        <v>20.229532390539386</v>
      </c>
      <c r="T535" s="40">
        <f>VLOOKUP(B535,'Player Data'!$A1:$AE734,8,FALSE)*$Q535*IFERROR((VLOOKUP(P535,Settings!$E$28:$F$33,2,FALSE)+1),1)</f>
        <v>15.697527745007969</v>
      </c>
      <c r="U535" s="40">
        <f t="shared" si="52"/>
        <v>35.927060135547357</v>
      </c>
      <c r="V535" s="40">
        <f>VLOOKUP(B535,'Player Data'!$A1:$AE734,10,FALSE)*$Q535*IFERROR(((VLOOKUP(P535,Settings!$E$28:$F$33,2,FALSE)/2)+1),1)</f>
        <v>144.87975223767461</v>
      </c>
      <c r="W535" s="40">
        <f>VLOOKUP(B535,'Player Data'!$A1:$AE734,11,FALSE)*$Q535*IFERROR((VLOOKUP(P535,Settings!$E$28:$F$33,2,FALSE)+1),1)</f>
        <v>2.0736105687547641</v>
      </c>
      <c r="X535" s="40">
        <f>VLOOKUP(B535,'Player Data'!$A1:$AE734,12,FALSE)*$Q535*IFERROR((VLOOKUP(P535,Settings!$E$28:$F$33,2,FALSE)+1),1)</f>
        <v>3.7903447681647688</v>
      </c>
      <c r="Y535" s="40">
        <f>VLOOKUP(B535,'Player Data'!$A1:$AE734,13,FALSE)*$Q535</f>
        <v>1.1918376819007323E-3</v>
      </c>
      <c r="Z535" s="40">
        <f>VLOOKUP(B535,'Player Data'!$A1:$AE734,14,FALSE)*$Q535</f>
        <v>2.3705583842044626E-3</v>
      </c>
      <c r="AA535" s="40">
        <f>VLOOKUP(B535,'Player Data'!$A1:$AE734,15,FALSE)*$Q535</f>
        <v>38.509935407829332</v>
      </c>
      <c r="AB535" s="40">
        <f>VLOOKUP(B535,'Player Data'!$A1:$AE734,16,FALSE)*$Q535</f>
        <v>49.481332773382789</v>
      </c>
      <c r="AC535" s="40">
        <f>VLOOKUP(B535,'Player Data'!$A1:$AE734,17,FALSE)*$Q535*IFERROR((VLOOKUP(P535,Settings!$E$28:$F$33,2,FALSE)+1),1)</f>
        <v>5.1999924196962981</v>
      </c>
      <c r="AD535" s="40">
        <f>VLOOKUP(B535,'Player Data'!$A1:$AE734,18,FALSE)*$Q535</f>
        <v>28.908213889385838</v>
      </c>
      <c r="AE535" s="40">
        <f>VLOOKUP(B535,'Player Data'!$A1:$AE734,19,FALSE)*$Q535*IFERROR((VLOOKUP(P535,Settings!$E$28:$F$33,2,FALSE)+1),1)</f>
        <v>3.3060575505081542</v>
      </c>
      <c r="AF535" s="40">
        <f>VLOOKUP(B535,'Player Data'!$A1:$AE734,20,FALSE)*$Q535</f>
        <v>0</v>
      </c>
      <c r="AG535" s="40">
        <f>VLOOKUP(B535,'Player Data'!$A1:$AE734,21,FALSE)*$Q535</f>
        <v>4.2713778218437577</v>
      </c>
      <c r="AH535" s="41">
        <f>VLOOKUP(B535,'Player Data'!$A1:$AE734,22,FALSE)</f>
        <v>0</v>
      </c>
      <c r="AI535" s="38"/>
      <c r="AJ535" s="42"/>
      <c r="AK535" s="40"/>
      <c r="AL535" s="40"/>
      <c r="AM535" s="40"/>
      <c r="AN535" s="40"/>
      <c r="AO535" s="40"/>
      <c r="AP535" s="40"/>
      <c r="AQ535" s="43"/>
      <c r="AR535" s="44"/>
      <c r="AS535" s="38"/>
    </row>
    <row r="536" spans="1:45" ht="21.2" customHeight="1">
      <c r="A536" s="181">
        <f t="shared" si="48"/>
        <v>535</v>
      </c>
      <c r="B536" s="8" t="s">
        <v>647</v>
      </c>
      <c r="C536" s="31" t="s">
        <v>104</v>
      </c>
      <c r="D536" s="32" t="str">
        <f>VLOOKUP(B536,'Player Data'!A1:D734,4,FALSE)</f>
        <v>D</v>
      </c>
      <c r="E536" s="47">
        <f>VLOOKUP(B536,D!A1:C229,3,FALSE)</f>
        <v>215</v>
      </c>
      <c r="F536" s="34" t="str">
        <f>VLOOKUP(B536,'Player Data'!A1:B734,2,FALSE)</f>
        <v>EDM</v>
      </c>
      <c r="G536" s="9">
        <f>VLOOKUP(B536,'Player Data'!A1:D734,3,FALSE)</f>
        <v>22</v>
      </c>
      <c r="H536" s="35">
        <f>IFERROR(VLOOKUP(B536,ADP!A1:G731,7,FALSE)/1000000,VLOOKUP(B536,ADP!A1:G731,7,FALSE))</f>
        <v>0.86333300000000002</v>
      </c>
      <c r="I536" s="36">
        <f>IF(Settings!$E$15="POINTS",((R536*Q536)*Settings!$B$12)+(S536*Settings!$B$2)+(T536*Settings!$B$3)+(U536*Settings!$B$4)+(V536*Settings!$B$5)+(X536*Settings!$B$9)+(AA536*Settings!$B$6)+(W536*Settings!$B$8)+(AB536*Settings!$B$7)+(AC536*Settings!$B$14)+(AD536*Settings!$B$15)+(AE536*Settings!$B$16)+(AF536*Settings!$B$17)+(AG536*Settings!$B$18)+(U536*Settings!$B$13)+(Y536*Settings!$B$10)+(Z536*Settings!$B$11),VLOOKUP(B536,'Standard Deviations'!A1:C731,3,FALSE))</f>
        <v>-5.3651318448637957</v>
      </c>
      <c r="J536" s="37">
        <f t="shared" si="49"/>
        <v>-6.5428437132485306E-2</v>
      </c>
      <c r="K536" s="183">
        <f>VLOOKUP(B536,D!A1:F229,6,FALSE)</f>
        <v>-7.3068723884981068</v>
      </c>
      <c r="L536" s="36">
        <f t="shared" si="50"/>
        <v>-8.4635620189406708</v>
      </c>
      <c r="M536" s="52" t="str">
        <f>IF(Settings!$E$9="YAHOO",VLOOKUP(B536,ADP!A1:E731,2,FALSE),IF(Settings!$E$9="ESPN",VLOOKUP(B536,ADP!A1:E731,3,FALSE),IF(Settings!$E$9="FANTRAX",VLOOKUP(B536,ADP!A1:E731,4,FALSE),VLOOKUP(B536,ADP!A1:E731,5,FALSE))))</f>
        <v>-</v>
      </c>
      <c r="N536" s="52" t="str">
        <f t="shared" si="51"/>
        <v>N/A</v>
      </c>
      <c r="O536" s="38"/>
      <c r="P536" s="39" t="str">
        <f>IF(Settings!$E$27="ON",_xlfn.XLOOKUP(B536,ADP!A2:A731,ADP!H2:H731)," ")</f>
        <v xml:space="preserve"> </v>
      </c>
      <c r="Q536" s="40">
        <f>IF(Settings!$E$12="YES",VLOOKUP(B536,'Player Data'!A1:E734,5,FALSE),82)</f>
        <v>82</v>
      </c>
      <c r="R536" s="38">
        <f>VLOOKUP(B536,'Player Data'!$A1:$AE734,6,FALSE)</f>
        <v>12.1194539803154</v>
      </c>
      <c r="S536" s="40">
        <f>VLOOKUP(B536,'Player Data'!$A1:$AE734,7,FALSE)*$Q536*IFERROR((VLOOKUP(P536,Settings!$E$28:$F$33,2,FALSE)+1),1)</f>
        <v>2.5502730219235494</v>
      </c>
      <c r="T536" s="40">
        <f>VLOOKUP(B536,'Player Data'!$A1:$AE734,8,FALSE)*$Q536*IFERROR((VLOOKUP(P536,Settings!$E$28:$F$33,2,FALSE)+1),1)</f>
        <v>10.967669041020766</v>
      </c>
      <c r="U536" s="40">
        <f t="shared" si="52"/>
        <v>13.517942062944316</v>
      </c>
      <c r="V536" s="40">
        <f>VLOOKUP(B536,'Player Data'!$A1:$AE734,10,FALSE)*$Q536*IFERROR(((VLOOKUP(P536,Settings!$E$28:$F$33,2,FALSE)/2)+1),1)</f>
        <v>64.59003057358386</v>
      </c>
      <c r="W536" s="40">
        <f>VLOOKUP(B536,'Player Data'!$A1:$AE734,11,FALSE)*$Q536*IFERROR((VLOOKUP(P536,Settings!$E$28:$F$33,2,FALSE)+1),1)</f>
        <v>4.8047926532791337E-2</v>
      </c>
      <c r="X536" s="40">
        <f>VLOOKUP(B536,'Player Data'!$A1:$AE734,12,FALSE)*$Q536*IFERROR((VLOOKUP(P536,Settings!$E$28:$F$33,2,FALSE)+1),1)</f>
        <v>0.29383231287183625</v>
      </c>
      <c r="Y536" s="40">
        <f>VLOOKUP(B536,'Player Data'!$A1:$AE734,13,FALSE)*$Q536</f>
        <v>3.1779208451255127E-2</v>
      </c>
      <c r="Z536" s="40">
        <f>VLOOKUP(B536,'Player Data'!$A1:$AE734,14,FALSE)*$Q536</f>
        <v>0.14906011187628093</v>
      </c>
      <c r="AA536" s="40">
        <f>VLOOKUP(B536,'Player Data'!$A1:$AE734,15,FALSE)*$Q536</f>
        <v>63.530991402210468</v>
      </c>
      <c r="AB536" s="40">
        <f>VLOOKUP(B536,'Player Data'!$A1:$AE734,16,FALSE)*$Q536</f>
        <v>68.689535475777376</v>
      </c>
      <c r="AC536" s="40">
        <f>VLOOKUP(B536,'Player Data'!$A1:$AE734,17,FALSE)*$Q536*IFERROR((VLOOKUP(P536,Settings!$E$28:$F$33,2,FALSE)+1),1)</f>
        <v>5.5376351853361401</v>
      </c>
      <c r="AD536" s="40">
        <f>VLOOKUP(B536,'Player Data'!$A1:$AE734,18,FALSE)*$Q536</f>
        <v>15.951720299827972</v>
      </c>
      <c r="AE536" s="40">
        <f>VLOOKUP(B536,'Player Data'!$A1:$AE734,19,FALSE)*$Q536*IFERROR((VLOOKUP(P536,Settings!$E$28:$F$33,2,FALSE)+1),1)</f>
        <v>0.40368084060093928</v>
      </c>
      <c r="AF536" s="40">
        <f>VLOOKUP(B536,'Player Data'!$A1:$AE734,20,FALSE)*$Q536</f>
        <v>0</v>
      </c>
      <c r="AG536" s="40">
        <f>VLOOKUP(B536,'Player Data'!$A1:$AE734,21,FALSE)*$Q536</f>
        <v>0</v>
      </c>
      <c r="AH536" s="41">
        <f>VLOOKUP(B536,'Player Data'!$A1:$AE734,22,FALSE)</f>
        <v>0</v>
      </c>
      <c r="AI536" s="38"/>
      <c r="AJ536" s="42"/>
      <c r="AK536" s="40"/>
      <c r="AL536" s="40"/>
      <c r="AM536" s="40"/>
      <c r="AN536" s="40"/>
      <c r="AO536" s="40"/>
      <c r="AP536" s="40"/>
      <c r="AQ536" s="43"/>
      <c r="AR536" s="44"/>
      <c r="AS536" s="38"/>
    </row>
    <row r="537" spans="1:45" ht="21.2" customHeight="1">
      <c r="A537" s="181">
        <f t="shared" si="48"/>
        <v>536</v>
      </c>
      <c r="B537" s="8" t="s">
        <v>585</v>
      </c>
      <c r="C537" s="31" t="s">
        <v>104</v>
      </c>
      <c r="D537" s="32" t="str">
        <f>VLOOKUP(B537,'Player Data'!A1:D734,4,FALSE)</f>
        <v>D</v>
      </c>
      <c r="E537" s="47">
        <f>VLOOKUP(B537,D!A1:C229,3,FALSE)</f>
        <v>216</v>
      </c>
      <c r="F537" s="34" t="str">
        <f>VLOOKUP(B537,'Player Data'!A1:B734,2,FALSE)</f>
        <v>CHI</v>
      </c>
      <c r="G537" s="9">
        <f>VLOOKUP(B537,'Player Data'!A1:D734,3,FALSE)</f>
        <v>31</v>
      </c>
      <c r="H537" s="35">
        <f>IFERROR(VLOOKUP(B537,ADP!A1:G731,7,FALSE)/1000000,VLOOKUP(B537,ADP!A1:G731,7,FALSE))</f>
        <v>4.5</v>
      </c>
      <c r="I537" s="36">
        <f>IF(Settings!$E$15="POINTS",((R537*Q537)*Settings!$B$12)+(S537*Settings!$B$2)+(T537*Settings!$B$3)+(U537*Settings!$B$4)+(V537*Settings!$B$5)+(X537*Settings!$B$9)+(AA537*Settings!$B$6)+(W537*Settings!$B$8)+(AB537*Settings!$B$7)+(AC537*Settings!$B$14)+(AD537*Settings!$B$15)+(AE537*Settings!$B$16)+(AF537*Settings!$B$17)+(AG537*Settings!$B$18)+(U537*Settings!$B$13)+(Y537*Settings!$B$10)+(Z537*Settings!$B$11),VLOOKUP(B537,'Standard Deviations'!A1:C731,3,FALSE))</f>
        <v>-5.382067558918477</v>
      </c>
      <c r="J537" s="37">
        <f t="shared" si="49"/>
        <v>-6.563497023071313E-2</v>
      </c>
      <c r="K537" s="183">
        <f>VLOOKUP(B537,D!A1:F229,6,FALSE)</f>
        <v>-7.3238081025527872</v>
      </c>
      <c r="L537" s="36">
        <f t="shared" si="50"/>
        <v>-1.6275129116783971</v>
      </c>
      <c r="M537" s="52" t="str">
        <f>IF(Settings!$E$9="YAHOO",VLOOKUP(B537,ADP!A1:E731,2,FALSE),IF(Settings!$E$9="ESPN",VLOOKUP(B537,ADP!A1:E731,3,FALSE),IF(Settings!$E$9="FANTRAX",VLOOKUP(B537,ADP!A1:E731,4,FALSE),VLOOKUP(B537,ADP!A1:E731,5,FALSE))))</f>
        <v>-</v>
      </c>
      <c r="N537" s="52" t="str">
        <f t="shared" si="51"/>
        <v>N/A</v>
      </c>
      <c r="O537" s="38"/>
      <c r="P537" s="39" t="str">
        <f>IF(Settings!$E$27="ON",_xlfn.XLOOKUP(B537,ADP!A2:A731,ADP!H2:H731)," ")</f>
        <v xml:space="preserve"> </v>
      </c>
      <c r="Q537" s="40">
        <f>IF(Settings!$E$12="YES",VLOOKUP(B537,'Player Data'!A1:E734,5,FALSE),82)</f>
        <v>82</v>
      </c>
      <c r="R537" s="38">
        <f>VLOOKUP(B537,'Player Data'!$A1:$AE734,6,FALSE)</f>
        <v>16.421431372040701</v>
      </c>
      <c r="S537" s="40">
        <f>VLOOKUP(B537,'Player Data'!$A1:$AE734,7,FALSE)*$Q537*IFERROR((VLOOKUP(P537,Settings!$E$28:$F$33,2,FALSE)+1),1)</f>
        <v>2.5806979475623373</v>
      </c>
      <c r="T537" s="40">
        <f>VLOOKUP(B537,'Player Data'!$A1:$AE734,8,FALSE)*$Q537*IFERROR((VLOOKUP(P537,Settings!$E$28:$F$33,2,FALSE)+1),1)</f>
        <v>11.454433793033138</v>
      </c>
      <c r="U537" s="40">
        <f t="shared" si="52"/>
        <v>14.035131740595475</v>
      </c>
      <c r="V537" s="40">
        <f>VLOOKUP(B537,'Player Data'!$A1:$AE734,10,FALSE)*$Q537*IFERROR(((VLOOKUP(P537,Settings!$E$28:$F$33,2,FALSE)/2)+1),1)</f>
        <v>61.039963088962061</v>
      </c>
      <c r="W537" s="40">
        <f>VLOOKUP(B537,'Player Data'!$A1:$AE734,11,FALSE)*$Q537*IFERROR((VLOOKUP(P537,Settings!$E$28:$F$33,2,FALSE)+1),1)</f>
        <v>1.6509138523689869E-2</v>
      </c>
      <c r="X537" s="40">
        <f>VLOOKUP(B537,'Player Data'!$A1:$AE734,12,FALSE)*$Q537*IFERROR((VLOOKUP(P537,Settings!$E$28:$F$33,2,FALSE)+1),1)</f>
        <v>0.11010531368246837</v>
      </c>
      <c r="Y537" s="40">
        <f>VLOOKUP(B537,'Player Data'!$A1:$AE734,13,FALSE)*$Q537</f>
        <v>-1.3033080830800712E-2</v>
      </c>
      <c r="Z537" s="40">
        <f>VLOOKUP(B537,'Player Data'!$A1:$AE734,14,FALSE)*$Q537</f>
        <v>0.51978752171187859</v>
      </c>
      <c r="AA537" s="40">
        <f>VLOOKUP(B537,'Player Data'!$A1:$AE734,15,FALSE)*$Q537</f>
        <v>119.55815102708812</v>
      </c>
      <c r="AB537" s="40">
        <f>VLOOKUP(B537,'Player Data'!$A1:$AE734,16,FALSE)*$Q537</f>
        <v>147.12329986363204</v>
      </c>
      <c r="AC537" s="40">
        <f>VLOOKUP(B537,'Player Data'!$A1:$AE734,17,FALSE)*$Q537*IFERROR((VLOOKUP(P537,Settings!$E$28:$F$33,2,FALSE)+1),1)</f>
        <v>-7.94455207331184</v>
      </c>
      <c r="AD537" s="40">
        <f>VLOOKUP(B537,'Player Data'!$A1:$AE734,18,FALSE)*$Q537</f>
        <v>32.317202989197725</v>
      </c>
      <c r="AE537" s="40">
        <f>VLOOKUP(B537,'Player Data'!$A1:$AE734,19,FALSE)*$Q537*IFERROR((VLOOKUP(P537,Settings!$E$28:$F$33,2,FALSE)+1),1)</f>
        <v>0.30241019061466679</v>
      </c>
      <c r="AF537" s="40">
        <f>VLOOKUP(B537,'Player Data'!$A1:$AE734,20,FALSE)*$Q537</f>
        <v>0</v>
      </c>
      <c r="AG537" s="40">
        <f>VLOOKUP(B537,'Player Data'!$A1:$AE734,21,FALSE)*$Q537</f>
        <v>0</v>
      </c>
      <c r="AH537" s="41">
        <f>VLOOKUP(B537,'Player Data'!$A1:$AE734,22,FALSE)</f>
        <v>0</v>
      </c>
      <c r="AI537" s="38"/>
      <c r="AJ537" s="42"/>
      <c r="AK537" s="40"/>
      <c r="AL537" s="40"/>
      <c r="AM537" s="40"/>
      <c r="AN537" s="40"/>
      <c r="AO537" s="40"/>
      <c r="AP537" s="40"/>
      <c r="AQ537" s="43"/>
      <c r="AR537" s="44"/>
      <c r="AS537" s="38"/>
    </row>
    <row r="538" spans="1:45" ht="21.2" customHeight="1">
      <c r="A538" s="181">
        <f t="shared" si="48"/>
        <v>537</v>
      </c>
      <c r="B538" s="8" t="s">
        <v>583</v>
      </c>
      <c r="C538" s="31" t="s">
        <v>104</v>
      </c>
      <c r="D538" s="32" t="str">
        <f>VLOOKUP(B538,'Player Data'!A1:D734,4,FALSE)</f>
        <v>D</v>
      </c>
      <c r="E538" s="47">
        <f>VLOOKUP(B538,D!A1:C229,3,FALSE)</f>
        <v>217</v>
      </c>
      <c r="F538" s="34" t="str">
        <f>VLOOKUP(B538,'Player Data'!A1:B734,2,FALSE)</f>
        <v>MIN</v>
      </c>
      <c r="G538" s="9">
        <f>VLOOKUP(B538,'Player Data'!A1:D734,3,FALSE)</f>
        <v>31</v>
      </c>
      <c r="H538" s="35">
        <f>IFERROR(VLOOKUP(B538,ADP!A1:G731,7,FALSE)/1000000,VLOOKUP(B538,ADP!A1:G731,7,FALSE))</f>
        <v>1.2</v>
      </c>
      <c r="I538" s="36">
        <f>IF(Settings!$E$15="POINTS",((R538*Q538)*Settings!$B$12)+(S538*Settings!$B$2)+(T538*Settings!$B$3)+(U538*Settings!$B$4)+(V538*Settings!$B$5)+(X538*Settings!$B$9)+(AA538*Settings!$B$6)+(W538*Settings!$B$8)+(AB538*Settings!$B$7)+(AC538*Settings!$B$14)+(AD538*Settings!$B$15)+(AE538*Settings!$B$16)+(AF538*Settings!$B$17)+(AG538*Settings!$B$18)+(U538*Settings!$B$13)+(Y538*Settings!$B$10)+(Z538*Settings!$B$11),VLOOKUP(B538,'Standard Deviations'!A1:C731,3,FALSE))</f>
        <v>-5.383890072168322</v>
      </c>
      <c r="J538" s="37">
        <f t="shared" si="49"/>
        <v>-6.5657196002052706E-2</v>
      </c>
      <c r="K538" s="183">
        <f>VLOOKUP(B538,D!A1:F229,6,FALSE)</f>
        <v>-7.3256306158026323</v>
      </c>
      <c r="L538" s="36">
        <f t="shared" si="50"/>
        <v>-6.1046921798355269</v>
      </c>
      <c r="M538" s="52" t="str">
        <f>IF(Settings!$E$9="YAHOO",VLOOKUP(B538,ADP!A1:E731,2,FALSE),IF(Settings!$E$9="ESPN",VLOOKUP(B538,ADP!A1:E731,3,FALSE),IF(Settings!$E$9="FANTRAX",VLOOKUP(B538,ADP!A1:E731,4,FALSE),VLOOKUP(B538,ADP!A1:E731,5,FALSE))))</f>
        <v>-</v>
      </c>
      <c r="N538" s="52" t="str">
        <f t="shared" si="51"/>
        <v>N/A</v>
      </c>
      <c r="O538" s="38"/>
      <c r="P538" s="39" t="str">
        <f>IF(Settings!$E$27="ON",_xlfn.XLOOKUP(B538,ADP!A2:A731,ADP!H2:H731)," ")</f>
        <v xml:space="preserve"> </v>
      </c>
      <c r="Q538" s="40">
        <f>IF(Settings!$E$12="YES",VLOOKUP(B538,'Player Data'!A1:E734,5,FALSE),82)</f>
        <v>82</v>
      </c>
      <c r="R538" s="38">
        <f>VLOOKUP(B538,'Player Data'!$A1:$AE734,6,FALSE)</f>
        <v>15.115095029586801</v>
      </c>
      <c r="S538" s="40">
        <f>VLOOKUP(B538,'Player Data'!$A1:$AE734,7,FALSE)*$Q538*IFERROR((VLOOKUP(P538,Settings!$E$28:$F$33,2,FALSE)+1),1)</f>
        <v>2.4301370720670916</v>
      </c>
      <c r="T538" s="40">
        <f>VLOOKUP(B538,'Player Data'!$A1:$AE734,8,FALSE)*$Q538*IFERROR((VLOOKUP(P538,Settings!$E$28:$F$33,2,FALSE)+1),1)</f>
        <v>12.089435982494196</v>
      </c>
      <c r="U538" s="40">
        <f t="shared" si="52"/>
        <v>14.519573054561288</v>
      </c>
      <c r="V538" s="40">
        <f>VLOOKUP(B538,'Player Data'!$A1:$AE734,10,FALSE)*$Q538*IFERROR(((VLOOKUP(P538,Settings!$E$28:$F$33,2,FALSE)/2)+1),1)</f>
        <v>57.697911596063676</v>
      </c>
      <c r="W538" s="40">
        <f>VLOOKUP(B538,'Player Data'!$A1:$AE734,11,FALSE)*$Q538*IFERROR((VLOOKUP(P538,Settings!$E$28:$F$33,2,FALSE)+1),1)</f>
        <v>1.8417754915354523E-2</v>
      </c>
      <c r="X538" s="40">
        <f>VLOOKUP(B538,'Player Data'!$A1:$AE734,12,FALSE)*$Q538*IFERROR((VLOOKUP(P538,Settings!$E$28:$F$33,2,FALSE)+1),1)</f>
        <v>0.12253795698077488</v>
      </c>
      <c r="Y538" s="40">
        <f>VLOOKUP(B538,'Player Data'!$A1:$AE734,13,FALSE)*$Q538</f>
        <v>3.580430487456464E-3</v>
      </c>
      <c r="Z538" s="40">
        <f>VLOOKUP(B538,'Player Data'!$A1:$AE734,14,FALSE)*$Q538</f>
        <v>1.1668671140258987E-2</v>
      </c>
      <c r="AA538" s="40">
        <f>VLOOKUP(B538,'Player Data'!$A1:$AE734,15,FALSE)*$Q538</f>
        <v>111.14093896990691</v>
      </c>
      <c r="AB538" s="40">
        <f>VLOOKUP(B538,'Player Data'!$A1:$AE734,16,FALSE)*$Q538</f>
        <v>68.803790170133809</v>
      </c>
      <c r="AC538" s="40">
        <f>VLOOKUP(B538,'Player Data'!$A1:$AE734,17,FALSE)*$Q538*IFERROR((VLOOKUP(P538,Settings!$E$28:$F$33,2,FALSE)+1),1)</f>
        <v>1.240996634840752</v>
      </c>
      <c r="AD538" s="40">
        <f>VLOOKUP(B538,'Player Data'!$A1:$AE734,18,FALSE)*$Q538</f>
        <v>32.355405195113789</v>
      </c>
      <c r="AE538" s="40">
        <f>VLOOKUP(B538,'Player Data'!$A1:$AE734,19,FALSE)*$Q538*IFERROR((VLOOKUP(P538,Settings!$E$28:$F$33,2,FALSE)+1),1)</f>
        <v>0.3902227002903787</v>
      </c>
      <c r="AF538" s="40">
        <f>VLOOKUP(B538,'Player Data'!$A1:$AE734,20,FALSE)*$Q538</f>
        <v>0</v>
      </c>
      <c r="AG538" s="40">
        <f>VLOOKUP(B538,'Player Data'!$A1:$AE734,21,FALSE)*$Q538</f>
        <v>0</v>
      </c>
      <c r="AH538" s="41">
        <f>VLOOKUP(B538,'Player Data'!$A1:$AE734,22,FALSE)</f>
        <v>0</v>
      </c>
      <c r="AI538" s="38"/>
      <c r="AJ538" s="40"/>
      <c r="AK538" s="40"/>
      <c r="AL538" s="40"/>
      <c r="AM538" s="40"/>
      <c r="AN538" s="40"/>
      <c r="AO538" s="40"/>
      <c r="AP538" s="40"/>
      <c r="AQ538" s="43"/>
      <c r="AR538" s="44"/>
      <c r="AS538" s="38"/>
    </row>
    <row r="539" spans="1:45" ht="21.2" customHeight="1">
      <c r="A539" s="181">
        <f t="shared" si="48"/>
        <v>538</v>
      </c>
      <c r="B539" s="8" t="s">
        <v>631</v>
      </c>
      <c r="C539" s="31" t="s">
        <v>104</v>
      </c>
      <c r="D539" s="32" t="str">
        <f>VLOOKUP(B539,'Player Data'!A1:D734,4,FALSE)</f>
        <v>D</v>
      </c>
      <c r="E539" s="47">
        <f>VLOOKUP(B539,D!A1:C229,3,FALSE)</f>
        <v>218</v>
      </c>
      <c r="F539" s="34" t="str">
        <f>VLOOKUP(B539,'Player Data'!A1:B734,2,FALSE)</f>
        <v>VAN</v>
      </c>
      <c r="G539" s="9">
        <f>VLOOKUP(B539,'Player Data'!A1:D734,3,FALSE)</f>
        <v>35</v>
      </c>
      <c r="H539" s="35">
        <f>IFERROR(VLOOKUP(B539,ADP!A1:G731,7,FALSE)/1000000,VLOOKUP(B539,ADP!A1:G731,7,FALSE))</f>
        <v>0.77500000000000002</v>
      </c>
      <c r="I539" s="36">
        <f>IF(Settings!$E$15="POINTS",((R539*Q539)*Settings!$B$12)+(S539*Settings!$B$2)+(T539*Settings!$B$3)+(U539*Settings!$B$4)+(V539*Settings!$B$5)+(X539*Settings!$B$9)+(AA539*Settings!$B$6)+(W539*Settings!$B$8)+(AB539*Settings!$B$7)+(AC539*Settings!$B$14)+(AD539*Settings!$B$15)+(AE539*Settings!$B$16)+(AF539*Settings!$B$17)+(AG539*Settings!$B$18)+(U539*Settings!$B$13)+(Y539*Settings!$B$10)+(Z539*Settings!$B$11),VLOOKUP(B539,'Standard Deviations'!A1:C731,3,FALSE))</f>
        <v>-5.4390374344167807</v>
      </c>
      <c r="J539" s="37">
        <f t="shared" si="49"/>
        <v>-6.6329724809960744E-2</v>
      </c>
      <c r="K539" s="183">
        <f>VLOOKUP(B539,D!A1:F229,6,FALSE)</f>
        <v>-7.3807779780510909</v>
      </c>
      <c r="L539" s="36">
        <f t="shared" si="50"/>
        <v>-9.5235844878078595</v>
      </c>
      <c r="M539" s="52" t="str">
        <f>IF(Settings!$E$9="YAHOO",VLOOKUP(B539,ADP!A1:E731,2,FALSE),IF(Settings!$E$9="ESPN",VLOOKUP(B539,ADP!A1:E731,3,FALSE),IF(Settings!$E$9="FANTRAX",VLOOKUP(B539,ADP!A1:E731,4,FALSE),VLOOKUP(B539,ADP!A1:E731,5,FALSE))))</f>
        <v>-</v>
      </c>
      <c r="N539" s="52" t="str">
        <f t="shared" si="51"/>
        <v>N/A</v>
      </c>
      <c r="O539" s="38"/>
      <c r="P539" s="39" t="str">
        <f>IF(Settings!$E$27="ON",_xlfn.XLOOKUP(B539,ADP!A2:A731,ADP!H2:H731)," ")</f>
        <v xml:space="preserve"> </v>
      </c>
      <c r="Q539" s="40">
        <f>IF(Settings!$E$12="YES",VLOOKUP(B539,'Player Data'!A1:E734,5,FALSE),82)</f>
        <v>82</v>
      </c>
      <c r="R539" s="38">
        <f>VLOOKUP(B539,'Player Data'!$A1:$AE734,6,FALSE)</f>
        <v>12.3715106346037</v>
      </c>
      <c r="S539" s="40">
        <f>VLOOKUP(B539,'Player Data'!$A1:$AE734,7,FALSE)*$Q539*IFERROR((VLOOKUP(P539,Settings!$E$28:$F$33,2,FALSE)+1),1)</f>
        <v>2.0804721573835869</v>
      </c>
      <c r="T539" s="40">
        <f>VLOOKUP(B539,'Player Data'!$A1:$AE734,8,FALSE)*$Q539*IFERROR((VLOOKUP(P539,Settings!$E$28:$F$33,2,FALSE)+1),1)</f>
        <v>6.3633492207780442</v>
      </c>
      <c r="U539" s="40">
        <f t="shared" si="52"/>
        <v>8.4438213781616316</v>
      </c>
      <c r="V539" s="40">
        <f>VLOOKUP(B539,'Player Data'!$A1:$AE734,10,FALSE)*$Q539*IFERROR(((VLOOKUP(P539,Settings!$E$28:$F$33,2,FALSE)/2)+1),1)</f>
        <v>97.769653051835917</v>
      </c>
      <c r="W539" s="40">
        <f>VLOOKUP(B539,'Player Data'!$A1:$AE734,11,FALSE)*$Q539*IFERROR((VLOOKUP(P539,Settings!$E$28:$F$33,2,FALSE)+1),1)</f>
        <v>2.2735602733290473E-3</v>
      </c>
      <c r="X539" s="40">
        <f>VLOOKUP(B539,'Player Data'!$A1:$AE734,12,FALSE)*$Q539*IFERROR((VLOOKUP(P539,Settings!$E$28:$F$33,2,FALSE)+1),1)</f>
        <v>1.6463844491268097E-2</v>
      </c>
      <c r="Y539" s="40">
        <f>VLOOKUP(B539,'Player Data'!$A1:$AE734,13,FALSE)*$Q539</f>
        <v>-4.2804722169918281E-4</v>
      </c>
      <c r="Z539" s="40">
        <f>VLOOKUP(B539,'Player Data'!$A1:$AE734,14,FALSE)*$Q539</f>
        <v>-1.013432738844617E-2</v>
      </c>
      <c r="AA539" s="40">
        <f>VLOOKUP(B539,'Player Data'!$A1:$AE734,15,FALSE)*$Q539</f>
        <v>85.515564223094358</v>
      </c>
      <c r="AB539" s="40">
        <f>VLOOKUP(B539,'Player Data'!$A1:$AE734,16,FALSE)*$Q539</f>
        <v>133.95292900887415</v>
      </c>
      <c r="AC539" s="40">
        <f>VLOOKUP(B539,'Player Data'!$A1:$AE734,17,FALSE)*$Q539*IFERROR((VLOOKUP(P539,Settings!$E$28:$F$33,2,FALSE)+1),1)</f>
        <v>-0.71561435463039214</v>
      </c>
      <c r="AD539" s="40">
        <f>VLOOKUP(B539,'Player Data'!$A1:$AE734,18,FALSE)*$Q539</f>
        <v>38.287487668626461</v>
      </c>
      <c r="AE539" s="40">
        <f>VLOOKUP(B539,'Player Data'!$A1:$AE734,19,FALSE)*$Q539*IFERROR((VLOOKUP(P539,Settings!$E$28:$F$33,2,FALSE)+1),1)</f>
        <v>0.29451090825777271</v>
      </c>
      <c r="AF539" s="40">
        <f>VLOOKUP(B539,'Player Data'!$A1:$AE734,20,FALSE)*$Q539</f>
        <v>0</v>
      </c>
      <c r="AG539" s="40">
        <f>VLOOKUP(B539,'Player Data'!$A1:$AE734,21,FALSE)*$Q539</f>
        <v>0</v>
      </c>
      <c r="AH539" s="41">
        <f>VLOOKUP(B539,'Player Data'!$A1:$AE734,22,FALSE)</f>
        <v>0</v>
      </c>
      <c r="AI539" s="38"/>
      <c r="AJ539" s="42"/>
      <c r="AK539" s="40"/>
      <c r="AL539" s="40"/>
      <c r="AM539" s="40"/>
      <c r="AN539" s="40"/>
      <c r="AO539" s="40"/>
      <c r="AP539" s="40"/>
      <c r="AQ539" s="43"/>
      <c r="AR539" s="44"/>
      <c r="AS539" s="38"/>
    </row>
    <row r="540" spans="1:45" ht="21.2" customHeight="1">
      <c r="A540" s="181">
        <f t="shared" si="48"/>
        <v>539</v>
      </c>
      <c r="B540" s="8" t="s">
        <v>511</v>
      </c>
      <c r="C540" s="31" t="s">
        <v>104</v>
      </c>
      <c r="D540" s="32" t="str">
        <f>VLOOKUP(B540,'Player Data'!A1:D734,4,FALSE)</f>
        <v>RW</v>
      </c>
      <c r="E540" s="46">
        <f>VLOOKUP(B540,RW!A1:F189,3,FALSE)</f>
        <v>121</v>
      </c>
      <c r="F540" s="34" t="str">
        <f>VLOOKUP(B540,'Player Data'!A1:B734,2,FALSE)</f>
        <v>UFA</v>
      </c>
      <c r="G540" s="9">
        <f>VLOOKUP(B540,'Player Data'!A1:D734,3,FALSE)</f>
        <v>35</v>
      </c>
      <c r="H540" s="35">
        <f>IFERROR(VLOOKUP(B540,ADP!A1:G731,7,FALSE)/1000000,VLOOKUP(B540,ADP!A1:G731,7,FALSE))</f>
        <v>2.085</v>
      </c>
      <c r="I540" s="36">
        <f>IF(Settings!$E$15="POINTS",((R540*Q540)*Settings!$B$12)+(S540*Settings!$B$2)+(T540*Settings!$B$3)+(U540*Settings!$B$4)+(V540*Settings!$B$5)+(X540*Settings!$B$9)+(AA540*Settings!$B$6)+(W540*Settings!$B$8)+(AB540*Settings!$B$7)+(AC540*Settings!$B$14)+(AD540*Settings!$B$15)+(AE540*Settings!$B$16)+(AF540*Settings!$B$17)+(AG540*Settings!$B$18)+(Y540*Settings!$B$10)+(Z540*Settings!$B$11),VLOOKUP(B540,'Standard Deviations'!A1:C731,3,FALSE))</f>
        <v>-1.1604946930148943</v>
      </c>
      <c r="J540" s="37">
        <f t="shared" si="49"/>
        <v>-1.4152374305059686E-2</v>
      </c>
      <c r="K540" s="183">
        <f>IF(Settings!$E$18="C/LW/RW",VLOOKUP(B540,RW!A1:F189,6,FALSE),VLOOKUP(B540,F!A1:F431,6,FALSE))</f>
        <v>-7.4407534120259751</v>
      </c>
      <c r="L540" s="36">
        <f t="shared" si="50"/>
        <v>-3.5687066724345207</v>
      </c>
      <c r="M540" s="52" t="str">
        <f>IF(Settings!$E$9="YAHOO",VLOOKUP(B540,ADP!A1:E731,2,FALSE),IF(Settings!$E$9="ESPN",VLOOKUP(B540,ADP!A1:E731,3,FALSE),IF(Settings!$E$9="FANTRAX",VLOOKUP(B540,ADP!A1:E731,4,FALSE),VLOOKUP(B540,ADP!A1:E731,5,FALSE))))</f>
        <v>-</v>
      </c>
      <c r="N540" s="52" t="str">
        <f t="shared" si="51"/>
        <v>N/A</v>
      </c>
      <c r="O540" s="38"/>
      <c r="P540" s="39" t="str">
        <f>IF(Settings!$E$27="ON",_xlfn.XLOOKUP(B540,ADP!A2:A731,ADP!H2:H731)," ")</f>
        <v xml:space="preserve"> </v>
      </c>
      <c r="Q540" s="40">
        <f>IF(Settings!$E$12="YES",VLOOKUP(B540,'Player Data'!A1:E734,5,FALSE),82)</f>
        <v>82</v>
      </c>
      <c r="R540" s="38">
        <f>VLOOKUP(B540,'Player Data'!$A1:$AE734,6,FALSE)</f>
        <v>12.596116615853701</v>
      </c>
      <c r="S540" s="40">
        <f>VLOOKUP(B540,'Player Data'!$A1:$AE734,7,FALSE)*$Q540*IFERROR((VLOOKUP(P540,Settings!$E$28:$F$33,2,FALSE)+1),1)</f>
        <v>9.7040339230530464</v>
      </c>
      <c r="T540" s="40">
        <f>VLOOKUP(B540,'Player Data'!$A1:$AE734,8,FALSE)*$Q540*IFERROR((VLOOKUP(P540,Settings!$E$28:$F$33,2,FALSE)+1),1)</f>
        <v>22.667017565387305</v>
      </c>
      <c r="U540" s="40">
        <f t="shared" si="52"/>
        <v>32.371051488440351</v>
      </c>
      <c r="V540" s="40">
        <f>VLOOKUP(B540,'Player Data'!$A1:$AE734,10,FALSE)*$Q540*IFERROR(((VLOOKUP(P540,Settings!$E$28:$F$33,2,FALSE)/2)+1),1)</f>
        <v>135.39868253458587</v>
      </c>
      <c r="W540" s="40">
        <f>VLOOKUP(B540,'Player Data'!$A1:$AE734,11,FALSE)*$Q540*IFERROR((VLOOKUP(P540,Settings!$E$28:$F$33,2,FALSE)+1),1)</f>
        <v>1.4335187806358678</v>
      </c>
      <c r="X540" s="40">
        <f>VLOOKUP(B540,'Player Data'!$A1:$AE734,12,FALSE)*$Q540*IFERROR((VLOOKUP(P540,Settings!$E$28:$F$33,2,FALSE)+1),1)</f>
        <v>6.7860015975990535</v>
      </c>
      <c r="Y540" s="40">
        <f>VLOOKUP(B540,'Player Data'!$A1:$AE734,13,FALSE)*$Q540</f>
        <v>0</v>
      </c>
      <c r="Z540" s="40">
        <f>VLOOKUP(B540,'Player Data'!$A1:$AE734,14,FALSE)*$Q540</f>
        <v>0</v>
      </c>
      <c r="AA540" s="40">
        <f>VLOOKUP(B540,'Player Data'!$A1:$AE734,15,FALSE)*$Q540</f>
        <v>24.813065067398131</v>
      </c>
      <c r="AB540" s="40">
        <f>VLOOKUP(B540,'Player Data'!$A1:$AE734,16,FALSE)*$Q540</f>
        <v>20.609553489913022</v>
      </c>
      <c r="AC540" s="40">
        <f>VLOOKUP(B540,'Player Data'!$A1:$AE734,17,FALSE)*$Q540*IFERROR((VLOOKUP(P540,Settings!$E$28:$F$33,2,FALSE)+1),1)</f>
        <v>-0.95630024856538476</v>
      </c>
      <c r="AD540" s="40">
        <f>VLOOKUP(B540,'Player Data'!$A1:$AE734,18,FALSE)*$Q540</f>
        <v>23.826961399237401</v>
      </c>
      <c r="AE540" s="40">
        <f>VLOOKUP(B540,'Player Data'!$A1:$AE734,19,FALSE)*$Q540*IFERROR((VLOOKUP(P540,Settings!$E$28:$F$33,2,FALSE)+1),1)</f>
        <v>0</v>
      </c>
      <c r="AF540" s="40">
        <f>VLOOKUP(B540,'Player Data'!$A1:$AE734,20,FALSE)*$Q540</f>
        <v>3.5977671840576124</v>
      </c>
      <c r="AG540" s="40">
        <f>VLOOKUP(B540,'Player Data'!$A1:$AE734,21,FALSE)*$Q540</f>
        <v>6.7374358980657112</v>
      </c>
      <c r="AH540" s="41">
        <f>VLOOKUP(B540,'Player Data'!$A1:$AE734,22,FALSE)</f>
        <v>0.34810802995062801</v>
      </c>
      <c r="AI540" s="38"/>
      <c r="AJ540" s="42"/>
      <c r="AK540" s="40"/>
      <c r="AL540" s="40"/>
      <c r="AM540" s="40"/>
      <c r="AN540" s="40"/>
      <c r="AO540" s="40"/>
      <c r="AP540" s="40"/>
      <c r="AQ540" s="43"/>
      <c r="AR540" s="44"/>
      <c r="AS540" s="38"/>
    </row>
    <row r="541" spans="1:45" ht="21.2" customHeight="1">
      <c r="A541" s="181">
        <f t="shared" si="48"/>
        <v>540</v>
      </c>
      <c r="B541" s="8" t="s">
        <v>549</v>
      </c>
      <c r="C541" s="31" t="s">
        <v>104</v>
      </c>
      <c r="D541" s="32" t="str">
        <f>VLOOKUP(B541,'Player Data'!A1:D734,4,FALSE)</f>
        <v>C,LW</v>
      </c>
      <c r="E541" s="45">
        <f>VLOOKUP(B541,LW!A1:C227,3,FALSE)</f>
        <v>130</v>
      </c>
      <c r="F541" s="34" t="str">
        <f>VLOOKUP(B541,'Player Data'!A1:B734,2,FALSE)</f>
        <v>DET</v>
      </c>
      <c r="G541" s="9">
        <f>VLOOKUP(B541,'Player Data'!A1:D734,3,FALSE)</f>
        <v>24</v>
      </c>
      <c r="H541" s="35">
        <f>IFERROR(VLOOKUP(B541,ADP!A1:G731,7,FALSE)/1000000,VLOOKUP(B541,ADP!A1:G731,7,FALSE))</f>
        <v>1.46</v>
      </c>
      <c r="I541" s="36">
        <f>IF(Settings!$E$15="POINTS",((R541*Q541)*Settings!$B$12)+(S541*Settings!$B$2)+(T541*Settings!$B$3)+(U541*Settings!$B$4)+(V541*Settings!$B$5)+(X541*Settings!$B$9)+(AA541*Settings!$B$6)+(W541*Settings!$B$8)+(AB541*Settings!$B$7)+(AC541*Settings!$B$14)+(AD541*Settings!$B$15)+(AE541*Settings!$B$16)+(AF541*Settings!$B$17)+(AG541*Settings!$B$18)+(Y541*Settings!$B$10)+(Z541*Settings!$B$11),VLOOKUP(B541,'Standard Deviations'!A1:C731,3,FALSE))</f>
        <v>-0.81291100340845635</v>
      </c>
      <c r="J541" s="37">
        <f t="shared" si="49"/>
        <v>-9.9135488220543459E-3</v>
      </c>
      <c r="K541" s="183">
        <f>IF(Settings!$E$18="C/LW/RW",VLOOKUP(B541,LW!A1:F227,6,FALSE),VLOOKUP(B541,F!A1:F431,6,FALSE))</f>
        <v>-7.4675800475328575</v>
      </c>
      <c r="L541" s="36">
        <f t="shared" si="50"/>
        <v>-5.1147808544745601</v>
      </c>
      <c r="M541" s="52" t="str">
        <f>IF(Settings!$E$9="YAHOO",VLOOKUP(B541,ADP!A1:E731,2,FALSE),IF(Settings!$E$9="ESPN",VLOOKUP(B541,ADP!A1:E731,3,FALSE),IF(Settings!$E$9="FANTRAX",VLOOKUP(B541,ADP!A1:E731,4,FALSE),VLOOKUP(B541,ADP!A1:E731,5,FALSE))))</f>
        <v>-</v>
      </c>
      <c r="N541" s="52" t="str">
        <f t="shared" si="51"/>
        <v>N/A</v>
      </c>
      <c r="O541" s="38"/>
      <c r="P541" s="39" t="str">
        <f>IF(Settings!$E$27="ON",_xlfn.XLOOKUP(B541,ADP!A2:A731,ADP!H2:H731)," ")</f>
        <v xml:space="preserve"> </v>
      </c>
      <c r="Q541" s="40">
        <f>IF(Settings!$E$12="YES",VLOOKUP(B541,'Player Data'!A1:E734,5,FALSE),82)</f>
        <v>82</v>
      </c>
      <c r="R541" s="38">
        <f>VLOOKUP(B541,'Player Data'!$A1:$AE734,6,FALSE)</f>
        <v>14.8967493167466</v>
      </c>
      <c r="S541" s="40">
        <f>VLOOKUP(B541,'Player Data'!$A1:$AE734,7,FALSE)*$Q541*IFERROR((VLOOKUP(P541,Settings!$E$28:$F$33,2,FALSE)+1),1)</f>
        <v>15.350879717722579</v>
      </c>
      <c r="T541" s="40">
        <f>VLOOKUP(B541,'Player Data'!$A1:$AE734,8,FALSE)*$Q541*IFERROR((VLOOKUP(P541,Settings!$E$28:$F$33,2,FALSE)+1),1)</f>
        <v>19.967851073172497</v>
      </c>
      <c r="U541" s="40">
        <f t="shared" si="52"/>
        <v>35.318730790895074</v>
      </c>
      <c r="V541" s="40">
        <f>VLOOKUP(B541,'Player Data'!$A1:$AE734,10,FALSE)*$Q541*IFERROR(((VLOOKUP(P541,Settings!$E$28:$F$33,2,FALSE)/2)+1),1)</f>
        <v>145.61599425486102</v>
      </c>
      <c r="W541" s="40">
        <f>VLOOKUP(B541,'Player Data'!$A1:$AE734,11,FALSE)*$Q541*IFERROR((VLOOKUP(P541,Settings!$E$28:$F$33,2,FALSE)+1),1)</f>
        <v>0.94476765707323207</v>
      </c>
      <c r="X541" s="40">
        <f>VLOOKUP(B541,'Player Data'!$A1:$AE734,12,FALSE)*$Q541*IFERROR((VLOOKUP(P541,Settings!$E$28:$F$33,2,FALSE)+1),1)</f>
        <v>3.8003768286766819</v>
      </c>
      <c r="Y541" s="40">
        <f>VLOOKUP(B541,'Player Data'!$A1:$AE734,13,FALSE)*$Q541</f>
        <v>0.2410156362656487</v>
      </c>
      <c r="Z541" s="40">
        <f>VLOOKUP(B541,'Player Data'!$A1:$AE734,14,FALSE)*$Q541</f>
        <v>0.53575247417472716</v>
      </c>
      <c r="AA541" s="40">
        <f>VLOOKUP(B541,'Player Data'!$A1:$AE734,15,FALSE)*$Q541</f>
        <v>69.356235826293997</v>
      </c>
      <c r="AB541" s="40">
        <f>VLOOKUP(B541,'Player Data'!$A1:$AE734,16,FALSE)*$Q541</f>
        <v>161.90389104279569</v>
      </c>
      <c r="AC541" s="40">
        <f>VLOOKUP(B541,'Player Data'!$A1:$AE734,17,FALSE)*$Q541*IFERROR((VLOOKUP(P541,Settings!$E$28:$F$33,2,FALSE)+1),1)</f>
        <v>-2.9573259036544037</v>
      </c>
      <c r="AD541" s="40">
        <f>VLOOKUP(B541,'Player Data'!$A1:$AE734,18,FALSE)*$Q541</f>
        <v>53.224102805535907</v>
      </c>
      <c r="AE541" s="40">
        <f>VLOOKUP(B541,'Player Data'!$A1:$AE734,19,FALSE)*$Q541*IFERROR((VLOOKUP(P541,Settings!$E$28:$F$33,2,FALSE)+1),1)</f>
        <v>2.03147186594052</v>
      </c>
      <c r="AF541" s="40">
        <f>VLOOKUP(B541,'Player Data'!$A1:$AE734,20,FALSE)*$Q541</f>
        <v>315.35353374836421</v>
      </c>
      <c r="AG541" s="40">
        <f>VLOOKUP(B541,'Player Data'!$A1:$AE734,21,FALSE)*$Q541</f>
        <v>321.56802434413493</v>
      </c>
      <c r="AH541" s="41">
        <f>VLOOKUP(B541,'Player Data'!$A1:$AE734,22,FALSE)</f>
        <v>0.49512146314031003</v>
      </c>
      <c r="AI541" s="38"/>
      <c r="AJ541" s="42"/>
      <c r="AK541" s="40"/>
      <c r="AL541" s="40"/>
      <c r="AM541" s="40"/>
      <c r="AN541" s="40"/>
      <c r="AO541" s="40"/>
      <c r="AP541" s="40"/>
      <c r="AQ541" s="43"/>
      <c r="AR541" s="44"/>
      <c r="AS541" s="38"/>
    </row>
    <row r="542" spans="1:45" ht="21.2" customHeight="1">
      <c r="A542" s="181">
        <f t="shared" si="48"/>
        <v>541</v>
      </c>
      <c r="B542" s="8" t="s">
        <v>652</v>
      </c>
      <c r="C542" s="31" t="s">
        <v>104</v>
      </c>
      <c r="D542" s="32" t="str">
        <f>VLOOKUP(B542,'Player Data'!A1:D734,4,FALSE)</f>
        <v>C,LW</v>
      </c>
      <c r="E542" s="45">
        <f>VLOOKUP(B542,LW!A1:C227,3,FALSE)</f>
        <v>131</v>
      </c>
      <c r="F542" s="34" t="str">
        <f>VLOOKUP(B542,'Player Data'!A1:B734,2,FALSE)</f>
        <v>DET</v>
      </c>
      <c r="G542" s="9">
        <f>VLOOKUP(B542,'Player Data'!A1:D734,3,FALSE)</f>
        <v>27</v>
      </c>
      <c r="H542" s="35">
        <f>IFERROR(VLOOKUP(B542,ADP!A1:G731,7,FALSE)/1000000,VLOOKUP(B542,ADP!A1:G731,7,FALSE))</f>
        <v>4</v>
      </c>
      <c r="I542" s="36">
        <f>IF(Settings!$E$15="POINTS",((R542*Q542)*Settings!$B$12)+(S542*Settings!$B$2)+(T542*Settings!$B$3)+(U542*Settings!$B$4)+(V542*Settings!$B$5)+(X542*Settings!$B$9)+(AA542*Settings!$B$6)+(W542*Settings!$B$8)+(AB542*Settings!$B$7)+(AC542*Settings!$B$14)+(AD542*Settings!$B$15)+(AE542*Settings!$B$16)+(AF542*Settings!$B$17)+(AG542*Settings!$B$18)+(Y542*Settings!$B$10)+(Z542*Settings!$B$11),VLOOKUP(B542,'Standard Deviations'!A1:C731,3,FALSE))</f>
        <v>-0.8442573942073166</v>
      </c>
      <c r="J542" s="37">
        <f t="shared" si="49"/>
        <v>-1.0295821880577032E-2</v>
      </c>
      <c r="K542" s="183">
        <f>IF(Settings!$E$18="C/LW/RW",VLOOKUP(B542,LW!A1:F227,6,FALSE),VLOOKUP(B542,F!A1:F431,6,FALSE))</f>
        <v>-7.4989264383317176</v>
      </c>
      <c r="L542" s="36">
        <f t="shared" si="50"/>
        <v>-1.8747316095829294</v>
      </c>
      <c r="M542" s="52" t="str">
        <f>IF(Settings!$E$9="YAHOO",VLOOKUP(B542,ADP!A1:E731,2,FALSE),IF(Settings!$E$9="ESPN",VLOOKUP(B542,ADP!A1:E731,3,FALSE),IF(Settings!$E$9="FANTRAX",VLOOKUP(B542,ADP!A1:E731,4,FALSE),VLOOKUP(B542,ADP!A1:E731,5,FALSE))))</f>
        <v>-</v>
      </c>
      <c r="N542" s="52" t="str">
        <f t="shared" si="51"/>
        <v>N/A</v>
      </c>
      <c r="O542" s="38"/>
      <c r="P542" s="39" t="str">
        <f>IF(Settings!$E$27="ON",_xlfn.XLOOKUP(B542,ADP!A2:A731,ADP!H2:H731)," ")</f>
        <v xml:space="preserve"> </v>
      </c>
      <c r="Q542" s="40">
        <f>IF(Settings!$E$12="YES",VLOOKUP(B542,'Player Data'!A1:E734,5,FALSE),82)</f>
        <v>82</v>
      </c>
      <c r="R542" s="38">
        <f>VLOOKUP(B542,'Player Data'!$A1:$AE734,6,FALSE)</f>
        <v>13.8175776355259</v>
      </c>
      <c r="S542" s="40">
        <f>VLOOKUP(B542,'Player Data'!$A1:$AE734,7,FALSE)*$Q542*IFERROR((VLOOKUP(P542,Settings!$E$28:$F$33,2,FALSE)+1),1)</f>
        <v>17.465573496863762</v>
      </c>
      <c r="T542" s="40">
        <f>VLOOKUP(B542,'Player Data'!$A1:$AE734,8,FALSE)*$Q542*IFERROR((VLOOKUP(P542,Settings!$E$28:$F$33,2,FALSE)+1),1)</f>
        <v>17.647435295949109</v>
      </c>
      <c r="U542" s="40">
        <f t="shared" si="52"/>
        <v>35.11300879281287</v>
      </c>
      <c r="V542" s="40">
        <f>VLOOKUP(B542,'Player Data'!$A1:$AE734,10,FALSE)*$Q542*IFERROR(((VLOOKUP(P542,Settings!$E$28:$F$33,2,FALSE)/2)+1),1)</f>
        <v>116.31034113840724</v>
      </c>
      <c r="W542" s="40">
        <f>VLOOKUP(B542,'Player Data'!$A1:$AE734,11,FALSE)*$Q542*IFERROR((VLOOKUP(P542,Settings!$E$28:$F$33,2,FALSE)+1),1)</f>
        <v>3.823018970566201</v>
      </c>
      <c r="X542" s="40">
        <f>VLOOKUP(B542,'Player Data'!$A1:$AE734,12,FALSE)*$Q542*IFERROR((VLOOKUP(P542,Settings!$E$28:$F$33,2,FALSE)+1),1)</f>
        <v>8.1444374461625095</v>
      </c>
      <c r="Y542" s="40">
        <f>VLOOKUP(B542,'Player Data'!$A1:$AE734,13,FALSE)*$Q542</f>
        <v>1.2963062973359064E-2</v>
      </c>
      <c r="Z542" s="40">
        <f>VLOOKUP(B542,'Player Data'!$A1:$AE734,14,FALSE)*$Q542</f>
        <v>2.4608743896680781E-2</v>
      </c>
      <c r="AA542" s="40">
        <f>VLOOKUP(B542,'Player Data'!$A1:$AE734,15,FALSE)*$Q542</f>
        <v>33.388233246955075</v>
      </c>
      <c r="AB542" s="40">
        <f>VLOOKUP(B542,'Player Data'!$A1:$AE734,16,FALSE)*$Q542</f>
        <v>109.59293482293714</v>
      </c>
      <c r="AC542" s="40">
        <f>VLOOKUP(B542,'Player Data'!$A1:$AE734,17,FALSE)*$Q542*IFERROR((VLOOKUP(P542,Settings!$E$28:$F$33,2,FALSE)+1),1)</f>
        <v>-2.5024817424128663</v>
      </c>
      <c r="AD542" s="40">
        <f>VLOOKUP(B542,'Player Data'!$A1:$AE734,18,FALSE)*$Q542</f>
        <v>34.241126826466669</v>
      </c>
      <c r="AE542" s="40">
        <f>VLOOKUP(B542,'Player Data'!$A1:$AE734,19,FALSE)*$Q542*IFERROR((VLOOKUP(P542,Settings!$E$28:$F$33,2,FALSE)+1),1)</f>
        <v>2.3113216853906096</v>
      </c>
      <c r="AF542" s="40">
        <f>VLOOKUP(B542,'Player Data'!$A1:$AE734,20,FALSE)*$Q542</f>
        <v>59.460247380242514</v>
      </c>
      <c r="AG542" s="40">
        <f>VLOOKUP(B542,'Player Data'!$A1:$AE734,21,FALSE)*$Q542</f>
        <v>72.061855819926478</v>
      </c>
      <c r="AH542" s="41">
        <f>VLOOKUP(B542,'Player Data'!$A1:$AE734,22,FALSE)</f>
        <v>0.452093191436784</v>
      </c>
      <c r="AI542" s="38"/>
      <c r="AJ542" s="42"/>
      <c r="AK542" s="40"/>
      <c r="AL542" s="40"/>
      <c r="AM542" s="40"/>
      <c r="AN542" s="40"/>
      <c r="AO542" s="40"/>
      <c r="AP542" s="40"/>
      <c r="AQ542" s="43"/>
      <c r="AR542" s="44"/>
      <c r="AS542" s="38"/>
    </row>
    <row r="543" spans="1:45" ht="21.2" customHeight="1">
      <c r="A543" s="181">
        <f t="shared" si="48"/>
        <v>542</v>
      </c>
      <c r="B543" s="8" t="s">
        <v>546</v>
      </c>
      <c r="C543" s="31" t="s">
        <v>104</v>
      </c>
      <c r="D543" s="32" t="str">
        <f>VLOOKUP(B543,'Player Data'!A1:D734,4,FALSE)</f>
        <v>C,RW</v>
      </c>
      <c r="E543" s="45">
        <f>VLOOKUP(B543,RW!A1:F189,3,FALSE)</f>
        <v>122</v>
      </c>
      <c r="F543" s="34" t="str">
        <f>VLOOKUP(B543,'Player Data'!A1:B734,2,FALSE)</f>
        <v>TOR</v>
      </c>
      <c r="G543" s="9">
        <f>VLOOKUP(B543,'Player Data'!A1:D734,3,FALSE)</f>
        <v>31</v>
      </c>
      <c r="H543" s="35">
        <f>IFERROR(VLOOKUP(B543,ADP!A1:G731,7,FALSE)/1000000,VLOOKUP(B543,ADP!A1:G731,7,FALSE))</f>
        <v>2.1</v>
      </c>
      <c r="I543" s="36">
        <f>IF(Settings!$E$15="POINTS",((R543*Q543)*Settings!$B$12)+(S543*Settings!$B$2)+(T543*Settings!$B$3)+(U543*Settings!$B$4)+(V543*Settings!$B$5)+(X543*Settings!$B$9)+(AA543*Settings!$B$6)+(W543*Settings!$B$8)+(AB543*Settings!$B$7)+(AC543*Settings!$B$14)+(AD543*Settings!$B$15)+(AE543*Settings!$B$16)+(AF543*Settings!$B$17)+(AG543*Settings!$B$18)+(Y543*Settings!$B$10)+(Z543*Settings!$B$11),VLOOKUP(B543,'Standard Deviations'!A1:C731,3,FALSE))</f>
        <v>-1.2518162173305047</v>
      </c>
      <c r="J543" s="37">
        <f t="shared" si="49"/>
        <v>-1.5266051430859814E-2</v>
      </c>
      <c r="K543" s="183">
        <f>IF(Settings!$E$18="C/LW/RW",VLOOKUP(B543,RW!A1:F189,6,FALSE),VLOOKUP(B543,F!A1:F431,6,FALSE))</f>
        <v>-7.5320749363415853</v>
      </c>
      <c r="L543" s="36">
        <f t="shared" si="50"/>
        <v>-3.5867023506388498</v>
      </c>
      <c r="M543" s="38">
        <f>IF(Settings!$E$9="YAHOO",VLOOKUP(B543,ADP!A1:E731,2,FALSE),IF(Settings!$E$9="ESPN",VLOOKUP(B543,ADP!A1:E731,3,FALSE),IF(Settings!$E$9="FANTRAX",VLOOKUP(B543,ADP!A1:E731,4,FALSE),VLOOKUP(B543,ADP!A1:E731,5,FALSE))))</f>
        <v>455.5</v>
      </c>
      <c r="N543" s="38">
        <f t="shared" si="51"/>
        <v>-86.5</v>
      </c>
      <c r="O543" s="38"/>
      <c r="P543" s="39" t="str">
        <f>IF(Settings!$E$27="ON",_xlfn.XLOOKUP(B543,ADP!A2:A731,ADP!H2:H731)," ")</f>
        <v xml:space="preserve"> </v>
      </c>
      <c r="Q543" s="40">
        <f>IF(Settings!$E$12="YES",VLOOKUP(B543,'Player Data'!A1:E734,5,FALSE),82)</f>
        <v>82</v>
      </c>
      <c r="R543" s="38">
        <f>VLOOKUP(B543,'Player Data'!$A1:$AE734,6,FALSE)</f>
        <v>14.326361312907199</v>
      </c>
      <c r="S543" s="40">
        <f>VLOOKUP(B543,'Player Data'!$A1:$AE734,7,FALSE)*$Q543*IFERROR((VLOOKUP(P543,Settings!$E$28:$F$33,2,FALSE)+1),1)</f>
        <v>16.121881029558722</v>
      </c>
      <c r="T543" s="40">
        <f>VLOOKUP(B543,'Player Data'!$A1:$AE734,8,FALSE)*$Q543*IFERROR((VLOOKUP(P543,Settings!$E$28:$F$33,2,FALSE)+1),1)</f>
        <v>18.623246545932385</v>
      </c>
      <c r="U543" s="40">
        <f t="shared" si="52"/>
        <v>34.745127575491111</v>
      </c>
      <c r="V543" s="40">
        <f>VLOOKUP(B543,'Player Data'!$A1:$AE734,10,FALSE)*$Q543*IFERROR(((VLOOKUP(P543,Settings!$E$28:$F$33,2,FALSE)/2)+1),1)</f>
        <v>117.99455180180827</v>
      </c>
      <c r="W543" s="40">
        <f>VLOOKUP(B543,'Player Data'!$A1:$AE734,11,FALSE)*$Q543*IFERROR((VLOOKUP(P543,Settings!$E$28:$F$33,2,FALSE)+1),1)</f>
        <v>1.8937440926424975</v>
      </c>
      <c r="X543" s="40">
        <f>VLOOKUP(B543,'Player Data'!$A1:$AE734,12,FALSE)*$Q543*IFERROR((VLOOKUP(P543,Settings!$E$28:$F$33,2,FALSE)+1),1)</f>
        <v>4.5349189422450022</v>
      </c>
      <c r="Y543" s="40">
        <f>VLOOKUP(B543,'Player Data'!$A1:$AE734,13,FALSE)*$Q543</f>
        <v>0.90210716501020061</v>
      </c>
      <c r="Z543" s="40">
        <f>VLOOKUP(B543,'Player Data'!$A1:$AE734,14,FALSE)*$Q543</f>
        <v>2.1426805371618589</v>
      </c>
      <c r="AA543" s="40">
        <f>VLOOKUP(B543,'Player Data'!$A1:$AE734,15,FALSE)*$Q543</f>
        <v>24.170045095424022</v>
      </c>
      <c r="AB543" s="40">
        <f>VLOOKUP(B543,'Player Data'!$A1:$AE734,16,FALSE)*$Q543</f>
        <v>61.047862673122459</v>
      </c>
      <c r="AC543" s="40">
        <f>VLOOKUP(B543,'Player Data'!$A1:$AE734,17,FALSE)*$Q543*IFERROR((VLOOKUP(P543,Settings!$E$28:$F$33,2,FALSE)+1),1)</f>
        <v>4.5631785898414039</v>
      </c>
      <c r="AD543" s="40">
        <f>VLOOKUP(B543,'Player Data'!$A1:$AE734,18,FALSE)*$Q543</f>
        <v>14.306105513178695</v>
      </c>
      <c r="AE543" s="40">
        <f>VLOOKUP(B543,'Player Data'!$A1:$AE734,19,FALSE)*$Q543*IFERROR((VLOOKUP(P543,Settings!$E$28:$F$33,2,FALSE)+1),1)</f>
        <v>2.5899759022675779</v>
      </c>
      <c r="AF543" s="40">
        <f>VLOOKUP(B543,'Player Data'!$A1:$AE734,20,FALSE)*$Q543</f>
        <v>80.117239258206766</v>
      </c>
      <c r="AG543" s="40">
        <f>VLOOKUP(B543,'Player Data'!$A1:$AE734,21,FALSE)*$Q543</f>
        <v>91.293641016359516</v>
      </c>
      <c r="AH543" s="41">
        <f>VLOOKUP(B543,'Player Data'!$A1:$AE734,22,FALSE)</f>
        <v>0.46739879714680299</v>
      </c>
      <c r="AI543" s="38"/>
      <c r="AJ543" s="42"/>
      <c r="AK543" s="40"/>
      <c r="AL543" s="40"/>
      <c r="AM543" s="40"/>
      <c r="AN543" s="40"/>
      <c r="AO543" s="40"/>
      <c r="AP543" s="40"/>
      <c r="AQ543" s="43"/>
      <c r="AR543" s="44"/>
      <c r="AS543" s="38"/>
    </row>
    <row r="544" spans="1:45" ht="21.2" customHeight="1">
      <c r="A544" s="181">
        <f t="shared" si="48"/>
        <v>543</v>
      </c>
      <c r="B544" s="8" t="s">
        <v>656</v>
      </c>
      <c r="C544" s="31" t="s">
        <v>104</v>
      </c>
      <c r="D544" s="32" t="str">
        <f>VLOOKUP(B544,'Player Data'!A1:D734,4,FALSE)</f>
        <v>C</v>
      </c>
      <c r="E544" s="33">
        <f>VLOOKUP(B544,'C'!A1:C208,3,FALSE)</f>
        <v>121</v>
      </c>
      <c r="F544" s="34" t="str">
        <f>VLOOKUP(B544,'Player Data'!A1:B734,2,FALSE)</f>
        <v>OTT</v>
      </c>
      <c r="G544" s="9">
        <f>VLOOKUP(B544,'Player Data'!A1:D734,3,FALSE)</f>
        <v>22</v>
      </c>
      <c r="H544" s="35">
        <f>IFERROR(VLOOKUP(B544,ADP!A1:G731,7,FALSE)/1000000,VLOOKUP(B544,ADP!A1:G731,7,FALSE))</f>
        <v>0</v>
      </c>
      <c r="I544" s="36">
        <f>IF(Settings!$E$15="POINTS",((R544*Q544)*Settings!$B$12)+(S544*Settings!$B$2)+(T544*Settings!$B$3)+(U544*Settings!$B$4)+(V544*Settings!$B$5)+(X544*Settings!$B$9)+(AA544*Settings!$B$6)+(W544*Settings!$B$8)+(AB544*Settings!$B$7)+(AC544*Settings!$B$14)+(AD544*Settings!$B$15)+(AE544*Settings!$B$16)+(AF544*Settings!$B$17)+(AG544*Settings!$B$18)+(Y544*Settings!$B$10)+(Z544*Settings!$B$11),VLOOKUP(B544,'Standard Deviations'!A1:C731,3,FALSE))</f>
        <v>-1.2044582026899298</v>
      </c>
      <c r="J544" s="37">
        <f t="shared" si="49"/>
        <v>-1.4688514666950363E-2</v>
      </c>
      <c r="K544" s="183">
        <f>IF(Settings!$E$18="C/LW/RW",VLOOKUP(B544,'C'!A1:F208,6,FALSE),VLOOKUP(B544,F!A1:F431,6,FALSE))</f>
        <v>-7.5415089268965323</v>
      </c>
      <c r="L544" s="49" t="str">
        <f t="shared" si="50"/>
        <v>N/A</v>
      </c>
      <c r="M544" s="52" t="str">
        <f>IF(Settings!$E$9="YAHOO",VLOOKUP(B544,ADP!A1:E731,2,FALSE),IF(Settings!$E$9="ESPN",VLOOKUP(B544,ADP!A1:E731,3,FALSE),IF(Settings!$E$9="FANTRAX",VLOOKUP(B544,ADP!A1:E731,4,FALSE),VLOOKUP(B544,ADP!A1:E731,5,FALSE))))</f>
        <v>-</v>
      </c>
      <c r="N544" s="52" t="str">
        <f t="shared" si="51"/>
        <v>N/A</v>
      </c>
      <c r="O544" s="38"/>
      <c r="P544" s="39" t="str">
        <f>IF(Settings!$E$27="ON",_xlfn.XLOOKUP(B544,ADP!A2:A731,ADP!H2:H731)," ")</f>
        <v xml:space="preserve"> </v>
      </c>
      <c r="Q544" s="40">
        <f>IF(Settings!$E$12="YES",VLOOKUP(B544,'Player Data'!A1:E734,5,FALSE),82)</f>
        <v>82</v>
      </c>
      <c r="R544" s="38">
        <f>VLOOKUP(B544,'Player Data'!$A1:$AE734,6,FALSE)</f>
        <v>14.4655959686337</v>
      </c>
      <c r="S544" s="40">
        <f>VLOOKUP(B544,'Player Data'!$A1:$AE734,7,FALSE)*$Q544*IFERROR((VLOOKUP(P544,Settings!$E$28:$F$33,2,FALSE)+1),1)</f>
        <v>16.835495218508406</v>
      </c>
      <c r="T544" s="40">
        <f>VLOOKUP(B544,'Player Data'!$A1:$AE734,8,FALSE)*$Q544*IFERROR((VLOOKUP(P544,Settings!$E$28:$F$33,2,FALSE)+1),1)</f>
        <v>16.462925960509089</v>
      </c>
      <c r="U544" s="40">
        <f t="shared" si="52"/>
        <v>33.298421179017495</v>
      </c>
      <c r="V544" s="40">
        <f>VLOOKUP(B544,'Player Data'!$A1:$AE734,10,FALSE)*$Q544*IFERROR(((VLOOKUP(P544,Settings!$E$28:$F$33,2,FALSE)/2)+1),1)</f>
        <v>132.55648474361632</v>
      </c>
      <c r="W544" s="40">
        <f>VLOOKUP(B544,'Player Data'!$A1:$AE734,11,FALSE)*$Q544*IFERROR((VLOOKUP(P544,Settings!$E$28:$F$33,2,FALSE)+1),1)</f>
        <v>2.0546880499765878</v>
      </c>
      <c r="X544" s="40">
        <f>VLOOKUP(B544,'Player Data'!$A1:$AE734,12,FALSE)*$Q544*IFERROR((VLOOKUP(P544,Settings!$E$28:$F$33,2,FALSE)+1),1)</f>
        <v>4.0875036829020175</v>
      </c>
      <c r="Y544" s="40">
        <f>VLOOKUP(B544,'Player Data'!$A1:$AE734,13,FALSE)*$Q544</f>
        <v>0.16791969402956811</v>
      </c>
      <c r="Z544" s="40">
        <f>VLOOKUP(B544,'Player Data'!$A1:$AE734,14,FALSE)*$Q544</f>
        <v>0.37139395289837512</v>
      </c>
      <c r="AA544" s="40">
        <f>VLOOKUP(B544,'Player Data'!$A1:$AE734,15,FALSE)*$Q544</f>
        <v>45.958645303666671</v>
      </c>
      <c r="AB544" s="40">
        <f>VLOOKUP(B544,'Player Data'!$A1:$AE734,16,FALSE)*$Q544</f>
        <v>71.628624479674684</v>
      </c>
      <c r="AC544" s="40">
        <f>VLOOKUP(B544,'Player Data'!$A1:$AE734,17,FALSE)*$Q544*IFERROR((VLOOKUP(P544,Settings!$E$28:$F$33,2,FALSE)+1),1)</f>
        <v>-0.61267177796119121</v>
      </c>
      <c r="AD544" s="40">
        <f>VLOOKUP(B544,'Player Data'!$A1:$AE734,18,FALSE)*$Q544</f>
        <v>23.311928107882906</v>
      </c>
      <c r="AE544" s="40">
        <f>VLOOKUP(B544,'Player Data'!$A1:$AE734,19,FALSE)*$Q544*IFERROR((VLOOKUP(P544,Settings!$E$28:$F$33,2,FALSE)+1),1)</f>
        <v>2.5318212373802309</v>
      </c>
      <c r="AF544" s="40">
        <f>VLOOKUP(B544,'Player Data'!$A1:$AE734,20,FALSE)*$Q544</f>
        <v>397.44697181103288</v>
      </c>
      <c r="AG544" s="40">
        <f>VLOOKUP(B544,'Player Data'!$A1:$AE734,21,FALSE)*$Q544</f>
        <v>386.62004924250738</v>
      </c>
      <c r="AH544" s="41">
        <f>VLOOKUP(B544,'Player Data'!$A1:$AE734,22,FALSE)</f>
        <v>0.50690433488324604</v>
      </c>
      <c r="AI544" s="38"/>
      <c r="AJ544" s="42"/>
      <c r="AK544" s="40"/>
      <c r="AL544" s="40"/>
      <c r="AM544" s="40"/>
      <c r="AN544" s="40"/>
      <c r="AO544" s="40"/>
      <c r="AP544" s="40"/>
      <c r="AQ544" s="43"/>
      <c r="AR544" s="44"/>
      <c r="AS544" s="38"/>
    </row>
    <row r="545" spans="1:45" ht="21.2" customHeight="1">
      <c r="A545" s="181">
        <f t="shared" si="48"/>
        <v>544</v>
      </c>
      <c r="B545" s="8" t="s">
        <v>581</v>
      </c>
      <c r="C545" s="31" t="s">
        <v>104</v>
      </c>
      <c r="D545" s="32" t="str">
        <f>VLOOKUP(B545,'Player Data'!A1:D734,4,FALSE)</f>
        <v>C</v>
      </c>
      <c r="E545" s="33">
        <f>VLOOKUP(B545,'C'!A1:C208,3,FALSE)</f>
        <v>122</v>
      </c>
      <c r="F545" s="34" t="str">
        <f>VLOOKUP(B545,'Player Data'!A1:B734,2,FALSE)</f>
        <v>SEA</v>
      </c>
      <c r="G545" s="9">
        <f>VLOOKUP(B545,'Player Data'!A1:D734,3,FALSE)</f>
        <v>28</v>
      </c>
      <c r="H545" s="35">
        <f>IFERROR(VLOOKUP(B545,ADP!A1:G731,7,FALSE)/1000000,VLOOKUP(B545,ADP!A1:G731,7,FALSE))</f>
        <v>4.5</v>
      </c>
      <c r="I545" s="36">
        <f>IF(Settings!$E$15="POINTS",((R545*Q545)*Settings!$B$12)+(S545*Settings!$B$2)+(T545*Settings!$B$3)+(U545*Settings!$B$4)+(V545*Settings!$B$5)+(X545*Settings!$B$9)+(AA545*Settings!$B$6)+(W545*Settings!$B$8)+(AB545*Settings!$B$7)+(AC545*Settings!$B$14)+(AD545*Settings!$B$15)+(AE545*Settings!$B$16)+(AF545*Settings!$B$17)+(AG545*Settings!$B$18)+(Y545*Settings!$B$10)+(Z545*Settings!$B$11),VLOOKUP(B545,'Standard Deviations'!A1:C731,3,FALSE))</f>
        <v>-1.2114554687468193</v>
      </c>
      <c r="J545" s="37">
        <f t="shared" si="49"/>
        <v>-1.4773847179839259E-2</v>
      </c>
      <c r="K545" s="183">
        <f>IF(Settings!$E$18="C/LW/RW",VLOOKUP(B545,'C'!A1:F208,6,FALSE),VLOOKUP(B545,F!A1:F431,6,FALSE))</f>
        <v>-7.5485061929534218</v>
      </c>
      <c r="L545" s="36">
        <f t="shared" si="50"/>
        <v>-1.6774458206563159</v>
      </c>
      <c r="M545" s="52" t="str">
        <f>IF(Settings!$E$9="YAHOO",VLOOKUP(B545,ADP!A1:E731,2,FALSE),IF(Settings!$E$9="ESPN",VLOOKUP(B545,ADP!A1:E731,3,FALSE),IF(Settings!$E$9="FANTRAX",VLOOKUP(B545,ADP!A1:E731,4,FALSE),VLOOKUP(B545,ADP!A1:E731,5,FALSE))))</f>
        <v>-</v>
      </c>
      <c r="N545" s="52" t="str">
        <f t="shared" si="51"/>
        <v>N/A</v>
      </c>
      <c r="O545" s="38"/>
      <c r="P545" s="39" t="str">
        <f>IF(Settings!$E$27="ON",_xlfn.XLOOKUP(B545,ADP!A2:A731,ADP!H2:H731)," ")</f>
        <v xml:space="preserve"> </v>
      </c>
      <c r="Q545" s="40">
        <f>IF(Settings!$E$12="YES",VLOOKUP(B545,'Player Data'!A1:E734,5,FALSE),82)</f>
        <v>82</v>
      </c>
      <c r="R545" s="38">
        <f>VLOOKUP(B545,'Player Data'!$A1:$AE734,6,FALSE)</f>
        <v>17.704137305832401</v>
      </c>
      <c r="S545" s="40">
        <f>VLOOKUP(B545,'Player Data'!$A1:$AE734,7,FALSE)*$Q545*IFERROR((VLOOKUP(P545,Settings!$E$28:$F$33,2,FALSE)+1),1)</f>
        <v>13.160474634393765</v>
      </c>
      <c r="T545" s="40">
        <f>VLOOKUP(B545,'Player Data'!$A1:$AE734,8,FALSE)*$Q545*IFERROR((VLOOKUP(P545,Settings!$E$28:$F$33,2,FALSE)+1),1)</f>
        <v>22.839147154427707</v>
      </c>
      <c r="U545" s="40">
        <f t="shared" si="52"/>
        <v>35.999621788821472</v>
      </c>
      <c r="V545" s="40">
        <f>VLOOKUP(B545,'Player Data'!$A1:$AE734,10,FALSE)*$Q545*IFERROR(((VLOOKUP(P545,Settings!$E$28:$F$33,2,FALSE)/2)+1),1)</f>
        <v>100.68287289418832</v>
      </c>
      <c r="W545" s="40">
        <f>VLOOKUP(B545,'Player Data'!$A1:$AE734,11,FALSE)*$Q545*IFERROR((VLOOKUP(P545,Settings!$E$28:$F$33,2,FALSE)+1),1)</f>
        <v>2.8869022440575014</v>
      </c>
      <c r="X545" s="40">
        <f>VLOOKUP(B545,'Player Data'!$A1:$AE734,12,FALSE)*$Q545*IFERROR((VLOOKUP(P545,Settings!$E$28:$F$33,2,FALSE)+1),1)</f>
        <v>7.0641425820019119</v>
      </c>
      <c r="Y545" s="40">
        <f>VLOOKUP(B545,'Player Data'!$A1:$AE734,13,FALSE)*$Q545</f>
        <v>0.22267056571077837</v>
      </c>
      <c r="Z545" s="40">
        <f>VLOOKUP(B545,'Player Data'!$A1:$AE734,14,FALSE)*$Q545</f>
        <v>0.61662978357148468</v>
      </c>
      <c r="AA545" s="40">
        <f>VLOOKUP(B545,'Player Data'!$A1:$AE734,15,FALSE)*$Q545</f>
        <v>56.938781167069635</v>
      </c>
      <c r="AB545" s="40">
        <f>VLOOKUP(B545,'Player Data'!$A1:$AE734,16,FALSE)*$Q545</f>
        <v>47.559726726471673</v>
      </c>
      <c r="AC545" s="40">
        <f>VLOOKUP(B545,'Player Data'!$A1:$AE734,17,FALSE)*$Q545*IFERROR((VLOOKUP(P545,Settings!$E$28:$F$33,2,FALSE)+1),1)</f>
        <v>-1.215264603082626</v>
      </c>
      <c r="AD545" s="40">
        <f>VLOOKUP(B545,'Player Data'!$A1:$AE734,18,FALSE)*$Q545</f>
        <v>23.037260508728227</v>
      </c>
      <c r="AE545" s="40">
        <f>VLOOKUP(B545,'Player Data'!$A1:$AE734,19,FALSE)*$Q545*IFERROR((VLOOKUP(P545,Settings!$E$28:$F$33,2,FALSE)+1),1)</f>
        <v>1.8498491614332799</v>
      </c>
      <c r="AF545" s="40">
        <f>VLOOKUP(B545,'Player Data'!$A1:$AE734,20,FALSE)*$Q545</f>
        <v>592.43030390293018</v>
      </c>
      <c r="AG545" s="40">
        <f>VLOOKUP(B545,'Player Data'!$A1:$AE734,21,FALSE)*$Q545</f>
        <v>678.12351313349677</v>
      </c>
      <c r="AH545" s="41">
        <f>VLOOKUP(B545,'Player Data'!$A1:$AE734,22,FALSE)</f>
        <v>0.46627722175891501</v>
      </c>
      <c r="AI545" s="38"/>
      <c r="AJ545" s="42"/>
      <c r="AK545" s="40"/>
      <c r="AL545" s="40"/>
      <c r="AM545" s="40"/>
      <c r="AN545" s="40"/>
      <c r="AO545" s="40"/>
      <c r="AP545" s="40"/>
      <c r="AQ545" s="43"/>
      <c r="AR545" s="44"/>
      <c r="AS545" s="38"/>
    </row>
    <row r="546" spans="1:45" ht="21.2" customHeight="1">
      <c r="A546" s="181">
        <f t="shared" si="48"/>
        <v>545</v>
      </c>
      <c r="B546" s="8" t="s">
        <v>627</v>
      </c>
      <c r="C546" s="31" t="s">
        <v>104</v>
      </c>
      <c r="D546" s="32" t="str">
        <f>VLOOKUP(B546,'Player Data'!A1:D734,4,FALSE)</f>
        <v>D</v>
      </c>
      <c r="E546" s="47">
        <f>VLOOKUP(B546,D!A1:C229,3,FALSE)</f>
        <v>219</v>
      </c>
      <c r="F546" s="34" t="str">
        <f>VLOOKUP(B546,'Player Data'!A1:B734,2,FALSE)</f>
        <v>PIT</v>
      </c>
      <c r="G546" s="9">
        <f>VLOOKUP(B546,'Player Data'!A1:D734,3,FALSE)</f>
        <v>33</v>
      </c>
      <c r="H546" s="35">
        <f>IFERROR(VLOOKUP(B546,ADP!A1:G731,7,FALSE)/1000000,VLOOKUP(B546,ADP!A1:G731,7,FALSE))</f>
        <v>0.8</v>
      </c>
      <c r="I546" s="36">
        <f>IF(Settings!$E$15="POINTS",((R546*Q546)*Settings!$B$12)+(S546*Settings!$B$2)+(T546*Settings!$B$3)+(U546*Settings!$B$4)+(V546*Settings!$B$5)+(X546*Settings!$B$9)+(AA546*Settings!$B$6)+(W546*Settings!$B$8)+(AB546*Settings!$B$7)+(AC546*Settings!$B$14)+(AD546*Settings!$B$15)+(AE546*Settings!$B$16)+(AF546*Settings!$B$17)+(AG546*Settings!$B$18)+(U546*Settings!$B$13)+(Y546*Settings!$B$10)+(Z546*Settings!$B$11),VLOOKUP(B546,'Standard Deviations'!A1:C731,3,FALSE))</f>
        <v>-5.6171308662735715</v>
      </c>
      <c r="J546" s="37">
        <f t="shared" si="49"/>
        <v>-6.8501595930165513E-2</v>
      </c>
      <c r="K546" s="183">
        <f>VLOOKUP(B546,D!A1:F229,6,FALSE)</f>
        <v>-7.5588714099078818</v>
      </c>
      <c r="L546" s="36">
        <f t="shared" si="50"/>
        <v>-9.4485892623848518</v>
      </c>
      <c r="M546" s="52" t="str">
        <f>IF(Settings!$E$9="YAHOO",VLOOKUP(B546,ADP!A1:E731,2,FALSE),IF(Settings!$E$9="ESPN",VLOOKUP(B546,ADP!A1:E731,3,FALSE),IF(Settings!$E$9="FANTRAX",VLOOKUP(B546,ADP!A1:E731,4,FALSE),VLOOKUP(B546,ADP!A1:E731,5,FALSE))))</f>
        <v>-</v>
      </c>
      <c r="N546" s="52" t="str">
        <f t="shared" si="51"/>
        <v>N/A</v>
      </c>
      <c r="O546" s="38"/>
      <c r="P546" s="39" t="str">
        <f>IF(Settings!$E$27="ON",_xlfn.XLOOKUP(B546,ADP!A2:A731,ADP!H2:H731)," ")</f>
        <v xml:space="preserve"> </v>
      </c>
      <c r="Q546" s="40">
        <f>IF(Settings!$E$12="YES",VLOOKUP(B546,'Player Data'!A1:E734,5,FALSE),82)</f>
        <v>82</v>
      </c>
      <c r="R546" s="38">
        <f>VLOOKUP(B546,'Player Data'!$A1:$AE734,6,FALSE)</f>
        <v>14.8011747938944</v>
      </c>
      <c r="S546" s="40">
        <f>VLOOKUP(B546,'Player Data'!$A1:$AE734,7,FALSE)*$Q546*IFERROR((VLOOKUP(P546,Settings!$E$28:$F$33,2,FALSE)+1),1)</f>
        <v>2.4410221817293873</v>
      </c>
      <c r="T546" s="40">
        <f>VLOOKUP(B546,'Player Data'!$A1:$AE734,8,FALSE)*$Q546*IFERROR((VLOOKUP(P546,Settings!$E$28:$F$33,2,FALSE)+1),1)</f>
        <v>8.0229500675461978</v>
      </c>
      <c r="U546" s="40">
        <f t="shared" si="52"/>
        <v>10.463972249275585</v>
      </c>
      <c r="V546" s="40">
        <f>VLOOKUP(B546,'Player Data'!$A1:$AE734,10,FALSE)*$Q546*IFERROR(((VLOOKUP(P546,Settings!$E$28:$F$33,2,FALSE)/2)+1),1)</f>
        <v>72.673766576040805</v>
      </c>
      <c r="W546" s="40">
        <f>VLOOKUP(B546,'Player Data'!$A1:$AE734,11,FALSE)*$Q546*IFERROR((VLOOKUP(P546,Settings!$E$28:$F$33,2,FALSE)+1),1)</f>
        <v>8.9285389089398606E-4</v>
      </c>
      <c r="X546" s="40">
        <f>VLOOKUP(B546,'Player Data'!$A1:$AE734,12,FALSE)*$Q546*IFERROR((VLOOKUP(P546,Settings!$E$28:$F$33,2,FALSE)+1),1)</f>
        <v>6.2042321613303801E-3</v>
      </c>
      <c r="Y546" s="40">
        <f>VLOOKUP(B546,'Player Data'!$A1:$AE734,13,FALSE)*$Q546</f>
        <v>-2.4323279719657292E-2</v>
      </c>
      <c r="Z546" s="40">
        <f>VLOOKUP(B546,'Player Data'!$A1:$AE734,14,FALSE)*$Q546</f>
        <v>-7.7875525991839861E-2</v>
      </c>
      <c r="AA546" s="40">
        <f>VLOOKUP(B546,'Player Data'!$A1:$AE734,15,FALSE)*$Q546</f>
        <v>93.835085153095747</v>
      </c>
      <c r="AB546" s="40">
        <f>VLOOKUP(B546,'Player Data'!$A1:$AE734,16,FALSE)*$Q546</f>
        <v>142.3305771661993</v>
      </c>
      <c r="AC546" s="40">
        <f>VLOOKUP(B546,'Player Data'!$A1:$AE734,17,FALSE)*$Q546*IFERROR((VLOOKUP(P546,Settings!$E$28:$F$33,2,FALSE)+1),1)</f>
        <v>1.9027113313597919</v>
      </c>
      <c r="AD546" s="40">
        <f>VLOOKUP(B546,'Player Data'!$A1:$AE734,18,FALSE)*$Q546</f>
        <v>27.141895087542618</v>
      </c>
      <c r="AE546" s="40">
        <f>VLOOKUP(B546,'Player Data'!$A1:$AE734,19,FALSE)*$Q546*IFERROR((VLOOKUP(P546,Settings!$E$28:$F$33,2,FALSE)+1),1)</f>
        <v>0.39183293780269535</v>
      </c>
      <c r="AF546" s="40">
        <f>VLOOKUP(B546,'Player Data'!$A1:$AE734,20,FALSE)*$Q546</f>
        <v>0</v>
      </c>
      <c r="AG546" s="40">
        <f>VLOOKUP(B546,'Player Data'!$A1:$AE734,21,FALSE)*$Q546</f>
        <v>0</v>
      </c>
      <c r="AH546" s="41">
        <f>VLOOKUP(B546,'Player Data'!$A1:$AE734,22,FALSE)</f>
        <v>0</v>
      </c>
      <c r="AI546" s="38"/>
      <c r="AJ546" s="42"/>
      <c r="AK546" s="40"/>
      <c r="AL546" s="40"/>
      <c r="AM546" s="40"/>
      <c r="AN546" s="40"/>
      <c r="AO546" s="40"/>
      <c r="AP546" s="40"/>
      <c r="AQ546" s="43"/>
      <c r="AR546" s="44"/>
      <c r="AS546" s="38"/>
    </row>
    <row r="547" spans="1:45" ht="21.2" customHeight="1">
      <c r="A547" s="181">
        <f t="shared" si="48"/>
        <v>546</v>
      </c>
      <c r="B547" s="8" t="s">
        <v>598</v>
      </c>
      <c r="C547" s="31" t="s">
        <v>104</v>
      </c>
      <c r="D547" s="32" t="str">
        <f>VLOOKUP(B547,'Player Data'!A1:D734,4,FALSE)</f>
        <v>D</v>
      </c>
      <c r="E547" s="47">
        <f>VLOOKUP(B547,D!A1:C229,3,FALSE)</f>
        <v>220</v>
      </c>
      <c r="F547" s="34" t="str">
        <f>VLOOKUP(B547,'Player Data'!A1:B734,2,FALSE)</f>
        <v>ARI</v>
      </c>
      <c r="G547" s="9">
        <f>VLOOKUP(B547,'Player Data'!A1:D734,3,FALSE)</f>
        <v>29</v>
      </c>
      <c r="H547" s="35">
        <f>IFERROR(VLOOKUP(B547,ADP!A1:G731,7,FALSE)/1000000,VLOOKUP(B547,ADP!A1:G731,7,FALSE))</f>
        <v>1.2749999999999999</v>
      </c>
      <c r="I547" s="36">
        <f>IF(Settings!$E$15="POINTS",((R547*Q547)*Settings!$B$12)+(S547*Settings!$B$2)+(T547*Settings!$B$3)+(U547*Settings!$B$4)+(V547*Settings!$B$5)+(X547*Settings!$B$9)+(AA547*Settings!$B$6)+(W547*Settings!$B$8)+(AB547*Settings!$B$7)+(AC547*Settings!$B$14)+(AD547*Settings!$B$15)+(AE547*Settings!$B$16)+(AF547*Settings!$B$17)+(AG547*Settings!$B$18)+(U547*Settings!$B$13)+(Y547*Settings!$B$10)+(Z547*Settings!$B$11),VLOOKUP(B547,'Standard Deviations'!A1:C731,3,FALSE))</f>
        <v>-5.6524657611646978</v>
      </c>
      <c r="J547" s="37">
        <f t="shared" si="49"/>
        <v>-6.8932509282496321E-2</v>
      </c>
      <c r="K547" s="183">
        <f>VLOOKUP(B547,D!A1:F229,6,FALSE)</f>
        <v>-7.5942063047990089</v>
      </c>
      <c r="L547" s="36">
        <f t="shared" si="50"/>
        <v>-5.9562402390580464</v>
      </c>
      <c r="M547" s="52" t="str">
        <f>IF(Settings!$E$9="YAHOO",VLOOKUP(B547,ADP!A1:E731,2,FALSE),IF(Settings!$E$9="ESPN",VLOOKUP(B547,ADP!A1:E731,3,FALSE),IF(Settings!$E$9="FANTRAX",VLOOKUP(B547,ADP!A1:E731,4,FALSE),VLOOKUP(B547,ADP!A1:E731,5,FALSE))))</f>
        <v>-</v>
      </c>
      <c r="N547" s="52" t="str">
        <f t="shared" si="51"/>
        <v>N/A</v>
      </c>
      <c r="O547" s="38"/>
      <c r="P547" s="39" t="str">
        <f>IF(Settings!$E$27="ON",_xlfn.XLOOKUP(B547,ADP!A2:A731,ADP!H2:H731)," ")</f>
        <v xml:space="preserve"> </v>
      </c>
      <c r="Q547" s="40">
        <f>IF(Settings!$E$12="YES",VLOOKUP(B547,'Player Data'!A1:E734,5,FALSE),82)</f>
        <v>82</v>
      </c>
      <c r="R547" s="38">
        <f>VLOOKUP(B547,'Player Data'!$A1:$AE734,6,FALSE)</f>
        <v>15.4397341795776</v>
      </c>
      <c r="S547" s="40">
        <f>VLOOKUP(B547,'Player Data'!$A1:$AE734,7,FALSE)*$Q547*IFERROR((VLOOKUP(P547,Settings!$E$28:$F$33,2,FALSE)+1),1)</f>
        <v>2.4773753865210026</v>
      </c>
      <c r="T547" s="40">
        <f>VLOOKUP(B547,'Player Data'!$A1:$AE734,8,FALSE)*$Q547*IFERROR((VLOOKUP(P547,Settings!$E$28:$F$33,2,FALSE)+1),1)</f>
        <v>7.0122519735567117</v>
      </c>
      <c r="U547" s="40">
        <f t="shared" si="52"/>
        <v>9.4896273600777139</v>
      </c>
      <c r="V547" s="40">
        <f>VLOOKUP(B547,'Player Data'!$A1:$AE734,10,FALSE)*$Q547*IFERROR(((VLOOKUP(P547,Settings!$E$28:$F$33,2,FALSE)/2)+1),1)</f>
        <v>76.805864782646836</v>
      </c>
      <c r="W547" s="40">
        <f>VLOOKUP(B547,'Player Data'!$A1:$AE734,11,FALSE)*$Q547*IFERROR((VLOOKUP(P547,Settings!$E$28:$F$33,2,FALSE)+1),1)</f>
        <v>1.3544997868082139E-2</v>
      </c>
      <c r="X547" s="40">
        <f>VLOOKUP(B547,'Player Data'!$A1:$AE734,12,FALSE)*$Q547*IFERROR((VLOOKUP(P547,Settings!$E$28:$F$33,2,FALSE)+1),1)</f>
        <v>8.7557787124329017E-2</v>
      </c>
      <c r="Y547" s="40">
        <f>VLOOKUP(B547,'Player Data'!$A1:$AE734,13,FALSE)*$Q547</f>
        <v>9.120473458802146E-3</v>
      </c>
      <c r="Z547" s="40">
        <f>VLOOKUP(B547,'Player Data'!$A1:$AE734,14,FALSE)*$Q547</f>
        <v>0.12654614460880775</v>
      </c>
      <c r="AA547" s="40">
        <f>VLOOKUP(B547,'Player Data'!$A1:$AE734,15,FALSE)*$Q547</f>
        <v>125.23787557629228</v>
      </c>
      <c r="AB547" s="40">
        <f>VLOOKUP(B547,'Player Data'!$A1:$AE734,16,FALSE)*$Q547</f>
        <v>164.45281837461476</v>
      </c>
      <c r="AC547" s="40">
        <f>VLOOKUP(B547,'Player Data'!$A1:$AE734,17,FALSE)*$Q547*IFERROR((VLOOKUP(P547,Settings!$E$28:$F$33,2,FALSE)+1),1)</f>
        <v>-5.5153668770792112</v>
      </c>
      <c r="AD547" s="40">
        <f>VLOOKUP(B547,'Player Data'!$A1:$AE734,18,FALSE)*$Q547</f>
        <v>66.72777916772867</v>
      </c>
      <c r="AE547" s="40">
        <f>VLOOKUP(B547,'Player Data'!$A1:$AE734,19,FALSE)*$Q547*IFERROR((VLOOKUP(P547,Settings!$E$28:$F$33,2,FALSE)+1),1)</f>
        <v>0.31263634548725411</v>
      </c>
      <c r="AF547" s="40">
        <f>VLOOKUP(B547,'Player Data'!$A1:$AE734,20,FALSE)*$Q547</f>
        <v>0</v>
      </c>
      <c r="AG547" s="40">
        <f>VLOOKUP(B547,'Player Data'!$A1:$AE734,21,FALSE)*$Q547</f>
        <v>0</v>
      </c>
      <c r="AH547" s="41">
        <f>VLOOKUP(B547,'Player Data'!$A1:$AE734,22,FALSE)</f>
        <v>0</v>
      </c>
      <c r="AI547" s="38"/>
      <c r="AJ547" s="42"/>
      <c r="AK547" s="40"/>
      <c r="AL547" s="40"/>
      <c r="AM547" s="40"/>
      <c r="AN547" s="40"/>
      <c r="AO547" s="40"/>
      <c r="AP547" s="40"/>
      <c r="AQ547" s="43"/>
      <c r="AR547" s="44"/>
      <c r="AS547" s="38"/>
    </row>
    <row r="548" spans="1:45" ht="21.2" customHeight="1">
      <c r="A548" s="181">
        <f t="shared" si="48"/>
        <v>547</v>
      </c>
      <c r="B548" s="8" t="s">
        <v>654</v>
      </c>
      <c r="C548" s="31" t="s">
        <v>104</v>
      </c>
      <c r="D548" s="32" t="str">
        <f>VLOOKUP(B548,'Player Data'!A1:D734,4,FALSE)</f>
        <v>D</v>
      </c>
      <c r="E548" s="47">
        <f>VLOOKUP(B548,D!A1:C229,3,FALSE)</f>
        <v>221</v>
      </c>
      <c r="F548" s="34" t="str">
        <f>VLOOKUP(B548,'Player Data'!A1:B734,2,FALSE)</f>
        <v>LAK</v>
      </c>
      <c r="G548" s="9">
        <f>VLOOKUP(B548,'Player Data'!A1:D734,3,FALSE)</f>
        <v>22</v>
      </c>
      <c r="H548" s="35">
        <f>IFERROR(VLOOKUP(B548,ADP!A1:G731,7,FALSE)/1000000,VLOOKUP(B548,ADP!A1:G731,7,FALSE))</f>
        <v>0</v>
      </c>
      <c r="I548" s="36">
        <f>IF(Settings!$E$15="POINTS",((R548*Q548)*Settings!$B$12)+(S548*Settings!$B$2)+(T548*Settings!$B$3)+(U548*Settings!$B$4)+(V548*Settings!$B$5)+(X548*Settings!$B$9)+(AA548*Settings!$B$6)+(W548*Settings!$B$8)+(AB548*Settings!$B$7)+(AC548*Settings!$B$14)+(AD548*Settings!$B$15)+(AE548*Settings!$B$16)+(AF548*Settings!$B$17)+(AG548*Settings!$B$18)+(U548*Settings!$B$13)+(Y548*Settings!$B$10)+(Z548*Settings!$B$11),VLOOKUP(B548,'Standard Deviations'!A1:C731,3,FALSE))</f>
        <v>-5.6579259266747481</v>
      </c>
      <c r="J548" s="37">
        <f t="shared" si="49"/>
        <v>-6.8999096666765222E-2</v>
      </c>
      <c r="K548" s="183">
        <f>VLOOKUP(B548,D!A1:F229,6,FALSE)</f>
        <v>-7.5996664703090584</v>
      </c>
      <c r="L548" s="49" t="str">
        <f t="shared" si="50"/>
        <v>N/A</v>
      </c>
      <c r="M548" s="52" t="str">
        <f>IF(Settings!$E$9="YAHOO",VLOOKUP(B548,ADP!A1:E731,2,FALSE),IF(Settings!$E$9="ESPN",VLOOKUP(B548,ADP!A1:E731,3,FALSE),IF(Settings!$E$9="FANTRAX",VLOOKUP(B548,ADP!A1:E731,4,FALSE),VLOOKUP(B548,ADP!A1:E731,5,FALSE))))</f>
        <v>-</v>
      </c>
      <c r="N548" s="52" t="str">
        <f t="shared" si="51"/>
        <v>N/A</v>
      </c>
      <c r="O548" s="38"/>
      <c r="P548" s="39" t="str">
        <f>IF(Settings!$E$27="ON",_xlfn.XLOOKUP(B548,ADP!A2:A731,ADP!H2:H731)," ")</f>
        <v xml:space="preserve"> </v>
      </c>
      <c r="Q548" s="40">
        <f>IF(Settings!$E$12="YES",VLOOKUP(B548,'Player Data'!A1:E734,5,FALSE),82)</f>
        <v>82</v>
      </c>
      <c r="R548" s="38">
        <f>VLOOKUP(B548,'Player Data'!$A1:$AE734,6,FALSE)</f>
        <v>14.1809713689024</v>
      </c>
      <c r="S548" s="40">
        <f>VLOOKUP(B548,'Player Data'!$A1:$AE734,7,FALSE)*$Q548*IFERROR((VLOOKUP(P548,Settings!$E$28:$F$33,2,FALSE)+1),1)</f>
        <v>1.4630483129064893</v>
      </c>
      <c r="T548" s="40">
        <f>VLOOKUP(B548,'Player Data'!$A1:$AE734,8,FALSE)*$Q548*IFERROR((VLOOKUP(P548,Settings!$E$28:$F$33,2,FALSE)+1),1)</f>
        <v>10.026359736336277</v>
      </c>
      <c r="U548" s="40">
        <f t="shared" si="52"/>
        <v>11.489408049242765</v>
      </c>
      <c r="V548" s="40">
        <f>VLOOKUP(B548,'Player Data'!$A1:$AE734,10,FALSE)*$Q548*IFERROR(((VLOOKUP(P548,Settings!$E$28:$F$33,2,FALSE)/2)+1),1)</f>
        <v>63.961478267088438</v>
      </c>
      <c r="W548" s="40">
        <f>VLOOKUP(B548,'Player Data'!$A1:$AE734,11,FALSE)*$Q548*IFERROR((VLOOKUP(P548,Settings!$E$28:$F$33,2,FALSE)+1),1)</f>
        <v>1.5286718777181041E-2</v>
      </c>
      <c r="X548" s="40">
        <f>VLOOKUP(B548,'Player Data'!$A1:$AE734,12,FALSE)*$Q548*IFERROR((VLOOKUP(P548,Settings!$E$28:$F$33,2,FALSE)+1),1)</f>
        <v>9.1289142324125092E-2</v>
      </c>
      <c r="Y548" s="40">
        <f>VLOOKUP(B548,'Player Data'!$A1:$AE734,13,FALSE)*$Q548</f>
        <v>2.8963774939200614E-2</v>
      </c>
      <c r="Z548" s="40">
        <f>VLOOKUP(B548,'Player Data'!$A1:$AE734,14,FALSE)*$Q548</f>
        <v>0.13527018517635869</v>
      </c>
      <c r="AA548" s="40">
        <f>VLOOKUP(B548,'Player Data'!$A1:$AE734,15,FALSE)*$Q548</f>
        <v>72.138129387972029</v>
      </c>
      <c r="AB548" s="40">
        <f>VLOOKUP(B548,'Player Data'!$A1:$AE734,16,FALSE)*$Q548</f>
        <v>86.665517520052376</v>
      </c>
      <c r="AC548" s="40">
        <f>VLOOKUP(B548,'Player Data'!$A1:$AE734,17,FALSE)*$Q548*IFERROR((VLOOKUP(P548,Settings!$E$28:$F$33,2,FALSE)+1),1)</f>
        <v>-0.77447179601904859</v>
      </c>
      <c r="AD548" s="40">
        <f>VLOOKUP(B548,'Player Data'!$A1:$AE734,18,FALSE)*$Q548</f>
        <v>20.234632977655924</v>
      </c>
      <c r="AE548" s="40">
        <f>VLOOKUP(B548,'Player Data'!$A1:$AE734,19,FALSE)*$Q548*IFERROR((VLOOKUP(P548,Settings!$E$28:$F$33,2,FALSE)+1),1)</f>
        <v>0.21662047776126736</v>
      </c>
      <c r="AF548" s="40">
        <f>VLOOKUP(B548,'Player Data'!$A1:$AE734,20,FALSE)*$Q548</f>
        <v>0</v>
      </c>
      <c r="AG548" s="40">
        <f>VLOOKUP(B548,'Player Data'!$A1:$AE734,21,FALSE)*$Q548</f>
        <v>0</v>
      </c>
      <c r="AH548" s="41">
        <f>VLOOKUP(B548,'Player Data'!$A1:$AE734,22,FALSE)</f>
        <v>0</v>
      </c>
      <c r="AI548" s="38"/>
      <c r="AJ548" s="42"/>
      <c r="AK548" s="40"/>
      <c r="AL548" s="40"/>
      <c r="AM548" s="40"/>
      <c r="AN548" s="40"/>
      <c r="AO548" s="40"/>
      <c r="AP548" s="40"/>
      <c r="AQ548" s="43"/>
      <c r="AR548" s="44"/>
      <c r="AS548" s="42"/>
    </row>
    <row r="549" spans="1:45" ht="21.2" customHeight="1">
      <c r="A549" s="181">
        <f t="shared" si="48"/>
        <v>548</v>
      </c>
      <c r="B549" s="8" t="s">
        <v>593</v>
      </c>
      <c r="C549" s="31" t="s">
        <v>104</v>
      </c>
      <c r="D549" s="32" t="str">
        <f>VLOOKUP(B549,'Player Data'!A1:D734,4,FALSE)</f>
        <v>D</v>
      </c>
      <c r="E549" s="47">
        <f>VLOOKUP(B549,D!A1:C229,3,FALSE)</f>
        <v>222</v>
      </c>
      <c r="F549" s="34" t="str">
        <f>VLOOKUP(B549,'Player Data'!A1:B734,2,FALSE)</f>
        <v>BUF</v>
      </c>
      <c r="G549" s="9">
        <f>VLOOKUP(B549,'Player Data'!A1:D734,3,FALSE)</f>
        <v>29</v>
      </c>
      <c r="H549" s="35">
        <f>IFERROR(VLOOKUP(B549,ADP!A1:G731,7,FALSE)/1000000,VLOOKUP(B549,ADP!A1:G731,7,FALSE))</f>
        <v>2.75</v>
      </c>
      <c r="I549" s="36">
        <f>IF(Settings!$E$15="POINTS",((R549*Q549)*Settings!$B$12)+(S549*Settings!$B$2)+(T549*Settings!$B$3)+(U549*Settings!$B$4)+(V549*Settings!$B$5)+(X549*Settings!$B$9)+(AA549*Settings!$B$6)+(W549*Settings!$B$8)+(AB549*Settings!$B$7)+(AC549*Settings!$B$14)+(AD549*Settings!$B$15)+(AE549*Settings!$B$16)+(AF549*Settings!$B$17)+(AG549*Settings!$B$18)+(U549*Settings!$B$13)+(Y549*Settings!$B$10)+(Z549*Settings!$B$11),VLOOKUP(B549,'Standard Deviations'!A1:C731,3,FALSE))</f>
        <v>-5.7312077017653724</v>
      </c>
      <c r="J549" s="37">
        <f t="shared" si="49"/>
        <v>-6.9892776850797228E-2</v>
      </c>
      <c r="K549" s="183">
        <f>VLOOKUP(B549,D!A1:F229,6,FALSE)</f>
        <v>-7.6729482453996827</v>
      </c>
      <c r="L549" s="36">
        <f t="shared" si="50"/>
        <v>-2.7901629983271574</v>
      </c>
      <c r="M549" s="52" t="str">
        <f>IF(Settings!$E$9="YAHOO",VLOOKUP(B549,ADP!A1:E731,2,FALSE),IF(Settings!$E$9="ESPN",VLOOKUP(B549,ADP!A1:E731,3,FALSE),IF(Settings!$E$9="FANTRAX",VLOOKUP(B549,ADP!A1:E731,4,FALSE),VLOOKUP(B549,ADP!A1:E731,5,FALSE))))</f>
        <v>-</v>
      </c>
      <c r="N549" s="52" t="str">
        <f t="shared" si="51"/>
        <v>N/A</v>
      </c>
      <c r="O549" s="38"/>
      <c r="P549" s="39" t="str">
        <f>IF(Settings!$E$27="ON",_xlfn.XLOOKUP(B549,ADP!A2:A731,ADP!H2:H731)," ")</f>
        <v xml:space="preserve"> </v>
      </c>
      <c r="Q549" s="40">
        <f>IF(Settings!$E$12="YES",VLOOKUP(B549,'Player Data'!A1:E734,5,FALSE),82)</f>
        <v>82</v>
      </c>
      <c r="R549" s="38">
        <f>VLOOKUP(B549,'Player Data'!$A1:$AE734,6,FALSE)</f>
        <v>13.9163198204672</v>
      </c>
      <c r="S549" s="40">
        <f>VLOOKUP(B549,'Player Data'!$A1:$AE734,7,FALSE)*$Q549*IFERROR((VLOOKUP(P549,Settings!$E$28:$F$33,2,FALSE)+1),1)</f>
        <v>1.9721201247113216</v>
      </c>
      <c r="T549" s="40">
        <f>VLOOKUP(B549,'Player Data'!$A1:$AE734,8,FALSE)*$Q549*IFERROR((VLOOKUP(P549,Settings!$E$28:$F$33,2,FALSE)+1),1)</f>
        <v>10.38239233432418</v>
      </c>
      <c r="U549" s="40">
        <f t="shared" si="52"/>
        <v>12.354512459035501</v>
      </c>
      <c r="V549" s="40">
        <f>VLOOKUP(B549,'Player Data'!$A1:$AE734,10,FALSE)*$Q549*IFERROR(((VLOOKUP(P549,Settings!$E$28:$F$33,2,FALSE)/2)+1),1)</f>
        <v>52.873364431891176</v>
      </c>
      <c r="W549" s="40">
        <f>VLOOKUP(B549,'Player Data'!$A1:$AE734,11,FALSE)*$Q549*IFERROR((VLOOKUP(P549,Settings!$E$28:$F$33,2,FALSE)+1),1)</f>
        <v>1.4172871076253731E-2</v>
      </c>
      <c r="X549" s="40">
        <f>VLOOKUP(B549,'Player Data'!$A1:$AE734,12,FALSE)*$Q549*IFERROR((VLOOKUP(P549,Settings!$E$28:$F$33,2,FALSE)+1),1)</f>
        <v>9.1464017192635652E-2</v>
      </c>
      <c r="Y549" s="40">
        <f>VLOOKUP(B549,'Player Data'!$A1:$AE734,13,FALSE)*$Q549</f>
        <v>0.27964598584141082</v>
      </c>
      <c r="Z549" s="40">
        <f>VLOOKUP(B549,'Player Data'!$A1:$AE734,14,FALSE)*$Q549</f>
        <v>0.74957045635563235</v>
      </c>
      <c r="AA549" s="40">
        <f>VLOOKUP(B549,'Player Data'!$A1:$AE734,15,FALSE)*$Q549</f>
        <v>96.677206741092164</v>
      </c>
      <c r="AB549" s="40">
        <f>VLOOKUP(B549,'Player Data'!$A1:$AE734,16,FALSE)*$Q549</f>
        <v>123.8506976831554</v>
      </c>
      <c r="AC549" s="40">
        <f>VLOOKUP(B549,'Player Data'!$A1:$AE734,17,FALSE)*$Q549*IFERROR((VLOOKUP(P549,Settings!$E$28:$F$33,2,FALSE)+1),1)</f>
        <v>-2.7029594654204918</v>
      </c>
      <c r="AD549" s="40">
        <f>VLOOKUP(B549,'Player Data'!$A1:$AE734,18,FALSE)*$Q549</f>
        <v>36.858861323044266</v>
      </c>
      <c r="AE549" s="40">
        <f>VLOOKUP(B549,'Player Data'!$A1:$AE734,19,FALSE)*$Q549*IFERROR((VLOOKUP(P549,Settings!$E$28:$F$33,2,FALSE)+1),1)</f>
        <v>0.25246895768463318</v>
      </c>
      <c r="AF549" s="40">
        <f>VLOOKUP(B549,'Player Data'!$A1:$AE734,20,FALSE)*$Q549</f>
        <v>0</v>
      </c>
      <c r="AG549" s="40">
        <f>VLOOKUP(B549,'Player Data'!$A1:$AE734,21,FALSE)*$Q549</f>
        <v>0</v>
      </c>
      <c r="AH549" s="41">
        <f>VLOOKUP(B549,'Player Data'!$A1:$AE734,22,FALSE)</f>
        <v>0</v>
      </c>
      <c r="AI549" s="38"/>
      <c r="AJ549" s="42"/>
      <c r="AK549" s="40"/>
      <c r="AL549" s="40"/>
      <c r="AM549" s="40"/>
      <c r="AN549" s="40"/>
      <c r="AO549" s="40"/>
      <c r="AP549" s="40"/>
      <c r="AQ549" s="43"/>
      <c r="AR549" s="44"/>
      <c r="AS549" s="38"/>
    </row>
    <row r="550" spans="1:45" ht="21.2" customHeight="1">
      <c r="A550" s="181">
        <f t="shared" si="48"/>
        <v>549</v>
      </c>
      <c r="B550" s="8" t="s">
        <v>524</v>
      </c>
      <c r="C550" s="31" t="s">
        <v>104</v>
      </c>
      <c r="D550" s="32" t="str">
        <f>VLOOKUP(B550,'Player Data'!A1:D734,4,FALSE)</f>
        <v>C,LW</v>
      </c>
      <c r="E550" s="45">
        <f>VLOOKUP(B550,LW!A1:C227,3,FALSE)</f>
        <v>132</v>
      </c>
      <c r="F550" s="34" t="str">
        <f>VLOOKUP(B550,'Player Data'!A1:B734,2,FALSE)</f>
        <v>NJD</v>
      </c>
      <c r="G550" s="9">
        <f>VLOOKUP(B550,'Player Data'!A1:D734,3,FALSE)</f>
        <v>32</v>
      </c>
      <c r="H550" s="35">
        <f>IFERROR(VLOOKUP(B550,ADP!A1:G731,7,FALSE)/1000000,VLOOKUP(B550,ADP!A1:G731,7,FALSE))</f>
        <v>3.15</v>
      </c>
      <c r="I550" s="36">
        <f>IF(Settings!$E$15="POINTS",((R550*Q550)*Settings!$B$12)+(S550*Settings!$B$2)+(T550*Settings!$B$3)+(U550*Settings!$B$4)+(V550*Settings!$B$5)+(X550*Settings!$B$9)+(AA550*Settings!$B$6)+(W550*Settings!$B$8)+(AB550*Settings!$B$7)+(AC550*Settings!$B$14)+(AD550*Settings!$B$15)+(AE550*Settings!$B$16)+(AF550*Settings!$B$17)+(AG550*Settings!$B$18)+(Y550*Settings!$B$10)+(Z550*Settings!$B$11),VLOOKUP(B550,'Standard Deviations'!A1:C731,3,FALSE))</f>
        <v>-1.019823560471314</v>
      </c>
      <c r="J550" s="37">
        <f t="shared" si="49"/>
        <v>-1.243687268867456E-2</v>
      </c>
      <c r="K550" s="183">
        <f>IF(Settings!$E$18="C/LW/RW",VLOOKUP(B550,LW!A1:F227,6,FALSE),VLOOKUP(B550,F!A1:F431,6,FALSE))</f>
        <v>-7.6744926045957147</v>
      </c>
      <c r="L550" s="36">
        <f t="shared" si="50"/>
        <v>-2.4363468586018144</v>
      </c>
      <c r="M550" s="52" t="str">
        <f>IF(Settings!$E$9="YAHOO",VLOOKUP(B550,ADP!A1:E731,2,FALSE),IF(Settings!$E$9="ESPN",VLOOKUP(B550,ADP!A1:E731,3,FALSE),IF(Settings!$E$9="FANTRAX",VLOOKUP(B550,ADP!A1:E731,4,FALSE),VLOOKUP(B550,ADP!A1:E731,5,FALSE))))</f>
        <v>-</v>
      </c>
      <c r="N550" s="52" t="str">
        <f t="shared" si="51"/>
        <v>N/A</v>
      </c>
      <c r="O550" s="38"/>
      <c r="P550" s="39" t="str">
        <f>IF(Settings!$E$27="ON",_xlfn.XLOOKUP(B550,ADP!A2:A731,ADP!H2:H731)," ")</f>
        <v xml:space="preserve"> </v>
      </c>
      <c r="Q550" s="40">
        <f>IF(Settings!$E$12="YES",VLOOKUP(B550,'Player Data'!A1:E734,5,FALSE),82)</f>
        <v>82</v>
      </c>
      <c r="R550" s="38">
        <f>VLOOKUP(B550,'Player Data'!$A1:$AE734,6,FALSE)</f>
        <v>15.2022447143314</v>
      </c>
      <c r="S550" s="40">
        <f>VLOOKUP(B550,'Player Data'!$A1:$AE734,7,FALSE)*$Q550*IFERROR((VLOOKUP(P550,Settings!$E$28:$F$33,2,FALSE)+1),1)</f>
        <v>13.534561223488497</v>
      </c>
      <c r="T550" s="40">
        <f>VLOOKUP(B550,'Player Data'!$A1:$AE734,8,FALSE)*$Q550*IFERROR((VLOOKUP(P550,Settings!$E$28:$F$33,2,FALSE)+1),1)</f>
        <v>22.305617127367395</v>
      </c>
      <c r="U550" s="40">
        <f t="shared" si="52"/>
        <v>35.840178350855894</v>
      </c>
      <c r="V550" s="40">
        <f>VLOOKUP(B550,'Player Data'!$A1:$AE734,10,FALSE)*$Q550*IFERROR(((VLOOKUP(P550,Settings!$E$28:$F$33,2,FALSE)/2)+1),1)</f>
        <v>141.70929326737513</v>
      </c>
      <c r="W550" s="40">
        <f>VLOOKUP(B550,'Player Data'!$A1:$AE734,11,FALSE)*$Q550*IFERROR((VLOOKUP(P550,Settings!$E$28:$F$33,2,FALSE)+1),1)</f>
        <v>0.76056331543729128</v>
      </c>
      <c r="X550" s="40">
        <f>VLOOKUP(B550,'Player Data'!$A1:$AE734,12,FALSE)*$Q550*IFERROR((VLOOKUP(P550,Settings!$E$28:$F$33,2,FALSE)+1),1)</f>
        <v>2.2040908936830914</v>
      </c>
      <c r="Y550" s="40">
        <f>VLOOKUP(B550,'Player Data'!$A1:$AE734,13,FALSE)*$Q550</f>
        <v>1.7317151975597711</v>
      </c>
      <c r="Z550" s="40">
        <f>VLOOKUP(B550,'Player Data'!$A1:$AE734,14,FALSE)*$Q550</f>
        <v>2.2844457015690103</v>
      </c>
      <c r="AA550" s="40">
        <f>VLOOKUP(B550,'Player Data'!$A1:$AE734,15,FALSE)*$Q550</f>
        <v>47.928937911570785</v>
      </c>
      <c r="AB550" s="40">
        <f>VLOOKUP(B550,'Player Data'!$A1:$AE734,16,FALSE)*$Q550</f>
        <v>98.376198785219131</v>
      </c>
      <c r="AC550" s="40">
        <f>VLOOKUP(B550,'Player Data'!$A1:$AE734,17,FALSE)*$Q550*IFERROR((VLOOKUP(P550,Settings!$E$28:$F$33,2,FALSE)+1),1)</f>
        <v>0.87751930186906046</v>
      </c>
      <c r="AD550" s="40">
        <f>VLOOKUP(B550,'Player Data'!$A1:$AE734,18,FALSE)*$Q550</f>
        <v>40.019060716721675</v>
      </c>
      <c r="AE550" s="40">
        <f>VLOOKUP(B550,'Player Data'!$A1:$AE734,19,FALSE)*$Q550*IFERROR((VLOOKUP(P550,Settings!$E$28:$F$33,2,FALSE)+1),1)</f>
        <v>1.9892824822975259</v>
      </c>
      <c r="AF550" s="40">
        <f>VLOOKUP(B550,'Player Data'!$A1:$AE734,20,FALSE)*$Q550</f>
        <v>514.69950796325315</v>
      </c>
      <c r="AG550" s="40">
        <f>VLOOKUP(B550,'Player Data'!$A1:$AE734,21,FALSE)*$Q550</f>
        <v>433.93576302057073</v>
      </c>
      <c r="AH550" s="41">
        <f>VLOOKUP(B550,'Player Data'!$A1:$AE734,22,FALSE)</f>
        <v>0.54256838608737501</v>
      </c>
      <c r="AI550" s="38"/>
      <c r="AJ550" s="42"/>
      <c r="AK550" s="40"/>
      <c r="AL550" s="40"/>
      <c r="AM550" s="40"/>
      <c r="AN550" s="40"/>
      <c r="AO550" s="40"/>
      <c r="AP550" s="40"/>
      <c r="AQ550" s="43"/>
      <c r="AR550" s="44"/>
      <c r="AS550" s="38"/>
    </row>
    <row r="551" spans="1:45" ht="21.2" customHeight="1">
      <c r="A551" s="181">
        <f t="shared" si="48"/>
        <v>550</v>
      </c>
      <c r="B551" s="8" t="s">
        <v>678</v>
      </c>
      <c r="C551" s="31" t="s">
        <v>104</v>
      </c>
      <c r="D551" s="32" t="str">
        <f>VLOOKUP(B551,'Player Data'!A1:D734,4,FALSE)</f>
        <v>LW</v>
      </c>
      <c r="E551" s="48">
        <f>VLOOKUP(B551,LW!A1:C227,3,FALSE)</f>
        <v>133</v>
      </c>
      <c r="F551" s="34" t="str">
        <f>VLOOKUP(B551,'Player Data'!A1:B734,2,FALSE)</f>
        <v>VAN</v>
      </c>
      <c r="G551" s="9">
        <f>VLOOKUP(B551,'Player Data'!A1:D734,3,FALSE)</f>
        <v>29</v>
      </c>
      <c r="H551" s="35">
        <f>IFERROR(VLOOKUP(B551,ADP!A1:G731,7,FALSE)/1000000,VLOOKUP(B551,ADP!A1:G731,7,FALSE))</f>
        <v>0.77500000000000002</v>
      </c>
      <c r="I551" s="36">
        <f>IF(Settings!$E$15="POINTS",((R551*Q551)*Settings!$B$12)+(S551*Settings!$B$2)+(T551*Settings!$B$3)+(U551*Settings!$B$4)+(V551*Settings!$B$5)+(X551*Settings!$B$9)+(AA551*Settings!$B$6)+(W551*Settings!$B$8)+(AB551*Settings!$B$7)+(AC551*Settings!$B$14)+(AD551*Settings!$B$15)+(AE551*Settings!$B$16)+(AF551*Settings!$B$17)+(AG551*Settings!$B$18)+(Y551*Settings!$B$10)+(Z551*Settings!$B$11),VLOOKUP(B551,'Standard Deviations'!A1:C731,3,FALSE))</f>
        <v>-1.0544852869670454</v>
      </c>
      <c r="J551" s="37">
        <f t="shared" si="49"/>
        <v>-1.2859576670329822E-2</v>
      </c>
      <c r="K551" s="183">
        <f>IF(Settings!$E$18="C/LW/RW",VLOOKUP(B551,LW!A1:F227,6,FALSE),VLOOKUP(B551,F!A1:F431,6,FALSE))</f>
        <v>-7.7091543310914465</v>
      </c>
      <c r="L551" s="36">
        <f t="shared" si="50"/>
        <v>-9.9472959110857371</v>
      </c>
      <c r="M551" s="52" t="str">
        <f>IF(Settings!$E$9="YAHOO",VLOOKUP(B551,ADP!A1:E731,2,FALSE),IF(Settings!$E$9="ESPN",VLOOKUP(B551,ADP!A1:E731,3,FALSE),IF(Settings!$E$9="FANTRAX",VLOOKUP(B551,ADP!A1:E731,4,FALSE),VLOOKUP(B551,ADP!A1:E731,5,FALSE))))</f>
        <v>-</v>
      </c>
      <c r="N551" s="52" t="str">
        <f t="shared" si="51"/>
        <v>N/A</v>
      </c>
      <c r="O551" s="38"/>
      <c r="P551" s="39" t="str">
        <f>IF(Settings!$E$27="ON",_xlfn.XLOOKUP(B551,ADP!A2:A731,ADP!H2:H731)," ")</f>
        <v xml:space="preserve"> </v>
      </c>
      <c r="Q551" s="40">
        <f>IF(Settings!$E$12="YES",VLOOKUP(B551,'Player Data'!A1:E734,5,FALSE),82)</f>
        <v>82</v>
      </c>
      <c r="R551" s="38">
        <f>VLOOKUP(B551,'Player Data'!$A1:$AE734,6,FALSE)</f>
        <v>14.582448275862101</v>
      </c>
      <c r="S551" s="40">
        <f>VLOOKUP(B551,'Player Data'!$A1:$AE734,7,FALSE)*$Q551*IFERROR((VLOOKUP(P551,Settings!$E$28:$F$33,2,FALSE)+1),1)</f>
        <v>13.416854549941421</v>
      </c>
      <c r="T551" s="40">
        <f>VLOOKUP(B551,'Player Data'!$A1:$AE734,8,FALSE)*$Q551*IFERROR((VLOOKUP(P551,Settings!$E$28:$F$33,2,FALSE)+1),1)</f>
        <v>17.941055401591672</v>
      </c>
      <c r="U551" s="40">
        <f t="shared" si="52"/>
        <v>31.357909951533095</v>
      </c>
      <c r="V551" s="40">
        <f>VLOOKUP(B551,'Player Data'!$A1:$AE734,10,FALSE)*$Q551*IFERROR(((VLOOKUP(P551,Settings!$E$28:$F$33,2,FALSE)/2)+1),1)</f>
        <v>175.98399297988206</v>
      </c>
      <c r="W551" s="40">
        <f>VLOOKUP(B551,'Player Data'!$A1:$AE734,11,FALSE)*$Q551*IFERROR((VLOOKUP(P551,Settings!$E$28:$F$33,2,FALSE)+1),1)</f>
        <v>0.37731947163676333</v>
      </c>
      <c r="X551" s="40">
        <f>VLOOKUP(B551,'Player Data'!$A1:$AE734,12,FALSE)*$Q551*IFERROR((VLOOKUP(P551,Settings!$E$28:$F$33,2,FALSE)+1),1)</f>
        <v>1.364074070839201</v>
      </c>
      <c r="Y551" s="40">
        <f>VLOOKUP(B551,'Player Data'!$A1:$AE734,13,FALSE)*$Q551</f>
        <v>0.22327305307249312</v>
      </c>
      <c r="Z551" s="40">
        <f>VLOOKUP(B551,'Player Data'!$A1:$AE734,14,FALSE)*$Q551</f>
        <v>1.72061034662393</v>
      </c>
      <c r="AA551" s="40">
        <f>VLOOKUP(B551,'Player Data'!$A1:$AE734,15,FALSE)*$Q551</f>
        <v>33.592997605163589</v>
      </c>
      <c r="AB551" s="40">
        <f>VLOOKUP(B551,'Player Data'!$A1:$AE734,16,FALSE)*$Q551</f>
        <v>131.68472259810562</v>
      </c>
      <c r="AC551" s="40">
        <f>VLOOKUP(B551,'Player Data'!$A1:$AE734,17,FALSE)*$Q551*IFERROR((VLOOKUP(P551,Settings!$E$28:$F$33,2,FALSE)+1),1)</f>
        <v>0.26353832798776494</v>
      </c>
      <c r="AD551" s="40">
        <f>VLOOKUP(B551,'Player Data'!$A1:$AE734,18,FALSE)*$Q551</f>
        <v>35.678349862085206</v>
      </c>
      <c r="AE551" s="40">
        <f>VLOOKUP(B551,'Player Data'!$A1:$AE734,19,FALSE)*$Q551*IFERROR((VLOOKUP(P551,Settings!$E$28:$F$33,2,FALSE)+1),1)</f>
        <v>1.8992852201564576</v>
      </c>
      <c r="AF551" s="40">
        <f>VLOOKUP(B551,'Player Data'!$A1:$AE734,20,FALSE)*$Q551</f>
        <v>3.9258541459996938</v>
      </c>
      <c r="AG551" s="40">
        <f>VLOOKUP(B551,'Player Data'!$A1:$AE734,21,FALSE)*$Q551</f>
        <v>8.8832025992275394</v>
      </c>
      <c r="AH551" s="41">
        <f>VLOOKUP(B551,'Player Data'!$A1:$AE734,22,FALSE)</f>
        <v>0.306490495286664</v>
      </c>
      <c r="AI551" s="38"/>
      <c r="AJ551" s="42"/>
      <c r="AK551" s="40"/>
      <c r="AL551" s="40"/>
      <c r="AM551" s="40"/>
      <c r="AN551" s="40"/>
      <c r="AO551" s="40"/>
      <c r="AP551" s="40"/>
      <c r="AQ551" s="43"/>
      <c r="AR551" s="44"/>
      <c r="AS551" s="38"/>
    </row>
    <row r="552" spans="1:45" ht="21.2" customHeight="1">
      <c r="A552" s="181">
        <f t="shared" si="48"/>
        <v>551</v>
      </c>
      <c r="B552" s="8" t="s">
        <v>566</v>
      </c>
      <c r="C552" s="31" t="s">
        <v>104</v>
      </c>
      <c r="D552" s="32" t="str">
        <f>VLOOKUP(B552,'Player Data'!A1:D734,4,FALSE)</f>
        <v>C,LW</v>
      </c>
      <c r="E552" s="45">
        <f>VLOOKUP(B552,LW!A1:C227,3,FALSE)</f>
        <v>134</v>
      </c>
      <c r="F552" s="34" t="str">
        <f>VLOOKUP(B552,'Player Data'!A1:B734,2,FALSE)</f>
        <v>CHI</v>
      </c>
      <c r="G552" s="9">
        <f>VLOOKUP(B552,'Player Data'!A1:D734,3,FALSE)</f>
        <v>23</v>
      </c>
      <c r="H552" s="35">
        <f>IFERROR(VLOOKUP(B552,ADP!A1:G731,7,FALSE)/1000000,VLOOKUP(B552,ADP!A1:G731,7,FALSE))</f>
        <v>2.25</v>
      </c>
      <c r="I552" s="36">
        <f>IF(Settings!$E$15="POINTS",((R552*Q552)*Settings!$B$12)+(S552*Settings!$B$2)+(T552*Settings!$B$3)+(U552*Settings!$B$4)+(V552*Settings!$B$5)+(X552*Settings!$B$9)+(AA552*Settings!$B$6)+(W552*Settings!$B$8)+(AB552*Settings!$B$7)+(AC552*Settings!$B$14)+(AD552*Settings!$B$15)+(AE552*Settings!$B$16)+(AF552*Settings!$B$17)+(AG552*Settings!$B$18)+(Y552*Settings!$B$10)+(Z552*Settings!$B$11),VLOOKUP(B552,'Standard Deviations'!A1:C731,3,FALSE))</f>
        <v>-1.0716259602279634</v>
      </c>
      <c r="J552" s="37">
        <f t="shared" si="49"/>
        <v>-1.3068609271072725E-2</v>
      </c>
      <c r="K552" s="183">
        <f>IF(Settings!$E$18="C/LW/RW",VLOOKUP(B552,LW!A1:F227,6,FALSE),VLOOKUP(B552,F!A1:F431,6,FALSE))</f>
        <v>-7.7262950043523642</v>
      </c>
      <c r="L552" s="36">
        <f t="shared" si="50"/>
        <v>-3.4339088908232731</v>
      </c>
      <c r="M552" s="38">
        <f>IF(Settings!$E$9="YAHOO",VLOOKUP(B552,ADP!A1:E731,2,FALSE),IF(Settings!$E$9="ESPN",VLOOKUP(B552,ADP!A1:E731,3,FALSE),IF(Settings!$E$9="FANTRAX",VLOOKUP(B552,ADP!A1:E731,4,FALSE),VLOOKUP(B552,ADP!A1:E731,5,FALSE))))</f>
        <v>447.5</v>
      </c>
      <c r="N552" s="38">
        <f t="shared" si="51"/>
        <v>-103.5</v>
      </c>
      <c r="O552" s="38"/>
      <c r="P552" s="39" t="str">
        <f>IF(Settings!$E$27="ON",_xlfn.XLOOKUP(B552,ADP!A2:A731,ADP!H2:H731)," ")</f>
        <v xml:space="preserve"> </v>
      </c>
      <c r="Q552" s="40">
        <f>IF(Settings!$E$12="YES",VLOOKUP(B552,'Player Data'!A1:E734,5,FALSE),82)</f>
        <v>82</v>
      </c>
      <c r="R552" s="38">
        <f>VLOOKUP(B552,'Player Data'!$A1:$AE734,6,FALSE)</f>
        <v>16.711378292876802</v>
      </c>
      <c r="S552" s="40">
        <f>VLOOKUP(B552,'Player Data'!$A1:$AE734,7,FALSE)*$Q552*IFERROR((VLOOKUP(P552,Settings!$E$28:$F$33,2,FALSE)+1),1)</f>
        <v>12.810007263141641</v>
      </c>
      <c r="T552" s="40">
        <f>VLOOKUP(B552,'Player Data'!$A1:$AE734,8,FALSE)*$Q552*IFERROR((VLOOKUP(P552,Settings!$E$28:$F$33,2,FALSE)+1),1)</f>
        <v>21.631912912206477</v>
      </c>
      <c r="U552" s="40">
        <f t="shared" si="52"/>
        <v>34.441920175348116</v>
      </c>
      <c r="V552" s="40">
        <f>VLOOKUP(B552,'Player Data'!$A1:$AE734,10,FALSE)*$Q552*IFERROR(((VLOOKUP(P552,Settings!$E$28:$F$33,2,FALSE)/2)+1),1)</f>
        <v>127.26809355534365</v>
      </c>
      <c r="W552" s="40">
        <f>VLOOKUP(B552,'Player Data'!$A1:$AE734,11,FALSE)*$Q552*IFERROR((VLOOKUP(P552,Settings!$E$28:$F$33,2,FALSE)+1),1)</f>
        <v>1.6727766148493028</v>
      </c>
      <c r="X552" s="40">
        <f>VLOOKUP(B552,'Player Data'!$A1:$AE734,12,FALSE)*$Q552*IFERROR((VLOOKUP(P552,Settings!$E$28:$F$33,2,FALSE)+1),1)</f>
        <v>5.9022167932039071</v>
      </c>
      <c r="Y552" s="40">
        <f>VLOOKUP(B552,'Player Data'!$A1:$AE734,13,FALSE)*$Q552</f>
        <v>0.3354453967599324</v>
      </c>
      <c r="Z552" s="40">
        <f>VLOOKUP(B552,'Player Data'!$A1:$AE734,14,FALSE)*$Q552</f>
        <v>0.75488400954869095</v>
      </c>
      <c r="AA552" s="40">
        <f>VLOOKUP(B552,'Player Data'!$A1:$AE734,15,FALSE)*$Q552</f>
        <v>39.060428124034985</v>
      </c>
      <c r="AB552" s="40">
        <f>VLOOKUP(B552,'Player Data'!$A1:$AE734,16,FALSE)*$Q552</f>
        <v>50.086527557784194</v>
      </c>
      <c r="AC552" s="40">
        <f>VLOOKUP(B552,'Player Data'!$A1:$AE734,17,FALSE)*$Q552*IFERROR((VLOOKUP(P552,Settings!$E$28:$F$33,2,FALSE)+1),1)</f>
        <v>-9.6555402428572634</v>
      </c>
      <c r="AD552" s="40">
        <f>VLOOKUP(B552,'Player Data'!$A1:$AE734,18,FALSE)*$Q552</f>
        <v>21.322610594558576</v>
      </c>
      <c r="AE552" s="40">
        <f>VLOOKUP(B552,'Player Data'!$A1:$AE734,19,FALSE)*$Q552*IFERROR((VLOOKUP(P552,Settings!$E$28:$F$33,2,FALSE)+1),1)</f>
        <v>1.501096531611182</v>
      </c>
      <c r="AF552" s="40">
        <f>VLOOKUP(B552,'Player Data'!$A1:$AE734,20,FALSE)*$Q552</f>
        <v>102.37626426149194</v>
      </c>
      <c r="AG552" s="40">
        <f>VLOOKUP(B552,'Player Data'!$A1:$AE734,21,FALSE)*$Q552</f>
        <v>133.9944080731716</v>
      </c>
      <c r="AH552" s="41">
        <f>VLOOKUP(B552,'Player Data'!$A1:$AE734,22,FALSE)</f>
        <v>0.43311745594454798</v>
      </c>
      <c r="AI552" s="38"/>
      <c r="AJ552" s="42"/>
      <c r="AK552" s="40"/>
      <c r="AL552" s="40"/>
      <c r="AM552" s="40"/>
      <c r="AN552" s="40"/>
      <c r="AO552" s="40"/>
      <c r="AP552" s="40"/>
      <c r="AQ552" s="43"/>
      <c r="AR552" s="44"/>
      <c r="AS552" s="38"/>
    </row>
    <row r="553" spans="1:45" ht="21.2" customHeight="1">
      <c r="A553" s="181">
        <f t="shared" si="48"/>
        <v>552</v>
      </c>
      <c r="B553" s="8" t="s">
        <v>577</v>
      </c>
      <c r="C553" s="31" t="s">
        <v>104</v>
      </c>
      <c r="D553" s="32" t="str">
        <f>VLOOKUP(B553,'Player Data'!A1:D734,4,FALSE)</f>
        <v>LW,RW</v>
      </c>
      <c r="E553" s="45">
        <f>VLOOKUP(B553,RW!A1:F189,3,FALSE)</f>
        <v>123</v>
      </c>
      <c r="F553" s="34" t="str">
        <f>VLOOKUP(B553,'Player Data'!A1:B734,2,FALSE)</f>
        <v>DET</v>
      </c>
      <c r="G553" s="9">
        <f>VLOOKUP(B553,'Player Data'!A1:D734,3,FALSE)</f>
        <v>23</v>
      </c>
      <c r="H553" s="35">
        <f>IFERROR(VLOOKUP(B553,ADP!A1:G731,7,FALSE)/1000000,VLOOKUP(B553,ADP!A1:G731,7,FALSE))</f>
        <v>0.92500000000000004</v>
      </c>
      <c r="I553" s="36">
        <f>IF(Settings!$E$15="POINTS",((R553*Q553)*Settings!$B$12)+(S553*Settings!$B$2)+(T553*Settings!$B$3)+(U553*Settings!$B$4)+(V553*Settings!$B$5)+(X553*Settings!$B$9)+(AA553*Settings!$B$6)+(W553*Settings!$B$8)+(AB553*Settings!$B$7)+(AC553*Settings!$B$14)+(AD553*Settings!$B$15)+(AE553*Settings!$B$16)+(AF553*Settings!$B$17)+(AG553*Settings!$B$18)+(Y553*Settings!$B$10)+(Z553*Settings!$B$11),VLOOKUP(B553,'Standard Deviations'!A1:C731,3,FALSE))</f>
        <v>-1.4735546884016946</v>
      </c>
      <c r="J553" s="37">
        <f t="shared" si="49"/>
        <v>-1.7970179126849933E-2</v>
      </c>
      <c r="K553" s="183">
        <f>IF(Settings!$E$18="C/LW/RW",VLOOKUP(B553,RW!A1:F189,6,FALSE),VLOOKUP(B553,F!A1:F431,6,FALSE))</f>
        <v>-7.7538134074127756</v>
      </c>
      <c r="L553" s="36">
        <f t="shared" si="50"/>
        <v>-8.3825009809867836</v>
      </c>
      <c r="M553" s="52" t="str">
        <f>IF(Settings!$E$9="YAHOO",VLOOKUP(B553,ADP!A1:E731,2,FALSE),IF(Settings!$E$9="ESPN",VLOOKUP(B553,ADP!A1:E731,3,FALSE),IF(Settings!$E$9="FANTRAX",VLOOKUP(B553,ADP!A1:E731,4,FALSE),VLOOKUP(B553,ADP!A1:E731,5,FALSE))))</f>
        <v>-</v>
      </c>
      <c r="N553" s="52" t="str">
        <f t="shared" si="51"/>
        <v>N/A</v>
      </c>
      <c r="O553" s="38"/>
      <c r="P553" s="39" t="str">
        <f>IF(Settings!$E$27="ON",_xlfn.XLOOKUP(B553,ADP!A2:A731,ADP!H2:H731)," ")</f>
        <v xml:space="preserve"> </v>
      </c>
      <c r="Q553" s="40">
        <f>IF(Settings!$E$12="YES",VLOOKUP(B553,'Player Data'!A1:E734,5,FALSE),82)</f>
        <v>82</v>
      </c>
      <c r="R553" s="38">
        <f>VLOOKUP(B553,'Player Data'!$A1:$AE734,6,FALSE)</f>
        <v>12.5984188545316</v>
      </c>
      <c r="S553" s="40">
        <f>VLOOKUP(B553,'Player Data'!$A1:$AE734,7,FALSE)*$Q553*IFERROR((VLOOKUP(P553,Settings!$E$28:$F$33,2,FALSE)+1),1)</f>
        <v>14.868992452964283</v>
      </c>
      <c r="T553" s="40">
        <f>VLOOKUP(B553,'Player Data'!$A1:$AE734,8,FALSE)*$Q553*IFERROR((VLOOKUP(P553,Settings!$E$28:$F$33,2,FALSE)+1),1)</f>
        <v>15.204454767487093</v>
      </c>
      <c r="U553" s="40">
        <f t="shared" si="52"/>
        <v>30.073447220451378</v>
      </c>
      <c r="V553" s="40">
        <f>VLOOKUP(B553,'Player Data'!$A1:$AE734,10,FALSE)*$Q553*IFERROR(((VLOOKUP(P553,Settings!$E$28:$F$33,2,FALSE)/2)+1),1)</f>
        <v>119.97828677525894</v>
      </c>
      <c r="W553" s="40">
        <f>VLOOKUP(B553,'Player Data'!$A1:$AE734,11,FALSE)*$Q553*IFERROR((VLOOKUP(P553,Settings!$E$28:$F$33,2,FALSE)+1),1)</f>
        <v>4.0479266612070823</v>
      </c>
      <c r="X553" s="40">
        <f>VLOOKUP(B553,'Player Data'!$A1:$AE734,12,FALSE)*$Q553*IFERROR((VLOOKUP(P553,Settings!$E$28:$F$33,2,FALSE)+1),1)</f>
        <v>7.720257284705041</v>
      </c>
      <c r="Y553" s="40">
        <f>VLOOKUP(B553,'Player Data'!$A1:$AE734,13,FALSE)*$Q553</f>
        <v>4.0546750511315363E-3</v>
      </c>
      <c r="Z553" s="40">
        <f>VLOOKUP(B553,'Player Data'!$A1:$AE734,14,FALSE)*$Q553</f>
        <v>7.9933945479047502E-3</v>
      </c>
      <c r="AA553" s="40">
        <f>VLOOKUP(B553,'Player Data'!$A1:$AE734,15,FALSE)*$Q553</f>
        <v>34.077446484892029</v>
      </c>
      <c r="AB553" s="40">
        <f>VLOOKUP(B553,'Player Data'!$A1:$AE734,16,FALSE)*$Q553</f>
        <v>42.783369638324622</v>
      </c>
      <c r="AC553" s="40">
        <f>VLOOKUP(B553,'Player Data'!$A1:$AE734,17,FALSE)*$Q553*IFERROR((VLOOKUP(P553,Settings!$E$28:$F$33,2,FALSE)+1),1)</f>
        <v>-2.7404817915200965</v>
      </c>
      <c r="AD553" s="40">
        <f>VLOOKUP(B553,'Player Data'!$A1:$AE734,18,FALSE)*$Q553</f>
        <v>21.288373238610916</v>
      </c>
      <c r="AE553" s="40">
        <f>VLOOKUP(B553,'Player Data'!$A1:$AE734,19,FALSE)*$Q553*IFERROR((VLOOKUP(P553,Settings!$E$28:$F$33,2,FALSE)+1),1)</f>
        <v>1.967700900438053</v>
      </c>
      <c r="AF553" s="40">
        <f>VLOOKUP(B553,'Player Data'!$A1:$AE734,20,FALSE)*$Q553</f>
        <v>3.4366182145159527</v>
      </c>
      <c r="AG553" s="40">
        <f>VLOOKUP(B553,'Player Data'!$A1:$AE734,21,FALSE)*$Q553</f>
        <v>3.4366182145159527</v>
      </c>
      <c r="AH553" s="41">
        <f>VLOOKUP(B553,'Player Data'!$A1:$AE734,22,FALSE)</f>
        <v>0.5</v>
      </c>
      <c r="AI553" s="38"/>
      <c r="AJ553" s="42"/>
      <c r="AK553" s="40"/>
      <c r="AL553" s="40"/>
      <c r="AM553" s="40"/>
      <c r="AN553" s="40"/>
      <c r="AO553" s="40"/>
      <c r="AP553" s="40"/>
      <c r="AQ553" s="43"/>
      <c r="AR553" s="44"/>
      <c r="AS553" s="42"/>
    </row>
    <row r="554" spans="1:45" ht="21.2" customHeight="1">
      <c r="A554" s="181">
        <f t="shared" si="48"/>
        <v>553</v>
      </c>
      <c r="B554" s="8" t="s">
        <v>651</v>
      </c>
      <c r="C554" s="31" t="s">
        <v>104</v>
      </c>
      <c r="D554" s="32" t="str">
        <f>VLOOKUP(B554,'Player Data'!A1:D734,4,FALSE)</f>
        <v>D</v>
      </c>
      <c r="E554" s="47">
        <f>VLOOKUP(B554,D!A1:C229,3,FALSE)</f>
        <v>223</v>
      </c>
      <c r="F554" s="34" t="str">
        <f>VLOOKUP(B554,'Player Data'!A1:B734,2,FALSE)</f>
        <v>EDM</v>
      </c>
      <c r="G554" s="9">
        <f>VLOOKUP(B554,'Player Data'!A1:D734,3,FALSE)</f>
        <v>27</v>
      </c>
      <c r="H554" s="35">
        <f>IFERROR(VLOOKUP(B554,ADP!A1:G731,7,FALSE)/1000000,VLOOKUP(B554,ADP!A1:G731,7,FALSE))</f>
        <v>0.76249999999999996</v>
      </c>
      <c r="I554" s="36">
        <f>IF(Settings!$E$15="POINTS",((R554*Q554)*Settings!$B$12)+(S554*Settings!$B$2)+(T554*Settings!$B$3)+(U554*Settings!$B$4)+(V554*Settings!$B$5)+(X554*Settings!$B$9)+(AA554*Settings!$B$6)+(W554*Settings!$B$8)+(AB554*Settings!$B$7)+(AC554*Settings!$B$14)+(AD554*Settings!$B$15)+(AE554*Settings!$B$16)+(AF554*Settings!$B$17)+(AG554*Settings!$B$18)+(U554*Settings!$B$13)+(Y554*Settings!$B$10)+(Z554*Settings!$B$11),VLOOKUP(B554,'Standard Deviations'!A1:C731,3,FALSE))</f>
        <v>-5.8316120054957166</v>
      </c>
      <c r="J554" s="37">
        <f t="shared" si="49"/>
        <v>-7.1117219579216059E-2</v>
      </c>
      <c r="K554" s="183">
        <f>VLOOKUP(B554,D!A1:F229,6,FALSE)</f>
        <v>-7.7733525491300277</v>
      </c>
      <c r="L554" s="36">
        <f t="shared" si="50"/>
        <v>-10.194560720170529</v>
      </c>
      <c r="M554" s="52" t="str">
        <f>IF(Settings!$E$9="YAHOO",VLOOKUP(B554,ADP!A1:E731,2,FALSE),IF(Settings!$E$9="ESPN",VLOOKUP(B554,ADP!A1:E731,3,FALSE),IF(Settings!$E$9="FANTRAX",VLOOKUP(B554,ADP!A1:E731,4,FALSE),VLOOKUP(B554,ADP!A1:E731,5,FALSE))))</f>
        <v>-</v>
      </c>
      <c r="N554" s="52" t="str">
        <f t="shared" si="51"/>
        <v>N/A</v>
      </c>
      <c r="O554" s="38"/>
      <c r="P554" s="39" t="str">
        <f>IF(Settings!$E$27="ON",_xlfn.XLOOKUP(B554,ADP!A2:A731,ADP!H2:H731)," ")</f>
        <v xml:space="preserve"> </v>
      </c>
      <c r="Q554" s="40">
        <f>IF(Settings!$E$12="YES",VLOOKUP(B554,'Player Data'!A1:E734,5,FALSE),82)</f>
        <v>82</v>
      </c>
      <c r="R554" s="38">
        <f>VLOOKUP(B554,'Player Data'!$A1:$AE734,6,FALSE)</f>
        <v>13.422103152379799</v>
      </c>
      <c r="S554" s="40">
        <f>VLOOKUP(B554,'Player Data'!$A1:$AE734,7,FALSE)*$Q554*IFERROR((VLOOKUP(P554,Settings!$E$28:$F$33,2,FALSE)+1),1)</f>
        <v>1.5613939236268533</v>
      </c>
      <c r="T554" s="40">
        <f>VLOOKUP(B554,'Player Data'!$A1:$AE734,8,FALSE)*$Q554*IFERROR((VLOOKUP(P554,Settings!$E$28:$F$33,2,FALSE)+1),1)</f>
        <v>10.442863430099509</v>
      </c>
      <c r="U554" s="40">
        <f t="shared" si="52"/>
        <v>12.004257353726363</v>
      </c>
      <c r="V554" s="40">
        <f>VLOOKUP(B554,'Player Data'!$A1:$AE734,10,FALSE)*$Q554*IFERROR(((VLOOKUP(P554,Settings!$E$28:$F$33,2,FALSE)/2)+1),1)</f>
        <v>49.921232194836101</v>
      </c>
      <c r="W554" s="40">
        <f>VLOOKUP(B554,'Player Data'!$A1:$AE734,11,FALSE)*$Q554*IFERROR((VLOOKUP(P554,Settings!$E$28:$F$33,2,FALSE)+1),1)</f>
        <v>1.3840429187033461E-2</v>
      </c>
      <c r="X554" s="40">
        <f>VLOOKUP(B554,'Player Data'!$A1:$AE734,12,FALSE)*$Q554*IFERROR((VLOOKUP(P554,Settings!$E$28:$F$33,2,FALSE)+1),1)</f>
        <v>8.7006596863855409E-2</v>
      </c>
      <c r="Y554" s="40">
        <f>VLOOKUP(B554,'Player Data'!$A1:$AE734,13,FALSE)*$Q554</f>
        <v>6.2054253931715299E-2</v>
      </c>
      <c r="Z554" s="40">
        <f>VLOOKUP(B554,'Player Data'!$A1:$AE734,14,FALSE)*$Q554</f>
        <v>1.5693351192028118</v>
      </c>
      <c r="AA554" s="40">
        <f>VLOOKUP(B554,'Player Data'!$A1:$AE734,15,FALSE)*$Q554</f>
        <v>100.83240879593612</v>
      </c>
      <c r="AB554" s="40">
        <f>VLOOKUP(B554,'Player Data'!$A1:$AE734,16,FALSE)*$Q554</f>
        <v>100.95149558882669</v>
      </c>
      <c r="AC554" s="40">
        <f>VLOOKUP(B554,'Player Data'!$A1:$AE734,17,FALSE)*$Q554*IFERROR((VLOOKUP(P554,Settings!$E$28:$F$33,2,FALSE)+1),1)</f>
        <v>5.7990682271926897</v>
      </c>
      <c r="AD554" s="40">
        <f>VLOOKUP(B554,'Player Data'!$A1:$AE734,18,FALSE)*$Q554</f>
        <v>47.485741479644702</v>
      </c>
      <c r="AE554" s="40">
        <f>VLOOKUP(B554,'Player Data'!$A1:$AE734,19,FALSE)*$Q554*IFERROR((VLOOKUP(P554,Settings!$E$28:$F$33,2,FALSE)+1),1)</f>
        <v>0.24715189557370479</v>
      </c>
      <c r="AF554" s="40">
        <f>VLOOKUP(B554,'Player Data'!$A1:$AE734,20,FALSE)*$Q554</f>
        <v>0</v>
      </c>
      <c r="AG554" s="40">
        <f>VLOOKUP(B554,'Player Data'!$A1:$AE734,21,FALSE)*$Q554</f>
        <v>0</v>
      </c>
      <c r="AH554" s="41">
        <f>VLOOKUP(B554,'Player Data'!$A1:$AE734,22,FALSE)</f>
        <v>0</v>
      </c>
      <c r="AI554" s="38"/>
      <c r="AJ554" s="42"/>
      <c r="AK554" s="40"/>
      <c r="AL554" s="40"/>
      <c r="AM554" s="40"/>
      <c r="AN554" s="40"/>
      <c r="AO554" s="40"/>
      <c r="AP554" s="40"/>
      <c r="AQ554" s="43"/>
      <c r="AR554" s="44"/>
      <c r="AS554" s="38"/>
    </row>
    <row r="555" spans="1:45" ht="21.2" customHeight="1">
      <c r="A555" s="181">
        <f t="shared" si="48"/>
        <v>554</v>
      </c>
      <c r="B555" s="8" t="s">
        <v>538</v>
      </c>
      <c r="C555" s="31" t="s">
        <v>104</v>
      </c>
      <c r="D555" s="32" t="str">
        <f>VLOOKUP(B555,'Player Data'!A1:D734,4,FALSE)</f>
        <v>RW</v>
      </c>
      <c r="E555" s="46">
        <f>VLOOKUP(B555,RW!A1:F189,3,FALSE)</f>
        <v>124</v>
      </c>
      <c r="F555" s="34" t="str">
        <f>VLOOKUP(B555,'Player Data'!A1:B734,2,FALSE)</f>
        <v>DAL</v>
      </c>
      <c r="G555" s="9">
        <f>VLOOKUP(B555,'Player Data'!A1:D734,3,FALSE)</f>
        <v>34</v>
      </c>
      <c r="H555" s="35">
        <f>IFERROR(VLOOKUP(B555,ADP!A1:G731,7,FALSE)/1000000,VLOOKUP(B555,ADP!A1:G731,7,FALSE))</f>
        <v>2.71</v>
      </c>
      <c r="I555" s="36">
        <f>IF(Settings!$E$15="POINTS",((R555*Q555)*Settings!$B$12)+(S555*Settings!$B$2)+(T555*Settings!$B$3)+(U555*Settings!$B$4)+(V555*Settings!$B$5)+(X555*Settings!$B$9)+(AA555*Settings!$B$6)+(W555*Settings!$B$8)+(AB555*Settings!$B$7)+(AC555*Settings!$B$14)+(AD555*Settings!$B$15)+(AE555*Settings!$B$16)+(AF555*Settings!$B$17)+(AG555*Settings!$B$18)+(Y555*Settings!$B$10)+(Z555*Settings!$B$11),VLOOKUP(B555,'Standard Deviations'!A1:C731,3,FALSE))</f>
        <v>-1.5012486948071659</v>
      </c>
      <c r="J555" s="37">
        <f t="shared" si="49"/>
        <v>-1.830791091228251E-2</v>
      </c>
      <c r="K555" s="183">
        <f>IF(Settings!$E$18="C/LW/RW",VLOOKUP(B555,RW!A1:F189,6,FALSE),VLOOKUP(B555,F!A1:F431,6,FALSE))</f>
        <v>-7.7815074138182467</v>
      </c>
      <c r="L555" s="36">
        <f t="shared" si="50"/>
        <v>-2.8714049497484306</v>
      </c>
      <c r="M555" s="52" t="str">
        <f>IF(Settings!$E$9="YAHOO",VLOOKUP(B555,ADP!A1:E731,2,FALSE),IF(Settings!$E$9="ESPN",VLOOKUP(B555,ADP!A1:E731,3,FALSE),IF(Settings!$E$9="FANTRAX",VLOOKUP(B555,ADP!A1:E731,4,FALSE),VLOOKUP(B555,ADP!A1:E731,5,FALSE))))</f>
        <v>-</v>
      </c>
      <c r="N555" s="52" t="str">
        <f t="shared" si="51"/>
        <v>N/A</v>
      </c>
      <c r="O555" s="38"/>
      <c r="P555" s="39" t="str">
        <f>IF(Settings!$E$27="ON",_xlfn.XLOOKUP(B555,ADP!A2:A731,ADP!H2:H731)," ")</f>
        <v xml:space="preserve"> </v>
      </c>
      <c r="Q555" s="40">
        <f>IF(Settings!$E$12="YES",VLOOKUP(B555,'Player Data'!A1:E734,5,FALSE),82)</f>
        <v>82</v>
      </c>
      <c r="R555" s="38">
        <f>VLOOKUP(B555,'Player Data'!$A1:$AE734,6,FALSE)</f>
        <v>13.7212905977057</v>
      </c>
      <c r="S555" s="40">
        <f>VLOOKUP(B555,'Player Data'!$A1:$AE734,7,FALSE)*$Q555*IFERROR((VLOOKUP(P555,Settings!$E$28:$F$33,2,FALSE)+1),1)</f>
        <v>10.80925096428027</v>
      </c>
      <c r="T555" s="40">
        <f>VLOOKUP(B555,'Player Data'!$A1:$AE734,8,FALSE)*$Q555*IFERROR((VLOOKUP(P555,Settings!$E$28:$F$33,2,FALSE)+1),1)</f>
        <v>20.494678610077408</v>
      </c>
      <c r="U555" s="40">
        <f t="shared" si="52"/>
        <v>31.303929574357678</v>
      </c>
      <c r="V555" s="40">
        <f>VLOOKUP(B555,'Player Data'!$A1:$AE734,10,FALSE)*$Q555*IFERROR(((VLOOKUP(P555,Settings!$E$28:$F$33,2,FALSE)/2)+1),1)</f>
        <v>126.32536863257563</v>
      </c>
      <c r="W555" s="40">
        <f>VLOOKUP(B555,'Player Data'!$A1:$AE734,11,FALSE)*$Q555*IFERROR((VLOOKUP(P555,Settings!$E$28:$F$33,2,FALSE)+1),1)</f>
        <v>1.5824163527624602</v>
      </c>
      <c r="X555" s="40">
        <f>VLOOKUP(B555,'Player Data'!$A1:$AE734,12,FALSE)*$Q555*IFERROR((VLOOKUP(P555,Settings!$E$28:$F$33,2,FALSE)+1),1)</f>
        <v>5.8906202953499633</v>
      </c>
      <c r="Y555" s="40">
        <f>VLOOKUP(B555,'Player Data'!$A1:$AE734,13,FALSE)*$Q555</f>
        <v>5.8100435595437303E-2</v>
      </c>
      <c r="Z555" s="40">
        <f>VLOOKUP(B555,'Player Data'!$A1:$AE734,14,FALSE)*$Q555</f>
        <v>8.5103457990024875E-2</v>
      </c>
      <c r="AA555" s="40">
        <f>VLOOKUP(B555,'Player Data'!$A1:$AE734,15,FALSE)*$Q555</f>
        <v>38.327192325048422</v>
      </c>
      <c r="AB555" s="40">
        <f>VLOOKUP(B555,'Player Data'!$A1:$AE734,16,FALSE)*$Q555</f>
        <v>52.296647950261665</v>
      </c>
      <c r="AC555" s="40">
        <f>VLOOKUP(B555,'Player Data'!$A1:$AE734,17,FALSE)*$Q555*IFERROR((VLOOKUP(P555,Settings!$E$28:$F$33,2,FALSE)+1),1)</f>
        <v>4.7451230892442826</v>
      </c>
      <c r="AD555" s="40">
        <f>VLOOKUP(B555,'Player Data'!$A1:$AE734,18,FALSE)*$Q555</f>
        <v>17.639717268600428</v>
      </c>
      <c r="AE555" s="40">
        <f>VLOOKUP(B555,'Player Data'!$A1:$AE734,19,FALSE)*$Q555*IFERROR((VLOOKUP(P555,Settings!$E$28:$F$33,2,FALSE)+1),1)</f>
        <v>1.7294035269161101</v>
      </c>
      <c r="AF555" s="40">
        <f>VLOOKUP(B555,'Player Data'!$A1:$AE734,20,FALSE)*$Q555</f>
        <v>1.2557189073559232</v>
      </c>
      <c r="AG555" s="40">
        <f>VLOOKUP(B555,'Player Data'!$A1:$AE734,21,FALSE)*$Q555</f>
        <v>5.6469827003059887</v>
      </c>
      <c r="AH555" s="41">
        <f>VLOOKUP(B555,'Player Data'!$A1:$AE734,22,FALSE)</f>
        <v>0.18191702013630301</v>
      </c>
      <c r="AI555" s="38"/>
      <c r="AJ555" s="42"/>
      <c r="AK555" s="40"/>
      <c r="AL555" s="40"/>
      <c r="AM555" s="40"/>
      <c r="AN555" s="40"/>
      <c r="AO555" s="40"/>
      <c r="AP555" s="40"/>
      <c r="AQ555" s="43"/>
      <c r="AR555" s="44"/>
      <c r="AS555" s="38"/>
    </row>
    <row r="556" spans="1:45" ht="21.2" customHeight="1">
      <c r="A556" s="181">
        <f t="shared" si="48"/>
        <v>555</v>
      </c>
      <c r="B556" s="8" t="s">
        <v>668</v>
      </c>
      <c r="C556" s="31" t="s">
        <v>104</v>
      </c>
      <c r="D556" s="32" t="str">
        <f>VLOOKUP(B556,'Player Data'!A1:D734,4,FALSE)</f>
        <v>RW</v>
      </c>
      <c r="E556" s="46">
        <f>VLOOKUP(B556,RW!A1:F189,3,FALSE)</f>
        <v>125</v>
      </c>
      <c r="F556" s="34" t="str">
        <f>VLOOKUP(B556,'Player Data'!A1:B734,2,FALSE)</f>
        <v>NJD</v>
      </c>
      <c r="G556" s="9">
        <f>VLOOKUP(B556,'Player Data'!A1:D734,3,FALSE)</f>
        <v>21</v>
      </c>
      <c r="H556" s="35">
        <f>IFERROR(VLOOKUP(B556,ADP!A1:G731,7,FALSE)/1000000,VLOOKUP(B556,ADP!A1:G731,7,FALSE))</f>
        <v>0</v>
      </c>
      <c r="I556" s="36">
        <f>IF(Settings!$E$15="POINTS",((R556*Q556)*Settings!$B$12)+(S556*Settings!$B$2)+(T556*Settings!$B$3)+(U556*Settings!$B$4)+(V556*Settings!$B$5)+(X556*Settings!$B$9)+(AA556*Settings!$B$6)+(W556*Settings!$B$8)+(AB556*Settings!$B$7)+(AC556*Settings!$B$14)+(AD556*Settings!$B$15)+(AE556*Settings!$B$16)+(AF556*Settings!$B$17)+(AG556*Settings!$B$18)+(Y556*Settings!$B$10)+(Z556*Settings!$B$11),VLOOKUP(B556,'Standard Deviations'!A1:C731,3,FALSE))</f>
        <v>-1.5257614178577437</v>
      </c>
      <c r="J556" s="37">
        <f t="shared" si="49"/>
        <v>-1.8606846559240775E-2</v>
      </c>
      <c r="K556" s="183">
        <f>IF(Settings!$E$18="C/LW/RW",VLOOKUP(B556,RW!A1:F189,6,FALSE),VLOOKUP(B556,F!A1:F431,6,FALSE))</f>
        <v>-7.806020136868824</v>
      </c>
      <c r="L556" s="49" t="str">
        <f t="shared" si="50"/>
        <v>N/A</v>
      </c>
      <c r="M556" s="52" t="str">
        <f>IF(Settings!$E$9="YAHOO",VLOOKUP(B556,ADP!A1:E731,2,FALSE),IF(Settings!$E$9="ESPN",VLOOKUP(B556,ADP!A1:E731,3,FALSE),IF(Settings!$E$9="FANTRAX",VLOOKUP(B556,ADP!A1:E731,4,FALSE),VLOOKUP(B556,ADP!A1:E731,5,FALSE))))</f>
        <v>-</v>
      </c>
      <c r="N556" s="52" t="str">
        <f t="shared" si="51"/>
        <v>N/A</v>
      </c>
      <c r="O556" s="38"/>
      <c r="P556" s="39" t="str">
        <f>IF(Settings!$E$27="ON",_xlfn.XLOOKUP(B556,ADP!A2:A731,ADP!H2:H731)," ")</f>
        <v xml:space="preserve"> </v>
      </c>
      <c r="Q556" s="40">
        <f>IF(Settings!$E$12="YES",VLOOKUP(B556,'Player Data'!A1:E734,5,FALSE),82)</f>
        <v>82</v>
      </c>
      <c r="R556" s="38">
        <f>VLOOKUP(B556,'Player Data'!$A1:$AE734,6,FALSE)</f>
        <v>13.626346150504</v>
      </c>
      <c r="S556" s="40">
        <f>VLOOKUP(B556,'Player Data'!$A1:$AE734,7,FALSE)*$Q556*IFERROR((VLOOKUP(P556,Settings!$E$28:$F$33,2,FALSE)+1),1)</f>
        <v>13.663048591526609</v>
      </c>
      <c r="T556" s="40">
        <f>VLOOKUP(B556,'Player Data'!$A1:$AE734,8,FALSE)*$Q556*IFERROR((VLOOKUP(P556,Settings!$E$28:$F$33,2,FALSE)+1),1)</f>
        <v>16.658691867781489</v>
      </c>
      <c r="U556" s="40">
        <f t="shared" si="52"/>
        <v>30.321740459308096</v>
      </c>
      <c r="V556" s="40">
        <f>VLOOKUP(B556,'Player Data'!$A1:$AE734,10,FALSE)*$Q556*IFERROR(((VLOOKUP(P556,Settings!$E$28:$F$33,2,FALSE)/2)+1),1)</f>
        <v>120.2833826242109</v>
      </c>
      <c r="W556" s="40">
        <f>VLOOKUP(B556,'Player Data'!$A1:$AE734,11,FALSE)*$Q556*IFERROR((VLOOKUP(P556,Settings!$E$28:$F$33,2,FALSE)+1),1)</f>
        <v>4.1807112842293206</v>
      </c>
      <c r="X556" s="40">
        <f>VLOOKUP(B556,'Player Data'!$A1:$AE734,12,FALSE)*$Q556*IFERROR((VLOOKUP(P556,Settings!$E$28:$F$33,2,FALSE)+1),1)</f>
        <v>7.1389821193208585</v>
      </c>
      <c r="Y556" s="40">
        <f>VLOOKUP(B556,'Player Data'!$A1:$AE734,13,FALSE)*$Q556</f>
        <v>0</v>
      </c>
      <c r="Z556" s="40">
        <f>VLOOKUP(B556,'Player Data'!$A1:$AE734,14,FALSE)*$Q556</f>
        <v>0</v>
      </c>
      <c r="AA556" s="40">
        <f>VLOOKUP(B556,'Player Data'!$A1:$AE734,15,FALSE)*$Q556</f>
        <v>30.187654499371021</v>
      </c>
      <c r="AB556" s="40">
        <f>VLOOKUP(B556,'Player Data'!$A1:$AE734,16,FALSE)*$Q556</f>
        <v>78.015334992749246</v>
      </c>
      <c r="AC556" s="40">
        <f>VLOOKUP(B556,'Player Data'!$A1:$AE734,17,FALSE)*$Q556*IFERROR((VLOOKUP(P556,Settings!$E$28:$F$33,2,FALSE)+1),1)</f>
        <v>-1.1957568160579861</v>
      </c>
      <c r="AD556" s="40">
        <f>VLOOKUP(B556,'Player Data'!$A1:$AE734,18,FALSE)*$Q556</f>
        <v>31.575333431719677</v>
      </c>
      <c r="AE556" s="40">
        <f>VLOOKUP(B556,'Player Data'!$A1:$AE734,19,FALSE)*$Q556*IFERROR((VLOOKUP(P556,Settings!$E$28:$F$33,2,FALSE)+1),1)</f>
        <v>2.0081672962352801</v>
      </c>
      <c r="AF556" s="40">
        <f>VLOOKUP(B556,'Player Data'!$A1:$AE734,20,FALSE)*$Q556</f>
        <v>0</v>
      </c>
      <c r="AG556" s="40">
        <f>VLOOKUP(B556,'Player Data'!$A1:$AE734,21,FALSE)*$Q556</f>
        <v>0</v>
      </c>
      <c r="AH556" s="41">
        <f>VLOOKUP(B556,'Player Data'!$A1:$AE734,22,FALSE)</f>
        <v>0</v>
      </c>
      <c r="AI556" s="38"/>
      <c r="AJ556" s="42"/>
      <c r="AK556" s="40"/>
      <c r="AL556" s="40"/>
      <c r="AM556" s="40"/>
      <c r="AN556" s="40"/>
      <c r="AO556" s="40"/>
      <c r="AP556" s="40"/>
      <c r="AQ556" s="43"/>
      <c r="AR556" s="44"/>
      <c r="AS556" s="38"/>
    </row>
    <row r="557" spans="1:45" ht="21.2" customHeight="1">
      <c r="A557" s="181">
        <f t="shared" si="48"/>
        <v>556</v>
      </c>
      <c r="B557" s="8" t="s">
        <v>600</v>
      </c>
      <c r="C557" s="31" t="s">
        <v>104</v>
      </c>
      <c r="D557" s="32" t="str">
        <f>VLOOKUP(B557,'Player Data'!A1:D734,4,FALSE)</f>
        <v>C,LW</v>
      </c>
      <c r="E557" s="45">
        <f>VLOOKUP(B557,LW!A1:C227,3,FALSE)</f>
        <v>135</v>
      </c>
      <c r="F557" s="34" t="str">
        <f>VLOOKUP(B557,'Player Data'!A1:B734,2,FALSE)</f>
        <v>SJS</v>
      </c>
      <c r="G557" s="9">
        <f>VLOOKUP(B557,'Player Data'!A1:D734,3,FALSE)</f>
        <v>25</v>
      </c>
      <c r="H557" s="35">
        <f>IFERROR(VLOOKUP(B557,ADP!A1:G731,7,FALSE)/1000000,VLOOKUP(B557,ADP!A1:G731,7,FALSE))</f>
        <v>2.75</v>
      </c>
      <c r="I557" s="36">
        <f>IF(Settings!$E$15="POINTS",((R557*Q557)*Settings!$B$12)+(S557*Settings!$B$2)+(T557*Settings!$B$3)+(U557*Settings!$B$4)+(V557*Settings!$B$5)+(X557*Settings!$B$9)+(AA557*Settings!$B$6)+(W557*Settings!$B$8)+(AB557*Settings!$B$7)+(AC557*Settings!$B$14)+(AD557*Settings!$B$15)+(AE557*Settings!$B$16)+(AF557*Settings!$B$17)+(AG557*Settings!$B$18)+(Y557*Settings!$B$10)+(Z557*Settings!$B$11),VLOOKUP(B557,'Standard Deviations'!A1:C731,3,FALSE))</f>
        <v>-1.201911584933578</v>
      </c>
      <c r="J557" s="37">
        <f t="shared" si="49"/>
        <v>-1.4657458352848513E-2</v>
      </c>
      <c r="K557" s="183">
        <f>IF(Settings!$E$18="C/LW/RW",VLOOKUP(B557,LW!A1:F227,6,FALSE),VLOOKUP(B557,F!A1:F431,6,FALSE))</f>
        <v>-7.8565806290579792</v>
      </c>
      <c r="L557" s="36">
        <f t="shared" si="50"/>
        <v>-2.8569384105665381</v>
      </c>
      <c r="M557" s="52" t="str">
        <f>IF(Settings!$E$9="YAHOO",VLOOKUP(B557,ADP!A1:E731,2,FALSE),IF(Settings!$E$9="ESPN",VLOOKUP(B557,ADP!A1:E731,3,FALSE),IF(Settings!$E$9="FANTRAX",VLOOKUP(B557,ADP!A1:E731,4,FALSE),VLOOKUP(B557,ADP!A1:E731,5,FALSE))))</f>
        <v>-</v>
      </c>
      <c r="N557" s="52" t="str">
        <f t="shared" si="51"/>
        <v>N/A</v>
      </c>
      <c r="O557" s="38"/>
      <c r="P557" s="39" t="str">
        <f>IF(Settings!$E$27="ON",_xlfn.XLOOKUP(B557,ADP!A2:A731,ADP!H2:H731)," ")</f>
        <v xml:space="preserve"> </v>
      </c>
      <c r="Q557" s="40">
        <f>IF(Settings!$E$12="YES",VLOOKUP(B557,'Player Data'!A1:E734,5,FALSE),82)</f>
        <v>82</v>
      </c>
      <c r="R557" s="38">
        <f>VLOOKUP(B557,'Player Data'!$A1:$AE734,6,FALSE)</f>
        <v>15.359567736059001</v>
      </c>
      <c r="S557" s="40">
        <f>VLOOKUP(B557,'Player Data'!$A1:$AE734,7,FALSE)*$Q557*IFERROR((VLOOKUP(P557,Settings!$E$28:$F$33,2,FALSE)+1),1)</f>
        <v>15.024091990145203</v>
      </c>
      <c r="T557" s="40">
        <f>VLOOKUP(B557,'Player Data'!$A1:$AE734,8,FALSE)*$Q557*IFERROR((VLOOKUP(P557,Settings!$E$28:$F$33,2,FALSE)+1),1)</f>
        <v>16.114245025009815</v>
      </c>
      <c r="U557" s="40">
        <f t="shared" si="52"/>
        <v>31.138337015155017</v>
      </c>
      <c r="V557" s="40">
        <f>VLOOKUP(B557,'Player Data'!$A1:$AE734,10,FALSE)*$Q557*IFERROR(((VLOOKUP(P557,Settings!$E$28:$F$33,2,FALSE)/2)+1),1)</f>
        <v>150.48702547915718</v>
      </c>
      <c r="W557" s="40">
        <f>VLOOKUP(B557,'Player Data'!$A1:$AE734,11,FALSE)*$Q557*IFERROR((VLOOKUP(P557,Settings!$E$28:$F$33,2,FALSE)+1),1)</f>
        <v>1.5963491505594771</v>
      </c>
      <c r="X557" s="40">
        <f>VLOOKUP(B557,'Player Data'!$A1:$AE734,12,FALSE)*$Q557*IFERROR((VLOOKUP(P557,Settings!$E$28:$F$33,2,FALSE)+1),1)</f>
        <v>4.045595124706387</v>
      </c>
      <c r="Y557" s="40">
        <f>VLOOKUP(B557,'Player Data'!$A1:$AE734,13,FALSE)*$Q557</f>
        <v>0.32385590505233885</v>
      </c>
      <c r="Z557" s="40">
        <f>VLOOKUP(B557,'Player Data'!$A1:$AE734,14,FALSE)*$Q557</f>
        <v>0.66417647034842797</v>
      </c>
      <c r="AA557" s="40">
        <f>VLOOKUP(B557,'Player Data'!$A1:$AE734,15,FALSE)*$Q557</f>
        <v>62.537682788546491</v>
      </c>
      <c r="AB557" s="40">
        <f>VLOOKUP(B557,'Player Data'!$A1:$AE734,16,FALSE)*$Q557</f>
        <v>185.12052239567009</v>
      </c>
      <c r="AC557" s="40">
        <f>VLOOKUP(B557,'Player Data'!$A1:$AE734,17,FALSE)*$Q557*IFERROR((VLOOKUP(P557,Settings!$E$28:$F$33,2,FALSE)+1),1)</f>
        <v>-1.0454681909611769</v>
      </c>
      <c r="AD557" s="40">
        <f>VLOOKUP(B557,'Player Data'!$A1:$AE734,18,FALSE)*$Q557</f>
        <v>64.412735548390629</v>
      </c>
      <c r="AE557" s="40">
        <f>VLOOKUP(B557,'Player Data'!$A1:$AE734,19,FALSE)*$Q557*IFERROR((VLOOKUP(P557,Settings!$E$28:$F$33,2,FALSE)+1),1)</f>
        <v>1.86532747556249</v>
      </c>
      <c r="AF557" s="40">
        <f>VLOOKUP(B557,'Player Data'!$A1:$AE734,20,FALSE)*$Q557</f>
        <v>27.774137241901801</v>
      </c>
      <c r="AG557" s="40">
        <f>VLOOKUP(B557,'Player Data'!$A1:$AE734,21,FALSE)*$Q557</f>
        <v>39.233806607013378</v>
      </c>
      <c r="AH557" s="41">
        <f>VLOOKUP(B557,'Player Data'!$A1:$AE734,22,FALSE)</f>
        <v>0.41449021782439599</v>
      </c>
      <c r="AI557" s="38"/>
      <c r="AJ557" s="42"/>
      <c r="AK557" s="40"/>
      <c r="AL557" s="40"/>
      <c r="AM557" s="40"/>
      <c r="AN557" s="40"/>
      <c r="AO557" s="40"/>
      <c r="AP557" s="40"/>
      <c r="AQ557" s="43"/>
      <c r="AR557" s="44"/>
      <c r="AS557" s="38"/>
    </row>
    <row r="558" spans="1:45" ht="21.2" customHeight="1">
      <c r="A558" s="181">
        <f t="shared" si="48"/>
        <v>557</v>
      </c>
      <c r="B558" s="8" t="s">
        <v>641</v>
      </c>
      <c r="C558" s="31" t="s">
        <v>104</v>
      </c>
      <c r="D558" s="32" t="str">
        <f>VLOOKUP(B558,'Player Data'!A1:D734,4,FALSE)</f>
        <v>C,LW</v>
      </c>
      <c r="E558" s="45">
        <f>VLOOKUP(B558,LW!A1:C227,3,FALSE)</f>
        <v>136</v>
      </c>
      <c r="F558" s="34" t="str">
        <f>VLOOKUP(B558,'Player Data'!A1:B734,2,FALSE)</f>
        <v>COL</v>
      </c>
      <c r="G558" s="9">
        <f>VLOOKUP(B558,'Player Data'!A1:D734,3,FALSE)</f>
        <v>28</v>
      </c>
      <c r="H558" s="35">
        <f>IFERROR(VLOOKUP(B558,ADP!A1:G731,7,FALSE)/1000000,VLOOKUP(B558,ADP!A1:G731,7,FALSE))</f>
        <v>0.82499999999999996</v>
      </c>
      <c r="I558" s="36">
        <f>IF(Settings!$E$15="POINTS",((R558*Q558)*Settings!$B$12)+(S558*Settings!$B$2)+(T558*Settings!$B$3)+(U558*Settings!$B$4)+(V558*Settings!$B$5)+(X558*Settings!$B$9)+(AA558*Settings!$B$6)+(W558*Settings!$B$8)+(AB558*Settings!$B$7)+(AC558*Settings!$B$14)+(AD558*Settings!$B$15)+(AE558*Settings!$B$16)+(AF558*Settings!$B$17)+(AG558*Settings!$B$18)+(Y558*Settings!$B$10)+(Z558*Settings!$B$11),VLOOKUP(B558,'Standard Deviations'!A1:C731,3,FALSE))</f>
        <v>-1.2577877193035096</v>
      </c>
      <c r="J558" s="37">
        <f t="shared" si="49"/>
        <v>-1.5338874625652556E-2</v>
      </c>
      <c r="K558" s="183">
        <f>IF(Settings!$E$18="C/LW/RW",VLOOKUP(B558,LW!A1:F227,6,FALSE),VLOOKUP(B558,F!A1:F431,6,FALSE))</f>
        <v>-7.9124567634279108</v>
      </c>
      <c r="L558" s="36">
        <f t="shared" si="50"/>
        <v>-9.5908566829429223</v>
      </c>
      <c r="M558" s="38">
        <f>IF(Settings!$E$9="YAHOO",VLOOKUP(B558,ADP!A1:E731,2,FALSE),IF(Settings!$E$9="ESPN",VLOOKUP(B558,ADP!A1:E731,3,FALSE),IF(Settings!$E$9="FANTRAX",VLOOKUP(B558,ADP!A1:E731,4,FALSE),VLOOKUP(B558,ADP!A1:E731,5,FALSE))))</f>
        <v>243.07</v>
      </c>
      <c r="N558" s="38">
        <f t="shared" si="51"/>
        <v>-313.93</v>
      </c>
      <c r="O558" s="38"/>
      <c r="P558" s="39" t="str">
        <f>IF(Settings!$E$27="ON",_xlfn.XLOOKUP(B558,ADP!A2:A731,ADP!H2:H731)," ")</f>
        <v xml:space="preserve"> </v>
      </c>
      <c r="Q558" s="40">
        <f>IF(Settings!$E$12="YES",VLOOKUP(B558,'Player Data'!A1:E734,5,FALSE),82)</f>
        <v>82</v>
      </c>
      <c r="R558" s="38">
        <f>VLOOKUP(B558,'Player Data'!$A1:$AE734,6,FALSE)</f>
        <v>14.166713070516201</v>
      </c>
      <c r="S558" s="40">
        <f>VLOOKUP(B558,'Player Data'!$A1:$AE734,7,FALSE)*$Q558*IFERROR((VLOOKUP(P558,Settings!$E$28:$F$33,2,FALSE)+1),1)</f>
        <v>7.2477519285094871</v>
      </c>
      <c r="T558" s="40">
        <f>VLOOKUP(B558,'Player Data'!$A1:$AE734,8,FALSE)*$Q558*IFERROR((VLOOKUP(P558,Settings!$E$28:$F$33,2,FALSE)+1),1)</f>
        <v>29.655931521703419</v>
      </c>
      <c r="U558" s="40">
        <f t="shared" si="52"/>
        <v>36.90368345021291</v>
      </c>
      <c r="V558" s="40">
        <f>VLOOKUP(B558,'Player Data'!$A1:$AE734,10,FALSE)*$Q558*IFERROR(((VLOOKUP(P558,Settings!$E$28:$F$33,2,FALSE)/2)+1),1)</f>
        <v>103.74216605175688</v>
      </c>
      <c r="W558" s="40">
        <f>VLOOKUP(B558,'Player Data'!$A1:$AE734,11,FALSE)*$Q558*IFERROR((VLOOKUP(P558,Settings!$E$28:$F$33,2,FALSE)+1),1)</f>
        <v>0.382588567380094</v>
      </c>
      <c r="X558" s="40">
        <f>VLOOKUP(B558,'Player Data'!$A1:$AE734,12,FALSE)*$Q558*IFERROR((VLOOKUP(P558,Settings!$E$28:$F$33,2,FALSE)+1),1)</f>
        <v>6.4094959755890217</v>
      </c>
      <c r="Y558" s="40">
        <f>VLOOKUP(B558,'Player Data'!$A1:$AE734,13,FALSE)*$Q558</f>
        <v>6.2618597088819911E-3</v>
      </c>
      <c r="Z558" s="40">
        <f>VLOOKUP(B558,'Player Data'!$A1:$AE734,14,FALSE)*$Q558</f>
        <v>1.162622627275061E-2</v>
      </c>
      <c r="AA558" s="40">
        <f>VLOOKUP(B558,'Player Data'!$A1:$AE734,15,FALSE)*$Q558</f>
        <v>29.331631415090829</v>
      </c>
      <c r="AB558" s="40">
        <f>VLOOKUP(B558,'Player Data'!$A1:$AE734,16,FALSE)*$Q558</f>
        <v>52.44808491910873</v>
      </c>
      <c r="AC558" s="40">
        <f>VLOOKUP(B558,'Player Data'!$A1:$AE734,17,FALSE)*$Q558*IFERROR((VLOOKUP(P558,Settings!$E$28:$F$33,2,FALSE)+1),1)</f>
        <v>3.03807492208227</v>
      </c>
      <c r="AD558" s="40">
        <f>VLOOKUP(B558,'Player Data'!$A1:$AE734,18,FALSE)*$Q558</f>
        <v>27.371198308434341</v>
      </c>
      <c r="AE558" s="40">
        <f>VLOOKUP(B558,'Player Data'!$A1:$AE734,19,FALSE)*$Q558*IFERROR((VLOOKUP(P558,Settings!$E$28:$F$33,2,FALSE)+1),1)</f>
        <v>1.1467035550832585</v>
      </c>
      <c r="AF558" s="40">
        <f>VLOOKUP(B558,'Player Data'!$A1:$AE734,20,FALSE)*$Q558</f>
        <v>188.90700527626177</v>
      </c>
      <c r="AG558" s="40">
        <f>VLOOKUP(B558,'Player Data'!$A1:$AE734,21,FALSE)*$Q558</f>
        <v>224.17034215718371</v>
      </c>
      <c r="AH558" s="41">
        <f>VLOOKUP(B558,'Player Data'!$A1:$AE734,22,FALSE)</f>
        <v>0.45731630274569401</v>
      </c>
      <c r="AI558" s="38"/>
      <c r="AJ558" s="42"/>
      <c r="AK558" s="40"/>
      <c r="AL558" s="40"/>
      <c r="AM558" s="40"/>
      <c r="AN558" s="40"/>
      <c r="AO558" s="40"/>
      <c r="AP558" s="40"/>
      <c r="AQ558" s="43"/>
      <c r="AR558" s="44"/>
      <c r="AS558" s="38"/>
    </row>
    <row r="559" spans="1:45" ht="21.2" customHeight="1">
      <c r="A559" s="181">
        <f t="shared" si="48"/>
        <v>558</v>
      </c>
      <c r="B559" s="8" t="s">
        <v>662</v>
      </c>
      <c r="C559" s="31" t="s">
        <v>104</v>
      </c>
      <c r="D559" s="32" t="str">
        <f>VLOOKUP(B559,'Player Data'!A1:D734,4,FALSE)</f>
        <v>LW</v>
      </c>
      <c r="E559" s="48">
        <f>VLOOKUP(B559,LW!A1:C227,3,FALSE)</f>
        <v>137</v>
      </c>
      <c r="F559" s="34" t="str">
        <f>VLOOKUP(B559,'Player Data'!A1:B734,2,FALSE)</f>
        <v>MTL</v>
      </c>
      <c r="G559" s="9">
        <f>VLOOKUP(B559,'Player Data'!A1:D734,3,FALSE)</f>
        <v>19</v>
      </c>
      <c r="H559" s="35">
        <f>IFERROR(VLOOKUP(B559,ADP!A1:G731,7,FALSE)/1000000,VLOOKUP(B559,ADP!A1:G731,7,FALSE))</f>
        <v>0.95</v>
      </c>
      <c r="I559" s="36">
        <f>IF(Settings!$E$15="POINTS",((R559*Q559)*Settings!$B$12)+(S559*Settings!$B$2)+(T559*Settings!$B$3)+(U559*Settings!$B$4)+(V559*Settings!$B$5)+(X559*Settings!$B$9)+(AA559*Settings!$B$6)+(W559*Settings!$B$8)+(AB559*Settings!$B$7)+(AC559*Settings!$B$14)+(AD559*Settings!$B$15)+(AE559*Settings!$B$16)+(AF559*Settings!$B$17)+(AG559*Settings!$B$18)+(Y559*Settings!$B$10)+(Z559*Settings!$B$11),VLOOKUP(B559,'Standard Deviations'!A1:C731,3,FALSE))</f>
        <v>-1.2750703012879434</v>
      </c>
      <c r="J559" s="37">
        <f t="shared" si="49"/>
        <v>-1.5549637820584676E-2</v>
      </c>
      <c r="K559" s="183">
        <f>IF(Settings!$E$18="C/LW/RW",VLOOKUP(B559,LW!A1:F227,6,FALSE),VLOOKUP(B559,F!A1:F431,6,FALSE))</f>
        <v>-7.9297393454123446</v>
      </c>
      <c r="L559" s="36">
        <f t="shared" si="50"/>
        <v>-8.347094047802468</v>
      </c>
      <c r="M559" s="38">
        <f>IF(Settings!$E$9="YAHOO",VLOOKUP(B559,ADP!A1:E731,2,FALSE),IF(Settings!$E$9="ESPN",VLOOKUP(B559,ADP!A1:E731,3,FALSE),IF(Settings!$E$9="FANTRAX",VLOOKUP(B559,ADP!A1:E731,4,FALSE),VLOOKUP(B559,ADP!A1:E731,5,FALSE))))</f>
        <v>422.91</v>
      </c>
      <c r="N559" s="38">
        <f t="shared" si="51"/>
        <v>-135.08999999999997</v>
      </c>
      <c r="O559" s="38"/>
      <c r="P559" s="39" t="str">
        <f>IF(Settings!$E$27="ON",_xlfn.XLOOKUP(B559,ADP!A2:A731,ADP!H2:H731)," ")</f>
        <v xml:space="preserve"> </v>
      </c>
      <c r="Q559" s="40">
        <f>IF(Settings!$E$12="YES",VLOOKUP(B559,'Player Data'!A1:E734,5,FALSE),82)</f>
        <v>82</v>
      </c>
      <c r="R559" s="38">
        <f>VLOOKUP(B559,'Player Data'!$A1:$AE734,6,FALSE)</f>
        <v>13.636793699976399</v>
      </c>
      <c r="S559" s="40">
        <f>VLOOKUP(B559,'Player Data'!$A1:$AE734,7,FALSE)*$Q559*IFERROR((VLOOKUP(P559,Settings!$E$28:$F$33,2,FALSE)+1),1)</f>
        <v>12.992936443628835</v>
      </c>
      <c r="T559" s="40">
        <f>VLOOKUP(B559,'Player Data'!$A1:$AE734,8,FALSE)*$Q559*IFERROR((VLOOKUP(P559,Settings!$E$28:$F$33,2,FALSE)+1),1)</f>
        <v>18.73660860527356</v>
      </c>
      <c r="U559" s="40">
        <f t="shared" si="52"/>
        <v>31.729545048902395</v>
      </c>
      <c r="V559" s="40">
        <f>VLOOKUP(B559,'Player Data'!$A1:$AE734,10,FALSE)*$Q559*IFERROR(((VLOOKUP(P559,Settings!$E$28:$F$33,2,FALSE)/2)+1),1)</f>
        <v>130.03237902956795</v>
      </c>
      <c r="W559" s="40">
        <f>VLOOKUP(B559,'Player Data'!$A1:$AE734,11,FALSE)*$Q559*IFERROR((VLOOKUP(P559,Settings!$E$28:$F$33,2,FALSE)+1),1)</f>
        <v>2.9699203805623808</v>
      </c>
      <c r="X559" s="40">
        <f>VLOOKUP(B559,'Player Data'!$A1:$AE734,12,FALSE)*$Q559*IFERROR((VLOOKUP(P559,Settings!$E$28:$F$33,2,FALSE)+1),1)</f>
        <v>6.5245569062807132</v>
      </c>
      <c r="Y559" s="40">
        <f>VLOOKUP(B559,'Player Data'!$A1:$AE734,13,FALSE)*$Q559</f>
        <v>1.0754735312039621E-3</v>
      </c>
      <c r="Z559" s="40">
        <f>VLOOKUP(B559,'Player Data'!$A1:$AE734,14,FALSE)*$Q559</f>
        <v>2.2010657682496873E-3</v>
      </c>
      <c r="AA559" s="40">
        <f>VLOOKUP(B559,'Player Data'!$A1:$AE734,15,FALSE)*$Q559</f>
        <v>53.728049297019616</v>
      </c>
      <c r="AB559" s="40">
        <f>VLOOKUP(B559,'Player Data'!$A1:$AE734,16,FALSE)*$Q559</f>
        <v>118.86207534869187</v>
      </c>
      <c r="AC559" s="40">
        <f>VLOOKUP(B559,'Player Data'!$A1:$AE734,17,FALSE)*$Q559*IFERROR((VLOOKUP(P559,Settings!$E$28:$F$33,2,FALSE)+1),1)</f>
        <v>-8.3739347781210078</v>
      </c>
      <c r="AD559" s="40">
        <f>VLOOKUP(B559,'Player Data'!$A1:$AE734,18,FALSE)*$Q559</f>
        <v>40.109002488442897</v>
      </c>
      <c r="AE559" s="40">
        <f>VLOOKUP(B559,'Player Data'!$A1:$AE734,19,FALSE)*$Q559*IFERROR((VLOOKUP(P559,Settings!$E$28:$F$33,2,FALSE)+1),1)</f>
        <v>1.3310238839324522</v>
      </c>
      <c r="AF559" s="40">
        <f>VLOOKUP(B559,'Player Data'!$A1:$AE734,20,FALSE)*$Q559</f>
        <v>11.736115484866279</v>
      </c>
      <c r="AG559" s="40">
        <f>VLOOKUP(B559,'Player Data'!$A1:$AE734,21,FALSE)*$Q559</f>
        <v>11.736115484866279</v>
      </c>
      <c r="AH559" s="41">
        <f>VLOOKUP(B559,'Player Data'!$A1:$AE734,22,FALSE)</f>
        <v>0.5</v>
      </c>
      <c r="AI559" s="38"/>
      <c r="AJ559" s="42"/>
      <c r="AK559" s="40"/>
      <c r="AL559" s="40"/>
      <c r="AM559" s="40"/>
      <c r="AN559" s="40"/>
      <c r="AO559" s="40"/>
      <c r="AP559" s="40"/>
      <c r="AQ559" s="43"/>
      <c r="AR559" s="44"/>
      <c r="AS559" s="38"/>
    </row>
    <row r="560" spans="1:45" ht="21.2" customHeight="1">
      <c r="A560" s="181">
        <f t="shared" si="48"/>
        <v>559</v>
      </c>
      <c r="B560" s="8" t="s">
        <v>674</v>
      </c>
      <c r="C560" s="31" t="s">
        <v>104</v>
      </c>
      <c r="D560" s="32" t="str">
        <f>VLOOKUP(B560,'Player Data'!A1:D734,4,FALSE)</f>
        <v>D</v>
      </c>
      <c r="E560" s="47">
        <f>VLOOKUP(B560,D!A1:C229,3,FALSE)</f>
        <v>224</v>
      </c>
      <c r="F560" s="34" t="str">
        <f>VLOOKUP(B560,'Player Data'!A1:B734,2,FALSE)</f>
        <v>DAL</v>
      </c>
      <c r="G560" s="9">
        <f>VLOOKUP(B560,'Player Data'!A1:D734,3,FALSE)</f>
        <v>32</v>
      </c>
      <c r="H560" s="35">
        <f>IFERROR(VLOOKUP(B560,ADP!A1:G731,7,FALSE)/1000000,VLOOKUP(B560,ADP!A1:G731,7,FALSE))</f>
        <v>0.78749999999999998</v>
      </c>
      <c r="I560" s="36">
        <f>IF(Settings!$E$15="POINTS",((R560*Q560)*Settings!$B$12)+(S560*Settings!$B$2)+(T560*Settings!$B$3)+(U560*Settings!$B$4)+(V560*Settings!$B$5)+(X560*Settings!$B$9)+(AA560*Settings!$B$6)+(W560*Settings!$B$8)+(AB560*Settings!$B$7)+(AC560*Settings!$B$14)+(AD560*Settings!$B$15)+(AE560*Settings!$B$16)+(AF560*Settings!$B$17)+(AG560*Settings!$B$18)+(U560*Settings!$B$13)+(Y560*Settings!$B$10)+(Z560*Settings!$B$11),VLOOKUP(B560,'Standard Deviations'!A1:C731,3,FALSE))</f>
        <v>-5.9895614062339551</v>
      </c>
      <c r="J560" s="37">
        <f t="shared" si="49"/>
        <v>-7.3043431783340912E-2</v>
      </c>
      <c r="K560" s="183">
        <f>VLOOKUP(B560,D!A1:F229,6,FALSE)</f>
        <v>-7.9313019498682653</v>
      </c>
      <c r="L560" s="36">
        <f t="shared" si="50"/>
        <v>-10.071494539515259</v>
      </c>
      <c r="M560" s="52" t="str">
        <f>IF(Settings!$E$9="YAHOO",VLOOKUP(B560,ADP!A1:E731,2,FALSE),IF(Settings!$E$9="ESPN",VLOOKUP(B560,ADP!A1:E731,3,FALSE),IF(Settings!$E$9="FANTRAX",VLOOKUP(B560,ADP!A1:E731,4,FALSE),VLOOKUP(B560,ADP!A1:E731,5,FALSE))))</f>
        <v>-</v>
      </c>
      <c r="N560" s="52" t="str">
        <f t="shared" si="51"/>
        <v>N/A</v>
      </c>
      <c r="O560" s="38"/>
      <c r="P560" s="39" t="str">
        <f>IF(Settings!$E$27="ON",_xlfn.XLOOKUP(B560,ADP!A2:A731,ADP!H2:H731)," ")</f>
        <v xml:space="preserve"> </v>
      </c>
      <c r="Q560" s="40">
        <f>IF(Settings!$E$12="YES",VLOOKUP(B560,'Player Data'!A1:E734,5,FALSE),82)</f>
        <v>82</v>
      </c>
      <c r="R560" s="38">
        <f>VLOOKUP(B560,'Player Data'!$A1:$AE734,6,FALSE)</f>
        <v>11.6366267744312</v>
      </c>
      <c r="S560" s="40">
        <f>VLOOKUP(B560,'Player Data'!$A1:$AE734,7,FALSE)*$Q560*IFERROR((VLOOKUP(P560,Settings!$E$28:$F$33,2,FALSE)+1),1)</f>
        <v>1.7569798090138609</v>
      </c>
      <c r="T560" s="40">
        <f>VLOOKUP(B560,'Player Data'!$A1:$AE734,8,FALSE)*$Q560*IFERROR((VLOOKUP(P560,Settings!$E$28:$F$33,2,FALSE)+1),1)</f>
        <v>8.9139798503214873</v>
      </c>
      <c r="U560" s="40">
        <f t="shared" si="52"/>
        <v>10.670959659335349</v>
      </c>
      <c r="V560" s="40">
        <f>VLOOKUP(B560,'Player Data'!$A1:$AE734,10,FALSE)*$Q560*IFERROR(((VLOOKUP(P560,Settings!$E$28:$F$33,2,FALSE)/2)+1),1)</f>
        <v>49.662624520867197</v>
      </c>
      <c r="W560" s="40">
        <f>VLOOKUP(B560,'Player Data'!$A1:$AE734,11,FALSE)*$Q560*IFERROR((VLOOKUP(P560,Settings!$E$28:$F$33,2,FALSE)+1),1)</f>
        <v>9.0584796436415354E-3</v>
      </c>
      <c r="X560" s="40">
        <f>VLOOKUP(B560,'Player Data'!$A1:$AE734,12,FALSE)*$Q560*IFERROR((VLOOKUP(P560,Settings!$E$28:$F$33,2,FALSE)+1),1)</f>
        <v>6.0957905795446195E-2</v>
      </c>
      <c r="Y560" s="40">
        <f>VLOOKUP(B560,'Player Data'!$A1:$AE734,13,FALSE)*$Q560</f>
        <v>1.9161500234120029E-3</v>
      </c>
      <c r="Z560" s="40">
        <f>VLOOKUP(B560,'Player Data'!$A1:$AE734,14,FALSE)*$Q560</f>
        <v>6.8118840313369658E-3</v>
      </c>
      <c r="AA560" s="40">
        <f>VLOOKUP(B560,'Player Data'!$A1:$AE734,15,FALSE)*$Q560</f>
        <v>76.209883358387586</v>
      </c>
      <c r="AB560" s="40">
        <f>VLOOKUP(B560,'Player Data'!$A1:$AE734,16,FALSE)*$Q560</f>
        <v>90.95502750561171</v>
      </c>
      <c r="AC560" s="40">
        <f>VLOOKUP(B560,'Player Data'!$A1:$AE734,17,FALSE)*$Q560*IFERROR((VLOOKUP(P560,Settings!$E$28:$F$33,2,FALSE)+1),1)</f>
        <v>4.3416924788791604</v>
      </c>
      <c r="AD560" s="40">
        <f>VLOOKUP(B560,'Player Data'!$A1:$AE734,18,FALSE)*$Q560</f>
        <v>21.741303159642879</v>
      </c>
      <c r="AE560" s="40">
        <f>VLOOKUP(B560,'Player Data'!$A1:$AE734,19,FALSE)*$Q560*IFERROR((VLOOKUP(P560,Settings!$E$28:$F$33,2,FALSE)+1),1)</f>
        <v>0.28110431411666942</v>
      </c>
      <c r="AF560" s="40">
        <f>VLOOKUP(B560,'Player Data'!$A1:$AE734,20,FALSE)*$Q560</f>
        <v>0</v>
      </c>
      <c r="AG560" s="40">
        <f>VLOOKUP(B560,'Player Data'!$A1:$AE734,21,FALSE)*$Q560</f>
        <v>0</v>
      </c>
      <c r="AH560" s="41">
        <f>VLOOKUP(B560,'Player Data'!$A1:$AE734,22,FALSE)</f>
        <v>0</v>
      </c>
      <c r="AI560" s="38"/>
      <c r="AJ560" s="42"/>
      <c r="AK560" s="40"/>
      <c r="AL560" s="40"/>
      <c r="AM560" s="40"/>
      <c r="AN560" s="40"/>
      <c r="AO560" s="40"/>
      <c r="AP560" s="40"/>
      <c r="AQ560" s="43"/>
      <c r="AR560" s="44"/>
      <c r="AS560" s="38"/>
    </row>
    <row r="561" spans="1:45" ht="21.2" customHeight="1">
      <c r="A561" s="181">
        <f t="shared" si="48"/>
        <v>560</v>
      </c>
      <c r="B561" s="8" t="s">
        <v>692</v>
      </c>
      <c r="C561" s="31" t="s">
        <v>104</v>
      </c>
      <c r="D561" s="32" t="str">
        <f>VLOOKUP(B561,'Player Data'!A1:D734,4,FALSE)</f>
        <v>D</v>
      </c>
      <c r="E561" s="47">
        <f>VLOOKUP(B561,D!A1:C229,3,FALSE)</f>
        <v>225</v>
      </c>
      <c r="F561" s="34" t="str">
        <f>VLOOKUP(B561,'Player Data'!A1:B734,2,FALSE)</f>
        <v>LAK</v>
      </c>
      <c r="G561" s="9">
        <f>VLOOKUP(B561,'Player Data'!A1:D734,3,FALSE)</f>
        <v>27</v>
      </c>
      <c r="H561" s="35">
        <f>IFERROR(VLOOKUP(B561,ADP!A1:G731,7,FALSE)/1000000,VLOOKUP(B561,ADP!A1:G731,7,FALSE))</f>
        <v>1</v>
      </c>
      <c r="I561" s="36">
        <f>IF(Settings!$E$15="POINTS",((R561*Q561)*Settings!$B$12)+(S561*Settings!$B$2)+(T561*Settings!$B$3)+(U561*Settings!$B$4)+(V561*Settings!$B$5)+(X561*Settings!$B$9)+(AA561*Settings!$B$6)+(W561*Settings!$B$8)+(AB561*Settings!$B$7)+(AC561*Settings!$B$14)+(AD561*Settings!$B$15)+(AE561*Settings!$B$16)+(AF561*Settings!$B$17)+(AG561*Settings!$B$18)+(U561*Settings!$B$13)+(Y561*Settings!$B$10)+(Z561*Settings!$B$11),VLOOKUP(B561,'Standard Deviations'!A1:C731,3,FALSE))</f>
        <v>-5.9962582231167634</v>
      </c>
      <c r="J561" s="37">
        <f t="shared" si="49"/>
        <v>-7.3125100281911742E-2</v>
      </c>
      <c r="K561" s="183">
        <f>VLOOKUP(B561,D!A1:F229,6,FALSE)</f>
        <v>-7.9379987667510736</v>
      </c>
      <c r="L561" s="36">
        <f t="shared" si="50"/>
        <v>-7.9379987667510736</v>
      </c>
      <c r="M561" s="52" t="str">
        <f>IF(Settings!$E$9="YAHOO",VLOOKUP(B561,ADP!A1:E731,2,FALSE),IF(Settings!$E$9="ESPN",VLOOKUP(B561,ADP!A1:E731,3,FALSE),IF(Settings!$E$9="FANTRAX",VLOOKUP(B561,ADP!A1:E731,4,FALSE),VLOOKUP(B561,ADP!A1:E731,5,FALSE))))</f>
        <v>-</v>
      </c>
      <c r="N561" s="52" t="str">
        <f t="shared" si="51"/>
        <v>N/A</v>
      </c>
      <c r="O561" s="38"/>
      <c r="P561" s="39" t="str">
        <f>IF(Settings!$E$27="ON",_xlfn.XLOOKUP(B561,ADP!A2:A731,ADP!H2:H731)," ")</f>
        <v xml:space="preserve"> </v>
      </c>
      <c r="Q561" s="40">
        <f>IF(Settings!$E$12="YES",VLOOKUP(B561,'Player Data'!A1:E734,5,FALSE),82)</f>
        <v>82</v>
      </c>
      <c r="R561" s="38">
        <f>VLOOKUP(B561,'Player Data'!$A1:$AE734,6,FALSE)</f>
        <v>12.1771539165153</v>
      </c>
      <c r="S561" s="40">
        <f>VLOOKUP(B561,'Player Data'!$A1:$AE734,7,FALSE)*$Q561*IFERROR((VLOOKUP(P561,Settings!$E$28:$F$33,2,FALSE)+1),1)</f>
        <v>1.3821552896100269</v>
      </c>
      <c r="T561" s="40">
        <f>VLOOKUP(B561,'Player Data'!$A1:$AE734,8,FALSE)*$Q561*IFERROR((VLOOKUP(P561,Settings!$E$28:$F$33,2,FALSE)+1),1)</f>
        <v>8.1378469966726978</v>
      </c>
      <c r="U561" s="40">
        <f t="shared" si="52"/>
        <v>9.5200022862827254</v>
      </c>
      <c r="V561" s="40">
        <f>VLOOKUP(B561,'Player Data'!$A1:$AE734,10,FALSE)*$Q561*IFERROR(((VLOOKUP(P561,Settings!$E$28:$F$33,2,FALSE)/2)+1),1)</f>
        <v>57.979093439492729</v>
      </c>
      <c r="W561" s="40">
        <f>VLOOKUP(B561,'Player Data'!$A1:$AE734,11,FALSE)*$Q561*IFERROR((VLOOKUP(P561,Settings!$E$28:$F$33,2,FALSE)+1),1)</f>
        <v>4.5399889652730802E-3</v>
      </c>
      <c r="X561" s="40">
        <f>VLOOKUP(B561,'Player Data'!$A1:$AE734,12,FALSE)*$Q561*IFERROR((VLOOKUP(P561,Settings!$E$28:$F$33,2,FALSE)+1),1)</f>
        <v>2.843099942840293E-2</v>
      </c>
      <c r="Y561" s="40">
        <f>VLOOKUP(B561,'Player Data'!$A1:$AE734,13,FALSE)*$Q561</f>
        <v>4.3280199414196203E-2</v>
      </c>
      <c r="Z561" s="40">
        <f>VLOOKUP(B561,'Player Data'!$A1:$AE734,14,FALSE)*$Q561</f>
        <v>0.18351193328489962</v>
      </c>
      <c r="AA561" s="40">
        <f>VLOOKUP(B561,'Player Data'!$A1:$AE734,15,FALSE)*$Q561</f>
        <v>66.779688774173792</v>
      </c>
      <c r="AB561" s="40">
        <f>VLOOKUP(B561,'Player Data'!$A1:$AE734,16,FALSE)*$Q561</f>
        <v>163.36920061624716</v>
      </c>
      <c r="AC561" s="40">
        <f>VLOOKUP(B561,'Player Data'!$A1:$AE734,17,FALSE)*$Q561*IFERROR((VLOOKUP(P561,Settings!$E$28:$F$33,2,FALSE)+1),1)</f>
        <v>-4.0492043947105462E-2</v>
      </c>
      <c r="AD561" s="40">
        <f>VLOOKUP(B561,'Player Data'!$A1:$AE734,18,FALSE)*$Q561</f>
        <v>43.504878081623879</v>
      </c>
      <c r="AE561" s="40">
        <f>VLOOKUP(B561,'Player Data'!$A1:$AE734,19,FALSE)*$Q561*IFERROR((VLOOKUP(P561,Settings!$E$28:$F$33,2,FALSE)+1),1)</f>
        <v>0.20464337133255195</v>
      </c>
      <c r="AF561" s="40">
        <f>VLOOKUP(B561,'Player Data'!$A1:$AE734,20,FALSE)*$Q561</f>
        <v>0</v>
      </c>
      <c r="AG561" s="40">
        <f>VLOOKUP(B561,'Player Data'!$A1:$AE734,21,FALSE)*$Q561</f>
        <v>0</v>
      </c>
      <c r="AH561" s="41">
        <f>VLOOKUP(B561,'Player Data'!$A1:$AE734,22,FALSE)</f>
        <v>0</v>
      </c>
      <c r="AI561" s="38"/>
      <c r="AJ561" s="42"/>
      <c r="AK561" s="40"/>
      <c r="AL561" s="40"/>
      <c r="AM561" s="40"/>
      <c r="AN561" s="40"/>
      <c r="AO561" s="40"/>
      <c r="AP561" s="40"/>
      <c r="AQ561" s="43"/>
      <c r="AR561" s="44"/>
      <c r="AS561" s="38"/>
    </row>
    <row r="562" spans="1:45" ht="21.2" customHeight="1">
      <c r="A562" s="181">
        <f t="shared" si="48"/>
        <v>561</v>
      </c>
      <c r="B562" s="8" t="s">
        <v>633</v>
      </c>
      <c r="C562" s="31" t="s">
        <v>104</v>
      </c>
      <c r="D562" s="32" t="str">
        <f>VLOOKUP(B562,'Player Data'!A1:D734,4,FALSE)</f>
        <v>D</v>
      </c>
      <c r="E562" s="47">
        <f>VLOOKUP(B562,D!A1:C229,3,FALSE)</f>
        <v>226</v>
      </c>
      <c r="F562" s="34" t="str">
        <f>VLOOKUP(B562,'Player Data'!A1:B734,2,FALSE)</f>
        <v>COL</v>
      </c>
      <c r="G562" s="9">
        <f>VLOOKUP(B562,'Player Data'!A1:D734,3,FALSE)</f>
        <v>36</v>
      </c>
      <c r="H562" s="35">
        <f>IFERROR(VLOOKUP(B562,ADP!A1:G731,7,FALSE)/1000000,VLOOKUP(B562,ADP!A1:G731,7,FALSE))</f>
        <v>0.77500000000000002</v>
      </c>
      <c r="I562" s="36">
        <f>IF(Settings!$E$15="POINTS",((R562*Q562)*Settings!$B$12)+(S562*Settings!$B$2)+(T562*Settings!$B$3)+(U562*Settings!$B$4)+(V562*Settings!$B$5)+(X562*Settings!$B$9)+(AA562*Settings!$B$6)+(W562*Settings!$B$8)+(AB562*Settings!$B$7)+(AC562*Settings!$B$14)+(AD562*Settings!$B$15)+(AE562*Settings!$B$16)+(AF562*Settings!$B$17)+(AG562*Settings!$B$18)+(U562*Settings!$B$13)+(Y562*Settings!$B$10)+(Z562*Settings!$B$11),VLOOKUP(B562,'Standard Deviations'!A1:C731,3,FALSE))</f>
        <v>-6.0630887158674192</v>
      </c>
      <c r="J562" s="37">
        <f t="shared" si="49"/>
        <v>-7.3940106291066093E-2</v>
      </c>
      <c r="K562" s="183">
        <f>VLOOKUP(B562,D!A1:F229,6,FALSE)</f>
        <v>-8.0048292595017294</v>
      </c>
      <c r="L562" s="36">
        <f t="shared" si="50"/>
        <v>-10.328811947744168</v>
      </c>
      <c r="M562" s="52" t="str">
        <f>IF(Settings!$E$9="YAHOO",VLOOKUP(B562,ADP!A1:E731,2,FALSE),IF(Settings!$E$9="ESPN",VLOOKUP(B562,ADP!A1:E731,3,FALSE),IF(Settings!$E$9="FANTRAX",VLOOKUP(B562,ADP!A1:E731,4,FALSE),VLOOKUP(B562,ADP!A1:E731,5,FALSE))))</f>
        <v>-</v>
      </c>
      <c r="N562" s="52" t="str">
        <f t="shared" si="51"/>
        <v>N/A</v>
      </c>
      <c r="O562" s="38"/>
      <c r="P562" s="39" t="str">
        <f>IF(Settings!$E$27="ON",_xlfn.XLOOKUP(B562,ADP!A2:A731,ADP!H2:H731)," ")</f>
        <v xml:space="preserve"> </v>
      </c>
      <c r="Q562" s="40">
        <f>IF(Settings!$E$12="YES",VLOOKUP(B562,'Player Data'!A1:E734,5,FALSE),82)</f>
        <v>82</v>
      </c>
      <c r="R562" s="38">
        <f>VLOOKUP(B562,'Player Data'!$A1:$AE734,6,FALSE)</f>
        <v>15.446275029848101</v>
      </c>
      <c r="S562" s="40">
        <f>VLOOKUP(B562,'Player Data'!$A1:$AE734,7,FALSE)*$Q562*IFERROR((VLOOKUP(P562,Settings!$E$28:$F$33,2,FALSE)+1),1)</f>
        <v>1.1128403591136109</v>
      </c>
      <c r="T562" s="40">
        <f>VLOOKUP(B562,'Player Data'!$A1:$AE734,8,FALSE)*$Q562*IFERROR((VLOOKUP(P562,Settings!$E$28:$F$33,2,FALSE)+1),1)</f>
        <v>6.0454130710026108</v>
      </c>
      <c r="U562" s="40">
        <f t="shared" si="52"/>
        <v>7.1582534301162219</v>
      </c>
      <c r="V562" s="40">
        <f>VLOOKUP(B562,'Player Data'!$A1:$AE734,10,FALSE)*$Q562*IFERROR(((VLOOKUP(P562,Settings!$E$28:$F$33,2,FALSE)/2)+1),1)</f>
        <v>69.792575943316592</v>
      </c>
      <c r="W562" s="40">
        <f>VLOOKUP(B562,'Player Data'!$A1:$AE734,11,FALSE)*$Q562*IFERROR((VLOOKUP(P562,Settings!$E$28:$F$33,2,FALSE)+1),1)</f>
        <v>2.469829057990159E-2</v>
      </c>
      <c r="X562" s="40">
        <f>VLOOKUP(B562,'Player Data'!$A1:$AE734,12,FALSE)*$Q562*IFERROR((VLOOKUP(P562,Settings!$E$28:$F$33,2,FALSE)+1),1)</f>
        <v>0.19538080129270463</v>
      </c>
      <c r="Y562" s="40">
        <f>VLOOKUP(B562,'Player Data'!$A1:$AE734,13,FALSE)*$Q562</f>
        <v>-7.379175525738306E-2</v>
      </c>
      <c r="Z562" s="40">
        <f>VLOOKUP(B562,'Player Data'!$A1:$AE734,14,FALSE)*$Q562</f>
        <v>1.3570239663958008</v>
      </c>
      <c r="AA562" s="40">
        <f>VLOOKUP(B562,'Player Data'!$A1:$AE734,15,FALSE)*$Q562</f>
        <v>96.677731905505908</v>
      </c>
      <c r="AB562" s="40">
        <f>VLOOKUP(B562,'Player Data'!$A1:$AE734,16,FALSE)*$Q562</f>
        <v>98.285444012236354</v>
      </c>
      <c r="AC562" s="40">
        <f>VLOOKUP(B562,'Player Data'!$A1:$AE734,17,FALSE)*$Q562*IFERROR((VLOOKUP(P562,Settings!$E$28:$F$33,2,FALSE)+1),1)</f>
        <v>1.6570009562751904</v>
      </c>
      <c r="AD562" s="40">
        <f>VLOOKUP(B562,'Player Data'!$A1:$AE734,18,FALSE)*$Q562</f>
        <v>27.909731962204667</v>
      </c>
      <c r="AE562" s="40">
        <f>VLOOKUP(B562,'Player Data'!$A1:$AE734,19,FALSE)*$Q562*IFERROR((VLOOKUP(P562,Settings!$E$28:$F$33,2,FALSE)+1),1)</f>
        <v>0.17606811168799691</v>
      </c>
      <c r="AF562" s="40">
        <f>VLOOKUP(B562,'Player Data'!$A1:$AE734,20,FALSE)*$Q562</f>
        <v>0</v>
      </c>
      <c r="AG562" s="40">
        <f>VLOOKUP(B562,'Player Data'!$A1:$AE734,21,FALSE)*$Q562</f>
        <v>0.6703933017162339</v>
      </c>
      <c r="AH562" s="41">
        <f>VLOOKUP(B562,'Player Data'!$A1:$AE734,22,FALSE)</f>
        <v>0</v>
      </c>
      <c r="AI562" s="38"/>
      <c r="AJ562" s="42"/>
      <c r="AK562" s="40"/>
      <c r="AL562" s="40"/>
      <c r="AM562" s="40"/>
      <c r="AN562" s="40"/>
      <c r="AO562" s="40"/>
      <c r="AP562" s="40"/>
      <c r="AQ562" s="43"/>
      <c r="AR562" s="44"/>
      <c r="AS562" s="38"/>
    </row>
    <row r="563" spans="1:45" ht="21.2" customHeight="1">
      <c r="A563" s="181">
        <f t="shared" si="48"/>
        <v>562</v>
      </c>
      <c r="B563" s="8" t="s">
        <v>638</v>
      </c>
      <c r="C563" s="31" t="s">
        <v>104</v>
      </c>
      <c r="D563" s="32" t="str">
        <f>VLOOKUP(B563,'Player Data'!A1:D734,4,FALSE)</f>
        <v>C,LW</v>
      </c>
      <c r="E563" s="45">
        <f>VLOOKUP(B563,LW!A1:C227,3,FALSE)</f>
        <v>138</v>
      </c>
      <c r="F563" s="34" t="str">
        <f>VLOOKUP(B563,'Player Data'!A1:B734,2,FALSE)</f>
        <v>TBL</v>
      </c>
      <c r="G563" s="9">
        <f>VLOOKUP(B563,'Player Data'!A1:D734,3,FALSE)</f>
        <v>26</v>
      </c>
      <c r="H563" s="35">
        <f>IFERROR(VLOOKUP(B563,ADP!A1:G731,7,FALSE)/1000000,VLOOKUP(B563,ADP!A1:G731,7,FALSE))</f>
        <v>0.8</v>
      </c>
      <c r="I563" s="36">
        <f>IF(Settings!$E$15="POINTS",((R563*Q563)*Settings!$B$12)+(S563*Settings!$B$2)+(T563*Settings!$B$3)+(U563*Settings!$B$4)+(V563*Settings!$B$5)+(X563*Settings!$B$9)+(AA563*Settings!$B$6)+(W563*Settings!$B$8)+(AB563*Settings!$B$7)+(AC563*Settings!$B$14)+(AD563*Settings!$B$15)+(AE563*Settings!$B$16)+(AF563*Settings!$B$17)+(AG563*Settings!$B$18)+(Y563*Settings!$B$10)+(Z563*Settings!$B$11),VLOOKUP(B563,'Standard Deviations'!A1:C731,3,FALSE))</f>
        <v>-1.3645858472567038</v>
      </c>
      <c r="J563" s="37">
        <f t="shared" si="49"/>
        <v>-1.6641290820203707E-2</v>
      </c>
      <c r="K563" s="183">
        <f>IF(Settings!$E$18="C/LW/RW",VLOOKUP(B563,LW!A1:F227,6,FALSE),VLOOKUP(B563,F!A1:F431,6,FALSE))</f>
        <v>-8.0192548913811059</v>
      </c>
      <c r="L563" s="36">
        <f t="shared" si="50"/>
        <v>-10.024068614226382</v>
      </c>
      <c r="M563" s="52" t="str">
        <f>IF(Settings!$E$9="YAHOO",VLOOKUP(B563,ADP!A1:E731,2,FALSE),IF(Settings!$E$9="ESPN",VLOOKUP(B563,ADP!A1:E731,3,FALSE),IF(Settings!$E$9="FANTRAX",VLOOKUP(B563,ADP!A1:E731,4,FALSE),VLOOKUP(B563,ADP!A1:E731,5,FALSE))))</f>
        <v>-</v>
      </c>
      <c r="N563" s="52" t="str">
        <f t="shared" si="51"/>
        <v>N/A</v>
      </c>
      <c r="O563" s="38"/>
      <c r="P563" s="39" t="str">
        <f>IF(Settings!$E$27="ON",_xlfn.XLOOKUP(B563,ADP!A2:A731,ADP!H2:H731)," ")</f>
        <v xml:space="preserve"> </v>
      </c>
      <c r="Q563" s="40">
        <f>IF(Settings!$E$12="YES",VLOOKUP(B563,'Player Data'!A1:E734,5,FALSE),82)</f>
        <v>82</v>
      </c>
      <c r="R563" s="38">
        <f>VLOOKUP(B563,'Player Data'!$A1:$AE734,6,FALSE)</f>
        <v>13.026067839193001</v>
      </c>
      <c r="S563" s="40">
        <f>VLOOKUP(B563,'Player Data'!$A1:$AE734,7,FALSE)*$Q563*IFERROR((VLOOKUP(P563,Settings!$E$28:$F$33,2,FALSE)+1),1)</f>
        <v>10.395014102021765</v>
      </c>
      <c r="T563" s="40">
        <f>VLOOKUP(B563,'Player Data'!$A1:$AE734,8,FALSE)*$Q563*IFERROR((VLOOKUP(P563,Settings!$E$28:$F$33,2,FALSE)+1),1)</f>
        <v>17.830685061653874</v>
      </c>
      <c r="U563" s="40">
        <f t="shared" si="52"/>
        <v>28.225699163675639</v>
      </c>
      <c r="V563" s="40">
        <f>VLOOKUP(B563,'Player Data'!$A1:$AE734,10,FALSE)*$Q563*IFERROR(((VLOOKUP(P563,Settings!$E$28:$F$33,2,FALSE)/2)+1),1)</f>
        <v>184.59919214086739</v>
      </c>
      <c r="W563" s="40">
        <f>VLOOKUP(B563,'Player Data'!$A1:$AE734,11,FALSE)*$Q563*IFERROR((VLOOKUP(P563,Settings!$E$28:$F$33,2,FALSE)+1),1)</f>
        <v>0.46270228225029097</v>
      </c>
      <c r="X563" s="40">
        <f>VLOOKUP(B563,'Player Data'!$A1:$AE734,12,FALSE)*$Q563*IFERROR((VLOOKUP(P563,Settings!$E$28:$F$33,2,FALSE)+1),1)</f>
        <v>1.1749205120287682</v>
      </c>
      <c r="Y563" s="40">
        <f>VLOOKUP(B563,'Player Data'!$A1:$AE734,13,FALSE)*$Q563</f>
        <v>3.1326512856894299E-2</v>
      </c>
      <c r="Z563" s="40">
        <f>VLOOKUP(B563,'Player Data'!$A1:$AE734,14,FALSE)*$Q563</f>
        <v>5.9226024120179806E-2</v>
      </c>
      <c r="AA563" s="40">
        <f>VLOOKUP(B563,'Player Data'!$A1:$AE734,15,FALSE)*$Q563</f>
        <v>31.514276651368622</v>
      </c>
      <c r="AB563" s="40">
        <f>VLOOKUP(B563,'Player Data'!$A1:$AE734,16,FALSE)*$Q563</f>
        <v>152.05602654417373</v>
      </c>
      <c r="AC563" s="40">
        <f>VLOOKUP(B563,'Player Data'!$A1:$AE734,17,FALSE)*$Q563*IFERROR((VLOOKUP(P563,Settings!$E$28:$F$33,2,FALSE)+1),1)</f>
        <v>1.1823296735187987</v>
      </c>
      <c r="AD563" s="40">
        <f>VLOOKUP(B563,'Player Data'!$A1:$AE734,18,FALSE)*$Q563</f>
        <v>58.584904776978384</v>
      </c>
      <c r="AE563" s="40">
        <f>VLOOKUP(B563,'Player Data'!$A1:$AE734,19,FALSE)*$Q563*IFERROR((VLOOKUP(P563,Settings!$E$28:$F$33,2,FALSE)+1),1)</f>
        <v>1.6268234829617811</v>
      </c>
      <c r="AF563" s="40">
        <f>VLOOKUP(B563,'Player Data'!$A1:$AE734,20,FALSE)*$Q563</f>
        <v>19.196014653843722</v>
      </c>
      <c r="AG563" s="40">
        <f>VLOOKUP(B563,'Player Data'!$A1:$AE734,21,FALSE)*$Q563</f>
        <v>35.589484824170064</v>
      </c>
      <c r="AH563" s="41">
        <f>VLOOKUP(B563,'Player Data'!$A1:$AE734,22,FALSE)</f>
        <v>0.35038495289337201</v>
      </c>
      <c r="AI563" s="38"/>
      <c r="AJ563" s="40"/>
      <c r="AK563" s="40"/>
      <c r="AL563" s="40"/>
      <c r="AM563" s="40"/>
      <c r="AN563" s="40"/>
      <c r="AO563" s="40"/>
      <c r="AP563" s="40"/>
      <c r="AQ563" s="43"/>
      <c r="AR563" s="44"/>
      <c r="AS563" s="38"/>
    </row>
    <row r="564" spans="1:45" ht="21.2" customHeight="1">
      <c r="A564" s="181">
        <f t="shared" si="48"/>
        <v>563</v>
      </c>
      <c r="B564" s="8" t="s">
        <v>686</v>
      </c>
      <c r="C564" s="31" t="s">
        <v>104</v>
      </c>
      <c r="D564" s="32" t="str">
        <f>VLOOKUP(B564,'Player Data'!A1:D734,4,FALSE)</f>
        <v>RW</v>
      </c>
      <c r="E564" s="46">
        <f>VLOOKUP(B564,RW!A1:F189,3,FALSE)</f>
        <v>126</v>
      </c>
      <c r="F564" s="34" t="str">
        <f>VLOOKUP(B564,'Player Data'!A1:B734,2,FALSE)</f>
        <v>CGY</v>
      </c>
      <c r="G564" s="9">
        <f>VLOOKUP(B564,'Player Data'!A1:D734,3,FALSE)</f>
        <v>25</v>
      </c>
      <c r="H564" s="35">
        <f>IFERROR(VLOOKUP(B564,ADP!A1:G731,7,FALSE)/1000000,VLOOKUP(B564,ADP!A1:G731,7,FALSE))</f>
        <v>0</v>
      </c>
      <c r="I564" s="36">
        <f>IF(Settings!$E$15="POINTS",((R564*Q564)*Settings!$B$12)+(S564*Settings!$B$2)+(T564*Settings!$B$3)+(U564*Settings!$B$4)+(V564*Settings!$B$5)+(X564*Settings!$B$9)+(AA564*Settings!$B$6)+(W564*Settings!$B$8)+(AB564*Settings!$B$7)+(AC564*Settings!$B$14)+(AD564*Settings!$B$15)+(AE564*Settings!$B$16)+(AF564*Settings!$B$17)+(AG564*Settings!$B$18)+(Y564*Settings!$B$10)+(Z564*Settings!$B$11),VLOOKUP(B564,'Standard Deviations'!A1:C731,3,FALSE))</f>
        <v>-1.7719163246054532</v>
      </c>
      <c r="J564" s="37">
        <f t="shared" si="49"/>
        <v>-2.160873566592016E-2</v>
      </c>
      <c r="K564" s="183">
        <f>IF(Settings!$E$18="C/LW/RW",VLOOKUP(B564,RW!A1:F189,6,FALSE),VLOOKUP(B564,F!A1:F431,6,FALSE))</f>
        <v>-8.0521750436165345</v>
      </c>
      <c r="L564" s="49" t="str">
        <f t="shared" si="50"/>
        <v>N/A</v>
      </c>
      <c r="M564" s="52" t="str">
        <f>IF(Settings!$E$9="YAHOO",VLOOKUP(B564,ADP!A1:E731,2,FALSE),IF(Settings!$E$9="ESPN",VLOOKUP(B564,ADP!A1:E731,3,FALSE),IF(Settings!$E$9="FANTRAX",VLOOKUP(B564,ADP!A1:E731,4,FALSE),VLOOKUP(B564,ADP!A1:E731,5,FALSE))))</f>
        <v>-</v>
      </c>
      <c r="N564" s="52" t="str">
        <f t="shared" si="51"/>
        <v>N/A</v>
      </c>
      <c r="O564" s="38"/>
      <c r="P564" s="39" t="str">
        <f>IF(Settings!$E$27="ON",_xlfn.XLOOKUP(B564,ADP!A2:A731,ADP!H2:H731)," ")</f>
        <v xml:space="preserve"> </v>
      </c>
      <c r="Q564" s="40">
        <f>IF(Settings!$E$12="YES",VLOOKUP(B564,'Player Data'!A1:E734,5,FALSE),82)</f>
        <v>82</v>
      </c>
      <c r="R564" s="38">
        <f>VLOOKUP(B564,'Player Data'!$A1:$AE734,6,FALSE)</f>
        <v>11.295290191850301</v>
      </c>
      <c r="S564" s="40">
        <f>VLOOKUP(B564,'Player Data'!$A1:$AE734,7,FALSE)*$Q564*IFERROR((VLOOKUP(P564,Settings!$E$28:$F$33,2,FALSE)+1),1)</f>
        <v>16.649135095335819</v>
      </c>
      <c r="T564" s="40">
        <f>VLOOKUP(B564,'Player Data'!$A1:$AE734,8,FALSE)*$Q564*IFERROR((VLOOKUP(P564,Settings!$E$28:$F$33,2,FALSE)+1),1)</f>
        <v>14.330257629602308</v>
      </c>
      <c r="U564" s="40">
        <f t="shared" si="52"/>
        <v>30.979392724938126</v>
      </c>
      <c r="V564" s="40">
        <f>VLOOKUP(B564,'Player Data'!$A1:$AE734,10,FALSE)*$Q564*IFERROR(((VLOOKUP(P564,Settings!$E$28:$F$33,2,FALSE)/2)+1),1)</f>
        <v>136.45267036447999</v>
      </c>
      <c r="W564" s="40">
        <f>VLOOKUP(B564,'Player Data'!$A1:$AE734,11,FALSE)*$Q564*IFERROR((VLOOKUP(P564,Settings!$E$28:$F$33,2,FALSE)+1),1)</f>
        <v>0.2056161837711683</v>
      </c>
      <c r="X564" s="40">
        <f>VLOOKUP(B564,'Player Data'!$A1:$AE734,12,FALSE)*$Q564*IFERROR((VLOOKUP(P564,Settings!$E$28:$F$33,2,FALSE)+1),1)</f>
        <v>0.51480487699576871</v>
      </c>
      <c r="Y564" s="40">
        <f>VLOOKUP(B564,'Player Data'!$A1:$AE734,13,FALSE)*$Q564</f>
        <v>0</v>
      </c>
      <c r="Z564" s="40">
        <f>VLOOKUP(B564,'Player Data'!$A1:$AE734,14,FALSE)*$Q564</f>
        <v>0</v>
      </c>
      <c r="AA564" s="40">
        <f>VLOOKUP(B564,'Player Data'!$A1:$AE734,15,FALSE)*$Q564</f>
        <v>21.813646304327772</v>
      </c>
      <c r="AB564" s="40">
        <f>VLOOKUP(B564,'Player Data'!$A1:$AE734,16,FALSE)*$Q564</f>
        <v>148.13279155100128</v>
      </c>
      <c r="AC564" s="40">
        <f>VLOOKUP(B564,'Player Data'!$A1:$AE734,17,FALSE)*$Q564*IFERROR((VLOOKUP(P564,Settings!$E$28:$F$33,2,FALSE)+1),1)</f>
        <v>1.9304793970715364</v>
      </c>
      <c r="AD564" s="40">
        <f>VLOOKUP(B564,'Player Data'!$A1:$AE734,18,FALSE)*$Q564</f>
        <v>19.948133285624667</v>
      </c>
      <c r="AE564" s="40">
        <f>VLOOKUP(B564,'Player Data'!$A1:$AE734,19,FALSE)*$Q564*IFERROR((VLOOKUP(P564,Settings!$E$28:$F$33,2,FALSE)+1),1)</f>
        <v>2.7820413394536301</v>
      </c>
      <c r="AF564" s="40">
        <f>VLOOKUP(B564,'Player Data'!$A1:$AE734,20,FALSE)*$Q564</f>
        <v>3.2562901972516407</v>
      </c>
      <c r="AG564" s="40">
        <f>VLOOKUP(B564,'Player Data'!$A1:$AE734,21,FALSE)*$Q564</f>
        <v>20.140709402146499</v>
      </c>
      <c r="AH564" s="41">
        <f>VLOOKUP(B564,'Player Data'!$A1:$AE734,22,FALSE)</f>
        <v>0.139175546138634</v>
      </c>
      <c r="AI564" s="38"/>
      <c r="AJ564" s="42"/>
      <c r="AK564" s="40"/>
      <c r="AL564" s="40"/>
      <c r="AM564" s="40"/>
      <c r="AN564" s="40"/>
      <c r="AO564" s="40"/>
      <c r="AP564" s="40"/>
      <c r="AQ564" s="43"/>
      <c r="AR564" s="44"/>
      <c r="AS564" s="38"/>
    </row>
    <row r="565" spans="1:45" ht="21.2" customHeight="1">
      <c r="A565" s="181">
        <f t="shared" si="48"/>
        <v>564</v>
      </c>
      <c r="B565" s="8" t="s">
        <v>700</v>
      </c>
      <c r="C565" s="31" t="s">
        <v>104</v>
      </c>
      <c r="D565" s="32" t="str">
        <f>VLOOKUP(B565,'Player Data'!A1:D734,4,FALSE)</f>
        <v>C,LW</v>
      </c>
      <c r="E565" s="45">
        <f>VLOOKUP(B565,LW!A1:C227,3,FALSE)</f>
        <v>139</v>
      </c>
      <c r="F565" s="34" t="str">
        <f>VLOOKUP(B565,'Player Data'!A1:B734,2,FALSE)</f>
        <v>CGY</v>
      </c>
      <c r="G565" s="9">
        <f>VLOOKUP(B565,'Player Data'!A1:D734,3,FALSE)</f>
        <v>24</v>
      </c>
      <c r="H565" s="35">
        <f>IFERROR(VLOOKUP(B565,ADP!A1:G731,7,FALSE)/1000000,VLOOKUP(B565,ADP!A1:G731,7,FALSE))</f>
        <v>0.76519999999999999</v>
      </c>
      <c r="I565" s="36">
        <f>IF(Settings!$E$15="POINTS",((R565*Q565)*Settings!$B$12)+(S565*Settings!$B$2)+(T565*Settings!$B$3)+(U565*Settings!$B$4)+(V565*Settings!$B$5)+(X565*Settings!$B$9)+(AA565*Settings!$B$6)+(W565*Settings!$B$8)+(AB565*Settings!$B$7)+(AC565*Settings!$B$14)+(AD565*Settings!$B$15)+(AE565*Settings!$B$16)+(AF565*Settings!$B$17)+(AG565*Settings!$B$18)+(Y565*Settings!$B$10)+(Z565*Settings!$B$11),VLOOKUP(B565,'Standard Deviations'!A1:C731,3,FALSE))</f>
        <v>-1.4147091682657735</v>
      </c>
      <c r="J565" s="37">
        <f t="shared" si="49"/>
        <v>-1.7252550832509435E-2</v>
      </c>
      <c r="K565" s="183">
        <f>IF(Settings!$E$18="C/LW/RW",VLOOKUP(B565,LW!A1:F227,6,FALSE),VLOOKUP(B565,F!A1:F431,6,FALSE))</f>
        <v>-8.0693782123901752</v>
      </c>
      <c r="L565" s="36">
        <f t="shared" si="50"/>
        <v>-10.54544983323337</v>
      </c>
      <c r="M565" s="52" t="str">
        <f>IF(Settings!$E$9="YAHOO",VLOOKUP(B565,ADP!A1:E731,2,FALSE),IF(Settings!$E$9="ESPN",VLOOKUP(B565,ADP!A1:E731,3,FALSE),IF(Settings!$E$9="FANTRAX",VLOOKUP(B565,ADP!A1:E731,4,FALSE),VLOOKUP(B565,ADP!A1:E731,5,FALSE))))</f>
        <v>-</v>
      </c>
      <c r="N565" s="52" t="str">
        <f t="shared" si="51"/>
        <v>N/A</v>
      </c>
      <c r="O565" s="38"/>
      <c r="P565" s="39" t="str">
        <f>IF(Settings!$E$27="ON",_xlfn.XLOOKUP(B565,ADP!A2:A731,ADP!H2:H731)," ")</f>
        <v xml:space="preserve"> </v>
      </c>
      <c r="Q565" s="40">
        <f>IF(Settings!$E$12="YES",VLOOKUP(B565,'Player Data'!A1:E734,5,FALSE),82)</f>
        <v>82</v>
      </c>
      <c r="R565" s="38">
        <f>VLOOKUP(B565,'Player Data'!$A1:$AE734,6,FALSE)</f>
        <v>12.123398372696</v>
      </c>
      <c r="S565" s="40">
        <f>VLOOKUP(B565,'Player Data'!$A1:$AE734,7,FALSE)*$Q565*IFERROR((VLOOKUP(P565,Settings!$E$28:$F$33,2,FALSE)+1),1)</f>
        <v>12.941102283400303</v>
      </c>
      <c r="T565" s="40">
        <f>VLOOKUP(B565,'Player Data'!$A1:$AE734,8,FALSE)*$Q565*IFERROR((VLOOKUP(P565,Settings!$E$28:$F$33,2,FALSE)+1),1)</f>
        <v>21.703772498620811</v>
      </c>
      <c r="U565" s="40">
        <f t="shared" si="52"/>
        <v>34.644874782021112</v>
      </c>
      <c r="V565" s="40">
        <f>VLOOKUP(B565,'Player Data'!$A1:$AE734,10,FALSE)*$Q565*IFERROR(((VLOOKUP(P565,Settings!$E$28:$F$33,2,FALSE)/2)+1),1)</f>
        <v>115.74045673240629</v>
      </c>
      <c r="W565" s="40">
        <f>VLOOKUP(B565,'Player Data'!$A1:$AE734,11,FALSE)*$Q565*IFERROR((VLOOKUP(P565,Settings!$E$28:$F$33,2,FALSE)+1),1)</f>
        <v>1.4804976448116138</v>
      </c>
      <c r="X565" s="40">
        <f>VLOOKUP(B565,'Player Data'!$A1:$AE734,12,FALSE)*$Q565*IFERROR((VLOOKUP(P565,Settings!$E$28:$F$33,2,FALSE)+1),1)</f>
        <v>4.1419379307838291</v>
      </c>
      <c r="Y565" s="40">
        <f>VLOOKUP(B565,'Player Data'!$A1:$AE734,13,FALSE)*$Q565</f>
        <v>7.6871605345758031E-3</v>
      </c>
      <c r="Z565" s="40">
        <f>VLOOKUP(B565,'Player Data'!$A1:$AE734,14,FALSE)*$Q565</f>
        <v>1.4983793155992105E-2</v>
      </c>
      <c r="AA565" s="40">
        <f>VLOOKUP(B565,'Player Data'!$A1:$AE734,15,FALSE)*$Q565</f>
        <v>21.814458548103978</v>
      </c>
      <c r="AB565" s="40">
        <f>VLOOKUP(B565,'Player Data'!$A1:$AE734,16,FALSE)*$Q565</f>
        <v>72.272216768940723</v>
      </c>
      <c r="AC565" s="40">
        <f>VLOOKUP(B565,'Player Data'!$A1:$AE734,17,FALSE)*$Q565*IFERROR((VLOOKUP(P565,Settings!$E$28:$F$33,2,FALSE)+1),1)</f>
        <v>2.6452057942024387</v>
      </c>
      <c r="AD565" s="40">
        <f>VLOOKUP(B565,'Player Data'!$A1:$AE734,18,FALSE)*$Q565</f>
        <v>23.196420043934182</v>
      </c>
      <c r="AE565" s="40">
        <f>VLOOKUP(B565,'Player Data'!$A1:$AE734,19,FALSE)*$Q565*IFERROR((VLOOKUP(P565,Settings!$E$28:$F$33,2,FALSE)+1),1)</f>
        <v>2.1624355454118098</v>
      </c>
      <c r="AF565" s="40">
        <f>VLOOKUP(B565,'Player Data'!$A1:$AE734,20,FALSE)*$Q565</f>
        <v>184.14636146108415</v>
      </c>
      <c r="AG565" s="40">
        <f>VLOOKUP(B565,'Player Data'!$A1:$AE734,21,FALSE)*$Q565</f>
        <v>205.6058576176076</v>
      </c>
      <c r="AH565" s="41">
        <f>VLOOKUP(B565,'Player Data'!$A1:$AE734,22,FALSE)</f>
        <v>0.472470334861402</v>
      </c>
      <c r="AI565" s="38"/>
      <c r="AJ565" s="42"/>
      <c r="AK565" s="40"/>
      <c r="AL565" s="40"/>
      <c r="AM565" s="40"/>
      <c r="AN565" s="40"/>
      <c r="AO565" s="40"/>
      <c r="AP565" s="40"/>
      <c r="AQ565" s="43"/>
      <c r="AR565" s="44"/>
      <c r="AS565" s="38"/>
    </row>
    <row r="566" spans="1:45" ht="21.2" customHeight="1">
      <c r="A566" s="181">
        <f t="shared" si="48"/>
        <v>565</v>
      </c>
      <c r="B566" s="8" t="s">
        <v>623</v>
      </c>
      <c r="C566" s="31" t="s">
        <v>104</v>
      </c>
      <c r="D566" s="32" t="str">
        <f>VLOOKUP(B566,'Player Data'!A1:D734,4,FALSE)</f>
        <v>LW,RW</v>
      </c>
      <c r="E566" s="45">
        <f>VLOOKUP(B566,RW!A1:F189,3,FALSE)</f>
        <v>127</v>
      </c>
      <c r="F566" s="34" t="str">
        <f>VLOOKUP(B566,'Player Data'!A1:B734,2,FALSE)</f>
        <v>CBJ</v>
      </c>
      <c r="G566" s="9">
        <f>VLOOKUP(B566,'Player Data'!A1:D734,3,FALSE)</f>
        <v>22</v>
      </c>
      <c r="H566" s="35">
        <f>IFERROR(VLOOKUP(B566,ADP!A1:G731,7,FALSE)/1000000,VLOOKUP(B566,ADP!A1:G731,7,FALSE))</f>
        <v>0.8</v>
      </c>
      <c r="I566" s="36">
        <f>IF(Settings!$E$15="POINTS",((R566*Q566)*Settings!$B$12)+(S566*Settings!$B$2)+(T566*Settings!$B$3)+(U566*Settings!$B$4)+(V566*Settings!$B$5)+(X566*Settings!$B$9)+(AA566*Settings!$B$6)+(W566*Settings!$B$8)+(AB566*Settings!$B$7)+(AC566*Settings!$B$14)+(AD566*Settings!$B$15)+(AE566*Settings!$B$16)+(AF566*Settings!$B$17)+(AG566*Settings!$B$18)+(Y566*Settings!$B$10)+(Z566*Settings!$B$11),VLOOKUP(B566,'Standard Deviations'!A1:C731,3,FALSE))</f>
        <v>-1.7979630022150137</v>
      </c>
      <c r="J566" s="37">
        <f t="shared" si="49"/>
        <v>-2.1926378075792851E-2</v>
      </c>
      <c r="K566" s="183">
        <f>IF(Settings!$E$18="C/LW/RW",VLOOKUP(B566,RW!A1:F189,6,FALSE),VLOOKUP(B566,F!A1:F431,6,FALSE))</f>
        <v>-8.0782217212260949</v>
      </c>
      <c r="L566" s="36">
        <f t="shared" si="50"/>
        <v>-10.097777151532618</v>
      </c>
      <c r="M566" s="52" t="str">
        <f>IF(Settings!$E$9="YAHOO",VLOOKUP(B566,ADP!A1:E731,2,FALSE),IF(Settings!$E$9="ESPN",VLOOKUP(B566,ADP!A1:E731,3,FALSE),IF(Settings!$E$9="FANTRAX",VLOOKUP(B566,ADP!A1:E731,4,FALSE),VLOOKUP(B566,ADP!A1:E731,5,FALSE))))</f>
        <v>-</v>
      </c>
      <c r="N566" s="52" t="str">
        <f t="shared" si="51"/>
        <v>N/A</v>
      </c>
      <c r="O566" s="38"/>
      <c r="P566" s="39" t="str">
        <f>IF(Settings!$E$27="ON",_xlfn.XLOOKUP(B566,ADP!A2:A731,ADP!H2:H731)," ")</f>
        <v xml:space="preserve"> </v>
      </c>
      <c r="Q566" s="40">
        <f>IF(Settings!$E$12="YES",VLOOKUP(B566,'Player Data'!A1:E734,5,FALSE),82)</f>
        <v>82</v>
      </c>
      <c r="R566" s="38">
        <f>VLOOKUP(B566,'Player Data'!$A1:$AE734,6,FALSE)</f>
        <v>13.252333333333301</v>
      </c>
      <c r="S566" s="40">
        <f>VLOOKUP(B566,'Player Data'!$A1:$AE734,7,FALSE)*$Q566*IFERROR((VLOOKUP(P566,Settings!$E$28:$F$33,2,FALSE)+1),1)</f>
        <v>11.946731366900584</v>
      </c>
      <c r="T566" s="40">
        <f>VLOOKUP(B566,'Player Data'!$A1:$AE734,8,FALSE)*$Q566*IFERROR((VLOOKUP(P566,Settings!$E$28:$F$33,2,FALSE)+1),1)</f>
        <v>17.872256299756934</v>
      </c>
      <c r="U566" s="40">
        <f t="shared" si="52"/>
        <v>29.81898766665752</v>
      </c>
      <c r="V566" s="40">
        <f>VLOOKUP(B566,'Player Data'!$A1:$AE734,10,FALSE)*$Q566*IFERROR(((VLOOKUP(P566,Settings!$E$28:$F$33,2,FALSE)/2)+1),1)</f>
        <v>125.72256838989213</v>
      </c>
      <c r="W566" s="40">
        <f>VLOOKUP(B566,'Player Data'!$A1:$AE734,11,FALSE)*$Q566*IFERROR((VLOOKUP(P566,Settings!$E$28:$F$33,2,FALSE)+1),1)</f>
        <v>1.9389589462758112</v>
      </c>
      <c r="X566" s="40">
        <f>VLOOKUP(B566,'Player Data'!$A1:$AE734,12,FALSE)*$Q566*IFERROR((VLOOKUP(P566,Settings!$E$28:$F$33,2,FALSE)+1),1)</f>
        <v>4.4950986343426003</v>
      </c>
      <c r="Y566" s="40">
        <f>VLOOKUP(B566,'Player Data'!$A1:$AE734,13,FALSE)*$Q566</f>
        <v>0</v>
      </c>
      <c r="Z566" s="40">
        <f>VLOOKUP(B566,'Player Data'!$A1:$AE734,14,FALSE)*$Q566</f>
        <v>0</v>
      </c>
      <c r="AA566" s="40">
        <f>VLOOKUP(B566,'Player Data'!$A1:$AE734,15,FALSE)*$Q566</f>
        <v>35.989130914786863</v>
      </c>
      <c r="AB566" s="40">
        <f>VLOOKUP(B566,'Player Data'!$A1:$AE734,16,FALSE)*$Q566</f>
        <v>82.341835555550404</v>
      </c>
      <c r="AC566" s="40">
        <f>VLOOKUP(B566,'Player Data'!$A1:$AE734,17,FALSE)*$Q566*IFERROR((VLOOKUP(P566,Settings!$E$28:$F$33,2,FALSE)+1),1)</f>
        <v>-2.1610907954636094</v>
      </c>
      <c r="AD566" s="40">
        <f>VLOOKUP(B566,'Player Data'!$A1:$AE734,18,FALSE)*$Q566</f>
        <v>25.558295360017976</v>
      </c>
      <c r="AE566" s="40">
        <f>VLOOKUP(B566,'Player Data'!$A1:$AE734,19,FALSE)*$Q566*IFERROR((VLOOKUP(P566,Settings!$E$28:$F$33,2,FALSE)+1),1)</f>
        <v>1.280174521446078</v>
      </c>
      <c r="AF566" s="40">
        <f>VLOOKUP(B566,'Player Data'!$A1:$AE734,20,FALSE)*$Q566</f>
        <v>1.0520618756811118</v>
      </c>
      <c r="AG566" s="40">
        <f>VLOOKUP(B566,'Player Data'!$A1:$AE734,21,FALSE)*$Q566</f>
        <v>7.2084269835544399</v>
      </c>
      <c r="AH566" s="41">
        <f>VLOOKUP(B566,'Player Data'!$A1:$AE734,22,FALSE)</f>
        <v>0.12736072811294499</v>
      </c>
      <c r="AI566" s="38"/>
      <c r="AJ566" s="42"/>
      <c r="AK566" s="40"/>
      <c r="AL566" s="40"/>
      <c r="AM566" s="40"/>
      <c r="AN566" s="40"/>
      <c r="AO566" s="40"/>
      <c r="AP566" s="40"/>
      <c r="AQ566" s="43"/>
      <c r="AR566" s="44"/>
      <c r="AS566" s="38"/>
    </row>
    <row r="567" spans="1:45" ht="21.2" customHeight="1">
      <c r="A567" s="181">
        <f t="shared" si="48"/>
        <v>566</v>
      </c>
      <c r="B567" s="8" t="s">
        <v>609</v>
      </c>
      <c r="C567" s="31" t="s">
        <v>104</v>
      </c>
      <c r="D567" s="32" t="str">
        <f>VLOOKUP(B567,'Player Data'!A1:D734,4,FALSE)</f>
        <v>LW</v>
      </c>
      <c r="E567" s="48">
        <f>VLOOKUP(B567,LW!A1:C227,3,FALSE)</f>
        <v>140</v>
      </c>
      <c r="F567" s="34" t="str">
        <f>VLOOKUP(B567,'Player Data'!A1:B734,2,FALSE)</f>
        <v>VGK</v>
      </c>
      <c r="G567" s="9">
        <f>VLOOKUP(B567,'Player Data'!A1:D734,3,FALSE)</f>
        <v>28</v>
      </c>
      <c r="H567" s="35">
        <f>IFERROR(VLOOKUP(B567,ADP!A1:G731,7,FALSE)/1000000,VLOOKUP(B567,ADP!A1:G731,7,FALSE))</f>
        <v>1.4</v>
      </c>
      <c r="I567" s="36">
        <f>IF(Settings!$E$15="POINTS",((R567*Q567)*Settings!$B$12)+(S567*Settings!$B$2)+(T567*Settings!$B$3)+(U567*Settings!$B$4)+(V567*Settings!$B$5)+(X567*Settings!$B$9)+(AA567*Settings!$B$6)+(W567*Settings!$B$8)+(AB567*Settings!$B$7)+(AC567*Settings!$B$14)+(AD567*Settings!$B$15)+(AE567*Settings!$B$16)+(AF567*Settings!$B$17)+(AG567*Settings!$B$18)+(Y567*Settings!$B$10)+(Z567*Settings!$B$11),VLOOKUP(B567,'Standard Deviations'!A1:C731,3,FALSE))</f>
        <v>-1.4369251909626923</v>
      </c>
      <c r="J567" s="37">
        <f t="shared" si="49"/>
        <v>-1.7523477938569419E-2</v>
      </c>
      <c r="K567" s="183">
        <f>IF(Settings!$E$18="C/LW/RW",VLOOKUP(B567,LW!A1:F227,6,FALSE),VLOOKUP(B567,F!A1:F431,6,FALSE))</f>
        <v>-8.0915942350870935</v>
      </c>
      <c r="L567" s="36">
        <f t="shared" si="50"/>
        <v>-5.7797101679193528</v>
      </c>
      <c r="M567" s="52" t="str">
        <f>IF(Settings!$E$9="YAHOO",VLOOKUP(B567,ADP!A1:E731,2,FALSE),IF(Settings!$E$9="ESPN",VLOOKUP(B567,ADP!A1:E731,3,FALSE),IF(Settings!$E$9="FANTRAX",VLOOKUP(B567,ADP!A1:E731,4,FALSE),VLOOKUP(B567,ADP!A1:E731,5,FALSE))))</f>
        <v>-</v>
      </c>
      <c r="N567" s="52" t="str">
        <f t="shared" si="51"/>
        <v>N/A</v>
      </c>
      <c r="O567" s="38"/>
      <c r="P567" s="39" t="str">
        <f>IF(Settings!$E$27="ON",_xlfn.XLOOKUP(B567,ADP!A2:A731,ADP!H2:H731)," ")</f>
        <v xml:space="preserve"> </v>
      </c>
      <c r="Q567" s="40">
        <f>IF(Settings!$E$12="YES",VLOOKUP(B567,'Player Data'!A1:E734,5,FALSE),82)</f>
        <v>82</v>
      </c>
      <c r="R567" s="38">
        <f>VLOOKUP(B567,'Player Data'!$A1:$AE734,6,FALSE)</f>
        <v>12.603615948252401</v>
      </c>
      <c r="S567" s="40">
        <f>VLOOKUP(B567,'Player Data'!$A1:$AE734,7,FALSE)*$Q567*IFERROR((VLOOKUP(P567,Settings!$E$28:$F$33,2,FALSE)+1),1)</f>
        <v>16.46716873820996</v>
      </c>
      <c r="T567" s="40">
        <f>VLOOKUP(B567,'Player Data'!$A1:$AE734,8,FALSE)*$Q567*IFERROR((VLOOKUP(P567,Settings!$E$28:$F$33,2,FALSE)+1),1)</f>
        <v>15.042188884574202</v>
      </c>
      <c r="U567" s="40">
        <f t="shared" si="52"/>
        <v>31.509357622784162</v>
      </c>
      <c r="V567" s="40">
        <f>VLOOKUP(B567,'Player Data'!$A1:$AE734,10,FALSE)*$Q567*IFERROR(((VLOOKUP(P567,Settings!$E$28:$F$33,2,FALSE)/2)+1),1)</f>
        <v>150.5679031442339</v>
      </c>
      <c r="W567" s="40">
        <f>VLOOKUP(B567,'Player Data'!$A1:$AE734,11,FALSE)*$Q567*IFERROR((VLOOKUP(P567,Settings!$E$28:$F$33,2,FALSE)+1),1)</f>
        <v>0.36057825185633013</v>
      </c>
      <c r="X567" s="40">
        <f>VLOOKUP(B567,'Player Data'!$A1:$AE734,12,FALSE)*$Q567*IFERROR((VLOOKUP(P567,Settings!$E$28:$F$33,2,FALSE)+1),1)</f>
        <v>0.91930314097505994</v>
      </c>
      <c r="Y567" s="40">
        <f>VLOOKUP(B567,'Player Data'!$A1:$AE734,13,FALSE)*$Q567</f>
        <v>6.7639430894375185E-2</v>
      </c>
      <c r="Z567" s="40">
        <f>VLOOKUP(B567,'Player Data'!$A1:$AE734,14,FALSE)*$Q567</f>
        <v>0.12729019096617383</v>
      </c>
      <c r="AA567" s="40">
        <f>VLOOKUP(B567,'Player Data'!$A1:$AE734,15,FALSE)*$Q567</f>
        <v>30.733571276360301</v>
      </c>
      <c r="AB567" s="40">
        <f>VLOOKUP(B567,'Player Data'!$A1:$AE734,16,FALSE)*$Q567</f>
        <v>178.68893947149638</v>
      </c>
      <c r="AC567" s="40">
        <f>VLOOKUP(B567,'Player Data'!$A1:$AE734,17,FALSE)*$Q567*IFERROR((VLOOKUP(P567,Settings!$E$28:$F$33,2,FALSE)+1),1)</f>
        <v>6.9750951621398327</v>
      </c>
      <c r="AD567" s="40">
        <f>VLOOKUP(B567,'Player Data'!$A1:$AE734,18,FALSE)*$Q567</f>
        <v>34.710582606945231</v>
      </c>
      <c r="AE567" s="40">
        <f>VLOOKUP(B567,'Player Data'!$A1:$AE734,19,FALSE)*$Q567*IFERROR((VLOOKUP(P567,Settings!$E$28:$F$33,2,FALSE)+1),1)</f>
        <v>2.6911846745360894</v>
      </c>
      <c r="AF567" s="40">
        <f>VLOOKUP(B567,'Player Data'!$A1:$AE734,20,FALSE)*$Q567</f>
        <v>3.7840454494796267</v>
      </c>
      <c r="AG567" s="40">
        <f>VLOOKUP(B567,'Player Data'!$A1:$AE734,21,FALSE)*$Q567</f>
        <v>8.2874586258593617</v>
      </c>
      <c r="AH567" s="41">
        <f>VLOOKUP(B567,'Player Data'!$A1:$AE734,22,FALSE)</f>
        <v>0.31346925999139502</v>
      </c>
      <c r="AI567" s="38"/>
      <c r="AJ567" s="42"/>
      <c r="AK567" s="40"/>
      <c r="AL567" s="40"/>
      <c r="AM567" s="40"/>
      <c r="AN567" s="40"/>
      <c r="AO567" s="40"/>
      <c r="AP567" s="40"/>
      <c r="AQ567" s="43"/>
      <c r="AR567" s="44"/>
      <c r="AS567" s="38"/>
    </row>
    <row r="568" spans="1:45" ht="21.2" customHeight="1">
      <c r="A568" s="181">
        <f t="shared" si="48"/>
        <v>567</v>
      </c>
      <c r="B568" s="8" t="s">
        <v>568</v>
      </c>
      <c r="C568" s="31" t="s">
        <v>104</v>
      </c>
      <c r="D568" s="32" t="str">
        <f>VLOOKUP(B568,'Player Data'!A1:D734,4,FALSE)</f>
        <v>C,LW</v>
      </c>
      <c r="E568" s="45">
        <f>VLOOKUP(B568,LW!A1:C227,3,FALSE)</f>
        <v>141</v>
      </c>
      <c r="F568" s="34" t="str">
        <f>VLOOKUP(B568,'Player Data'!A1:B734,2,FALSE)</f>
        <v>FLA</v>
      </c>
      <c r="G568" s="9">
        <f>VLOOKUP(B568,'Player Data'!A1:D734,3,FALSE)</f>
        <v>24</v>
      </c>
      <c r="H568" s="35">
        <f>IFERROR(VLOOKUP(B568,ADP!A1:G731,7,FALSE)/1000000,VLOOKUP(B568,ADP!A1:G731,7,FALSE))</f>
        <v>2.625</v>
      </c>
      <c r="I568" s="36">
        <f>IF(Settings!$E$15="POINTS",((R568*Q568)*Settings!$B$12)+(S568*Settings!$B$2)+(T568*Settings!$B$3)+(U568*Settings!$B$4)+(V568*Settings!$B$5)+(X568*Settings!$B$9)+(AA568*Settings!$B$6)+(W568*Settings!$B$8)+(AB568*Settings!$B$7)+(AC568*Settings!$B$14)+(AD568*Settings!$B$15)+(AE568*Settings!$B$16)+(AF568*Settings!$B$17)+(AG568*Settings!$B$18)+(Y568*Settings!$B$10)+(Z568*Settings!$B$11),VLOOKUP(B568,'Standard Deviations'!A1:C731,3,FALSE))</f>
        <v>-1.4557264403666692</v>
      </c>
      <c r="J568" s="37">
        <f t="shared" si="49"/>
        <v>-1.7752761467886211E-2</v>
      </c>
      <c r="K568" s="183">
        <f>IF(Settings!$E$18="C/LW/RW",VLOOKUP(B568,LW!A1:F227,6,FALSE),VLOOKUP(B568,F!A1:F431,6,FALSE))</f>
        <v>-8.11039548449107</v>
      </c>
      <c r="L568" s="36">
        <f t="shared" si="50"/>
        <v>-3.0896744702823122</v>
      </c>
      <c r="M568" s="52" t="str">
        <f>IF(Settings!$E$9="YAHOO",VLOOKUP(B568,ADP!A1:E731,2,FALSE),IF(Settings!$E$9="ESPN",VLOOKUP(B568,ADP!A1:E731,3,FALSE),IF(Settings!$E$9="FANTRAX",VLOOKUP(B568,ADP!A1:E731,4,FALSE),VLOOKUP(B568,ADP!A1:E731,5,FALSE))))</f>
        <v>-</v>
      </c>
      <c r="N568" s="52" t="str">
        <f t="shared" si="51"/>
        <v>N/A</v>
      </c>
      <c r="O568" s="38"/>
      <c r="P568" s="39" t="str">
        <f>IF(Settings!$E$27="ON",_xlfn.XLOOKUP(B568,ADP!A2:A731,ADP!H2:H731)," ")</f>
        <v xml:space="preserve"> </v>
      </c>
      <c r="Q568" s="40">
        <f>IF(Settings!$E$12="YES",VLOOKUP(B568,'Player Data'!A1:E734,5,FALSE),82)</f>
        <v>82</v>
      </c>
      <c r="R568" s="38">
        <f>VLOOKUP(B568,'Player Data'!$A1:$AE734,6,FALSE)</f>
        <v>14.9668237148669</v>
      </c>
      <c r="S568" s="40">
        <f>VLOOKUP(B568,'Player Data'!$A1:$AE734,7,FALSE)*$Q568*IFERROR((VLOOKUP(P568,Settings!$E$28:$F$33,2,FALSE)+1),1)</f>
        <v>13.835919764885986</v>
      </c>
      <c r="T568" s="40">
        <f>VLOOKUP(B568,'Player Data'!$A1:$AE734,8,FALSE)*$Q568*IFERROR((VLOOKUP(P568,Settings!$E$28:$F$33,2,FALSE)+1),1)</f>
        <v>21.930391337579174</v>
      </c>
      <c r="U568" s="40">
        <f t="shared" si="52"/>
        <v>35.76631110246516</v>
      </c>
      <c r="V568" s="40">
        <f>VLOOKUP(B568,'Player Data'!$A1:$AE734,10,FALSE)*$Q568*IFERROR(((VLOOKUP(P568,Settings!$E$28:$F$33,2,FALSE)/2)+1),1)</f>
        <v>116.0982327120531</v>
      </c>
      <c r="W568" s="40">
        <f>VLOOKUP(B568,'Player Data'!$A1:$AE734,11,FALSE)*$Q568*IFERROR((VLOOKUP(P568,Settings!$E$28:$F$33,2,FALSE)+1),1)</f>
        <v>0.81103767029321083</v>
      </c>
      <c r="X568" s="40">
        <f>VLOOKUP(B568,'Player Data'!$A1:$AE734,12,FALSE)*$Q568*IFERROR((VLOOKUP(P568,Settings!$E$28:$F$33,2,FALSE)+1),1)</f>
        <v>2.1590235178194135</v>
      </c>
      <c r="Y568" s="40">
        <f>VLOOKUP(B568,'Player Data'!$A1:$AE734,13,FALSE)*$Q568</f>
        <v>0.75010536276781536</v>
      </c>
      <c r="Z568" s="40">
        <f>VLOOKUP(B568,'Player Data'!$A1:$AE734,14,FALSE)*$Q568</f>
        <v>1.3301224453261493</v>
      </c>
      <c r="AA568" s="40">
        <f>VLOOKUP(B568,'Player Data'!$A1:$AE734,15,FALSE)*$Q568</f>
        <v>50.154976364256235</v>
      </c>
      <c r="AB568" s="40">
        <f>VLOOKUP(B568,'Player Data'!$A1:$AE734,16,FALSE)*$Q568</f>
        <v>78.801370190509473</v>
      </c>
      <c r="AC568" s="40">
        <f>VLOOKUP(B568,'Player Data'!$A1:$AE734,17,FALSE)*$Q568*IFERROR((VLOOKUP(P568,Settings!$E$28:$F$33,2,FALSE)+1),1)</f>
        <v>4.6997723296099121</v>
      </c>
      <c r="AD568" s="40">
        <f>VLOOKUP(B568,'Player Data'!$A1:$AE734,18,FALSE)*$Q568</f>
        <v>23.919793311596077</v>
      </c>
      <c r="AE568" s="40">
        <f>VLOOKUP(B568,'Player Data'!$A1:$AE734,19,FALSE)*$Q568*IFERROR((VLOOKUP(P568,Settings!$E$28:$F$33,2,FALSE)+1),1)</f>
        <v>1.9847942497673605</v>
      </c>
      <c r="AF568" s="40">
        <f>VLOOKUP(B568,'Player Data'!$A1:$AE734,20,FALSE)*$Q568</f>
        <v>208.60982098005405</v>
      </c>
      <c r="AG568" s="40">
        <f>VLOOKUP(B568,'Player Data'!$A1:$AE734,21,FALSE)*$Q568</f>
        <v>287.40494247730061</v>
      </c>
      <c r="AH568" s="41">
        <f>VLOOKUP(B568,'Player Data'!$A1:$AE734,22,FALSE)</f>
        <v>0.42057179815775603</v>
      </c>
      <c r="AI568" s="38"/>
      <c r="AJ568" s="42"/>
      <c r="AK568" s="40"/>
      <c r="AL568" s="40"/>
      <c r="AM568" s="40"/>
      <c r="AN568" s="40"/>
      <c r="AO568" s="40"/>
      <c r="AP568" s="40"/>
      <c r="AQ568" s="43"/>
      <c r="AR568" s="44"/>
      <c r="AS568" s="38"/>
    </row>
    <row r="569" spans="1:45" ht="21.2" customHeight="1">
      <c r="A569" s="181">
        <f t="shared" si="48"/>
        <v>568</v>
      </c>
      <c r="B569" s="8" t="s">
        <v>567</v>
      </c>
      <c r="C569" s="31" t="s">
        <v>104</v>
      </c>
      <c r="D569" s="32" t="str">
        <f>VLOOKUP(B569,'Player Data'!A1:D734,4,FALSE)</f>
        <v>LW</v>
      </c>
      <c r="E569" s="48">
        <f>VLOOKUP(B569,LW!A1:C227,3,FALSE)</f>
        <v>143</v>
      </c>
      <c r="F569" s="34" t="str">
        <f>VLOOKUP(B569,'Player Data'!A1:B734,2,FALSE)</f>
        <v>UFA</v>
      </c>
      <c r="G569" s="9">
        <f>VLOOKUP(B569,'Player Data'!A1:D734,3,FALSE)</f>
        <v>39</v>
      </c>
      <c r="H569" s="35">
        <f>IFERROR(VLOOKUP(B569,ADP!A1:G731,7,FALSE)/1000000,VLOOKUP(B569,ADP!A1:G731,7,FALSE))</f>
        <v>2.629</v>
      </c>
      <c r="I569" s="36">
        <f>IF(Settings!$E$15="POINTS",((R569*Q569)*Settings!$B$12)+(S569*Settings!$B$2)+(T569*Settings!$B$3)+(U569*Settings!$B$4)+(V569*Settings!$B$5)+(X569*Settings!$B$9)+(AA569*Settings!$B$6)+(W569*Settings!$B$8)+(AB569*Settings!$B$7)+(AC569*Settings!$B$14)+(AD569*Settings!$B$15)+(AE569*Settings!$B$16)+(AF569*Settings!$B$17)+(AG569*Settings!$B$18)+(Y569*Settings!$B$10)+(Z569*Settings!$B$11),VLOOKUP(B569,'Standard Deviations'!A1:C731,3,FALSE))</f>
        <v>-1.4860261729660267</v>
      </c>
      <c r="J569" s="37">
        <f t="shared" si="49"/>
        <v>-1.8122270402024715E-2</v>
      </c>
      <c r="K569" s="183">
        <f>IF(Settings!$E$18="C/LW/RW",VLOOKUP(B569,LW!A1:F227,6,FALSE),VLOOKUP(B569,F!A1:F431,6,FALSE))</f>
        <v>-8.1406952170904283</v>
      </c>
      <c r="L569" s="36">
        <f t="shared" si="50"/>
        <v>-3.0964987512706079</v>
      </c>
      <c r="M569" s="52" t="str">
        <f>IF(Settings!$E$9="YAHOO",VLOOKUP(B569,ADP!A1:E731,2,FALSE),IF(Settings!$E$9="ESPN",VLOOKUP(B569,ADP!A1:E731,3,FALSE),IF(Settings!$E$9="FANTRAX",VLOOKUP(B569,ADP!A1:E731,4,FALSE),VLOOKUP(B569,ADP!A1:E731,5,FALSE))))</f>
        <v>-</v>
      </c>
      <c r="N569" s="52" t="str">
        <f t="shared" si="51"/>
        <v>N/A</v>
      </c>
      <c r="O569" s="38"/>
      <c r="P569" s="39" t="str">
        <f>IF(Settings!$E$27="ON",_xlfn.XLOOKUP(B569,ADP!A2:A731,ADP!H2:H731)," ")</f>
        <v xml:space="preserve"> </v>
      </c>
      <c r="Q569" s="40">
        <f>IF(Settings!$E$12="YES",VLOOKUP(B569,'Player Data'!A1:E734,5,FALSE),82)</f>
        <v>82</v>
      </c>
      <c r="R569" s="38">
        <f>VLOOKUP(B569,'Player Data'!$A1:$AE734,6,FALSE)</f>
        <v>13.7538688371612</v>
      </c>
      <c r="S569" s="40">
        <f>VLOOKUP(B569,'Player Data'!$A1:$AE734,7,FALSE)*$Q569*IFERROR((VLOOKUP(P569,Settings!$E$28:$F$33,2,FALSE)+1),1)</f>
        <v>14.417370769562893</v>
      </c>
      <c r="T569" s="40">
        <f>VLOOKUP(B569,'Player Data'!$A1:$AE734,8,FALSE)*$Q569*IFERROR((VLOOKUP(P569,Settings!$E$28:$F$33,2,FALSE)+1),1)</f>
        <v>13.66832567398076</v>
      </c>
      <c r="U569" s="40">
        <f t="shared" si="52"/>
        <v>28.085696443543654</v>
      </c>
      <c r="V569" s="40">
        <f>VLOOKUP(B569,'Player Data'!$A1:$AE734,10,FALSE)*$Q569*IFERROR(((VLOOKUP(P569,Settings!$E$28:$F$33,2,FALSE)/2)+1),1)</f>
        <v>155.37023610335723</v>
      </c>
      <c r="W569" s="40">
        <f>VLOOKUP(B569,'Player Data'!$A1:$AE734,11,FALSE)*$Q569*IFERROR((VLOOKUP(P569,Settings!$E$28:$F$33,2,FALSE)+1),1)</f>
        <v>1.7450343479129218</v>
      </c>
      <c r="X569" s="40">
        <f>VLOOKUP(B569,'Player Data'!$A1:$AE734,12,FALSE)*$Q569*IFERROR((VLOOKUP(P569,Settings!$E$28:$F$33,2,FALSE)+1),1)</f>
        <v>4.0874428123850635</v>
      </c>
      <c r="Y569" s="40">
        <f>VLOOKUP(B569,'Player Data'!$A1:$AE734,13,FALSE)*$Q569</f>
        <v>0</v>
      </c>
      <c r="Z569" s="40">
        <f>VLOOKUP(B569,'Player Data'!$A1:$AE734,14,FALSE)*$Q569</f>
        <v>0</v>
      </c>
      <c r="AA569" s="40">
        <f>VLOOKUP(B569,'Player Data'!$A1:$AE734,15,FALSE)*$Q569</f>
        <v>55.822809680678631</v>
      </c>
      <c r="AB569" s="40">
        <f>VLOOKUP(B569,'Player Data'!$A1:$AE734,16,FALSE)*$Q569</f>
        <v>76.997845700759825</v>
      </c>
      <c r="AC569" s="40">
        <f>VLOOKUP(B569,'Player Data'!$A1:$AE734,17,FALSE)*$Q569*IFERROR((VLOOKUP(P569,Settings!$E$28:$F$33,2,FALSE)+1),1)</f>
        <v>0.51944487301298203</v>
      </c>
      <c r="AD569" s="40">
        <f>VLOOKUP(B569,'Player Data'!$A1:$AE734,18,FALSE)*$Q569</f>
        <v>22.10851410701444</v>
      </c>
      <c r="AE569" s="40">
        <f>VLOOKUP(B569,'Player Data'!$A1:$AE734,19,FALSE)*$Q569*IFERROR((VLOOKUP(P569,Settings!$E$28:$F$33,2,FALSE)+1),1)</f>
        <v>0</v>
      </c>
      <c r="AF569" s="40">
        <f>VLOOKUP(B569,'Player Data'!$A1:$AE734,20,FALSE)*$Q569</f>
        <v>15.434803244832421</v>
      </c>
      <c r="AG569" s="40">
        <f>VLOOKUP(B569,'Player Data'!$A1:$AE734,21,FALSE)*$Q569</f>
        <v>24.990914224705666</v>
      </c>
      <c r="AH569" s="41">
        <f>VLOOKUP(B569,'Player Data'!$A1:$AE734,22,FALSE)</f>
        <v>0.38180653828748801</v>
      </c>
      <c r="AI569" s="38"/>
      <c r="AJ569" s="42"/>
      <c r="AK569" s="40"/>
      <c r="AL569" s="40"/>
      <c r="AM569" s="40"/>
      <c r="AN569" s="40"/>
      <c r="AO569" s="40"/>
      <c r="AP569" s="40"/>
      <c r="AQ569" s="43"/>
      <c r="AR569" s="44"/>
      <c r="AS569" s="38"/>
    </row>
    <row r="570" spans="1:45" ht="21.2" customHeight="1">
      <c r="A570" s="181">
        <f t="shared" si="48"/>
        <v>569</v>
      </c>
      <c r="B570" s="8" t="s">
        <v>628</v>
      </c>
      <c r="C570" s="31" t="s">
        <v>104</v>
      </c>
      <c r="D570" s="32" t="str">
        <f>VLOOKUP(B570,'Player Data'!A1:D734,4,FALSE)</f>
        <v>C</v>
      </c>
      <c r="E570" s="33">
        <f>VLOOKUP(B570,'C'!A1:C208,3,FALSE)</f>
        <v>129</v>
      </c>
      <c r="F570" s="34" t="str">
        <f>VLOOKUP(B570,'Player Data'!A1:B734,2,FALSE)</f>
        <v>PIT</v>
      </c>
      <c r="G570" s="9">
        <f>VLOOKUP(B570,'Player Data'!A1:D734,3,FALSE)</f>
        <v>38</v>
      </c>
      <c r="H570" s="35">
        <f>IFERROR(VLOOKUP(B570,ADP!A1:G731,7,FALSE)/1000000,VLOOKUP(B570,ADP!A1:G731,7,FALSE))</f>
        <v>3.125</v>
      </c>
      <c r="I570" s="36">
        <f>IF(Settings!$E$15="POINTS",((R570*Q570)*Settings!$B$12)+(S570*Settings!$B$2)+(T570*Settings!$B$3)+(U570*Settings!$B$4)+(V570*Settings!$B$5)+(X570*Settings!$B$9)+(AA570*Settings!$B$6)+(W570*Settings!$B$8)+(AB570*Settings!$B$7)+(AC570*Settings!$B$14)+(AD570*Settings!$B$15)+(AE570*Settings!$B$16)+(AF570*Settings!$B$17)+(AG570*Settings!$B$18)+(Y570*Settings!$B$10)+(Z570*Settings!$B$11),VLOOKUP(B570,'Standard Deviations'!A1:C731,3,FALSE))</f>
        <v>-1.8047758064220836</v>
      </c>
      <c r="J570" s="37">
        <f t="shared" si="49"/>
        <v>-2.2009461053927849E-2</v>
      </c>
      <c r="K570" s="183">
        <f>IF(Settings!$E$18="C/LW/RW",VLOOKUP(B570,'C'!A1:F208,6,FALSE),VLOOKUP(B570,F!A1:F431,6,FALSE))</f>
        <v>-8.1418265306286859</v>
      </c>
      <c r="L570" s="36">
        <f t="shared" si="50"/>
        <v>-2.6053844898011795</v>
      </c>
      <c r="M570" s="52" t="str">
        <f>IF(Settings!$E$9="YAHOO",VLOOKUP(B570,ADP!A1:E731,2,FALSE),IF(Settings!$E$9="ESPN",VLOOKUP(B570,ADP!A1:E731,3,FALSE),IF(Settings!$E$9="FANTRAX",VLOOKUP(B570,ADP!A1:E731,4,FALSE),VLOOKUP(B570,ADP!A1:E731,5,FALSE))))</f>
        <v>-</v>
      </c>
      <c r="N570" s="52" t="str">
        <f t="shared" si="51"/>
        <v>N/A</v>
      </c>
      <c r="O570" s="38"/>
      <c r="P570" s="39" t="str">
        <f>IF(Settings!$E$27="ON",_xlfn.XLOOKUP(B570,ADP!A2:A731,ADP!H2:H731)," ")</f>
        <v xml:space="preserve"> </v>
      </c>
      <c r="Q570" s="40">
        <f>IF(Settings!$E$12="YES",VLOOKUP(B570,'Player Data'!A1:E734,5,FALSE),82)</f>
        <v>82</v>
      </c>
      <c r="R570" s="38">
        <f>VLOOKUP(B570,'Player Data'!$A1:$AE734,6,FALSE)</f>
        <v>13.1988288162821</v>
      </c>
      <c r="S570" s="40">
        <f>VLOOKUP(B570,'Player Data'!$A1:$AE734,7,FALSE)*$Q570*IFERROR((VLOOKUP(P570,Settings!$E$28:$F$33,2,FALSE)+1),1)</f>
        <v>11.763450905925326</v>
      </c>
      <c r="T570" s="40">
        <f>VLOOKUP(B570,'Player Data'!$A1:$AE734,8,FALSE)*$Q570*IFERROR((VLOOKUP(P570,Settings!$E$28:$F$33,2,FALSE)+1),1)</f>
        <v>15.349746627362411</v>
      </c>
      <c r="U570" s="40">
        <f t="shared" si="52"/>
        <v>27.113197533287739</v>
      </c>
      <c r="V570" s="40">
        <f>VLOOKUP(B570,'Player Data'!$A1:$AE734,10,FALSE)*$Q570*IFERROR(((VLOOKUP(P570,Settings!$E$28:$F$33,2,FALSE)/2)+1),1)</f>
        <v>143.51273375309415</v>
      </c>
      <c r="W570" s="40">
        <f>VLOOKUP(B570,'Player Data'!$A1:$AE734,11,FALSE)*$Q570*IFERROR((VLOOKUP(P570,Settings!$E$28:$F$33,2,FALSE)+1),1)</f>
        <v>1.9648713730884024</v>
      </c>
      <c r="X570" s="40">
        <f>VLOOKUP(B570,'Player Data'!$A1:$AE734,12,FALSE)*$Q570*IFERROR((VLOOKUP(P570,Settings!$E$28:$F$33,2,FALSE)+1),1)</f>
        <v>4.640678686604141</v>
      </c>
      <c r="Y570" s="40">
        <f>VLOOKUP(B570,'Player Data'!$A1:$AE734,13,FALSE)*$Q570</f>
        <v>0.18586724183389267</v>
      </c>
      <c r="Z570" s="40">
        <f>VLOOKUP(B570,'Player Data'!$A1:$AE734,14,FALSE)*$Q570</f>
        <v>0.42419886136235763</v>
      </c>
      <c r="AA570" s="40">
        <f>VLOOKUP(B570,'Player Data'!$A1:$AE734,15,FALSE)*$Q570</f>
        <v>48.838372515175458</v>
      </c>
      <c r="AB570" s="40">
        <f>VLOOKUP(B570,'Player Data'!$A1:$AE734,16,FALSE)*$Q570</f>
        <v>83.992969994342658</v>
      </c>
      <c r="AC570" s="40">
        <f>VLOOKUP(B570,'Player Data'!$A1:$AE734,17,FALSE)*$Q570*IFERROR((VLOOKUP(P570,Settings!$E$28:$F$33,2,FALSE)+1),1)</f>
        <v>7.327869879869596E-2</v>
      </c>
      <c r="AD570" s="40">
        <f>VLOOKUP(B570,'Player Data'!$A1:$AE734,18,FALSE)*$Q570</f>
        <v>29.149693734297312</v>
      </c>
      <c r="AE570" s="40">
        <f>VLOOKUP(B570,'Player Data'!$A1:$AE734,19,FALSE)*$Q570*IFERROR((VLOOKUP(P570,Settings!$E$28:$F$33,2,FALSE)+1),1)</f>
        <v>1.8882694150287962</v>
      </c>
      <c r="AF570" s="40">
        <f>VLOOKUP(B570,'Player Data'!$A1:$AE734,20,FALSE)*$Q570</f>
        <v>489.37221688165033</v>
      </c>
      <c r="AG570" s="40">
        <f>VLOOKUP(B570,'Player Data'!$A1:$AE734,21,FALSE)*$Q570</f>
        <v>377.8513506719591</v>
      </c>
      <c r="AH570" s="41">
        <f>VLOOKUP(B570,'Player Data'!$A1:$AE734,22,FALSE)</f>
        <v>0.56429764502611801</v>
      </c>
      <c r="AI570" s="38"/>
      <c r="AJ570" s="42"/>
      <c r="AK570" s="40"/>
      <c r="AL570" s="40"/>
      <c r="AM570" s="40"/>
      <c r="AN570" s="40"/>
      <c r="AO570" s="40"/>
      <c r="AP570" s="40"/>
      <c r="AQ570" s="43"/>
      <c r="AR570" s="44"/>
      <c r="AS570" s="38"/>
    </row>
    <row r="571" spans="1:45" ht="21.2" customHeight="1">
      <c r="A571" s="181">
        <f t="shared" si="48"/>
        <v>570</v>
      </c>
      <c r="B571" s="8" t="s">
        <v>626</v>
      </c>
      <c r="C571" s="31" t="s">
        <v>104</v>
      </c>
      <c r="D571" s="32" t="str">
        <f>VLOOKUP(B571,'Player Data'!A1:D734,4,FALSE)</f>
        <v>LW</v>
      </c>
      <c r="E571" s="48">
        <f>VLOOKUP(B571,LW!A1:C227,3,FALSE)</f>
        <v>144</v>
      </c>
      <c r="F571" s="34" t="str">
        <f>VLOOKUP(B571,'Player Data'!A1:B734,2,FALSE)</f>
        <v>COL</v>
      </c>
      <c r="G571" s="9">
        <f>VLOOKUP(B571,'Player Data'!A1:D734,3,FALSE)</f>
        <v>27</v>
      </c>
      <c r="H571" s="35">
        <f>IFERROR(VLOOKUP(B571,ADP!A1:G731,7,FALSE)/1000000,VLOOKUP(B571,ADP!A1:G731,7,FALSE))</f>
        <v>2.5</v>
      </c>
      <c r="I571" s="36">
        <f>IF(Settings!$E$15="POINTS",((R571*Q571)*Settings!$B$12)+(S571*Settings!$B$2)+(T571*Settings!$B$3)+(U571*Settings!$B$4)+(V571*Settings!$B$5)+(X571*Settings!$B$9)+(AA571*Settings!$B$6)+(W571*Settings!$B$8)+(AB571*Settings!$B$7)+(AC571*Settings!$B$14)+(AD571*Settings!$B$15)+(AE571*Settings!$B$16)+(AF571*Settings!$B$17)+(AG571*Settings!$B$18)+(Y571*Settings!$B$10)+(Z571*Settings!$B$11),VLOOKUP(B571,'Standard Deviations'!A1:C731,3,FALSE))</f>
        <v>-1.4980451184014609</v>
      </c>
      <c r="J571" s="37">
        <f t="shared" si="49"/>
        <v>-1.8268842907334888E-2</v>
      </c>
      <c r="K571" s="183">
        <f>IF(Settings!$E$18="C/LW/RW",VLOOKUP(B571,LW!A1:F227,6,FALSE),VLOOKUP(B571,F!A1:F431,6,FALSE))</f>
        <v>-8.1527141625258626</v>
      </c>
      <c r="L571" s="36">
        <f t="shared" si="50"/>
        <v>-3.261085665010345</v>
      </c>
      <c r="M571" s="52" t="str">
        <f>IF(Settings!$E$9="YAHOO",VLOOKUP(B571,ADP!A1:E731,2,FALSE),IF(Settings!$E$9="ESPN",VLOOKUP(B571,ADP!A1:E731,3,FALSE),IF(Settings!$E$9="FANTRAX",VLOOKUP(B571,ADP!A1:E731,4,FALSE),VLOOKUP(B571,ADP!A1:E731,5,FALSE))))</f>
        <v>-</v>
      </c>
      <c r="N571" s="52" t="str">
        <f t="shared" si="51"/>
        <v>N/A</v>
      </c>
      <c r="O571" s="38"/>
      <c r="P571" s="39" t="str">
        <f>IF(Settings!$E$27="ON",_xlfn.XLOOKUP(B571,ADP!A2:A731,ADP!H2:H731)," ")</f>
        <v xml:space="preserve"> </v>
      </c>
      <c r="Q571" s="40">
        <f>IF(Settings!$E$12="YES",VLOOKUP(B571,'Player Data'!A1:E734,5,FALSE),82)</f>
        <v>82</v>
      </c>
      <c r="R571" s="38">
        <f>VLOOKUP(B571,'Player Data'!$A1:$AE734,6,FALSE)</f>
        <v>12.344037980147499</v>
      </c>
      <c r="S571" s="40">
        <f>VLOOKUP(B571,'Player Data'!$A1:$AE734,7,FALSE)*$Q571*IFERROR((VLOOKUP(P571,Settings!$E$28:$F$33,2,FALSE)+1),1)</f>
        <v>13.904103105358431</v>
      </c>
      <c r="T571" s="40">
        <f>VLOOKUP(B571,'Player Data'!$A1:$AE734,8,FALSE)*$Q571*IFERROR((VLOOKUP(P571,Settings!$E$28:$F$33,2,FALSE)+1),1)</f>
        <v>15.331381632373033</v>
      </c>
      <c r="U571" s="40">
        <f t="shared" si="52"/>
        <v>29.235484737731461</v>
      </c>
      <c r="V571" s="40">
        <f>VLOOKUP(B571,'Player Data'!$A1:$AE734,10,FALSE)*$Q571*IFERROR(((VLOOKUP(P571,Settings!$E$28:$F$33,2,FALSE)/2)+1),1)</f>
        <v>167.17276101534273</v>
      </c>
      <c r="W571" s="40">
        <f>VLOOKUP(B571,'Player Data'!$A1:$AE734,11,FALSE)*$Q571*IFERROR((VLOOKUP(P571,Settings!$E$28:$F$33,2,FALSE)+1),1)</f>
        <v>0.47388443490833498</v>
      </c>
      <c r="X571" s="40">
        <f>VLOOKUP(B571,'Player Data'!$A1:$AE734,12,FALSE)*$Q571*IFERROR((VLOOKUP(P571,Settings!$E$28:$F$33,2,FALSE)+1),1)</f>
        <v>0.77101495416681731</v>
      </c>
      <c r="Y571" s="40">
        <f>VLOOKUP(B571,'Player Data'!$A1:$AE734,13,FALSE)*$Q571</f>
        <v>1.3127340262940303E-2</v>
      </c>
      <c r="Z571" s="40">
        <f>VLOOKUP(B571,'Player Data'!$A1:$AE734,14,FALSE)*$Q571</f>
        <v>2.4454715211901033E-2</v>
      </c>
      <c r="AA571" s="40">
        <f>VLOOKUP(B571,'Player Data'!$A1:$AE734,15,FALSE)*$Q571</f>
        <v>25.772654158086787</v>
      </c>
      <c r="AB571" s="40">
        <f>VLOOKUP(B571,'Player Data'!$A1:$AE734,16,FALSE)*$Q571</f>
        <v>111.62608214291376</v>
      </c>
      <c r="AC571" s="40">
        <f>VLOOKUP(B571,'Player Data'!$A1:$AE734,17,FALSE)*$Q571*IFERROR((VLOOKUP(P571,Settings!$E$28:$F$33,2,FALSE)+1),1)</f>
        <v>2.9100300500987188</v>
      </c>
      <c r="AD571" s="40">
        <f>VLOOKUP(B571,'Player Data'!$A1:$AE734,18,FALSE)*$Q571</f>
        <v>45.726208740375029</v>
      </c>
      <c r="AE571" s="40">
        <f>VLOOKUP(B571,'Player Data'!$A1:$AE734,19,FALSE)*$Q571*IFERROR((VLOOKUP(P571,Settings!$E$28:$F$33,2,FALSE)+1),1)</f>
        <v>2.1998386007725221</v>
      </c>
      <c r="AF571" s="40">
        <f>VLOOKUP(B571,'Player Data'!$A1:$AE734,20,FALSE)*$Q571</f>
        <v>2.0882506637833869</v>
      </c>
      <c r="AG571" s="40">
        <f>VLOOKUP(B571,'Player Data'!$A1:$AE734,21,FALSE)*$Q571</f>
        <v>7.2323544386029983</v>
      </c>
      <c r="AH571" s="41">
        <f>VLOOKUP(B571,'Player Data'!$A1:$AE734,22,FALSE)</f>
        <v>0.22404668375540601</v>
      </c>
      <c r="AI571" s="38"/>
      <c r="AJ571" s="42"/>
      <c r="AK571" s="40"/>
      <c r="AL571" s="40"/>
      <c r="AM571" s="40"/>
      <c r="AN571" s="40"/>
      <c r="AO571" s="40"/>
      <c r="AP571" s="40"/>
      <c r="AQ571" s="43"/>
      <c r="AR571" s="44"/>
      <c r="AS571" s="38"/>
    </row>
    <row r="572" spans="1:45" ht="21.2" customHeight="1">
      <c r="A572" s="181">
        <f t="shared" si="48"/>
        <v>571</v>
      </c>
      <c r="B572" s="8" t="s">
        <v>669</v>
      </c>
      <c r="C572" s="31" t="s">
        <v>104</v>
      </c>
      <c r="D572" s="32" t="str">
        <f>VLOOKUP(B572,'Player Data'!A1:D734,4,FALSE)</f>
        <v>C</v>
      </c>
      <c r="E572" s="33">
        <f>VLOOKUP(B572,'C'!A1:C208,3,FALSE)</f>
        <v>130</v>
      </c>
      <c r="F572" s="34" t="str">
        <f>VLOOKUP(B572,'Player Data'!A1:B734,2,FALSE)</f>
        <v>EDM</v>
      </c>
      <c r="G572" s="9">
        <f>VLOOKUP(B572,'Player Data'!A1:D734,3,FALSE)</f>
        <v>23</v>
      </c>
      <c r="H572" s="35">
        <f>IFERROR(VLOOKUP(B572,ADP!A1:G731,7,FALSE)/1000000,VLOOKUP(B572,ADP!A1:G731,7,FALSE))</f>
        <v>0</v>
      </c>
      <c r="I572" s="36">
        <f>IF(Settings!$E$15="POINTS",((R572*Q572)*Settings!$B$12)+(S572*Settings!$B$2)+(T572*Settings!$B$3)+(U572*Settings!$B$4)+(V572*Settings!$B$5)+(X572*Settings!$B$9)+(AA572*Settings!$B$6)+(W572*Settings!$B$8)+(AB572*Settings!$B$7)+(AC572*Settings!$B$14)+(AD572*Settings!$B$15)+(AE572*Settings!$B$16)+(AF572*Settings!$B$17)+(AG572*Settings!$B$18)+(Y572*Settings!$B$10)+(Z572*Settings!$B$11),VLOOKUP(B572,'Standard Deviations'!A1:C731,3,FALSE))</f>
        <v>-1.8252987503596416</v>
      </c>
      <c r="J572" s="37">
        <f t="shared" si="49"/>
        <v>-2.225974085804441E-2</v>
      </c>
      <c r="K572" s="183">
        <f>IF(Settings!$E$18="C/LW/RW",VLOOKUP(B572,'C'!A1:F208,6,FALSE),VLOOKUP(B572,F!A1:F431,6,FALSE))</f>
        <v>-8.1623494745662448</v>
      </c>
      <c r="L572" s="49" t="str">
        <f t="shared" si="50"/>
        <v>N/A</v>
      </c>
      <c r="M572" s="52" t="str">
        <f>IF(Settings!$E$9="YAHOO",VLOOKUP(B572,ADP!A1:E731,2,FALSE),IF(Settings!$E$9="ESPN",VLOOKUP(B572,ADP!A1:E731,3,FALSE),IF(Settings!$E$9="FANTRAX",VLOOKUP(B572,ADP!A1:E731,4,FALSE),VLOOKUP(B572,ADP!A1:E731,5,FALSE))))</f>
        <v>-</v>
      </c>
      <c r="N572" s="52" t="str">
        <f t="shared" si="51"/>
        <v>N/A</v>
      </c>
      <c r="O572" s="38"/>
      <c r="P572" s="39" t="str">
        <f>IF(Settings!$E$27="ON",_xlfn.XLOOKUP(B572,ADP!A2:A731,ADP!H2:H731)," ")</f>
        <v xml:space="preserve"> </v>
      </c>
      <c r="Q572" s="40">
        <f>IF(Settings!$E$12="YES",VLOOKUP(B572,'Player Data'!A1:E734,5,FALSE),82)</f>
        <v>82</v>
      </c>
      <c r="R572" s="38">
        <f>VLOOKUP(B572,'Player Data'!$A1:$AE734,6,FALSE)</f>
        <v>14.364570120730001</v>
      </c>
      <c r="S572" s="40">
        <f>VLOOKUP(B572,'Player Data'!$A1:$AE734,7,FALSE)*$Q572*IFERROR((VLOOKUP(P572,Settings!$E$28:$F$33,2,FALSE)+1),1)</f>
        <v>14.512591257874279</v>
      </c>
      <c r="T572" s="40">
        <f>VLOOKUP(B572,'Player Data'!$A1:$AE734,8,FALSE)*$Q572*IFERROR((VLOOKUP(P572,Settings!$E$28:$F$33,2,FALSE)+1),1)</f>
        <v>17.903339701619437</v>
      </c>
      <c r="U572" s="40">
        <f t="shared" si="52"/>
        <v>32.415930959493714</v>
      </c>
      <c r="V572" s="40">
        <f>VLOOKUP(B572,'Player Data'!$A1:$AE734,10,FALSE)*$Q572*IFERROR(((VLOOKUP(P572,Settings!$E$28:$F$33,2,FALSE)/2)+1),1)</f>
        <v>112.28854233331573</v>
      </c>
      <c r="W572" s="40">
        <f>VLOOKUP(B572,'Player Data'!$A1:$AE734,11,FALSE)*$Q572*IFERROR((VLOOKUP(P572,Settings!$E$28:$F$33,2,FALSE)+1),1)</f>
        <v>1.150463263315296</v>
      </c>
      <c r="X572" s="40">
        <f>VLOOKUP(B572,'Player Data'!$A1:$AE734,12,FALSE)*$Q572*IFERROR((VLOOKUP(P572,Settings!$E$28:$F$33,2,FALSE)+1),1)</f>
        <v>2.8525980835621021</v>
      </c>
      <c r="Y572" s="40">
        <f>VLOOKUP(B572,'Player Data'!$A1:$AE734,13,FALSE)*$Q572</f>
        <v>1.4650143792157237</v>
      </c>
      <c r="Z572" s="40">
        <f>VLOOKUP(B572,'Player Data'!$A1:$AE734,14,FALSE)*$Q572</f>
        <v>2.3177641222878429</v>
      </c>
      <c r="AA572" s="40">
        <f>VLOOKUP(B572,'Player Data'!$A1:$AE734,15,FALSE)*$Q572</f>
        <v>32.305654420999524</v>
      </c>
      <c r="AB572" s="40">
        <f>VLOOKUP(B572,'Player Data'!$A1:$AE734,16,FALSE)*$Q572</f>
        <v>63.478885356261792</v>
      </c>
      <c r="AC572" s="40">
        <f>VLOOKUP(B572,'Player Data'!$A1:$AE734,17,FALSE)*$Q572*IFERROR((VLOOKUP(P572,Settings!$E$28:$F$33,2,FALSE)+1),1)</f>
        <v>5.2956683296364471</v>
      </c>
      <c r="AD572" s="40">
        <f>VLOOKUP(B572,'Player Data'!$A1:$AE734,18,FALSE)*$Q572</f>
        <v>22.904565388502704</v>
      </c>
      <c r="AE572" s="40">
        <f>VLOOKUP(B572,'Player Data'!$A1:$AE734,19,FALSE)*$Q572*IFERROR((VLOOKUP(P572,Settings!$E$28:$F$33,2,FALSE)+1),1)</f>
        <v>2.2971873944138665</v>
      </c>
      <c r="AF572" s="40">
        <f>VLOOKUP(B572,'Player Data'!$A1:$AE734,20,FALSE)*$Q572</f>
        <v>398.12442858474589</v>
      </c>
      <c r="AG572" s="40">
        <f>VLOOKUP(B572,'Player Data'!$A1:$AE734,21,FALSE)*$Q572</f>
        <v>435.34775808290607</v>
      </c>
      <c r="AH572" s="41">
        <f>VLOOKUP(B572,'Player Data'!$A1:$AE734,22,FALSE)</f>
        <v>0.47766972306119498</v>
      </c>
      <c r="AI572" s="38"/>
      <c r="AJ572" s="42"/>
      <c r="AK572" s="40"/>
      <c r="AL572" s="40"/>
      <c r="AM572" s="40"/>
      <c r="AN572" s="40"/>
      <c r="AO572" s="40"/>
      <c r="AP572" s="40"/>
      <c r="AQ572" s="43"/>
      <c r="AR572" s="44"/>
      <c r="AS572" s="38"/>
    </row>
    <row r="573" spans="1:45" ht="21.2" customHeight="1">
      <c r="A573" s="181">
        <f t="shared" si="48"/>
        <v>572</v>
      </c>
      <c r="B573" s="8" t="s">
        <v>663</v>
      </c>
      <c r="C573" s="31" t="s">
        <v>104</v>
      </c>
      <c r="D573" s="32" t="str">
        <f>VLOOKUP(B573,'Player Data'!A1:D734,4,FALSE)</f>
        <v>D</v>
      </c>
      <c r="E573" s="47">
        <f>VLOOKUP(B573,D!A1:C229,3,FALSE)</f>
        <v>227</v>
      </c>
      <c r="F573" s="34" t="str">
        <f>VLOOKUP(B573,'Player Data'!A1:B734,2,FALSE)</f>
        <v>STL</v>
      </c>
      <c r="G573" s="9">
        <f>VLOOKUP(B573,'Player Data'!A1:D734,3,FALSE)</f>
        <v>34</v>
      </c>
      <c r="H573" s="35">
        <f>IFERROR(VLOOKUP(B573,ADP!A1:G731,7,FALSE)/1000000,VLOOKUP(B573,ADP!A1:G731,7,FALSE))</f>
        <v>0.95</v>
      </c>
      <c r="I573" s="36">
        <f>IF(Settings!$E$15="POINTS",((R573*Q573)*Settings!$B$12)+(S573*Settings!$B$2)+(T573*Settings!$B$3)+(U573*Settings!$B$4)+(V573*Settings!$B$5)+(X573*Settings!$B$9)+(AA573*Settings!$B$6)+(W573*Settings!$B$8)+(AB573*Settings!$B$7)+(AC573*Settings!$B$14)+(AD573*Settings!$B$15)+(AE573*Settings!$B$16)+(AF573*Settings!$B$17)+(AG573*Settings!$B$18)+(U573*Settings!$B$13)+(Y573*Settings!$B$10)+(Z573*Settings!$B$11),VLOOKUP(B573,'Standard Deviations'!A1:C731,3,FALSE))</f>
        <v>-6.2591888466518144</v>
      </c>
      <c r="J573" s="37">
        <f t="shared" si="49"/>
        <v>-7.6331571300631881E-2</v>
      </c>
      <c r="K573" s="183">
        <f>VLOOKUP(B573,D!A1:F229,6,FALSE)</f>
        <v>-8.2009293902861256</v>
      </c>
      <c r="L573" s="36">
        <f t="shared" si="50"/>
        <v>-8.6325572529327648</v>
      </c>
      <c r="M573" s="52" t="str">
        <f>IF(Settings!$E$9="YAHOO",VLOOKUP(B573,ADP!A1:E731,2,FALSE),IF(Settings!$E$9="ESPN",VLOOKUP(B573,ADP!A1:E731,3,FALSE),IF(Settings!$E$9="FANTRAX",VLOOKUP(B573,ADP!A1:E731,4,FALSE),VLOOKUP(B573,ADP!A1:E731,5,FALSE))))</f>
        <v>-</v>
      </c>
      <c r="N573" s="52" t="str">
        <f t="shared" si="51"/>
        <v>N/A</v>
      </c>
      <c r="O573" s="38"/>
      <c r="P573" s="39" t="str">
        <f>IF(Settings!$E$27="ON",_xlfn.XLOOKUP(B573,ADP!A2:A731,ADP!H2:H731)," ")</f>
        <v xml:space="preserve"> </v>
      </c>
      <c r="Q573" s="40">
        <f>IF(Settings!$E$12="YES",VLOOKUP(B573,'Player Data'!A1:E734,5,FALSE),82)</f>
        <v>82</v>
      </c>
      <c r="R573" s="38">
        <f>VLOOKUP(B573,'Player Data'!$A1:$AE734,6,FALSE)</f>
        <v>12.795894607701699</v>
      </c>
      <c r="S573" s="40">
        <f>VLOOKUP(B573,'Player Data'!$A1:$AE734,7,FALSE)*$Q573*IFERROR((VLOOKUP(P573,Settings!$E$28:$F$33,2,FALSE)+1),1)</f>
        <v>1.6602804629569012</v>
      </c>
      <c r="T573" s="40">
        <f>VLOOKUP(B573,'Player Data'!$A1:$AE734,8,FALSE)*$Q573*IFERROR((VLOOKUP(P573,Settings!$E$28:$F$33,2,FALSE)+1),1)</f>
        <v>5.7872805930718014</v>
      </c>
      <c r="U573" s="40">
        <f t="shared" si="52"/>
        <v>7.4475610560287029</v>
      </c>
      <c r="V573" s="40">
        <f>VLOOKUP(B573,'Player Data'!$A1:$AE734,10,FALSE)*$Q573*IFERROR(((VLOOKUP(P573,Settings!$E$28:$F$33,2,FALSE)/2)+1),1)</f>
        <v>55.908792826582811</v>
      </c>
      <c r="W573" s="40">
        <f>VLOOKUP(B573,'Player Data'!$A1:$AE734,11,FALSE)*$Q573*IFERROR((VLOOKUP(P573,Settings!$E$28:$F$33,2,FALSE)+1),1)</f>
        <v>1.3751213369219339E-2</v>
      </c>
      <c r="X573" s="40">
        <f>VLOOKUP(B573,'Player Data'!$A1:$AE734,12,FALSE)*$Q573*IFERROR((VLOOKUP(P573,Settings!$E$28:$F$33,2,FALSE)+1),1)</f>
        <v>9.9529318931427552E-2</v>
      </c>
      <c r="Y573" s="40">
        <f>VLOOKUP(B573,'Player Data'!$A1:$AE734,13,FALSE)*$Q573</f>
        <v>-3.9741084244481722E-2</v>
      </c>
      <c r="Z573" s="40">
        <f>VLOOKUP(B573,'Player Data'!$A1:$AE734,14,FALSE)*$Q573</f>
        <v>-0.16531710345933229</v>
      </c>
      <c r="AA573" s="40">
        <f>VLOOKUP(B573,'Player Data'!$A1:$AE734,15,FALSE)*$Q573</f>
        <v>94.719550772270736</v>
      </c>
      <c r="AB573" s="40">
        <f>VLOOKUP(B573,'Player Data'!$A1:$AE734,16,FALSE)*$Q573</f>
        <v>118.27695593878664</v>
      </c>
      <c r="AC573" s="40">
        <f>VLOOKUP(B573,'Player Data'!$A1:$AE734,17,FALSE)*$Q573*IFERROR((VLOOKUP(P573,Settings!$E$28:$F$33,2,FALSE)+1),1)</f>
        <v>-3.676702505235359</v>
      </c>
      <c r="AD573" s="40">
        <f>VLOOKUP(B573,'Player Data'!$A1:$AE734,18,FALSE)*$Q573</f>
        <v>44.187900389722323</v>
      </c>
      <c r="AE573" s="40">
        <f>VLOOKUP(B573,'Player Data'!$A1:$AE734,19,FALSE)*$Q573*IFERROR((VLOOKUP(P573,Settings!$E$28:$F$33,2,FALSE)+1),1)</f>
        <v>0.19105300820092727</v>
      </c>
      <c r="AF573" s="40">
        <f>VLOOKUP(B573,'Player Data'!$A1:$AE734,20,FALSE)*$Q573</f>
        <v>0</v>
      </c>
      <c r="AG573" s="40">
        <f>VLOOKUP(B573,'Player Data'!$A1:$AE734,21,FALSE)*$Q573</f>
        <v>0</v>
      </c>
      <c r="AH573" s="41">
        <f>VLOOKUP(B573,'Player Data'!$A1:$AE734,22,FALSE)</f>
        <v>0</v>
      </c>
      <c r="AI573" s="38"/>
      <c r="AJ573" s="42"/>
      <c r="AK573" s="40"/>
      <c r="AL573" s="40"/>
      <c r="AM573" s="40"/>
      <c r="AN573" s="40"/>
      <c r="AO573" s="40"/>
      <c r="AP573" s="40"/>
      <c r="AQ573" s="43"/>
      <c r="AR573" s="44"/>
      <c r="AS573" s="38"/>
    </row>
    <row r="574" spans="1:45" ht="21.2" customHeight="1">
      <c r="A574" s="181">
        <f t="shared" si="48"/>
        <v>573</v>
      </c>
      <c r="B574" s="8" t="s">
        <v>576</v>
      </c>
      <c r="C574" s="31" t="s">
        <v>104</v>
      </c>
      <c r="D574" s="32" t="str">
        <f>VLOOKUP(B574,'Player Data'!A1:D734,4,FALSE)</f>
        <v>LW,RW</v>
      </c>
      <c r="E574" s="45">
        <f>VLOOKUP(B574,RW!A1:F189,3,FALSE)</f>
        <v>128</v>
      </c>
      <c r="F574" s="34" t="str">
        <f>VLOOKUP(B574,'Player Data'!A1:B734,2,FALSE)</f>
        <v>EDM</v>
      </c>
      <c r="G574" s="9">
        <f>VLOOKUP(B574,'Player Data'!A1:D734,3,FALSE)</f>
        <v>27</v>
      </c>
      <c r="H574" s="35">
        <f>IFERROR(VLOOKUP(B574,ADP!A1:G731,7,FALSE)/1000000,VLOOKUP(B574,ADP!A1:G731,7,FALSE))</f>
        <v>2.75</v>
      </c>
      <c r="I574" s="36">
        <f>IF(Settings!$E$15="POINTS",((R574*Q574)*Settings!$B$12)+(S574*Settings!$B$2)+(T574*Settings!$B$3)+(U574*Settings!$B$4)+(V574*Settings!$B$5)+(X574*Settings!$B$9)+(AA574*Settings!$B$6)+(W574*Settings!$B$8)+(AB574*Settings!$B$7)+(AC574*Settings!$B$14)+(AD574*Settings!$B$15)+(AE574*Settings!$B$16)+(AF574*Settings!$B$17)+(AG574*Settings!$B$18)+(Y574*Settings!$B$10)+(Z574*Settings!$B$11),VLOOKUP(B574,'Standard Deviations'!A1:C731,3,FALSE))</f>
        <v>-1.9310335203984619</v>
      </c>
      <c r="J574" s="37">
        <f t="shared" si="49"/>
        <v>-2.3549189273151975E-2</v>
      </c>
      <c r="K574" s="183">
        <f>IF(Settings!$E$18="C/LW/RW",VLOOKUP(B574,RW!A1:F189,6,FALSE),VLOOKUP(B574,F!A1:F431,6,FALSE))</f>
        <v>-8.2112922394095431</v>
      </c>
      <c r="L574" s="36">
        <f t="shared" si="50"/>
        <v>-2.9859244506943794</v>
      </c>
      <c r="M574" s="52" t="str">
        <f>IF(Settings!$E$9="YAHOO",VLOOKUP(B574,ADP!A1:E731,2,FALSE),IF(Settings!$E$9="ESPN",VLOOKUP(B574,ADP!A1:E731,3,FALSE),IF(Settings!$E$9="FANTRAX",VLOOKUP(B574,ADP!A1:E731,4,FALSE),VLOOKUP(B574,ADP!A1:E731,5,FALSE))))</f>
        <v>-</v>
      </c>
      <c r="N574" s="52" t="str">
        <f t="shared" si="51"/>
        <v>N/A</v>
      </c>
      <c r="O574" s="38"/>
      <c r="P574" s="39" t="str">
        <f>IF(Settings!$E$27="ON",_xlfn.XLOOKUP(B574,ADP!A2:A731,ADP!H2:H731)," ")</f>
        <v xml:space="preserve"> </v>
      </c>
      <c r="Q574" s="40">
        <f>IF(Settings!$E$12="YES",VLOOKUP(B574,'Player Data'!A1:E734,5,FALSE),82)</f>
        <v>82</v>
      </c>
      <c r="R574" s="38">
        <f>VLOOKUP(B574,'Player Data'!$A1:$AE734,6,FALSE)</f>
        <v>12.301779787211</v>
      </c>
      <c r="S574" s="40">
        <f>VLOOKUP(B574,'Player Data'!$A1:$AE734,7,FALSE)*$Q574*IFERROR((VLOOKUP(P574,Settings!$E$28:$F$33,2,FALSE)+1),1)</f>
        <v>13.085248143483009</v>
      </c>
      <c r="T574" s="40">
        <f>VLOOKUP(B574,'Player Data'!$A1:$AE734,8,FALSE)*$Q574*IFERROR((VLOOKUP(P574,Settings!$E$28:$F$33,2,FALSE)+1),1)</f>
        <v>16.060178171227179</v>
      </c>
      <c r="U574" s="40">
        <f t="shared" si="52"/>
        <v>29.145426314710186</v>
      </c>
      <c r="V574" s="40">
        <f>VLOOKUP(B574,'Player Data'!$A1:$AE734,10,FALSE)*$Q574*IFERROR(((VLOOKUP(P574,Settings!$E$28:$F$33,2,FALSE)/2)+1),1)</f>
        <v>141.53475680293107</v>
      </c>
      <c r="W574" s="40">
        <f>VLOOKUP(B574,'Player Data'!$A1:$AE734,11,FALSE)*$Q574*IFERROR((VLOOKUP(P574,Settings!$E$28:$F$33,2,FALSE)+1),1)</f>
        <v>0.52367873418514832</v>
      </c>
      <c r="X574" s="40">
        <f>VLOOKUP(B574,'Player Data'!$A1:$AE734,12,FALSE)*$Q574*IFERROR((VLOOKUP(P574,Settings!$E$28:$F$33,2,FALSE)+1),1)</f>
        <v>1.0385107012896189</v>
      </c>
      <c r="Y574" s="40">
        <f>VLOOKUP(B574,'Player Data'!$A1:$AE734,13,FALSE)*$Q574</f>
        <v>0.27972662098236828</v>
      </c>
      <c r="Z574" s="40">
        <f>VLOOKUP(B574,'Player Data'!$A1:$AE734,14,FALSE)*$Q574</f>
        <v>0.32483663234807814</v>
      </c>
      <c r="AA574" s="40">
        <f>VLOOKUP(B574,'Player Data'!$A1:$AE734,15,FALSE)*$Q574</f>
        <v>23.842308492247181</v>
      </c>
      <c r="AB574" s="40">
        <f>VLOOKUP(B574,'Player Data'!$A1:$AE734,16,FALSE)*$Q574</f>
        <v>115.2057561613359</v>
      </c>
      <c r="AC574" s="40">
        <f>VLOOKUP(B574,'Player Data'!$A1:$AE734,17,FALSE)*$Q574*IFERROR((VLOOKUP(P574,Settings!$E$28:$F$33,2,FALSE)+1),1)</f>
        <v>6.1198915464928598</v>
      </c>
      <c r="AD574" s="40">
        <f>VLOOKUP(B574,'Player Data'!$A1:$AE734,18,FALSE)*$Q574</f>
        <v>27.651795481348781</v>
      </c>
      <c r="AE574" s="40">
        <f>VLOOKUP(B574,'Player Data'!$A1:$AE734,19,FALSE)*$Q574*IFERROR((VLOOKUP(P574,Settings!$E$28:$F$33,2,FALSE)+1),1)</f>
        <v>2.0712543028232102</v>
      </c>
      <c r="AF574" s="40">
        <f>VLOOKUP(B574,'Player Data'!$A1:$AE734,20,FALSE)*$Q574</f>
        <v>10.835772584469863</v>
      </c>
      <c r="AG574" s="40">
        <f>VLOOKUP(B574,'Player Data'!$A1:$AE734,21,FALSE)*$Q574</f>
        <v>10.66777784380832</v>
      </c>
      <c r="AH574" s="41">
        <f>VLOOKUP(B574,'Player Data'!$A1:$AE734,22,FALSE)</f>
        <v>0.50390620937742303</v>
      </c>
      <c r="AI574" s="38"/>
      <c r="AJ574" s="42"/>
      <c r="AK574" s="40"/>
      <c r="AL574" s="40"/>
      <c r="AM574" s="40"/>
      <c r="AN574" s="40"/>
      <c r="AO574" s="40"/>
      <c r="AP574" s="40"/>
      <c r="AQ574" s="43"/>
      <c r="AR574" s="44"/>
      <c r="AS574" s="38"/>
    </row>
    <row r="575" spans="1:45" ht="21.2" customHeight="1">
      <c r="A575" s="181">
        <f t="shared" si="48"/>
        <v>574</v>
      </c>
      <c r="B575" s="8" t="s">
        <v>592</v>
      </c>
      <c r="C575" s="31" t="s">
        <v>104</v>
      </c>
      <c r="D575" s="32" t="str">
        <f>VLOOKUP(B575,'Player Data'!A1:D734,4,FALSE)</f>
        <v>C,LW</v>
      </c>
      <c r="E575" s="45">
        <f>VLOOKUP(B575,LW!A1:C227,3,FALSE)</f>
        <v>145</v>
      </c>
      <c r="F575" s="34" t="str">
        <f>VLOOKUP(B575,'Player Data'!A1:B734,2,FALSE)</f>
        <v>MTL</v>
      </c>
      <c r="G575" s="9">
        <f>VLOOKUP(B575,'Player Data'!A1:D734,3,FALSE)</f>
        <v>27</v>
      </c>
      <c r="H575" s="35">
        <f>IFERROR(VLOOKUP(B575,ADP!A1:G731,7,FALSE)/1000000,VLOOKUP(B575,ADP!A1:G731,7,FALSE))</f>
        <v>4.45</v>
      </c>
      <c r="I575" s="36">
        <f>IF(Settings!$E$15="POINTS",((R575*Q575)*Settings!$B$12)+(S575*Settings!$B$2)+(T575*Settings!$B$3)+(U575*Settings!$B$4)+(V575*Settings!$B$5)+(X575*Settings!$B$9)+(AA575*Settings!$B$6)+(W575*Settings!$B$8)+(AB575*Settings!$B$7)+(AC575*Settings!$B$14)+(AD575*Settings!$B$15)+(AE575*Settings!$B$16)+(AF575*Settings!$B$17)+(AG575*Settings!$B$18)+(Y575*Settings!$B$10)+(Z575*Settings!$B$11),VLOOKUP(B575,'Standard Deviations'!A1:C731,3,FALSE))</f>
        <v>-1.6043270414349204</v>
      </c>
      <c r="J575" s="37">
        <f t="shared" si="49"/>
        <v>-1.9564963919938054E-2</v>
      </c>
      <c r="K575" s="183">
        <f>IF(Settings!$E$18="C/LW/RW",VLOOKUP(B575,LW!A1:F227,6,FALSE),VLOOKUP(B575,F!A1:F431,6,FALSE))</f>
        <v>-8.2589960855593212</v>
      </c>
      <c r="L575" s="36">
        <f t="shared" si="50"/>
        <v>-1.8559541765301844</v>
      </c>
      <c r="M575" s="52" t="str">
        <f>IF(Settings!$E$9="YAHOO",VLOOKUP(B575,ADP!A1:E731,2,FALSE),IF(Settings!$E$9="ESPN",VLOOKUP(B575,ADP!A1:E731,3,FALSE),IF(Settings!$E$9="FANTRAX",VLOOKUP(B575,ADP!A1:E731,4,FALSE),VLOOKUP(B575,ADP!A1:E731,5,FALSE))))</f>
        <v>-</v>
      </c>
      <c r="N575" s="52" t="str">
        <f t="shared" si="51"/>
        <v>N/A</v>
      </c>
      <c r="O575" s="38"/>
      <c r="P575" s="39" t="str">
        <f>IF(Settings!$E$27="ON",_xlfn.XLOOKUP(B575,ADP!A2:A731,ADP!H2:H731)," ")</f>
        <v xml:space="preserve"> </v>
      </c>
      <c r="Q575" s="40">
        <f>IF(Settings!$E$12="YES",VLOOKUP(B575,'Player Data'!A1:E734,5,FALSE),82)</f>
        <v>82</v>
      </c>
      <c r="R575" s="38">
        <f>VLOOKUP(B575,'Player Data'!$A1:$AE734,6,FALSE)</f>
        <v>15.5573909713075</v>
      </c>
      <c r="S575" s="40">
        <f>VLOOKUP(B575,'Player Data'!$A1:$AE734,7,FALSE)*$Q575*IFERROR((VLOOKUP(P575,Settings!$E$28:$F$33,2,FALSE)+1),1)</f>
        <v>14.041764213684383</v>
      </c>
      <c r="T575" s="40">
        <f>VLOOKUP(B575,'Player Data'!$A1:$AE734,8,FALSE)*$Q575*IFERROR((VLOOKUP(P575,Settings!$E$28:$F$33,2,FALSE)+1),1)</f>
        <v>22.010986524324288</v>
      </c>
      <c r="U575" s="40">
        <f t="shared" si="52"/>
        <v>36.052750738008669</v>
      </c>
      <c r="V575" s="40">
        <f>VLOOKUP(B575,'Player Data'!$A1:$AE734,10,FALSE)*$Q575*IFERROR(((VLOOKUP(P575,Settings!$E$28:$F$33,2,FALSE)/2)+1),1)</f>
        <v>103.12804323223304</v>
      </c>
      <c r="W575" s="40">
        <f>VLOOKUP(B575,'Player Data'!$A1:$AE734,11,FALSE)*$Q575*IFERROR((VLOOKUP(P575,Settings!$E$28:$F$33,2,FALSE)+1),1)</f>
        <v>0.89377059474098453</v>
      </c>
      <c r="X575" s="40">
        <f>VLOOKUP(B575,'Player Data'!$A1:$AE734,12,FALSE)*$Q575*IFERROR((VLOOKUP(P575,Settings!$E$28:$F$33,2,FALSE)+1),1)</f>
        <v>2.4668982582219514</v>
      </c>
      <c r="Y575" s="40">
        <f>VLOOKUP(B575,'Player Data'!$A1:$AE734,13,FALSE)*$Q575</f>
        <v>0.73670827125435223</v>
      </c>
      <c r="Z575" s="40">
        <f>VLOOKUP(B575,'Player Data'!$A1:$AE734,14,FALSE)*$Q575</f>
        <v>0.89572497021103192</v>
      </c>
      <c r="AA575" s="40">
        <f>VLOOKUP(B575,'Player Data'!$A1:$AE734,15,FALSE)*$Q575</f>
        <v>72.388061335253468</v>
      </c>
      <c r="AB575" s="40">
        <f>VLOOKUP(B575,'Player Data'!$A1:$AE734,16,FALSE)*$Q575</f>
        <v>34.544062189318581</v>
      </c>
      <c r="AC575" s="40">
        <f>VLOOKUP(B575,'Player Data'!$A1:$AE734,17,FALSE)*$Q575*IFERROR((VLOOKUP(P575,Settings!$E$28:$F$33,2,FALSE)+1),1)</f>
        <v>-8.886329185730613</v>
      </c>
      <c r="AD575" s="40">
        <f>VLOOKUP(B575,'Player Data'!$A1:$AE734,18,FALSE)*$Q575</f>
        <v>16.128664922434162</v>
      </c>
      <c r="AE575" s="40">
        <f>VLOOKUP(B575,'Player Data'!$A1:$AE734,19,FALSE)*$Q575*IFERROR((VLOOKUP(P575,Settings!$E$28:$F$33,2,FALSE)+1),1)</f>
        <v>1.4384680185306775</v>
      </c>
      <c r="AF575" s="40">
        <f>VLOOKUP(B575,'Player Data'!$A1:$AE734,20,FALSE)*$Q575</f>
        <v>611.15201961474713</v>
      </c>
      <c r="AG575" s="40">
        <f>VLOOKUP(B575,'Player Data'!$A1:$AE734,21,FALSE)*$Q575</f>
        <v>530.39889510501303</v>
      </c>
      <c r="AH575" s="41">
        <f>VLOOKUP(B575,'Player Data'!$A1:$AE734,22,FALSE)</f>
        <v>0.535369918007362</v>
      </c>
      <c r="AI575" s="38"/>
      <c r="AJ575" s="42"/>
      <c r="AK575" s="40"/>
      <c r="AL575" s="40"/>
      <c r="AM575" s="40"/>
      <c r="AN575" s="40"/>
      <c r="AO575" s="40"/>
      <c r="AP575" s="40"/>
      <c r="AQ575" s="43"/>
      <c r="AR575" s="44"/>
      <c r="AS575" s="38"/>
    </row>
    <row r="576" spans="1:45" ht="21.2" customHeight="1">
      <c r="A576" s="181">
        <f t="shared" si="48"/>
        <v>575</v>
      </c>
      <c r="B576" s="8" t="s">
        <v>708</v>
      </c>
      <c r="C576" s="31" t="s">
        <v>104</v>
      </c>
      <c r="D576" s="32" t="str">
        <f>VLOOKUP(B576,'Player Data'!A1:D734,4,FALSE)</f>
        <v>LW</v>
      </c>
      <c r="E576" s="48">
        <f>VLOOKUP(B576,LW!A1:C227,3,FALSE)</f>
        <v>146</v>
      </c>
      <c r="F576" s="34" t="str">
        <f>VLOOKUP(B576,'Player Data'!A1:B734,2,FALSE)</f>
        <v>NSH</v>
      </c>
      <c r="G576" s="9">
        <f>VLOOKUP(B576,'Player Data'!A1:D734,3,FALSE)</f>
        <v>28</v>
      </c>
      <c r="H576" s="35">
        <f>IFERROR(VLOOKUP(B576,ADP!A1:G731,7,FALSE)/1000000,VLOOKUP(B576,ADP!A1:G731,7,FALSE))</f>
        <v>0.77500000000000002</v>
      </c>
      <c r="I576" s="36">
        <f>IF(Settings!$E$15="POINTS",((R576*Q576)*Settings!$B$12)+(S576*Settings!$B$2)+(T576*Settings!$B$3)+(U576*Settings!$B$4)+(V576*Settings!$B$5)+(X576*Settings!$B$9)+(AA576*Settings!$B$6)+(W576*Settings!$B$8)+(AB576*Settings!$B$7)+(AC576*Settings!$B$14)+(AD576*Settings!$B$15)+(AE576*Settings!$B$16)+(AF576*Settings!$B$17)+(AG576*Settings!$B$18)+(Y576*Settings!$B$10)+(Z576*Settings!$B$11),VLOOKUP(B576,'Standard Deviations'!A1:C731,3,FALSE))</f>
        <v>-1.6253436413810398</v>
      </c>
      <c r="J576" s="37">
        <f t="shared" si="49"/>
        <v>-1.9821263919280973E-2</v>
      </c>
      <c r="K576" s="183">
        <f>IF(Settings!$E$18="C/LW/RW",VLOOKUP(B576,LW!A1:F227,6,FALSE),VLOOKUP(B576,F!A1:F431,6,FALSE))</f>
        <v>-8.2800126855054401</v>
      </c>
      <c r="L576" s="36">
        <f t="shared" si="50"/>
        <v>-10.683887336136051</v>
      </c>
      <c r="M576" s="52" t="str">
        <f>IF(Settings!$E$9="YAHOO",VLOOKUP(B576,ADP!A1:E731,2,FALSE),IF(Settings!$E$9="ESPN",VLOOKUP(B576,ADP!A1:E731,3,FALSE),IF(Settings!$E$9="FANTRAX",VLOOKUP(B576,ADP!A1:E731,4,FALSE),VLOOKUP(B576,ADP!A1:E731,5,FALSE))))</f>
        <v>-</v>
      </c>
      <c r="N576" s="52" t="str">
        <f t="shared" si="51"/>
        <v>N/A</v>
      </c>
      <c r="O576" s="38"/>
      <c r="P576" s="39" t="str">
        <f>IF(Settings!$E$27="ON",_xlfn.XLOOKUP(B576,ADP!A2:A731,ADP!H2:H731)," ")</f>
        <v xml:space="preserve"> </v>
      </c>
      <c r="Q576" s="40">
        <f>IF(Settings!$E$12="YES",VLOOKUP(B576,'Player Data'!A1:E734,5,FALSE),82)</f>
        <v>82</v>
      </c>
      <c r="R576" s="38">
        <f>VLOOKUP(B576,'Player Data'!$A1:$AE734,6,FALSE)</f>
        <v>13.202479897980201</v>
      </c>
      <c r="S576" s="40">
        <f>VLOOKUP(B576,'Player Data'!$A1:$AE734,7,FALSE)*$Q576*IFERROR((VLOOKUP(P576,Settings!$E$28:$F$33,2,FALSE)+1),1)</f>
        <v>14.029959152301162</v>
      </c>
      <c r="T576" s="40">
        <f>VLOOKUP(B576,'Player Data'!$A1:$AE734,8,FALSE)*$Q576*IFERROR((VLOOKUP(P576,Settings!$E$28:$F$33,2,FALSE)+1),1)</f>
        <v>16.719023479904518</v>
      </c>
      <c r="U576" s="40">
        <f t="shared" si="52"/>
        <v>30.748982632205681</v>
      </c>
      <c r="V576" s="40">
        <f>VLOOKUP(B576,'Player Data'!$A1:$AE734,10,FALSE)*$Q576*IFERROR(((VLOOKUP(P576,Settings!$E$28:$F$33,2,FALSE)/2)+1),1)</f>
        <v>136.6165147124301</v>
      </c>
      <c r="W576" s="40">
        <f>VLOOKUP(B576,'Player Data'!$A1:$AE734,11,FALSE)*$Q576*IFERROR((VLOOKUP(P576,Settings!$E$28:$F$33,2,FALSE)+1),1)</f>
        <v>1.2364826530954693</v>
      </c>
      <c r="X576" s="40">
        <f>VLOOKUP(B576,'Player Data'!$A1:$AE734,12,FALSE)*$Q576*IFERROR((VLOOKUP(P576,Settings!$E$28:$F$33,2,FALSE)+1),1)</f>
        <v>2.8267430329979892</v>
      </c>
      <c r="Y576" s="40">
        <f>VLOOKUP(B576,'Player Data'!$A1:$AE734,13,FALSE)*$Q576</f>
        <v>2.1521297058767711E-2</v>
      </c>
      <c r="Z576" s="40">
        <f>VLOOKUP(B576,'Player Data'!$A1:$AE734,14,FALSE)*$Q576</f>
        <v>4.0346366988019189E-2</v>
      </c>
      <c r="AA576" s="40">
        <f>VLOOKUP(B576,'Player Data'!$A1:$AE734,15,FALSE)*$Q576</f>
        <v>37.912911663552222</v>
      </c>
      <c r="AB576" s="40">
        <f>VLOOKUP(B576,'Player Data'!$A1:$AE734,16,FALSE)*$Q576</f>
        <v>201.06445825578888</v>
      </c>
      <c r="AC576" s="40">
        <f>VLOOKUP(B576,'Player Data'!$A1:$AE734,17,FALSE)*$Q576*IFERROR((VLOOKUP(P576,Settings!$E$28:$F$33,2,FALSE)+1),1)</f>
        <v>-0.46401352137204582</v>
      </c>
      <c r="AD576" s="40">
        <f>VLOOKUP(B576,'Player Data'!$A1:$AE734,18,FALSE)*$Q576</f>
        <v>41.772342794944429</v>
      </c>
      <c r="AE576" s="40">
        <f>VLOOKUP(B576,'Player Data'!$A1:$AE734,19,FALSE)*$Q576*IFERROR((VLOOKUP(P576,Settings!$E$28:$F$33,2,FALSE)+1),1)</f>
        <v>2.0487409768723173</v>
      </c>
      <c r="AF576" s="40">
        <f>VLOOKUP(B576,'Player Data'!$A1:$AE734,20,FALSE)*$Q576</f>
        <v>15.187307716934303</v>
      </c>
      <c r="AG576" s="40">
        <f>VLOOKUP(B576,'Player Data'!$A1:$AE734,21,FALSE)*$Q576</f>
        <v>8.5959600672986394</v>
      </c>
      <c r="AH576" s="41">
        <f>VLOOKUP(B576,'Player Data'!$A1:$AE734,22,FALSE)</f>
        <v>0.63857111035863301</v>
      </c>
      <c r="AI576" s="38"/>
      <c r="AJ576" s="40"/>
      <c r="AK576" s="40"/>
      <c r="AL576" s="40"/>
      <c r="AM576" s="40"/>
      <c r="AN576" s="40"/>
      <c r="AO576" s="40"/>
      <c r="AP576" s="40"/>
      <c r="AQ576" s="43"/>
      <c r="AR576" s="44"/>
      <c r="AS576" s="38"/>
    </row>
    <row r="577" spans="1:45" ht="21.2" customHeight="1">
      <c r="A577" s="181">
        <f t="shared" si="48"/>
        <v>576</v>
      </c>
      <c r="B577" s="8" t="s">
        <v>657</v>
      </c>
      <c r="C577" s="31" t="s">
        <v>104</v>
      </c>
      <c r="D577" s="32" t="str">
        <f>VLOOKUP(B577,'Player Data'!A1:D734,4,FALSE)</f>
        <v>C</v>
      </c>
      <c r="E577" s="33">
        <f>VLOOKUP(B577,'C'!A1:C208,3,FALSE)</f>
        <v>133</v>
      </c>
      <c r="F577" s="34" t="str">
        <f>VLOOKUP(B577,'Player Data'!A1:B734,2,FALSE)</f>
        <v>CBJ</v>
      </c>
      <c r="G577" s="9">
        <f>VLOOKUP(B577,'Player Data'!A1:D734,3,FALSE)</f>
        <v>20</v>
      </c>
      <c r="H577" s="35">
        <f>IFERROR(VLOOKUP(B577,ADP!A1:G731,7,FALSE)/1000000,VLOOKUP(B577,ADP!A1:G731,7,FALSE))</f>
        <v>0.92500000000000004</v>
      </c>
      <c r="I577" s="36">
        <f>IF(Settings!$E$15="POINTS",((R577*Q577)*Settings!$B$12)+(S577*Settings!$B$2)+(T577*Settings!$B$3)+(U577*Settings!$B$4)+(V577*Settings!$B$5)+(X577*Settings!$B$9)+(AA577*Settings!$B$6)+(W577*Settings!$B$8)+(AB577*Settings!$B$7)+(AC577*Settings!$B$14)+(AD577*Settings!$B$15)+(AE577*Settings!$B$16)+(AF577*Settings!$B$17)+(AG577*Settings!$B$18)+(Y577*Settings!$B$10)+(Z577*Settings!$B$11),VLOOKUP(B577,'Standard Deviations'!A1:C731,3,FALSE))</f>
        <v>-1.9834869449268013</v>
      </c>
      <c r="J577" s="37">
        <f t="shared" si="49"/>
        <v>-2.4188865182034162E-2</v>
      </c>
      <c r="K577" s="183">
        <f>IF(Settings!$E$18="C/LW/RW",VLOOKUP(B577,'C'!A1:F208,6,FALSE),VLOOKUP(B577,F!A1:F431,6,FALSE))</f>
        <v>-8.3205376691334045</v>
      </c>
      <c r="L577" s="36">
        <f t="shared" si="50"/>
        <v>-8.9951758585225985</v>
      </c>
      <c r="M577" s="52" t="str">
        <f>IF(Settings!$E$9="YAHOO",VLOOKUP(B577,ADP!A1:E731,2,FALSE),IF(Settings!$E$9="ESPN",VLOOKUP(B577,ADP!A1:E731,3,FALSE),IF(Settings!$E$9="FANTRAX",VLOOKUP(B577,ADP!A1:E731,4,FALSE),VLOOKUP(B577,ADP!A1:E731,5,FALSE))))</f>
        <v>-</v>
      </c>
      <c r="N577" s="52" t="str">
        <f t="shared" si="51"/>
        <v>N/A</v>
      </c>
      <c r="O577" s="38"/>
      <c r="P577" s="39" t="str">
        <f>IF(Settings!$E$27="ON",_xlfn.XLOOKUP(B577,ADP!A2:A731,ADP!H2:H731)," ")</f>
        <v xml:space="preserve"> </v>
      </c>
      <c r="Q577" s="40">
        <f>IF(Settings!$E$12="YES",VLOOKUP(B577,'Player Data'!A1:E734,5,FALSE),82)</f>
        <v>82</v>
      </c>
      <c r="R577" s="38">
        <f>VLOOKUP(B577,'Player Data'!$A1:$AE734,6,FALSE)</f>
        <v>14.0638927704063</v>
      </c>
      <c r="S577" s="40">
        <f>VLOOKUP(B577,'Player Data'!$A1:$AE734,7,FALSE)*$Q577*IFERROR((VLOOKUP(P577,Settings!$E$28:$F$33,2,FALSE)+1),1)</f>
        <v>12.392438454178906</v>
      </c>
      <c r="T577" s="40">
        <f>VLOOKUP(B577,'Player Data'!$A1:$AE734,8,FALSE)*$Q577*IFERROR((VLOOKUP(P577,Settings!$E$28:$F$33,2,FALSE)+1),1)</f>
        <v>16.191875296177731</v>
      </c>
      <c r="U577" s="40">
        <f t="shared" si="52"/>
        <v>28.584313750356635</v>
      </c>
      <c r="V577" s="40">
        <f>VLOOKUP(B577,'Player Data'!$A1:$AE734,10,FALSE)*$Q577*IFERROR(((VLOOKUP(P577,Settings!$E$28:$F$33,2,FALSE)/2)+1),1)</f>
        <v>133.52387963315087</v>
      </c>
      <c r="W577" s="40">
        <f>VLOOKUP(B577,'Player Data'!$A1:$AE734,11,FALSE)*$Q577*IFERROR((VLOOKUP(P577,Settings!$E$28:$F$33,2,FALSE)+1),1)</f>
        <v>1.2330078339465094</v>
      </c>
      <c r="X577" s="40">
        <f>VLOOKUP(B577,'Player Data'!$A1:$AE734,12,FALSE)*$Q577*IFERROR((VLOOKUP(P577,Settings!$E$28:$F$33,2,FALSE)+1),1)</f>
        <v>2.6709602053206063</v>
      </c>
      <c r="Y577" s="40">
        <f>VLOOKUP(B577,'Player Data'!$A1:$AE734,13,FALSE)*$Q577</f>
        <v>0.1978009512794851</v>
      </c>
      <c r="Z577" s="40">
        <f>VLOOKUP(B577,'Player Data'!$A1:$AE734,14,FALSE)*$Q577</f>
        <v>0.46640144849785431</v>
      </c>
      <c r="AA577" s="40">
        <f>VLOOKUP(B577,'Player Data'!$A1:$AE734,15,FALSE)*$Q577</f>
        <v>46.869673724579428</v>
      </c>
      <c r="AB577" s="40">
        <f>VLOOKUP(B577,'Player Data'!$A1:$AE734,16,FALSE)*$Q577</f>
        <v>124.05039584770196</v>
      </c>
      <c r="AC577" s="40">
        <f>VLOOKUP(B577,'Player Data'!$A1:$AE734,17,FALSE)*$Q577*IFERROR((VLOOKUP(P577,Settings!$E$28:$F$33,2,FALSE)+1),1)</f>
        <v>-7.8780870600650514</v>
      </c>
      <c r="AD577" s="40">
        <f>VLOOKUP(B577,'Player Data'!$A1:$AE734,18,FALSE)*$Q577</f>
        <v>33.055795507782605</v>
      </c>
      <c r="AE577" s="40">
        <f>VLOOKUP(B577,'Player Data'!$A1:$AE734,19,FALSE)*$Q577*IFERROR((VLOOKUP(P577,Settings!$E$28:$F$33,2,FALSE)+1),1)</f>
        <v>1.3279351046247116</v>
      </c>
      <c r="AF577" s="40">
        <f>VLOOKUP(B577,'Player Data'!$A1:$AE734,20,FALSE)*$Q577</f>
        <v>417.35662911400721</v>
      </c>
      <c r="AG577" s="40">
        <f>VLOOKUP(B577,'Player Data'!$A1:$AE734,21,FALSE)*$Q577</f>
        <v>502.75059026542084</v>
      </c>
      <c r="AH577" s="41">
        <f>VLOOKUP(B577,'Player Data'!$A1:$AE734,22,FALSE)</f>
        <v>0.45359564659811702</v>
      </c>
      <c r="AI577" s="38"/>
      <c r="AJ577" s="40"/>
      <c r="AK577" s="40"/>
      <c r="AL577" s="40"/>
      <c r="AM577" s="40"/>
      <c r="AN577" s="40"/>
      <c r="AO577" s="40"/>
      <c r="AP577" s="40"/>
      <c r="AQ577" s="43"/>
      <c r="AR577" s="44"/>
      <c r="AS577" s="38"/>
    </row>
    <row r="578" spans="1:45" ht="21.2" customHeight="1">
      <c r="A578" s="181">
        <f t="shared" ref="A578:A641" si="53">RANK(K578,K$2:K$730)</f>
        <v>577</v>
      </c>
      <c r="B578" s="8" t="s">
        <v>602</v>
      </c>
      <c r="C578" s="31" t="s">
        <v>104</v>
      </c>
      <c r="D578" s="32" t="str">
        <f>VLOOKUP(B578,'Player Data'!A1:D734,4,FALSE)</f>
        <v>RW</v>
      </c>
      <c r="E578" s="46">
        <f>VLOOKUP(B578,RW!A1:F189,3,FALSE)</f>
        <v>129</v>
      </c>
      <c r="F578" s="34" t="str">
        <f>VLOOKUP(B578,'Player Data'!A1:B734,2,FALSE)</f>
        <v>SEA</v>
      </c>
      <c r="G578" s="9">
        <f>VLOOKUP(B578,'Player Data'!A1:D734,3,FALSE)</f>
        <v>24</v>
      </c>
      <c r="H578" s="35">
        <f>IFERROR(VLOOKUP(B578,ADP!A1:G731,7,FALSE)/1000000,VLOOKUP(B578,ADP!A1:G731,7,FALSE))</f>
        <v>1.5</v>
      </c>
      <c r="I578" s="36">
        <f>IF(Settings!$E$15="POINTS",((R578*Q578)*Settings!$B$12)+(S578*Settings!$B$2)+(T578*Settings!$B$3)+(U578*Settings!$B$4)+(V578*Settings!$B$5)+(X578*Settings!$B$9)+(AA578*Settings!$B$6)+(W578*Settings!$B$8)+(AB578*Settings!$B$7)+(AC578*Settings!$B$14)+(AD578*Settings!$B$15)+(AE578*Settings!$B$16)+(AF578*Settings!$B$17)+(AG578*Settings!$B$18)+(Y578*Settings!$B$10)+(Z578*Settings!$B$11),VLOOKUP(B578,'Standard Deviations'!A1:C731,3,FALSE))</f>
        <v>-2.1006087952660661</v>
      </c>
      <c r="J578" s="37">
        <f t="shared" ref="J578:J641" si="54">IF(D578="G",I578/AJ578,I578/Q578)</f>
        <v>-2.5617180430073976E-2</v>
      </c>
      <c r="K578" s="183">
        <f>IF(Settings!$E$18="C/LW/RW",VLOOKUP(B578,RW!A1:F189,6,FALSE),VLOOKUP(B578,F!A1:F431,6,FALSE))</f>
        <v>-8.3808675142771474</v>
      </c>
      <c r="L578" s="36">
        <f t="shared" ref="L578:L641" si="55">IFERROR(K578/H578,"N/A")</f>
        <v>-5.5872450095180985</v>
      </c>
      <c r="M578" s="38">
        <f>IF(Settings!$E$9="YAHOO",VLOOKUP(B578,ADP!A1:E731,2,FALSE),IF(Settings!$E$9="ESPN",VLOOKUP(B578,ADP!A1:E731,3,FALSE),IF(Settings!$E$9="FANTRAX",VLOOKUP(B578,ADP!A1:E731,4,FALSE),VLOOKUP(B578,ADP!A1:E731,5,FALSE))))</f>
        <v>498.6</v>
      </c>
      <c r="N578" s="38">
        <f t="shared" ref="N578:N641" si="56">IFERROR(M578-A578,"N/A")</f>
        <v>-78.399999999999977</v>
      </c>
      <c r="O578" s="38"/>
      <c r="P578" s="39" t="str">
        <f>IF(Settings!$E$27="ON",_xlfn.XLOOKUP(B578,ADP!A2:A731,ADP!H2:H731)," ")</f>
        <v xml:space="preserve"> </v>
      </c>
      <c r="Q578" s="40">
        <f>IF(Settings!$E$12="YES",VLOOKUP(B578,'Player Data'!A1:E734,5,FALSE),82)</f>
        <v>82</v>
      </c>
      <c r="R578" s="38">
        <f>VLOOKUP(B578,'Player Data'!$A1:$AE734,6,FALSE)</f>
        <v>13.4132314240788</v>
      </c>
      <c r="S578" s="40">
        <f>VLOOKUP(B578,'Player Data'!$A1:$AE734,7,FALSE)*$Q578*IFERROR((VLOOKUP(P578,Settings!$E$28:$F$33,2,FALSE)+1),1)</f>
        <v>13.843295747931323</v>
      </c>
      <c r="T578" s="40">
        <f>VLOOKUP(B578,'Player Data'!$A1:$AE734,8,FALSE)*$Q578*IFERROR((VLOOKUP(P578,Settings!$E$28:$F$33,2,FALSE)+1),1)</f>
        <v>18.145949153895572</v>
      </c>
      <c r="U578" s="40">
        <f t="shared" si="52"/>
        <v>31.989244901826893</v>
      </c>
      <c r="V578" s="40">
        <f>VLOOKUP(B578,'Player Data'!$A1:$AE734,10,FALSE)*$Q578*IFERROR(((VLOOKUP(P578,Settings!$E$28:$F$33,2,FALSE)/2)+1),1)</f>
        <v>105.36979337040334</v>
      </c>
      <c r="W578" s="40">
        <f>VLOOKUP(B578,'Player Data'!$A1:$AE734,11,FALSE)*$Q578*IFERROR((VLOOKUP(P578,Settings!$E$28:$F$33,2,FALSE)+1),1)</f>
        <v>0.8870910583415349</v>
      </c>
      <c r="X578" s="40">
        <f>VLOOKUP(B578,'Player Data'!$A1:$AE734,12,FALSE)*$Q578*IFERROR((VLOOKUP(P578,Settings!$E$28:$F$33,2,FALSE)+1),1)</f>
        <v>1.9158304507418413</v>
      </c>
      <c r="Y578" s="40">
        <f>VLOOKUP(B578,'Player Data'!$A1:$AE734,13,FALSE)*$Q578</f>
        <v>0.42954479980198434</v>
      </c>
      <c r="Z578" s="40">
        <f>VLOOKUP(B578,'Player Data'!$A1:$AE734,14,FALSE)*$Q578</f>
        <v>0.95124541890228032</v>
      </c>
      <c r="AA578" s="40">
        <f>VLOOKUP(B578,'Player Data'!$A1:$AE734,15,FALSE)*$Q578</f>
        <v>30.299459724659208</v>
      </c>
      <c r="AB578" s="40">
        <f>VLOOKUP(B578,'Player Data'!$A1:$AE734,16,FALSE)*$Q578</f>
        <v>90.810770032295181</v>
      </c>
      <c r="AC578" s="40">
        <f>VLOOKUP(B578,'Player Data'!$A1:$AE734,17,FALSE)*$Q578*IFERROR((VLOOKUP(P578,Settings!$E$28:$F$33,2,FALSE)+1),1)</f>
        <v>7.3580247000383875E-2</v>
      </c>
      <c r="AD578" s="40">
        <f>VLOOKUP(B578,'Player Data'!$A1:$AE734,18,FALSE)*$Q578</f>
        <v>27.443777051423336</v>
      </c>
      <c r="AE578" s="40">
        <f>VLOOKUP(B578,'Player Data'!$A1:$AE734,19,FALSE)*$Q578*IFERROR((VLOOKUP(P578,Settings!$E$28:$F$33,2,FALSE)+1),1)</f>
        <v>1.9458271636996414</v>
      </c>
      <c r="AF578" s="40">
        <f>VLOOKUP(B578,'Player Data'!$A1:$AE734,20,FALSE)*$Q578</f>
        <v>3.5458881648711222</v>
      </c>
      <c r="AG578" s="40">
        <f>VLOOKUP(B578,'Player Data'!$A1:$AE734,21,FALSE)*$Q578</f>
        <v>7.6552096108574119</v>
      </c>
      <c r="AH578" s="41">
        <f>VLOOKUP(B578,'Player Data'!$A1:$AE734,22,FALSE)</f>
        <v>0.316566129130186</v>
      </c>
      <c r="AI578" s="38"/>
      <c r="AJ578" s="42"/>
      <c r="AK578" s="40"/>
      <c r="AL578" s="40"/>
      <c r="AM578" s="40"/>
      <c r="AN578" s="40"/>
      <c r="AO578" s="40"/>
      <c r="AP578" s="40"/>
      <c r="AQ578" s="43"/>
      <c r="AR578" s="44"/>
      <c r="AS578" s="38"/>
    </row>
    <row r="579" spans="1:45" ht="21.2" customHeight="1">
      <c r="A579" s="181">
        <f t="shared" si="53"/>
        <v>578</v>
      </c>
      <c r="B579" s="8" t="s">
        <v>610</v>
      </c>
      <c r="C579" s="31" t="s">
        <v>104</v>
      </c>
      <c r="D579" s="32" t="str">
        <f>VLOOKUP(B579,'Player Data'!A1:D734,4,FALSE)</f>
        <v>LW,RW</v>
      </c>
      <c r="E579" s="45">
        <f>VLOOKUP(B579,RW!A1:F189,3,FALSE)</f>
        <v>130</v>
      </c>
      <c r="F579" s="34" t="str">
        <f>VLOOKUP(B579,'Player Data'!A1:B734,2,FALSE)</f>
        <v>SEA</v>
      </c>
      <c r="G579" s="9">
        <f>VLOOKUP(B579,'Player Data'!A1:D734,3,FALSE)</f>
        <v>31</v>
      </c>
      <c r="H579" s="35">
        <f>IFERROR(VLOOKUP(B579,ADP!A1:G731,7,FALSE)/1000000,VLOOKUP(B579,ADP!A1:G731,7,FALSE))</f>
        <v>3.5</v>
      </c>
      <c r="I579" s="36">
        <f>IF(Settings!$E$15="POINTS",((R579*Q579)*Settings!$B$12)+(S579*Settings!$B$2)+(T579*Settings!$B$3)+(U579*Settings!$B$4)+(V579*Settings!$B$5)+(X579*Settings!$B$9)+(AA579*Settings!$B$6)+(W579*Settings!$B$8)+(AB579*Settings!$B$7)+(AC579*Settings!$B$14)+(AD579*Settings!$B$15)+(AE579*Settings!$B$16)+(AF579*Settings!$B$17)+(AG579*Settings!$B$18)+(Y579*Settings!$B$10)+(Z579*Settings!$B$11),VLOOKUP(B579,'Standard Deviations'!A1:C731,3,FALSE))</f>
        <v>-2.1226206101540477</v>
      </c>
      <c r="J579" s="37">
        <f t="shared" si="54"/>
        <v>-2.5885617197000582E-2</v>
      </c>
      <c r="K579" s="183">
        <f>IF(Settings!$E$18="C/LW/RW",VLOOKUP(B579,RW!A1:F189,6,FALSE),VLOOKUP(B579,F!A1:F431,6,FALSE))</f>
        <v>-8.4028793291651276</v>
      </c>
      <c r="L579" s="36">
        <f t="shared" si="55"/>
        <v>-2.4008226654757507</v>
      </c>
      <c r="M579" s="52" t="str">
        <f>IF(Settings!$E$9="YAHOO",VLOOKUP(B579,ADP!A1:E731,2,FALSE),IF(Settings!$E$9="ESPN",VLOOKUP(B579,ADP!A1:E731,3,FALSE),IF(Settings!$E$9="FANTRAX",VLOOKUP(B579,ADP!A1:E731,4,FALSE),VLOOKUP(B579,ADP!A1:E731,5,FALSE))))</f>
        <v>-</v>
      </c>
      <c r="N579" s="52" t="str">
        <f t="shared" si="56"/>
        <v>N/A</v>
      </c>
      <c r="O579" s="38"/>
      <c r="P579" s="39" t="str">
        <f>IF(Settings!$E$27="ON",_xlfn.XLOOKUP(B579,ADP!A2:A731,ADP!H2:H731)," ")</f>
        <v xml:space="preserve"> </v>
      </c>
      <c r="Q579" s="40">
        <f>IF(Settings!$E$12="YES",VLOOKUP(B579,'Player Data'!A1:E734,5,FALSE),82)</f>
        <v>82</v>
      </c>
      <c r="R579" s="38">
        <f>VLOOKUP(B579,'Player Data'!$A1:$AE734,6,FALSE)</f>
        <v>14.182909283536601</v>
      </c>
      <c r="S579" s="40">
        <f>VLOOKUP(B579,'Player Data'!$A1:$AE734,7,FALSE)*$Q579*IFERROR((VLOOKUP(P579,Settings!$E$28:$F$33,2,FALSE)+1),1)</f>
        <v>14.546770622607266</v>
      </c>
      <c r="T579" s="40">
        <f>VLOOKUP(B579,'Player Data'!$A1:$AE734,8,FALSE)*$Q579*IFERROR((VLOOKUP(P579,Settings!$E$28:$F$33,2,FALSE)+1),1)</f>
        <v>17.095134667227438</v>
      </c>
      <c r="U579" s="40">
        <f t="shared" si="52"/>
        <v>31.641905289834703</v>
      </c>
      <c r="V579" s="40">
        <f>VLOOKUP(B579,'Player Data'!$A1:$AE734,10,FALSE)*$Q579*IFERROR(((VLOOKUP(P579,Settings!$E$28:$F$33,2,FALSE)/2)+1),1)</f>
        <v>115.68270636103261</v>
      </c>
      <c r="W579" s="40">
        <f>VLOOKUP(B579,'Player Data'!$A1:$AE734,11,FALSE)*$Q579*IFERROR((VLOOKUP(P579,Settings!$E$28:$F$33,2,FALSE)+1),1)</f>
        <v>0.12165197835188797</v>
      </c>
      <c r="X579" s="40">
        <f>VLOOKUP(B579,'Player Data'!$A1:$AE734,12,FALSE)*$Q579*IFERROR((VLOOKUP(P579,Settings!$E$28:$F$33,2,FALSE)+1),1)</f>
        <v>0.20993312253210261</v>
      </c>
      <c r="Y579" s="40">
        <f>VLOOKUP(B579,'Player Data'!$A1:$AE734,13,FALSE)*$Q579</f>
        <v>1.2935299944846164</v>
      </c>
      <c r="Z579" s="40">
        <f>VLOOKUP(B579,'Player Data'!$A1:$AE734,14,FALSE)*$Q579</f>
        <v>1.4030550765333805</v>
      </c>
      <c r="AA579" s="40">
        <f>VLOOKUP(B579,'Player Data'!$A1:$AE734,15,FALSE)*$Q579</f>
        <v>65.142512688595616</v>
      </c>
      <c r="AB579" s="40">
        <f>VLOOKUP(B579,'Player Data'!$A1:$AE734,16,FALSE)*$Q579</f>
        <v>189.69165379318397</v>
      </c>
      <c r="AC579" s="40">
        <f>VLOOKUP(B579,'Player Data'!$A1:$AE734,17,FALSE)*$Q579*IFERROR((VLOOKUP(P579,Settings!$E$28:$F$33,2,FALSE)+1),1)</f>
        <v>0.93199648187826589</v>
      </c>
      <c r="AD579" s="40">
        <f>VLOOKUP(B579,'Player Data'!$A1:$AE734,18,FALSE)*$Q579</f>
        <v>32.473009477811971</v>
      </c>
      <c r="AE579" s="40">
        <f>VLOOKUP(B579,'Player Data'!$A1:$AE734,19,FALSE)*$Q579*IFERROR((VLOOKUP(P579,Settings!$E$28:$F$33,2,FALSE)+1),1)</f>
        <v>2.0447082787931574</v>
      </c>
      <c r="AF579" s="40">
        <f>VLOOKUP(B579,'Player Data'!$A1:$AE734,20,FALSE)*$Q579</f>
        <v>5.2298381047738882</v>
      </c>
      <c r="AG579" s="40">
        <f>VLOOKUP(B579,'Player Data'!$A1:$AE734,21,FALSE)*$Q579</f>
        <v>18.589552581991999</v>
      </c>
      <c r="AH579" s="41">
        <f>VLOOKUP(B579,'Player Data'!$A1:$AE734,22,FALSE)</f>
        <v>0.219562211878056</v>
      </c>
      <c r="AI579" s="38"/>
      <c r="AJ579" s="42"/>
      <c r="AK579" s="40"/>
      <c r="AL579" s="40"/>
      <c r="AM579" s="40"/>
      <c r="AN579" s="40"/>
      <c r="AO579" s="40"/>
      <c r="AP579" s="40"/>
      <c r="AQ579" s="43"/>
      <c r="AR579" s="44"/>
      <c r="AS579" s="42"/>
    </row>
    <row r="580" spans="1:45" ht="21.2" customHeight="1">
      <c r="A580" s="181">
        <f t="shared" si="53"/>
        <v>579</v>
      </c>
      <c r="B580" s="8" t="s">
        <v>636</v>
      </c>
      <c r="C580" s="31" t="s">
        <v>104</v>
      </c>
      <c r="D580" s="32" t="str">
        <f>VLOOKUP(B580,'Player Data'!A1:D734,4,FALSE)</f>
        <v>C</v>
      </c>
      <c r="E580" s="33">
        <f>VLOOKUP(B580,'C'!A1:C208,3,FALSE)</f>
        <v>134</v>
      </c>
      <c r="F580" s="34" t="str">
        <f>VLOOKUP(B580,'Player Data'!A1:B734,2,FALSE)</f>
        <v>WPG</v>
      </c>
      <c r="G580" s="9">
        <f>VLOOKUP(B580,'Player Data'!A1:D734,3,FALSE)</f>
        <v>30</v>
      </c>
      <c r="H580" s="35">
        <f>IFERROR(VLOOKUP(B580,ADP!A1:G731,7,FALSE)/1000000,VLOOKUP(B580,ADP!A1:G731,7,FALSE))</f>
        <v>3.25</v>
      </c>
      <c r="I580" s="36">
        <f>IF(Settings!$E$15="POINTS",((R580*Q580)*Settings!$B$12)+(S580*Settings!$B$2)+(T580*Settings!$B$3)+(U580*Settings!$B$4)+(V580*Settings!$B$5)+(X580*Settings!$B$9)+(AA580*Settings!$B$6)+(W580*Settings!$B$8)+(AB580*Settings!$B$7)+(AC580*Settings!$B$14)+(AD580*Settings!$B$15)+(AE580*Settings!$B$16)+(AF580*Settings!$B$17)+(AG580*Settings!$B$18)+(Y580*Settings!$B$10)+(Z580*Settings!$B$11),VLOOKUP(B580,'Standard Deviations'!A1:C731,3,FALSE))</f>
        <v>-2.0937419581492356</v>
      </c>
      <c r="J580" s="37">
        <f t="shared" si="54"/>
        <v>-2.5533438514015069E-2</v>
      </c>
      <c r="K580" s="183">
        <f>IF(Settings!$E$18="C/LW/RW",VLOOKUP(B580,'C'!A1:F208,6,FALSE),VLOOKUP(B580,F!A1:F431,6,FALSE))</f>
        <v>-8.4307926823558379</v>
      </c>
      <c r="L580" s="36">
        <f t="shared" si="55"/>
        <v>-2.5940900561094886</v>
      </c>
      <c r="M580" s="38">
        <f>IF(Settings!$E$9="YAHOO",VLOOKUP(B580,ADP!A1:E731,2,FALSE),IF(Settings!$E$9="ESPN",VLOOKUP(B580,ADP!A1:E731,3,FALSE),IF(Settings!$E$9="FANTRAX",VLOOKUP(B580,ADP!A1:E731,4,FALSE),VLOOKUP(B580,ADP!A1:E731,5,FALSE))))</f>
        <v>459.5</v>
      </c>
      <c r="N580" s="38">
        <f t="shared" si="56"/>
        <v>-119.5</v>
      </c>
      <c r="O580" s="38"/>
      <c r="P580" s="39" t="str">
        <f>IF(Settings!$E$27="ON",_xlfn.XLOOKUP(B580,ADP!A2:A731,ADP!H2:H731)," ")</f>
        <v xml:space="preserve"> </v>
      </c>
      <c r="Q580" s="40">
        <f>IF(Settings!$E$12="YES",VLOOKUP(B580,'Player Data'!A1:E734,5,FALSE),82)</f>
        <v>82</v>
      </c>
      <c r="R580" s="38">
        <f>VLOOKUP(B580,'Player Data'!$A1:$AE734,6,FALSE)</f>
        <v>14.8754127210366</v>
      </c>
      <c r="S580" s="40">
        <f>VLOOKUP(B580,'Player Data'!$A1:$AE734,7,FALSE)*$Q580*IFERROR((VLOOKUP(P580,Settings!$E$28:$F$33,2,FALSE)+1),1)</f>
        <v>12.502045680973579</v>
      </c>
      <c r="T580" s="40">
        <f>VLOOKUP(B580,'Player Data'!$A1:$AE734,8,FALSE)*$Q580*IFERROR((VLOOKUP(P580,Settings!$E$28:$F$33,2,FALSE)+1),1)</f>
        <v>16.112118546821591</v>
      </c>
      <c r="U580" s="40">
        <f t="shared" si="52"/>
        <v>28.614164227795172</v>
      </c>
      <c r="V580" s="40">
        <f>VLOOKUP(B580,'Player Data'!$A1:$AE734,10,FALSE)*$Q580*IFERROR(((VLOOKUP(P580,Settings!$E$28:$F$33,2,FALSE)/2)+1),1)</f>
        <v>126.25957467162473</v>
      </c>
      <c r="W580" s="40">
        <f>VLOOKUP(B580,'Player Data'!$A1:$AE734,11,FALSE)*$Q580*IFERROR((VLOOKUP(P580,Settings!$E$28:$F$33,2,FALSE)+1),1)</f>
        <v>0.59866267881384272</v>
      </c>
      <c r="X580" s="40">
        <f>VLOOKUP(B580,'Player Data'!$A1:$AE734,12,FALSE)*$Q580*IFERROR((VLOOKUP(P580,Settings!$E$28:$F$33,2,FALSE)+1),1)</f>
        <v>2.7270053522218598</v>
      </c>
      <c r="Y580" s="40">
        <f>VLOOKUP(B580,'Player Data'!$A1:$AE734,13,FALSE)*$Q580</f>
        <v>2.344413463658316</v>
      </c>
      <c r="Z580" s="40">
        <f>VLOOKUP(B580,'Player Data'!$A1:$AE734,14,FALSE)*$Q580</f>
        <v>3.2614120136246418</v>
      </c>
      <c r="AA580" s="40">
        <f>VLOOKUP(B580,'Player Data'!$A1:$AE734,15,FALSE)*$Q580</f>
        <v>45.086324425902994</v>
      </c>
      <c r="AB580" s="40">
        <f>VLOOKUP(B580,'Player Data'!$A1:$AE734,16,FALSE)*$Q580</f>
        <v>175.7900379808963</v>
      </c>
      <c r="AC580" s="40">
        <f>VLOOKUP(B580,'Player Data'!$A1:$AE734,17,FALSE)*$Q580*IFERROR((VLOOKUP(P580,Settings!$E$28:$F$33,2,FALSE)+1),1)</f>
        <v>1.2109159668770899</v>
      </c>
      <c r="AD580" s="40">
        <f>VLOOKUP(B580,'Player Data'!$A1:$AE734,18,FALSE)*$Q580</f>
        <v>40.101341642992914</v>
      </c>
      <c r="AE580" s="40">
        <f>VLOOKUP(B580,'Player Data'!$A1:$AE734,19,FALSE)*$Q580*IFERROR((VLOOKUP(P580,Settings!$E$28:$F$33,2,FALSE)+1),1)</f>
        <v>1.9503609728543887</v>
      </c>
      <c r="AF580" s="40">
        <f>VLOOKUP(B580,'Player Data'!$A1:$AE734,20,FALSE)*$Q580</f>
        <v>569.44524903221929</v>
      </c>
      <c r="AG580" s="40">
        <f>VLOOKUP(B580,'Player Data'!$A1:$AE734,21,FALSE)*$Q580</f>
        <v>538.85355636254803</v>
      </c>
      <c r="AH580" s="41">
        <f>VLOOKUP(B580,'Player Data'!$A1:$AE734,22,FALSE)</f>
        <v>0.51380119355933696</v>
      </c>
      <c r="AI580" s="38"/>
      <c r="AJ580" s="42"/>
      <c r="AK580" s="40"/>
      <c r="AL580" s="40"/>
      <c r="AM580" s="40"/>
      <c r="AN580" s="40"/>
      <c r="AO580" s="40"/>
      <c r="AP580" s="40"/>
      <c r="AQ580" s="43"/>
      <c r="AR580" s="44"/>
      <c r="AS580" s="38"/>
    </row>
    <row r="581" spans="1:45" ht="21.2" customHeight="1">
      <c r="A581" s="181">
        <f t="shared" si="53"/>
        <v>580</v>
      </c>
      <c r="B581" s="8" t="s">
        <v>622</v>
      </c>
      <c r="C581" s="31" t="s">
        <v>104</v>
      </c>
      <c r="D581" s="32" t="str">
        <f>VLOOKUP(B581,'Player Data'!A1:D734,4,FALSE)</f>
        <v>LW,RW</v>
      </c>
      <c r="E581" s="45">
        <f>VLOOKUP(B581,RW!A1:F189,3,FALSE)</f>
        <v>131</v>
      </c>
      <c r="F581" s="34" t="str">
        <f>VLOOKUP(B581,'Player Data'!A1:B734,2,FALSE)</f>
        <v>WPG</v>
      </c>
      <c r="G581" s="9">
        <f>VLOOKUP(B581,'Player Data'!A1:D734,3,FALSE)</f>
        <v>27</v>
      </c>
      <c r="H581" s="35">
        <f>IFERROR(VLOOKUP(B581,ADP!A1:G731,7,FALSE)/1000000,VLOOKUP(B581,ADP!A1:G731,7,FALSE))</f>
        <v>2.1666669999999999</v>
      </c>
      <c r="I581" s="36">
        <f>IF(Settings!$E$15="POINTS",((R581*Q581)*Settings!$B$12)+(S581*Settings!$B$2)+(T581*Settings!$B$3)+(U581*Settings!$B$4)+(V581*Settings!$B$5)+(X581*Settings!$B$9)+(AA581*Settings!$B$6)+(W581*Settings!$B$8)+(AB581*Settings!$B$7)+(AC581*Settings!$B$14)+(AD581*Settings!$B$15)+(AE581*Settings!$B$16)+(AF581*Settings!$B$17)+(AG581*Settings!$B$18)+(Y581*Settings!$B$10)+(Z581*Settings!$B$11),VLOOKUP(B581,'Standard Deviations'!A1:C731,3,FALSE))</f>
        <v>-2.1614293472855093</v>
      </c>
      <c r="J581" s="37">
        <f t="shared" si="54"/>
        <v>-2.6358894479091576E-2</v>
      </c>
      <c r="K581" s="183">
        <f>IF(Settings!$E$18="C/LW/RW",VLOOKUP(B581,RW!A1:F189,6,FALSE),VLOOKUP(B581,F!A1:F431,6,FALSE))</f>
        <v>-8.4416880662965905</v>
      </c>
      <c r="L581" s="36">
        <f t="shared" si="55"/>
        <v>-3.8961631234964074</v>
      </c>
      <c r="M581" s="52" t="str">
        <f>IF(Settings!$E$9="YAHOO",VLOOKUP(B581,ADP!A1:E731,2,FALSE),IF(Settings!$E$9="ESPN",VLOOKUP(B581,ADP!A1:E731,3,FALSE),IF(Settings!$E$9="FANTRAX",VLOOKUP(B581,ADP!A1:E731,4,FALSE),VLOOKUP(B581,ADP!A1:E731,5,FALSE))))</f>
        <v>-</v>
      </c>
      <c r="N581" s="52" t="str">
        <f t="shared" si="56"/>
        <v>N/A</v>
      </c>
      <c r="O581" s="38"/>
      <c r="P581" s="39" t="str">
        <f>IF(Settings!$E$27="ON",_xlfn.XLOOKUP(B581,ADP!A2:A731,ADP!H2:H731)," ")</f>
        <v xml:space="preserve"> </v>
      </c>
      <c r="Q581" s="40">
        <f>IF(Settings!$E$12="YES",VLOOKUP(B581,'Player Data'!A1:E734,5,FALSE),82)</f>
        <v>82</v>
      </c>
      <c r="R581" s="38">
        <f>VLOOKUP(B581,'Player Data'!$A1:$AE734,6,FALSE)</f>
        <v>15.556299816925399</v>
      </c>
      <c r="S581" s="40">
        <f>VLOOKUP(B581,'Player Data'!$A1:$AE734,7,FALSE)*$Q581*IFERROR((VLOOKUP(P581,Settings!$E$28:$F$33,2,FALSE)+1),1)</f>
        <v>11.196860046118136</v>
      </c>
      <c r="T581" s="40">
        <f>VLOOKUP(B581,'Player Data'!$A1:$AE734,8,FALSE)*$Q581*IFERROR((VLOOKUP(P581,Settings!$E$28:$F$33,2,FALSE)+1),1)</f>
        <v>19.180978225599667</v>
      </c>
      <c r="U581" s="40">
        <f t="shared" si="52"/>
        <v>30.377838271717803</v>
      </c>
      <c r="V581" s="40">
        <f>VLOOKUP(B581,'Player Data'!$A1:$AE734,10,FALSE)*$Q581*IFERROR(((VLOOKUP(P581,Settings!$E$28:$F$33,2,FALSE)/2)+1),1)</f>
        <v>127.05783352105483</v>
      </c>
      <c r="W581" s="40">
        <f>VLOOKUP(B581,'Player Data'!$A1:$AE734,11,FALSE)*$Q581*IFERROR((VLOOKUP(P581,Settings!$E$28:$F$33,2,FALSE)+1),1)</f>
        <v>9.4482406713890021E-2</v>
      </c>
      <c r="X581" s="40">
        <f>VLOOKUP(B581,'Player Data'!$A1:$AE734,12,FALSE)*$Q581*IFERROR((VLOOKUP(P581,Settings!$E$28:$F$33,2,FALSE)+1),1)</f>
        <v>0.16711414138154168</v>
      </c>
      <c r="Y581" s="40">
        <f>VLOOKUP(B581,'Player Data'!$A1:$AE734,13,FALSE)*$Q581</f>
        <v>0.13994449096280961</v>
      </c>
      <c r="Z581" s="40">
        <f>VLOOKUP(B581,'Player Data'!$A1:$AE734,14,FALSE)*$Q581</f>
        <v>0.75438894930204725</v>
      </c>
      <c r="AA581" s="40">
        <f>VLOOKUP(B581,'Player Data'!$A1:$AE734,15,FALSE)*$Q581</f>
        <v>28.433392731086311</v>
      </c>
      <c r="AB581" s="40">
        <f>VLOOKUP(B581,'Player Data'!$A1:$AE734,16,FALSE)*$Q581</f>
        <v>85.533953012369039</v>
      </c>
      <c r="AC581" s="40">
        <f>VLOOKUP(B581,'Player Data'!$A1:$AE734,17,FALSE)*$Q581*IFERROR((VLOOKUP(P581,Settings!$E$28:$F$33,2,FALSE)+1),1)</f>
        <v>2.2031658208859333</v>
      </c>
      <c r="AD581" s="40">
        <f>VLOOKUP(B581,'Player Data'!$A1:$AE734,18,FALSE)*$Q581</f>
        <v>23.595405329486361</v>
      </c>
      <c r="AE581" s="40">
        <f>VLOOKUP(B581,'Player Data'!$A1:$AE734,19,FALSE)*$Q581*IFERROR((VLOOKUP(P581,Settings!$E$28:$F$33,2,FALSE)+1),1)</f>
        <v>1.7467476451230421</v>
      </c>
      <c r="AF581" s="40">
        <f>VLOOKUP(B581,'Player Data'!$A1:$AE734,20,FALSE)*$Q581</f>
        <v>7.0625706784540361</v>
      </c>
      <c r="AG581" s="40">
        <f>VLOOKUP(B581,'Player Data'!$A1:$AE734,21,FALSE)*$Q581</f>
        <v>14.222823348023272</v>
      </c>
      <c r="AH581" s="41">
        <f>VLOOKUP(B581,'Player Data'!$A1:$AE734,22,FALSE)</f>
        <v>0.33180361470728598</v>
      </c>
      <c r="AI581" s="38"/>
      <c r="AJ581" s="42"/>
      <c r="AK581" s="40"/>
      <c r="AL581" s="40"/>
      <c r="AM581" s="40"/>
      <c r="AN581" s="40"/>
      <c r="AO581" s="40"/>
      <c r="AP581" s="40"/>
      <c r="AQ581" s="43"/>
      <c r="AR581" s="44"/>
      <c r="AS581" s="38"/>
    </row>
    <row r="582" spans="1:45" ht="21.2" customHeight="1">
      <c r="A582" s="181">
        <f t="shared" si="53"/>
        <v>581</v>
      </c>
      <c r="B582" s="8" t="s">
        <v>660</v>
      </c>
      <c r="C582" s="31" t="s">
        <v>104</v>
      </c>
      <c r="D582" s="32" t="str">
        <f>VLOOKUP(B582,'Player Data'!A1:D734,4,FALSE)</f>
        <v>C</v>
      </c>
      <c r="E582" s="33">
        <f>VLOOKUP(B582,'C'!A1:C208,3,FALSE)</f>
        <v>135</v>
      </c>
      <c r="F582" s="34" t="str">
        <f>VLOOKUP(B582,'Player Data'!A1:B734,2,FALSE)</f>
        <v>CAR</v>
      </c>
      <c r="G582" s="9">
        <f>VLOOKUP(B582,'Player Data'!A1:D734,3,FALSE)</f>
        <v>34</v>
      </c>
      <c r="H582" s="35">
        <f>IFERROR(VLOOKUP(B582,ADP!A1:G731,7,FALSE)/1000000,VLOOKUP(B582,ADP!A1:G731,7,FALSE))</f>
        <v>2.9</v>
      </c>
      <c r="I582" s="36">
        <f>IF(Settings!$E$15="POINTS",((R582*Q582)*Settings!$B$12)+(S582*Settings!$B$2)+(T582*Settings!$B$3)+(U582*Settings!$B$4)+(V582*Settings!$B$5)+(X582*Settings!$B$9)+(AA582*Settings!$B$6)+(W582*Settings!$B$8)+(AB582*Settings!$B$7)+(AC582*Settings!$B$14)+(AD582*Settings!$B$15)+(AE582*Settings!$B$16)+(AF582*Settings!$B$17)+(AG582*Settings!$B$18)+(Y582*Settings!$B$10)+(Z582*Settings!$B$11),VLOOKUP(B582,'Standard Deviations'!A1:C731,3,FALSE))</f>
        <v>-2.133155263977268</v>
      </c>
      <c r="J582" s="37">
        <f t="shared" si="54"/>
        <v>-2.6014088585088635E-2</v>
      </c>
      <c r="K582" s="183">
        <f>IF(Settings!$E$18="C/LW/RW",VLOOKUP(B582,'C'!A1:F208,6,FALSE),VLOOKUP(B582,F!A1:F431,6,FALSE))</f>
        <v>-8.4702059881838707</v>
      </c>
      <c r="L582" s="36">
        <f t="shared" si="55"/>
        <v>-2.9207606855806452</v>
      </c>
      <c r="M582" s="38">
        <f>IF(Settings!$E$9="YAHOO",VLOOKUP(B582,ADP!A1:E731,2,FALSE),IF(Settings!$E$9="ESPN",VLOOKUP(B582,ADP!A1:E731,3,FALSE),IF(Settings!$E$9="FANTRAX",VLOOKUP(B582,ADP!A1:E731,4,FALSE),VLOOKUP(B582,ADP!A1:E731,5,FALSE))))</f>
        <v>400.5</v>
      </c>
      <c r="N582" s="38">
        <f t="shared" si="56"/>
        <v>-180.5</v>
      </c>
      <c r="O582" s="38"/>
      <c r="P582" s="39" t="str">
        <f>IF(Settings!$E$27="ON",_xlfn.XLOOKUP(B582,ADP!A2:A731,ADP!H2:H731)," ")</f>
        <v xml:space="preserve"> </v>
      </c>
      <c r="Q582" s="40">
        <f>IF(Settings!$E$12="YES",VLOOKUP(B582,'Player Data'!A1:E734,5,FALSE),82)</f>
        <v>82</v>
      </c>
      <c r="R582" s="38">
        <f>VLOOKUP(B582,'Player Data'!$A1:$AE734,6,FALSE)</f>
        <v>15.255839681364201</v>
      </c>
      <c r="S582" s="40">
        <f>VLOOKUP(B582,'Player Data'!$A1:$AE734,7,FALSE)*$Q582*IFERROR((VLOOKUP(P582,Settings!$E$28:$F$33,2,FALSE)+1),1)</f>
        <v>13.867564444883172</v>
      </c>
      <c r="T582" s="40">
        <f>VLOOKUP(B582,'Player Data'!$A1:$AE734,8,FALSE)*$Q582*IFERROR((VLOOKUP(P582,Settings!$E$28:$F$33,2,FALSE)+1),1)</f>
        <v>16.260193855394164</v>
      </c>
      <c r="U582" s="40">
        <f t="shared" si="52"/>
        <v>30.127758300277335</v>
      </c>
      <c r="V582" s="40">
        <f>VLOOKUP(B582,'Player Data'!$A1:$AE734,10,FALSE)*$Q582*IFERROR(((VLOOKUP(P582,Settings!$E$28:$F$33,2,FALSE)/2)+1),1)</f>
        <v>123.97291432891603</v>
      </c>
      <c r="W582" s="40">
        <f>VLOOKUP(B582,'Player Data'!$A1:$AE734,11,FALSE)*$Q582*IFERROR((VLOOKUP(P582,Settings!$E$28:$F$33,2,FALSE)+1),1)</f>
        <v>0.29995452327491418</v>
      </c>
      <c r="X582" s="40">
        <f>VLOOKUP(B582,'Player Data'!$A1:$AE734,12,FALSE)*$Q582*IFERROR((VLOOKUP(P582,Settings!$E$28:$F$33,2,FALSE)+1),1)</f>
        <v>0.63708295938762793</v>
      </c>
      <c r="Y582" s="40">
        <f>VLOOKUP(B582,'Player Data'!$A1:$AE734,13,FALSE)*$Q582</f>
        <v>-0.22947903142266465</v>
      </c>
      <c r="Z582" s="40">
        <f>VLOOKUP(B582,'Player Data'!$A1:$AE734,14,FALSE)*$Q582</f>
        <v>-0.52780540670850484</v>
      </c>
      <c r="AA582" s="40">
        <f>VLOOKUP(B582,'Player Data'!$A1:$AE734,15,FALSE)*$Q582</f>
        <v>36.235569243023299</v>
      </c>
      <c r="AB582" s="40">
        <f>VLOOKUP(B582,'Player Data'!$A1:$AE734,16,FALSE)*$Q582</f>
        <v>156.65450814095286</v>
      </c>
      <c r="AC582" s="40">
        <f>VLOOKUP(B582,'Player Data'!$A1:$AE734,17,FALSE)*$Q582*IFERROR((VLOOKUP(P582,Settings!$E$28:$F$33,2,FALSE)+1),1)</f>
        <v>6.9566102594069852</v>
      </c>
      <c r="AD582" s="40">
        <f>VLOOKUP(B582,'Player Data'!$A1:$AE734,18,FALSE)*$Q582</f>
        <v>28.310055166706274</v>
      </c>
      <c r="AE582" s="40">
        <f>VLOOKUP(B582,'Player Data'!$A1:$AE734,19,FALSE)*$Q582*IFERROR((VLOOKUP(P582,Settings!$E$28:$F$33,2,FALSE)+1),1)</f>
        <v>2.4881515796625115</v>
      </c>
      <c r="AF582" s="40">
        <f>VLOOKUP(B582,'Player Data'!$A1:$AE734,20,FALSE)*$Q582</f>
        <v>778.97888091393008</v>
      </c>
      <c r="AG582" s="40">
        <f>VLOOKUP(B582,'Player Data'!$A1:$AE734,21,FALSE)*$Q582</f>
        <v>594.5349808200998</v>
      </c>
      <c r="AH582" s="41">
        <f>VLOOKUP(B582,'Player Data'!$A1:$AE734,22,FALSE)</f>
        <v>0.56714307923364304</v>
      </c>
      <c r="AI582" s="38"/>
      <c r="AJ582" s="42"/>
      <c r="AK582" s="40"/>
      <c r="AL582" s="40"/>
      <c r="AM582" s="40"/>
      <c r="AN582" s="40"/>
      <c r="AO582" s="40"/>
      <c r="AP582" s="40"/>
      <c r="AQ582" s="43"/>
      <c r="AR582" s="44"/>
      <c r="AS582" s="38"/>
    </row>
    <row r="583" spans="1:45" ht="21.2" customHeight="1">
      <c r="A583" s="181">
        <f t="shared" si="53"/>
        <v>582</v>
      </c>
      <c r="B583" s="8" t="s">
        <v>582</v>
      </c>
      <c r="C583" s="31" t="s">
        <v>104</v>
      </c>
      <c r="D583" s="32" t="str">
        <f>VLOOKUP(B583,'Player Data'!A1:D734,4,FALSE)</f>
        <v>LW,RW</v>
      </c>
      <c r="E583" s="45">
        <f>VLOOKUP(B583,RW!A1:F189,3,FALSE)</f>
        <v>132</v>
      </c>
      <c r="F583" s="34" t="str">
        <f>VLOOKUP(B583,'Player Data'!A1:B734,2,FALSE)</f>
        <v>NSH</v>
      </c>
      <c r="G583" s="9">
        <f>VLOOKUP(B583,'Player Data'!A1:D734,3,FALSE)</f>
        <v>26</v>
      </c>
      <c r="H583" s="35">
        <f>IFERROR(VLOOKUP(B583,ADP!A1:G731,7,FALSE)/1000000,VLOOKUP(B583,ADP!A1:G731,7,FALSE))</f>
        <v>1.7</v>
      </c>
      <c r="I583" s="36">
        <f>IF(Settings!$E$15="POINTS",((R583*Q583)*Settings!$B$12)+(S583*Settings!$B$2)+(T583*Settings!$B$3)+(U583*Settings!$B$4)+(V583*Settings!$B$5)+(X583*Settings!$B$9)+(AA583*Settings!$B$6)+(W583*Settings!$B$8)+(AB583*Settings!$B$7)+(AC583*Settings!$B$14)+(AD583*Settings!$B$15)+(AE583*Settings!$B$16)+(AF583*Settings!$B$17)+(AG583*Settings!$B$18)+(Y583*Settings!$B$10)+(Z583*Settings!$B$11),VLOOKUP(B583,'Standard Deviations'!A1:C731,3,FALSE))</f>
        <v>-2.1995232175388129</v>
      </c>
      <c r="J583" s="37">
        <f t="shared" si="54"/>
        <v>-2.6823453872424546E-2</v>
      </c>
      <c r="K583" s="183">
        <f>IF(Settings!$E$18="C/LW/RW",VLOOKUP(B583,RW!A1:F189,6,FALSE),VLOOKUP(B583,F!A1:F431,6,FALSE))</f>
        <v>-8.4797819365498945</v>
      </c>
      <c r="L583" s="36">
        <f t="shared" si="55"/>
        <v>-4.9881070214999381</v>
      </c>
      <c r="M583" s="52" t="str">
        <f>IF(Settings!$E$9="YAHOO",VLOOKUP(B583,ADP!A1:E731,2,FALSE),IF(Settings!$E$9="ESPN",VLOOKUP(B583,ADP!A1:E731,3,FALSE),IF(Settings!$E$9="FANTRAX",VLOOKUP(B583,ADP!A1:E731,4,FALSE),VLOOKUP(B583,ADP!A1:E731,5,FALSE))))</f>
        <v>-</v>
      </c>
      <c r="N583" s="52" t="str">
        <f t="shared" si="56"/>
        <v>N/A</v>
      </c>
      <c r="O583" s="38"/>
      <c r="P583" s="39" t="str">
        <f>IF(Settings!$E$27="ON",_xlfn.XLOOKUP(B583,ADP!A2:A731,ADP!H2:H731)," ")</f>
        <v xml:space="preserve"> </v>
      </c>
      <c r="Q583" s="40">
        <f>IF(Settings!$E$12="YES",VLOOKUP(B583,'Player Data'!A1:E734,5,FALSE),82)</f>
        <v>82</v>
      </c>
      <c r="R583" s="38">
        <f>VLOOKUP(B583,'Player Data'!$A1:$AE734,6,FALSE)</f>
        <v>14.772821523994301</v>
      </c>
      <c r="S583" s="40">
        <f>VLOOKUP(B583,'Player Data'!$A1:$AE734,7,FALSE)*$Q583*IFERROR((VLOOKUP(P583,Settings!$E$28:$F$33,2,FALSE)+1),1)</f>
        <v>14.535477623156103</v>
      </c>
      <c r="T583" s="40">
        <f>VLOOKUP(B583,'Player Data'!$A1:$AE734,8,FALSE)*$Q583*IFERROR((VLOOKUP(P583,Settings!$E$28:$F$33,2,FALSE)+1),1)</f>
        <v>12.062188137817516</v>
      </c>
      <c r="U583" s="40">
        <f t="shared" si="52"/>
        <v>26.597665760973619</v>
      </c>
      <c r="V583" s="40">
        <f>VLOOKUP(B583,'Player Data'!$A1:$AE734,10,FALSE)*$Q583*IFERROR(((VLOOKUP(P583,Settings!$E$28:$F$33,2,FALSE)/2)+1),1)</f>
        <v>142.06220658022229</v>
      </c>
      <c r="W583" s="40">
        <f>VLOOKUP(B583,'Player Data'!$A1:$AE734,11,FALSE)*$Q583*IFERROR((VLOOKUP(P583,Settings!$E$28:$F$33,2,FALSE)+1),1)</f>
        <v>0.20136765326874076</v>
      </c>
      <c r="X583" s="40">
        <f>VLOOKUP(B583,'Player Data'!$A1:$AE734,12,FALSE)*$Q583*IFERROR((VLOOKUP(P583,Settings!$E$28:$F$33,2,FALSE)+1),1)</f>
        <v>0.90034540602392399</v>
      </c>
      <c r="Y583" s="40">
        <f>VLOOKUP(B583,'Player Data'!$A1:$AE734,13,FALSE)*$Q583</f>
        <v>1.3590347888093766</v>
      </c>
      <c r="Z583" s="40">
        <f>VLOOKUP(B583,'Player Data'!$A1:$AE734,14,FALSE)*$Q583</f>
        <v>1.5634822574596159</v>
      </c>
      <c r="AA583" s="40">
        <f>VLOOKUP(B583,'Player Data'!$A1:$AE734,15,FALSE)*$Q583</f>
        <v>34.200427361873999</v>
      </c>
      <c r="AB583" s="40">
        <f>VLOOKUP(B583,'Player Data'!$A1:$AE734,16,FALSE)*$Q583</f>
        <v>170.1975092315401</v>
      </c>
      <c r="AC583" s="40">
        <f>VLOOKUP(B583,'Player Data'!$A1:$AE734,17,FALSE)*$Q583*IFERROR((VLOOKUP(P583,Settings!$E$28:$F$33,2,FALSE)+1),1)</f>
        <v>-2.1462299594785312</v>
      </c>
      <c r="AD583" s="40">
        <f>VLOOKUP(B583,'Player Data'!$A1:$AE734,18,FALSE)*$Q583</f>
        <v>40.936760778067509</v>
      </c>
      <c r="AE583" s="40">
        <f>VLOOKUP(B583,'Player Data'!$A1:$AE734,19,FALSE)*$Q583*IFERROR((VLOOKUP(P583,Settings!$E$28:$F$33,2,FALSE)+1),1)</f>
        <v>2.1225598949863071</v>
      </c>
      <c r="AF583" s="40">
        <f>VLOOKUP(B583,'Player Data'!$A1:$AE734,20,FALSE)*$Q583</f>
        <v>13.281079967142974</v>
      </c>
      <c r="AG583" s="40">
        <f>VLOOKUP(B583,'Player Data'!$A1:$AE734,21,FALSE)*$Q583</f>
        <v>23.243356618080924</v>
      </c>
      <c r="AH583" s="41">
        <f>VLOOKUP(B583,'Player Data'!$A1:$AE734,22,FALSE)</f>
        <v>0.36362176145150799</v>
      </c>
      <c r="AI583" s="38"/>
      <c r="AJ583" s="40"/>
      <c r="AK583" s="40"/>
      <c r="AL583" s="40"/>
      <c r="AM583" s="40"/>
      <c r="AN583" s="40"/>
      <c r="AO583" s="40"/>
      <c r="AP583" s="40"/>
      <c r="AQ583" s="43"/>
      <c r="AR583" s="44"/>
      <c r="AS583" s="38"/>
    </row>
    <row r="584" spans="1:45" ht="21.2" customHeight="1">
      <c r="A584" s="181">
        <f t="shared" si="53"/>
        <v>583</v>
      </c>
      <c r="B584" s="8" t="s">
        <v>572</v>
      </c>
      <c r="C584" s="31" t="s">
        <v>104</v>
      </c>
      <c r="D584" s="32" t="str">
        <f>VLOOKUP(B584,'Player Data'!A1:D734,4,FALSE)</f>
        <v>C,LW</v>
      </c>
      <c r="E584" s="45">
        <f>VLOOKUP(B584,LW!A1:C227,3,FALSE)</f>
        <v>148</v>
      </c>
      <c r="F584" s="34" t="str">
        <f>VLOOKUP(B584,'Player Data'!A1:B734,2,FALSE)</f>
        <v>ARI</v>
      </c>
      <c r="G584" s="9">
        <f>VLOOKUP(B584,'Player Data'!A1:D734,3,FALSE)</f>
        <v>29</v>
      </c>
      <c r="H584" s="35">
        <f>IFERROR(VLOOKUP(B584,ADP!A1:G731,7,FALSE)/1000000,VLOOKUP(B584,ADP!A1:G731,7,FALSE))</f>
        <v>3.5</v>
      </c>
      <c r="I584" s="36">
        <f>IF(Settings!$E$15="POINTS",((R584*Q584)*Settings!$B$12)+(S584*Settings!$B$2)+(T584*Settings!$B$3)+(U584*Settings!$B$4)+(V584*Settings!$B$5)+(X584*Settings!$B$9)+(AA584*Settings!$B$6)+(W584*Settings!$B$8)+(AB584*Settings!$B$7)+(AC584*Settings!$B$14)+(AD584*Settings!$B$15)+(AE584*Settings!$B$16)+(AF584*Settings!$B$17)+(AG584*Settings!$B$18)+(Y584*Settings!$B$10)+(Z584*Settings!$B$11),VLOOKUP(B584,'Standard Deviations'!A1:C731,3,FALSE))</f>
        <v>-1.8563214884583716</v>
      </c>
      <c r="J584" s="37">
        <f t="shared" si="54"/>
        <v>-2.2638066932419168E-2</v>
      </c>
      <c r="K584" s="183">
        <f>IF(Settings!$E$18="C/LW/RW",VLOOKUP(B584,LW!A1:F227,6,FALSE),VLOOKUP(B584,F!A1:F431,6,FALSE))</f>
        <v>-8.5109905325827722</v>
      </c>
      <c r="L584" s="36">
        <f t="shared" si="55"/>
        <v>-2.431711580737935</v>
      </c>
      <c r="M584" s="52" t="str">
        <f>IF(Settings!$E$9="YAHOO",VLOOKUP(B584,ADP!A1:E731,2,FALSE),IF(Settings!$E$9="ESPN",VLOOKUP(B584,ADP!A1:E731,3,FALSE),IF(Settings!$E$9="FANTRAX",VLOOKUP(B584,ADP!A1:E731,4,FALSE),VLOOKUP(B584,ADP!A1:E731,5,FALSE))))</f>
        <v>-</v>
      </c>
      <c r="N584" s="52" t="str">
        <f t="shared" si="56"/>
        <v>N/A</v>
      </c>
      <c r="O584" s="38"/>
      <c r="P584" s="39" t="str">
        <f>IF(Settings!$E$27="ON",_xlfn.XLOOKUP(B584,ADP!A2:A731,ADP!H2:H731)," ")</f>
        <v xml:space="preserve"> </v>
      </c>
      <c r="Q584" s="40">
        <f>IF(Settings!$E$12="YES",VLOOKUP(B584,'Player Data'!A1:E734,5,FALSE),82)</f>
        <v>82</v>
      </c>
      <c r="R584" s="38">
        <f>VLOOKUP(B584,'Player Data'!$A1:$AE734,6,FALSE)</f>
        <v>14.1200300412202</v>
      </c>
      <c r="S584" s="40">
        <f>VLOOKUP(B584,'Player Data'!$A1:$AE734,7,FALSE)*$Q584*IFERROR((VLOOKUP(P584,Settings!$E$28:$F$33,2,FALSE)+1),1)</f>
        <v>10.189023989559805</v>
      </c>
      <c r="T584" s="40">
        <f>VLOOKUP(B584,'Player Data'!$A1:$AE734,8,FALSE)*$Q584*IFERROR((VLOOKUP(P584,Settings!$E$28:$F$33,2,FALSE)+1),1)</f>
        <v>24.188298437961588</v>
      </c>
      <c r="U584" s="40">
        <f t="shared" si="52"/>
        <v>34.377322427521392</v>
      </c>
      <c r="V584" s="40">
        <f>VLOOKUP(B584,'Player Data'!$A1:$AE734,10,FALSE)*$Q584*IFERROR(((VLOOKUP(P584,Settings!$E$28:$F$33,2,FALSE)/2)+1),1)</f>
        <v>109.59376942015567</v>
      </c>
      <c r="W584" s="40">
        <f>VLOOKUP(B584,'Player Data'!$A1:$AE734,11,FALSE)*$Q584*IFERROR((VLOOKUP(P584,Settings!$E$28:$F$33,2,FALSE)+1),1)</f>
        <v>0.82225695653875341</v>
      </c>
      <c r="X584" s="40">
        <f>VLOOKUP(B584,'Player Data'!$A1:$AE734,12,FALSE)*$Q584*IFERROR((VLOOKUP(P584,Settings!$E$28:$F$33,2,FALSE)+1),1)</f>
        <v>1.7143253324179313</v>
      </c>
      <c r="Y584" s="40">
        <f>VLOOKUP(B584,'Player Data'!$A1:$AE734,13,FALSE)*$Q584</f>
        <v>0.85633348856412139</v>
      </c>
      <c r="Z584" s="40">
        <f>VLOOKUP(B584,'Player Data'!$A1:$AE734,14,FALSE)*$Q584</f>
        <v>2.4902358606885788</v>
      </c>
      <c r="AA584" s="40">
        <f>VLOOKUP(B584,'Player Data'!$A1:$AE734,15,FALSE)*$Q584</f>
        <v>45.679851758511596</v>
      </c>
      <c r="AB584" s="40">
        <f>VLOOKUP(B584,'Player Data'!$A1:$AE734,16,FALSE)*$Q584</f>
        <v>62.707385716187822</v>
      </c>
      <c r="AC584" s="40">
        <f>VLOOKUP(B584,'Player Data'!$A1:$AE734,17,FALSE)*$Q584*IFERROR((VLOOKUP(P584,Settings!$E$28:$F$33,2,FALSE)+1),1)</f>
        <v>-2.1552319723681213</v>
      </c>
      <c r="AD584" s="40">
        <f>VLOOKUP(B584,'Player Data'!$A1:$AE734,18,FALSE)*$Q584</f>
        <v>24.242467580074262</v>
      </c>
      <c r="AE584" s="40">
        <f>VLOOKUP(B584,'Player Data'!$A1:$AE734,19,FALSE)*$Q584*IFERROR((VLOOKUP(P584,Settings!$E$28:$F$33,2,FALSE)+1),1)</f>
        <v>1.2858201633508983</v>
      </c>
      <c r="AF584" s="40">
        <f>VLOOKUP(B584,'Player Data'!$A1:$AE734,20,FALSE)*$Q584</f>
        <v>75.49207543137905</v>
      </c>
      <c r="AG584" s="40">
        <f>VLOOKUP(B584,'Player Data'!$A1:$AE734,21,FALSE)*$Q584</f>
        <v>98.836268044983186</v>
      </c>
      <c r="AH584" s="41">
        <f>VLOOKUP(B584,'Player Data'!$A1:$AE734,22,FALSE)</f>
        <v>0.43304533230774001</v>
      </c>
      <c r="AI584" s="38"/>
      <c r="AJ584" s="40"/>
      <c r="AK584" s="40"/>
      <c r="AL584" s="40"/>
      <c r="AM584" s="40"/>
      <c r="AN584" s="40"/>
      <c r="AO584" s="40"/>
      <c r="AP584" s="40"/>
      <c r="AQ584" s="43"/>
      <c r="AR584" s="44"/>
      <c r="AS584" s="42"/>
    </row>
    <row r="585" spans="1:45" ht="21.2" customHeight="1">
      <c r="A585" s="181">
        <f t="shared" si="53"/>
        <v>584</v>
      </c>
      <c r="B585" s="8" t="s">
        <v>618</v>
      </c>
      <c r="C585" s="31" t="s">
        <v>104</v>
      </c>
      <c r="D585" s="32" t="str">
        <f>VLOOKUP(B585,'Player Data'!A1:D734,4,FALSE)</f>
        <v>C,LW</v>
      </c>
      <c r="E585" s="45">
        <f>VLOOKUP(B585,LW!A1:C227,3,FALSE)</f>
        <v>149</v>
      </c>
      <c r="F585" s="34" t="str">
        <f>VLOOKUP(B585,'Player Data'!A1:B734,2,FALSE)</f>
        <v>BOS</v>
      </c>
      <c r="G585" s="9">
        <f>VLOOKUP(B585,'Player Data'!A1:D734,3,FALSE)</f>
        <v>25</v>
      </c>
      <c r="H585" s="35">
        <f>IFERROR(VLOOKUP(B585,ADP!A1:G731,7,FALSE)/1000000,VLOOKUP(B585,ADP!A1:G731,7,FALSE))</f>
        <v>2.2999999999999998</v>
      </c>
      <c r="I585" s="36">
        <f>IF(Settings!$E$15="POINTS",((R585*Q585)*Settings!$B$12)+(S585*Settings!$B$2)+(T585*Settings!$B$3)+(U585*Settings!$B$4)+(V585*Settings!$B$5)+(X585*Settings!$B$9)+(AA585*Settings!$B$6)+(W585*Settings!$B$8)+(AB585*Settings!$B$7)+(AC585*Settings!$B$14)+(AD585*Settings!$B$15)+(AE585*Settings!$B$16)+(AF585*Settings!$B$17)+(AG585*Settings!$B$18)+(Y585*Settings!$B$10)+(Z585*Settings!$B$11),VLOOKUP(B585,'Standard Deviations'!A1:C731,3,FALSE))</f>
        <v>-1.8671699710662846</v>
      </c>
      <c r="J585" s="37">
        <f t="shared" si="54"/>
        <v>-2.2770365500808347E-2</v>
      </c>
      <c r="K585" s="183">
        <f>IF(Settings!$E$18="C/LW/RW",VLOOKUP(B585,LW!A1:F227,6,FALSE),VLOOKUP(B585,F!A1:F431,6,FALSE))</f>
        <v>-8.521839015190686</v>
      </c>
      <c r="L585" s="36">
        <f t="shared" si="55"/>
        <v>-3.7051473979089944</v>
      </c>
      <c r="M585" s="52" t="str">
        <f>IF(Settings!$E$9="YAHOO",VLOOKUP(B585,ADP!A1:E731,2,FALSE),IF(Settings!$E$9="ESPN",VLOOKUP(B585,ADP!A1:E731,3,FALSE),IF(Settings!$E$9="FANTRAX",VLOOKUP(B585,ADP!A1:E731,4,FALSE),VLOOKUP(B585,ADP!A1:E731,5,FALSE))))</f>
        <v>-</v>
      </c>
      <c r="N585" s="52" t="str">
        <f t="shared" si="56"/>
        <v>N/A</v>
      </c>
      <c r="O585" s="38"/>
      <c r="P585" s="39" t="str">
        <f>IF(Settings!$E$27="ON",_xlfn.XLOOKUP(B585,ADP!A2:A731,ADP!H2:H731)," ")</f>
        <v xml:space="preserve"> </v>
      </c>
      <c r="Q585" s="40">
        <f>IF(Settings!$E$12="YES",VLOOKUP(B585,'Player Data'!A1:E734,5,FALSE),82)</f>
        <v>82</v>
      </c>
      <c r="R585" s="38">
        <f>VLOOKUP(B585,'Player Data'!$A1:$AE734,6,FALSE)</f>
        <v>12.4100397600268</v>
      </c>
      <c r="S585" s="40">
        <f>VLOOKUP(B585,'Player Data'!$A1:$AE734,7,FALSE)*$Q585*IFERROR((VLOOKUP(P585,Settings!$E$28:$F$33,2,FALSE)+1),1)</f>
        <v>15.181397101004809</v>
      </c>
      <c r="T585" s="40">
        <f>VLOOKUP(B585,'Player Data'!$A1:$AE734,8,FALSE)*$Q585*IFERROR((VLOOKUP(P585,Settings!$E$28:$F$33,2,FALSE)+1),1)</f>
        <v>14.794987222341007</v>
      </c>
      <c r="U585" s="40">
        <f t="shared" si="52"/>
        <v>29.976384323345815</v>
      </c>
      <c r="V585" s="40">
        <f>VLOOKUP(B585,'Player Data'!$A1:$AE734,10,FALSE)*$Q585*IFERROR(((VLOOKUP(P585,Settings!$E$28:$F$33,2,FALSE)/2)+1),1)</f>
        <v>142.02063409524362</v>
      </c>
      <c r="W585" s="40">
        <f>VLOOKUP(B585,'Player Data'!$A1:$AE734,11,FALSE)*$Q585*IFERROR((VLOOKUP(P585,Settings!$E$28:$F$33,2,FALSE)+1),1)</f>
        <v>5.6080191367990591E-2</v>
      </c>
      <c r="X585" s="40">
        <f>VLOOKUP(B585,'Player Data'!$A1:$AE734,12,FALSE)*$Q585*IFERROR((VLOOKUP(P585,Settings!$E$28:$F$33,2,FALSE)+1),1)</f>
        <v>0.14024197553162993</v>
      </c>
      <c r="Y585" s="40">
        <f>VLOOKUP(B585,'Player Data'!$A1:$AE734,13,FALSE)*$Q585</f>
        <v>8.4196303106919043E-2</v>
      </c>
      <c r="Z585" s="40">
        <f>VLOOKUP(B585,'Player Data'!$A1:$AE734,14,FALSE)*$Q585</f>
        <v>0.53561962049772083</v>
      </c>
      <c r="AA585" s="40">
        <f>VLOOKUP(B585,'Player Data'!$A1:$AE734,15,FALSE)*$Q585</f>
        <v>40.299976646754544</v>
      </c>
      <c r="AB585" s="40">
        <f>VLOOKUP(B585,'Player Data'!$A1:$AE734,16,FALSE)*$Q585</f>
        <v>135.12461665043077</v>
      </c>
      <c r="AC585" s="40">
        <f>VLOOKUP(B585,'Player Data'!$A1:$AE734,17,FALSE)*$Q585*IFERROR((VLOOKUP(P585,Settings!$E$28:$F$33,2,FALSE)+1),1)</f>
        <v>5.6487403420762581</v>
      </c>
      <c r="AD585" s="40">
        <f>VLOOKUP(B585,'Player Data'!$A1:$AE734,18,FALSE)*$Q585</f>
        <v>56.640132272777123</v>
      </c>
      <c r="AE585" s="40">
        <f>VLOOKUP(B585,'Player Data'!$A1:$AE734,19,FALSE)*$Q585*IFERROR((VLOOKUP(P585,Settings!$E$28:$F$33,2,FALSE)+1),1)</f>
        <v>2.5486578127701036</v>
      </c>
      <c r="AF585" s="40">
        <f>VLOOKUP(B585,'Player Data'!$A1:$AE734,20,FALSE)*$Q585</f>
        <v>34.509690173230126</v>
      </c>
      <c r="AG585" s="40">
        <f>VLOOKUP(B585,'Player Data'!$A1:$AE734,21,FALSE)*$Q585</f>
        <v>55.64215601161969</v>
      </c>
      <c r="AH585" s="41">
        <f>VLOOKUP(B585,'Player Data'!$A1:$AE734,22,FALSE)</f>
        <v>0.38279515765512401</v>
      </c>
      <c r="AI585" s="38"/>
      <c r="AJ585" s="42"/>
      <c r="AK585" s="40"/>
      <c r="AL585" s="40"/>
      <c r="AM585" s="40"/>
      <c r="AN585" s="40"/>
      <c r="AO585" s="40"/>
      <c r="AP585" s="40"/>
      <c r="AQ585" s="43"/>
      <c r="AR585" s="44"/>
      <c r="AS585" s="38"/>
    </row>
    <row r="586" spans="1:45" ht="21.2" customHeight="1">
      <c r="A586" s="181">
        <f t="shared" si="53"/>
        <v>585</v>
      </c>
      <c r="B586" s="8" t="s">
        <v>621</v>
      </c>
      <c r="C586" s="31" t="s">
        <v>104</v>
      </c>
      <c r="D586" s="32" t="str">
        <f>VLOOKUP(B586,'Player Data'!A1:D734,4,FALSE)</f>
        <v>LW,RW</v>
      </c>
      <c r="E586" s="45">
        <f>VLOOKUP(B586,RW!A1:F189,3,FALSE)</f>
        <v>133</v>
      </c>
      <c r="F586" s="34" t="str">
        <f>VLOOKUP(B586,'Player Data'!A1:B734,2,FALSE)</f>
        <v>MIN</v>
      </c>
      <c r="G586" s="9">
        <f>VLOOKUP(B586,'Player Data'!A1:D734,3,FALSE)</f>
        <v>32</v>
      </c>
      <c r="H586" s="35">
        <f>IFERROR(VLOOKUP(B586,ADP!A1:G731,7,FALSE)/1000000,VLOOKUP(B586,ADP!A1:G731,7,FALSE))</f>
        <v>3.1</v>
      </c>
      <c r="I586" s="36">
        <f>IF(Settings!$E$15="POINTS",((R586*Q586)*Settings!$B$12)+(S586*Settings!$B$2)+(T586*Settings!$B$3)+(U586*Settings!$B$4)+(V586*Settings!$B$5)+(X586*Settings!$B$9)+(AA586*Settings!$B$6)+(W586*Settings!$B$8)+(AB586*Settings!$B$7)+(AC586*Settings!$B$14)+(AD586*Settings!$B$15)+(AE586*Settings!$B$16)+(AF586*Settings!$B$17)+(AG586*Settings!$B$18)+(Y586*Settings!$B$10)+(Z586*Settings!$B$11),VLOOKUP(B586,'Standard Deviations'!A1:C731,3,FALSE))</f>
        <v>-2.2671667941877676</v>
      </c>
      <c r="J586" s="37">
        <f t="shared" si="54"/>
        <v>-2.7648375538875215E-2</v>
      </c>
      <c r="K586" s="183">
        <f>IF(Settings!$E$18="C/LW/RW",VLOOKUP(B586,RW!A1:F189,6,FALSE),VLOOKUP(B586,F!A1:F431,6,FALSE))</f>
        <v>-8.5474255131988492</v>
      </c>
      <c r="L586" s="36">
        <f t="shared" si="55"/>
        <v>-2.7572340365157579</v>
      </c>
      <c r="M586" s="38">
        <f>IF(Settings!$E$9="YAHOO",VLOOKUP(B586,ADP!A1:E731,2,FALSE),IF(Settings!$E$9="ESPN",VLOOKUP(B586,ADP!A1:E731,3,FALSE),IF(Settings!$E$9="FANTRAX",VLOOKUP(B586,ADP!A1:E731,4,FALSE),VLOOKUP(B586,ADP!A1:E731,5,FALSE))))</f>
        <v>427.5</v>
      </c>
      <c r="N586" s="38">
        <f t="shared" si="56"/>
        <v>-157.5</v>
      </c>
      <c r="O586" s="38"/>
      <c r="P586" s="39" t="str">
        <f>IF(Settings!$E$27="ON",_xlfn.XLOOKUP(B586,ADP!A2:A731,ADP!H2:H731)," ")</f>
        <v xml:space="preserve"> </v>
      </c>
      <c r="Q586" s="40">
        <f>IF(Settings!$E$12="YES",VLOOKUP(B586,'Player Data'!A1:E734,5,FALSE),82)</f>
        <v>82</v>
      </c>
      <c r="R586" s="38">
        <f>VLOOKUP(B586,'Player Data'!$A1:$AE734,6,FALSE)</f>
        <v>14.1025034171213</v>
      </c>
      <c r="S586" s="40">
        <f>VLOOKUP(B586,'Player Data'!$A1:$AE734,7,FALSE)*$Q586*IFERROR((VLOOKUP(P586,Settings!$E$28:$F$33,2,FALSE)+1),1)</f>
        <v>13.46459837642294</v>
      </c>
      <c r="T586" s="40">
        <f>VLOOKUP(B586,'Player Data'!$A1:$AE734,8,FALSE)*$Q586*IFERROR((VLOOKUP(P586,Settings!$E$28:$F$33,2,FALSE)+1),1)</f>
        <v>17.275220237961264</v>
      </c>
      <c r="U586" s="40">
        <f t="shared" si="52"/>
        <v>30.739818614384205</v>
      </c>
      <c r="V586" s="40">
        <f>VLOOKUP(B586,'Player Data'!$A1:$AE734,10,FALSE)*$Q586*IFERROR(((VLOOKUP(P586,Settings!$E$28:$F$33,2,FALSE)/2)+1),1)</f>
        <v>99.44354074035293</v>
      </c>
      <c r="W586" s="40">
        <f>VLOOKUP(B586,'Player Data'!$A1:$AE734,11,FALSE)*$Q586*IFERROR((VLOOKUP(P586,Settings!$E$28:$F$33,2,FALSE)+1),1)</f>
        <v>1.1527149090665181</v>
      </c>
      <c r="X586" s="40">
        <f>VLOOKUP(B586,'Player Data'!$A1:$AE734,12,FALSE)*$Q586*IFERROR((VLOOKUP(P586,Settings!$E$28:$F$33,2,FALSE)+1),1)</f>
        <v>2.7888166789800826</v>
      </c>
      <c r="Y586" s="40">
        <f>VLOOKUP(B586,'Player Data'!$A1:$AE734,13,FALSE)*$Q586</f>
        <v>0.13958530846192022</v>
      </c>
      <c r="Z586" s="40">
        <f>VLOOKUP(B586,'Player Data'!$A1:$AE734,14,FALSE)*$Q586</f>
        <v>6.7063114449224734E-2</v>
      </c>
      <c r="AA586" s="40">
        <f>VLOOKUP(B586,'Player Data'!$A1:$AE734,15,FALSE)*$Q586</f>
        <v>44.836349552609484</v>
      </c>
      <c r="AB586" s="40">
        <f>VLOOKUP(B586,'Player Data'!$A1:$AE734,16,FALSE)*$Q586</f>
        <v>245.64946599570803</v>
      </c>
      <c r="AC586" s="40">
        <f>VLOOKUP(B586,'Player Data'!$A1:$AE734,17,FALSE)*$Q586*IFERROR((VLOOKUP(P586,Settings!$E$28:$F$33,2,FALSE)+1),1)</f>
        <v>2.704414181747238</v>
      </c>
      <c r="AD586" s="40">
        <f>VLOOKUP(B586,'Player Data'!$A1:$AE734,18,FALSE)*$Q586</f>
        <v>74.088555337910265</v>
      </c>
      <c r="AE586" s="40">
        <f>VLOOKUP(B586,'Player Data'!$A1:$AE734,19,FALSE)*$Q586*IFERROR((VLOOKUP(P586,Settings!$E$28:$F$33,2,FALSE)+1),1)</f>
        <v>2.1620969438995314</v>
      </c>
      <c r="AF586" s="40">
        <f>VLOOKUP(B586,'Player Data'!$A1:$AE734,20,FALSE)*$Q586</f>
        <v>8.7012006009373923</v>
      </c>
      <c r="AG586" s="40">
        <f>VLOOKUP(B586,'Player Data'!$A1:$AE734,21,FALSE)*$Q586</f>
        <v>8.8295156212305272</v>
      </c>
      <c r="AH586" s="41">
        <f>VLOOKUP(B586,'Player Data'!$A1:$AE734,22,FALSE)</f>
        <v>0.49634028014979698</v>
      </c>
      <c r="AI586" s="38"/>
      <c r="AJ586" s="40"/>
      <c r="AK586" s="40"/>
      <c r="AL586" s="40"/>
      <c r="AM586" s="40"/>
      <c r="AN586" s="40"/>
      <c r="AO586" s="40"/>
      <c r="AP586" s="40"/>
      <c r="AQ586" s="43"/>
      <c r="AR586" s="44"/>
      <c r="AS586" s="38"/>
    </row>
    <row r="587" spans="1:45" ht="21.2" customHeight="1">
      <c r="A587" s="181">
        <f t="shared" si="53"/>
        <v>586</v>
      </c>
      <c r="B587" s="8" t="s">
        <v>632</v>
      </c>
      <c r="C587" s="31" t="s">
        <v>104</v>
      </c>
      <c r="D587" s="32" t="str">
        <f>VLOOKUP(B587,'Player Data'!A1:D734,4,FALSE)</f>
        <v>C,LW,RW</v>
      </c>
      <c r="E587" s="45">
        <f>VLOOKUP(B587,RW!A1:F189,3,FALSE)</f>
        <v>134</v>
      </c>
      <c r="F587" s="34" t="str">
        <f>VLOOKUP(B587,'Player Data'!A1:B734,2,FALSE)</f>
        <v>UFA</v>
      </c>
      <c r="G587" s="9">
        <f>VLOOKUP(B587,'Player Data'!A1:D734,3,FALSE)</f>
        <v>25</v>
      </c>
      <c r="H587" s="35">
        <f>IFERROR(VLOOKUP(B587,ADP!A1:G731,7,FALSE)/1000000,VLOOKUP(B587,ADP!A1:G731,7,FALSE))</f>
        <v>0</v>
      </c>
      <c r="I587" s="36">
        <f>IF(Settings!$E$15="POINTS",((R587*Q587)*Settings!$B$12)+(S587*Settings!$B$2)+(T587*Settings!$B$3)+(U587*Settings!$B$4)+(V587*Settings!$B$5)+(X587*Settings!$B$9)+(AA587*Settings!$B$6)+(W587*Settings!$B$8)+(AB587*Settings!$B$7)+(AC587*Settings!$B$14)+(AD587*Settings!$B$15)+(AE587*Settings!$B$16)+(AF587*Settings!$B$17)+(AG587*Settings!$B$18)+(Y587*Settings!$B$10)+(Z587*Settings!$B$11),VLOOKUP(B587,'Standard Deviations'!A1:C731,3,FALSE))</f>
        <v>-2.2738576876169145</v>
      </c>
      <c r="J587" s="37">
        <f t="shared" si="54"/>
        <v>-2.7729971800206275E-2</v>
      </c>
      <c r="K587" s="183">
        <f>IF(Settings!$E$18="C/LW/RW",VLOOKUP(B587,RW!A1:F189,6,FALSE),VLOOKUP(B587,F!A1:F431,6,FALSE))</f>
        <v>-8.5541164066279958</v>
      </c>
      <c r="L587" s="49" t="str">
        <f t="shared" si="55"/>
        <v>N/A</v>
      </c>
      <c r="M587" s="52" t="str">
        <f>IF(Settings!$E$9="YAHOO",VLOOKUP(B587,ADP!A1:E731,2,FALSE),IF(Settings!$E$9="ESPN",VLOOKUP(B587,ADP!A1:E731,3,FALSE),IF(Settings!$E$9="FANTRAX",VLOOKUP(B587,ADP!A1:E731,4,FALSE),VLOOKUP(B587,ADP!A1:E731,5,FALSE))))</f>
        <v>-</v>
      </c>
      <c r="N587" s="52" t="str">
        <f t="shared" si="56"/>
        <v>N/A</v>
      </c>
      <c r="O587" s="38"/>
      <c r="P587" s="39" t="str">
        <f>IF(Settings!$E$27="ON",_xlfn.XLOOKUP(B587,ADP!A2:A731,ADP!H2:H731)," ")</f>
        <v xml:space="preserve"> </v>
      </c>
      <c r="Q587" s="40">
        <f>IF(Settings!$E$12="YES",VLOOKUP(B587,'Player Data'!A1:E734,5,FALSE),82)</f>
        <v>82</v>
      </c>
      <c r="R587" s="38">
        <f>VLOOKUP(B587,'Player Data'!$A1:$AE734,6,FALSE)</f>
        <v>12.192987920428999</v>
      </c>
      <c r="S587" s="40">
        <f>VLOOKUP(B587,'Player Data'!$A1:$AE734,7,FALSE)*$Q587*IFERROR((VLOOKUP(P587,Settings!$E$28:$F$33,2,FALSE)+1),1)</f>
        <v>12.235082210570775</v>
      </c>
      <c r="T587" s="40">
        <f>VLOOKUP(B587,'Player Data'!$A1:$AE734,8,FALSE)*$Q587*IFERROR((VLOOKUP(P587,Settings!$E$28:$F$33,2,FALSE)+1),1)</f>
        <v>12.244280025750619</v>
      </c>
      <c r="U587" s="40">
        <f t="shared" si="52"/>
        <v>24.479362236321393</v>
      </c>
      <c r="V587" s="40">
        <f>VLOOKUP(B587,'Player Data'!$A1:$AE734,10,FALSE)*$Q587*IFERROR(((VLOOKUP(P587,Settings!$E$28:$F$33,2,FALSE)/2)+1),1)</f>
        <v>158.40717605897501</v>
      </c>
      <c r="W587" s="40">
        <f>VLOOKUP(B587,'Player Data'!$A1:$AE734,11,FALSE)*$Q587*IFERROR((VLOOKUP(P587,Settings!$E$28:$F$33,2,FALSE)+1),1)</f>
        <v>0.10197438144908515</v>
      </c>
      <c r="X587" s="40">
        <f>VLOOKUP(B587,'Player Data'!$A1:$AE734,12,FALSE)*$Q587*IFERROR((VLOOKUP(P587,Settings!$E$28:$F$33,2,FALSE)+1),1)</f>
        <v>0.42155329544416081</v>
      </c>
      <c r="Y587" s="40">
        <f>VLOOKUP(B587,'Player Data'!$A1:$AE734,13,FALSE)*$Q587</f>
        <v>0</v>
      </c>
      <c r="Z587" s="40">
        <f>VLOOKUP(B587,'Player Data'!$A1:$AE734,14,FALSE)*$Q587</f>
        <v>0</v>
      </c>
      <c r="AA587" s="40">
        <f>VLOOKUP(B587,'Player Data'!$A1:$AE734,15,FALSE)*$Q587</f>
        <v>47.854746415782621</v>
      </c>
      <c r="AB587" s="40">
        <f>VLOOKUP(B587,'Player Data'!$A1:$AE734,16,FALSE)*$Q587</f>
        <v>130.072543168686</v>
      </c>
      <c r="AC587" s="40">
        <f>VLOOKUP(B587,'Player Data'!$A1:$AE734,17,FALSE)*$Q587*IFERROR((VLOOKUP(P587,Settings!$E$28:$F$33,2,FALSE)+1),1)</f>
        <v>-1.0602899989621639</v>
      </c>
      <c r="AD587" s="40">
        <f>VLOOKUP(B587,'Player Data'!$A1:$AE734,18,FALSE)*$Q587</f>
        <v>30.995169940491902</v>
      </c>
      <c r="AE587" s="40">
        <f>VLOOKUP(B587,'Player Data'!$A1:$AE734,19,FALSE)*$Q587*IFERROR((VLOOKUP(P587,Settings!$E$28:$F$33,2,FALSE)+1),1)</f>
        <v>0</v>
      </c>
      <c r="AF587" s="40">
        <f>VLOOKUP(B587,'Player Data'!$A1:$AE734,20,FALSE)*$Q587</f>
        <v>14.129905295572581</v>
      </c>
      <c r="AG587" s="40">
        <f>VLOOKUP(B587,'Player Data'!$A1:$AE734,21,FALSE)*$Q587</f>
        <v>30.023888214118802</v>
      </c>
      <c r="AH587" s="41">
        <f>VLOOKUP(B587,'Player Data'!$A1:$AE734,22,FALSE)</f>
        <v>0.320015658280216</v>
      </c>
      <c r="AI587" s="38"/>
      <c r="AJ587" s="42"/>
      <c r="AK587" s="40"/>
      <c r="AL587" s="40"/>
      <c r="AM587" s="40"/>
      <c r="AN587" s="40"/>
      <c r="AO587" s="40"/>
      <c r="AP587" s="40"/>
      <c r="AQ587" s="43"/>
      <c r="AR587" s="44"/>
      <c r="AS587" s="38"/>
    </row>
    <row r="588" spans="1:45" ht="21.2" customHeight="1">
      <c r="A588" s="181">
        <f t="shared" si="53"/>
        <v>587</v>
      </c>
      <c r="B588" s="8" t="s">
        <v>617</v>
      </c>
      <c r="C588" s="31" t="s">
        <v>104</v>
      </c>
      <c r="D588" s="32" t="str">
        <f>VLOOKUP(B588,'Player Data'!A1:D734,4,FALSE)</f>
        <v>LW,RW</v>
      </c>
      <c r="E588" s="45">
        <f>VLOOKUP(B588,RW!A1:F189,3,FALSE)</f>
        <v>135</v>
      </c>
      <c r="F588" s="34" t="str">
        <f>VLOOKUP(B588,'Player Data'!A1:B734,2,FALSE)</f>
        <v>UFA</v>
      </c>
      <c r="G588" s="9">
        <f>VLOOKUP(B588,'Player Data'!A1:D734,3,FALSE)</f>
        <v>33</v>
      </c>
      <c r="H588" s="35">
        <f>IFERROR(VLOOKUP(B588,ADP!A1:G731,7,FALSE)/1000000,VLOOKUP(B588,ADP!A1:G731,7,FALSE))</f>
        <v>5</v>
      </c>
      <c r="I588" s="36">
        <f>IF(Settings!$E$15="POINTS",((R588*Q588)*Settings!$B$12)+(S588*Settings!$B$2)+(T588*Settings!$B$3)+(U588*Settings!$B$4)+(V588*Settings!$B$5)+(X588*Settings!$B$9)+(AA588*Settings!$B$6)+(W588*Settings!$B$8)+(AB588*Settings!$B$7)+(AC588*Settings!$B$14)+(AD588*Settings!$B$15)+(AE588*Settings!$B$16)+(AF588*Settings!$B$17)+(AG588*Settings!$B$18)+(Y588*Settings!$B$10)+(Z588*Settings!$B$11),VLOOKUP(B588,'Standard Deviations'!A1:C731,3,FALSE))</f>
        <v>-2.2770667206810709</v>
      </c>
      <c r="J588" s="37">
        <f t="shared" si="54"/>
        <v>-2.7769106349769156E-2</v>
      </c>
      <c r="K588" s="183">
        <f>IF(Settings!$E$18="C/LW/RW",VLOOKUP(B588,RW!A1:F189,6,FALSE),VLOOKUP(B588,F!A1:F431,6,FALSE))</f>
        <v>-8.5573254396921516</v>
      </c>
      <c r="L588" s="36">
        <f t="shared" si="55"/>
        <v>-1.7114650879384303</v>
      </c>
      <c r="M588" s="52" t="str">
        <f>IF(Settings!$E$9="YAHOO",VLOOKUP(B588,ADP!A1:E731,2,FALSE),IF(Settings!$E$9="ESPN",VLOOKUP(B588,ADP!A1:E731,3,FALSE),IF(Settings!$E$9="FANTRAX",VLOOKUP(B588,ADP!A1:E731,4,FALSE),VLOOKUP(B588,ADP!A1:E731,5,FALSE))))</f>
        <v>-</v>
      </c>
      <c r="N588" s="52" t="str">
        <f t="shared" si="56"/>
        <v>N/A</v>
      </c>
      <c r="O588" s="38"/>
      <c r="P588" s="39" t="str">
        <f>IF(Settings!$E$27="ON",_xlfn.XLOOKUP(B588,ADP!A2:A731,ADP!H2:H731)," ")</f>
        <v xml:space="preserve"> </v>
      </c>
      <c r="Q588" s="40">
        <f>IF(Settings!$E$12="YES",VLOOKUP(B588,'Player Data'!A1:E734,5,FALSE),82)</f>
        <v>82</v>
      </c>
      <c r="R588" s="38">
        <f>VLOOKUP(B588,'Player Data'!$A1:$AE734,6,FALSE)</f>
        <v>13.1155186302065</v>
      </c>
      <c r="S588" s="40">
        <f>VLOOKUP(B588,'Player Data'!$A1:$AE734,7,FALSE)*$Q588*IFERROR((VLOOKUP(P588,Settings!$E$28:$F$33,2,FALSE)+1),1)</f>
        <v>9.9002331991847399</v>
      </c>
      <c r="T588" s="40">
        <f>VLOOKUP(B588,'Player Data'!$A1:$AE734,8,FALSE)*$Q588*IFERROR((VLOOKUP(P588,Settings!$E$28:$F$33,2,FALSE)+1),1)</f>
        <v>21.326861007424824</v>
      </c>
      <c r="U588" s="40">
        <f t="shared" si="52"/>
        <v>31.227094206609564</v>
      </c>
      <c r="V588" s="40">
        <f>VLOOKUP(B588,'Player Data'!$A1:$AE734,10,FALSE)*$Q588*IFERROR(((VLOOKUP(P588,Settings!$E$28:$F$33,2,FALSE)/2)+1),1)</f>
        <v>88.19463289152803</v>
      </c>
      <c r="W588" s="40">
        <f>VLOOKUP(B588,'Player Data'!$A1:$AE734,11,FALSE)*$Q588*IFERROR((VLOOKUP(P588,Settings!$E$28:$F$33,2,FALSE)+1),1)</f>
        <v>0.6022778491707379</v>
      </c>
      <c r="X588" s="40">
        <f>VLOOKUP(B588,'Player Data'!$A1:$AE734,12,FALSE)*$Q588*IFERROR((VLOOKUP(P588,Settings!$E$28:$F$33,2,FALSE)+1),1)</f>
        <v>4.8343150106879085</v>
      </c>
      <c r="Y588" s="40">
        <f>VLOOKUP(B588,'Player Data'!$A1:$AE734,13,FALSE)*$Q588</f>
        <v>0</v>
      </c>
      <c r="Z588" s="40">
        <f>VLOOKUP(B588,'Player Data'!$A1:$AE734,14,FALSE)*$Q588</f>
        <v>0</v>
      </c>
      <c r="AA588" s="40">
        <f>VLOOKUP(B588,'Player Data'!$A1:$AE734,15,FALSE)*$Q588</f>
        <v>28.985402701162979</v>
      </c>
      <c r="AB588" s="40">
        <f>VLOOKUP(B588,'Player Data'!$A1:$AE734,16,FALSE)*$Q588</f>
        <v>28.930022133868821</v>
      </c>
      <c r="AC588" s="40">
        <f>VLOOKUP(B588,'Player Data'!$A1:$AE734,17,FALSE)*$Q588*IFERROR((VLOOKUP(P588,Settings!$E$28:$F$33,2,FALSE)+1),1)</f>
        <v>-0.59236111487394427</v>
      </c>
      <c r="AD588" s="40">
        <f>VLOOKUP(B588,'Player Data'!$A1:$AE734,18,FALSE)*$Q588</f>
        <v>8.202813257539141</v>
      </c>
      <c r="AE588" s="40">
        <f>VLOOKUP(B588,'Player Data'!$A1:$AE734,19,FALSE)*$Q588*IFERROR((VLOOKUP(P588,Settings!$E$28:$F$33,2,FALSE)+1),1)</f>
        <v>0</v>
      </c>
      <c r="AF588" s="40">
        <f>VLOOKUP(B588,'Player Data'!$A1:$AE734,20,FALSE)*$Q588</f>
        <v>38.951160729930841</v>
      </c>
      <c r="AG588" s="40">
        <f>VLOOKUP(B588,'Player Data'!$A1:$AE734,21,FALSE)*$Q588</f>
        <v>55.875366407547432</v>
      </c>
      <c r="AH588" s="41">
        <f>VLOOKUP(B588,'Player Data'!$A1:$AE734,22,FALSE)</f>
        <v>0.41076228251468</v>
      </c>
      <c r="AI588" s="38"/>
      <c r="AJ588" s="42"/>
      <c r="AK588" s="40"/>
      <c r="AL588" s="40"/>
      <c r="AM588" s="40"/>
      <c r="AN588" s="40"/>
      <c r="AO588" s="40"/>
      <c r="AP588" s="40"/>
      <c r="AQ588" s="43"/>
      <c r="AR588" s="44"/>
      <c r="AS588" s="38"/>
    </row>
    <row r="589" spans="1:45" ht="21.2" customHeight="1">
      <c r="A589" s="181">
        <f t="shared" si="53"/>
        <v>588</v>
      </c>
      <c r="B589" s="8" t="s">
        <v>606</v>
      </c>
      <c r="C589" s="31" t="s">
        <v>104</v>
      </c>
      <c r="D589" s="32" t="str">
        <f>VLOOKUP(B589,'Player Data'!A1:D734,4,FALSE)</f>
        <v>RW</v>
      </c>
      <c r="E589" s="46">
        <f>VLOOKUP(B589,RW!A1:F189,3,FALSE)</f>
        <v>136</v>
      </c>
      <c r="F589" s="34" t="str">
        <f>VLOOKUP(B589,'Player Data'!A1:B734,2,FALSE)</f>
        <v>ANA</v>
      </c>
      <c r="G589" s="9">
        <f>VLOOKUP(B589,'Player Data'!A1:D734,3,FALSE)</f>
        <v>32</v>
      </c>
      <c r="H589" s="35">
        <f>IFERROR(VLOOKUP(B589,ADP!A1:G731,7,FALSE)/1000000,VLOOKUP(B589,ADP!A1:G731,7,FALSE))</f>
        <v>5.25</v>
      </c>
      <c r="I589" s="36">
        <f>IF(Settings!$E$15="POINTS",((R589*Q589)*Settings!$B$12)+(S589*Settings!$B$2)+(T589*Settings!$B$3)+(U589*Settings!$B$4)+(V589*Settings!$B$5)+(X589*Settings!$B$9)+(AA589*Settings!$B$6)+(W589*Settings!$B$8)+(AB589*Settings!$B$7)+(AC589*Settings!$B$14)+(AD589*Settings!$B$15)+(AE589*Settings!$B$16)+(AF589*Settings!$B$17)+(AG589*Settings!$B$18)+(Y589*Settings!$B$10)+(Z589*Settings!$B$11),VLOOKUP(B589,'Standard Deviations'!A1:C731,3,FALSE))</f>
        <v>-2.3004301613143303</v>
      </c>
      <c r="J589" s="37">
        <f t="shared" si="54"/>
        <v>-2.8054026357491834E-2</v>
      </c>
      <c r="K589" s="183">
        <f>IF(Settings!$E$18="C/LW/RW",VLOOKUP(B589,RW!A1:F189,6,FALSE),VLOOKUP(B589,F!A1:F431,6,FALSE))</f>
        <v>-8.5806888803254111</v>
      </c>
      <c r="L589" s="36">
        <f t="shared" si="55"/>
        <v>-1.6344169295857927</v>
      </c>
      <c r="M589" s="52" t="str">
        <f>IF(Settings!$E$9="YAHOO",VLOOKUP(B589,ADP!A1:E731,2,FALSE),IF(Settings!$E$9="ESPN",VLOOKUP(B589,ADP!A1:E731,3,FALSE),IF(Settings!$E$9="FANTRAX",VLOOKUP(B589,ADP!A1:E731,4,FALSE),VLOOKUP(B589,ADP!A1:E731,5,FALSE))))</f>
        <v>-</v>
      </c>
      <c r="N589" s="52" t="str">
        <f t="shared" si="56"/>
        <v>N/A</v>
      </c>
      <c r="O589" s="38"/>
      <c r="P589" s="39" t="str">
        <f>IF(Settings!$E$27="ON",_xlfn.XLOOKUP(B589,ADP!A2:A731,ADP!H2:H731)," ")</f>
        <v xml:space="preserve"> </v>
      </c>
      <c r="Q589" s="40">
        <f>IF(Settings!$E$12="YES",VLOOKUP(B589,'Player Data'!A1:E734,5,FALSE),82)</f>
        <v>82</v>
      </c>
      <c r="R589" s="38">
        <f>VLOOKUP(B589,'Player Data'!$A1:$AE734,6,FALSE)</f>
        <v>14.861785868267299</v>
      </c>
      <c r="S589" s="40">
        <f>VLOOKUP(B589,'Player Data'!$A1:$AE734,7,FALSE)*$Q589*IFERROR((VLOOKUP(P589,Settings!$E$28:$F$33,2,FALSE)+1),1)</f>
        <v>8.1280691754592596</v>
      </c>
      <c r="T589" s="40">
        <f>VLOOKUP(B589,'Player Data'!$A1:$AE734,8,FALSE)*$Q589*IFERROR((VLOOKUP(P589,Settings!$E$28:$F$33,2,FALSE)+1),1)</f>
        <v>15.318948441988017</v>
      </c>
      <c r="U589" s="40">
        <f t="shared" si="52"/>
        <v>23.447017617447276</v>
      </c>
      <c r="V589" s="40">
        <f>VLOOKUP(B589,'Player Data'!$A1:$AE734,10,FALSE)*$Q589*IFERROR(((VLOOKUP(P589,Settings!$E$28:$F$33,2,FALSE)/2)+1),1)</f>
        <v>139.59040393061488</v>
      </c>
      <c r="W589" s="40">
        <f>VLOOKUP(B589,'Player Data'!$A1:$AE734,11,FALSE)*$Q589*IFERROR((VLOOKUP(P589,Settings!$E$28:$F$33,2,FALSE)+1),1)</f>
        <v>2.3066310770700933</v>
      </c>
      <c r="X589" s="40">
        <f>VLOOKUP(B589,'Player Data'!$A1:$AE734,12,FALSE)*$Q589*IFERROR((VLOOKUP(P589,Settings!$E$28:$F$33,2,FALSE)+1),1)</f>
        <v>5.4636704546077777</v>
      </c>
      <c r="Y589" s="40">
        <f>VLOOKUP(B589,'Player Data'!$A1:$AE734,13,FALSE)*$Q589</f>
        <v>6.0417777747230131E-2</v>
      </c>
      <c r="Z589" s="40">
        <f>VLOOKUP(B589,'Player Data'!$A1:$AE734,14,FALSE)*$Q589</f>
        <v>-0.22681834447876287</v>
      </c>
      <c r="AA589" s="40">
        <f>VLOOKUP(B589,'Player Data'!$A1:$AE734,15,FALSE)*$Q589</f>
        <v>50.540532821343795</v>
      </c>
      <c r="AB589" s="40">
        <f>VLOOKUP(B589,'Player Data'!$A1:$AE734,16,FALSE)*$Q589</f>
        <v>31.886060244224993</v>
      </c>
      <c r="AC589" s="40">
        <f>VLOOKUP(B589,'Player Data'!$A1:$AE734,17,FALSE)*$Q589*IFERROR((VLOOKUP(P589,Settings!$E$28:$F$33,2,FALSE)+1),1)</f>
        <v>-9.835909678661638</v>
      </c>
      <c r="AD589" s="40">
        <f>VLOOKUP(B589,'Player Data'!$A1:$AE734,18,FALSE)*$Q589</f>
        <v>33.32999615174981</v>
      </c>
      <c r="AE589" s="40">
        <f>VLOOKUP(B589,'Player Data'!$A1:$AE734,19,FALSE)*$Q589*IFERROR((VLOOKUP(P589,Settings!$E$28:$F$33,2,FALSE)+1),1)</f>
        <v>0.77918130399869256</v>
      </c>
      <c r="AF589" s="40">
        <f>VLOOKUP(B589,'Player Data'!$A1:$AE734,20,FALSE)*$Q589</f>
        <v>16.805897618930576</v>
      </c>
      <c r="AG589" s="40">
        <f>VLOOKUP(B589,'Player Data'!$A1:$AE734,21,FALSE)*$Q589</f>
        <v>30.631073150678169</v>
      </c>
      <c r="AH589" s="41">
        <f>VLOOKUP(B589,'Player Data'!$A1:$AE734,22,FALSE)</f>
        <v>0.35427847407359198</v>
      </c>
      <c r="AI589" s="38"/>
      <c r="AJ589" s="42"/>
      <c r="AK589" s="40"/>
      <c r="AL589" s="40"/>
      <c r="AM589" s="40"/>
      <c r="AN589" s="40"/>
      <c r="AO589" s="40"/>
      <c r="AP589" s="40"/>
      <c r="AQ589" s="43"/>
      <c r="AR589" s="44"/>
      <c r="AS589" s="38"/>
    </row>
    <row r="590" spans="1:45" ht="21.2" customHeight="1">
      <c r="A590" s="181">
        <f t="shared" si="53"/>
        <v>589</v>
      </c>
      <c r="B590" s="8" t="s">
        <v>616</v>
      </c>
      <c r="C590" s="31" t="s">
        <v>104</v>
      </c>
      <c r="D590" s="32" t="str">
        <f>VLOOKUP(B590,'Player Data'!A1:D734,4,FALSE)</f>
        <v>LW</v>
      </c>
      <c r="E590" s="48">
        <f>VLOOKUP(B590,LW!A1:C227,3,FALSE)</f>
        <v>151</v>
      </c>
      <c r="F590" s="34" t="str">
        <f>VLOOKUP(B590,'Player Data'!A1:B734,2,FALSE)</f>
        <v>CAR</v>
      </c>
      <c r="G590" s="9">
        <f>VLOOKUP(B590,'Player Data'!A1:D734,3,FALSE)</f>
        <v>31</v>
      </c>
      <c r="H590" s="35">
        <f>IFERROR(VLOOKUP(B590,ADP!A1:G731,7,FALSE)/1000000,VLOOKUP(B590,ADP!A1:G731,7,FALSE))</f>
        <v>1.8</v>
      </c>
      <c r="I590" s="36">
        <f>IF(Settings!$E$15="POINTS",((R590*Q590)*Settings!$B$12)+(S590*Settings!$B$2)+(T590*Settings!$B$3)+(U590*Settings!$B$4)+(V590*Settings!$B$5)+(X590*Settings!$B$9)+(AA590*Settings!$B$6)+(W590*Settings!$B$8)+(AB590*Settings!$B$7)+(AC590*Settings!$B$14)+(AD590*Settings!$B$15)+(AE590*Settings!$B$16)+(AF590*Settings!$B$17)+(AG590*Settings!$B$18)+(Y590*Settings!$B$10)+(Z590*Settings!$B$11),VLOOKUP(B590,'Standard Deviations'!A1:C731,3,FALSE))</f>
        <v>-1.940396444016566</v>
      </c>
      <c r="J590" s="37">
        <f t="shared" si="54"/>
        <v>-2.3663371268494708E-2</v>
      </c>
      <c r="K590" s="183">
        <f>IF(Settings!$E$18="C/LW/RW",VLOOKUP(B590,LW!A1:F227,6,FALSE),VLOOKUP(B590,F!A1:F431,6,FALSE))</f>
        <v>-8.5950654881409676</v>
      </c>
      <c r="L590" s="36">
        <f t="shared" si="55"/>
        <v>-4.7750363823005371</v>
      </c>
      <c r="M590" s="52" t="str">
        <f>IF(Settings!$E$9="YAHOO",VLOOKUP(B590,ADP!A1:E731,2,FALSE),IF(Settings!$E$9="ESPN",VLOOKUP(B590,ADP!A1:E731,3,FALSE),IF(Settings!$E$9="FANTRAX",VLOOKUP(B590,ADP!A1:E731,4,FALSE),VLOOKUP(B590,ADP!A1:E731,5,FALSE))))</f>
        <v>-</v>
      </c>
      <c r="N590" s="52" t="str">
        <f t="shared" si="56"/>
        <v>N/A</v>
      </c>
      <c r="O590" s="38"/>
      <c r="P590" s="39" t="str">
        <f>IF(Settings!$E$27="ON",_xlfn.XLOOKUP(B590,ADP!A2:A731,ADP!H2:H731)," ")</f>
        <v xml:space="preserve"> </v>
      </c>
      <c r="Q590" s="40">
        <f>IF(Settings!$E$12="YES",VLOOKUP(B590,'Player Data'!A1:E734,5,FALSE),82)</f>
        <v>82</v>
      </c>
      <c r="R590" s="38">
        <f>VLOOKUP(B590,'Player Data'!$A1:$AE734,6,FALSE)</f>
        <v>14.9683511553716</v>
      </c>
      <c r="S590" s="40">
        <f>VLOOKUP(B590,'Player Data'!$A1:$AE734,7,FALSE)*$Q590*IFERROR((VLOOKUP(P590,Settings!$E$28:$F$33,2,FALSE)+1),1)</f>
        <v>10.86636362733776</v>
      </c>
      <c r="T590" s="40">
        <f>VLOOKUP(B590,'Player Data'!$A1:$AE734,8,FALSE)*$Q590*IFERROR((VLOOKUP(P590,Settings!$E$28:$F$33,2,FALSE)+1),1)</f>
        <v>18.221401009818418</v>
      </c>
      <c r="U590" s="40">
        <f t="shared" si="52"/>
        <v>29.087764637156177</v>
      </c>
      <c r="V590" s="40">
        <f>VLOOKUP(B590,'Player Data'!$A1:$AE734,10,FALSE)*$Q590*IFERROR(((VLOOKUP(P590,Settings!$E$28:$F$33,2,FALSE)/2)+1),1)</f>
        <v>149.77184328134015</v>
      </c>
      <c r="W590" s="40">
        <f>VLOOKUP(B590,'Player Data'!$A1:$AE734,11,FALSE)*$Q590*IFERROR((VLOOKUP(P590,Settings!$E$28:$F$33,2,FALSE)+1),1)</f>
        <v>5.693754917470973E-2</v>
      </c>
      <c r="X590" s="40">
        <f>VLOOKUP(B590,'Player Data'!$A1:$AE734,12,FALSE)*$Q590*IFERROR((VLOOKUP(P590,Settings!$E$28:$F$33,2,FALSE)+1),1)</f>
        <v>0.14778866493781803</v>
      </c>
      <c r="Y590" s="40">
        <f>VLOOKUP(B590,'Player Data'!$A1:$AE734,13,FALSE)*$Q590</f>
        <v>2.3516193146664987E-2</v>
      </c>
      <c r="Z590" s="40">
        <f>VLOOKUP(B590,'Player Data'!$A1:$AE734,14,FALSE)*$Q590</f>
        <v>0.16686493087000709</v>
      </c>
      <c r="AA590" s="40">
        <f>VLOOKUP(B590,'Player Data'!$A1:$AE734,15,FALSE)*$Q590</f>
        <v>31.258985755945336</v>
      </c>
      <c r="AB590" s="40">
        <f>VLOOKUP(B590,'Player Data'!$A1:$AE734,16,FALSE)*$Q590</f>
        <v>93.119924574723015</v>
      </c>
      <c r="AC590" s="40">
        <f>VLOOKUP(B590,'Player Data'!$A1:$AE734,17,FALSE)*$Q590*IFERROR((VLOOKUP(P590,Settings!$E$28:$F$33,2,FALSE)+1),1)</f>
        <v>6.4681315661447263</v>
      </c>
      <c r="AD590" s="40">
        <f>VLOOKUP(B590,'Player Data'!$A1:$AE734,18,FALSE)*$Q590</f>
        <v>49.001867328576623</v>
      </c>
      <c r="AE590" s="40">
        <f>VLOOKUP(B590,'Player Data'!$A1:$AE734,19,FALSE)*$Q590*IFERROR((VLOOKUP(P590,Settings!$E$28:$F$33,2,FALSE)+1),1)</f>
        <v>1.9496689510265008</v>
      </c>
      <c r="AF590" s="40">
        <f>VLOOKUP(B590,'Player Data'!$A1:$AE734,20,FALSE)*$Q590</f>
        <v>42.007151121872035</v>
      </c>
      <c r="AG590" s="40">
        <f>VLOOKUP(B590,'Player Data'!$A1:$AE734,21,FALSE)*$Q590</f>
        <v>50.579740700307838</v>
      </c>
      <c r="AH590" s="41">
        <f>VLOOKUP(B590,'Player Data'!$A1:$AE734,22,FALSE)</f>
        <v>0.45370516598126998</v>
      </c>
      <c r="AI590" s="38"/>
      <c r="AJ590" s="42"/>
      <c r="AK590" s="40"/>
      <c r="AL590" s="40"/>
      <c r="AM590" s="40"/>
      <c r="AN590" s="40"/>
      <c r="AO590" s="40"/>
      <c r="AP590" s="40"/>
      <c r="AQ590" s="43"/>
      <c r="AR590" s="44"/>
      <c r="AS590" s="38"/>
    </row>
    <row r="591" spans="1:45" ht="21.2" customHeight="1">
      <c r="A591" s="181">
        <f t="shared" si="53"/>
        <v>590</v>
      </c>
      <c r="B591" s="8" t="s">
        <v>605</v>
      </c>
      <c r="C591" s="31" t="s">
        <v>104</v>
      </c>
      <c r="D591" s="32" t="str">
        <f>VLOOKUP(B591,'Player Data'!A1:D734,4,FALSE)</f>
        <v>C,RW</v>
      </c>
      <c r="E591" s="45">
        <f>VLOOKUP(B591,RW!A1:F189,3,FALSE)</f>
        <v>137</v>
      </c>
      <c r="F591" s="34" t="str">
        <f>VLOOKUP(B591,'Player Data'!A1:B734,2,FALSE)</f>
        <v>ARI</v>
      </c>
      <c r="G591" s="9">
        <f>VLOOKUP(B591,'Player Data'!A1:D734,3,FALSE)</f>
        <v>31</v>
      </c>
      <c r="H591" s="35">
        <f>IFERROR(VLOOKUP(B591,ADP!A1:G731,7,FALSE)/1000000,VLOOKUP(B591,ADP!A1:G731,7,FALSE))</f>
        <v>2.1</v>
      </c>
      <c r="I591" s="36">
        <f>IF(Settings!$E$15="POINTS",((R591*Q591)*Settings!$B$12)+(S591*Settings!$B$2)+(T591*Settings!$B$3)+(U591*Settings!$B$4)+(V591*Settings!$B$5)+(X591*Settings!$B$9)+(AA591*Settings!$B$6)+(W591*Settings!$B$8)+(AB591*Settings!$B$7)+(AC591*Settings!$B$14)+(AD591*Settings!$B$15)+(AE591*Settings!$B$16)+(AF591*Settings!$B$17)+(AG591*Settings!$B$18)+(Y591*Settings!$B$10)+(Z591*Settings!$B$11),VLOOKUP(B591,'Standard Deviations'!A1:C731,3,FALSE))</f>
        <v>-2.3545222506362831</v>
      </c>
      <c r="J591" s="37">
        <f t="shared" si="54"/>
        <v>-2.8713685983369305E-2</v>
      </c>
      <c r="K591" s="183">
        <f>IF(Settings!$E$18="C/LW/RW",VLOOKUP(B591,RW!A1:F189,6,FALSE),VLOOKUP(B591,F!A1:F431,6,FALSE))</f>
        <v>-8.6347809696473643</v>
      </c>
      <c r="L591" s="36">
        <f t="shared" si="55"/>
        <v>-4.1118004617368396</v>
      </c>
      <c r="M591" s="52" t="str">
        <f>IF(Settings!$E$9="YAHOO",VLOOKUP(B591,ADP!A1:E731,2,FALSE),IF(Settings!$E$9="ESPN",VLOOKUP(B591,ADP!A1:E731,3,FALSE),IF(Settings!$E$9="FANTRAX",VLOOKUP(B591,ADP!A1:E731,4,FALSE),VLOOKUP(B591,ADP!A1:E731,5,FALSE))))</f>
        <v>-</v>
      </c>
      <c r="N591" s="52" t="str">
        <f t="shared" si="56"/>
        <v>N/A</v>
      </c>
      <c r="O591" s="38"/>
      <c r="P591" s="39" t="str">
        <f>IF(Settings!$E$27="ON",_xlfn.XLOOKUP(B591,ADP!A2:A731,ADP!H2:H731)," ")</f>
        <v xml:space="preserve"> </v>
      </c>
      <c r="Q591" s="40">
        <f>IF(Settings!$E$12="YES",VLOOKUP(B591,'Player Data'!A1:E734,5,FALSE),82)</f>
        <v>82</v>
      </c>
      <c r="R591" s="38">
        <f>VLOOKUP(B591,'Player Data'!$A1:$AE734,6,FALSE)</f>
        <v>14.4269870293751</v>
      </c>
      <c r="S591" s="40">
        <f>VLOOKUP(B591,'Player Data'!$A1:$AE734,7,FALSE)*$Q591*IFERROR((VLOOKUP(P591,Settings!$E$28:$F$33,2,FALSE)+1),1)</f>
        <v>13.173136742815368</v>
      </c>
      <c r="T591" s="40">
        <f>VLOOKUP(B591,'Player Data'!$A1:$AE734,8,FALSE)*$Q591*IFERROR((VLOOKUP(P591,Settings!$E$28:$F$33,2,FALSE)+1),1)</f>
        <v>12.385316714104032</v>
      </c>
      <c r="U591" s="40">
        <f t="shared" si="52"/>
        <v>25.558453456919402</v>
      </c>
      <c r="V591" s="40">
        <f>VLOOKUP(B591,'Player Data'!$A1:$AE734,10,FALSE)*$Q591*IFERROR(((VLOOKUP(P591,Settings!$E$28:$F$33,2,FALSE)/2)+1),1)</f>
        <v>143.3030672123939</v>
      </c>
      <c r="W591" s="40">
        <f>VLOOKUP(B591,'Player Data'!$A1:$AE734,11,FALSE)*$Q591*IFERROR((VLOOKUP(P591,Settings!$E$28:$F$33,2,FALSE)+1),1)</f>
        <v>0.38740331802064493</v>
      </c>
      <c r="X591" s="40">
        <f>VLOOKUP(B591,'Player Data'!$A1:$AE734,12,FALSE)*$Q591*IFERROR((VLOOKUP(P591,Settings!$E$28:$F$33,2,FALSE)+1),1)</f>
        <v>0.67190023619848016</v>
      </c>
      <c r="Y591" s="40">
        <f>VLOOKUP(B591,'Player Data'!$A1:$AE734,13,FALSE)*$Q591</f>
        <v>0.85416539962621973</v>
      </c>
      <c r="Z591" s="40">
        <f>VLOOKUP(B591,'Player Data'!$A1:$AE734,14,FALSE)*$Q591</f>
        <v>0.80143703904120689</v>
      </c>
      <c r="AA591" s="40">
        <f>VLOOKUP(B591,'Player Data'!$A1:$AE734,15,FALSE)*$Q591</f>
        <v>41.866769771657665</v>
      </c>
      <c r="AB591" s="40">
        <f>VLOOKUP(B591,'Player Data'!$A1:$AE734,16,FALSE)*$Q591</f>
        <v>155.11587646047806</v>
      </c>
      <c r="AC591" s="40">
        <f>VLOOKUP(B591,'Player Data'!$A1:$AE734,17,FALSE)*$Q591*IFERROR((VLOOKUP(P591,Settings!$E$28:$F$33,2,FALSE)+1),1)</f>
        <v>-1.9705930941919394</v>
      </c>
      <c r="AD591" s="40">
        <f>VLOOKUP(B591,'Player Data'!$A1:$AE734,18,FALSE)*$Q591</f>
        <v>33.652670935891479</v>
      </c>
      <c r="AE591" s="40">
        <f>VLOOKUP(B591,'Player Data'!$A1:$AE734,19,FALSE)*$Q591*IFERROR((VLOOKUP(P591,Settings!$E$28:$F$33,2,FALSE)+1),1)</f>
        <v>1.6624050405462307</v>
      </c>
      <c r="AF591" s="40">
        <f>VLOOKUP(B591,'Player Data'!$A1:$AE734,20,FALSE)*$Q591</f>
        <v>476.35007998714235</v>
      </c>
      <c r="AG591" s="40">
        <f>VLOOKUP(B591,'Player Data'!$A1:$AE734,21,FALSE)*$Q591</f>
        <v>488.56885855241933</v>
      </c>
      <c r="AH591" s="41">
        <f>VLOOKUP(B591,'Player Data'!$A1:$AE734,22,FALSE)</f>
        <v>0.49366849479409602</v>
      </c>
      <c r="AI591" s="38"/>
      <c r="AJ591" s="42"/>
      <c r="AK591" s="40"/>
      <c r="AL591" s="40"/>
      <c r="AM591" s="40"/>
      <c r="AN591" s="40"/>
      <c r="AO591" s="40"/>
      <c r="AP591" s="40"/>
      <c r="AQ591" s="43"/>
      <c r="AR591" s="44"/>
      <c r="AS591" s="38"/>
    </row>
    <row r="592" spans="1:45" ht="21.2" customHeight="1">
      <c r="A592" s="181">
        <f t="shared" si="53"/>
        <v>591</v>
      </c>
      <c r="B592" s="8" t="s">
        <v>650</v>
      </c>
      <c r="C592" s="31" t="s">
        <v>104</v>
      </c>
      <c r="D592" s="32" t="str">
        <f>VLOOKUP(B592,'Player Data'!A1:D734,4,FALSE)</f>
        <v>RW</v>
      </c>
      <c r="E592" s="46">
        <f>VLOOKUP(B592,RW!A1:F189,3,FALSE)</f>
        <v>138</v>
      </c>
      <c r="F592" s="34" t="str">
        <f>VLOOKUP(B592,'Player Data'!A1:B734,2,FALSE)</f>
        <v>UFA</v>
      </c>
      <c r="G592" s="9">
        <f>VLOOKUP(B592,'Player Data'!A1:D734,3,FALSE)</f>
        <v>23</v>
      </c>
      <c r="H592" s="35">
        <f>IFERROR(VLOOKUP(B592,ADP!A1:G731,7,FALSE)/1000000,VLOOKUP(B592,ADP!A1:G731,7,FALSE))</f>
        <v>1.1000000000000001</v>
      </c>
      <c r="I592" s="36">
        <f>IF(Settings!$E$15="POINTS",((R592*Q592)*Settings!$B$12)+(S592*Settings!$B$2)+(T592*Settings!$B$3)+(U592*Settings!$B$4)+(V592*Settings!$B$5)+(X592*Settings!$B$9)+(AA592*Settings!$B$6)+(W592*Settings!$B$8)+(AB592*Settings!$B$7)+(AC592*Settings!$B$14)+(AD592*Settings!$B$15)+(AE592*Settings!$B$16)+(AF592*Settings!$B$17)+(AG592*Settings!$B$18)+(Y592*Settings!$B$10)+(Z592*Settings!$B$11),VLOOKUP(B592,'Standard Deviations'!A1:C731,3,FALSE))</f>
        <v>-2.3948610898173408</v>
      </c>
      <c r="J592" s="37">
        <f t="shared" si="54"/>
        <v>-2.9205623046552935E-2</v>
      </c>
      <c r="K592" s="183">
        <f>IF(Settings!$E$18="C/LW/RW",VLOOKUP(B592,RW!A1:F189,6,FALSE),VLOOKUP(B592,F!A1:F431,6,FALSE))</f>
        <v>-8.6751198088284216</v>
      </c>
      <c r="L592" s="36">
        <f t="shared" si="55"/>
        <v>-7.8864725534803828</v>
      </c>
      <c r="M592" s="52" t="str">
        <f>IF(Settings!$E$9="YAHOO",VLOOKUP(B592,ADP!A1:E731,2,FALSE),IF(Settings!$E$9="ESPN",VLOOKUP(B592,ADP!A1:E731,3,FALSE),IF(Settings!$E$9="FANTRAX",VLOOKUP(B592,ADP!A1:E731,4,FALSE),VLOOKUP(B592,ADP!A1:E731,5,FALSE))))</f>
        <v>-</v>
      </c>
      <c r="N592" s="52" t="str">
        <f t="shared" si="56"/>
        <v>N/A</v>
      </c>
      <c r="O592" s="38"/>
      <c r="P592" s="39" t="str">
        <f>IF(Settings!$E$27="ON",_xlfn.XLOOKUP(B592,ADP!A2:A731,ADP!H2:H731)," ")</f>
        <v xml:space="preserve"> </v>
      </c>
      <c r="Q592" s="40">
        <f>IF(Settings!$E$12="YES",VLOOKUP(B592,'Player Data'!A1:E734,5,FALSE),82)</f>
        <v>82</v>
      </c>
      <c r="R592" s="38">
        <f>VLOOKUP(B592,'Player Data'!$A1:$AE734,6,FALSE)</f>
        <v>13.413834057611099</v>
      </c>
      <c r="S592" s="40">
        <f>VLOOKUP(B592,'Player Data'!$A1:$AE734,7,FALSE)*$Q592*IFERROR((VLOOKUP(P592,Settings!$E$28:$F$33,2,FALSE)+1),1)</f>
        <v>10.365679956979433</v>
      </c>
      <c r="T592" s="40">
        <f>VLOOKUP(B592,'Player Data'!$A1:$AE734,8,FALSE)*$Q592*IFERROR((VLOOKUP(P592,Settings!$E$28:$F$33,2,FALSE)+1),1)</f>
        <v>15.739167035339232</v>
      </c>
      <c r="U592" s="40">
        <f t="shared" si="52"/>
        <v>26.104846992318663</v>
      </c>
      <c r="V592" s="40">
        <f>VLOOKUP(B592,'Player Data'!$A1:$AE734,10,FALSE)*$Q592*IFERROR(((VLOOKUP(P592,Settings!$E$28:$F$33,2,FALSE)/2)+1),1)</f>
        <v>132.08100496555227</v>
      </c>
      <c r="W592" s="40">
        <f>VLOOKUP(B592,'Player Data'!$A1:$AE734,11,FALSE)*$Q592*IFERROR((VLOOKUP(P592,Settings!$E$28:$F$33,2,FALSE)+1),1)</f>
        <v>1.0484789355062307</v>
      </c>
      <c r="X592" s="40">
        <f>VLOOKUP(B592,'Player Data'!$A1:$AE734,12,FALSE)*$Q592*IFERROR((VLOOKUP(P592,Settings!$E$28:$F$33,2,FALSE)+1),1)</f>
        <v>2.1645060746864822</v>
      </c>
      <c r="Y592" s="40">
        <f>VLOOKUP(B592,'Player Data'!$A1:$AE734,13,FALSE)*$Q592</f>
        <v>3.1664284332802183E-2</v>
      </c>
      <c r="Z592" s="40">
        <f>VLOOKUP(B592,'Player Data'!$A1:$AE734,14,FALSE)*$Q592</f>
        <v>6.1225948668215013E-2</v>
      </c>
      <c r="AA592" s="40">
        <f>VLOOKUP(B592,'Player Data'!$A1:$AE734,15,FALSE)*$Q592</f>
        <v>38.101153103749176</v>
      </c>
      <c r="AB592" s="40">
        <f>VLOOKUP(B592,'Player Data'!$A1:$AE734,16,FALSE)*$Q592</f>
        <v>70.203030174270594</v>
      </c>
      <c r="AC592" s="40">
        <f>VLOOKUP(B592,'Player Data'!$A1:$AE734,17,FALSE)*$Q592*IFERROR((VLOOKUP(P592,Settings!$E$28:$F$33,2,FALSE)+1),1)</f>
        <v>-0.2411906698023159</v>
      </c>
      <c r="AD592" s="40">
        <f>VLOOKUP(B592,'Player Data'!$A1:$AE734,18,FALSE)*$Q592</f>
        <v>15.726302968850884</v>
      </c>
      <c r="AE592" s="40">
        <f>VLOOKUP(B592,'Player Data'!$A1:$AE734,19,FALSE)*$Q592*IFERROR((VLOOKUP(P592,Settings!$E$28:$F$33,2,FALSE)+1),1)</f>
        <v>0</v>
      </c>
      <c r="AF592" s="40">
        <f>VLOOKUP(B592,'Player Data'!$A1:$AE734,20,FALSE)*$Q592</f>
        <v>6.5572800410084877</v>
      </c>
      <c r="AG592" s="40">
        <f>VLOOKUP(B592,'Player Data'!$A1:$AE734,21,FALSE)*$Q592</f>
        <v>9.1931641671574127</v>
      </c>
      <c r="AH592" s="41">
        <f>VLOOKUP(B592,'Player Data'!$A1:$AE734,22,FALSE)</f>
        <v>0.41632349883877201</v>
      </c>
      <c r="AI592" s="38"/>
      <c r="AJ592" s="42"/>
      <c r="AK592" s="40"/>
      <c r="AL592" s="40"/>
      <c r="AM592" s="40"/>
      <c r="AN592" s="40"/>
      <c r="AO592" s="40"/>
      <c r="AP592" s="40"/>
      <c r="AQ592" s="43"/>
      <c r="AR592" s="44"/>
      <c r="AS592" s="38"/>
    </row>
    <row r="593" spans="1:45" ht="21.2" customHeight="1">
      <c r="A593" s="181">
        <f t="shared" si="53"/>
        <v>592</v>
      </c>
      <c r="B593" s="8" t="s">
        <v>659</v>
      </c>
      <c r="C593" s="31" t="s">
        <v>104</v>
      </c>
      <c r="D593" s="32" t="str">
        <f>VLOOKUP(B593,'Player Data'!A1:D734,4,FALSE)</f>
        <v>C,LW,RW</v>
      </c>
      <c r="E593" s="45">
        <f>VLOOKUP(B593,RW!A1:F189,3,FALSE)</f>
        <v>139</v>
      </c>
      <c r="F593" s="34" t="str">
        <f>VLOOKUP(B593,'Player Data'!A1:B734,2,FALSE)</f>
        <v>VGK</v>
      </c>
      <c r="G593" s="9">
        <f>VLOOKUP(B593,'Player Data'!A1:D734,3,FALSE)</f>
        <v>27</v>
      </c>
      <c r="H593" s="35">
        <f>IFERROR(VLOOKUP(B593,ADP!A1:G731,7,FALSE)/1000000,VLOOKUP(B593,ADP!A1:G731,7,FALSE))</f>
        <v>0.76249999999999996</v>
      </c>
      <c r="I593" s="36">
        <f>IF(Settings!$E$15="POINTS",((R593*Q593)*Settings!$B$12)+(S593*Settings!$B$2)+(T593*Settings!$B$3)+(U593*Settings!$B$4)+(V593*Settings!$B$5)+(X593*Settings!$B$9)+(AA593*Settings!$B$6)+(W593*Settings!$B$8)+(AB593*Settings!$B$7)+(AC593*Settings!$B$14)+(AD593*Settings!$B$15)+(AE593*Settings!$B$16)+(AF593*Settings!$B$17)+(AG593*Settings!$B$18)+(Y593*Settings!$B$10)+(Z593*Settings!$B$11),VLOOKUP(B593,'Standard Deviations'!A1:C731,3,FALSE))</f>
        <v>-2.3998666408683369</v>
      </c>
      <c r="J593" s="37">
        <f t="shared" si="54"/>
        <v>-2.9266666352052891E-2</v>
      </c>
      <c r="K593" s="183">
        <f>IF(Settings!$E$18="C/LW/RW",VLOOKUP(B593,RW!A1:F189,6,FALSE),VLOOKUP(B593,F!A1:F431,6,FALSE))</f>
        <v>-8.6801253598794172</v>
      </c>
      <c r="L593" s="36">
        <f t="shared" si="55"/>
        <v>-11.383770963776286</v>
      </c>
      <c r="M593" s="52" t="str">
        <f>IF(Settings!$E$9="YAHOO",VLOOKUP(B593,ADP!A1:E731,2,FALSE),IF(Settings!$E$9="ESPN",VLOOKUP(B593,ADP!A1:E731,3,FALSE),IF(Settings!$E$9="FANTRAX",VLOOKUP(B593,ADP!A1:E731,4,FALSE),VLOOKUP(B593,ADP!A1:E731,5,FALSE))))</f>
        <v>-</v>
      </c>
      <c r="N593" s="52" t="str">
        <f t="shared" si="56"/>
        <v>N/A</v>
      </c>
      <c r="O593" s="38"/>
      <c r="P593" s="39" t="str">
        <f>IF(Settings!$E$27="ON",_xlfn.XLOOKUP(B593,ADP!A2:A731,ADP!H2:H731)," ")</f>
        <v xml:space="preserve"> </v>
      </c>
      <c r="Q593" s="40">
        <f>IF(Settings!$E$12="YES",VLOOKUP(B593,'Player Data'!A1:E734,5,FALSE),82)</f>
        <v>82</v>
      </c>
      <c r="R593" s="38">
        <f>VLOOKUP(B593,'Player Data'!$A1:$AE734,6,FALSE)</f>
        <v>12.1030655044139</v>
      </c>
      <c r="S593" s="40">
        <f>VLOOKUP(B593,'Player Data'!$A1:$AE734,7,FALSE)*$Q593*IFERROR((VLOOKUP(P593,Settings!$E$28:$F$33,2,FALSE)+1),1)</f>
        <v>15.482305144582103</v>
      </c>
      <c r="T593" s="40">
        <f>VLOOKUP(B593,'Player Data'!$A1:$AE734,8,FALSE)*$Q593*IFERROR((VLOOKUP(P593,Settings!$E$28:$F$33,2,FALSE)+1),1)</f>
        <v>12.894976306586866</v>
      </c>
      <c r="U593" s="40">
        <f t="shared" si="52"/>
        <v>28.377281451168969</v>
      </c>
      <c r="V593" s="40">
        <f>VLOOKUP(B593,'Player Data'!$A1:$AE734,10,FALSE)*$Q593*IFERROR(((VLOOKUP(P593,Settings!$E$28:$F$33,2,FALSE)/2)+1),1)</f>
        <v>111.63384662329115</v>
      </c>
      <c r="W593" s="40">
        <f>VLOOKUP(B593,'Player Data'!$A1:$AE734,11,FALSE)*$Q593*IFERROR((VLOOKUP(P593,Settings!$E$28:$F$33,2,FALSE)+1),1)</f>
        <v>0.69884044209471596</v>
      </c>
      <c r="X593" s="40">
        <f>VLOOKUP(B593,'Player Data'!$A1:$AE734,12,FALSE)*$Q593*IFERROR((VLOOKUP(P593,Settings!$E$28:$F$33,2,FALSE)+1),1)</f>
        <v>1.7051009155490084</v>
      </c>
      <c r="Y593" s="40">
        <f>VLOOKUP(B593,'Player Data'!$A1:$AE734,13,FALSE)*$Q593</f>
        <v>0</v>
      </c>
      <c r="Z593" s="40">
        <f>VLOOKUP(B593,'Player Data'!$A1:$AE734,14,FALSE)*$Q593</f>
        <v>0</v>
      </c>
      <c r="AA593" s="40">
        <f>VLOOKUP(B593,'Player Data'!$A1:$AE734,15,FALSE)*$Q593</f>
        <v>31.612894796003797</v>
      </c>
      <c r="AB593" s="40">
        <f>VLOOKUP(B593,'Player Data'!$A1:$AE734,16,FALSE)*$Q593</f>
        <v>72.232870822267273</v>
      </c>
      <c r="AC593" s="40">
        <f>VLOOKUP(B593,'Player Data'!$A1:$AE734,17,FALSE)*$Q593*IFERROR((VLOOKUP(P593,Settings!$E$28:$F$33,2,FALSE)+1),1)</f>
        <v>4.7520506963192863</v>
      </c>
      <c r="AD593" s="40">
        <f>VLOOKUP(B593,'Player Data'!$A1:$AE734,18,FALSE)*$Q593</f>
        <v>18.995174487834717</v>
      </c>
      <c r="AE593" s="40">
        <f>VLOOKUP(B593,'Player Data'!$A1:$AE734,19,FALSE)*$Q593*IFERROR((VLOOKUP(P593,Settings!$E$28:$F$33,2,FALSE)+1),1)</f>
        <v>2.5302310915725492</v>
      </c>
      <c r="AF593" s="40">
        <f>VLOOKUP(B593,'Player Data'!$A1:$AE734,20,FALSE)*$Q593</f>
        <v>52.66856322014263</v>
      </c>
      <c r="AG593" s="40">
        <f>VLOOKUP(B593,'Player Data'!$A1:$AE734,21,FALSE)*$Q593</f>
        <v>60.397377074899332</v>
      </c>
      <c r="AH593" s="41">
        <f>VLOOKUP(B593,'Player Data'!$A1:$AE734,22,FALSE)</f>
        <v>0.465821653122998</v>
      </c>
      <c r="AI593" s="38"/>
      <c r="AJ593" s="42"/>
      <c r="AK593" s="40"/>
      <c r="AL593" s="40"/>
      <c r="AM593" s="40"/>
      <c r="AN593" s="40"/>
      <c r="AO593" s="40"/>
      <c r="AP593" s="40"/>
      <c r="AQ593" s="43"/>
      <c r="AR593" s="44"/>
      <c r="AS593" s="38"/>
    </row>
    <row r="594" spans="1:45" ht="21.2" customHeight="1">
      <c r="A594" s="181">
        <f t="shared" si="53"/>
        <v>593</v>
      </c>
      <c r="B594" s="8" t="s">
        <v>665</v>
      </c>
      <c r="C594" s="31" t="s">
        <v>104</v>
      </c>
      <c r="D594" s="32" t="str">
        <f>VLOOKUP(B594,'Player Data'!A1:D734,4,FALSE)</f>
        <v>LW</v>
      </c>
      <c r="E594" s="48">
        <f>VLOOKUP(B594,LW!A1:C227,3,FALSE)</f>
        <v>153</v>
      </c>
      <c r="F594" s="34" t="str">
        <f>VLOOKUP(B594,'Player Data'!A1:B734,2,FALSE)</f>
        <v>WSH</v>
      </c>
      <c r="G594" s="9">
        <f>VLOOKUP(B594,'Player Data'!A1:D734,3,FALSE)</f>
        <v>27</v>
      </c>
      <c r="H594" s="35">
        <f>IFERROR(VLOOKUP(B594,ADP!A1:G731,7,FALSE)/1000000,VLOOKUP(B594,ADP!A1:G731,7,FALSE))</f>
        <v>1.9</v>
      </c>
      <c r="I594" s="36">
        <f>IF(Settings!$E$15="POINTS",((R594*Q594)*Settings!$B$12)+(S594*Settings!$B$2)+(T594*Settings!$B$3)+(U594*Settings!$B$4)+(V594*Settings!$B$5)+(X594*Settings!$B$9)+(AA594*Settings!$B$6)+(W594*Settings!$B$8)+(AB594*Settings!$B$7)+(AC594*Settings!$B$14)+(AD594*Settings!$B$15)+(AE594*Settings!$B$16)+(AF594*Settings!$B$17)+(AG594*Settings!$B$18)+(Y594*Settings!$B$10)+(Z594*Settings!$B$11),VLOOKUP(B594,'Standard Deviations'!A1:C731,3,FALSE))</f>
        <v>-2.1352747828133083</v>
      </c>
      <c r="J594" s="37">
        <f t="shared" si="54"/>
        <v>-2.6039936375772052E-2</v>
      </c>
      <c r="K594" s="183">
        <f>IF(Settings!$E$18="C/LW/RW",VLOOKUP(B594,LW!A1:F227,6,FALSE),VLOOKUP(B594,F!A1:F431,6,FALSE))</f>
        <v>-8.7899438269377086</v>
      </c>
      <c r="L594" s="36">
        <f t="shared" si="55"/>
        <v>-4.6262862247040575</v>
      </c>
      <c r="M594" s="52" t="str">
        <f>IF(Settings!$E$9="YAHOO",VLOOKUP(B594,ADP!A1:E731,2,FALSE),IF(Settings!$E$9="ESPN",VLOOKUP(B594,ADP!A1:E731,3,FALSE),IF(Settings!$E$9="FANTRAX",VLOOKUP(B594,ADP!A1:E731,4,FALSE),VLOOKUP(B594,ADP!A1:E731,5,FALSE))))</f>
        <v>-</v>
      </c>
      <c r="N594" s="52" t="str">
        <f t="shared" si="56"/>
        <v>N/A</v>
      </c>
      <c r="O594" s="38"/>
      <c r="P594" s="39" t="str">
        <f>IF(Settings!$E$27="ON",_xlfn.XLOOKUP(B594,ADP!A2:A731,ADP!H2:H731)," ")</f>
        <v xml:space="preserve"> </v>
      </c>
      <c r="Q594" s="40">
        <f>IF(Settings!$E$12="YES",VLOOKUP(B594,'Player Data'!A1:E734,5,FALSE),82)</f>
        <v>82</v>
      </c>
      <c r="R594" s="38">
        <f>VLOOKUP(B594,'Player Data'!$A1:$AE734,6,FALSE)</f>
        <v>12.3635814012576</v>
      </c>
      <c r="S594" s="40">
        <f>VLOOKUP(B594,'Player Data'!$A1:$AE734,7,FALSE)*$Q594*IFERROR((VLOOKUP(P594,Settings!$E$28:$F$33,2,FALSE)+1),1)</f>
        <v>11.823556963985999</v>
      </c>
      <c r="T594" s="40">
        <f>VLOOKUP(B594,'Player Data'!$A1:$AE734,8,FALSE)*$Q594*IFERROR((VLOOKUP(P594,Settings!$E$28:$F$33,2,FALSE)+1),1)</f>
        <v>20.108330796188277</v>
      </c>
      <c r="U594" s="40">
        <f t="shared" si="52"/>
        <v>31.931887760174277</v>
      </c>
      <c r="V594" s="40">
        <f>VLOOKUP(B594,'Player Data'!$A1:$AE734,10,FALSE)*$Q594*IFERROR(((VLOOKUP(P594,Settings!$E$28:$F$33,2,FALSE)/2)+1),1)</f>
        <v>101.906585023836</v>
      </c>
      <c r="W594" s="40">
        <f>VLOOKUP(B594,'Player Data'!$A1:$AE734,11,FALSE)*$Q594*IFERROR((VLOOKUP(P594,Settings!$E$28:$F$33,2,FALSE)+1),1)</f>
        <v>0.98612082016974123</v>
      </c>
      <c r="X594" s="40">
        <f>VLOOKUP(B594,'Player Data'!$A1:$AE734,12,FALSE)*$Q594*IFERROR((VLOOKUP(P594,Settings!$E$28:$F$33,2,FALSE)+1),1)</f>
        <v>2.6856463431140698</v>
      </c>
      <c r="Y594" s="40">
        <f>VLOOKUP(B594,'Player Data'!$A1:$AE734,13,FALSE)*$Q594</f>
        <v>7.8967340979685754E-4</v>
      </c>
      <c r="Z594" s="40">
        <f>VLOOKUP(B594,'Player Data'!$A1:$AE734,14,FALSE)*$Q594</f>
        <v>1.4856286646730875E-3</v>
      </c>
      <c r="AA594" s="40">
        <f>VLOOKUP(B594,'Player Data'!$A1:$AE734,15,FALSE)*$Q594</f>
        <v>21.179042903949632</v>
      </c>
      <c r="AB594" s="40">
        <f>VLOOKUP(B594,'Player Data'!$A1:$AE734,16,FALSE)*$Q594</f>
        <v>54.277786522809933</v>
      </c>
      <c r="AC594" s="40">
        <f>VLOOKUP(B594,'Player Data'!$A1:$AE734,17,FALSE)*$Q594*IFERROR((VLOOKUP(P594,Settings!$E$28:$F$33,2,FALSE)+1),1)</f>
        <v>-2.7159777176161435</v>
      </c>
      <c r="AD594" s="40">
        <f>VLOOKUP(B594,'Player Data'!$A1:$AE734,18,FALSE)*$Q594</f>
        <v>18.413419860871059</v>
      </c>
      <c r="AE594" s="40">
        <f>VLOOKUP(B594,'Player Data'!$A1:$AE734,19,FALSE)*$Q594*IFERROR((VLOOKUP(P594,Settings!$E$28:$F$33,2,FALSE)+1),1)</f>
        <v>1.454367108213328</v>
      </c>
      <c r="AF594" s="40">
        <f>VLOOKUP(B594,'Player Data'!$A1:$AE734,20,FALSE)*$Q594</f>
        <v>0</v>
      </c>
      <c r="AG594" s="40">
        <f>VLOOKUP(B594,'Player Data'!$A1:$AE734,21,FALSE)*$Q594</f>
        <v>0.39694243635689713</v>
      </c>
      <c r="AH594" s="41">
        <f>VLOOKUP(B594,'Player Data'!$A1:$AE734,22,FALSE)</f>
        <v>0</v>
      </c>
      <c r="AI594" s="38"/>
      <c r="AJ594" s="42"/>
      <c r="AK594" s="40"/>
      <c r="AL594" s="40"/>
      <c r="AM594" s="40"/>
      <c r="AN594" s="40"/>
      <c r="AO594" s="40"/>
      <c r="AP594" s="40"/>
      <c r="AQ594" s="43"/>
      <c r="AR594" s="44"/>
      <c r="AS594" s="38"/>
    </row>
    <row r="595" spans="1:45" ht="21.2" customHeight="1">
      <c r="A595" s="181">
        <f t="shared" si="53"/>
        <v>594</v>
      </c>
      <c r="B595" s="8" t="s">
        <v>682</v>
      </c>
      <c r="C595" s="31" t="s">
        <v>104</v>
      </c>
      <c r="D595" s="32" t="str">
        <f>VLOOKUP(B595,'Player Data'!A1:D734,4,FALSE)</f>
        <v>C</v>
      </c>
      <c r="E595" s="33">
        <f>VLOOKUP(B595,'C'!A1:C208,3,FALSE)</f>
        <v>141</v>
      </c>
      <c r="F595" s="34" t="str">
        <f>VLOOKUP(B595,'Player Data'!A1:B734,2,FALSE)</f>
        <v>LAK</v>
      </c>
      <c r="G595" s="9">
        <f>VLOOKUP(B595,'Player Data'!A1:D734,3,FALSE)</f>
        <v>25</v>
      </c>
      <c r="H595" s="35">
        <f>IFERROR(VLOOKUP(B595,ADP!A1:G731,7,FALSE)/1000000,VLOOKUP(B595,ADP!A1:G731,7,FALSE))</f>
        <v>1.675</v>
      </c>
      <c r="I595" s="36">
        <f>IF(Settings!$E$15="POINTS",((R595*Q595)*Settings!$B$12)+(S595*Settings!$B$2)+(T595*Settings!$B$3)+(U595*Settings!$B$4)+(V595*Settings!$B$5)+(X595*Settings!$B$9)+(AA595*Settings!$B$6)+(W595*Settings!$B$8)+(AB595*Settings!$B$7)+(AC595*Settings!$B$14)+(AD595*Settings!$B$15)+(AE595*Settings!$B$16)+(AF595*Settings!$B$17)+(AG595*Settings!$B$18)+(Y595*Settings!$B$10)+(Z595*Settings!$B$11),VLOOKUP(B595,'Standard Deviations'!A1:C731,3,FALSE))</f>
        <v>-2.4715940421412097</v>
      </c>
      <c r="J595" s="37">
        <f t="shared" si="54"/>
        <v>-3.0141390757819631E-2</v>
      </c>
      <c r="K595" s="183">
        <f>IF(Settings!$E$18="C/LW/RW",VLOOKUP(B595,'C'!A1:F208,6,FALSE),VLOOKUP(B595,F!A1:F431,6,FALSE))</f>
        <v>-8.8086447663478129</v>
      </c>
      <c r="L595" s="36">
        <f t="shared" si="55"/>
        <v>-5.2588923978195901</v>
      </c>
      <c r="M595" s="52" t="str">
        <f>IF(Settings!$E$9="YAHOO",VLOOKUP(B595,ADP!A1:E731,2,FALSE),IF(Settings!$E$9="ESPN",VLOOKUP(B595,ADP!A1:E731,3,FALSE),IF(Settings!$E$9="FANTRAX",VLOOKUP(B595,ADP!A1:E731,4,FALSE),VLOOKUP(B595,ADP!A1:E731,5,FALSE))))</f>
        <v>-</v>
      </c>
      <c r="N595" s="52" t="str">
        <f t="shared" si="56"/>
        <v>N/A</v>
      </c>
      <c r="O595" s="38"/>
      <c r="P595" s="39" t="str">
        <f>IF(Settings!$E$27="ON",_xlfn.XLOOKUP(B595,ADP!A2:A731,ADP!H2:H731)," ")</f>
        <v xml:space="preserve"> </v>
      </c>
      <c r="Q595" s="40">
        <f>IF(Settings!$E$12="YES",VLOOKUP(B595,'Player Data'!A1:E734,5,FALSE),82)</f>
        <v>82</v>
      </c>
      <c r="R595" s="38">
        <f>VLOOKUP(B595,'Player Data'!$A1:$AE734,6,FALSE)</f>
        <v>12.907922936210801</v>
      </c>
      <c r="S595" s="40">
        <f>VLOOKUP(B595,'Player Data'!$A1:$AE734,7,FALSE)*$Q595*IFERROR((VLOOKUP(P595,Settings!$E$28:$F$33,2,FALSE)+1),1)</f>
        <v>11.549075763183307</v>
      </c>
      <c r="T595" s="40">
        <f>VLOOKUP(B595,'Player Data'!$A1:$AE734,8,FALSE)*$Q595*IFERROR((VLOOKUP(P595,Settings!$E$28:$F$33,2,FALSE)+1),1)</f>
        <v>20.29730910304076</v>
      </c>
      <c r="U595" s="40">
        <f t="shared" si="52"/>
        <v>31.846384866224067</v>
      </c>
      <c r="V595" s="40">
        <f>VLOOKUP(B595,'Player Data'!$A1:$AE734,10,FALSE)*$Q595*IFERROR(((VLOOKUP(P595,Settings!$E$28:$F$33,2,FALSE)/2)+1),1)</f>
        <v>97.883453217635918</v>
      </c>
      <c r="W595" s="40">
        <f>VLOOKUP(B595,'Player Data'!$A1:$AE734,11,FALSE)*$Q595*IFERROR((VLOOKUP(P595,Settings!$E$28:$F$33,2,FALSE)+1),1)</f>
        <v>6.6511543904805917E-2</v>
      </c>
      <c r="X595" s="40">
        <f>VLOOKUP(B595,'Player Data'!$A1:$AE734,12,FALSE)*$Q595*IFERROR((VLOOKUP(P595,Settings!$E$28:$F$33,2,FALSE)+1),1)</f>
        <v>0.16600969586516676</v>
      </c>
      <c r="Y595" s="40">
        <f>VLOOKUP(B595,'Player Data'!$A1:$AE734,13,FALSE)*$Q595</f>
        <v>0.4916396522920633</v>
      </c>
      <c r="Z595" s="40">
        <f>VLOOKUP(B595,'Player Data'!$A1:$AE734,14,FALSE)*$Q595</f>
        <v>2.5211785986858861</v>
      </c>
      <c r="AA595" s="40">
        <f>VLOOKUP(B595,'Player Data'!$A1:$AE734,15,FALSE)*$Q595</f>
        <v>31.918800821809302</v>
      </c>
      <c r="AB595" s="40">
        <f>VLOOKUP(B595,'Player Data'!$A1:$AE734,16,FALSE)*$Q595</f>
        <v>92.388004450772371</v>
      </c>
      <c r="AC595" s="40">
        <f>VLOOKUP(B595,'Player Data'!$A1:$AE734,17,FALSE)*$Q595*IFERROR((VLOOKUP(P595,Settings!$E$28:$F$33,2,FALSE)+1),1)</f>
        <v>0.70860032467306178</v>
      </c>
      <c r="AD595" s="40">
        <f>VLOOKUP(B595,'Player Data'!$A1:$AE734,18,FALSE)*$Q595</f>
        <v>43.450173713018835</v>
      </c>
      <c r="AE595" s="40">
        <f>VLOOKUP(B595,'Player Data'!$A1:$AE734,19,FALSE)*$Q595*IFERROR((VLOOKUP(P595,Settings!$E$28:$F$33,2,FALSE)+1),1)</f>
        <v>1.7099683499527263</v>
      </c>
      <c r="AF595" s="40">
        <f>VLOOKUP(B595,'Player Data'!$A1:$AE734,20,FALSE)*$Q595</f>
        <v>410.62574380573841</v>
      </c>
      <c r="AG595" s="40">
        <f>VLOOKUP(B595,'Player Data'!$A1:$AE734,21,FALSE)*$Q595</f>
        <v>388.45687186971691</v>
      </c>
      <c r="AH595" s="41">
        <f>VLOOKUP(B595,'Player Data'!$A1:$AE734,22,FALSE)</f>
        <v>0.51387145177553495</v>
      </c>
      <c r="AI595" s="38"/>
      <c r="AJ595" s="42"/>
      <c r="AK595" s="40"/>
      <c r="AL595" s="40"/>
      <c r="AM595" s="40"/>
      <c r="AN595" s="40"/>
      <c r="AO595" s="40"/>
      <c r="AP595" s="40"/>
      <c r="AQ595" s="43"/>
      <c r="AR595" s="44"/>
      <c r="AS595" s="38"/>
    </row>
    <row r="596" spans="1:45" ht="21.2" customHeight="1">
      <c r="A596" s="181">
        <f t="shared" si="53"/>
        <v>595</v>
      </c>
      <c r="B596" s="8" t="s">
        <v>742</v>
      </c>
      <c r="C596" s="31" t="s">
        <v>104</v>
      </c>
      <c r="D596" s="32" t="str">
        <f>VLOOKUP(B596,'Player Data'!A1:D734,4,FALSE)</f>
        <v>LW</v>
      </c>
      <c r="E596" s="48">
        <f>VLOOKUP(B596,LW!A1:C227,3,FALSE)</f>
        <v>155</v>
      </c>
      <c r="F596" s="34" t="str">
        <f>VLOOKUP(B596,'Player Data'!A1:B734,2,FALSE)</f>
        <v>TOR</v>
      </c>
      <c r="G596" s="9">
        <f>VLOOKUP(B596,'Player Data'!A1:D734,3,FALSE)</f>
        <v>21</v>
      </c>
      <c r="H596" s="35">
        <f>IFERROR(VLOOKUP(B596,ADP!A1:G731,7,FALSE)/1000000,VLOOKUP(B596,ADP!A1:G731,7,FALSE))</f>
        <v>0.79666700000000001</v>
      </c>
      <c r="I596" s="36">
        <f>IF(Settings!$E$15="POINTS",((R596*Q596)*Settings!$B$12)+(S596*Settings!$B$2)+(T596*Settings!$B$3)+(U596*Settings!$B$4)+(V596*Settings!$B$5)+(X596*Settings!$B$9)+(AA596*Settings!$B$6)+(W596*Settings!$B$8)+(AB596*Settings!$B$7)+(AC596*Settings!$B$14)+(AD596*Settings!$B$15)+(AE596*Settings!$B$16)+(AF596*Settings!$B$17)+(AG596*Settings!$B$18)+(Y596*Settings!$B$10)+(Z596*Settings!$B$11),VLOOKUP(B596,'Standard Deviations'!A1:C731,3,FALSE))</f>
        <v>-2.1625010816875663</v>
      </c>
      <c r="J596" s="37">
        <f t="shared" si="54"/>
        <v>-2.637196441082398E-2</v>
      </c>
      <c r="K596" s="183">
        <f>IF(Settings!$E$18="C/LW/RW",VLOOKUP(B596,LW!A1:F227,6,FALSE),VLOOKUP(B596,F!A1:F431,6,FALSE))</f>
        <v>-8.8171701258119679</v>
      </c>
      <c r="L596" s="36">
        <f t="shared" si="55"/>
        <v>-11.067572932997059</v>
      </c>
      <c r="M596" s="52" t="str">
        <f>IF(Settings!$E$9="YAHOO",VLOOKUP(B596,ADP!A1:E731,2,FALSE),IF(Settings!$E$9="ESPN",VLOOKUP(B596,ADP!A1:E731,3,FALSE),IF(Settings!$E$9="FANTRAX",VLOOKUP(B596,ADP!A1:E731,4,FALSE),VLOOKUP(B596,ADP!A1:E731,5,FALSE))))</f>
        <v>-</v>
      </c>
      <c r="N596" s="52" t="str">
        <f t="shared" si="56"/>
        <v>N/A</v>
      </c>
      <c r="O596" s="38"/>
      <c r="P596" s="39" t="str">
        <f>IF(Settings!$E$27="ON",_xlfn.XLOOKUP(B596,ADP!A2:A731,ADP!H2:H731)," ")</f>
        <v xml:space="preserve"> </v>
      </c>
      <c r="Q596" s="40">
        <f>IF(Settings!$E$12="YES",VLOOKUP(B596,'Player Data'!A1:E734,5,FALSE),82)</f>
        <v>82</v>
      </c>
      <c r="R596" s="38">
        <f>VLOOKUP(B596,'Player Data'!$A1:$AE734,6,FALSE)</f>
        <v>12.007596562474101</v>
      </c>
      <c r="S596" s="40">
        <f>VLOOKUP(B596,'Player Data'!$A1:$AE734,7,FALSE)*$Q596*IFERROR((VLOOKUP(P596,Settings!$E$28:$F$33,2,FALSE)+1),1)</f>
        <v>12.422514353058897</v>
      </c>
      <c r="T596" s="40">
        <f>VLOOKUP(B596,'Player Data'!$A1:$AE734,8,FALSE)*$Q596*IFERROR((VLOOKUP(P596,Settings!$E$28:$F$33,2,FALSE)+1),1)</f>
        <v>15.950046731949961</v>
      </c>
      <c r="U596" s="40">
        <f t="shared" si="52"/>
        <v>28.372561085008858</v>
      </c>
      <c r="V596" s="40">
        <f>VLOOKUP(B596,'Player Data'!$A1:$AE734,10,FALSE)*$Q596*IFERROR(((VLOOKUP(P596,Settings!$E$28:$F$33,2,FALSE)/2)+1),1)</f>
        <v>131.67771615787879</v>
      </c>
      <c r="W596" s="40">
        <f>VLOOKUP(B596,'Player Data'!$A1:$AE734,11,FALSE)*$Q596*IFERROR((VLOOKUP(P596,Settings!$E$28:$F$33,2,FALSE)+1),1)</f>
        <v>0.58042920792207497</v>
      </c>
      <c r="X596" s="40">
        <f>VLOOKUP(B596,'Player Data'!$A1:$AE734,12,FALSE)*$Q596*IFERROR((VLOOKUP(P596,Settings!$E$28:$F$33,2,FALSE)+1),1)</f>
        <v>1.4330404252543281</v>
      </c>
      <c r="Y596" s="40">
        <f>VLOOKUP(B596,'Player Data'!$A1:$AE734,13,FALSE)*$Q596</f>
        <v>1.6781925981356687E-2</v>
      </c>
      <c r="Z596" s="40">
        <f>VLOOKUP(B596,'Player Data'!$A1:$AE734,14,FALSE)*$Q596</f>
        <v>3.2910131228787484E-2</v>
      </c>
      <c r="AA596" s="40">
        <f>VLOOKUP(B596,'Player Data'!$A1:$AE734,15,FALSE)*$Q596</f>
        <v>36.458675410739964</v>
      </c>
      <c r="AB596" s="40">
        <f>VLOOKUP(B596,'Player Data'!$A1:$AE734,16,FALSE)*$Q596</f>
        <v>106.009598869097</v>
      </c>
      <c r="AC596" s="40">
        <f>VLOOKUP(B596,'Player Data'!$A1:$AE734,17,FALSE)*$Q596*IFERROR((VLOOKUP(P596,Settings!$E$28:$F$33,2,FALSE)+1),1)</f>
        <v>3.853069583753308</v>
      </c>
      <c r="AD596" s="40">
        <f>VLOOKUP(B596,'Player Data'!$A1:$AE734,18,FALSE)*$Q596</f>
        <v>20.170201110264518</v>
      </c>
      <c r="AE596" s="40">
        <f>VLOOKUP(B596,'Player Data'!$A1:$AE734,19,FALSE)*$Q596*IFERROR((VLOOKUP(P596,Settings!$E$28:$F$33,2,FALSE)+1),1)</f>
        <v>1.9956736289646495</v>
      </c>
      <c r="AF596" s="40">
        <f>VLOOKUP(B596,'Player Data'!$A1:$AE734,20,FALSE)*$Q596</f>
        <v>5.8201960100310517</v>
      </c>
      <c r="AG596" s="40">
        <f>VLOOKUP(B596,'Player Data'!$A1:$AE734,21,FALSE)*$Q596</f>
        <v>9.2452184262793988</v>
      </c>
      <c r="AH596" s="41">
        <f>VLOOKUP(B596,'Player Data'!$A1:$AE734,22,FALSE)</f>
        <v>0.38632830411908903</v>
      </c>
      <c r="AI596" s="38"/>
      <c r="AJ596" s="42"/>
      <c r="AK596" s="40"/>
      <c r="AL596" s="40"/>
      <c r="AM596" s="40"/>
      <c r="AN596" s="40"/>
      <c r="AO596" s="40"/>
      <c r="AP596" s="40"/>
      <c r="AQ596" s="43"/>
      <c r="AR596" s="44"/>
      <c r="AS596" s="38"/>
    </row>
    <row r="597" spans="1:45" ht="21.2" customHeight="1">
      <c r="A597" s="181">
        <f t="shared" si="53"/>
        <v>596</v>
      </c>
      <c r="B597" s="8" t="s">
        <v>683</v>
      </c>
      <c r="C597" s="31" t="s">
        <v>104</v>
      </c>
      <c r="D597" s="32" t="str">
        <f>VLOOKUP(B597,'Player Data'!A1:D734,4,FALSE)</f>
        <v>C</v>
      </c>
      <c r="E597" s="33">
        <f>VLOOKUP(B597,'C'!A1:C208,3,FALSE)</f>
        <v>142</v>
      </c>
      <c r="F597" s="34" t="str">
        <f>VLOOKUP(B597,'Player Data'!A1:B734,2,FALSE)</f>
        <v>SJS</v>
      </c>
      <c r="G597" s="9">
        <f>VLOOKUP(B597,'Player Data'!A1:D734,3,FALSE)</f>
        <v>28</v>
      </c>
      <c r="H597" s="35">
        <f>IFERROR(VLOOKUP(B597,ADP!A1:G731,7,FALSE)/1000000,VLOOKUP(B597,ADP!A1:G731,7,FALSE))</f>
        <v>2</v>
      </c>
      <c r="I597" s="36">
        <f>IF(Settings!$E$15="POINTS",((R597*Q597)*Settings!$B$12)+(S597*Settings!$B$2)+(T597*Settings!$B$3)+(U597*Settings!$B$4)+(V597*Settings!$B$5)+(X597*Settings!$B$9)+(AA597*Settings!$B$6)+(W597*Settings!$B$8)+(AB597*Settings!$B$7)+(AC597*Settings!$B$14)+(AD597*Settings!$B$15)+(AE597*Settings!$B$16)+(AF597*Settings!$B$17)+(AG597*Settings!$B$18)+(Y597*Settings!$B$10)+(Z597*Settings!$B$11),VLOOKUP(B597,'Standard Deviations'!A1:C731,3,FALSE))</f>
        <v>-2.5257917197043875</v>
      </c>
      <c r="J597" s="37">
        <f t="shared" si="54"/>
        <v>-3.0802338045175459E-2</v>
      </c>
      <c r="K597" s="183">
        <f>IF(Settings!$E$18="C/LW/RW",VLOOKUP(B597,'C'!A1:F208,6,FALSE),VLOOKUP(B597,F!A1:F431,6,FALSE))</f>
        <v>-8.8628424439109903</v>
      </c>
      <c r="L597" s="36">
        <f t="shared" si="55"/>
        <v>-4.4314212219554951</v>
      </c>
      <c r="M597" s="52" t="str">
        <f>IF(Settings!$E$9="YAHOO",VLOOKUP(B597,ADP!A1:E731,2,FALSE),IF(Settings!$E$9="ESPN",VLOOKUP(B597,ADP!A1:E731,3,FALSE),IF(Settings!$E$9="FANTRAX",VLOOKUP(B597,ADP!A1:E731,4,FALSE),VLOOKUP(B597,ADP!A1:E731,5,FALSE))))</f>
        <v>-</v>
      </c>
      <c r="N597" s="52" t="str">
        <f t="shared" si="56"/>
        <v>N/A</v>
      </c>
      <c r="O597" s="38"/>
      <c r="P597" s="39" t="str">
        <f>IF(Settings!$E$27="ON",_xlfn.XLOOKUP(B597,ADP!A2:A731,ADP!H2:H731)," ")</f>
        <v xml:space="preserve"> </v>
      </c>
      <c r="Q597" s="40">
        <f>IF(Settings!$E$12="YES",VLOOKUP(B597,'Player Data'!A1:E734,5,FALSE),82)</f>
        <v>82</v>
      </c>
      <c r="R597" s="38">
        <f>VLOOKUP(B597,'Player Data'!$A1:$AE734,6,FALSE)</f>
        <v>13.615360583741699</v>
      </c>
      <c r="S597" s="40">
        <f>VLOOKUP(B597,'Player Data'!$A1:$AE734,7,FALSE)*$Q597*IFERROR((VLOOKUP(P597,Settings!$E$28:$F$33,2,FALSE)+1),1)</f>
        <v>13.627959908579227</v>
      </c>
      <c r="T597" s="40">
        <f>VLOOKUP(B597,'Player Data'!$A1:$AE734,8,FALSE)*$Q597*IFERROR((VLOOKUP(P597,Settings!$E$28:$F$33,2,FALSE)+1),1)</f>
        <v>13.212389332691203</v>
      </c>
      <c r="U597" s="40">
        <f t="shared" si="52"/>
        <v>26.840349241270431</v>
      </c>
      <c r="V597" s="40">
        <f>VLOOKUP(B597,'Player Data'!$A1:$AE734,10,FALSE)*$Q597*IFERROR(((VLOOKUP(P597,Settings!$E$28:$F$33,2,FALSE)/2)+1),1)</f>
        <v>123.71774445523479</v>
      </c>
      <c r="W597" s="40">
        <f>VLOOKUP(B597,'Player Data'!$A1:$AE734,11,FALSE)*$Q597*IFERROR((VLOOKUP(P597,Settings!$E$28:$F$33,2,FALSE)+1),1)</f>
        <v>0.2738028485502717</v>
      </c>
      <c r="X597" s="40">
        <f>VLOOKUP(B597,'Player Data'!$A1:$AE734,12,FALSE)*$Q597*IFERROR((VLOOKUP(P597,Settings!$E$28:$F$33,2,FALSE)+1),1)</f>
        <v>0.64454028239791117</v>
      </c>
      <c r="Y597" s="40">
        <f>VLOOKUP(B597,'Player Data'!$A1:$AE734,13,FALSE)*$Q597</f>
        <v>1.0189208342669187</v>
      </c>
      <c r="Z597" s="40">
        <f>VLOOKUP(B597,'Player Data'!$A1:$AE734,14,FALSE)*$Q597</f>
        <v>1.1049193021683097</v>
      </c>
      <c r="AA597" s="40">
        <f>VLOOKUP(B597,'Player Data'!$A1:$AE734,15,FALSE)*$Q597</f>
        <v>44.894723566722291</v>
      </c>
      <c r="AB597" s="40">
        <f>VLOOKUP(B597,'Player Data'!$A1:$AE734,16,FALSE)*$Q597</f>
        <v>109.40322565210769</v>
      </c>
      <c r="AC597" s="40">
        <f>VLOOKUP(B597,'Player Data'!$A1:$AE734,17,FALSE)*$Q597*IFERROR((VLOOKUP(P597,Settings!$E$28:$F$33,2,FALSE)+1),1)</f>
        <v>-0.32436252908673835</v>
      </c>
      <c r="AD597" s="40">
        <f>VLOOKUP(B597,'Player Data'!$A1:$AE734,18,FALSE)*$Q597</f>
        <v>24.529362023193883</v>
      </c>
      <c r="AE597" s="40">
        <f>VLOOKUP(B597,'Player Data'!$A1:$AE734,19,FALSE)*$Q597*IFERROR((VLOOKUP(P597,Settings!$E$28:$F$33,2,FALSE)+1),1)</f>
        <v>1.6919896437009962</v>
      </c>
      <c r="AF597" s="40">
        <f>VLOOKUP(B597,'Player Data'!$A1:$AE734,20,FALSE)*$Q597</f>
        <v>449.83210394139229</v>
      </c>
      <c r="AG597" s="40">
        <f>VLOOKUP(B597,'Player Data'!$A1:$AE734,21,FALSE)*$Q597</f>
        <v>381.16250913954804</v>
      </c>
      <c r="AH597" s="41">
        <f>VLOOKUP(B597,'Player Data'!$A1:$AE734,22,FALSE)</f>
        <v>0.54131771356931502</v>
      </c>
      <c r="AI597" s="38"/>
      <c r="AJ597" s="42"/>
      <c r="AK597" s="40"/>
      <c r="AL597" s="40"/>
      <c r="AM597" s="40"/>
      <c r="AN597" s="40"/>
      <c r="AO597" s="40"/>
      <c r="AP597" s="40"/>
      <c r="AQ597" s="43"/>
      <c r="AR597" s="44"/>
      <c r="AS597" s="38"/>
    </row>
    <row r="598" spans="1:45" ht="21.2" customHeight="1">
      <c r="A598" s="181">
        <f t="shared" si="53"/>
        <v>597</v>
      </c>
      <c r="B598" s="8" t="s">
        <v>673</v>
      </c>
      <c r="C598" s="31" t="s">
        <v>104</v>
      </c>
      <c r="D598" s="32" t="str">
        <f>VLOOKUP(B598,'Player Data'!A1:D734,4,FALSE)</f>
        <v>RW</v>
      </c>
      <c r="E598" s="46">
        <f>VLOOKUP(B598,RW!A1:F189,3,FALSE)</f>
        <v>140</v>
      </c>
      <c r="F598" s="34" t="str">
        <f>VLOOKUP(B598,'Player Data'!A1:B734,2,FALSE)</f>
        <v>PHI</v>
      </c>
      <c r="G598" s="9">
        <f>VLOOKUP(B598,'Player Data'!A1:D734,3,FALSE)</f>
        <v>25</v>
      </c>
      <c r="H598" s="35">
        <f>IFERROR(VLOOKUP(B598,ADP!A1:G731,7,FALSE)/1000000,VLOOKUP(B598,ADP!A1:G731,7,FALSE))</f>
        <v>0.78500000000000003</v>
      </c>
      <c r="I598" s="36">
        <f>IF(Settings!$E$15="POINTS",((R598*Q598)*Settings!$B$12)+(S598*Settings!$B$2)+(T598*Settings!$B$3)+(U598*Settings!$B$4)+(V598*Settings!$B$5)+(X598*Settings!$B$9)+(AA598*Settings!$B$6)+(W598*Settings!$B$8)+(AB598*Settings!$B$7)+(AC598*Settings!$B$14)+(AD598*Settings!$B$15)+(AE598*Settings!$B$16)+(AF598*Settings!$B$17)+(AG598*Settings!$B$18)+(Y598*Settings!$B$10)+(Z598*Settings!$B$11),VLOOKUP(B598,'Standard Deviations'!A1:C731,3,FALSE))</f>
        <v>-2.6193532114010392</v>
      </c>
      <c r="J598" s="37">
        <f t="shared" si="54"/>
        <v>-3.1943331846354138E-2</v>
      </c>
      <c r="K598" s="183">
        <f>IF(Settings!$E$18="C/LW/RW",VLOOKUP(B598,RW!A1:F189,6,FALSE),VLOOKUP(B598,F!A1:F431,6,FALSE))</f>
        <v>-8.8996119304121208</v>
      </c>
      <c r="L598" s="36">
        <f t="shared" si="55"/>
        <v>-11.337085261671492</v>
      </c>
      <c r="M598" s="52" t="str">
        <f>IF(Settings!$E$9="YAHOO",VLOOKUP(B598,ADP!A1:E731,2,FALSE),IF(Settings!$E$9="ESPN",VLOOKUP(B598,ADP!A1:E731,3,FALSE),IF(Settings!$E$9="FANTRAX",VLOOKUP(B598,ADP!A1:E731,4,FALSE),VLOOKUP(B598,ADP!A1:E731,5,FALSE))))</f>
        <v>-</v>
      </c>
      <c r="N598" s="52" t="str">
        <f t="shared" si="56"/>
        <v>N/A</v>
      </c>
      <c r="O598" s="38"/>
      <c r="P598" s="39" t="str">
        <f>IF(Settings!$E$27="ON",_xlfn.XLOOKUP(B598,ADP!A2:A731,ADP!H2:H731)," ")</f>
        <v xml:space="preserve"> </v>
      </c>
      <c r="Q598" s="40">
        <f>IF(Settings!$E$12="YES",VLOOKUP(B598,'Player Data'!A1:E734,5,FALSE),82)</f>
        <v>82</v>
      </c>
      <c r="R598" s="38">
        <f>VLOOKUP(B598,'Player Data'!$A1:$AE734,6,FALSE)</f>
        <v>12.9229472122967</v>
      </c>
      <c r="S598" s="40">
        <f>VLOOKUP(B598,'Player Data'!$A1:$AE734,7,FALSE)*$Q598*IFERROR((VLOOKUP(P598,Settings!$E$28:$F$33,2,FALSE)+1),1)</f>
        <v>13.436540338431875</v>
      </c>
      <c r="T598" s="40">
        <f>VLOOKUP(B598,'Player Data'!$A1:$AE734,8,FALSE)*$Q598*IFERROR((VLOOKUP(P598,Settings!$E$28:$F$33,2,FALSE)+1),1)</f>
        <v>12.458551830752675</v>
      </c>
      <c r="U598" s="40">
        <f t="shared" ref="U598:U661" si="57">SUM(S598:T598)</f>
        <v>25.895092169184551</v>
      </c>
      <c r="V598" s="40">
        <f>VLOOKUP(B598,'Player Data'!$A1:$AE734,10,FALSE)*$Q598*IFERROR(((VLOOKUP(P598,Settings!$E$28:$F$33,2,FALSE)/2)+1),1)</f>
        <v>123.7943455959972</v>
      </c>
      <c r="W598" s="40">
        <f>VLOOKUP(B598,'Player Data'!$A1:$AE734,11,FALSE)*$Q598*IFERROR((VLOOKUP(P598,Settings!$E$28:$F$33,2,FALSE)+1),1)</f>
        <v>0.39609129372774105</v>
      </c>
      <c r="X598" s="40">
        <f>VLOOKUP(B598,'Player Data'!$A1:$AE734,12,FALSE)*$Q598*IFERROR((VLOOKUP(P598,Settings!$E$28:$F$33,2,FALSE)+1),1)</f>
        <v>0.84301215418275799</v>
      </c>
      <c r="Y598" s="40">
        <f>VLOOKUP(B598,'Player Data'!$A1:$AE734,13,FALSE)*$Q598</f>
        <v>6.8808361593145715E-3</v>
      </c>
      <c r="Z598" s="40">
        <f>VLOOKUP(B598,'Player Data'!$A1:$AE734,14,FALSE)*$Q598</f>
        <v>1.3252598824375617E-2</v>
      </c>
      <c r="AA598" s="40">
        <f>VLOOKUP(B598,'Player Data'!$A1:$AE734,15,FALSE)*$Q598</f>
        <v>73.509876053298001</v>
      </c>
      <c r="AB598" s="40">
        <f>VLOOKUP(B598,'Player Data'!$A1:$AE734,16,FALSE)*$Q598</f>
        <v>219.35900982998609</v>
      </c>
      <c r="AC598" s="40">
        <f>VLOOKUP(B598,'Player Data'!$A1:$AE734,17,FALSE)*$Q598*IFERROR((VLOOKUP(P598,Settings!$E$28:$F$33,2,FALSE)+1),1)</f>
        <v>-5.5435761691207306</v>
      </c>
      <c r="AD598" s="40">
        <f>VLOOKUP(B598,'Player Data'!$A1:$AE734,18,FALSE)*$Q598</f>
        <v>31.14280098649288</v>
      </c>
      <c r="AE598" s="40">
        <f>VLOOKUP(B598,'Player Data'!$A1:$AE734,19,FALSE)*$Q598*IFERROR((VLOOKUP(P598,Settings!$E$28:$F$33,2,FALSE)+1),1)</f>
        <v>1.5794067657514974</v>
      </c>
      <c r="AF598" s="40">
        <f>VLOOKUP(B598,'Player Data'!$A1:$AE734,20,FALSE)*$Q598</f>
        <v>1.1758661950421265</v>
      </c>
      <c r="AG598" s="40">
        <f>VLOOKUP(B598,'Player Data'!$A1:$AE734,21,FALSE)*$Q598</f>
        <v>6.912536565903121</v>
      </c>
      <c r="AH598" s="41">
        <f>VLOOKUP(B598,'Player Data'!$A1:$AE734,22,FALSE)</f>
        <v>0.14537681045258799</v>
      </c>
      <c r="AI598" s="38"/>
      <c r="AJ598" s="42"/>
      <c r="AK598" s="40"/>
      <c r="AL598" s="40"/>
      <c r="AM598" s="40"/>
      <c r="AN598" s="40"/>
      <c r="AO598" s="40"/>
      <c r="AP598" s="40"/>
      <c r="AQ598" s="43"/>
      <c r="AR598" s="44"/>
      <c r="AS598" s="38"/>
    </row>
    <row r="599" spans="1:45" ht="21.2" customHeight="1">
      <c r="A599" s="181">
        <f t="shared" si="53"/>
        <v>598</v>
      </c>
      <c r="B599" s="8" t="s">
        <v>634</v>
      </c>
      <c r="C599" s="31" t="s">
        <v>104</v>
      </c>
      <c r="D599" s="32" t="str">
        <f>VLOOKUP(B599,'Player Data'!A1:D734,4,FALSE)</f>
        <v>RW</v>
      </c>
      <c r="E599" s="46">
        <f>VLOOKUP(B599,RW!A1:F189,3,FALSE)</f>
        <v>141</v>
      </c>
      <c r="F599" s="34" t="str">
        <f>VLOOKUP(B599,'Player Data'!A1:B734,2,FALSE)</f>
        <v>BUF</v>
      </c>
      <c r="G599" s="9">
        <f>VLOOKUP(B599,'Player Data'!A1:D734,3,FALSE)</f>
        <v>35</v>
      </c>
      <c r="H599" s="35">
        <f>IFERROR(VLOOKUP(B599,ADP!A1:G731,7,FALSE)/1000000,VLOOKUP(B599,ADP!A1:G731,7,FALSE))</f>
        <v>1.915</v>
      </c>
      <c r="I599" s="36">
        <f>IF(Settings!$E$15="POINTS",((R599*Q599)*Settings!$B$12)+(S599*Settings!$B$2)+(T599*Settings!$B$3)+(U599*Settings!$B$4)+(V599*Settings!$B$5)+(X599*Settings!$B$9)+(AA599*Settings!$B$6)+(W599*Settings!$B$8)+(AB599*Settings!$B$7)+(AC599*Settings!$B$14)+(AD599*Settings!$B$15)+(AE599*Settings!$B$16)+(AF599*Settings!$B$17)+(AG599*Settings!$B$18)+(Y599*Settings!$B$10)+(Z599*Settings!$B$11),VLOOKUP(B599,'Standard Deviations'!A1:C731,3,FALSE))</f>
        <v>-2.6238900985348073</v>
      </c>
      <c r="J599" s="37">
        <f t="shared" si="54"/>
        <v>-3.1998659738229358E-2</v>
      </c>
      <c r="K599" s="183">
        <f>IF(Settings!$E$18="C/LW/RW",VLOOKUP(B599,RW!A1:F189,6,FALSE),VLOOKUP(B599,F!A1:F431,6,FALSE))</f>
        <v>-8.9041488175458881</v>
      </c>
      <c r="L599" s="36">
        <f t="shared" si="55"/>
        <v>-4.6496860666035964</v>
      </c>
      <c r="M599" s="52" t="str">
        <f>IF(Settings!$E$9="YAHOO",VLOOKUP(B599,ADP!A1:E731,2,FALSE),IF(Settings!$E$9="ESPN",VLOOKUP(B599,ADP!A1:E731,3,FALSE),IF(Settings!$E$9="FANTRAX",VLOOKUP(B599,ADP!A1:E731,4,FALSE),VLOOKUP(B599,ADP!A1:E731,5,FALSE))))</f>
        <v>-</v>
      </c>
      <c r="N599" s="52" t="str">
        <f t="shared" si="56"/>
        <v>N/A</v>
      </c>
      <c r="O599" s="38"/>
      <c r="P599" s="39" t="str">
        <f>IF(Settings!$E$27="ON",_xlfn.XLOOKUP(B599,ADP!A2:A731,ADP!H2:H731)," ")</f>
        <v xml:space="preserve"> </v>
      </c>
      <c r="Q599" s="40">
        <f>IF(Settings!$E$12="YES",VLOOKUP(B599,'Player Data'!A1:E734,5,FALSE),82)</f>
        <v>82</v>
      </c>
      <c r="R599" s="38">
        <f>VLOOKUP(B599,'Player Data'!$A1:$AE734,6,FALSE)</f>
        <v>12.672771507114</v>
      </c>
      <c r="S599" s="40">
        <f>VLOOKUP(B599,'Player Data'!$A1:$AE734,7,FALSE)*$Q599*IFERROR((VLOOKUP(P599,Settings!$E$28:$F$33,2,FALSE)+1),1)</f>
        <v>9.8556574153266183</v>
      </c>
      <c r="T599" s="40">
        <f>VLOOKUP(B599,'Player Data'!$A1:$AE734,8,FALSE)*$Q599*IFERROR((VLOOKUP(P599,Settings!$E$28:$F$33,2,FALSE)+1),1)</f>
        <v>14.536306545029571</v>
      </c>
      <c r="U599" s="40">
        <f t="shared" si="57"/>
        <v>24.39196396035619</v>
      </c>
      <c r="V599" s="40">
        <f>VLOOKUP(B599,'Player Data'!$A1:$AE734,10,FALSE)*$Q599*IFERROR(((VLOOKUP(P599,Settings!$E$28:$F$33,2,FALSE)/2)+1),1)</f>
        <v>135.35440222313838</v>
      </c>
      <c r="W599" s="40">
        <f>VLOOKUP(B599,'Player Data'!$A1:$AE734,11,FALSE)*$Q599*IFERROR((VLOOKUP(P599,Settings!$E$28:$F$33,2,FALSE)+1),1)</f>
        <v>0.56468132323029496</v>
      </c>
      <c r="X599" s="40">
        <f>VLOOKUP(B599,'Player Data'!$A1:$AE734,12,FALSE)*$Q599*IFERROR((VLOOKUP(P599,Settings!$E$28:$F$33,2,FALSE)+1),1)</f>
        <v>1.4432825819619295</v>
      </c>
      <c r="Y599" s="40">
        <f>VLOOKUP(B599,'Player Data'!$A1:$AE734,13,FALSE)*$Q599</f>
        <v>1.2353225746947212</v>
      </c>
      <c r="Z599" s="40">
        <f>VLOOKUP(B599,'Player Data'!$A1:$AE734,14,FALSE)*$Q599</f>
        <v>1.3068746031891916</v>
      </c>
      <c r="AA599" s="40">
        <f>VLOOKUP(B599,'Player Data'!$A1:$AE734,15,FALSE)*$Q599</f>
        <v>24.805597393295297</v>
      </c>
      <c r="AB599" s="40">
        <f>VLOOKUP(B599,'Player Data'!$A1:$AE734,16,FALSE)*$Q599</f>
        <v>73.946395992471281</v>
      </c>
      <c r="AC599" s="40">
        <f>VLOOKUP(B599,'Player Data'!$A1:$AE734,17,FALSE)*$Q599*IFERROR((VLOOKUP(P599,Settings!$E$28:$F$33,2,FALSE)+1),1)</f>
        <v>-2.3405075261425021</v>
      </c>
      <c r="AD599" s="40">
        <f>VLOOKUP(B599,'Player Data'!$A1:$AE734,18,FALSE)*$Q599</f>
        <v>29.70714516554316</v>
      </c>
      <c r="AE599" s="40">
        <f>VLOOKUP(B599,'Player Data'!$A1:$AE734,19,FALSE)*$Q599*IFERROR((VLOOKUP(P599,Settings!$E$28:$F$33,2,FALSE)+1),1)</f>
        <v>1.261711963569444</v>
      </c>
      <c r="AF599" s="40">
        <f>VLOOKUP(B599,'Player Data'!$A1:$AE734,20,FALSE)*$Q599</f>
        <v>139.03971855918664</v>
      </c>
      <c r="AG599" s="40">
        <f>VLOOKUP(B599,'Player Data'!$A1:$AE734,21,FALSE)*$Q599</f>
        <v>145.02395302948909</v>
      </c>
      <c r="AH599" s="41">
        <f>VLOOKUP(B599,'Player Data'!$A1:$AE734,22,FALSE)</f>
        <v>0.48946673744510399</v>
      </c>
      <c r="AI599" s="38"/>
      <c r="AJ599" s="42"/>
      <c r="AK599" s="40"/>
      <c r="AL599" s="40"/>
      <c r="AM599" s="40"/>
      <c r="AN599" s="40"/>
      <c r="AO599" s="40"/>
      <c r="AP599" s="40"/>
      <c r="AQ599" s="43"/>
      <c r="AR599" s="44"/>
      <c r="AS599" s="38"/>
    </row>
    <row r="600" spans="1:45" ht="21.2" customHeight="1">
      <c r="A600" s="181">
        <f t="shared" si="53"/>
        <v>599</v>
      </c>
      <c r="B600" s="8" t="s">
        <v>696</v>
      </c>
      <c r="C600" s="31" t="s">
        <v>104</v>
      </c>
      <c r="D600" s="32" t="str">
        <f>VLOOKUP(B600,'Player Data'!A1:D734,4,FALSE)</f>
        <v>LW,RW</v>
      </c>
      <c r="E600" s="45">
        <f>VLOOKUP(B600,RW!A1:F189,3,FALSE)</f>
        <v>142</v>
      </c>
      <c r="F600" s="34" t="str">
        <f>VLOOKUP(B600,'Player Data'!A1:B734,2,FALSE)</f>
        <v>VAN</v>
      </c>
      <c r="G600" s="9">
        <f>VLOOKUP(B600,'Player Data'!A1:D734,3,FALSE)</f>
        <v>22</v>
      </c>
      <c r="H600" s="35">
        <f>IFERROR(VLOOKUP(B600,ADP!A1:G731,7,FALSE)/1000000,VLOOKUP(B600,ADP!A1:G731,7,FALSE))</f>
        <v>0.92500000000000004</v>
      </c>
      <c r="I600" s="36">
        <f>IF(Settings!$E$15="POINTS",((R600*Q600)*Settings!$B$12)+(S600*Settings!$B$2)+(T600*Settings!$B$3)+(U600*Settings!$B$4)+(V600*Settings!$B$5)+(X600*Settings!$B$9)+(AA600*Settings!$B$6)+(W600*Settings!$B$8)+(AB600*Settings!$B$7)+(AC600*Settings!$B$14)+(AD600*Settings!$B$15)+(AE600*Settings!$B$16)+(AF600*Settings!$B$17)+(AG600*Settings!$B$18)+(Y600*Settings!$B$10)+(Z600*Settings!$B$11),VLOOKUP(B600,'Standard Deviations'!A1:C731,3,FALSE))</f>
        <v>-2.6329551939783351</v>
      </c>
      <c r="J600" s="37">
        <f t="shared" si="54"/>
        <v>-3.2109209682662621E-2</v>
      </c>
      <c r="K600" s="183">
        <f>IF(Settings!$E$18="C/LW/RW",VLOOKUP(B600,RW!A1:F189,6,FALSE),VLOOKUP(B600,F!A1:F431,6,FALSE))</f>
        <v>-8.9132139129894163</v>
      </c>
      <c r="L600" s="36">
        <f t="shared" si="55"/>
        <v>-9.6359069329615306</v>
      </c>
      <c r="M600" s="52" t="str">
        <f>IF(Settings!$E$9="YAHOO",VLOOKUP(B600,ADP!A1:E731,2,FALSE),IF(Settings!$E$9="ESPN",VLOOKUP(B600,ADP!A1:E731,3,FALSE),IF(Settings!$E$9="FANTRAX",VLOOKUP(B600,ADP!A1:E731,4,FALSE),VLOOKUP(B600,ADP!A1:E731,5,FALSE))))</f>
        <v>-</v>
      </c>
      <c r="N600" s="52" t="str">
        <f t="shared" si="56"/>
        <v>N/A</v>
      </c>
      <c r="O600" s="38"/>
      <c r="P600" s="39" t="str">
        <f>IF(Settings!$E$27="ON",_xlfn.XLOOKUP(B600,ADP!A2:A731,ADP!H2:H731)," ")</f>
        <v xml:space="preserve"> </v>
      </c>
      <c r="Q600" s="40">
        <f>IF(Settings!$E$12="YES",VLOOKUP(B600,'Player Data'!A1:E734,5,FALSE),82)</f>
        <v>82</v>
      </c>
      <c r="R600" s="38">
        <f>VLOOKUP(B600,'Player Data'!$A1:$AE734,6,FALSE)</f>
        <v>12.542656149552499</v>
      </c>
      <c r="S600" s="40">
        <f>VLOOKUP(B600,'Player Data'!$A1:$AE734,7,FALSE)*$Q600*IFERROR((VLOOKUP(P600,Settings!$E$28:$F$33,2,FALSE)+1),1)</f>
        <v>12.846267939668026</v>
      </c>
      <c r="T600" s="40">
        <f>VLOOKUP(B600,'Player Data'!$A1:$AE734,8,FALSE)*$Q600*IFERROR((VLOOKUP(P600,Settings!$E$28:$F$33,2,FALSE)+1),1)</f>
        <v>12.841282310762534</v>
      </c>
      <c r="U600" s="40">
        <f t="shared" si="57"/>
        <v>25.687550250430562</v>
      </c>
      <c r="V600" s="40">
        <f>VLOOKUP(B600,'Player Data'!$A1:$AE734,10,FALSE)*$Q600*IFERROR(((VLOOKUP(P600,Settings!$E$28:$F$33,2,FALSE)/2)+1),1)</f>
        <v>109.7571652640997</v>
      </c>
      <c r="W600" s="40">
        <f>VLOOKUP(B600,'Player Data'!$A1:$AE734,11,FALSE)*$Q600*IFERROR((VLOOKUP(P600,Settings!$E$28:$F$33,2,FALSE)+1),1)</f>
        <v>1.7637021308676495</v>
      </c>
      <c r="X600" s="40">
        <f>VLOOKUP(B600,'Player Data'!$A1:$AE734,12,FALSE)*$Q600*IFERROR((VLOOKUP(P600,Settings!$E$28:$F$33,2,FALSE)+1),1)</f>
        <v>3.4370624751796481</v>
      </c>
      <c r="Y600" s="40">
        <f>VLOOKUP(B600,'Player Data'!$A1:$AE734,13,FALSE)*$Q600</f>
        <v>8.3745518049301772E-3</v>
      </c>
      <c r="Z600" s="40">
        <f>VLOOKUP(B600,'Player Data'!$A1:$AE734,14,FALSE)*$Q600</f>
        <v>1.659039292504589E-2</v>
      </c>
      <c r="AA600" s="40">
        <f>VLOOKUP(B600,'Player Data'!$A1:$AE734,15,FALSE)*$Q600</f>
        <v>33.664009530049704</v>
      </c>
      <c r="AB600" s="40">
        <f>VLOOKUP(B600,'Player Data'!$A1:$AE734,16,FALSE)*$Q600</f>
        <v>104.30056889238767</v>
      </c>
      <c r="AC600" s="40">
        <f>VLOOKUP(B600,'Player Data'!$A1:$AE734,17,FALSE)*$Q600*IFERROR((VLOOKUP(P600,Settings!$E$28:$F$33,2,FALSE)+1),1)</f>
        <v>0.30910390314688441</v>
      </c>
      <c r="AD600" s="40">
        <f>VLOOKUP(B600,'Player Data'!$A1:$AE734,18,FALSE)*$Q600</f>
        <v>24.610899154432865</v>
      </c>
      <c r="AE600" s="40">
        <f>VLOOKUP(B600,'Player Data'!$A1:$AE734,19,FALSE)*$Q600*IFERROR((VLOOKUP(P600,Settings!$E$28:$F$33,2,FALSE)+1),1)</f>
        <v>1.8185131799083076</v>
      </c>
      <c r="AF600" s="40">
        <f>VLOOKUP(B600,'Player Data'!$A1:$AE734,20,FALSE)*$Q600</f>
        <v>13.05336624505434</v>
      </c>
      <c r="AG600" s="40">
        <f>VLOOKUP(B600,'Player Data'!$A1:$AE734,21,FALSE)*$Q600</f>
        <v>17.524160720041266</v>
      </c>
      <c r="AH600" s="41">
        <f>VLOOKUP(B600,'Player Data'!$A1:$AE734,22,FALSE)</f>
        <v>0.42689411278926598</v>
      </c>
      <c r="AI600" s="38"/>
      <c r="AJ600" s="42"/>
      <c r="AK600" s="40"/>
      <c r="AL600" s="40"/>
      <c r="AM600" s="40"/>
      <c r="AN600" s="40"/>
      <c r="AO600" s="40"/>
      <c r="AP600" s="40"/>
      <c r="AQ600" s="43"/>
      <c r="AR600" s="44"/>
      <c r="AS600" s="38"/>
    </row>
    <row r="601" spans="1:45" ht="21.2" customHeight="1">
      <c r="A601" s="181">
        <f t="shared" si="53"/>
        <v>600</v>
      </c>
      <c r="B601" s="8" t="s">
        <v>681</v>
      </c>
      <c r="C601" s="31" t="s">
        <v>104</v>
      </c>
      <c r="D601" s="32" t="str">
        <f>VLOOKUP(B601,'Player Data'!A1:D734,4,FALSE)</f>
        <v>RW</v>
      </c>
      <c r="E601" s="46">
        <f>VLOOKUP(B601,RW!A1:F189,3,FALSE)</f>
        <v>143</v>
      </c>
      <c r="F601" s="34" t="str">
        <f>VLOOKUP(B601,'Player Data'!A1:B734,2,FALSE)</f>
        <v>NYI</v>
      </c>
      <c r="G601" s="9">
        <f>VLOOKUP(B601,'Player Data'!A1:D734,3,FALSE)</f>
        <v>28</v>
      </c>
      <c r="H601" s="35">
        <f>IFERROR(VLOOKUP(B601,ADP!A1:G731,7,FALSE)/1000000,VLOOKUP(B601,ADP!A1:G731,7,FALSE))</f>
        <v>0.77500000000000002</v>
      </c>
      <c r="I601" s="36">
        <f>IF(Settings!$E$15="POINTS",((R601*Q601)*Settings!$B$12)+(S601*Settings!$B$2)+(T601*Settings!$B$3)+(U601*Settings!$B$4)+(V601*Settings!$B$5)+(X601*Settings!$B$9)+(AA601*Settings!$B$6)+(W601*Settings!$B$8)+(AB601*Settings!$B$7)+(AC601*Settings!$B$14)+(AD601*Settings!$B$15)+(AE601*Settings!$B$16)+(AF601*Settings!$B$17)+(AG601*Settings!$B$18)+(Y601*Settings!$B$10)+(Z601*Settings!$B$11),VLOOKUP(B601,'Standard Deviations'!A1:C731,3,FALSE))</f>
        <v>-2.6392232838667899</v>
      </c>
      <c r="J601" s="37">
        <f t="shared" si="54"/>
        <v>-3.2185649803253537E-2</v>
      </c>
      <c r="K601" s="183">
        <f>IF(Settings!$E$18="C/LW/RW",VLOOKUP(B601,RW!A1:F189,6,FALSE),VLOOKUP(B601,F!A1:F431,6,FALSE))</f>
        <v>-8.9194820028778707</v>
      </c>
      <c r="L601" s="36">
        <f t="shared" si="55"/>
        <v>-11.509009035971445</v>
      </c>
      <c r="M601" s="52" t="str">
        <f>IF(Settings!$E$9="YAHOO",VLOOKUP(B601,ADP!A1:E731,2,FALSE),IF(Settings!$E$9="ESPN",VLOOKUP(B601,ADP!A1:E731,3,FALSE),IF(Settings!$E$9="FANTRAX",VLOOKUP(B601,ADP!A1:E731,4,FALSE),VLOOKUP(B601,ADP!A1:E731,5,FALSE))))</f>
        <v>-</v>
      </c>
      <c r="N601" s="52" t="str">
        <f t="shared" si="56"/>
        <v>N/A</v>
      </c>
      <c r="O601" s="38"/>
      <c r="P601" s="39" t="str">
        <f>IF(Settings!$E$27="ON",_xlfn.XLOOKUP(B601,ADP!A2:A731,ADP!H2:H731)," ")</f>
        <v xml:space="preserve"> </v>
      </c>
      <c r="Q601" s="40">
        <f>IF(Settings!$E$12="YES",VLOOKUP(B601,'Player Data'!A1:E734,5,FALSE),82)</f>
        <v>82</v>
      </c>
      <c r="R601" s="38">
        <f>VLOOKUP(B601,'Player Data'!$A1:$AE734,6,FALSE)</f>
        <v>12.514266451203101</v>
      </c>
      <c r="S601" s="40">
        <f>VLOOKUP(B601,'Player Data'!$A1:$AE734,7,FALSE)*$Q601*IFERROR((VLOOKUP(P601,Settings!$E$28:$F$33,2,FALSE)+1),1)</f>
        <v>13.91417812874159</v>
      </c>
      <c r="T601" s="40">
        <f>VLOOKUP(B601,'Player Data'!$A1:$AE734,8,FALSE)*$Q601*IFERROR((VLOOKUP(P601,Settings!$E$28:$F$33,2,FALSE)+1),1)</f>
        <v>14.249609553688426</v>
      </c>
      <c r="U601" s="40">
        <f t="shared" si="57"/>
        <v>28.163787682430016</v>
      </c>
      <c r="V601" s="40">
        <f>VLOOKUP(B601,'Player Data'!$A1:$AE734,10,FALSE)*$Q601*IFERROR(((VLOOKUP(P601,Settings!$E$28:$F$33,2,FALSE)/2)+1),1)</f>
        <v>105.05740692655323</v>
      </c>
      <c r="W601" s="40">
        <f>VLOOKUP(B601,'Player Data'!$A1:$AE734,11,FALSE)*$Q601*IFERROR((VLOOKUP(P601,Settings!$E$28:$F$33,2,FALSE)+1),1)</f>
        <v>0.2883978667412051</v>
      </c>
      <c r="X601" s="40">
        <f>VLOOKUP(B601,'Player Data'!$A1:$AE734,12,FALSE)*$Q601*IFERROR((VLOOKUP(P601,Settings!$E$28:$F$33,2,FALSE)+1),1)</f>
        <v>1.0303042789001902</v>
      </c>
      <c r="Y601" s="40">
        <f>VLOOKUP(B601,'Player Data'!$A1:$AE734,13,FALSE)*$Q601</f>
        <v>2.4793437928713789E-4</v>
      </c>
      <c r="Z601" s="40">
        <f>VLOOKUP(B601,'Player Data'!$A1:$AE734,14,FALSE)*$Q601</f>
        <v>4.6432125644349579E-4</v>
      </c>
      <c r="AA601" s="40">
        <f>VLOOKUP(B601,'Player Data'!$A1:$AE734,15,FALSE)*$Q601</f>
        <v>37.049854242538366</v>
      </c>
      <c r="AB601" s="40">
        <f>VLOOKUP(B601,'Player Data'!$A1:$AE734,16,FALSE)*$Q601</f>
        <v>82.131292977562225</v>
      </c>
      <c r="AC601" s="40">
        <f>VLOOKUP(B601,'Player Data'!$A1:$AE734,17,FALSE)*$Q601*IFERROR((VLOOKUP(P601,Settings!$E$28:$F$33,2,FALSE)+1),1)</f>
        <v>1.3195279848250734</v>
      </c>
      <c r="AD601" s="40">
        <f>VLOOKUP(B601,'Player Data'!$A1:$AE734,18,FALSE)*$Q601</f>
        <v>19.370044029741827</v>
      </c>
      <c r="AE601" s="40">
        <f>VLOOKUP(B601,'Player Data'!$A1:$AE734,19,FALSE)*$Q601*IFERROR((VLOOKUP(P601,Settings!$E$28:$F$33,2,FALSE)+1),1)</f>
        <v>2.1500446478487731</v>
      </c>
      <c r="AF601" s="40">
        <f>VLOOKUP(B601,'Player Data'!$A1:$AE734,20,FALSE)*$Q601</f>
        <v>4.738638311031238</v>
      </c>
      <c r="AG601" s="40">
        <f>VLOOKUP(B601,'Player Data'!$A1:$AE734,21,FALSE)*$Q601</f>
        <v>11.531367873141388</v>
      </c>
      <c r="AH601" s="41">
        <f>VLOOKUP(B601,'Player Data'!$A1:$AE734,22,FALSE)</f>
        <v>0.29124993914513497</v>
      </c>
      <c r="AI601" s="38"/>
      <c r="AJ601" s="42"/>
      <c r="AK601" s="40"/>
      <c r="AL601" s="40"/>
      <c r="AM601" s="40"/>
      <c r="AN601" s="40"/>
      <c r="AO601" s="40"/>
      <c r="AP601" s="40"/>
      <c r="AQ601" s="43"/>
      <c r="AR601" s="44"/>
      <c r="AS601" s="38"/>
    </row>
    <row r="602" spans="1:45" ht="21.2" customHeight="1">
      <c r="A602" s="181">
        <f t="shared" si="53"/>
        <v>601</v>
      </c>
      <c r="B602" s="8" t="s">
        <v>613</v>
      </c>
      <c r="C602" s="31" t="s">
        <v>104</v>
      </c>
      <c r="D602" s="32" t="str">
        <f>VLOOKUP(B602,'Player Data'!A1:D734,4,FALSE)</f>
        <v>C,LW</v>
      </c>
      <c r="E602" s="45">
        <f>VLOOKUP(B602,LW!A1:C227,3,FALSE)</f>
        <v>160</v>
      </c>
      <c r="F602" s="34" t="str">
        <f>VLOOKUP(B602,'Player Data'!A1:B734,2,FALSE)</f>
        <v>UFA</v>
      </c>
      <c r="G602" s="9">
        <f>VLOOKUP(B602,'Player Data'!A1:D734,3,FALSE)</f>
        <v>27</v>
      </c>
      <c r="H602" s="35">
        <f>IFERROR(VLOOKUP(B602,ADP!A1:G731,7,FALSE)/1000000,VLOOKUP(B602,ADP!A1:G731,7,FALSE))</f>
        <v>1.6</v>
      </c>
      <c r="I602" s="36">
        <f>IF(Settings!$E$15="POINTS",((R602*Q602)*Settings!$B$12)+(S602*Settings!$B$2)+(T602*Settings!$B$3)+(U602*Settings!$B$4)+(V602*Settings!$B$5)+(X602*Settings!$B$9)+(AA602*Settings!$B$6)+(W602*Settings!$B$8)+(AB602*Settings!$B$7)+(AC602*Settings!$B$14)+(AD602*Settings!$B$15)+(AE602*Settings!$B$16)+(AF602*Settings!$B$17)+(AG602*Settings!$B$18)+(Y602*Settings!$B$10)+(Z602*Settings!$B$11),VLOOKUP(B602,'Standard Deviations'!A1:C731,3,FALSE))</f>
        <v>-2.2835101723447369</v>
      </c>
      <c r="J602" s="37">
        <f t="shared" si="54"/>
        <v>-2.7847685028594353E-2</v>
      </c>
      <c r="K602" s="183">
        <f>IF(Settings!$E$18="C/LW/RW",VLOOKUP(B602,LW!A1:F227,6,FALSE),VLOOKUP(B602,F!A1:F431,6,FALSE))</f>
        <v>-8.9381792164691376</v>
      </c>
      <c r="L602" s="36">
        <f t="shared" si="55"/>
        <v>-5.586362010293211</v>
      </c>
      <c r="M602" s="52" t="str">
        <f>IF(Settings!$E$9="YAHOO",VLOOKUP(B602,ADP!A1:E731,2,FALSE),IF(Settings!$E$9="ESPN",VLOOKUP(B602,ADP!A1:E731,3,FALSE),IF(Settings!$E$9="FANTRAX",VLOOKUP(B602,ADP!A1:E731,4,FALSE),VLOOKUP(B602,ADP!A1:E731,5,FALSE))))</f>
        <v>-</v>
      </c>
      <c r="N602" s="52" t="str">
        <f t="shared" si="56"/>
        <v>N/A</v>
      </c>
      <c r="O602" s="38"/>
      <c r="P602" s="39" t="str">
        <f>IF(Settings!$E$27="ON",_xlfn.XLOOKUP(B602,ADP!A2:A731,ADP!H2:H731)," ")</f>
        <v xml:space="preserve"> </v>
      </c>
      <c r="Q602" s="40">
        <f>IF(Settings!$E$12="YES",VLOOKUP(B602,'Player Data'!A1:E734,5,FALSE),82)</f>
        <v>82</v>
      </c>
      <c r="R602" s="38">
        <f>VLOOKUP(B602,'Player Data'!$A1:$AE734,6,FALSE)</f>
        <v>14.3398719128334</v>
      </c>
      <c r="S602" s="40">
        <f>VLOOKUP(B602,'Player Data'!$A1:$AE734,7,FALSE)*$Q602*IFERROR((VLOOKUP(P602,Settings!$E$28:$F$33,2,FALSE)+1),1)</f>
        <v>14.768897494958479</v>
      </c>
      <c r="T602" s="40">
        <f>VLOOKUP(B602,'Player Data'!$A1:$AE734,8,FALSE)*$Q602*IFERROR((VLOOKUP(P602,Settings!$E$28:$F$33,2,FALSE)+1),1)</f>
        <v>14.363019357665392</v>
      </c>
      <c r="U602" s="40">
        <f t="shared" si="57"/>
        <v>29.131916852623871</v>
      </c>
      <c r="V602" s="40">
        <f>VLOOKUP(B602,'Player Data'!$A1:$AE734,10,FALSE)*$Q602*IFERROR(((VLOOKUP(P602,Settings!$E$28:$F$33,2,FALSE)/2)+1),1)</f>
        <v>123.61668423100008</v>
      </c>
      <c r="W602" s="40">
        <f>VLOOKUP(B602,'Player Data'!$A1:$AE734,11,FALSE)*$Q602*IFERROR((VLOOKUP(P602,Settings!$E$28:$F$33,2,FALSE)+1),1)</f>
        <v>3.6928577926033379E-2</v>
      </c>
      <c r="X602" s="40">
        <f>VLOOKUP(B602,'Player Data'!$A1:$AE734,12,FALSE)*$Q602*IFERROR((VLOOKUP(P602,Settings!$E$28:$F$33,2,FALSE)+1),1)</f>
        <v>0.1463710852176266</v>
      </c>
      <c r="Y602" s="40">
        <f>VLOOKUP(B602,'Player Data'!$A1:$AE734,13,FALSE)*$Q602</f>
        <v>1.7939791132823171</v>
      </c>
      <c r="Z602" s="40">
        <f>VLOOKUP(B602,'Player Data'!$A1:$AE734,14,FALSE)*$Q602</f>
        <v>1.9217173020462204</v>
      </c>
      <c r="AA602" s="40">
        <f>VLOOKUP(B602,'Player Data'!$A1:$AE734,15,FALSE)*$Q602</f>
        <v>38.747966807257505</v>
      </c>
      <c r="AB602" s="40">
        <f>VLOOKUP(B602,'Player Data'!$A1:$AE734,16,FALSE)*$Q602</f>
        <v>42.416721811749767</v>
      </c>
      <c r="AC602" s="40">
        <f>VLOOKUP(B602,'Player Data'!$A1:$AE734,17,FALSE)*$Q602*IFERROR((VLOOKUP(P602,Settings!$E$28:$F$33,2,FALSE)+1),1)</f>
        <v>0.60750044482115706</v>
      </c>
      <c r="AD602" s="40">
        <f>VLOOKUP(B602,'Player Data'!$A1:$AE734,18,FALSE)*$Q602</f>
        <v>16.2430096687341</v>
      </c>
      <c r="AE602" s="40">
        <f>VLOOKUP(B602,'Player Data'!$A1:$AE734,19,FALSE)*$Q602*IFERROR((VLOOKUP(P602,Settings!$E$28:$F$33,2,FALSE)+1),1)</f>
        <v>0</v>
      </c>
      <c r="AF602" s="40">
        <f>VLOOKUP(B602,'Player Data'!$A1:$AE734,20,FALSE)*$Q602</f>
        <v>277.17558533560384</v>
      </c>
      <c r="AG602" s="40">
        <f>VLOOKUP(B602,'Player Data'!$A1:$AE734,21,FALSE)*$Q602</f>
        <v>312.04268593662567</v>
      </c>
      <c r="AH602" s="41">
        <f>VLOOKUP(B602,'Player Data'!$A1:$AE734,22,FALSE)</f>
        <v>0.47041240716641602</v>
      </c>
      <c r="AI602" s="38"/>
      <c r="AJ602" s="42"/>
      <c r="AK602" s="40"/>
      <c r="AL602" s="40"/>
      <c r="AM602" s="40"/>
      <c r="AN602" s="40"/>
      <c r="AO602" s="40"/>
      <c r="AP602" s="40"/>
      <c r="AQ602" s="43"/>
      <c r="AR602" s="44"/>
      <c r="AS602" s="38"/>
    </row>
    <row r="603" spans="1:45" ht="21.2" customHeight="1">
      <c r="A603" s="181">
        <f t="shared" si="53"/>
        <v>602</v>
      </c>
      <c r="B603" s="8" t="s">
        <v>714</v>
      </c>
      <c r="C603" s="31" t="s">
        <v>104</v>
      </c>
      <c r="D603" s="32" t="str">
        <f>VLOOKUP(B603,'Player Data'!A1:D734,4,FALSE)</f>
        <v>C,LW</v>
      </c>
      <c r="E603" s="45">
        <f>VLOOKUP(B603,LW!A1:C227,3,FALSE)</f>
        <v>161</v>
      </c>
      <c r="F603" s="34" t="str">
        <f>VLOOKUP(B603,'Player Data'!A1:B734,2,FALSE)</f>
        <v>OTT</v>
      </c>
      <c r="G603" s="9">
        <f>VLOOKUP(B603,'Player Data'!A1:D734,3,FALSE)</f>
        <v>21</v>
      </c>
      <c r="H603" s="35">
        <f>IFERROR(VLOOKUP(B603,ADP!A1:G731,7,FALSE)/1000000,VLOOKUP(B603,ADP!A1:G731,7,FALSE))</f>
        <v>0.86329999999999996</v>
      </c>
      <c r="I603" s="36">
        <f>IF(Settings!$E$15="POINTS",((R603*Q603)*Settings!$B$12)+(S603*Settings!$B$2)+(T603*Settings!$B$3)+(U603*Settings!$B$4)+(V603*Settings!$B$5)+(X603*Settings!$B$9)+(AA603*Settings!$B$6)+(W603*Settings!$B$8)+(AB603*Settings!$B$7)+(AC603*Settings!$B$14)+(AD603*Settings!$B$15)+(AE603*Settings!$B$16)+(AF603*Settings!$B$17)+(AG603*Settings!$B$18)+(Y603*Settings!$B$10)+(Z603*Settings!$B$11),VLOOKUP(B603,'Standard Deviations'!A1:C731,3,FALSE))</f>
        <v>-2.318433919128486</v>
      </c>
      <c r="J603" s="37">
        <f t="shared" si="54"/>
        <v>-2.8273584379615684E-2</v>
      </c>
      <c r="K603" s="183">
        <f>IF(Settings!$E$18="C/LW/RW",VLOOKUP(B603,LW!A1:F227,6,FALSE),VLOOKUP(B603,F!A1:F431,6,FALSE))</f>
        <v>-8.973102963252888</v>
      </c>
      <c r="L603" s="36">
        <f t="shared" si="55"/>
        <v>-10.393956866967322</v>
      </c>
      <c r="M603" s="52" t="str">
        <f>IF(Settings!$E$9="YAHOO",VLOOKUP(B603,ADP!A1:E731,2,FALSE),IF(Settings!$E$9="ESPN",VLOOKUP(B603,ADP!A1:E731,3,FALSE),IF(Settings!$E$9="FANTRAX",VLOOKUP(B603,ADP!A1:E731,4,FALSE),VLOOKUP(B603,ADP!A1:E731,5,FALSE))))</f>
        <v>-</v>
      </c>
      <c r="N603" s="52" t="str">
        <f t="shared" si="56"/>
        <v>N/A</v>
      </c>
      <c r="O603" s="38"/>
      <c r="P603" s="39" t="str">
        <f>IF(Settings!$E$27="ON",_xlfn.XLOOKUP(B603,ADP!A2:A731,ADP!H2:H731)," ")</f>
        <v xml:space="preserve"> </v>
      </c>
      <c r="Q603" s="40">
        <f>IF(Settings!$E$12="YES",VLOOKUP(B603,'Player Data'!A1:E734,5,FALSE),82)</f>
        <v>82</v>
      </c>
      <c r="R603" s="38">
        <f>VLOOKUP(B603,'Player Data'!$A1:$AE734,6,FALSE)</f>
        <v>12.1263973818598</v>
      </c>
      <c r="S603" s="40">
        <f>VLOOKUP(B603,'Player Data'!$A1:$AE734,7,FALSE)*$Q603*IFERROR((VLOOKUP(P603,Settings!$E$28:$F$33,2,FALSE)+1),1)</f>
        <v>11.244488014501094</v>
      </c>
      <c r="T603" s="40">
        <f>VLOOKUP(B603,'Player Data'!$A1:$AE734,8,FALSE)*$Q603*IFERROR((VLOOKUP(P603,Settings!$E$28:$F$33,2,FALSE)+1),1)</f>
        <v>18.298643234495625</v>
      </c>
      <c r="U603" s="40">
        <f t="shared" si="57"/>
        <v>29.543131248996719</v>
      </c>
      <c r="V603" s="40">
        <f>VLOOKUP(B603,'Player Data'!$A1:$AE734,10,FALSE)*$Q603*IFERROR(((VLOOKUP(P603,Settings!$E$28:$F$33,2,FALSE)/2)+1),1)</f>
        <v>111.56443576027428</v>
      </c>
      <c r="W603" s="40">
        <f>VLOOKUP(B603,'Player Data'!$A1:$AE734,11,FALSE)*$Q603*IFERROR((VLOOKUP(P603,Settings!$E$28:$F$33,2,FALSE)+1),1)</f>
        <v>0.42551074872195638</v>
      </c>
      <c r="X603" s="40">
        <f>VLOOKUP(B603,'Player Data'!$A1:$AE734,12,FALSE)*$Q603*IFERROR((VLOOKUP(P603,Settings!$E$28:$F$33,2,FALSE)+1),1)</f>
        <v>2.1559509516482604</v>
      </c>
      <c r="Y603" s="40">
        <f>VLOOKUP(B603,'Player Data'!$A1:$AE734,13,FALSE)*$Q603</f>
        <v>0.16733438133456827</v>
      </c>
      <c r="Z603" s="40">
        <f>VLOOKUP(B603,'Player Data'!$A1:$AE734,14,FALSE)*$Q603</f>
        <v>0.3344535863113251</v>
      </c>
      <c r="AA603" s="40">
        <f>VLOOKUP(B603,'Player Data'!$A1:$AE734,15,FALSE)*$Q603</f>
        <v>23.612745544212618</v>
      </c>
      <c r="AB603" s="40">
        <f>VLOOKUP(B603,'Player Data'!$A1:$AE734,16,FALSE)*$Q603</f>
        <v>116.61343114698566</v>
      </c>
      <c r="AC603" s="40">
        <f>VLOOKUP(B603,'Player Data'!$A1:$AE734,17,FALSE)*$Q603*IFERROR((VLOOKUP(P603,Settings!$E$28:$F$33,2,FALSE)+1),1)</f>
        <v>2.4006180533393202</v>
      </c>
      <c r="AD603" s="40">
        <f>VLOOKUP(B603,'Player Data'!$A1:$AE734,18,FALSE)*$Q603</f>
        <v>31.800752447379963</v>
      </c>
      <c r="AE603" s="40">
        <f>VLOOKUP(B603,'Player Data'!$A1:$AE734,19,FALSE)*$Q603*IFERROR((VLOOKUP(P603,Settings!$E$28:$F$33,2,FALSE)+1),1)</f>
        <v>1.6910125416021926</v>
      </c>
      <c r="AF603" s="40">
        <f>VLOOKUP(B603,'Player Data'!$A1:$AE734,20,FALSE)*$Q603</f>
        <v>165.70816249442973</v>
      </c>
      <c r="AG603" s="40">
        <f>VLOOKUP(B603,'Player Data'!$A1:$AE734,21,FALSE)*$Q603</f>
        <v>254.34276103796208</v>
      </c>
      <c r="AH603" s="41">
        <f>VLOOKUP(B603,'Player Data'!$A1:$AE734,22,FALSE)</f>
        <v>0.394495412844037</v>
      </c>
      <c r="AI603" s="38"/>
      <c r="AJ603" s="42"/>
      <c r="AK603" s="40"/>
      <c r="AL603" s="40"/>
      <c r="AM603" s="40"/>
      <c r="AN603" s="40"/>
      <c r="AO603" s="40"/>
      <c r="AP603" s="40"/>
      <c r="AQ603" s="43"/>
      <c r="AR603" s="44"/>
      <c r="AS603" s="38"/>
    </row>
    <row r="604" spans="1:45" ht="21.2" customHeight="1">
      <c r="A604" s="181">
        <f t="shared" si="53"/>
        <v>603</v>
      </c>
      <c r="B604" s="8" t="s">
        <v>630</v>
      </c>
      <c r="C604" s="31" t="s">
        <v>104</v>
      </c>
      <c r="D604" s="32" t="str">
        <f>VLOOKUP(B604,'Player Data'!A1:D734,4,FALSE)</f>
        <v>RW</v>
      </c>
      <c r="E604" s="46">
        <f>VLOOKUP(B604,RW!A1:F189,3,FALSE)</f>
        <v>144</v>
      </c>
      <c r="F604" s="34" t="str">
        <f>VLOOKUP(B604,'Player Data'!A1:B734,2,FALSE)</f>
        <v>CHI</v>
      </c>
      <c r="G604" s="9">
        <f>VLOOKUP(B604,'Player Data'!A1:D734,3,FALSE)</f>
        <v>38</v>
      </c>
      <c r="H604" s="35">
        <f>IFERROR(VLOOKUP(B604,ADP!A1:G731,7,FALSE)/1000000,VLOOKUP(B604,ADP!A1:G731,7,FALSE))</f>
        <v>4</v>
      </c>
      <c r="I604" s="36">
        <f>IF(Settings!$E$15="POINTS",((R604*Q604)*Settings!$B$12)+(S604*Settings!$B$2)+(T604*Settings!$B$3)+(U604*Settings!$B$4)+(V604*Settings!$B$5)+(X604*Settings!$B$9)+(AA604*Settings!$B$6)+(W604*Settings!$B$8)+(AB604*Settings!$B$7)+(AC604*Settings!$B$14)+(AD604*Settings!$B$15)+(AE604*Settings!$B$16)+(AF604*Settings!$B$17)+(AG604*Settings!$B$18)+(Y604*Settings!$B$10)+(Z604*Settings!$B$11),VLOOKUP(B604,'Standard Deviations'!A1:C731,3,FALSE))</f>
        <v>-2.6965536863636945</v>
      </c>
      <c r="J604" s="37">
        <f t="shared" si="54"/>
        <v>-3.2884801053215784E-2</v>
      </c>
      <c r="K604" s="183">
        <f>IF(Settings!$E$18="C/LW/RW",VLOOKUP(B604,RW!A1:F189,6,FALSE),VLOOKUP(B604,F!A1:F431,6,FALSE))</f>
        <v>-8.9768124053747762</v>
      </c>
      <c r="L604" s="36">
        <f t="shared" si="55"/>
        <v>-2.2442031013436941</v>
      </c>
      <c r="M604" s="52" t="str">
        <f>IF(Settings!$E$9="YAHOO",VLOOKUP(B604,ADP!A1:E731,2,FALSE),IF(Settings!$E$9="ESPN",VLOOKUP(B604,ADP!A1:E731,3,FALSE),IF(Settings!$E$9="FANTRAX",VLOOKUP(B604,ADP!A1:E731,4,FALSE),VLOOKUP(B604,ADP!A1:E731,5,FALSE))))</f>
        <v>-</v>
      </c>
      <c r="N604" s="52" t="str">
        <f t="shared" si="56"/>
        <v>N/A</v>
      </c>
      <c r="O604" s="38"/>
      <c r="P604" s="39" t="str">
        <f>IF(Settings!$E$27="ON",_xlfn.XLOOKUP(B604,ADP!A2:A731,ADP!H2:H731)," ")</f>
        <v xml:space="preserve"> </v>
      </c>
      <c r="Q604" s="40">
        <f>IF(Settings!$E$12="YES",VLOOKUP(B604,'Player Data'!A1:E734,5,FALSE),82)</f>
        <v>82</v>
      </c>
      <c r="R604" s="38">
        <f>VLOOKUP(B604,'Player Data'!$A1:$AE734,6,FALSE)</f>
        <v>11.9615654222525</v>
      </c>
      <c r="S604" s="40">
        <f>VLOOKUP(B604,'Player Data'!$A1:$AE734,7,FALSE)*$Q604*IFERROR((VLOOKUP(P604,Settings!$E$28:$F$33,2,FALSE)+1),1)</f>
        <v>10.399864977744667</v>
      </c>
      <c r="T604" s="40">
        <f>VLOOKUP(B604,'Player Data'!$A1:$AE734,8,FALSE)*$Q604*IFERROR((VLOOKUP(P604,Settings!$E$28:$F$33,2,FALSE)+1),1)</f>
        <v>12.85293887204881</v>
      </c>
      <c r="U604" s="40">
        <f t="shared" si="57"/>
        <v>23.252803849793477</v>
      </c>
      <c r="V604" s="40">
        <f>VLOOKUP(B604,'Player Data'!$A1:$AE734,10,FALSE)*$Q604*IFERROR(((VLOOKUP(P604,Settings!$E$28:$F$33,2,FALSE)/2)+1),1)</f>
        <v>115.27551407480678</v>
      </c>
      <c r="W604" s="40">
        <f>VLOOKUP(B604,'Player Data'!$A1:$AE734,11,FALSE)*$Q604*IFERROR((VLOOKUP(P604,Settings!$E$28:$F$33,2,FALSE)+1),1)</f>
        <v>2.4455098286334702</v>
      </c>
      <c r="X604" s="40">
        <f>VLOOKUP(B604,'Player Data'!$A1:$AE734,12,FALSE)*$Q604*IFERROR((VLOOKUP(P604,Settings!$E$28:$F$33,2,FALSE)+1),1)</f>
        <v>5.2811502146004674</v>
      </c>
      <c r="Y604" s="40">
        <f>VLOOKUP(B604,'Player Data'!$A1:$AE734,13,FALSE)*$Q604</f>
        <v>1.1596631208169736E-3</v>
      </c>
      <c r="Z604" s="40">
        <f>VLOOKUP(B604,'Player Data'!$A1:$AE734,14,FALSE)*$Q604</f>
        <v>1.7807628172591369E-3</v>
      </c>
      <c r="AA604" s="40">
        <f>VLOOKUP(B604,'Player Data'!$A1:$AE734,15,FALSE)*$Q604</f>
        <v>28.521216616679677</v>
      </c>
      <c r="AB604" s="40">
        <f>VLOOKUP(B604,'Player Data'!$A1:$AE734,16,FALSE)*$Q604</f>
        <v>70.683142536447619</v>
      </c>
      <c r="AC604" s="40">
        <f>VLOOKUP(B604,'Player Data'!$A1:$AE734,17,FALSE)*$Q604*IFERROR((VLOOKUP(P604,Settings!$E$28:$F$33,2,FALSE)+1),1)</f>
        <v>-5.7599628416564679</v>
      </c>
      <c r="AD604" s="40">
        <f>VLOOKUP(B604,'Player Data'!$A1:$AE734,18,FALSE)*$Q604</f>
        <v>53.46330154918622</v>
      </c>
      <c r="AE604" s="40">
        <f>VLOOKUP(B604,'Player Data'!$A1:$AE734,19,FALSE)*$Q604*IFERROR((VLOOKUP(P604,Settings!$E$28:$F$33,2,FALSE)+1),1)</f>
        <v>1.2186723181832564</v>
      </c>
      <c r="AF604" s="40">
        <f>VLOOKUP(B604,'Player Data'!$A1:$AE734,20,FALSE)*$Q604</f>
        <v>0.31624156417056903</v>
      </c>
      <c r="AG604" s="40">
        <f>VLOOKUP(B604,'Player Data'!$A1:$AE734,21,FALSE)*$Q604</f>
        <v>1.233305904853659</v>
      </c>
      <c r="AH604" s="41">
        <f>VLOOKUP(B604,'Player Data'!$A1:$AE734,22,FALSE)</f>
        <v>0.204086399734311</v>
      </c>
      <c r="AI604" s="38"/>
      <c r="AJ604" s="42"/>
      <c r="AK604" s="40"/>
      <c r="AL604" s="40"/>
      <c r="AM604" s="40"/>
      <c r="AN604" s="40"/>
      <c r="AO604" s="40"/>
      <c r="AP604" s="40"/>
      <c r="AQ604" s="43"/>
      <c r="AR604" s="44"/>
      <c r="AS604" s="38"/>
    </row>
    <row r="605" spans="1:45" ht="21.2" customHeight="1">
      <c r="A605" s="181">
        <f t="shared" si="53"/>
        <v>604</v>
      </c>
      <c r="B605" s="8" t="s">
        <v>685</v>
      </c>
      <c r="C605" s="31" t="s">
        <v>104</v>
      </c>
      <c r="D605" s="32" t="str">
        <f>VLOOKUP(B605,'Player Data'!A1:D734,4,FALSE)</f>
        <v>C,RW</v>
      </c>
      <c r="E605" s="45">
        <f>VLOOKUP(B605,RW!A1:F189,3,FALSE)</f>
        <v>145</v>
      </c>
      <c r="F605" s="34" t="str">
        <f>VLOOKUP(B605,'Player Data'!A1:B734,2,FALSE)</f>
        <v>CBJ</v>
      </c>
      <c r="G605" s="9">
        <f>VLOOKUP(B605,'Player Data'!A1:D734,3,FALSE)</f>
        <v>24</v>
      </c>
      <c r="H605" s="35">
        <f>IFERROR(VLOOKUP(B605,ADP!A1:G731,7,FALSE)/1000000,VLOOKUP(B605,ADP!A1:G731,7,FALSE))</f>
        <v>0.9</v>
      </c>
      <c r="I605" s="36">
        <f>IF(Settings!$E$15="POINTS",((R605*Q605)*Settings!$B$12)+(S605*Settings!$B$2)+(T605*Settings!$B$3)+(U605*Settings!$B$4)+(V605*Settings!$B$5)+(X605*Settings!$B$9)+(AA605*Settings!$B$6)+(W605*Settings!$B$8)+(AB605*Settings!$B$7)+(AC605*Settings!$B$14)+(AD605*Settings!$B$15)+(AE605*Settings!$B$16)+(AF605*Settings!$B$17)+(AG605*Settings!$B$18)+(Y605*Settings!$B$10)+(Z605*Settings!$B$11),VLOOKUP(B605,'Standard Deviations'!A1:C731,3,FALSE))</f>
        <v>-2.7323736687853604</v>
      </c>
      <c r="J605" s="37">
        <f t="shared" si="54"/>
        <v>-3.3321630107138539E-2</v>
      </c>
      <c r="K605" s="183">
        <f>IF(Settings!$E$18="C/LW/RW",VLOOKUP(B605,RW!A1:F189,6,FALSE),VLOOKUP(B605,F!A1:F431,6,FALSE))</f>
        <v>-9.0126323877964403</v>
      </c>
      <c r="L605" s="36">
        <f t="shared" si="55"/>
        <v>-10.014035986440488</v>
      </c>
      <c r="M605" s="52" t="str">
        <f>IF(Settings!$E$9="YAHOO",VLOOKUP(B605,ADP!A1:E731,2,FALSE),IF(Settings!$E$9="ESPN",VLOOKUP(B605,ADP!A1:E731,3,FALSE),IF(Settings!$E$9="FANTRAX",VLOOKUP(B605,ADP!A1:E731,4,FALSE),VLOOKUP(B605,ADP!A1:E731,5,FALSE))))</f>
        <v>-</v>
      </c>
      <c r="N605" s="52" t="str">
        <f t="shared" si="56"/>
        <v>N/A</v>
      </c>
      <c r="O605" s="38"/>
      <c r="P605" s="39" t="str">
        <f>IF(Settings!$E$27="ON",_xlfn.XLOOKUP(B605,ADP!A2:A731,ADP!H2:H731)," ")</f>
        <v xml:space="preserve"> </v>
      </c>
      <c r="Q605" s="40">
        <f>IF(Settings!$E$12="YES",VLOOKUP(B605,'Player Data'!A1:E734,5,FALSE),82)</f>
        <v>82</v>
      </c>
      <c r="R605" s="38">
        <f>VLOOKUP(B605,'Player Data'!$A1:$AE734,6,FALSE)</f>
        <v>11.274184679877999</v>
      </c>
      <c r="S605" s="40">
        <f>VLOOKUP(B605,'Player Data'!$A1:$AE734,7,FALSE)*$Q605*IFERROR((VLOOKUP(P605,Settings!$E$28:$F$33,2,FALSE)+1),1)</f>
        <v>9.9028291783722082</v>
      </c>
      <c r="T605" s="40">
        <f>VLOOKUP(B605,'Player Data'!$A1:$AE734,8,FALSE)*$Q605*IFERROR((VLOOKUP(P605,Settings!$E$28:$F$33,2,FALSE)+1),1)</f>
        <v>15.864005591668858</v>
      </c>
      <c r="U605" s="40">
        <f t="shared" si="57"/>
        <v>25.766834770041065</v>
      </c>
      <c r="V605" s="40">
        <f>VLOOKUP(B605,'Player Data'!$A1:$AE734,10,FALSE)*$Q605*IFERROR(((VLOOKUP(P605,Settings!$E$28:$F$33,2,FALSE)/2)+1),1)</f>
        <v>114.95723550336929</v>
      </c>
      <c r="W605" s="40">
        <f>VLOOKUP(B605,'Player Data'!$A1:$AE734,11,FALSE)*$Q605*IFERROR((VLOOKUP(P605,Settings!$E$28:$F$33,2,FALSE)+1),1)</f>
        <v>1.0733343157528865</v>
      </c>
      <c r="X605" s="40">
        <f>VLOOKUP(B605,'Player Data'!$A1:$AE734,12,FALSE)*$Q605*IFERROR((VLOOKUP(P605,Settings!$E$28:$F$33,2,FALSE)+1),1)</f>
        <v>2.1649493267976805</v>
      </c>
      <c r="Y605" s="40">
        <f>VLOOKUP(B605,'Player Data'!$A1:$AE734,13,FALSE)*$Q605</f>
        <v>0</v>
      </c>
      <c r="Z605" s="40">
        <f>VLOOKUP(B605,'Player Data'!$A1:$AE734,14,FALSE)*$Q605</f>
        <v>0</v>
      </c>
      <c r="AA605" s="40">
        <f>VLOOKUP(B605,'Player Data'!$A1:$AE734,15,FALSE)*$Q605</f>
        <v>28.580433753037934</v>
      </c>
      <c r="AB605" s="40">
        <f>VLOOKUP(B605,'Player Data'!$A1:$AE734,16,FALSE)*$Q605</f>
        <v>57.409321481119477</v>
      </c>
      <c r="AC605" s="40">
        <f>VLOOKUP(B605,'Player Data'!$A1:$AE734,17,FALSE)*$Q605*IFERROR((VLOOKUP(P605,Settings!$E$28:$F$33,2,FALSE)+1),1)</f>
        <v>-5.0556190290097112</v>
      </c>
      <c r="AD605" s="40">
        <f>VLOOKUP(B605,'Player Data'!$A1:$AE734,18,FALSE)*$Q605</f>
        <v>12.594561430705314</v>
      </c>
      <c r="AE605" s="40">
        <f>VLOOKUP(B605,'Player Data'!$A1:$AE734,19,FALSE)*$Q605*IFERROR((VLOOKUP(P605,Settings!$E$28:$F$33,2,FALSE)+1),1)</f>
        <v>1.061156329295937</v>
      </c>
      <c r="AF605" s="40">
        <f>VLOOKUP(B605,'Player Data'!$A1:$AE734,20,FALSE)*$Q605</f>
        <v>7.866812941585863</v>
      </c>
      <c r="AG605" s="40">
        <f>VLOOKUP(B605,'Player Data'!$A1:$AE734,21,FALSE)*$Q605</f>
        <v>12.533144262572765</v>
      </c>
      <c r="AH605" s="41">
        <f>VLOOKUP(B605,'Player Data'!$A1:$AE734,22,FALSE)</f>
        <v>0.38562889435778602</v>
      </c>
      <c r="AI605" s="38"/>
      <c r="AJ605" s="40"/>
      <c r="AK605" s="40"/>
      <c r="AL605" s="40"/>
      <c r="AM605" s="40"/>
      <c r="AN605" s="40"/>
      <c r="AO605" s="40"/>
      <c r="AP605" s="40"/>
      <c r="AQ605" s="43"/>
      <c r="AR605" s="44"/>
      <c r="AS605" s="38"/>
    </row>
    <row r="606" spans="1:45" ht="21.2" customHeight="1">
      <c r="A606" s="181">
        <f t="shared" si="53"/>
        <v>605</v>
      </c>
      <c r="B606" s="8" t="s">
        <v>689</v>
      </c>
      <c r="C606" s="31" t="s">
        <v>104</v>
      </c>
      <c r="D606" s="32" t="str">
        <f>VLOOKUP(B606,'Player Data'!A1:D734,4,FALSE)</f>
        <v>LW</v>
      </c>
      <c r="E606" s="48">
        <f>VLOOKUP(B606,LW!A1:C227,3,FALSE)</f>
        <v>162</v>
      </c>
      <c r="F606" s="34" t="str">
        <f>VLOOKUP(B606,'Player Data'!A1:B734,2,FALSE)</f>
        <v>CBJ</v>
      </c>
      <c r="G606" s="9">
        <f>VLOOKUP(B606,'Player Data'!A1:D734,3,FALSE)</f>
        <v>23</v>
      </c>
      <c r="H606" s="35">
        <f>IFERROR(VLOOKUP(B606,ADP!A1:G731,7,FALSE)/1000000,VLOOKUP(B606,ADP!A1:G731,7,FALSE))</f>
        <v>1.5249999999999999</v>
      </c>
      <c r="I606" s="36">
        <f>IF(Settings!$E$15="POINTS",((R606*Q606)*Settings!$B$12)+(S606*Settings!$B$2)+(T606*Settings!$B$3)+(U606*Settings!$B$4)+(V606*Settings!$B$5)+(X606*Settings!$B$9)+(AA606*Settings!$B$6)+(W606*Settings!$B$8)+(AB606*Settings!$B$7)+(AC606*Settings!$B$14)+(AD606*Settings!$B$15)+(AE606*Settings!$B$16)+(AF606*Settings!$B$17)+(AG606*Settings!$B$18)+(Y606*Settings!$B$10)+(Z606*Settings!$B$11),VLOOKUP(B606,'Standard Deviations'!A1:C731,3,FALSE))</f>
        <v>-2.3675446458818015</v>
      </c>
      <c r="J606" s="37">
        <f t="shared" si="54"/>
        <v>-2.8872495681485384E-2</v>
      </c>
      <c r="K606" s="183">
        <f>IF(Settings!$E$18="C/LW/RW",VLOOKUP(B606,LW!A1:F227,6,FALSE),VLOOKUP(B606,F!A1:F431,6,FALSE))</f>
        <v>-9.0222136900062022</v>
      </c>
      <c r="L606" s="36">
        <f t="shared" si="55"/>
        <v>-5.9162056983647231</v>
      </c>
      <c r="M606" s="52" t="str">
        <f>IF(Settings!$E$9="YAHOO",VLOOKUP(B606,ADP!A1:E731,2,FALSE),IF(Settings!$E$9="ESPN",VLOOKUP(B606,ADP!A1:E731,3,FALSE),IF(Settings!$E$9="FANTRAX",VLOOKUP(B606,ADP!A1:E731,4,FALSE),VLOOKUP(B606,ADP!A1:E731,5,FALSE))))</f>
        <v>-</v>
      </c>
      <c r="N606" s="52" t="str">
        <f t="shared" si="56"/>
        <v>N/A</v>
      </c>
      <c r="O606" s="38"/>
      <c r="P606" s="39" t="str">
        <f>IF(Settings!$E$27="ON",_xlfn.XLOOKUP(B606,ADP!A2:A731,ADP!H2:H731)," ")</f>
        <v xml:space="preserve"> </v>
      </c>
      <c r="Q606" s="40">
        <f>IF(Settings!$E$12="YES",VLOOKUP(B606,'Player Data'!A1:E734,5,FALSE),82)</f>
        <v>82</v>
      </c>
      <c r="R606" s="38">
        <f>VLOOKUP(B606,'Player Data'!$A1:$AE734,6,FALSE)</f>
        <v>11.6997632043796</v>
      </c>
      <c r="S606" s="40">
        <f>VLOOKUP(B606,'Player Data'!$A1:$AE734,7,FALSE)*$Q606*IFERROR((VLOOKUP(P606,Settings!$E$28:$F$33,2,FALSE)+1),1)</f>
        <v>14.409527901156199</v>
      </c>
      <c r="T606" s="40">
        <f>VLOOKUP(B606,'Player Data'!$A1:$AE734,8,FALSE)*$Q606*IFERROR((VLOOKUP(P606,Settings!$E$28:$F$33,2,FALSE)+1),1)</f>
        <v>16.620059444337382</v>
      </c>
      <c r="U606" s="40">
        <f t="shared" si="57"/>
        <v>31.029587345493582</v>
      </c>
      <c r="V606" s="40">
        <f>VLOOKUP(B606,'Player Data'!$A1:$AE734,10,FALSE)*$Q606*IFERROR(((VLOOKUP(P606,Settings!$E$28:$F$33,2,FALSE)/2)+1),1)</f>
        <v>102.63649494819308</v>
      </c>
      <c r="W606" s="40">
        <f>VLOOKUP(B606,'Player Data'!$A1:$AE734,11,FALSE)*$Q606*IFERROR((VLOOKUP(P606,Settings!$E$28:$F$33,2,FALSE)+1),1)</f>
        <v>0.27825753083813415</v>
      </c>
      <c r="X606" s="40">
        <f>VLOOKUP(B606,'Player Data'!$A1:$AE734,12,FALSE)*$Q606*IFERROR((VLOOKUP(P606,Settings!$E$28:$F$33,2,FALSE)+1),1)</f>
        <v>0.69534711583494702</v>
      </c>
      <c r="Y606" s="40">
        <f>VLOOKUP(B606,'Player Data'!$A1:$AE734,13,FALSE)*$Q606</f>
        <v>0</v>
      </c>
      <c r="Z606" s="40">
        <f>VLOOKUP(B606,'Player Data'!$A1:$AE734,14,FALSE)*$Q606</f>
        <v>0</v>
      </c>
      <c r="AA606" s="40">
        <f>VLOOKUP(B606,'Player Data'!$A1:$AE734,15,FALSE)*$Q606</f>
        <v>27.137062557111534</v>
      </c>
      <c r="AB606" s="40">
        <f>VLOOKUP(B606,'Player Data'!$A1:$AE734,16,FALSE)*$Q606</f>
        <v>67.892031784054993</v>
      </c>
      <c r="AC606" s="40">
        <f>VLOOKUP(B606,'Player Data'!$A1:$AE734,17,FALSE)*$Q606*IFERROR((VLOOKUP(P606,Settings!$E$28:$F$33,2,FALSE)+1),1)</f>
        <v>-4.7894026214926591</v>
      </c>
      <c r="AD606" s="40">
        <f>VLOOKUP(B606,'Player Data'!$A1:$AE734,18,FALSE)*$Q606</f>
        <v>0</v>
      </c>
      <c r="AE606" s="40">
        <f>VLOOKUP(B606,'Player Data'!$A1:$AE734,19,FALSE)*$Q606*IFERROR((VLOOKUP(P606,Settings!$E$28:$F$33,2,FALSE)+1),1)</f>
        <v>1.5440801269069124</v>
      </c>
      <c r="AF606" s="40">
        <f>VLOOKUP(B606,'Player Data'!$A1:$AE734,20,FALSE)*$Q606</f>
        <v>108.12251457380164</v>
      </c>
      <c r="AG606" s="40">
        <f>VLOOKUP(B606,'Player Data'!$A1:$AE734,21,FALSE)*$Q606</f>
        <v>196.1797957852653</v>
      </c>
      <c r="AH606" s="41">
        <f>VLOOKUP(B606,'Player Data'!$A1:$AE734,22,FALSE)</f>
        <v>0.35531282837196099</v>
      </c>
      <c r="AI606" s="38"/>
      <c r="AJ606" s="42"/>
      <c r="AK606" s="40"/>
      <c r="AL606" s="40"/>
      <c r="AM606" s="40"/>
      <c r="AN606" s="40"/>
      <c r="AO606" s="40"/>
      <c r="AP606" s="40"/>
      <c r="AQ606" s="43"/>
      <c r="AR606" s="44"/>
      <c r="AS606" s="38"/>
    </row>
    <row r="607" spans="1:45" ht="21.2" customHeight="1">
      <c r="A607" s="181">
        <f t="shared" si="53"/>
        <v>606</v>
      </c>
      <c r="B607" s="8" t="s">
        <v>645</v>
      </c>
      <c r="C607" s="31" t="s">
        <v>104</v>
      </c>
      <c r="D607" s="32" t="str">
        <f>VLOOKUP(B607,'Player Data'!A1:D734,4,FALSE)</f>
        <v>C,RW</v>
      </c>
      <c r="E607" s="45">
        <f>VLOOKUP(B607,RW!A1:F189,3,FALSE)</f>
        <v>146</v>
      </c>
      <c r="F607" s="34" t="str">
        <f>VLOOKUP(B607,'Player Data'!A1:B734,2,FALSE)</f>
        <v>TOR</v>
      </c>
      <c r="G607" s="9">
        <f>VLOOKUP(B607,'Player Data'!A1:D734,3,FALSE)</f>
        <v>28</v>
      </c>
      <c r="H607" s="35">
        <f>IFERROR(VLOOKUP(B607,ADP!A1:G731,7,FALSE)/1000000,VLOOKUP(B607,ADP!A1:G731,7,FALSE))</f>
        <v>1.1499999999999999</v>
      </c>
      <c r="I607" s="36">
        <f>IF(Settings!$E$15="POINTS",((R607*Q607)*Settings!$B$12)+(S607*Settings!$B$2)+(T607*Settings!$B$3)+(U607*Settings!$B$4)+(V607*Settings!$B$5)+(X607*Settings!$B$9)+(AA607*Settings!$B$6)+(W607*Settings!$B$8)+(AB607*Settings!$B$7)+(AC607*Settings!$B$14)+(AD607*Settings!$B$15)+(AE607*Settings!$B$16)+(AF607*Settings!$B$17)+(AG607*Settings!$B$18)+(Y607*Settings!$B$10)+(Z607*Settings!$B$11),VLOOKUP(B607,'Standard Deviations'!A1:C731,3,FALSE))</f>
        <v>-2.7424901688594581</v>
      </c>
      <c r="J607" s="37">
        <f t="shared" si="54"/>
        <v>-3.344500205926168E-2</v>
      </c>
      <c r="K607" s="183">
        <f>IF(Settings!$E$18="C/LW/RW",VLOOKUP(B607,RW!A1:F189,6,FALSE),VLOOKUP(B607,F!A1:F431,6,FALSE))</f>
        <v>-9.022748887870538</v>
      </c>
      <c r="L607" s="36">
        <f t="shared" si="55"/>
        <v>-7.8458685981482947</v>
      </c>
      <c r="M607" s="52" t="str">
        <f>IF(Settings!$E$9="YAHOO",VLOOKUP(B607,ADP!A1:E731,2,FALSE),IF(Settings!$E$9="ESPN",VLOOKUP(B607,ADP!A1:E731,3,FALSE),IF(Settings!$E$9="FANTRAX",VLOOKUP(B607,ADP!A1:E731,4,FALSE),VLOOKUP(B607,ADP!A1:E731,5,FALSE))))</f>
        <v>-</v>
      </c>
      <c r="N607" s="52" t="str">
        <f t="shared" si="56"/>
        <v>N/A</v>
      </c>
      <c r="O607" s="38"/>
      <c r="P607" s="39" t="str">
        <f>IF(Settings!$E$27="ON",_xlfn.XLOOKUP(B607,ADP!A2:A731,ADP!H2:H731)," ")</f>
        <v xml:space="preserve"> </v>
      </c>
      <c r="Q607" s="40">
        <f>IF(Settings!$E$12="YES",VLOOKUP(B607,'Player Data'!A1:E734,5,FALSE),82)</f>
        <v>82</v>
      </c>
      <c r="R607" s="38">
        <f>VLOOKUP(B607,'Player Data'!$A1:$AE734,6,FALSE)</f>
        <v>13.7581917839745</v>
      </c>
      <c r="S607" s="40">
        <f>VLOOKUP(B607,'Player Data'!$A1:$AE734,7,FALSE)*$Q607*IFERROR((VLOOKUP(P607,Settings!$E$28:$F$33,2,FALSE)+1),1)</f>
        <v>11.082568298651879</v>
      </c>
      <c r="T607" s="40">
        <f>VLOOKUP(B607,'Player Data'!$A1:$AE734,8,FALSE)*$Q607*IFERROR((VLOOKUP(P607,Settings!$E$28:$F$33,2,FALSE)+1),1)</f>
        <v>15.688307268207016</v>
      </c>
      <c r="U607" s="40">
        <f t="shared" si="57"/>
        <v>26.770875566858894</v>
      </c>
      <c r="V607" s="40">
        <f>VLOOKUP(B607,'Player Data'!$A1:$AE734,10,FALSE)*$Q607*IFERROR(((VLOOKUP(P607,Settings!$E$28:$F$33,2,FALSE)/2)+1),1)</f>
        <v>115.78866713546431</v>
      </c>
      <c r="W607" s="40">
        <f>VLOOKUP(B607,'Player Data'!$A1:$AE734,11,FALSE)*$Q607*IFERROR((VLOOKUP(P607,Settings!$E$28:$F$33,2,FALSE)+1),1)</f>
        <v>0.18859447484075603</v>
      </c>
      <c r="X607" s="40">
        <f>VLOOKUP(B607,'Player Data'!$A1:$AE734,12,FALSE)*$Q607*IFERROR((VLOOKUP(P607,Settings!$E$28:$F$33,2,FALSE)+1),1)</f>
        <v>0.48166065814611791</v>
      </c>
      <c r="Y607" s="40">
        <f>VLOOKUP(B607,'Player Data'!$A1:$AE734,13,FALSE)*$Q607</f>
        <v>2.925426390232539</v>
      </c>
      <c r="Z607" s="40">
        <f>VLOOKUP(B607,'Player Data'!$A1:$AE734,14,FALSE)*$Q607</f>
        <v>3.7329368334994664</v>
      </c>
      <c r="AA607" s="40">
        <f>VLOOKUP(B607,'Player Data'!$A1:$AE734,15,FALSE)*$Q607</f>
        <v>38.946667251627694</v>
      </c>
      <c r="AB607" s="40">
        <f>VLOOKUP(B607,'Player Data'!$A1:$AE734,16,FALSE)*$Q607</f>
        <v>149.96741807110695</v>
      </c>
      <c r="AC607" s="40">
        <f>VLOOKUP(B607,'Player Data'!$A1:$AE734,17,FALSE)*$Q607*IFERROR((VLOOKUP(P607,Settings!$E$28:$F$33,2,FALSE)+1),1)</f>
        <v>2.149436769110229</v>
      </c>
      <c r="AD607" s="40">
        <f>VLOOKUP(B607,'Player Data'!$A1:$AE734,18,FALSE)*$Q607</f>
        <v>43.472835953350128</v>
      </c>
      <c r="AE607" s="40">
        <f>VLOOKUP(B607,'Player Data'!$A1:$AE734,19,FALSE)*$Q607*IFERROR((VLOOKUP(P607,Settings!$E$28:$F$33,2,FALSE)+1),1)</f>
        <v>1.7804116514764305</v>
      </c>
      <c r="AF607" s="40">
        <f>VLOOKUP(B607,'Player Data'!$A1:$AE734,20,FALSE)*$Q607</f>
        <v>242.59363042884488</v>
      </c>
      <c r="AG607" s="40">
        <f>VLOOKUP(B607,'Player Data'!$A1:$AE734,21,FALSE)*$Q607</f>
        <v>264.58646573252213</v>
      </c>
      <c r="AH607" s="41">
        <f>VLOOKUP(B607,'Player Data'!$A1:$AE734,22,FALSE)</f>
        <v>0.478318514990896</v>
      </c>
      <c r="AI607" s="38"/>
      <c r="AJ607" s="42"/>
      <c r="AK607" s="40"/>
      <c r="AL607" s="40"/>
      <c r="AM607" s="40"/>
      <c r="AN607" s="40"/>
      <c r="AO607" s="40"/>
      <c r="AP607" s="40"/>
      <c r="AQ607" s="43"/>
      <c r="AR607" s="44"/>
      <c r="AS607" s="38"/>
    </row>
    <row r="608" spans="1:45" ht="21.2" customHeight="1">
      <c r="A608" s="181">
        <f t="shared" si="53"/>
        <v>607</v>
      </c>
      <c r="B608" s="8" t="s">
        <v>706</v>
      </c>
      <c r="C608" s="31" t="s">
        <v>104</v>
      </c>
      <c r="D608" s="32" t="str">
        <f>VLOOKUP(B608,'Player Data'!A1:D734,4,FALSE)</f>
        <v>LW,RW</v>
      </c>
      <c r="E608" s="45">
        <f>VLOOKUP(B608,RW!A1:F189,3,FALSE)</f>
        <v>147</v>
      </c>
      <c r="F608" s="34" t="str">
        <f>VLOOKUP(B608,'Player Data'!A1:B734,2,FALSE)</f>
        <v>DET</v>
      </c>
      <c r="G608" s="9">
        <f>VLOOKUP(B608,'Player Data'!A1:D734,3,FALSE)</f>
        <v>24</v>
      </c>
      <c r="H608" s="35">
        <f>IFERROR(VLOOKUP(B608,ADP!A1:G731,7,FALSE)/1000000,VLOOKUP(B608,ADP!A1:G731,7,FALSE))</f>
        <v>2</v>
      </c>
      <c r="I608" s="36">
        <f>IF(Settings!$E$15="POINTS",((R608*Q608)*Settings!$B$12)+(S608*Settings!$B$2)+(T608*Settings!$B$3)+(U608*Settings!$B$4)+(V608*Settings!$B$5)+(X608*Settings!$B$9)+(AA608*Settings!$B$6)+(W608*Settings!$B$8)+(AB608*Settings!$B$7)+(AC608*Settings!$B$14)+(AD608*Settings!$B$15)+(AE608*Settings!$B$16)+(AF608*Settings!$B$17)+(AG608*Settings!$B$18)+(Y608*Settings!$B$10)+(Z608*Settings!$B$11),VLOOKUP(B608,'Standard Deviations'!A1:C731,3,FALSE))</f>
        <v>-2.7498306939977932</v>
      </c>
      <c r="J608" s="37">
        <f t="shared" si="54"/>
        <v>-3.3534520658509676E-2</v>
      </c>
      <c r="K608" s="183">
        <f>IF(Settings!$E$18="C/LW/RW",VLOOKUP(B608,RW!A1:F189,6,FALSE),VLOOKUP(B608,F!A1:F431,6,FALSE))</f>
        <v>-9.0300894130088736</v>
      </c>
      <c r="L608" s="36">
        <f t="shared" si="55"/>
        <v>-4.5150447065044368</v>
      </c>
      <c r="M608" s="52" t="str">
        <f>IF(Settings!$E$9="YAHOO",VLOOKUP(B608,ADP!A1:E731,2,FALSE),IF(Settings!$E$9="ESPN",VLOOKUP(B608,ADP!A1:E731,3,FALSE),IF(Settings!$E$9="FANTRAX",VLOOKUP(B608,ADP!A1:E731,4,FALSE),VLOOKUP(B608,ADP!A1:E731,5,FALSE))))</f>
        <v>-</v>
      </c>
      <c r="N608" s="52" t="str">
        <f t="shared" si="56"/>
        <v>N/A</v>
      </c>
      <c r="O608" s="38"/>
      <c r="P608" s="39" t="str">
        <f>IF(Settings!$E$27="ON",_xlfn.XLOOKUP(B608,ADP!A2:A731,ADP!H2:H731)," ")</f>
        <v xml:space="preserve"> </v>
      </c>
      <c r="Q608" s="40">
        <f>IF(Settings!$E$12="YES",VLOOKUP(B608,'Player Data'!A1:E734,5,FALSE),82)</f>
        <v>82</v>
      </c>
      <c r="R608" s="38">
        <f>VLOOKUP(B608,'Player Data'!$A1:$AE734,6,FALSE)</f>
        <v>11.2179535886427</v>
      </c>
      <c r="S608" s="40">
        <f>VLOOKUP(B608,'Player Data'!$A1:$AE734,7,FALSE)*$Q608*IFERROR((VLOOKUP(P608,Settings!$E$28:$F$33,2,FALSE)+1),1)</f>
        <v>14.34488501377891</v>
      </c>
      <c r="T608" s="40">
        <f>VLOOKUP(B608,'Player Data'!$A1:$AE734,8,FALSE)*$Q608*IFERROR((VLOOKUP(P608,Settings!$E$28:$F$33,2,FALSE)+1),1)</f>
        <v>15.61260646445764</v>
      </c>
      <c r="U608" s="40">
        <f t="shared" si="57"/>
        <v>29.957491478236548</v>
      </c>
      <c r="V608" s="40">
        <f>VLOOKUP(B608,'Player Data'!$A1:$AE734,10,FALSE)*$Q608*IFERROR(((VLOOKUP(P608,Settings!$E$28:$F$33,2,FALSE)/2)+1),1)</f>
        <v>90.478059692319107</v>
      </c>
      <c r="W608" s="40">
        <f>VLOOKUP(B608,'Player Data'!$A1:$AE734,11,FALSE)*$Q608*IFERROR((VLOOKUP(P608,Settings!$E$28:$F$33,2,FALSE)+1),1)</f>
        <v>7.2079054260398331E-2</v>
      </c>
      <c r="X608" s="40">
        <f>VLOOKUP(B608,'Player Data'!$A1:$AE734,12,FALSE)*$Q608*IFERROR((VLOOKUP(P608,Settings!$E$28:$F$33,2,FALSE)+1),1)</f>
        <v>0.17959275341436126</v>
      </c>
      <c r="Y608" s="40">
        <f>VLOOKUP(B608,'Player Data'!$A1:$AE734,13,FALSE)*$Q608</f>
        <v>6.1705762458424214E-4</v>
      </c>
      <c r="Z608" s="40">
        <f>VLOOKUP(B608,'Player Data'!$A1:$AE734,14,FALSE)*$Q608</f>
        <v>1.1988458323039233E-3</v>
      </c>
      <c r="AA608" s="40">
        <f>VLOOKUP(B608,'Player Data'!$A1:$AE734,15,FALSE)*$Q608</f>
        <v>25.804607470089625</v>
      </c>
      <c r="AB608" s="40">
        <f>VLOOKUP(B608,'Player Data'!$A1:$AE734,16,FALSE)*$Q608</f>
        <v>214.31768263804668</v>
      </c>
      <c r="AC608" s="40">
        <f>VLOOKUP(B608,'Player Data'!$A1:$AE734,17,FALSE)*$Q608*IFERROR((VLOOKUP(P608,Settings!$E$28:$F$33,2,FALSE)+1),1)</f>
        <v>-1.7018625557252307</v>
      </c>
      <c r="AD608" s="40">
        <f>VLOOKUP(B608,'Player Data'!$A1:$AE734,18,FALSE)*$Q608</f>
        <v>56.677438396637363</v>
      </c>
      <c r="AE608" s="40">
        <f>VLOOKUP(B608,'Player Data'!$A1:$AE734,19,FALSE)*$Q608*IFERROR((VLOOKUP(P608,Settings!$E$28:$F$33,2,FALSE)+1),1)</f>
        <v>1.8983426918523802</v>
      </c>
      <c r="AF608" s="40">
        <f>VLOOKUP(B608,'Player Data'!$A1:$AE734,20,FALSE)*$Q608</f>
        <v>6.4974329206776078</v>
      </c>
      <c r="AG608" s="40">
        <f>VLOOKUP(B608,'Player Data'!$A1:$AE734,21,FALSE)*$Q608</f>
        <v>8.742318872124903</v>
      </c>
      <c r="AH608" s="41">
        <f>VLOOKUP(B608,'Player Data'!$A1:$AE734,22,FALSE)</f>
        <v>0.426347686564439</v>
      </c>
      <c r="AI608" s="38"/>
      <c r="AJ608" s="42"/>
      <c r="AK608" s="40"/>
      <c r="AL608" s="40"/>
      <c r="AM608" s="40"/>
      <c r="AN608" s="40"/>
      <c r="AO608" s="40"/>
      <c r="AP608" s="40"/>
      <c r="AQ608" s="43"/>
      <c r="AR608" s="44"/>
      <c r="AS608" s="38"/>
    </row>
    <row r="609" spans="1:45" ht="21.2" customHeight="1">
      <c r="A609" s="181">
        <f t="shared" si="53"/>
        <v>608</v>
      </c>
      <c r="B609" s="8" t="s">
        <v>746</v>
      </c>
      <c r="C609" s="31" t="s">
        <v>104</v>
      </c>
      <c r="D609" s="32" t="str">
        <f>VLOOKUP(B609,'Player Data'!A1:D734,4,FALSE)</f>
        <v>LW</v>
      </c>
      <c r="E609" s="48">
        <f>VLOOKUP(B609,LW!A1:C227,3,FALSE)</f>
        <v>163</v>
      </c>
      <c r="F609" s="34" t="str">
        <f>VLOOKUP(B609,'Player Data'!A1:B734,2,FALSE)</f>
        <v>VAN</v>
      </c>
      <c r="G609" s="9">
        <f>VLOOKUP(B609,'Player Data'!A1:D734,3,FALSE)</f>
        <v>22</v>
      </c>
      <c r="H609" s="35">
        <f>IFERROR(VLOOKUP(B609,ADP!A1:G731,7,FALSE)/1000000,VLOOKUP(B609,ADP!A1:G731,7,FALSE))</f>
        <v>1.1000000000000001</v>
      </c>
      <c r="I609" s="36">
        <f>IF(Settings!$E$15="POINTS",((R609*Q609)*Settings!$B$12)+(S609*Settings!$B$2)+(T609*Settings!$B$3)+(U609*Settings!$B$4)+(V609*Settings!$B$5)+(X609*Settings!$B$9)+(AA609*Settings!$B$6)+(W609*Settings!$B$8)+(AB609*Settings!$B$7)+(AC609*Settings!$B$14)+(AD609*Settings!$B$15)+(AE609*Settings!$B$16)+(AF609*Settings!$B$17)+(AG609*Settings!$B$18)+(Y609*Settings!$B$10)+(Z609*Settings!$B$11),VLOOKUP(B609,'Standard Deviations'!A1:C731,3,FALSE))</f>
        <v>-2.3904770419940826</v>
      </c>
      <c r="J609" s="37">
        <f t="shared" si="54"/>
        <v>-2.9152159048708326E-2</v>
      </c>
      <c r="K609" s="183">
        <f>IF(Settings!$E$18="C/LW/RW",VLOOKUP(B609,LW!A1:F227,6,FALSE),VLOOKUP(B609,F!A1:F431,6,FALSE))</f>
        <v>-9.0451460861184838</v>
      </c>
      <c r="L609" s="36">
        <f t="shared" si="55"/>
        <v>-8.2228600782895303</v>
      </c>
      <c r="M609" s="52" t="str">
        <f>IF(Settings!$E$9="YAHOO",VLOOKUP(B609,ADP!A1:E731,2,FALSE),IF(Settings!$E$9="ESPN",VLOOKUP(B609,ADP!A1:E731,3,FALSE),IF(Settings!$E$9="FANTRAX",VLOOKUP(B609,ADP!A1:E731,4,FALSE),VLOOKUP(B609,ADP!A1:E731,5,FALSE))))</f>
        <v>-</v>
      </c>
      <c r="N609" s="52" t="str">
        <f t="shared" si="56"/>
        <v>N/A</v>
      </c>
      <c r="O609" s="38"/>
      <c r="P609" s="39" t="str">
        <f>IF(Settings!$E$27="ON",_xlfn.XLOOKUP(B609,ADP!A2:A731,ADP!H2:H731)," ")</f>
        <v xml:space="preserve"> </v>
      </c>
      <c r="Q609" s="40">
        <f>IF(Settings!$E$12="YES",VLOOKUP(B609,'Player Data'!A1:E734,5,FALSE),82)</f>
        <v>82</v>
      </c>
      <c r="R609" s="38">
        <f>VLOOKUP(B609,'Player Data'!$A1:$AE734,6,FALSE)</f>
        <v>12.055199999999999</v>
      </c>
      <c r="S609" s="40">
        <f>VLOOKUP(B609,'Player Data'!$A1:$AE734,7,FALSE)*$Q609*IFERROR((VLOOKUP(P609,Settings!$E$28:$F$33,2,FALSE)+1),1)</f>
        <v>12.906643759023106</v>
      </c>
      <c r="T609" s="40">
        <f>VLOOKUP(B609,'Player Data'!$A1:$AE734,8,FALSE)*$Q609*IFERROR((VLOOKUP(P609,Settings!$E$28:$F$33,2,FALSE)+1),1)</f>
        <v>15.178397960825537</v>
      </c>
      <c r="U609" s="40">
        <f t="shared" si="57"/>
        <v>28.085041719848643</v>
      </c>
      <c r="V609" s="40">
        <f>VLOOKUP(B609,'Player Data'!$A1:$AE734,10,FALSE)*$Q609*IFERROR(((VLOOKUP(P609,Settings!$E$28:$F$33,2,FALSE)/2)+1),1)</f>
        <v>123.28873261627268</v>
      </c>
      <c r="W609" s="40">
        <f>VLOOKUP(B609,'Player Data'!$A1:$AE734,11,FALSE)*$Q609*IFERROR((VLOOKUP(P609,Settings!$E$28:$F$33,2,FALSE)+1),1)</f>
        <v>0.33368889009582003</v>
      </c>
      <c r="X609" s="40">
        <f>VLOOKUP(B609,'Player Data'!$A1:$AE734,12,FALSE)*$Q609*IFERROR((VLOOKUP(P609,Settings!$E$28:$F$33,2,FALSE)+1),1)</f>
        <v>0.78508967752668135</v>
      </c>
      <c r="Y609" s="40">
        <f>VLOOKUP(B609,'Player Data'!$A1:$AE734,13,FALSE)*$Q609</f>
        <v>0</v>
      </c>
      <c r="Z609" s="40">
        <f>VLOOKUP(B609,'Player Data'!$A1:$AE734,14,FALSE)*$Q609</f>
        <v>0</v>
      </c>
      <c r="AA609" s="40">
        <f>VLOOKUP(B609,'Player Data'!$A1:$AE734,15,FALSE)*$Q609</f>
        <v>25.569769104102921</v>
      </c>
      <c r="AB609" s="40">
        <f>VLOOKUP(B609,'Player Data'!$A1:$AE734,16,FALSE)*$Q609</f>
        <v>70.654360234830222</v>
      </c>
      <c r="AC609" s="40">
        <f>VLOOKUP(B609,'Player Data'!$A1:$AE734,17,FALSE)*$Q609*IFERROR((VLOOKUP(P609,Settings!$E$28:$F$33,2,FALSE)+1),1)</f>
        <v>-6.1781462521533687E-2</v>
      </c>
      <c r="AD609" s="40">
        <f>VLOOKUP(B609,'Player Data'!$A1:$AE734,18,FALSE)*$Q609</f>
        <v>23.934202531871438</v>
      </c>
      <c r="AE609" s="40">
        <f>VLOOKUP(B609,'Player Data'!$A1:$AE734,19,FALSE)*$Q609*IFERROR((VLOOKUP(P609,Settings!$E$28:$F$33,2,FALSE)+1),1)</f>
        <v>1.8270599597015327</v>
      </c>
      <c r="AF609" s="40">
        <f>VLOOKUP(B609,'Player Data'!$A1:$AE734,20,FALSE)*$Q609</f>
        <v>1.118561886754023</v>
      </c>
      <c r="AG609" s="40">
        <f>VLOOKUP(B609,'Player Data'!$A1:$AE734,21,FALSE)*$Q609</f>
        <v>2.9174427539355805</v>
      </c>
      <c r="AH609" s="41">
        <f>VLOOKUP(B609,'Player Data'!$A1:$AE734,22,FALSE)</f>
        <v>0.27714583761303502</v>
      </c>
      <c r="AI609" s="38"/>
      <c r="AJ609" s="42"/>
      <c r="AK609" s="40"/>
      <c r="AL609" s="40"/>
      <c r="AM609" s="40"/>
      <c r="AN609" s="40"/>
      <c r="AO609" s="40"/>
      <c r="AP609" s="40"/>
      <c r="AQ609" s="43"/>
      <c r="AR609" s="44"/>
      <c r="AS609" s="38"/>
    </row>
    <row r="610" spans="1:45" ht="21.2" customHeight="1">
      <c r="A610" s="181">
        <f t="shared" si="53"/>
        <v>609</v>
      </c>
      <c r="B610" s="8" t="s">
        <v>677</v>
      </c>
      <c r="C610" s="31" t="s">
        <v>104</v>
      </c>
      <c r="D610" s="32" t="str">
        <f>VLOOKUP(B610,'Player Data'!A1:D734,4,FALSE)</f>
        <v>LW,RW</v>
      </c>
      <c r="E610" s="45">
        <f>VLOOKUP(B610,RW!A1:F189,3,FALSE)</f>
        <v>148</v>
      </c>
      <c r="F610" s="34" t="str">
        <f>VLOOKUP(B610,'Player Data'!A1:B734,2,FALSE)</f>
        <v>STL</v>
      </c>
      <c r="G610" s="9">
        <f>VLOOKUP(B610,'Player Data'!A1:D734,3,FALSE)</f>
        <v>27</v>
      </c>
      <c r="H610" s="35">
        <f>IFERROR(VLOOKUP(B610,ADP!A1:G731,7,FALSE)/1000000,VLOOKUP(B610,ADP!A1:G731,7,FALSE))</f>
        <v>1</v>
      </c>
      <c r="I610" s="36">
        <f>IF(Settings!$E$15="POINTS",((R610*Q610)*Settings!$B$12)+(S610*Settings!$B$2)+(T610*Settings!$B$3)+(U610*Settings!$B$4)+(V610*Settings!$B$5)+(X610*Settings!$B$9)+(AA610*Settings!$B$6)+(W610*Settings!$B$8)+(AB610*Settings!$B$7)+(AC610*Settings!$B$14)+(AD610*Settings!$B$15)+(AE610*Settings!$B$16)+(AF610*Settings!$B$17)+(AG610*Settings!$B$18)+(Y610*Settings!$B$10)+(Z610*Settings!$B$11),VLOOKUP(B610,'Standard Deviations'!A1:C731,3,FALSE))</f>
        <v>-2.849660354219071</v>
      </c>
      <c r="J610" s="37">
        <f t="shared" si="54"/>
        <v>-3.4751955539256967E-2</v>
      </c>
      <c r="K610" s="183">
        <f>IF(Settings!$E$18="C/LW/RW",VLOOKUP(B610,RW!A1:F189,6,FALSE),VLOOKUP(B610,F!A1:F431,6,FALSE))</f>
        <v>-9.1299190732301518</v>
      </c>
      <c r="L610" s="36">
        <f t="shared" si="55"/>
        <v>-9.1299190732301518</v>
      </c>
      <c r="M610" s="38">
        <f>IF(Settings!$E$9="YAHOO",VLOOKUP(B610,ADP!A1:E731,2,FALSE),IF(Settings!$E$9="ESPN",VLOOKUP(B610,ADP!A1:E731,3,FALSE),IF(Settings!$E$9="FANTRAX",VLOOKUP(B610,ADP!A1:E731,4,FALSE),VLOOKUP(B610,ADP!A1:E731,5,FALSE))))</f>
        <v>225.91</v>
      </c>
      <c r="N610" s="38">
        <f t="shared" si="56"/>
        <v>-383.09000000000003</v>
      </c>
      <c r="O610" s="38"/>
      <c r="P610" s="39" t="str">
        <f>IF(Settings!$E$27="ON",_xlfn.XLOOKUP(B610,ADP!A2:A731,ADP!H2:H731)," ")</f>
        <v xml:space="preserve"> </v>
      </c>
      <c r="Q610" s="40">
        <f>IF(Settings!$E$12="YES",VLOOKUP(B610,'Player Data'!A1:E734,5,FALSE),82)</f>
        <v>82</v>
      </c>
      <c r="R610" s="38">
        <f>VLOOKUP(B610,'Player Data'!$A1:$AE734,6,FALSE)</f>
        <v>12.129291720730899</v>
      </c>
      <c r="S610" s="40">
        <f>VLOOKUP(B610,'Player Data'!$A1:$AE734,7,FALSE)*$Q610*IFERROR((VLOOKUP(P610,Settings!$E$28:$F$33,2,FALSE)+1),1)</f>
        <v>11.049321356589896</v>
      </c>
      <c r="T610" s="40">
        <f>VLOOKUP(B610,'Player Data'!$A1:$AE734,8,FALSE)*$Q610*IFERROR((VLOOKUP(P610,Settings!$E$28:$F$33,2,FALSE)+1),1)</f>
        <v>18.287969607510863</v>
      </c>
      <c r="U610" s="40">
        <f t="shared" si="57"/>
        <v>29.33729096410076</v>
      </c>
      <c r="V610" s="40">
        <f>VLOOKUP(B610,'Player Data'!$A1:$AE734,10,FALSE)*$Q610*IFERROR(((VLOOKUP(P610,Settings!$E$28:$F$33,2,FALSE)/2)+1),1)</f>
        <v>86.27914480156727</v>
      </c>
      <c r="W610" s="40">
        <f>VLOOKUP(B610,'Player Data'!$A1:$AE734,11,FALSE)*$Q610*IFERROR((VLOOKUP(P610,Settings!$E$28:$F$33,2,FALSE)+1),1)</f>
        <v>0.38637437836177208</v>
      </c>
      <c r="X610" s="40">
        <f>VLOOKUP(B610,'Player Data'!$A1:$AE734,12,FALSE)*$Q610*IFERROR((VLOOKUP(P610,Settings!$E$28:$F$33,2,FALSE)+1),1)</f>
        <v>1.3738701181347881</v>
      </c>
      <c r="Y610" s="40">
        <f>VLOOKUP(B610,'Player Data'!$A1:$AE734,13,FALSE)*$Q610</f>
        <v>2.6056712208921908E-3</v>
      </c>
      <c r="Z610" s="40">
        <f>VLOOKUP(B610,'Player Data'!$A1:$AE734,14,FALSE)*$Q610</f>
        <v>4.9052489403066763E-3</v>
      </c>
      <c r="AA610" s="40">
        <f>VLOOKUP(B610,'Player Data'!$A1:$AE734,15,FALSE)*$Q610</f>
        <v>40.157690513903326</v>
      </c>
      <c r="AB610" s="40">
        <f>VLOOKUP(B610,'Player Data'!$A1:$AE734,16,FALSE)*$Q610</f>
        <v>242.75165862393703</v>
      </c>
      <c r="AC610" s="40">
        <f>VLOOKUP(B610,'Player Data'!$A1:$AE734,17,FALSE)*$Q610*IFERROR((VLOOKUP(P610,Settings!$E$28:$F$33,2,FALSE)+1),1)</f>
        <v>-3.380340999855949</v>
      </c>
      <c r="AD610" s="40">
        <f>VLOOKUP(B610,'Player Data'!$A1:$AE734,18,FALSE)*$Q610</f>
        <v>35.322753255514058</v>
      </c>
      <c r="AE610" s="40">
        <f>VLOOKUP(B610,'Player Data'!$A1:$AE734,19,FALSE)*$Q610*IFERROR((VLOOKUP(P610,Settings!$E$28:$F$33,2,FALSE)+1),1)</f>
        <v>1.2714755915368783</v>
      </c>
      <c r="AF610" s="40">
        <f>VLOOKUP(B610,'Player Data'!$A1:$AE734,20,FALSE)*$Q610</f>
        <v>3.3735994266433029</v>
      </c>
      <c r="AG610" s="40">
        <f>VLOOKUP(B610,'Player Data'!$A1:$AE734,21,FALSE)*$Q610</f>
        <v>5.744167989754561</v>
      </c>
      <c r="AH610" s="41">
        <f>VLOOKUP(B610,'Player Data'!$A1:$AE734,22,FALSE)</f>
        <v>0.370002794826291</v>
      </c>
      <c r="AI610" s="38"/>
      <c r="AJ610" s="42"/>
      <c r="AK610" s="40"/>
      <c r="AL610" s="40"/>
      <c r="AM610" s="40"/>
      <c r="AN610" s="40"/>
      <c r="AO610" s="40"/>
      <c r="AP610" s="40"/>
      <c r="AQ610" s="43"/>
      <c r="AR610" s="44"/>
      <c r="AS610" s="38"/>
    </row>
    <row r="611" spans="1:45" ht="21.2" customHeight="1">
      <c r="A611" s="181">
        <f t="shared" si="53"/>
        <v>610</v>
      </c>
      <c r="B611" s="8" t="s">
        <v>643</v>
      </c>
      <c r="C611" s="31" t="s">
        <v>104</v>
      </c>
      <c r="D611" s="32" t="str">
        <f>VLOOKUP(B611,'Player Data'!A1:D734,4,FALSE)</f>
        <v>LW,RW</v>
      </c>
      <c r="E611" s="45">
        <f>VLOOKUP(B611,RW!A1:F189,3,FALSE)</f>
        <v>149</v>
      </c>
      <c r="F611" s="34" t="str">
        <f>VLOOKUP(B611,'Player Data'!A1:B734,2,FALSE)</f>
        <v>EDM</v>
      </c>
      <c r="G611" s="9">
        <f>VLOOKUP(B611,'Player Data'!A1:D734,3,FALSE)</f>
        <v>30</v>
      </c>
      <c r="H611" s="35">
        <f>IFERROR(VLOOKUP(B611,ADP!A1:G731,7,FALSE)/1000000,VLOOKUP(B611,ADP!A1:G731,7,FALSE))</f>
        <v>1</v>
      </c>
      <c r="I611" s="36">
        <f>IF(Settings!$E$15="POINTS",((R611*Q611)*Settings!$B$12)+(S611*Settings!$B$2)+(T611*Settings!$B$3)+(U611*Settings!$B$4)+(V611*Settings!$B$5)+(X611*Settings!$B$9)+(AA611*Settings!$B$6)+(W611*Settings!$B$8)+(AB611*Settings!$B$7)+(AC611*Settings!$B$14)+(AD611*Settings!$B$15)+(AE611*Settings!$B$16)+(AF611*Settings!$B$17)+(AG611*Settings!$B$18)+(Y611*Settings!$B$10)+(Z611*Settings!$B$11),VLOOKUP(B611,'Standard Deviations'!A1:C731,3,FALSE))</f>
        <v>-2.885786457550918</v>
      </c>
      <c r="J611" s="37">
        <f t="shared" si="54"/>
        <v>-3.5192517775011194E-2</v>
      </c>
      <c r="K611" s="183">
        <f>IF(Settings!$E$18="C/LW/RW",VLOOKUP(B611,RW!A1:F189,6,FALSE),VLOOKUP(B611,F!A1:F431,6,FALSE))</f>
        <v>-9.1660451765619992</v>
      </c>
      <c r="L611" s="36">
        <f t="shared" si="55"/>
        <v>-9.1660451765619992</v>
      </c>
      <c r="M611" s="52" t="str">
        <f>IF(Settings!$E$9="YAHOO",VLOOKUP(B611,ADP!A1:E731,2,FALSE),IF(Settings!$E$9="ESPN",VLOOKUP(B611,ADP!A1:E731,3,FALSE),IF(Settings!$E$9="FANTRAX",VLOOKUP(B611,ADP!A1:E731,4,FALSE),VLOOKUP(B611,ADP!A1:E731,5,FALSE))))</f>
        <v>-</v>
      </c>
      <c r="N611" s="52" t="str">
        <f t="shared" si="56"/>
        <v>N/A</v>
      </c>
      <c r="O611" s="38"/>
      <c r="P611" s="39" t="str">
        <f>IF(Settings!$E$27="ON",_xlfn.XLOOKUP(B611,ADP!A2:A731,ADP!H2:H731)," ")</f>
        <v xml:space="preserve"> </v>
      </c>
      <c r="Q611" s="40">
        <f>IF(Settings!$E$12="YES",VLOOKUP(B611,'Player Data'!A1:E734,5,FALSE),82)</f>
        <v>82</v>
      </c>
      <c r="R611" s="38">
        <f>VLOOKUP(B611,'Player Data'!$A1:$AE734,6,FALSE)</f>
        <v>13.8719586680853</v>
      </c>
      <c r="S611" s="40">
        <f>VLOOKUP(B611,'Player Data'!$A1:$AE734,7,FALSE)*$Q611*IFERROR((VLOOKUP(P611,Settings!$E$28:$F$33,2,FALSE)+1),1)</f>
        <v>10.846242163750473</v>
      </c>
      <c r="T611" s="40">
        <f>VLOOKUP(B611,'Player Data'!$A1:$AE734,8,FALSE)*$Q611*IFERROR((VLOOKUP(P611,Settings!$E$28:$F$33,2,FALSE)+1),1)</f>
        <v>17.136424669079009</v>
      </c>
      <c r="U611" s="40">
        <f t="shared" si="57"/>
        <v>27.98266683282948</v>
      </c>
      <c r="V611" s="40">
        <f>VLOOKUP(B611,'Player Data'!$A1:$AE734,10,FALSE)*$Q611*IFERROR(((VLOOKUP(P611,Settings!$E$28:$F$33,2,FALSE)/2)+1),1)</f>
        <v>101.0431632672051</v>
      </c>
      <c r="W611" s="40">
        <f>VLOOKUP(B611,'Player Data'!$A1:$AE734,11,FALSE)*$Q611*IFERROR((VLOOKUP(P611,Settings!$E$28:$F$33,2,FALSE)+1),1)</f>
        <v>7.8248319056309898E-2</v>
      </c>
      <c r="X611" s="40">
        <f>VLOOKUP(B611,'Player Data'!$A1:$AE734,12,FALSE)*$Q611*IFERROR((VLOOKUP(P611,Settings!$E$28:$F$33,2,FALSE)+1),1)</f>
        <v>0.16499038862573917</v>
      </c>
      <c r="Y611" s="40">
        <f>VLOOKUP(B611,'Player Data'!$A1:$AE734,13,FALSE)*$Q611</f>
        <v>2.3108809934813777</v>
      </c>
      <c r="Z611" s="40">
        <f>VLOOKUP(B611,'Player Data'!$A1:$AE734,14,FALSE)*$Q611</f>
        <v>3.2147463542950203</v>
      </c>
      <c r="AA611" s="40">
        <f>VLOOKUP(B611,'Player Data'!$A1:$AE734,15,FALSE)*$Q611</f>
        <v>32.177640147114474</v>
      </c>
      <c r="AB611" s="40">
        <f>VLOOKUP(B611,'Player Data'!$A1:$AE734,16,FALSE)*$Q611</f>
        <v>33.532326506151172</v>
      </c>
      <c r="AC611" s="40">
        <f>VLOOKUP(B611,'Player Data'!$A1:$AE734,17,FALSE)*$Q611*IFERROR((VLOOKUP(P611,Settings!$E$28:$F$33,2,FALSE)+1),1)</f>
        <v>4.0851759645341126</v>
      </c>
      <c r="AD611" s="40">
        <f>VLOOKUP(B611,'Player Data'!$A1:$AE734,18,FALSE)*$Q611</f>
        <v>26.647718661606397</v>
      </c>
      <c r="AE611" s="40">
        <f>VLOOKUP(B611,'Player Data'!$A1:$AE734,19,FALSE)*$Q611*IFERROR((VLOOKUP(P611,Settings!$E$28:$F$33,2,FALSE)+1),1)</f>
        <v>1.7168436933555131</v>
      </c>
      <c r="AF611" s="40">
        <f>VLOOKUP(B611,'Player Data'!$A1:$AE734,20,FALSE)*$Q611</f>
        <v>26.077449105103799</v>
      </c>
      <c r="AG611" s="40">
        <f>VLOOKUP(B611,'Player Data'!$A1:$AE734,21,FALSE)*$Q611</f>
        <v>38.979199499768214</v>
      </c>
      <c r="AH611" s="41">
        <f>VLOOKUP(B611,'Player Data'!$A1:$AE734,22,FALSE)</f>
        <v>0.40084218391709298</v>
      </c>
      <c r="AI611" s="38"/>
      <c r="AJ611" s="42"/>
      <c r="AK611" s="40"/>
      <c r="AL611" s="40"/>
      <c r="AM611" s="40"/>
      <c r="AN611" s="40"/>
      <c r="AO611" s="40"/>
      <c r="AP611" s="40"/>
      <c r="AQ611" s="43"/>
      <c r="AR611" s="44"/>
      <c r="AS611" s="38"/>
    </row>
    <row r="612" spans="1:45" ht="21.2" customHeight="1">
      <c r="A612" s="181">
        <f t="shared" si="53"/>
        <v>611</v>
      </c>
      <c r="B612" s="8" t="s">
        <v>680</v>
      </c>
      <c r="C612" s="31" t="s">
        <v>104</v>
      </c>
      <c r="D612" s="32" t="str">
        <f>VLOOKUP(B612,'Player Data'!A1:D734,4,FALSE)</f>
        <v>C</v>
      </c>
      <c r="E612" s="33">
        <f>VLOOKUP(B612,'C'!A1:C208,3,FALSE)</f>
        <v>149</v>
      </c>
      <c r="F612" s="34" t="str">
        <f>VLOOKUP(B612,'Player Data'!A1:B734,2,FALSE)</f>
        <v>CHI</v>
      </c>
      <c r="G612" s="9">
        <f>VLOOKUP(B612,'Player Data'!A1:D734,3,FALSE)</f>
        <v>28</v>
      </c>
      <c r="H612" s="35">
        <f>IFERROR(VLOOKUP(B612,ADP!A1:G731,7,FALSE)/1000000,VLOOKUP(B612,ADP!A1:G731,7,FALSE))</f>
        <v>2.65</v>
      </c>
      <c r="I612" s="36">
        <f>IF(Settings!$E$15="POINTS",((R612*Q612)*Settings!$B$12)+(S612*Settings!$B$2)+(T612*Settings!$B$3)+(U612*Settings!$B$4)+(V612*Settings!$B$5)+(X612*Settings!$B$9)+(AA612*Settings!$B$6)+(W612*Settings!$B$8)+(AB612*Settings!$B$7)+(AC612*Settings!$B$14)+(AD612*Settings!$B$15)+(AE612*Settings!$B$16)+(AF612*Settings!$B$17)+(AG612*Settings!$B$18)+(Y612*Settings!$B$10)+(Z612*Settings!$B$11),VLOOKUP(B612,'Standard Deviations'!A1:C731,3,FALSE))</f>
        <v>-2.8809082730539424</v>
      </c>
      <c r="J612" s="37">
        <f t="shared" si="54"/>
        <v>-3.5133027720170032E-2</v>
      </c>
      <c r="K612" s="183">
        <f>IF(Settings!$E$18="C/LW/RW",VLOOKUP(B612,'C'!A1:F208,6,FALSE),VLOOKUP(B612,F!A1:F431,6,FALSE))</f>
        <v>-9.2179589972605456</v>
      </c>
      <c r="L612" s="36">
        <f t="shared" si="55"/>
        <v>-3.4784750933058666</v>
      </c>
      <c r="M612" s="52" t="str">
        <f>IF(Settings!$E$9="YAHOO",VLOOKUP(B612,ADP!A1:E731,2,FALSE),IF(Settings!$E$9="ESPN",VLOOKUP(B612,ADP!A1:E731,3,FALSE),IF(Settings!$E$9="FANTRAX",VLOOKUP(B612,ADP!A1:E731,4,FALSE),VLOOKUP(B612,ADP!A1:E731,5,FALSE))))</f>
        <v>-</v>
      </c>
      <c r="N612" s="52" t="str">
        <f t="shared" si="56"/>
        <v>N/A</v>
      </c>
      <c r="O612" s="38"/>
      <c r="P612" s="39" t="str">
        <f>IF(Settings!$E$27="ON",_xlfn.XLOOKUP(B612,ADP!A2:A731,ADP!H2:H731)," ")</f>
        <v xml:space="preserve"> </v>
      </c>
      <c r="Q612" s="40">
        <f>IF(Settings!$E$12="YES",VLOOKUP(B612,'Player Data'!A1:E734,5,FALSE),82)</f>
        <v>82</v>
      </c>
      <c r="R612" s="38">
        <f>VLOOKUP(B612,'Player Data'!$A1:$AE734,6,FALSE)</f>
        <v>15.3935684739105</v>
      </c>
      <c r="S612" s="40">
        <f>VLOOKUP(B612,'Player Data'!$A1:$AE734,7,FALSE)*$Q612*IFERROR((VLOOKUP(P612,Settings!$E$28:$F$33,2,FALSE)+1),1)</f>
        <v>9.0536694044025481</v>
      </c>
      <c r="T612" s="40">
        <f>VLOOKUP(B612,'Player Data'!$A1:$AE734,8,FALSE)*$Q612*IFERROR((VLOOKUP(P612,Settings!$E$28:$F$33,2,FALSE)+1),1)</f>
        <v>17.875007280272438</v>
      </c>
      <c r="U612" s="40">
        <f t="shared" si="57"/>
        <v>26.928676684674986</v>
      </c>
      <c r="V612" s="40">
        <f>VLOOKUP(B612,'Player Data'!$A1:$AE734,10,FALSE)*$Q612*IFERROR(((VLOOKUP(P612,Settings!$E$28:$F$33,2,FALSE)/2)+1),1)</f>
        <v>108.0160612062984</v>
      </c>
      <c r="W612" s="40">
        <f>VLOOKUP(B612,'Player Data'!$A1:$AE734,11,FALSE)*$Q612*IFERROR((VLOOKUP(P612,Settings!$E$28:$F$33,2,FALSE)+1),1)</f>
        <v>0.35420402657614208</v>
      </c>
      <c r="X612" s="40">
        <f>VLOOKUP(B612,'Player Data'!$A1:$AE734,12,FALSE)*$Q612*IFERROR((VLOOKUP(P612,Settings!$E$28:$F$33,2,FALSE)+1),1)</f>
        <v>0.68930944261622562</v>
      </c>
      <c r="Y612" s="40">
        <f>VLOOKUP(B612,'Player Data'!$A1:$AE734,13,FALSE)*$Q612</f>
        <v>4.1603876311486869E-2</v>
      </c>
      <c r="Z612" s="40">
        <f>VLOOKUP(B612,'Player Data'!$A1:$AE734,14,FALSE)*$Q612</f>
        <v>3.1310968794768215</v>
      </c>
      <c r="AA612" s="40">
        <f>VLOOKUP(B612,'Player Data'!$A1:$AE734,15,FALSE)*$Q612</f>
        <v>74.417588682062089</v>
      </c>
      <c r="AB612" s="40">
        <f>VLOOKUP(B612,'Player Data'!$A1:$AE734,16,FALSE)*$Q612</f>
        <v>114.34602841039107</v>
      </c>
      <c r="AC612" s="40">
        <f>VLOOKUP(B612,'Player Data'!$A1:$AE734,17,FALSE)*$Q612*IFERROR((VLOOKUP(P612,Settings!$E$28:$F$33,2,FALSE)+1),1)</f>
        <v>-8.5707974442992594</v>
      </c>
      <c r="AD612" s="40">
        <f>VLOOKUP(B612,'Player Data'!$A1:$AE734,18,FALSE)*$Q612</f>
        <v>29.193472680133731</v>
      </c>
      <c r="AE612" s="40">
        <f>VLOOKUP(B612,'Player Data'!$A1:$AE734,19,FALSE)*$Q612*IFERROR((VLOOKUP(P612,Settings!$E$28:$F$33,2,FALSE)+1),1)</f>
        <v>1.0609230316681328</v>
      </c>
      <c r="AF612" s="40">
        <f>VLOOKUP(B612,'Player Data'!$A1:$AE734,20,FALSE)*$Q612</f>
        <v>328.06979586152602</v>
      </c>
      <c r="AG612" s="40">
        <f>VLOOKUP(B612,'Player Data'!$A1:$AE734,21,FALSE)*$Q612</f>
        <v>384.19970860759321</v>
      </c>
      <c r="AH612" s="41">
        <f>VLOOKUP(B612,'Player Data'!$A1:$AE734,22,FALSE)</f>
        <v>0.46059784084965</v>
      </c>
      <c r="AI612" s="38"/>
      <c r="AJ612" s="42"/>
      <c r="AK612" s="40"/>
      <c r="AL612" s="40"/>
      <c r="AM612" s="40"/>
      <c r="AN612" s="40"/>
      <c r="AO612" s="40"/>
      <c r="AP612" s="40"/>
      <c r="AQ612" s="43"/>
      <c r="AR612" s="44"/>
      <c r="AS612" s="38"/>
    </row>
    <row r="613" spans="1:45" ht="21.2" customHeight="1">
      <c r="A613" s="181">
        <f t="shared" si="53"/>
        <v>612</v>
      </c>
      <c r="B613" s="8" t="s">
        <v>675</v>
      </c>
      <c r="C613" s="31" t="s">
        <v>104</v>
      </c>
      <c r="D613" s="32" t="str">
        <f>VLOOKUP(B613,'Player Data'!A1:D734,4,FALSE)</f>
        <v>LW</v>
      </c>
      <c r="E613" s="48">
        <f>VLOOKUP(B613,LW!A1:C227,3,FALSE)</f>
        <v>165</v>
      </c>
      <c r="F613" s="34" t="str">
        <f>VLOOKUP(B613,'Player Data'!A1:B734,2,FALSE)</f>
        <v>UFA</v>
      </c>
      <c r="G613" s="9">
        <f>VLOOKUP(B613,'Player Data'!A1:D734,3,FALSE)</f>
        <v>27</v>
      </c>
      <c r="H613" s="35">
        <f>IFERROR(VLOOKUP(B613,ADP!A1:G731,7,FALSE)/1000000,VLOOKUP(B613,ADP!A1:G731,7,FALSE))</f>
        <v>2.4060000000000001</v>
      </c>
      <c r="I613" s="36">
        <f>IF(Settings!$E$15="POINTS",((R613*Q613)*Settings!$B$12)+(S613*Settings!$B$2)+(T613*Settings!$B$3)+(U613*Settings!$B$4)+(V613*Settings!$B$5)+(X613*Settings!$B$9)+(AA613*Settings!$B$6)+(W613*Settings!$B$8)+(AB613*Settings!$B$7)+(AC613*Settings!$B$14)+(AD613*Settings!$B$15)+(AE613*Settings!$B$16)+(AF613*Settings!$B$17)+(AG613*Settings!$B$18)+(Y613*Settings!$B$10)+(Z613*Settings!$B$11),VLOOKUP(B613,'Standard Deviations'!A1:C731,3,FALSE))</f>
        <v>-2.5634290665106083</v>
      </c>
      <c r="J613" s="37">
        <f t="shared" si="54"/>
        <v>-3.1261330079397659E-2</v>
      </c>
      <c r="K613" s="183">
        <f>IF(Settings!$E$18="C/LW/RW",VLOOKUP(B613,LW!A1:F227,6,FALSE),VLOOKUP(B613,F!A1:F431,6,FALSE))</f>
        <v>-9.2180981106350099</v>
      </c>
      <c r="L613" s="36">
        <f t="shared" si="55"/>
        <v>-3.831295972832506</v>
      </c>
      <c r="M613" s="52" t="str">
        <f>IF(Settings!$E$9="YAHOO",VLOOKUP(B613,ADP!A1:E731,2,FALSE),IF(Settings!$E$9="ESPN",VLOOKUP(B613,ADP!A1:E731,3,FALSE),IF(Settings!$E$9="FANTRAX",VLOOKUP(B613,ADP!A1:E731,4,FALSE),VLOOKUP(B613,ADP!A1:E731,5,FALSE))))</f>
        <v>-</v>
      </c>
      <c r="N613" s="52" t="str">
        <f t="shared" si="56"/>
        <v>N/A</v>
      </c>
      <c r="O613" s="38"/>
      <c r="P613" s="39" t="str">
        <f>IF(Settings!$E$27="ON",_xlfn.XLOOKUP(B613,ADP!A2:A731,ADP!H2:H731)," ")</f>
        <v xml:space="preserve"> </v>
      </c>
      <c r="Q613" s="40">
        <f>IF(Settings!$E$12="YES",VLOOKUP(B613,'Player Data'!A1:E734,5,FALSE),82)</f>
        <v>82</v>
      </c>
      <c r="R613" s="38">
        <f>VLOOKUP(B613,'Player Data'!$A1:$AE734,6,FALSE)</f>
        <v>12.0108789345748</v>
      </c>
      <c r="S613" s="40">
        <f>VLOOKUP(B613,'Player Data'!$A1:$AE734,7,FALSE)*$Q613*IFERROR((VLOOKUP(P613,Settings!$E$28:$F$33,2,FALSE)+1),1)</f>
        <v>13.044350143202566</v>
      </c>
      <c r="T613" s="40">
        <f>VLOOKUP(B613,'Player Data'!$A1:$AE734,8,FALSE)*$Q613*IFERROR((VLOOKUP(P613,Settings!$E$28:$F$33,2,FALSE)+1),1)</f>
        <v>12.195979361030568</v>
      </c>
      <c r="U613" s="40">
        <f t="shared" si="57"/>
        <v>25.240329504233134</v>
      </c>
      <c r="V613" s="40">
        <f>VLOOKUP(B613,'Player Data'!$A1:$AE734,10,FALSE)*$Q613*IFERROR(((VLOOKUP(P613,Settings!$E$28:$F$33,2,FALSE)/2)+1),1)</f>
        <v>117.48384705606466</v>
      </c>
      <c r="W613" s="40">
        <f>VLOOKUP(B613,'Player Data'!$A1:$AE734,11,FALSE)*$Q613*IFERROR((VLOOKUP(P613,Settings!$E$28:$F$33,2,FALSE)+1),1)</f>
        <v>1.3733513219243192</v>
      </c>
      <c r="X613" s="40">
        <f>VLOOKUP(B613,'Player Data'!$A1:$AE734,12,FALSE)*$Q613*IFERROR((VLOOKUP(P613,Settings!$E$28:$F$33,2,FALSE)+1),1)</f>
        <v>3.3116163564614491</v>
      </c>
      <c r="Y613" s="40">
        <f>VLOOKUP(B613,'Player Data'!$A1:$AE734,13,FALSE)*$Q613</f>
        <v>0</v>
      </c>
      <c r="Z613" s="40">
        <f>VLOOKUP(B613,'Player Data'!$A1:$AE734,14,FALSE)*$Q613</f>
        <v>0</v>
      </c>
      <c r="AA613" s="40">
        <f>VLOOKUP(B613,'Player Data'!$A1:$AE734,15,FALSE)*$Q613</f>
        <v>33.669441528476533</v>
      </c>
      <c r="AB613" s="40">
        <f>VLOOKUP(B613,'Player Data'!$A1:$AE734,16,FALSE)*$Q613</f>
        <v>206.06465882366689</v>
      </c>
      <c r="AC613" s="40">
        <f>VLOOKUP(B613,'Player Data'!$A1:$AE734,17,FALSE)*$Q613*IFERROR((VLOOKUP(P613,Settings!$E$28:$F$33,2,FALSE)+1),1)</f>
        <v>-1.2496479524312292</v>
      </c>
      <c r="AD613" s="40">
        <f>VLOOKUP(B613,'Player Data'!$A1:$AE734,18,FALSE)*$Q613</f>
        <v>45.625358266361765</v>
      </c>
      <c r="AE613" s="40">
        <f>VLOOKUP(B613,'Player Data'!$A1:$AE734,19,FALSE)*$Q613*IFERROR((VLOOKUP(P613,Settings!$E$28:$F$33,2,FALSE)+1),1)</f>
        <v>0</v>
      </c>
      <c r="AF613" s="40">
        <f>VLOOKUP(B613,'Player Data'!$A1:$AE734,20,FALSE)*$Q613</f>
        <v>0.80149754464246625</v>
      </c>
      <c r="AG613" s="40">
        <f>VLOOKUP(B613,'Player Data'!$A1:$AE734,21,FALSE)*$Q613</f>
        <v>9.3143593220397456</v>
      </c>
      <c r="AH613" s="41">
        <f>VLOOKUP(B613,'Player Data'!$A1:$AE734,22,FALSE)</f>
        <v>7.9231799659235505E-2</v>
      </c>
      <c r="AI613" s="38"/>
      <c r="AJ613" s="42"/>
      <c r="AK613" s="40"/>
      <c r="AL613" s="40"/>
      <c r="AM613" s="40"/>
      <c r="AN613" s="40"/>
      <c r="AO613" s="40"/>
      <c r="AP613" s="40"/>
      <c r="AQ613" s="43"/>
      <c r="AR613" s="44"/>
      <c r="AS613" s="38"/>
    </row>
    <row r="614" spans="1:45" ht="21.2" customHeight="1">
      <c r="A614" s="181">
        <f t="shared" si="53"/>
        <v>613</v>
      </c>
      <c r="B614" s="8" t="s">
        <v>691</v>
      </c>
      <c r="C614" s="31" t="s">
        <v>104</v>
      </c>
      <c r="D614" s="32" t="str">
        <f>VLOOKUP(B614,'Player Data'!A1:D734,4,FALSE)</f>
        <v>C</v>
      </c>
      <c r="E614" s="33">
        <f>VLOOKUP(B614,'C'!A1:C208,3,FALSE)</f>
        <v>150</v>
      </c>
      <c r="F614" s="34" t="str">
        <f>VLOOKUP(B614,'Player Data'!A1:B734,2,FALSE)</f>
        <v>NSH</v>
      </c>
      <c r="G614" s="9">
        <f>VLOOKUP(B614,'Player Data'!A1:D734,3,FALSE)</f>
        <v>29</v>
      </c>
      <c r="H614" s="35">
        <f>IFERROR(VLOOKUP(B614,ADP!A1:G731,7,FALSE)/1000000,VLOOKUP(B614,ADP!A1:G731,7,FALSE))</f>
        <v>2.8570000000000002</v>
      </c>
      <c r="I614" s="36">
        <f>IF(Settings!$E$15="POINTS",((R614*Q614)*Settings!$B$12)+(S614*Settings!$B$2)+(T614*Settings!$B$3)+(U614*Settings!$B$4)+(V614*Settings!$B$5)+(X614*Settings!$B$9)+(AA614*Settings!$B$6)+(W614*Settings!$B$8)+(AB614*Settings!$B$7)+(AC614*Settings!$B$14)+(AD614*Settings!$B$15)+(AE614*Settings!$B$16)+(AF614*Settings!$B$17)+(AG614*Settings!$B$18)+(Y614*Settings!$B$10)+(Z614*Settings!$B$11),VLOOKUP(B614,'Standard Deviations'!A1:C731,3,FALSE))</f>
        <v>-2.8853148989283466</v>
      </c>
      <c r="J614" s="37">
        <f t="shared" si="54"/>
        <v>-3.5186767060101785E-2</v>
      </c>
      <c r="K614" s="183">
        <f>IF(Settings!$E$18="C/LW/RW",VLOOKUP(B614,'C'!A1:F208,6,FALSE),VLOOKUP(B614,F!A1:F431,6,FALSE))</f>
        <v>-9.2223656231349498</v>
      </c>
      <c r="L614" s="36">
        <f t="shared" si="55"/>
        <v>-3.2279893675656104</v>
      </c>
      <c r="M614" s="52" t="str">
        <f>IF(Settings!$E$9="YAHOO",VLOOKUP(B614,ADP!A1:E731,2,FALSE),IF(Settings!$E$9="ESPN",VLOOKUP(B614,ADP!A1:E731,3,FALSE),IF(Settings!$E$9="FANTRAX",VLOOKUP(B614,ADP!A1:E731,4,FALSE),VLOOKUP(B614,ADP!A1:E731,5,FALSE))))</f>
        <v>-</v>
      </c>
      <c r="N614" s="52" t="str">
        <f t="shared" si="56"/>
        <v>N/A</v>
      </c>
      <c r="O614" s="38"/>
      <c r="P614" s="39" t="str">
        <f>IF(Settings!$E$27="ON",_xlfn.XLOOKUP(B614,ADP!A2:A731,ADP!H2:H731)," ")</f>
        <v xml:space="preserve"> </v>
      </c>
      <c r="Q614" s="40">
        <f>IF(Settings!$E$12="YES",VLOOKUP(B614,'Player Data'!A1:E734,5,FALSE),82)</f>
        <v>82</v>
      </c>
      <c r="R614" s="38">
        <f>VLOOKUP(B614,'Player Data'!$A1:$AE734,6,FALSE)</f>
        <v>15.499616902972599</v>
      </c>
      <c r="S614" s="40">
        <f>VLOOKUP(B614,'Player Data'!$A1:$AE734,7,FALSE)*$Q614*IFERROR((VLOOKUP(P614,Settings!$E$28:$F$33,2,FALSE)+1),1)</f>
        <v>10.318147206871261</v>
      </c>
      <c r="T614" s="40">
        <f>VLOOKUP(B614,'Player Data'!$A1:$AE734,8,FALSE)*$Q614*IFERROR((VLOOKUP(P614,Settings!$E$28:$F$33,2,FALSE)+1),1)</f>
        <v>17.525995535286128</v>
      </c>
      <c r="U614" s="40">
        <f t="shared" si="57"/>
        <v>27.844142742157388</v>
      </c>
      <c r="V614" s="40">
        <f>VLOOKUP(B614,'Player Data'!$A1:$AE734,10,FALSE)*$Q614*IFERROR(((VLOOKUP(P614,Settings!$E$28:$F$33,2,FALSE)/2)+1),1)</f>
        <v>91.609719261421645</v>
      </c>
      <c r="W614" s="40">
        <f>VLOOKUP(B614,'Player Data'!$A1:$AE734,11,FALSE)*$Q614*IFERROR((VLOOKUP(P614,Settings!$E$28:$F$33,2,FALSE)+1),1)</f>
        <v>0.45162598270914434</v>
      </c>
      <c r="X614" s="40">
        <f>VLOOKUP(B614,'Player Data'!$A1:$AE734,12,FALSE)*$Q614*IFERROR((VLOOKUP(P614,Settings!$E$28:$F$33,2,FALSE)+1),1)</f>
        <v>2.0336247686227829</v>
      </c>
      <c r="Y614" s="40">
        <f>VLOOKUP(B614,'Player Data'!$A1:$AE734,13,FALSE)*$Q614</f>
        <v>0.45026582502106793</v>
      </c>
      <c r="Z614" s="40">
        <f>VLOOKUP(B614,'Player Data'!$A1:$AE734,14,FALSE)*$Q614</f>
        <v>0.59023638601307626</v>
      </c>
      <c r="AA614" s="40">
        <f>VLOOKUP(B614,'Player Data'!$A1:$AE734,15,FALSE)*$Q614</f>
        <v>60.396547278820499</v>
      </c>
      <c r="AB614" s="40">
        <f>VLOOKUP(B614,'Player Data'!$A1:$AE734,16,FALSE)*$Q614</f>
        <v>158.39819468611887</v>
      </c>
      <c r="AC614" s="40">
        <f>VLOOKUP(B614,'Player Data'!$A1:$AE734,17,FALSE)*$Q614*IFERROR((VLOOKUP(P614,Settings!$E$28:$F$33,2,FALSE)+1),1)</f>
        <v>-2.2511650164727528</v>
      </c>
      <c r="AD614" s="40">
        <f>VLOOKUP(B614,'Player Data'!$A1:$AE734,18,FALSE)*$Q614</f>
        <v>26.067687585445601</v>
      </c>
      <c r="AE614" s="40">
        <f>VLOOKUP(B614,'Player Data'!$A1:$AE734,19,FALSE)*$Q614*IFERROR((VLOOKUP(P614,Settings!$E$28:$F$33,2,FALSE)+1),1)</f>
        <v>1.5067193538229717</v>
      </c>
      <c r="AF614" s="40">
        <f>VLOOKUP(B614,'Player Data'!$A1:$AE734,20,FALSE)*$Q614</f>
        <v>600.64116445216359</v>
      </c>
      <c r="AG614" s="40">
        <f>VLOOKUP(B614,'Player Data'!$A1:$AE734,21,FALSE)*$Q614</f>
        <v>504.40726231059125</v>
      </c>
      <c r="AH614" s="41">
        <f>VLOOKUP(B614,'Player Data'!$A1:$AE734,22,FALSE)</f>
        <v>0.54354284382969997</v>
      </c>
      <c r="AI614" s="38"/>
      <c r="AJ614" s="42"/>
      <c r="AK614" s="40"/>
      <c r="AL614" s="40"/>
      <c r="AM614" s="40"/>
      <c r="AN614" s="40"/>
      <c r="AO614" s="40"/>
      <c r="AP614" s="40"/>
      <c r="AQ614" s="43"/>
      <c r="AR614" s="44"/>
      <c r="AS614" s="38"/>
    </row>
    <row r="615" spans="1:45" ht="21.2" customHeight="1">
      <c r="A615" s="181">
        <f t="shared" si="53"/>
        <v>614</v>
      </c>
      <c r="B615" s="8" t="s">
        <v>735</v>
      </c>
      <c r="C615" s="31" t="s">
        <v>104</v>
      </c>
      <c r="D615" s="32" t="str">
        <f>VLOOKUP(B615,'Player Data'!A1:D734,4,FALSE)</f>
        <v>C,LW</v>
      </c>
      <c r="E615" s="45">
        <f>VLOOKUP(B615,LW!A1:C227,3,FALSE)</f>
        <v>166</v>
      </c>
      <c r="F615" s="34" t="str">
        <f>VLOOKUP(B615,'Player Data'!A1:B734,2,FALSE)</f>
        <v>WSH</v>
      </c>
      <c r="G615" s="9">
        <f>VLOOKUP(B615,'Player Data'!A1:D734,3,FALSE)</f>
        <v>27</v>
      </c>
      <c r="H615" s="35">
        <f>IFERROR(VLOOKUP(B615,ADP!A1:G731,7,FALSE)/1000000,VLOOKUP(B615,ADP!A1:G731,7,FALSE))</f>
        <v>0</v>
      </c>
      <c r="I615" s="36">
        <f>IF(Settings!$E$15="POINTS",((R615*Q615)*Settings!$B$12)+(S615*Settings!$B$2)+(T615*Settings!$B$3)+(U615*Settings!$B$4)+(V615*Settings!$B$5)+(X615*Settings!$B$9)+(AA615*Settings!$B$6)+(W615*Settings!$B$8)+(AB615*Settings!$B$7)+(AC615*Settings!$B$14)+(AD615*Settings!$B$15)+(AE615*Settings!$B$16)+(AF615*Settings!$B$17)+(AG615*Settings!$B$18)+(Y615*Settings!$B$10)+(Z615*Settings!$B$11),VLOOKUP(B615,'Standard Deviations'!A1:C731,3,FALSE))</f>
        <v>-2.5729813082637349</v>
      </c>
      <c r="J615" s="37">
        <f t="shared" si="54"/>
        <v>-3.1377820832484575E-2</v>
      </c>
      <c r="K615" s="183">
        <f>IF(Settings!$E$18="C/LW/RW",VLOOKUP(B615,LW!A1:F227,6,FALSE),VLOOKUP(B615,F!A1:F431,6,FALSE))</f>
        <v>-9.2276503523881352</v>
      </c>
      <c r="L615" s="49" t="str">
        <f t="shared" si="55"/>
        <v>N/A</v>
      </c>
      <c r="M615" s="52" t="str">
        <f>IF(Settings!$E$9="YAHOO",VLOOKUP(B615,ADP!A1:E731,2,FALSE),IF(Settings!$E$9="ESPN",VLOOKUP(B615,ADP!A1:E731,3,FALSE),IF(Settings!$E$9="FANTRAX",VLOOKUP(B615,ADP!A1:E731,4,FALSE),VLOOKUP(B615,ADP!A1:E731,5,FALSE))))</f>
        <v>-</v>
      </c>
      <c r="N615" s="52" t="str">
        <f t="shared" si="56"/>
        <v>N/A</v>
      </c>
      <c r="O615" s="38"/>
      <c r="P615" s="39" t="str">
        <f>IF(Settings!$E$27="ON",_xlfn.XLOOKUP(B615,ADP!A2:A731,ADP!H2:H731)," ")</f>
        <v xml:space="preserve"> </v>
      </c>
      <c r="Q615" s="40">
        <f>IF(Settings!$E$12="YES",VLOOKUP(B615,'Player Data'!A1:E734,5,FALSE),82)</f>
        <v>82</v>
      </c>
      <c r="R615" s="38">
        <f>VLOOKUP(B615,'Player Data'!$A1:$AE734,6,FALSE)</f>
        <v>12.0083198812089</v>
      </c>
      <c r="S615" s="40">
        <f>VLOOKUP(B615,'Player Data'!$A1:$AE734,7,FALSE)*$Q615*IFERROR((VLOOKUP(P615,Settings!$E$28:$F$33,2,FALSE)+1),1)</f>
        <v>13.183997265150101</v>
      </c>
      <c r="T615" s="40">
        <f>VLOOKUP(B615,'Player Data'!$A1:$AE734,8,FALSE)*$Q615*IFERROR((VLOOKUP(P615,Settings!$E$28:$F$33,2,FALSE)+1),1)</f>
        <v>15.563513284084797</v>
      </c>
      <c r="U615" s="40">
        <f t="shared" si="57"/>
        <v>28.747510549234896</v>
      </c>
      <c r="V615" s="40">
        <f>VLOOKUP(B615,'Player Data'!$A1:$AE734,10,FALSE)*$Q615*IFERROR(((VLOOKUP(P615,Settings!$E$28:$F$33,2,FALSE)/2)+1),1)</f>
        <v>110.86016409524012</v>
      </c>
      <c r="W615" s="40">
        <f>VLOOKUP(B615,'Player Data'!$A1:$AE734,11,FALSE)*$Q615*IFERROR((VLOOKUP(P615,Settings!$E$28:$F$33,2,FALSE)+1),1)</f>
        <v>0.10680013515298434</v>
      </c>
      <c r="X615" s="40">
        <f>VLOOKUP(B615,'Player Data'!$A1:$AE734,12,FALSE)*$Q615*IFERROR((VLOOKUP(P615,Settings!$E$28:$F$33,2,FALSE)+1),1)</f>
        <v>0.20939746431928277</v>
      </c>
      <c r="Y615" s="40">
        <f>VLOOKUP(B615,'Player Data'!$A1:$AE734,13,FALSE)*$Q615</f>
        <v>0</v>
      </c>
      <c r="Z615" s="40">
        <f>VLOOKUP(B615,'Player Data'!$A1:$AE734,14,FALSE)*$Q615</f>
        <v>0</v>
      </c>
      <c r="AA615" s="40">
        <f>VLOOKUP(B615,'Player Data'!$A1:$AE734,15,FALSE)*$Q615</f>
        <v>34.744092281372481</v>
      </c>
      <c r="AB615" s="40">
        <f>VLOOKUP(B615,'Player Data'!$A1:$AE734,16,FALSE)*$Q615</f>
        <v>67.256928122959224</v>
      </c>
      <c r="AC615" s="40">
        <f>VLOOKUP(B615,'Player Data'!$A1:$AE734,17,FALSE)*$Q615*IFERROR((VLOOKUP(P615,Settings!$E$28:$F$33,2,FALSE)+1),1)</f>
        <v>-2.385966629820039</v>
      </c>
      <c r="AD615" s="40">
        <f>VLOOKUP(B615,'Player Data'!$A1:$AE734,18,FALSE)*$Q615</f>
        <v>18.889116138752964</v>
      </c>
      <c r="AE615" s="40">
        <f>VLOOKUP(B615,'Player Data'!$A1:$AE734,19,FALSE)*$Q615*IFERROR((VLOOKUP(P615,Settings!$E$28:$F$33,2,FALSE)+1),1)</f>
        <v>1.6217092737501084</v>
      </c>
      <c r="AF615" s="40">
        <f>VLOOKUP(B615,'Player Data'!$A1:$AE734,20,FALSE)*$Q615</f>
        <v>6.6501175491045661</v>
      </c>
      <c r="AG615" s="40">
        <f>VLOOKUP(B615,'Player Data'!$A1:$AE734,21,FALSE)*$Q615</f>
        <v>10.916272836446419</v>
      </c>
      <c r="AH615" s="41">
        <f>VLOOKUP(B615,'Player Data'!$A1:$AE734,22,FALSE)</f>
        <v>0.37857052035998001</v>
      </c>
      <c r="AI615" s="38"/>
      <c r="AJ615" s="40"/>
      <c r="AK615" s="40"/>
      <c r="AL615" s="40"/>
      <c r="AM615" s="40"/>
      <c r="AN615" s="40"/>
      <c r="AO615" s="40"/>
      <c r="AP615" s="40"/>
      <c r="AQ615" s="43"/>
      <c r="AR615" s="44"/>
      <c r="AS615" s="42"/>
    </row>
    <row r="616" spans="1:45" ht="21.2" customHeight="1">
      <c r="A616" s="181">
        <f t="shared" si="53"/>
        <v>615</v>
      </c>
      <c r="B616" s="8" t="s">
        <v>646</v>
      </c>
      <c r="C616" s="31" t="s">
        <v>104</v>
      </c>
      <c r="D616" s="32" t="str">
        <f>VLOOKUP(B616,'Player Data'!A1:D734,4,FALSE)</f>
        <v>RW</v>
      </c>
      <c r="E616" s="46">
        <f>VLOOKUP(B616,RW!A1:F189,3,FALSE)</f>
        <v>150</v>
      </c>
      <c r="F616" s="34" t="str">
        <f>VLOOKUP(B616,'Player Data'!A1:B734,2,FALSE)</f>
        <v>OTT</v>
      </c>
      <c r="G616" s="9">
        <f>VLOOKUP(B616,'Player Data'!A1:D734,3,FALSE)</f>
        <v>26</v>
      </c>
      <c r="H616" s="35">
        <f>IFERROR(VLOOKUP(B616,ADP!A1:G731,7,FALSE)/1000000,VLOOKUP(B616,ADP!A1:G731,7,FALSE))</f>
        <v>2.95</v>
      </c>
      <c r="I616" s="36">
        <f>IF(Settings!$E$15="POINTS",((R616*Q616)*Settings!$B$12)+(S616*Settings!$B$2)+(T616*Settings!$B$3)+(U616*Settings!$B$4)+(V616*Settings!$B$5)+(X616*Settings!$B$9)+(AA616*Settings!$B$6)+(W616*Settings!$B$8)+(AB616*Settings!$B$7)+(AC616*Settings!$B$14)+(AD616*Settings!$B$15)+(AE616*Settings!$B$16)+(AF616*Settings!$B$17)+(AG616*Settings!$B$18)+(Y616*Settings!$B$10)+(Z616*Settings!$B$11),VLOOKUP(B616,'Standard Deviations'!A1:C731,3,FALSE))</f>
        <v>-2.9760154989923975</v>
      </c>
      <c r="J616" s="37">
        <f t="shared" si="54"/>
        <v>-3.629287193893168E-2</v>
      </c>
      <c r="K616" s="183">
        <f>IF(Settings!$E$18="C/LW/RW",VLOOKUP(B616,RW!A1:F189,6,FALSE),VLOOKUP(B616,F!A1:F431,6,FALSE))</f>
        <v>-9.2562742180034778</v>
      </c>
      <c r="L616" s="36">
        <f t="shared" si="55"/>
        <v>-3.1377200738994837</v>
      </c>
      <c r="M616" s="52" t="str">
        <f>IF(Settings!$E$9="YAHOO",VLOOKUP(B616,ADP!A1:E731,2,FALSE),IF(Settings!$E$9="ESPN",VLOOKUP(B616,ADP!A1:E731,3,FALSE),IF(Settings!$E$9="FANTRAX",VLOOKUP(B616,ADP!A1:E731,4,FALSE),VLOOKUP(B616,ADP!A1:E731,5,FALSE))))</f>
        <v>-</v>
      </c>
      <c r="N616" s="52" t="str">
        <f t="shared" si="56"/>
        <v>N/A</v>
      </c>
      <c r="O616" s="38"/>
      <c r="P616" s="39" t="str">
        <f>IF(Settings!$E$27="ON",_xlfn.XLOOKUP(B616,ADP!A2:A731,ADP!H2:H731)," ")</f>
        <v xml:space="preserve"> </v>
      </c>
      <c r="Q616" s="40">
        <f>IF(Settings!$E$12="YES",VLOOKUP(B616,'Player Data'!A1:E734,5,FALSE),82)</f>
        <v>82</v>
      </c>
      <c r="R616" s="38">
        <f>VLOOKUP(B616,'Player Data'!$A1:$AE734,6,FALSE)</f>
        <v>13.527295133384101</v>
      </c>
      <c r="S616" s="40">
        <f>VLOOKUP(B616,'Player Data'!$A1:$AE734,7,FALSE)*$Q616*IFERROR((VLOOKUP(P616,Settings!$E$28:$F$33,2,FALSE)+1),1)</f>
        <v>9.8981666585362902</v>
      </c>
      <c r="T616" s="40">
        <f>VLOOKUP(B616,'Player Data'!$A1:$AE734,8,FALSE)*$Q616*IFERROR((VLOOKUP(P616,Settings!$E$28:$F$33,2,FALSE)+1),1)</f>
        <v>17.608628870094986</v>
      </c>
      <c r="U616" s="40">
        <f t="shared" si="57"/>
        <v>27.506795528631276</v>
      </c>
      <c r="V616" s="40">
        <f>VLOOKUP(B616,'Player Data'!$A1:$AE734,10,FALSE)*$Q616*IFERROR(((VLOOKUP(P616,Settings!$E$28:$F$33,2,FALSE)/2)+1),1)</f>
        <v>97.882215055579792</v>
      </c>
      <c r="W616" s="40">
        <f>VLOOKUP(B616,'Player Data'!$A1:$AE734,11,FALSE)*$Q616*IFERROR((VLOOKUP(P616,Settings!$E$28:$F$33,2,FALSE)+1),1)</f>
        <v>0.2163953216632781</v>
      </c>
      <c r="X616" s="40">
        <f>VLOOKUP(B616,'Player Data'!$A1:$AE734,12,FALSE)*$Q616*IFERROR((VLOOKUP(P616,Settings!$E$28:$F$33,2,FALSE)+1),1)</f>
        <v>0.56810621176835774</v>
      </c>
      <c r="Y616" s="40">
        <f>VLOOKUP(B616,'Player Data'!$A1:$AE734,13,FALSE)*$Q616</f>
        <v>1.8136734788887128</v>
      </c>
      <c r="Z616" s="40">
        <f>VLOOKUP(B616,'Player Data'!$A1:$AE734,14,FALSE)*$Q616</f>
        <v>3.7122124627230981</v>
      </c>
      <c r="AA616" s="40">
        <f>VLOOKUP(B616,'Player Data'!$A1:$AE734,15,FALSE)*$Q616</f>
        <v>39.334637236956198</v>
      </c>
      <c r="AB616" s="40">
        <f>VLOOKUP(B616,'Player Data'!$A1:$AE734,16,FALSE)*$Q616</f>
        <v>120.91511222135934</v>
      </c>
      <c r="AC616" s="40">
        <f>VLOOKUP(B616,'Player Data'!$A1:$AE734,17,FALSE)*$Q616*IFERROR((VLOOKUP(P616,Settings!$E$28:$F$33,2,FALSE)+1),1)</f>
        <v>1.313800294671789</v>
      </c>
      <c r="AD616" s="40">
        <f>VLOOKUP(B616,'Player Data'!$A1:$AE734,18,FALSE)*$Q616</f>
        <v>30.802818468797483</v>
      </c>
      <c r="AE616" s="40">
        <f>VLOOKUP(B616,'Player Data'!$A1:$AE734,19,FALSE)*$Q616*IFERROR((VLOOKUP(P616,Settings!$E$28:$F$33,2,FALSE)+1),1)</f>
        <v>1.4885447818404802</v>
      </c>
      <c r="AF616" s="40">
        <f>VLOOKUP(B616,'Player Data'!$A1:$AE734,20,FALSE)*$Q616</f>
        <v>15.766219967409421</v>
      </c>
      <c r="AG616" s="40">
        <f>VLOOKUP(B616,'Player Data'!$A1:$AE734,21,FALSE)*$Q616</f>
        <v>26.029480024141108</v>
      </c>
      <c r="AH616" s="41">
        <f>VLOOKUP(B616,'Player Data'!$A1:$AE734,22,FALSE)</f>
        <v>0.37722110098877898</v>
      </c>
      <c r="AI616" s="38"/>
      <c r="AJ616" s="40"/>
      <c r="AK616" s="40"/>
      <c r="AL616" s="40"/>
      <c r="AM616" s="40"/>
      <c r="AN616" s="40"/>
      <c r="AO616" s="40"/>
      <c r="AP616" s="40"/>
      <c r="AQ616" s="43"/>
      <c r="AR616" s="44"/>
      <c r="AS616" s="38"/>
    </row>
    <row r="617" spans="1:45" ht="21.2" customHeight="1">
      <c r="A617" s="181">
        <f t="shared" si="53"/>
        <v>616</v>
      </c>
      <c r="B617" s="8" t="s">
        <v>707</v>
      </c>
      <c r="C617" s="31" t="s">
        <v>104</v>
      </c>
      <c r="D617" s="32" t="str">
        <f>VLOOKUP(B617,'Player Data'!A1:D734,4,FALSE)</f>
        <v>C,LW</v>
      </c>
      <c r="E617" s="45">
        <f>VLOOKUP(B617,LW!A1:C227,3,FALSE)</f>
        <v>167</v>
      </c>
      <c r="F617" s="34" t="str">
        <f>VLOOKUP(B617,'Player Data'!A1:B734,2,FALSE)</f>
        <v>BUF</v>
      </c>
      <c r="G617" s="9">
        <f>VLOOKUP(B617,'Player Data'!A1:D734,3,FALSE)</f>
        <v>22</v>
      </c>
      <c r="H617" s="35">
        <f>IFERROR(VLOOKUP(B617,ADP!A1:G731,7,FALSE)/1000000,VLOOKUP(B617,ADP!A1:G731,7,FALSE))</f>
        <v>0.86333300000000002</v>
      </c>
      <c r="I617" s="36">
        <f>IF(Settings!$E$15="POINTS",((R617*Q617)*Settings!$B$12)+(S617*Settings!$B$2)+(T617*Settings!$B$3)+(U617*Settings!$B$4)+(V617*Settings!$B$5)+(X617*Settings!$B$9)+(AA617*Settings!$B$6)+(W617*Settings!$B$8)+(AB617*Settings!$B$7)+(AC617*Settings!$B$14)+(AD617*Settings!$B$15)+(AE617*Settings!$B$16)+(AF617*Settings!$B$17)+(AG617*Settings!$B$18)+(Y617*Settings!$B$10)+(Z617*Settings!$B$11),VLOOKUP(B617,'Standard Deviations'!A1:C731,3,FALSE))</f>
        <v>-2.6070083433644391</v>
      </c>
      <c r="J617" s="37">
        <f t="shared" si="54"/>
        <v>-3.1792784675176086E-2</v>
      </c>
      <c r="K617" s="183">
        <f>IF(Settings!$E$18="C/LW/RW",VLOOKUP(B617,LW!A1:F227,6,FALSE),VLOOKUP(B617,F!A1:F431,6,FALSE))</f>
        <v>-9.2616773874888398</v>
      </c>
      <c r="L617" s="36">
        <f t="shared" si="55"/>
        <v>-10.727815787753787</v>
      </c>
      <c r="M617" s="52" t="str">
        <f>IF(Settings!$E$9="YAHOO",VLOOKUP(B617,ADP!A1:E731,2,FALSE),IF(Settings!$E$9="ESPN",VLOOKUP(B617,ADP!A1:E731,3,FALSE),IF(Settings!$E$9="FANTRAX",VLOOKUP(B617,ADP!A1:E731,4,FALSE),VLOOKUP(B617,ADP!A1:E731,5,FALSE))))</f>
        <v>-</v>
      </c>
      <c r="N617" s="52" t="str">
        <f t="shared" si="56"/>
        <v>N/A</v>
      </c>
      <c r="O617" s="38"/>
      <c r="P617" s="39" t="str">
        <f>IF(Settings!$E$27="ON",_xlfn.XLOOKUP(B617,ADP!A2:A731,ADP!H2:H731)," ")</f>
        <v xml:space="preserve"> </v>
      </c>
      <c r="Q617" s="40">
        <f>IF(Settings!$E$12="YES",VLOOKUP(B617,'Player Data'!A1:E734,5,FALSE),82)</f>
        <v>82</v>
      </c>
      <c r="R617" s="38">
        <f>VLOOKUP(B617,'Player Data'!$A1:$AE734,6,FALSE)</f>
        <v>13.128460192060899</v>
      </c>
      <c r="S617" s="40">
        <f>VLOOKUP(B617,'Player Data'!$A1:$AE734,7,FALSE)*$Q617*IFERROR((VLOOKUP(P617,Settings!$E$28:$F$33,2,FALSE)+1),1)</f>
        <v>10.990728584881406</v>
      </c>
      <c r="T617" s="40">
        <f>VLOOKUP(B617,'Player Data'!$A1:$AE734,8,FALSE)*$Q617*IFERROR((VLOOKUP(P617,Settings!$E$28:$F$33,2,FALSE)+1),1)</f>
        <v>17.92542134474381</v>
      </c>
      <c r="U617" s="40">
        <f t="shared" si="57"/>
        <v>28.916149929625217</v>
      </c>
      <c r="V617" s="40">
        <f>VLOOKUP(B617,'Player Data'!$A1:$AE734,10,FALSE)*$Q617*IFERROR(((VLOOKUP(P617,Settings!$E$28:$F$33,2,FALSE)/2)+1),1)</f>
        <v>85.654682824657868</v>
      </c>
      <c r="W617" s="40">
        <f>VLOOKUP(B617,'Player Data'!$A1:$AE734,11,FALSE)*$Q617*IFERROR((VLOOKUP(P617,Settings!$E$28:$F$33,2,FALSE)+1),1)</f>
        <v>0.84578276775926442</v>
      </c>
      <c r="X617" s="40">
        <f>VLOOKUP(B617,'Player Data'!$A1:$AE734,12,FALSE)*$Q617*IFERROR((VLOOKUP(P617,Settings!$E$28:$F$33,2,FALSE)+1),1)</f>
        <v>4.4043364650107462</v>
      </c>
      <c r="Y617" s="40">
        <f>VLOOKUP(B617,'Player Data'!$A1:$AE734,13,FALSE)*$Q617</f>
        <v>0.71319652639056208</v>
      </c>
      <c r="Z617" s="40">
        <f>VLOOKUP(B617,'Player Data'!$A1:$AE734,14,FALSE)*$Q617</f>
        <v>0.8824983567064274</v>
      </c>
      <c r="AA617" s="40">
        <f>VLOOKUP(B617,'Player Data'!$A1:$AE734,15,FALSE)*$Q617</f>
        <v>21.754884492790634</v>
      </c>
      <c r="AB617" s="40">
        <f>VLOOKUP(B617,'Player Data'!$A1:$AE734,16,FALSE)*$Q617</f>
        <v>87.032308987764836</v>
      </c>
      <c r="AC617" s="40">
        <f>VLOOKUP(B617,'Player Data'!$A1:$AE734,17,FALSE)*$Q617*IFERROR((VLOOKUP(P617,Settings!$E$28:$F$33,2,FALSE)+1),1)</f>
        <v>-3.9566877409775776</v>
      </c>
      <c r="AD617" s="40">
        <f>VLOOKUP(B617,'Player Data'!$A1:$AE734,18,FALSE)*$Q617</f>
        <v>39.00779384184834</v>
      </c>
      <c r="AE617" s="40">
        <f>VLOOKUP(B617,'Player Data'!$A1:$AE734,19,FALSE)*$Q617*IFERROR((VLOOKUP(P617,Settings!$E$28:$F$33,2,FALSE)+1),1)</f>
        <v>1.4070227037645013</v>
      </c>
      <c r="AF617" s="40">
        <f>VLOOKUP(B617,'Player Data'!$A1:$AE734,20,FALSE)*$Q617</f>
        <v>220.49660351036519</v>
      </c>
      <c r="AG617" s="40">
        <f>VLOOKUP(B617,'Player Data'!$A1:$AE734,21,FALSE)*$Q617</f>
        <v>309.93204441199737</v>
      </c>
      <c r="AH617" s="41">
        <f>VLOOKUP(B617,'Player Data'!$A1:$AE734,22,FALSE)</f>
        <v>0.41569512577050499</v>
      </c>
      <c r="AI617" s="38"/>
      <c r="AJ617" s="42"/>
      <c r="AK617" s="40"/>
      <c r="AL617" s="40"/>
      <c r="AM617" s="40"/>
      <c r="AN617" s="40"/>
      <c r="AO617" s="40"/>
      <c r="AP617" s="40"/>
      <c r="AQ617" s="43"/>
      <c r="AR617" s="44"/>
      <c r="AS617" s="38"/>
    </row>
    <row r="618" spans="1:45" ht="21.2" customHeight="1">
      <c r="A618" s="181">
        <f t="shared" si="53"/>
        <v>617</v>
      </c>
      <c r="B618" s="8" t="s">
        <v>667</v>
      </c>
      <c r="C618" s="31" t="s">
        <v>104</v>
      </c>
      <c r="D618" s="32" t="str">
        <f>VLOOKUP(B618,'Player Data'!A1:D734,4,FALSE)</f>
        <v>C,RW</v>
      </c>
      <c r="E618" s="45">
        <f>VLOOKUP(B618,RW!A1:F189,3,FALSE)</f>
        <v>151</v>
      </c>
      <c r="F618" s="34" t="str">
        <f>VLOOKUP(B618,'Player Data'!A1:B734,2,FALSE)</f>
        <v>DAL</v>
      </c>
      <c r="G618" s="9">
        <f>VLOOKUP(B618,'Player Data'!A1:D734,3,FALSE)</f>
        <v>23</v>
      </c>
      <c r="H618" s="35">
        <f>IFERROR(VLOOKUP(B618,ADP!A1:G731,7,FALSE)/1000000,VLOOKUP(B618,ADP!A1:G731,7,FALSE))</f>
        <v>0.9</v>
      </c>
      <c r="I618" s="36">
        <f>IF(Settings!$E$15="POINTS",((R618*Q618)*Settings!$B$12)+(S618*Settings!$B$2)+(T618*Settings!$B$3)+(U618*Settings!$B$4)+(V618*Settings!$B$5)+(X618*Settings!$B$9)+(AA618*Settings!$B$6)+(W618*Settings!$B$8)+(AB618*Settings!$B$7)+(AC618*Settings!$B$14)+(AD618*Settings!$B$15)+(AE618*Settings!$B$16)+(AF618*Settings!$B$17)+(AG618*Settings!$B$18)+(Y618*Settings!$B$10)+(Z618*Settings!$B$11),VLOOKUP(B618,'Standard Deviations'!A1:C731,3,FALSE))</f>
        <v>-3.0212929414005476</v>
      </c>
      <c r="J618" s="37">
        <f t="shared" si="54"/>
        <v>-3.6845035870738382E-2</v>
      </c>
      <c r="K618" s="183">
        <f>IF(Settings!$E$18="C/LW/RW",VLOOKUP(B618,RW!A1:F189,6,FALSE),VLOOKUP(B618,F!A1:F431,6,FALSE))</f>
        <v>-9.3015516604116293</v>
      </c>
      <c r="L618" s="36">
        <f t="shared" si="55"/>
        <v>-10.335057400457366</v>
      </c>
      <c r="M618" s="52" t="str">
        <f>IF(Settings!$E$9="YAHOO",VLOOKUP(B618,ADP!A1:E731,2,FALSE),IF(Settings!$E$9="ESPN",VLOOKUP(B618,ADP!A1:E731,3,FALSE),IF(Settings!$E$9="FANTRAX",VLOOKUP(B618,ADP!A1:E731,4,FALSE),VLOOKUP(B618,ADP!A1:E731,5,FALSE))))</f>
        <v>-</v>
      </c>
      <c r="N618" s="52" t="str">
        <f t="shared" si="56"/>
        <v>N/A</v>
      </c>
      <c r="O618" s="38"/>
      <c r="P618" s="39" t="str">
        <f>IF(Settings!$E$27="ON",_xlfn.XLOOKUP(B618,ADP!A2:A731,ADP!H2:H731)," ")</f>
        <v xml:space="preserve"> </v>
      </c>
      <c r="Q618" s="40">
        <f>IF(Settings!$E$12="YES",VLOOKUP(B618,'Player Data'!A1:E734,5,FALSE),82)</f>
        <v>82</v>
      </c>
      <c r="R618" s="38">
        <f>VLOOKUP(B618,'Player Data'!$A1:$AE734,6,FALSE)</f>
        <v>13.871401620919199</v>
      </c>
      <c r="S618" s="40">
        <f>VLOOKUP(B618,'Player Data'!$A1:$AE734,7,FALSE)*$Q618*IFERROR((VLOOKUP(P618,Settings!$E$28:$F$33,2,FALSE)+1),1)</f>
        <v>9.8048663958274602</v>
      </c>
      <c r="T618" s="40">
        <f>VLOOKUP(B618,'Player Data'!$A1:$AE734,8,FALSE)*$Q618*IFERROR((VLOOKUP(P618,Settings!$E$28:$F$33,2,FALSE)+1),1)</f>
        <v>18.510493513770907</v>
      </c>
      <c r="U618" s="40">
        <f t="shared" si="57"/>
        <v>28.315359909598367</v>
      </c>
      <c r="V618" s="40">
        <f>VLOOKUP(B618,'Player Data'!$A1:$AE734,10,FALSE)*$Q618*IFERROR(((VLOOKUP(P618,Settings!$E$28:$F$33,2,FALSE)/2)+1),1)</f>
        <v>92.169338417538199</v>
      </c>
      <c r="W618" s="40">
        <f>VLOOKUP(B618,'Player Data'!$A1:$AE734,11,FALSE)*$Q618*IFERROR((VLOOKUP(P618,Settings!$E$28:$F$33,2,FALSE)+1),1)</f>
        <v>7.4456287720273073E-2</v>
      </c>
      <c r="X618" s="40">
        <f>VLOOKUP(B618,'Player Data'!$A1:$AE734,12,FALSE)*$Q618*IFERROR((VLOOKUP(P618,Settings!$E$28:$F$33,2,FALSE)+1),1)</f>
        <v>0.15319612268166416</v>
      </c>
      <c r="Y618" s="40">
        <f>VLOOKUP(B618,'Player Data'!$A1:$AE734,13,FALSE)*$Q618</f>
        <v>0.26633834850762417</v>
      </c>
      <c r="Z618" s="40">
        <f>VLOOKUP(B618,'Player Data'!$A1:$AE734,14,FALSE)*$Q618</f>
        <v>3.4276250601941189</v>
      </c>
      <c r="AA618" s="40">
        <f>VLOOKUP(B618,'Player Data'!$A1:$AE734,15,FALSE)*$Q618</f>
        <v>38.644450298186122</v>
      </c>
      <c r="AB618" s="40">
        <f>VLOOKUP(B618,'Player Data'!$A1:$AE734,16,FALSE)*$Q618</f>
        <v>120.03440108220866</v>
      </c>
      <c r="AC618" s="40">
        <f>VLOOKUP(B618,'Player Data'!$A1:$AE734,17,FALSE)*$Q618*IFERROR((VLOOKUP(P618,Settings!$E$28:$F$33,2,FALSE)+1),1)</f>
        <v>3.9442351377042568</v>
      </c>
      <c r="AD618" s="40">
        <f>VLOOKUP(B618,'Player Data'!$A1:$AE734,18,FALSE)*$Q618</f>
        <v>48.312588652437064</v>
      </c>
      <c r="AE618" s="40">
        <f>VLOOKUP(B618,'Player Data'!$A1:$AE734,19,FALSE)*$Q618*IFERROR((VLOOKUP(P618,Settings!$E$28:$F$33,2,FALSE)+1),1)</f>
        <v>1.568709116100552</v>
      </c>
      <c r="AF618" s="40">
        <f>VLOOKUP(B618,'Player Data'!$A1:$AE734,20,FALSE)*$Q618</f>
        <v>102.10661902938</v>
      </c>
      <c r="AG618" s="40">
        <f>VLOOKUP(B618,'Player Data'!$A1:$AE734,21,FALSE)*$Q618</f>
        <v>102.80546469149721</v>
      </c>
      <c r="AH618" s="41">
        <f>VLOOKUP(B618,'Player Data'!$A1:$AE734,22,FALSE)</f>
        <v>0.49829476707906301</v>
      </c>
      <c r="AI618" s="38"/>
      <c r="AJ618" s="42"/>
      <c r="AK618" s="40"/>
      <c r="AL618" s="40"/>
      <c r="AM618" s="40"/>
      <c r="AN618" s="40"/>
      <c r="AO618" s="40"/>
      <c r="AP618" s="40"/>
      <c r="AQ618" s="43"/>
      <c r="AR618" s="44"/>
      <c r="AS618" s="38"/>
    </row>
    <row r="619" spans="1:45" ht="21.2" customHeight="1">
      <c r="A619" s="181">
        <f t="shared" si="53"/>
        <v>618</v>
      </c>
      <c r="B619" s="8" t="s">
        <v>717</v>
      </c>
      <c r="C619" s="31" t="s">
        <v>104</v>
      </c>
      <c r="D619" s="32" t="str">
        <f>VLOOKUP(B619,'Player Data'!A1:D734,4,FALSE)</f>
        <v>C,LW</v>
      </c>
      <c r="E619" s="45">
        <f>VLOOKUP(B619,LW!A1:C227,3,FALSE)</f>
        <v>169</v>
      </c>
      <c r="F619" s="34" t="str">
        <f>VLOOKUP(B619,'Player Data'!A1:B734,2,FALSE)</f>
        <v>VGK</v>
      </c>
      <c r="G619" s="9">
        <f>VLOOKUP(B619,'Player Data'!A1:D734,3,FALSE)</f>
        <v>23</v>
      </c>
      <c r="H619" s="35">
        <f>IFERROR(VLOOKUP(B619,ADP!A1:G731,7,FALSE)/1000000,VLOOKUP(B619,ADP!A1:G731,7,FALSE))</f>
        <v>0.77500000000000002</v>
      </c>
      <c r="I619" s="36">
        <f>IF(Settings!$E$15="POINTS",((R619*Q619)*Settings!$B$12)+(S619*Settings!$B$2)+(T619*Settings!$B$3)+(U619*Settings!$B$4)+(V619*Settings!$B$5)+(X619*Settings!$B$9)+(AA619*Settings!$B$6)+(W619*Settings!$B$8)+(AB619*Settings!$B$7)+(AC619*Settings!$B$14)+(AD619*Settings!$B$15)+(AE619*Settings!$B$16)+(AF619*Settings!$B$17)+(AG619*Settings!$B$18)+(Y619*Settings!$B$10)+(Z619*Settings!$B$11),VLOOKUP(B619,'Standard Deviations'!A1:C731,3,FALSE))</f>
        <v>-2.6563174119345847</v>
      </c>
      <c r="J619" s="37">
        <f t="shared" si="54"/>
        <v>-3.2394114779690057E-2</v>
      </c>
      <c r="K619" s="183">
        <f>IF(Settings!$E$18="C/LW/RW",VLOOKUP(B619,LW!A1:F227,6,FALSE),VLOOKUP(B619,F!A1:F431,6,FALSE))</f>
        <v>-9.3109864560589859</v>
      </c>
      <c r="L619" s="36">
        <f t="shared" si="55"/>
        <v>-12.014176072334175</v>
      </c>
      <c r="M619" s="52" t="str">
        <f>IF(Settings!$E$9="YAHOO",VLOOKUP(B619,ADP!A1:E731,2,FALSE),IF(Settings!$E$9="ESPN",VLOOKUP(B619,ADP!A1:E731,3,FALSE),IF(Settings!$E$9="FANTRAX",VLOOKUP(B619,ADP!A1:E731,4,FALSE),VLOOKUP(B619,ADP!A1:E731,5,FALSE))))</f>
        <v>-</v>
      </c>
      <c r="N619" s="52" t="str">
        <f t="shared" si="56"/>
        <v>N/A</v>
      </c>
      <c r="O619" s="38"/>
      <c r="P619" s="39" t="str">
        <f>IF(Settings!$E$27="ON",_xlfn.XLOOKUP(B619,ADP!A2:A731,ADP!H2:H731)," ")</f>
        <v xml:space="preserve"> </v>
      </c>
      <c r="Q619" s="40">
        <f>IF(Settings!$E$12="YES",VLOOKUP(B619,'Player Data'!A1:E734,5,FALSE),82)</f>
        <v>82</v>
      </c>
      <c r="R619" s="38">
        <f>VLOOKUP(B619,'Player Data'!$A1:$AE734,6,FALSE)</f>
        <v>11.811131444220999</v>
      </c>
      <c r="S619" s="40">
        <f>VLOOKUP(B619,'Player Data'!$A1:$AE734,7,FALSE)*$Q619*IFERROR((VLOOKUP(P619,Settings!$E$28:$F$33,2,FALSE)+1),1)</f>
        <v>17.191092962304182</v>
      </c>
      <c r="T619" s="40">
        <f>VLOOKUP(B619,'Player Data'!$A1:$AE734,8,FALSE)*$Q619*IFERROR((VLOOKUP(P619,Settings!$E$28:$F$33,2,FALSE)+1),1)</f>
        <v>10.280774269625034</v>
      </c>
      <c r="U619" s="40">
        <f t="shared" si="57"/>
        <v>27.471867231929217</v>
      </c>
      <c r="V619" s="40">
        <f>VLOOKUP(B619,'Player Data'!$A1:$AE734,10,FALSE)*$Q619*IFERROR(((VLOOKUP(P619,Settings!$E$28:$F$33,2,FALSE)/2)+1),1)</f>
        <v>106.49564641696571</v>
      </c>
      <c r="W619" s="40">
        <f>VLOOKUP(B619,'Player Data'!$A1:$AE734,11,FALSE)*$Q619*IFERROR((VLOOKUP(P619,Settings!$E$28:$F$33,2,FALSE)+1),1)</f>
        <v>0.26678923111383213</v>
      </c>
      <c r="X619" s="40">
        <f>VLOOKUP(B619,'Player Data'!$A1:$AE734,12,FALSE)*$Q619*IFERROR((VLOOKUP(P619,Settings!$E$28:$F$33,2,FALSE)+1),1)</f>
        <v>0.66360663186563729</v>
      </c>
      <c r="Y619" s="40">
        <f>VLOOKUP(B619,'Player Data'!$A1:$AE734,13,FALSE)*$Q619</f>
        <v>8.0794896379837982E-3</v>
      </c>
      <c r="Z619" s="40">
        <f>VLOOKUP(B619,'Player Data'!$A1:$AE734,14,FALSE)*$Q619</f>
        <v>1.5802489837758095E-2</v>
      </c>
      <c r="AA619" s="40">
        <f>VLOOKUP(B619,'Player Data'!$A1:$AE734,15,FALSE)*$Q619</f>
        <v>25.745594670615322</v>
      </c>
      <c r="AB619" s="40">
        <f>VLOOKUP(B619,'Player Data'!$A1:$AE734,16,FALSE)*$Q619</f>
        <v>201.90388902782604</v>
      </c>
      <c r="AC619" s="40">
        <f>VLOOKUP(B619,'Player Data'!$A1:$AE734,17,FALSE)*$Q619*IFERROR((VLOOKUP(P619,Settings!$E$28:$F$33,2,FALSE)+1),1)</f>
        <v>2.5416542932250072</v>
      </c>
      <c r="AD619" s="40">
        <f>VLOOKUP(B619,'Player Data'!$A1:$AE734,18,FALSE)*$Q619</f>
        <v>24.747105567138227</v>
      </c>
      <c r="AE619" s="40">
        <f>VLOOKUP(B619,'Player Data'!$A1:$AE734,19,FALSE)*$Q619*IFERROR((VLOOKUP(P619,Settings!$E$28:$F$33,2,FALSE)+1),1)</f>
        <v>2.8094936448502827</v>
      </c>
      <c r="AF619" s="40">
        <f>VLOOKUP(B619,'Player Data'!$A1:$AE734,20,FALSE)*$Q619</f>
        <v>13.949857071347285</v>
      </c>
      <c r="AG619" s="40">
        <f>VLOOKUP(B619,'Player Data'!$A1:$AE734,21,FALSE)*$Q619</f>
        <v>18.693350308770977</v>
      </c>
      <c r="AH619" s="41">
        <f>VLOOKUP(B619,'Player Data'!$A1:$AE734,22,FALSE)</f>
        <v>0.427343333910368</v>
      </c>
      <c r="AI619" s="38"/>
      <c r="AJ619" s="42"/>
      <c r="AK619" s="40"/>
      <c r="AL619" s="40"/>
      <c r="AM619" s="40"/>
      <c r="AN619" s="40"/>
      <c r="AO619" s="40"/>
      <c r="AP619" s="40"/>
      <c r="AQ619" s="43"/>
      <c r="AR619" s="44"/>
      <c r="AS619" s="38"/>
    </row>
    <row r="620" spans="1:45" ht="21.2" customHeight="1">
      <c r="A620" s="181">
        <f t="shared" si="53"/>
        <v>619</v>
      </c>
      <c r="B620" s="8" t="s">
        <v>738</v>
      </c>
      <c r="C620" s="31" t="s">
        <v>104</v>
      </c>
      <c r="D620" s="32" t="str">
        <f>VLOOKUP(B620,'Player Data'!A1:D734,4,FALSE)</f>
        <v>C,RW</v>
      </c>
      <c r="E620" s="45">
        <f>VLOOKUP(B620,RW!A1:F189,3,FALSE)</f>
        <v>152</v>
      </c>
      <c r="F620" s="34" t="str">
        <f>VLOOKUP(B620,'Player Data'!A1:B734,2,FALSE)</f>
        <v>NYR</v>
      </c>
      <c r="G620" s="9">
        <f>VLOOKUP(B620,'Player Data'!A1:D734,3,FALSE)</f>
        <v>31</v>
      </c>
      <c r="H620" s="35">
        <f>IFERROR(VLOOKUP(B620,ADP!A1:G731,7,FALSE)/1000000,VLOOKUP(B620,ADP!A1:G731,7,FALSE))</f>
        <v>0.77500000000000002</v>
      </c>
      <c r="I620" s="36">
        <f>IF(Settings!$E$15="POINTS",((R620*Q620)*Settings!$B$12)+(S620*Settings!$B$2)+(T620*Settings!$B$3)+(U620*Settings!$B$4)+(V620*Settings!$B$5)+(X620*Settings!$B$9)+(AA620*Settings!$B$6)+(W620*Settings!$B$8)+(AB620*Settings!$B$7)+(AC620*Settings!$B$14)+(AD620*Settings!$B$15)+(AE620*Settings!$B$16)+(AF620*Settings!$B$17)+(AG620*Settings!$B$18)+(Y620*Settings!$B$10)+(Z620*Settings!$B$11),VLOOKUP(B620,'Standard Deviations'!A1:C731,3,FALSE))</f>
        <v>-3.0449206317509745</v>
      </c>
      <c r="J620" s="37">
        <f t="shared" si="54"/>
        <v>-3.7133178435987492E-2</v>
      </c>
      <c r="K620" s="183">
        <f>IF(Settings!$E$18="C/LW/RW",VLOOKUP(B620,RW!A1:F189,6,FALSE),VLOOKUP(B620,F!A1:F431,6,FALSE))</f>
        <v>-9.3251793507620562</v>
      </c>
      <c r="L620" s="36">
        <f t="shared" si="55"/>
        <v>-12.032489484854265</v>
      </c>
      <c r="M620" s="52" t="str">
        <f>IF(Settings!$E$9="YAHOO",VLOOKUP(B620,ADP!A1:E731,2,FALSE),IF(Settings!$E$9="ESPN",VLOOKUP(B620,ADP!A1:E731,3,FALSE),IF(Settings!$E$9="FANTRAX",VLOOKUP(B620,ADP!A1:E731,4,FALSE),VLOOKUP(B620,ADP!A1:E731,5,FALSE))))</f>
        <v>-</v>
      </c>
      <c r="N620" s="52" t="str">
        <f t="shared" si="56"/>
        <v>N/A</v>
      </c>
      <c r="O620" s="38"/>
      <c r="P620" s="39" t="str">
        <f>IF(Settings!$E$27="ON",_xlfn.XLOOKUP(B620,ADP!A2:A731,ADP!H2:H731)," ")</f>
        <v xml:space="preserve"> </v>
      </c>
      <c r="Q620" s="40">
        <f>IF(Settings!$E$12="YES",VLOOKUP(B620,'Player Data'!A1:E734,5,FALSE),82)</f>
        <v>82</v>
      </c>
      <c r="R620" s="38">
        <f>VLOOKUP(B620,'Player Data'!$A1:$AE734,6,FALSE)</f>
        <v>12.2179199110123</v>
      </c>
      <c r="S620" s="40">
        <f>VLOOKUP(B620,'Player Data'!$A1:$AE734,7,FALSE)*$Q620*IFERROR((VLOOKUP(P620,Settings!$E$28:$F$33,2,FALSE)+1),1)</f>
        <v>10.572146771410281</v>
      </c>
      <c r="T620" s="40">
        <f>VLOOKUP(B620,'Player Data'!$A1:$AE734,8,FALSE)*$Q620*IFERROR((VLOOKUP(P620,Settings!$E$28:$F$33,2,FALSE)+1),1)</f>
        <v>14.792099492165869</v>
      </c>
      <c r="U620" s="40">
        <f t="shared" si="57"/>
        <v>25.364246263576149</v>
      </c>
      <c r="V620" s="40">
        <f>VLOOKUP(B620,'Player Data'!$A1:$AE734,10,FALSE)*$Q620*IFERROR(((VLOOKUP(P620,Settings!$E$28:$F$33,2,FALSE)/2)+1),1)</f>
        <v>106.83230706789011</v>
      </c>
      <c r="W620" s="40">
        <f>VLOOKUP(B620,'Player Data'!$A1:$AE734,11,FALSE)*$Q620*IFERROR((VLOOKUP(P620,Settings!$E$28:$F$33,2,FALSE)+1),1)</f>
        <v>0.27662404583944922</v>
      </c>
      <c r="X620" s="40">
        <f>VLOOKUP(B620,'Player Data'!$A1:$AE734,12,FALSE)*$Q620*IFERROR((VLOOKUP(P620,Settings!$E$28:$F$33,2,FALSE)+1),1)</f>
        <v>0.71966801539153824</v>
      </c>
      <c r="Y620" s="40">
        <f>VLOOKUP(B620,'Player Data'!$A1:$AE734,13,FALSE)*$Q620</f>
        <v>0.18573833523031313</v>
      </c>
      <c r="Z620" s="40">
        <f>VLOOKUP(B620,'Player Data'!$A1:$AE734,14,FALSE)*$Q620</f>
        <v>0.28112011940537263</v>
      </c>
      <c r="AA620" s="40">
        <f>VLOOKUP(B620,'Player Data'!$A1:$AE734,15,FALSE)*$Q620</f>
        <v>50.862410276326081</v>
      </c>
      <c r="AB620" s="40">
        <f>VLOOKUP(B620,'Player Data'!$A1:$AE734,16,FALSE)*$Q620</f>
        <v>99.627252268045027</v>
      </c>
      <c r="AC620" s="40">
        <f>VLOOKUP(B620,'Player Data'!$A1:$AE734,17,FALSE)*$Q620*IFERROR((VLOOKUP(P620,Settings!$E$28:$F$33,2,FALSE)+1),1)</f>
        <v>-4.1902294954454113E-2</v>
      </c>
      <c r="AD620" s="40">
        <f>VLOOKUP(B620,'Player Data'!$A1:$AE734,18,FALSE)*$Q620</f>
        <v>29.188409275111297</v>
      </c>
      <c r="AE620" s="40">
        <f>VLOOKUP(B620,'Player Data'!$A1:$AE734,19,FALSE)*$Q620*IFERROR((VLOOKUP(P620,Settings!$E$28:$F$33,2,FALSE)+1),1)</f>
        <v>1.8014740677019208</v>
      </c>
      <c r="AF620" s="40">
        <f>VLOOKUP(B620,'Player Data'!$A1:$AE734,20,FALSE)*$Q620</f>
        <v>246.08730025170465</v>
      </c>
      <c r="AG620" s="40">
        <f>VLOOKUP(B620,'Player Data'!$A1:$AE734,21,FALSE)*$Q620</f>
        <v>271.38547983623499</v>
      </c>
      <c r="AH620" s="41">
        <f>VLOOKUP(B620,'Player Data'!$A1:$AE734,22,FALSE)</f>
        <v>0.47555602868596197</v>
      </c>
      <c r="AI620" s="38"/>
      <c r="AJ620" s="40"/>
      <c r="AK620" s="40"/>
      <c r="AL620" s="40"/>
      <c r="AM620" s="40"/>
      <c r="AN620" s="40"/>
      <c r="AO620" s="40"/>
      <c r="AP620" s="40"/>
      <c r="AQ620" s="43"/>
      <c r="AR620" s="44"/>
      <c r="AS620" s="38"/>
    </row>
    <row r="621" spans="1:45" ht="21.2" customHeight="1">
      <c r="A621" s="181">
        <f t="shared" si="53"/>
        <v>620</v>
      </c>
      <c r="B621" s="8" t="s">
        <v>733</v>
      </c>
      <c r="C621" s="31" t="s">
        <v>104</v>
      </c>
      <c r="D621" s="32" t="str">
        <f>VLOOKUP(B621,'Player Data'!A1:D734,4,FALSE)</f>
        <v>LW</v>
      </c>
      <c r="E621" s="48">
        <f>VLOOKUP(B621,LW!A1:C227,3,FALSE)</f>
        <v>170</v>
      </c>
      <c r="F621" s="34" t="str">
        <f>VLOOKUP(B621,'Player Data'!A1:B734,2,FALSE)</f>
        <v>ARI</v>
      </c>
      <c r="G621" s="9">
        <f>VLOOKUP(B621,'Player Data'!A1:D734,3,FALSE)</f>
        <v>27</v>
      </c>
      <c r="H621" s="35">
        <f>IFERROR(VLOOKUP(B621,ADP!A1:G731,7,FALSE)/1000000,VLOOKUP(B621,ADP!A1:G731,7,FALSE))</f>
        <v>0.78569999999999995</v>
      </c>
      <c r="I621" s="36">
        <f>IF(Settings!$E$15="POINTS",((R621*Q621)*Settings!$B$12)+(S621*Settings!$B$2)+(T621*Settings!$B$3)+(U621*Settings!$B$4)+(V621*Settings!$B$5)+(X621*Settings!$B$9)+(AA621*Settings!$B$6)+(W621*Settings!$B$8)+(AB621*Settings!$B$7)+(AC621*Settings!$B$14)+(AD621*Settings!$B$15)+(AE621*Settings!$B$16)+(AF621*Settings!$B$17)+(AG621*Settings!$B$18)+(Y621*Settings!$B$10)+(Z621*Settings!$B$11),VLOOKUP(B621,'Standard Deviations'!A1:C731,3,FALSE))</f>
        <v>-2.6902452776734291</v>
      </c>
      <c r="J621" s="37">
        <f t="shared" si="54"/>
        <v>-3.2807869239919865E-2</v>
      </c>
      <c r="K621" s="183">
        <f>IF(Settings!$E$18="C/LW/RW",VLOOKUP(B621,LW!A1:F227,6,FALSE),VLOOKUP(B621,F!A1:F431,6,FALSE))</f>
        <v>-9.3449143217978303</v>
      </c>
      <c r="L621" s="36">
        <f t="shared" si="55"/>
        <v>-11.893743568534848</v>
      </c>
      <c r="M621" s="52" t="str">
        <f>IF(Settings!$E$9="YAHOO",VLOOKUP(B621,ADP!A1:E731,2,FALSE),IF(Settings!$E$9="ESPN",VLOOKUP(B621,ADP!A1:E731,3,FALSE),IF(Settings!$E$9="FANTRAX",VLOOKUP(B621,ADP!A1:E731,4,FALSE),VLOOKUP(B621,ADP!A1:E731,5,FALSE))))</f>
        <v>-</v>
      </c>
      <c r="N621" s="52" t="str">
        <f t="shared" si="56"/>
        <v>N/A</v>
      </c>
      <c r="O621" s="38"/>
      <c r="P621" s="39" t="str">
        <f>IF(Settings!$E$27="ON",_xlfn.XLOOKUP(B621,ADP!A2:A731,ADP!H2:H731)," ")</f>
        <v xml:space="preserve"> </v>
      </c>
      <c r="Q621" s="40">
        <f>IF(Settings!$E$12="YES",VLOOKUP(B621,'Player Data'!A1:E734,5,FALSE),82)</f>
        <v>82</v>
      </c>
      <c r="R621" s="38">
        <f>VLOOKUP(B621,'Player Data'!$A1:$AE734,6,FALSE)</f>
        <v>11.993778312674801</v>
      </c>
      <c r="S621" s="40">
        <f>VLOOKUP(B621,'Player Data'!$A1:$AE734,7,FALSE)*$Q621*IFERROR((VLOOKUP(P621,Settings!$E$28:$F$33,2,FALSE)+1),1)</f>
        <v>13.404158400176513</v>
      </c>
      <c r="T621" s="40">
        <f>VLOOKUP(B621,'Player Data'!$A1:$AE734,8,FALSE)*$Q621*IFERROR((VLOOKUP(P621,Settings!$E$28:$F$33,2,FALSE)+1),1)</f>
        <v>12.253389261069163</v>
      </c>
      <c r="U621" s="40">
        <f t="shared" si="57"/>
        <v>25.657547661245676</v>
      </c>
      <c r="V621" s="40">
        <f>VLOOKUP(B621,'Player Data'!$A1:$AE734,10,FALSE)*$Q621*IFERROR(((VLOOKUP(P621,Settings!$E$28:$F$33,2,FALSE)/2)+1),1)</f>
        <v>121.4784564280192</v>
      </c>
      <c r="W621" s="40">
        <f>VLOOKUP(B621,'Player Data'!$A1:$AE734,11,FALSE)*$Q621*IFERROR((VLOOKUP(P621,Settings!$E$28:$F$33,2,FALSE)+1),1)</f>
        <v>0.32060787623324466</v>
      </c>
      <c r="X621" s="40">
        <f>VLOOKUP(B621,'Player Data'!$A1:$AE734,12,FALSE)*$Q621*IFERROR((VLOOKUP(P621,Settings!$E$28:$F$33,2,FALSE)+1),1)</f>
        <v>0.80745610681474222</v>
      </c>
      <c r="Y621" s="40">
        <f>VLOOKUP(B621,'Player Data'!$A1:$AE734,13,FALSE)*$Q621</f>
        <v>1.6207736090199203E-3</v>
      </c>
      <c r="Z621" s="40">
        <f>VLOOKUP(B621,'Player Data'!$A1:$AE734,14,FALSE)*$Q621</f>
        <v>3.0471183537097799E-3</v>
      </c>
      <c r="AA621" s="40">
        <f>VLOOKUP(B621,'Player Data'!$A1:$AE734,15,FALSE)*$Q621</f>
        <v>25.881798788172418</v>
      </c>
      <c r="AB621" s="40">
        <f>VLOOKUP(B621,'Player Data'!$A1:$AE734,16,FALSE)*$Q621</f>
        <v>117.83529198445517</v>
      </c>
      <c r="AC621" s="40">
        <f>VLOOKUP(B621,'Player Data'!$A1:$AE734,17,FALSE)*$Q621*IFERROR((VLOOKUP(P621,Settings!$E$28:$F$33,2,FALSE)+1),1)</f>
        <v>-2.2602588498103611</v>
      </c>
      <c r="AD621" s="40">
        <f>VLOOKUP(B621,'Player Data'!$A1:$AE734,18,FALSE)*$Q621</f>
        <v>30.020237703360724</v>
      </c>
      <c r="AE621" s="40">
        <f>VLOOKUP(B621,'Player Data'!$A1:$AE734,19,FALSE)*$Q621*IFERROR((VLOOKUP(P621,Settings!$E$28:$F$33,2,FALSE)+1),1)</f>
        <v>1.6915591877452216</v>
      </c>
      <c r="AF621" s="40">
        <f>VLOOKUP(B621,'Player Data'!$A1:$AE734,20,FALSE)*$Q621</f>
        <v>0</v>
      </c>
      <c r="AG621" s="40">
        <f>VLOOKUP(B621,'Player Data'!$A1:$AE734,21,FALSE)*$Q621</f>
        <v>8.4866754078284892</v>
      </c>
      <c r="AH621" s="41">
        <f>VLOOKUP(B621,'Player Data'!$A1:$AE734,22,FALSE)</f>
        <v>0</v>
      </c>
      <c r="AI621" s="38"/>
      <c r="AJ621" s="40"/>
      <c r="AK621" s="40"/>
      <c r="AL621" s="40"/>
      <c r="AM621" s="40"/>
      <c r="AN621" s="40"/>
      <c r="AO621" s="40"/>
      <c r="AP621" s="40"/>
      <c r="AQ621" s="43"/>
      <c r="AR621" s="44"/>
      <c r="AS621" s="38"/>
    </row>
    <row r="622" spans="1:45" ht="21.2" customHeight="1">
      <c r="A622" s="181">
        <f t="shared" si="53"/>
        <v>621</v>
      </c>
      <c r="B622" s="8" t="s">
        <v>644</v>
      </c>
      <c r="C622" s="31" t="s">
        <v>104</v>
      </c>
      <c r="D622" s="32" t="str">
        <f>VLOOKUP(B622,'Player Data'!A1:D734,4,FALSE)</f>
        <v>RW</v>
      </c>
      <c r="E622" s="46">
        <f>VLOOKUP(B622,RW!A1:F189,3,FALSE)</f>
        <v>153</v>
      </c>
      <c r="F622" s="34" t="str">
        <f>VLOOKUP(B622,'Player Data'!A1:B734,2,FALSE)</f>
        <v>COL</v>
      </c>
      <c r="G622" s="9">
        <f>VLOOKUP(B622,'Player Data'!A1:D734,3,FALSE)</f>
        <v>27</v>
      </c>
      <c r="H622" s="35">
        <f>IFERROR(VLOOKUP(B622,ADP!A1:G731,7,FALSE)/1000000,VLOOKUP(B622,ADP!A1:G731,7,FALSE))</f>
        <v>1.05</v>
      </c>
      <c r="I622" s="36">
        <f>IF(Settings!$E$15="POINTS",((R622*Q622)*Settings!$B$12)+(S622*Settings!$B$2)+(T622*Settings!$B$3)+(U622*Settings!$B$4)+(V622*Settings!$B$5)+(X622*Settings!$B$9)+(AA622*Settings!$B$6)+(W622*Settings!$B$8)+(AB622*Settings!$B$7)+(AC622*Settings!$B$14)+(AD622*Settings!$B$15)+(AE622*Settings!$B$16)+(AF622*Settings!$B$17)+(AG622*Settings!$B$18)+(Y622*Settings!$B$10)+(Z622*Settings!$B$11),VLOOKUP(B622,'Standard Deviations'!A1:C731,3,FALSE))</f>
        <v>-3.0930672637696235</v>
      </c>
      <c r="J622" s="37">
        <f t="shared" si="54"/>
        <v>-3.7720332484995407E-2</v>
      </c>
      <c r="K622" s="183">
        <f>IF(Settings!$E$18="C/LW/RW",VLOOKUP(B622,RW!A1:F189,6,FALSE),VLOOKUP(B622,F!A1:F431,6,FALSE))</f>
        <v>-9.3733259827807043</v>
      </c>
      <c r="L622" s="36">
        <f t="shared" si="55"/>
        <v>-8.9269771264578139</v>
      </c>
      <c r="M622" s="52" t="str">
        <f>IF(Settings!$E$9="YAHOO",VLOOKUP(B622,ADP!A1:E731,2,FALSE),IF(Settings!$E$9="ESPN",VLOOKUP(B622,ADP!A1:E731,3,FALSE),IF(Settings!$E$9="FANTRAX",VLOOKUP(B622,ADP!A1:E731,4,FALSE),VLOOKUP(B622,ADP!A1:E731,5,FALSE))))</f>
        <v>-</v>
      </c>
      <c r="N622" s="52" t="str">
        <f t="shared" si="56"/>
        <v>N/A</v>
      </c>
      <c r="O622" s="38"/>
      <c r="P622" s="39" t="str">
        <f>IF(Settings!$E$27="ON",_xlfn.XLOOKUP(B622,ADP!A2:A731,ADP!H2:H731)," ")</f>
        <v xml:space="preserve"> </v>
      </c>
      <c r="Q622" s="40">
        <f>IF(Settings!$E$12="YES",VLOOKUP(B622,'Player Data'!A1:E734,5,FALSE),82)</f>
        <v>82</v>
      </c>
      <c r="R622" s="38">
        <f>VLOOKUP(B622,'Player Data'!$A1:$AE734,6,FALSE)</f>
        <v>13.8369740966699</v>
      </c>
      <c r="S622" s="40">
        <f>VLOOKUP(B622,'Player Data'!$A1:$AE734,7,FALSE)*$Q622*IFERROR((VLOOKUP(P622,Settings!$E$28:$F$33,2,FALSE)+1),1)</f>
        <v>9.3194344502535156</v>
      </c>
      <c r="T622" s="40">
        <f>VLOOKUP(B622,'Player Data'!$A1:$AE734,8,FALSE)*$Q622*IFERROR((VLOOKUP(P622,Settings!$E$28:$F$33,2,FALSE)+1),1)</f>
        <v>16.304996537118097</v>
      </c>
      <c r="U622" s="40">
        <f t="shared" si="57"/>
        <v>25.624430987371611</v>
      </c>
      <c r="V622" s="40">
        <f>VLOOKUP(B622,'Player Data'!$A1:$AE734,10,FALSE)*$Q622*IFERROR(((VLOOKUP(P622,Settings!$E$28:$F$33,2,FALSE)/2)+1),1)</f>
        <v>107.14276112277895</v>
      </c>
      <c r="W622" s="40">
        <f>VLOOKUP(B622,'Player Data'!$A1:$AE734,11,FALSE)*$Q622*IFERROR((VLOOKUP(P622,Settings!$E$28:$F$33,2,FALSE)+1),1)</f>
        <v>6.9434824937863737E-2</v>
      </c>
      <c r="X622" s="40">
        <f>VLOOKUP(B622,'Player Data'!$A1:$AE734,12,FALSE)*$Q622*IFERROR((VLOOKUP(P622,Settings!$E$28:$F$33,2,FALSE)+1),1)</f>
        <v>0.17503142780209976</v>
      </c>
      <c r="Y622" s="40">
        <f>VLOOKUP(B622,'Player Data'!$A1:$AE734,13,FALSE)*$Q622</f>
        <v>1.5111215738224879</v>
      </c>
      <c r="Z622" s="40">
        <f>VLOOKUP(B622,'Player Data'!$A1:$AE734,14,FALSE)*$Q622</f>
        <v>3.1024662577362832</v>
      </c>
      <c r="AA622" s="40">
        <f>VLOOKUP(B622,'Player Data'!$A1:$AE734,15,FALSE)*$Q622</f>
        <v>49.102434565188176</v>
      </c>
      <c r="AB622" s="40">
        <f>VLOOKUP(B622,'Player Data'!$A1:$AE734,16,FALSE)*$Q622</f>
        <v>105.53530110168421</v>
      </c>
      <c r="AC622" s="40">
        <f>VLOOKUP(B622,'Player Data'!$A1:$AE734,17,FALSE)*$Q622*IFERROR((VLOOKUP(P622,Settings!$E$28:$F$33,2,FALSE)+1),1)</f>
        <v>4.39028192559452</v>
      </c>
      <c r="AD622" s="40">
        <f>VLOOKUP(B622,'Player Data'!$A1:$AE734,18,FALSE)*$Q622</f>
        <v>34.802785792600261</v>
      </c>
      <c r="AE622" s="40">
        <f>VLOOKUP(B622,'Player Data'!$A1:$AE734,19,FALSE)*$Q622*IFERROR((VLOOKUP(P622,Settings!$E$28:$F$33,2,FALSE)+1),1)</f>
        <v>1.4744749435248379</v>
      </c>
      <c r="AF622" s="40">
        <f>VLOOKUP(B622,'Player Data'!$A1:$AE734,20,FALSE)*$Q622</f>
        <v>2.9008534227971925</v>
      </c>
      <c r="AG622" s="40">
        <f>VLOOKUP(B622,'Player Data'!$A1:$AE734,21,FALSE)*$Q622</f>
        <v>10.719047868901466</v>
      </c>
      <c r="AH622" s="41">
        <f>VLOOKUP(B622,'Player Data'!$A1:$AE734,22,FALSE)</f>
        <v>0.21298637638183601</v>
      </c>
      <c r="AI622" s="38"/>
      <c r="AJ622" s="42"/>
      <c r="AK622" s="40"/>
      <c r="AL622" s="40"/>
      <c r="AM622" s="40"/>
      <c r="AN622" s="40"/>
      <c r="AO622" s="40"/>
      <c r="AP622" s="40"/>
      <c r="AQ622" s="43"/>
      <c r="AR622" s="44"/>
      <c r="AS622" s="38"/>
    </row>
    <row r="623" spans="1:45" ht="21.2" customHeight="1">
      <c r="A623" s="181">
        <f t="shared" si="53"/>
        <v>622</v>
      </c>
      <c r="B623" s="8" t="s">
        <v>664</v>
      </c>
      <c r="C623" s="31" t="s">
        <v>104</v>
      </c>
      <c r="D623" s="32" t="str">
        <f>VLOOKUP(B623,'Player Data'!A1:D734,4,FALSE)</f>
        <v>RW</v>
      </c>
      <c r="E623" s="46">
        <f>VLOOKUP(B623,RW!A1:F189,3,FALSE)</f>
        <v>154</v>
      </c>
      <c r="F623" s="34" t="str">
        <f>VLOOKUP(B623,'Player Data'!A1:B734,2,FALSE)</f>
        <v>DAL</v>
      </c>
      <c r="G623" s="9">
        <f>VLOOKUP(B623,'Player Data'!A1:D734,3,FALSE)</f>
        <v>33</v>
      </c>
      <c r="H623" s="35">
        <f>IFERROR(VLOOKUP(B623,ADP!A1:G731,7,FALSE)/1000000,VLOOKUP(B623,ADP!A1:G731,7,FALSE))</f>
        <v>1</v>
      </c>
      <c r="I623" s="36">
        <f>IF(Settings!$E$15="POINTS",((R623*Q623)*Settings!$B$12)+(S623*Settings!$B$2)+(T623*Settings!$B$3)+(U623*Settings!$B$4)+(V623*Settings!$B$5)+(X623*Settings!$B$9)+(AA623*Settings!$B$6)+(W623*Settings!$B$8)+(AB623*Settings!$B$7)+(AC623*Settings!$B$14)+(AD623*Settings!$B$15)+(AE623*Settings!$B$16)+(AF623*Settings!$B$17)+(AG623*Settings!$B$18)+(Y623*Settings!$B$10)+(Z623*Settings!$B$11),VLOOKUP(B623,'Standard Deviations'!A1:C731,3,FALSE))</f>
        <v>-3.0952613951950108</v>
      </c>
      <c r="J623" s="37">
        <f t="shared" si="54"/>
        <v>-3.7747090185305011E-2</v>
      </c>
      <c r="K623" s="183">
        <f>IF(Settings!$E$18="C/LW/RW",VLOOKUP(B623,RW!A1:F189,6,FALSE),VLOOKUP(B623,F!A1:F431,6,FALSE))</f>
        <v>-9.3755201142060915</v>
      </c>
      <c r="L623" s="36">
        <f t="shared" si="55"/>
        <v>-9.3755201142060915</v>
      </c>
      <c r="M623" s="52" t="str">
        <f>IF(Settings!$E$9="YAHOO",VLOOKUP(B623,ADP!A1:E731,2,FALSE),IF(Settings!$E$9="ESPN",VLOOKUP(B623,ADP!A1:E731,3,FALSE),IF(Settings!$E$9="FANTRAX",VLOOKUP(B623,ADP!A1:E731,4,FALSE),VLOOKUP(B623,ADP!A1:E731,5,FALSE))))</f>
        <v>-</v>
      </c>
      <c r="N623" s="52" t="str">
        <f t="shared" si="56"/>
        <v>N/A</v>
      </c>
      <c r="O623" s="38"/>
      <c r="P623" s="39" t="str">
        <f>IF(Settings!$E$27="ON",_xlfn.XLOOKUP(B623,ADP!A2:A731,ADP!H2:H731)," ")</f>
        <v xml:space="preserve"> </v>
      </c>
      <c r="Q623" s="40">
        <f>IF(Settings!$E$12="YES",VLOOKUP(B623,'Player Data'!A1:E734,5,FALSE),82)</f>
        <v>82</v>
      </c>
      <c r="R623" s="38">
        <f>VLOOKUP(B623,'Player Data'!$A1:$AE734,6,FALSE)</f>
        <v>10.7256716758765</v>
      </c>
      <c r="S623" s="40">
        <f>VLOOKUP(B623,'Player Data'!$A1:$AE734,7,FALSE)*$Q623*IFERROR((VLOOKUP(P623,Settings!$E$28:$F$33,2,FALSE)+1),1)</f>
        <v>10.901201089533169</v>
      </c>
      <c r="T623" s="40">
        <f>VLOOKUP(B623,'Player Data'!$A1:$AE734,8,FALSE)*$Q623*IFERROR((VLOOKUP(P623,Settings!$E$28:$F$33,2,FALSE)+1),1)</f>
        <v>11.005425140030662</v>
      </c>
      <c r="U623" s="40">
        <f t="shared" si="57"/>
        <v>21.90662622956383</v>
      </c>
      <c r="V623" s="40">
        <f>VLOOKUP(B623,'Player Data'!$A1:$AE734,10,FALSE)*$Q623*IFERROR(((VLOOKUP(P623,Settings!$E$28:$F$33,2,FALSE)/2)+1),1)</f>
        <v>130.6156395603426</v>
      </c>
      <c r="W623" s="40">
        <f>VLOOKUP(B623,'Player Data'!$A1:$AE734,11,FALSE)*$Q623*IFERROR((VLOOKUP(P623,Settings!$E$28:$F$33,2,FALSE)+1),1)</f>
        <v>5.1705788722164865E-2</v>
      </c>
      <c r="X623" s="40">
        <f>VLOOKUP(B623,'Player Data'!$A1:$AE734,12,FALSE)*$Q623*IFERROR((VLOOKUP(P623,Settings!$E$28:$F$33,2,FALSE)+1),1)</f>
        <v>0.18349472744099996</v>
      </c>
      <c r="Y623" s="40">
        <f>VLOOKUP(B623,'Player Data'!$A1:$AE734,13,FALSE)*$Q623</f>
        <v>1.12071607195517E-3</v>
      </c>
      <c r="Z623" s="40">
        <f>VLOOKUP(B623,'Player Data'!$A1:$AE734,14,FALSE)*$Q623</f>
        <v>1.8852811664313105E-3</v>
      </c>
      <c r="AA623" s="40">
        <f>VLOOKUP(B623,'Player Data'!$A1:$AE734,15,FALSE)*$Q623</f>
        <v>26.786568568284995</v>
      </c>
      <c r="AB623" s="40">
        <f>VLOOKUP(B623,'Player Data'!$A1:$AE734,16,FALSE)*$Q623</f>
        <v>80.052653993698911</v>
      </c>
      <c r="AC623" s="40">
        <f>VLOOKUP(B623,'Player Data'!$A1:$AE734,17,FALSE)*$Q623*IFERROR((VLOOKUP(P623,Settings!$E$28:$F$33,2,FALSE)+1),1)</f>
        <v>5.0309363662630791</v>
      </c>
      <c r="AD623" s="40">
        <f>VLOOKUP(B623,'Player Data'!$A1:$AE734,18,FALSE)*$Q623</f>
        <v>22.796507009603406</v>
      </c>
      <c r="AE623" s="40">
        <f>VLOOKUP(B623,'Player Data'!$A1:$AE734,19,FALSE)*$Q623*IFERROR((VLOOKUP(P623,Settings!$E$28:$F$33,2,FALSE)+1),1)</f>
        <v>1.7441148951171277</v>
      </c>
      <c r="AF623" s="40">
        <f>VLOOKUP(B623,'Player Data'!$A1:$AE734,20,FALSE)*$Q623</f>
        <v>4.1732020351820038</v>
      </c>
      <c r="AG623" s="40">
        <f>VLOOKUP(B623,'Player Data'!$A1:$AE734,21,FALSE)*$Q623</f>
        <v>8.9223983985036757</v>
      </c>
      <c r="AH623" s="41">
        <f>VLOOKUP(B623,'Player Data'!$A1:$AE734,22,FALSE)</f>
        <v>0.31867206519582802</v>
      </c>
      <c r="AI623" s="38"/>
      <c r="AJ623" s="42"/>
      <c r="AK623" s="40"/>
      <c r="AL623" s="40"/>
      <c r="AM623" s="40"/>
      <c r="AN623" s="40"/>
      <c r="AO623" s="40"/>
      <c r="AP623" s="40"/>
      <c r="AQ623" s="43"/>
      <c r="AR623" s="44"/>
      <c r="AS623" s="38"/>
    </row>
    <row r="624" spans="1:45" ht="21.2" customHeight="1">
      <c r="A624" s="181">
        <f t="shared" si="53"/>
        <v>623</v>
      </c>
      <c r="B624" s="8" t="s">
        <v>670</v>
      </c>
      <c r="C624" s="31" t="s">
        <v>104</v>
      </c>
      <c r="D624" s="32" t="str">
        <f>VLOOKUP(B624,'Player Data'!A1:D734,4,FALSE)</f>
        <v>LW,RW</v>
      </c>
      <c r="E624" s="45">
        <f>VLOOKUP(B624,RW!A1:F189,3,FALSE)</f>
        <v>155</v>
      </c>
      <c r="F624" s="34" t="str">
        <f>VLOOKUP(B624,'Player Data'!A1:B734,2,FALSE)</f>
        <v>UFA</v>
      </c>
      <c r="G624" s="9">
        <f>VLOOKUP(B624,'Player Data'!A1:D734,3,FALSE)</f>
        <v>28</v>
      </c>
      <c r="H624" s="35">
        <f>IFERROR(VLOOKUP(B624,ADP!A1:G731,7,FALSE)/1000000,VLOOKUP(B624,ADP!A1:G731,7,FALSE))</f>
        <v>1.853</v>
      </c>
      <c r="I624" s="36">
        <f>IF(Settings!$E$15="POINTS",((R624*Q624)*Settings!$B$12)+(S624*Settings!$B$2)+(T624*Settings!$B$3)+(U624*Settings!$B$4)+(V624*Settings!$B$5)+(X624*Settings!$B$9)+(AA624*Settings!$B$6)+(W624*Settings!$B$8)+(AB624*Settings!$B$7)+(AC624*Settings!$B$14)+(AD624*Settings!$B$15)+(AE624*Settings!$B$16)+(AF624*Settings!$B$17)+(AG624*Settings!$B$18)+(Y624*Settings!$B$10)+(Z624*Settings!$B$11),VLOOKUP(B624,'Standard Deviations'!A1:C731,3,FALSE))</f>
        <v>-3.1225923403291196</v>
      </c>
      <c r="J624" s="37">
        <f t="shared" si="54"/>
        <v>-3.8080394394257554E-2</v>
      </c>
      <c r="K624" s="183">
        <f>IF(Settings!$E$18="C/LW/RW",VLOOKUP(B624,RW!A1:F189,6,FALSE),VLOOKUP(B624,F!A1:F431,6,FALSE))</f>
        <v>-9.4028510593402004</v>
      </c>
      <c r="L624" s="36">
        <f t="shared" si="55"/>
        <v>-5.0743934481058828</v>
      </c>
      <c r="M624" s="52" t="str">
        <f>IF(Settings!$E$9="YAHOO",VLOOKUP(B624,ADP!A1:E731,2,FALSE),IF(Settings!$E$9="ESPN",VLOOKUP(B624,ADP!A1:E731,3,FALSE),IF(Settings!$E$9="FANTRAX",VLOOKUP(B624,ADP!A1:E731,4,FALSE),VLOOKUP(B624,ADP!A1:E731,5,FALSE))))</f>
        <v>-</v>
      </c>
      <c r="N624" s="52" t="str">
        <f t="shared" si="56"/>
        <v>N/A</v>
      </c>
      <c r="O624" s="38"/>
      <c r="P624" s="39" t="str">
        <f>IF(Settings!$E$27="ON",_xlfn.XLOOKUP(B624,ADP!A2:A731,ADP!H2:H731)," ")</f>
        <v xml:space="preserve"> </v>
      </c>
      <c r="Q624" s="40">
        <f>IF(Settings!$E$12="YES",VLOOKUP(B624,'Player Data'!A1:E734,5,FALSE),82)</f>
        <v>82</v>
      </c>
      <c r="R624" s="38">
        <f>VLOOKUP(B624,'Player Data'!$A1:$AE734,6,FALSE)</f>
        <v>10.2182777321764</v>
      </c>
      <c r="S624" s="40">
        <f>VLOOKUP(B624,'Player Data'!$A1:$AE734,7,FALSE)*$Q624*IFERROR((VLOOKUP(P624,Settings!$E$28:$F$33,2,FALSE)+1),1)</f>
        <v>10.455805264876421</v>
      </c>
      <c r="T624" s="40">
        <f>VLOOKUP(B624,'Player Data'!$A1:$AE734,8,FALSE)*$Q624*IFERROR((VLOOKUP(P624,Settings!$E$28:$F$33,2,FALSE)+1),1)</f>
        <v>13.654901063790238</v>
      </c>
      <c r="U624" s="40">
        <f t="shared" si="57"/>
        <v>24.110706328666659</v>
      </c>
      <c r="V624" s="40">
        <f>VLOOKUP(B624,'Player Data'!$A1:$AE734,10,FALSE)*$Q624*IFERROR(((VLOOKUP(P624,Settings!$E$28:$F$33,2,FALSE)/2)+1),1)</f>
        <v>110.30119301986777</v>
      </c>
      <c r="W624" s="40">
        <f>VLOOKUP(B624,'Player Data'!$A1:$AE734,11,FALSE)*$Q624*IFERROR((VLOOKUP(P624,Settings!$E$28:$F$33,2,FALSE)+1),1)</f>
        <v>0.48089466528640029</v>
      </c>
      <c r="X624" s="40">
        <f>VLOOKUP(B624,'Player Data'!$A1:$AE734,12,FALSE)*$Q624*IFERROR((VLOOKUP(P624,Settings!$E$28:$F$33,2,FALSE)+1),1)</f>
        <v>0.85010075768093429</v>
      </c>
      <c r="Y624" s="40">
        <f>VLOOKUP(B624,'Player Data'!$A1:$AE734,13,FALSE)*$Q624</f>
        <v>0</v>
      </c>
      <c r="Z624" s="40">
        <f>VLOOKUP(B624,'Player Data'!$A1:$AE734,14,FALSE)*$Q624</f>
        <v>0</v>
      </c>
      <c r="AA624" s="40">
        <f>VLOOKUP(B624,'Player Data'!$A1:$AE734,15,FALSE)*$Q624</f>
        <v>32.392148706636291</v>
      </c>
      <c r="AB624" s="40">
        <f>VLOOKUP(B624,'Player Data'!$A1:$AE734,16,FALSE)*$Q624</f>
        <v>88.209359158276186</v>
      </c>
      <c r="AC624" s="40">
        <f>VLOOKUP(B624,'Player Data'!$A1:$AE734,17,FALSE)*$Q624*IFERROR((VLOOKUP(P624,Settings!$E$28:$F$33,2,FALSE)+1),1)</f>
        <v>0.45851828142420681</v>
      </c>
      <c r="AD624" s="40">
        <f>VLOOKUP(B624,'Player Data'!$A1:$AE734,18,FALSE)*$Q624</f>
        <v>13.559942071452305</v>
      </c>
      <c r="AE624" s="40">
        <f>VLOOKUP(B624,'Player Data'!$A1:$AE734,19,FALSE)*$Q624*IFERROR((VLOOKUP(P624,Settings!$E$28:$F$33,2,FALSE)+1),1)</f>
        <v>0</v>
      </c>
      <c r="AF624" s="40">
        <f>VLOOKUP(B624,'Player Data'!$A1:$AE734,20,FALSE)*$Q624</f>
        <v>1.0513811388555674</v>
      </c>
      <c r="AG624" s="40">
        <f>VLOOKUP(B624,'Player Data'!$A1:$AE734,21,FALSE)*$Q624</f>
        <v>4.8648718147256602</v>
      </c>
      <c r="AH624" s="41">
        <f>VLOOKUP(B624,'Player Data'!$A1:$AE734,22,FALSE)</f>
        <v>0.17771064677333501</v>
      </c>
      <c r="AI624" s="38"/>
      <c r="AJ624" s="42"/>
      <c r="AK624" s="40"/>
      <c r="AL624" s="40"/>
      <c r="AM624" s="40"/>
      <c r="AN624" s="40"/>
      <c r="AO624" s="40"/>
      <c r="AP624" s="40"/>
      <c r="AQ624" s="43"/>
      <c r="AR624" s="44"/>
      <c r="AS624" s="38"/>
    </row>
    <row r="625" spans="1:45" ht="21.2" customHeight="1">
      <c r="A625" s="181">
        <f t="shared" si="53"/>
        <v>624</v>
      </c>
      <c r="B625" s="8" t="s">
        <v>637</v>
      </c>
      <c r="C625" s="31" t="s">
        <v>104</v>
      </c>
      <c r="D625" s="32" t="str">
        <f>VLOOKUP(B625,'Player Data'!A1:D734,4,FALSE)</f>
        <v>C,RW</v>
      </c>
      <c r="E625" s="45">
        <f>VLOOKUP(B625,RW!A1:F189,3,FALSE)</f>
        <v>156</v>
      </c>
      <c r="F625" s="34" t="str">
        <f>VLOOKUP(B625,'Player Data'!A1:B734,2,FALSE)</f>
        <v>NYR</v>
      </c>
      <c r="G625" s="9">
        <f>VLOOKUP(B625,'Player Data'!A1:D734,3,FALSE)</f>
        <v>30</v>
      </c>
      <c r="H625" s="35">
        <f>IFERROR(VLOOKUP(B625,ADP!A1:G731,7,FALSE)/1000000,VLOOKUP(B625,ADP!A1:G731,7,FALSE))</f>
        <v>3.641667</v>
      </c>
      <c r="I625" s="36">
        <f>IF(Settings!$E$15="POINTS",((R625*Q625)*Settings!$B$12)+(S625*Settings!$B$2)+(T625*Settings!$B$3)+(U625*Settings!$B$4)+(V625*Settings!$B$5)+(X625*Settings!$B$9)+(AA625*Settings!$B$6)+(W625*Settings!$B$8)+(AB625*Settings!$B$7)+(AC625*Settings!$B$14)+(AD625*Settings!$B$15)+(AE625*Settings!$B$16)+(AF625*Settings!$B$17)+(AG625*Settings!$B$18)+(Y625*Settings!$B$10)+(Z625*Settings!$B$11),VLOOKUP(B625,'Standard Deviations'!A1:C731,3,FALSE))</f>
        <v>-3.1333336128898788</v>
      </c>
      <c r="J625" s="37">
        <f t="shared" si="54"/>
        <v>-3.82113855230473E-2</v>
      </c>
      <c r="K625" s="183">
        <f>IF(Settings!$E$18="C/LW/RW",VLOOKUP(B625,RW!A1:F189,6,FALSE),VLOOKUP(B625,F!A1:F431,6,FALSE))</f>
        <v>-9.4135923319009596</v>
      </c>
      <c r="L625" s="36">
        <f t="shared" si="55"/>
        <v>-2.5849679094494249</v>
      </c>
      <c r="M625" s="52" t="str">
        <f>IF(Settings!$E$9="YAHOO",VLOOKUP(B625,ADP!A1:E731,2,FALSE),IF(Settings!$E$9="ESPN",VLOOKUP(B625,ADP!A1:E731,3,FALSE),IF(Settings!$E$9="FANTRAX",VLOOKUP(B625,ADP!A1:E731,4,FALSE),VLOOKUP(B625,ADP!A1:E731,5,FALSE))))</f>
        <v>-</v>
      </c>
      <c r="N625" s="52" t="str">
        <f t="shared" si="56"/>
        <v>N/A</v>
      </c>
      <c r="O625" s="38"/>
      <c r="P625" s="39" t="str">
        <f>IF(Settings!$E$27="ON",_xlfn.XLOOKUP(B625,ADP!A2:A731,ADP!H2:H731)," ")</f>
        <v xml:space="preserve"> </v>
      </c>
      <c r="Q625" s="40">
        <f>IF(Settings!$E$12="YES",VLOOKUP(B625,'Player Data'!A1:E734,5,FALSE),82)</f>
        <v>82</v>
      </c>
      <c r="R625" s="38">
        <f>VLOOKUP(B625,'Player Data'!$A1:$AE734,6,FALSE)</f>
        <v>13.6422595058278</v>
      </c>
      <c r="S625" s="40">
        <f>VLOOKUP(B625,'Player Data'!$A1:$AE734,7,FALSE)*$Q625*IFERROR((VLOOKUP(P625,Settings!$E$28:$F$33,2,FALSE)+1),1)</f>
        <v>9.5981206979555438</v>
      </c>
      <c r="T625" s="40">
        <f>VLOOKUP(B625,'Player Data'!$A1:$AE734,8,FALSE)*$Q625*IFERROR((VLOOKUP(P625,Settings!$E$28:$F$33,2,FALSE)+1),1)</f>
        <v>17.65683568607334</v>
      </c>
      <c r="U625" s="40">
        <f t="shared" si="57"/>
        <v>27.254956384028883</v>
      </c>
      <c r="V625" s="40">
        <f>VLOOKUP(B625,'Player Data'!$A1:$AE734,10,FALSE)*$Q625*IFERROR(((VLOOKUP(P625,Settings!$E$28:$F$33,2,FALSE)/2)+1),1)</f>
        <v>91.72341718670161</v>
      </c>
      <c r="W625" s="40">
        <f>VLOOKUP(B625,'Player Data'!$A1:$AE734,11,FALSE)*$Q625*IFERROR((VLOOKUP(P625,Settings!$E$28:$F$33,2,FALSE)+1),1)</f>
        <v>0.22198765410527063</v>
      </c>
      <c r="X625" s="40">
        <f>VLOOKUP(B625,'Player Data'!$A1:$AE734,12,FALSE)*$Q625*IFERROR((VLOOKUP(P625,Settings!$E$28:$F$33,2,FALSE)+1),1)</f>
        <v>0.3923847120633141</v>
      </c>
      <c r="Y625" s="40">
        <f>VLOOKUP(B625,'Player Data'!$A1:$AE734,13,FALSE)*$Q625</f>
        <v>0.27560094914361483</v>
      </c>
      <c r="Z625" s="40">
        <f>VLOOKUP(B625,'Player Data'!$A1:$AE734,14,FALSE)*$Q625</f>
        <v>1.2577206240732914</v>
      </c>
      <c r="AA625" s="40">
        <f>VLOOKUP(B625,'Player Data'!$A1:$AE734,15,FALSE)*$Q625</f>
        <v>54.855524450194864</v>
      </c>
      <c r="AB625" s="40">
        <f>VLOOKUP(B625,'Player Data'!$A1:$AE734,16,FALSE)*$Q625</f>
        <v>116.0941267861386</v>
      </c>
      <c r="AC625" s="40">
        <f>VLOOKUP(B625,'Player Data'!$A1:$AE734,17,FALSE)*$Q625*IFERROR((VLOOKUP(P625,Settings!$E$28:$F$33,2,FALSE)+1),1)</f>
        <v>4.04293208771991</v>
      </c>
      <c r="AD625" s="40">
        <f>VLOOKUP(B625,'Player Data'!$A1:$AE734,18,FALSE)*$Q625</f>
        <v>51.374546494452737</v>
      </c>
      <c r="AE625" s="40">
        <f>VLOOKUP(B625,'Player Data'!$A1:$AE734,19,FALSE)*$Q625*IFERROR((VLOOKUP(P625,Settings!$E$28:$F$33,2,FALSE)+1),1)</f>
        <v>1.6355018436556827</v>
      </c>
      <c r="AF625" s="40">
        <f>VLOOKUP(B625,'Player Data'!$A1:$AE734,20,FALSE)*$Q625</f>
        <v>271.79609715883419</v>
      </c>
      <c r="AG625" s="40">
        <f>VLOOKUP(B625,'Player Data'!$A1:$AE734,21,FALSE)*$Q625</f>
        <v>294.33117594106386</v>
      </c>
      <c r="AH625" s="41">
        <f>VLOOKUP(B625,'Player Data'!$A1:$AE734,22,FALSE)</f>
        <v>0.48009716202256397</v>
      </c>
      <c r="AI625" s="38"/>
      <c r="AJ625" s="42"/>
      <c r="AK625" s="40"/>
      <c r="AL625" s="40"/>
      <c r="AM625" s="40"/>
      <c r="AN625" s="40"/>
      <c r="AO625" s="40"/>
      <c r="AP625" s="40"/>
      <c r="AQ625" s="43"/>
      <c r="AR625" s="44"/>
      <c r="AS625" s="38"/>
    </row>
    <row r="626" spans="1:45" ht="21.2" customHeight="1">
      <c r="A626" s="181">
        <f t="shared" si="53"/>
        <v>625</v>
      </c>
      <c r="B626" s="8" t="s">
        <v>649</v>
      </c>
      <c r="C626" s="31" t="s">
        <v>104</v>
      </c>
      <c r="D626" s="32" t="str">
        <f>VLOOKUP(B626,'Player Data'!A1:D734,4,FALSE)</f>
        <v>RW</v>
      </c>
      <c r="E626" s="46">
        <f>VLOOKUP(B626,RW!A1:F189,3,FALSE)</f>
        <v>157</v>
      </c>
      <c r="F626" s="34" t="str">
        <f>VLOOKUP(B626,'Player Data'!A1:B734,2,FALSE)</f>
        <v>CAR</v>
      </c>
      <c r="G626" s="9">
        <f>VLOOKUP(B626,'Player Data'!A1:D734,3,FALSE)</f>
        <v>31</v>
      </c>
      <c r="H626" s="35">
        <f>IFERROR(VLOOKUP(B626,ADP!A1:G731,7,FALSE)/1000000,VLOOKUP(B626,ADP!A1:G731,7,FALSE))</f>
        <v>2.4</v>
      </c>
      <c r="I626" s="36">
        <f>IF(Settings!$E$15="POINTS",((R626*Q626)*Settings!$B$12)+(S626*Settings!$B$2)+(T626*Settings!$B$3)+(U626*Settings!$B$4)+(V626*Settings!$B$5)+(X626*Settings!$B$9)+(AA626*Settings!$B$6)+(W626*Settings!$B$8)+(AB626*Settings!$B$7)+(AC626*Settings!$B$14)+(AD626*Settings!$B$15)+(AE626*Settings!$B$16)+(AF626*Settings!$B$17)+(AG626*Settings!$B$18)+(Y626*Settings!$B$10)+(Z626*Settings!$B$11),VLOOKUP(B626,'Standard Deviations'!A1:C731,3,FALSE))</f>
        <v>-3.1350340136177088</v>
      </c>
      <c r="J626" s="37">
        <f t="shared" si="54"/>
        <v>-3.823212211728913E-2</v>
      </c>
      <c r="K626" s="183">
        <f>IF(Settings!$E$18="C/LW/RW",VLOOKUP(B626,RW!A1:F189,6,FALSE),VLOOKUP(B626,F!A1:F431,6,FALSE))</f>
        <v>-9.4152927326287887</v>
      </c>
      <c r="L626" s="36">
        <f t="shared" si="55"/>
        <v>-3.9230386385953286</v>
      </c>
      <c r="M626" s="52" t="str">
        <f>IF(Settings!$E$9="YAHOO",VLOOKUP(B626,ADP!A1:E731,2,FALSE),IF(Settings!$E$9="ESPN",VLOOKUP(B626,ADP!A1:E731,3,FALSE),IF(Settings!$E$9="FANTRAX",VLOOKUP(B626,ADP!A1:E731,4,FALSE),VLOOKUP(B626,ADP!A1:E731,5,FALSE))))</f>
        <v>-</v>
      </c>
      <c r="N626" s="52" t="str">
        <f t="shared" si="56"/>
        <v>N/A</v>
      </c>
      <c r="O626" s="38"/>
      <c r="P626" s="39" t="str">
        <f>IF(Settings!$E$27="ON",_xlfn.XLOOKUP(B626,ADP!A2:A731,ADP!H2:H731)," ")</f>
        <v xml:space="preserve"> </v>
      </c>
      <c r="Q626" s="40">
        <f>IF(Settings!$E$12="YES",VLOOKUP(B626,'Player Data'!A1:E734,5,FALSE),82)</f>
        <v>82</v>
      </c>
      <c r="R626" s="38">
        <f>VLOOKUP(B626,'Player Data'!$A1:$AE734,6,FALSE)</f>
        <v>14.1055636656672</v>
      </c>
      <c r="S626" s="40">
        <f>VLOOKUP(B626,'Player Data'!$A1:$AE734,7,FALSE)*$Q626*IFERROR((VLOOKUP(P626,Settings!$E$28:$F$33,2,FALSE)+1),1)</f>
        <v>10.221516240221996</v>
      </c>
      <c r="T626" s="40">
        <f>VLOOKUP(B626,'Player Data'!$A1:$AE734,8,FALSE)*$Q626*IFERROR((VLOOKUP(P626,Settings!$E$28:$F$33,2,FALSE)+1),1)</f>
        <v>18.076835549540288</v>
      </c>
      <c r="U626" s="40">
        <f t="shared" si="57"/>
        <v>28.298351789762286</v>
      </c>
      <c r="V626" s="40">
        <f>VLOOKUP(B626,'Player Data'!$A1:$AE734,10,FALSE)*$Q626*IFERROR(((VLOOKUP(P626,Settings!$E$28:$F$33,2,FALSE)/2)+1),1)</f>
        <v>82.527787239737805</v>
      </c>
      <c r="W626" s="40">
        <f>VLOOKUP(B626,'Player Data'!$A1:$AE734,11,FALSE)*$Q626*IFERROR((VLOOKUP(P626,Settings!$E$28:$F$33,2,FALSE)+1),1)</f>
        <v>0.20427452972647681</v>
      </c>
      <c r="X626" s="40">
        <f>VLOOKUP(B626,'Player Data'!$A1:$AE734,12,FALSE)*$Q626*IFERROR((VLOOKUP(P626,Settings!$E$28:$F$33,2,FALSE)+1),1)</f>
        <v>0.55588148591747666</v>
      </c>
      <c r="Y626" s="40">
        <f>VLOOKUP(B626,'Player Data'!$A1:$AE734,13,FALSE)*$Q626</f>
        <v>-1.3123977559539136E-2</v>
      </c>
      <c r="Z626" s="40">
        <f>VLOOKUP(B626,'Player Data'!$A1:$AE734,14,FALSE)*$Q626</f>
        <v>1.6616498857015773</v>
      </c>
      <c r="AA626" s="40">
        <f>VLOOKUP(B626,'Player Data'!$A1:$AE734,15,FALSE)*$Q626</f>
        <v>38.465703700107369</v>
      </c>
      <c r="AB626" s="40">
        <f>VLOOKUP(B626,'Player Data'!$A1:$AE734,16,FALSE)*$Q626</f>
        <v>103.13020502169078</v>
      </c>
      <c r="AC626" s="40">
        <f>VLOOKUP(B626,'Player Data'!$A1:$AE734,17,FALSE)*$Q626*IFERROR((VLOOKUP(P626,Settings!$E$28:$F$33,2,FALSE)+1),1)</f>
        <v>6.9076051193683794</v>
      </c>
      <c r="AD626" s="40">
        <f>VLOOKUP(B626,'Player Data'!$A1:$AE734,18,FALSE)*$Q626</f>
        <v>15.730857164117905</v>
      </c>
      <c r="AE626" s="40">
        <f>VLOOKUP(B626,'Player Data'!$A1:$AE734,19,FALSE)*$Q626*IFERROR((VLOOKUP(P626,Settings!$E$28:$F$33,2,FALSE)+1),1)</f>
        <v>1.8339688905529765</v>
      </c>
      <c r="AF626" s="40">
        <f>VLOOKUP(B626,'Player Data'!$A1:$AE734,20,FALSE)*$Q626</f>
        <v>11.296852116241228</v>
      </c>
      <c r="AG626" s="40">
        <f>VLOOKUP(B626,'Player Data'!$A1:$AE734,21,FALSE)*$Q626</f>
        <v>17.221412578947294</v>
      </c>
      <c r="AH626" s="41">
        <f>VLOOKUP(B626,'Player Data'!$A1:$AE734,22,FALSE)</f>
        <v>0.396126911541962</v>
      </c>
      <c r="AI626" s="38"/>
      <c r="AJ626" s="42"/>
      <c r="AK626" s="40"/>
      <c r="AL626" s="40"/>
      <c r="AM626" s="40"/>
      <c r="AN626" s="40"/>
      <c r="AO626" s="40"/>
      <c r="AP626" s="40"/>
      <c r="AQ626" s="43"/>
      <c r="AR626" s="44"/>
      <c r="AS626" s="38"/>
    </row>
    <row r="627" spans="1:45" ht="21.2" customHeight="1">
      <c r="A627" s="181">
        <f t="shared" si="53"/>
        <v>626</v>
      </c>
      <c r="B627" s="8" t="s">
        <v>666</v>
      </c>
      <c r="C627" s="31" t="s">
        <v>104</v>
      </c>
      <c r="D627" s="32" t="str">
        <f>VLOOKUP(B627,'Player Data'!A1:D734,4,FALSE)</f>
        <v>LW</v>
      </c>
      <c r="E627" s="48">
        <f>VLOOKUP(B627,LW!A1:C227,3,FALSE)</f>
        <v>172</v>
      </c>
      <c r="F627" s="34" t="str">
        <f>VLOOKUP(B627,'Player Data'!A1:B734,2,FALSE)</f>
        <v>CBJ</v>
      </c>
      <c r="G627" s="9">
        <f>VLOOKUP(B627,'Player Data'!A1:D734,3,FALSE)</f>
        <v>28</v>
      </c>
      <c r="H627" s="35">
        <f>IFERROR(VLOOKUP(B627,ADP!A1:G731,7,FALSE)/1000000,VLOOKUP(B627,ADP!A1:G731,7,FALSE))</f>
        <v>1.6</v>
      </c>
      <c r="I627" s="36">
        <f>IF(Settings!$E$15="POINTS",((R627*Q627)*Settings!$B$12)+(S627*Settings!$B$2)+(T627*Settings!$B$3)+(U627*Settings!$B$4)+(V627*Settings!$B$5)+(X627*Settings!$B$9)+(AA627*Settings!$B$6)+(W627*Settings!$B$8)+(AB627*Settings!$B$7)+(AC627*Settings!$B$14)+(AD627*Settings!$B$15)+(AE627*Settings!$B$16)+(AF627*Settings!$B$17)+(AG627*Settings!$B$18)+(Y627*Settings!$B$10)+(Z627*Settings!$B$11),VLOOKUP(B627,'Standard Deviations'!A1:C731,3,FALSE))</f>
        <v>-2.7666407063710796</v>
      </c>
      <c r="J627" s="37">
        <f t="shared" si="54"/>
        <v>-3.3739520809403407E-2</v>
      </c>
      <c r="K627" s="183">
        <f>IF(Settings!$E$18="C/LW/RW",VLOOKUP(B627,LW!A1:F227,6,FALSE),VLOOKUP(B627,F!A1:F431,6,FALSE))</f>
        <v>-9.4213097504954817</v>
      </c>
      <c r="L627" s="36">
        <f t="shared" si="55"/>
        <v>-5.8883185940596761</v>
      </c>
      <c r="M627" s="52" t="str">
        <f>IF(Settings!$E$9="YAHOO",VLOOKUP(B627,ADP!A1:E731,2,FALSE),IF(Settings!$E$9="ESPN",VLOOKUP(B627,ADP!A1:E731,3,FALSE),IF(Settings!$E$9="FANTRAX",VLOOKUP(B627,ADP!A1:E731,4,FALSE),VLOOKUP(B627,ADP!A1:E731,5,FALSE))))</f>
        <v>-</v>
      </c>
      <c r="N627" s="52" t="str">
        <f t="shared" si="56"/>
        <v>N/A</v>
      </c>
      <c r="O627" s="38"/>
      <c r="P627" s="39" t="str">
        <f>IF(Settings!$E$27="ON",_xlfn.XLOOKUP(B627,ADP!A2:A731,ADP!H2:H731)," ")</f>
        <v xml:space="preserve"> </v>
      </c>
      <c r="Q627" s="40">
        <f>IF(Settings!$E$12="YES",VLOOKUP(B627,'Player Data'!A1:E734,5,FALSE),82)</f>
        <v>82</v>
      </c>
      <c r="R627" s="38">
        <f>VLOOKUP(B627,'Player Data'!$A1:$AE734,6,FALSE)</f>
        <v>13.371833133198599</v>
      </c>
      <c r="S627" s="40">
        <f>VLOOKUP(B627,'Player Data'!$A1:$AE734,7,FALSE)*$Q627*IFERROR((VLOOKUP(P627,Settings!$E$28:$F$33,2,FALSE)+1),1)</f>
        <v>11.88766252762219</v>
      </c>
      <c r="T627" s="40">
        <f>VLOOKUP(B627,'Player Data'!$A1:$AE734,8,FALSE)*$Q627*IFERROR((VLOOKUP(P627,Settings!$E$28:$F$33,2,FALSE)+1),1)</f>
        <v>15.45872605715131</v>
      </c>
      <c r="U627" s="40">
        <f t="shared" si="57"/>
        <v>27.3463885847735</v>
      </c>
      <c r="V627" s="40">
        <f>VLOOKUP(B627,'Player Data'!$A1:$AE734,10,FALSE)*$Q627*IFERROR(((VLOOKUP(P627,Settings!$E$28:$F$33,2,FALSE)/2)+1),1)</f>
        <v>111.83550525186223</v>
      </c>
      <c r="W627" s="40">
        <f>VLOOKUP(B627,'Player Data'!$A1:$AE734,11,FALSE)*$Q627*IFERROR((VLOOKUP(P627,Settings!$E$28:$F$33,2,FALSE)+1),1)</f>
        <v>1.8015484276486707E-2</v>
      </c>
      <c r="X627" s="40">
        <f>VLOOKUP(B627,'Player Data'!$A1:$AE734,12,FALSE)*$Q627*IFERROR((VLOOKUP(P627,Settings!$E$28:$F$33,2,FALSE)+1),1)</f>
        <v>4.5650056773791609E-2</v>
      </c>
      <c r="Y627" s="40">
        <f>VLOOKUP(B627,'Player Data'!$A1:$AE734,13,FALSE)*$Q627</f>
        <v>0.93536751835941323</v>
      </c>
      <c r="Z627" s="40">
        <f>VLOOKUP(B627,'Player Data'!$A1:$AE734,14,FALSE)*$Q627</f>
        <v>2.2320700854273019</v>
      </c>
      <c r="AA627" s="40">
        <f>VLOOKUP(B627,'Player Data'!$A1:$AE734,15,FALSE)*$Q627</f>
        <v>33.240805778038933</v>
      </c>
      <c r="AB627" s="40">
        <f>VLOOKUP(B627,'Player Data'!$A1:$AE734,16,FALSE)*$Q627</f>
        <v>125.73141069038913</v>
      </c>
      <c r="AC627" s="40">
        <f>VLOOKUP(B627,'Player Data'!$A1:$AE734,17,FALSE)*$Q627*IFERROR((VLOOKUP(P627,Settings!$E$28:$F$33,2,FALSE)+1),1)</f>
        <v>-6.3732848114769363</v>
      </c>
      <c r="AD627" s="40">
        <f>VLOOKUP(B627,'Player Data'!$A1:$AE734,18,FALSE)*$Q627</f>
        <v>14.709022860905968</v>
      </c>
      <c r="AE627" s="40">
        <f>VLOOKUP(B627,'Player Data'!$A1:$AE734,19,FALSE)*$Q627*IFERROR((VLOOKUP(P627,Settings!$E$28:$F$33,2,FALSE)+1),1)</f>
        <v>1.2738448886173812</v>
      </c>
      <c r="AF627" s="40">
        <f>VLOOKUP(B627,'Player Data'!$A1:$AE734,20,FALSE)*$Q627</f>
        <v>5.0587471101075696</v>
      </c>
      <c r="AG627" s="40">
        <f>VLOOKUP(B627,'Player Data'!$A1:$AE734,21,FALSE)*$Q627</f>
        <v>8.9123554770744438</v>
      </c>
      <c r="AH627" s="41">
        <f>VLOOKUP(B627,'Player Data'!$A1:$AE734,22,FALSE)</f>
        <v>0.36208646229173003</v>
      </c>
      <c r="AI627" s="38"/>
      <c r="AJ627" s="42"/>
      <c r="AK627" s="40"/>
      <c r="AL627" s="40"/>
      <c r="AM627" s="40"/>
      <c r="AN627" s="40"/>
      <c r="AO627" s="40"/>
      <c r="AP627" s="40"/>
      <c r="AQ627" s="43"/>
      <c r="AR627" s="44"/>
      <c r="AS627" s="38"/>
    </row>
    <row r="628" spans="1:45" ht="21.2" customHeight="1">
      <c r="A628" s="181">
        <f t="shared" si="53"/>
        <v>627</v>
      </c>
      <c r="B628" s="8" t="s">
        <v>709</v>
      </c>
      <c r="C628" s="31" t="s">
        <v>104</v>
      </c>
      <c r="D628" s="32" t="str">
        <f>VLOOKUP(B628,'Player Data'!A1:D734,4,FALSE)</f>
        <v>C,LW</v>
      </c>
      <c r="E628" s="45">
        <f>VLOOKUP(B628,LW!A1:C227,3,FALSE)</f>
        <v>173</v>
      </c>
      <c r="F628" s="34" t="str">
        <f>VLOOKUP(B628,'Player Data'!A1:B734,2,FALSE)</f>
        <v>WPG</v>
      </c>
      <c r="G628" s="9">
        <f>VLOOKUP(B628,'Player Data'!A1:D734,3,FALSE)</f>
        <v>24</v>
      </c>
      <c r="H628" s="35">
        <f>IFERROR(VLOOKUP(B628,ADP!A1:G731,7,FALSE)/1000000,VLOOKUP(B628,ADP!A1:G731,7,FALSE))</f>
        <v>1.35</v>
      </c>
      <c r="I628" s="36">
        <f>IF(Settings!$E$15="POINTS",((R628*Q628)*Settings!$B$12)+(S628*Settings!$B$2)+(T628*Settings!$B$3)+(U628*Settings!$B$4)+(V628*Settings!$B$5)+(X628*Settings!$B$9)+(AA628*Settings!$B$6)+(W628*Settings!$B$8)+(AB628*Settings!$B$7)+(AC628*Settings!$B$14)+(AD628*Settings!$B$15)+(AE628*Settings!$B$16)+(AF628*Settings!$B$17)+(AG628*Settings!$B$18)+(Y628*Settings!$B$10)+(Z628*Settings!$B$11),VLOOKUP(B628,'Standard Deviations'!A1:C731,3,FALSE))</f>
        <v>-2.778755064654594</v>
      </c>
      <c r="J628" s="37">
        <f t="shared" si="54"/>
        <v>-3.3887256886031634E-2</v>
      </c>
      <c r="K628" s="183">
        <f>IF(Settings!$E$18="C/LW/RW",VLOOKUP(B628,LW!A1:F227,6,FALSE),VLOOKUP(B628,F!A1:F431,6,FALSE))</f>
        <v>-9.4334241087789952</v>
      </c>
      <c r="L628" s="36">
        <f t="shared" si="55"/>
        <v>-6.9877215620585149</v>
      </c>
      <c r="M628" s="52" t="str">
        <f>IF(Settings!$E$9="YAHOO",VLOOKUP(B628,ADP!A1:E731,2,FALSE),IF(Settings!$E$9="ESPN",VLOOKUP(B628,ADP!A1:E731,3,FALSE),IF(Settings!$E$9="FANTRAX",VLOOKUP(B628,ADP!A1:E731,4,FALSE),VLOOKUP(B628,ADP!A1:E731,5,FALSE))))</f>
        <v>-</v>
      </c>
      <c r="N628" s="52" t="str">
        <f t="shared" si="56"/>
        <v>N/A</v>
      </c>
      <c r="O628" s="38"/>
      <c r="P628" s="39" t="str">
        <f>IF(Settings!$E$27="ON",_xlfn.XLOOKUP(B628,ADP!A2:A731,ADP!H2:H731)," ")</f>
        <v xml:space="preserve"> </v>
      </c>
      <c r="Q628" s="40">
        <f>IF(Settings!$E$12="YES",VLOOKUP(B628,'Player Data'!A1:E734,5,FALSE),82)</f>
        <v>82</v>
      </c>
      <c r="R628" s="38">
        <f>VLOOKUP(B628,'Player Data'!$A1:$AE734,6,FALSE)</f>
        <v>12.8830622816856</v>
      </c>
      <c r="S628" s="40">
        <f>VLOOKUP(B628,'Player Data'!$A1:$AE734,7,FALSE)*$Q628*IFERROR((VLOOKUP(P628,Settings!$E$28:$F$33,2,FALSE)+1),1)</f>
        <v>10.242204556140212</v>
      </c>
      <c r="T628" s="40">
        <f>VLOOKUP(B628,'Player Data'!$A1:$AE734,8,FALSE)*$Q628*IFERROR((VLOOKUP(P628,Settings!$E$28:$F$33,2,FALSE)+1),1)</f>
        <v>15.323757437279706</v>
      </c>
      <c r="U628" s="40">
        <f t="shared" si="57"/>
        <v>25.565961993419918</v>
      </c>
      <c r="V628" s="40">
        <f>VLOOKUP(B628,'Player Data'!$A1:$AE734,10,FALSE)*$Q628*IFERROR(((VLOOKUP(P628,Settings!$E$28:$F$33,2,FALSE)/2)+1),1)</f>
        <v>125.04481651518675</v>
      </c>
      <c r="W628" s="40">
        <f>VLOOKUP(B628,'Player Data'!$A1:$AE734,11,FALSE)*$Q628*IFERROR((VLOOKUP(P628,Settings!$E$28:$F$33,2,FALSE)+1),1)</f>
        <v>6.7812739594188612E-2</v>
      </c>
      <c r="X628" s="40">
        <f>VLOOKUP(B628,'Player Data'!$A1:$AE734,12,FALSE)*$Q628*IFERROR((VLOOKUP(P628,Settings!$E$28:$F$33,2,FALSE)+1),1)</f>
        <v>0.16755495892217992</v>
      </c>
      <c r="Y628" s="40">
        <f>VLOOKUP(B628,'Player Data'!$A1:$AE734,13,FALSE)*$Q628</f>
        <v>0.20162847157825278</v>
      </c>
      <c r="Z628" s="40">
        <f>VLOOKUP(B628,'Player Data'!$A1:$AE734,14,FALSE)*$Q628</f>
        <v>1.8898510465273128</v>
      </c>
      <c r="AA628" s="40">
        <f>VLOOKUP(B628,'Player Data'!$A1:$AE734,15,FALSE)*$Q628</f>
        <v>45.692916087751293</v>
      </c>
      <c r="AB628" s="40">
        <f>VLOOKUP(B628,'Player Data'!$A1:$AE734,16,FALSE)*$Q628</f>
        <v>136.42917161289009</v>
      </c>
      <c r="AC628" s="40">
        <f>VLOOKUP(B628,'Player Data'!$A1:$AE734,17,FALSE)*$Q628*IFERROR((VLOOKUP(P628,Settings!$E$28:$F$33,2,FALSE)+1),1)</f>
        <v>1.2855587498140799</v>
      </c>
      <c r="AD628" s="40">
        <f>VLOOKUP(B628,'Player Data'!$A1:$AE734,18,FALSE)*$Q628</f>
        <v>32.049138858304786</v>
      </c>
      <c r="AE628" s="40">
        <f>VLOOKUP(B628,'Player Data'!$A1:$AE734,19,FALSE)*$Q628*IFERROR((VLOOKUP(P628,Settings!$E$28:$F$33,2,FALSE)+1),1)</f>
        <v>1.5978181932808013</v>
      </c>
      <c r="AF628" s="40">
        <f>VLOOKUP(B628,'Player Data'!$A1:$AE734,20,FALSE)*$Q628</f>
        <v>21.866037361201716</v>
      </c>
      <c r="AG628" s="40">
        <f>VLOOKUP(B628,'Player Data'!$A1:$AE734,21,FALSE)*$Q628</f>
        <v>24.669161607522071</v>
      </c>
      <c r="AH628" s="41">
        <f>VLOOKUP(B628,'Player Data'!$A1:$AE734,22,FALSE)</f>
        <v>0.46988167765002598</v>
      </c>
      <c r="AI628" s="38"/>
      <c r="AJ628" s="40"/>
      <c r="AK628" s="40"/>
      <c r="AL628" s="40"/>
      <c r="AM628" s="40"/>
      <c r="AN628" s="40"/>
      <c r="AO628" s="40"/>
      <c r="AP628" s="40"/>
      <c r="AQ628" s="43"/>
      <c r="AR628" s="44"/>
      <c r="AS628" s="38"/>
    </row>
    <row r="629" spans="1:45" ht="21.2" customHeight="1">
      <c r="A629" s="181">
        <f t="shared" si="53"/>
        <v>628</v>
      </c>
      <c r="B629" s="8" t="s">
        <v>658</v>
      </c>
      <c r="C629" s="31" t="s">
        <v>104</v>
      </c>
      <c r="D629" s="32" t="str">
        <f>VLOOKUP(B629,'Player Data'!A1:D734,4,FALSE)</f>
        <v>C,RW</v>
      </c>
      <c r="E629" s="45">
        <f>VLOOKUP(B629,RW!A1:F189,3,FALSE)</f>
        <v>158</v>
      </c>
      <c r="F629" s="34" t="str">
        <f>VLOOKUP(B629,'Player Data'!A1:B734,2,FALSE)</f>
        <v>FLA</v>
      </c>
      <c r="G629" s="9">
        <f>VLOOKUP(B629,'Player Data'!A1:D734,3,FALSE)</f>
        <v>30</v>
      </c>
      <c r="H629" s="35">
        <f>IFERROR(VLOOKUP(B629,ADP!A1:G731,7,FALSE)/1000000,VLOOKUP(B629,ADP!A1:G731,7,FALSE))</f>
        <v>1.1000000000000001</v>
      </c>
      <c r="I629" s="36">
        <f>IF(Settings!$E$15="POINTS",((R629*Q629)*Settings!$B$12)+(S629*Settings!$B$2)+(T629*Settings!$B$3)+(U629*Settings!$B$4)+(V629*Settings!$B$5)+(X629*Settings!$B$9)+(AA629*Settings!$B$6)+(W629*Settings!$B$8)+(AB629*Settings!$B$7)+(AC629*Settings!$B$14)+(AD629*Settings!$B$15)+(AE629*Settings!$B$16)+(AF629*Settings!$B$17)+(AG629*Settings!$B$18)+(Y629*Settings!$B$10)+(Z629*Settings!$B$11),VLOOKUP(B629,'Standard Deviations'!A1:C731,3,FALSE))</f>
        <v>-3.1769567964247893</v>
      </c>
      <c r="J629" s="37">
        <f t="shared" si="54"/>
        <v>-3.8743375566155966E-2</v>
      </c>
      <c r="K629" s="183">
        <f>IF(Settings!$E$18="C/LW/RW",VLOOKUP(B629,RW!A1:F189,6,FALSE),VLOOKUP(B629,F!A1:F431,6,FALSE))</f>
        <v>-9.4572155154358697</v>
      </c>
      <c r="L629" s="36">
        <f t="shared" si="55"/>
        <v>-8.5974686503962445</v>
      </c>
      <c r="M629" s="52" t="str">
        <f>IF(Settings!$E$9="YAHOO",VLOOKUP(B629,ADP!A1:E731,2,FALSE),IF(Settings!$E$9="ESPN",VLOOKUP(B629,ADP!A1:E731,3,FALSE),IF(Settings!$E$9="FANTRAX",VLOOKUP(B629,ADP!A1:E731,4,FALSE),VLOOKUP(B629,ADP!A1:E731,5,FALSE))))</f>
        <v>-</v>
      </c>
      <c r="N629" s="52" t="str">
        <f t="shared" si="56"/>
        <v>N/A</v>
      </c>
      <c r="O629" s="38"/>
      <c r="P629" s="39" t="str">
        <f>IF(Settings!$E$27="ON",_xlfn.XLOOKUP(B629,ADP!A2:A731,ADP!H2:H731)," ")</f>
        <v xml:space="preserve"> </v>
      </c>
      <c r="Q629" s="40">
        <f>IF(Settings!$E$12="YES",VLOOKUP(B629,'Player Data'!A1:E734,5,FALSE),82)</f>
        <v>82</v>
      </c>
      <c r="R629" s="38">
        <f>VLOOKUP(B629,'Player Data'!$A1:$AE734,6,FALSE)</f>
        <v>11.3859451406717</v>
      </c>
      <c r="S629" s="40">
        <f>VLOOKUP(B629,'Player Data'!$A1:$AE734,7,FALSE)*$Q629*IFERROR((VLOOKUP(P629,Settings!$E$28:$F$33,2,FALSE)+1),1)</f>
        <v>8.4603955090002572</v>
      </c>
      <c r="T629" s="40">
        <f>VLOOKUP(B629,'Player Data'!$A1:$AE734,8,FALSE)*$Q629*IFERROR((VLOOKUP(P629,Settings!$E$28:$F$33,2,FALSE)+1),1)</f>
        <v>16.540589519120516</v>
      </c>
      <c r="U629" s="40">
        <f t="shared" si="57"/>
        <v>25.000985028120773</v>
      </c>
      <c r="V629" s="40">
        <f>VLOOKUP(B629,'Player Data'!$A1:$AE734,10,FALSE)*$Q629*IFERROR(((VLOOKUP(P629,Settings!$E$28:$F$33,2,FALSE)/2)+1),1)</f>
        <v>107.83039531394267</v>
      </c>
      <c r="W629" s="40">
        <f>VLOOKUP(B629,'Player Data'!$A1:$AE734,11,FALSE)*$Q629*IFERROR((VLOOKUP(P629,Settings!$E$28:$F$33,2,FALSE)+1),1)</f>
        <v>6.7909219230910506E-2</v>
      </c>
      <c r="X629" s="40">
        <f>VLOOKUP(B629,'Player Data'!$A1:$AE734,12,FALSE)*$Q629*IFERROR((VLOOKUP(P629,Settings!$E$28:$F$33,2,FALSE)+1),1)</f>
        <v>0.1479887715211971</v>
      </c>
      <c r="Y629" s="40">
        <f>VLOOKUP(B629,'Player Data'!$A1:$AE734,13,FALSE)*$Q629</f>
        <v>1.1444277296396578E-2</v>
      </c>
      <c r="Z629" s="40">
        <f>VLOOKUP(B629,'Player Data'!$A1:$AE734,14,FALSE)*$Q629</f>
        <v>2.0629188244460438E-2</v>
      </c>
      <c r="AA629" s="40">
        <f>VLOOKUP(B629,'Player Data'!$A1:$AE734,15,FALSE)*$Q629</f>
        <v>36.911879876545925</v>
      </c>
      <c r="AB629" s="40">
        <f>VLOOKUP(B629,'Player Data'!$A1:$AE734,16,FALSE)*$Q629</f>
        <v>92.282142674451137</v>
      </c>
      <c r="AC629" s="40">
        <f>VLOOKUP(B629,'Player Data'!$A1:$AE734,17,FALSE)*$Q629*IFERROR((VLOOKUP(P629,Settings!$E$28:$F$33,2,FALSE)+1),1)</f>
        <v>2.1229191011859685</v>
      </c>
      <c r="AD629" s="40">
        <f>VLOOKUP(B629,'Player Data'!$A1:$AE734,18,FALSE)*$Q629</f>
        <v>35.327931904152067</v>
      </c>
      <c r="AE629" s="40">
        <f>VLOOKUP(B629,'Player Data'!$A1:$AE734,19,FALSE)*$Q629*IFERROR((VLOOKUP(P629,Settings!$E$28:$F$33,2,FALSE)+1),1)</f>
        <v>1.2136630337823906</v>
      </c>
      <c r="AF629" s="40">
        <f>VLOOKUP(B629,'Player Data'!$A1:$AE734,20,FALSE)*$Q629</f>
        <v>62.389258961385828</v>
      </c>
      <c r="AG629" s="40">
        <f>VLOOKUP(B629,'Player Data'!$A1:$AE734,21,FALSE)*$Q629</f>
        <v>64.465049968799136</v>
      </c>
      <c r="AH629" s="41">
        <f>VLOOKUP(B629,'Player Data'!$A1:$AE734,22,FALSE)</f>
        <v>0.49181820852236202</v>
      </c>
      <c r="AI629" s="38"/>
      <c r="AJ629" s="42"/>
      <c r="AK629" s="40"/>
      <c r="AL629" s="40"/>
      <c r="AM629" s="40"/>
      <c r="AN629" s="40"/>
      <c r="AO629" s="40"/>
      <c r="AP629" s="40"/>
      <c r="AQ629" s="43"/>
      <c r="AR629" s="44"/>
      <c r="AS629" s="38"/>
    </row>
    <row r="630" spans="1:45" ht="21.2" customHeight="1">
      <c r="A630" s="181">
        <f t="shared" si="53"/>
        <v>629</v>
      </c>
      <c r="B630" s="8" t="s">
        <v>693</v>
      </c>
      <c r="C630" s="31" t="s">
        <v>104</v>
      </c>
      <c r="D630" s="32" t="str">
        <f>VLOOKUP(B630,'Player Data'!A1:D734,4,FALSE)</f>
        <v>LW,RW</v>
      </c>
      <c r="E630" s="45">
        <f>VLOOKUP(B630,RW!A1:F189,3,FALSE)</f>
        <v>159</v>
      </c>
      <c r="F630" s="34" t="str">
        <f>VLOOKUP(B630,'Player Data'!A1:B734,2,FALSE)</f>
        <v>LAK</v>
      </c>
      <c r="G630" s="9">
        <f>VLOOKUP(B630,'Player Data'!A1:D734,3,FALSE)</f>
        <v>25</v>
      </c>
      <c r="H630" s="35">
        <f>IFERROR(VLOOKUP(B630,ADP!A1:G731,7,FALSE)/1000000,VLOOKUP(B630,ADP!A1:G731,7,FALSE))</f>
        <v>1.3</v>
      </c>
      <c r="I630" s="36">
        <f>IF(Settings!$E$15="POINTS",((R630*Q630)*Settings!$B$12)+(S630*Settings!$B$2)+(T630*Settings!$B$3)+(U630*Settings!$B$4)+(V630*Settings!$B$5)+(X630*Settings!$B$9)+(AA630*Settings!$B$6)+(W630*Settings!$B$8)+(AB630*Settings!$B$7)+(AC630*Settings!$B$14)+(AD630*Settings!$B$15)+(AE630*Settings!$B$16)+(AF630*Settings!$B$17)+(AG630*Settings!$B$18)+(Y630*Settings!$B$10)+(Z630*Settings!$B$11),VLOOKUP(B630,'Standard Deviations'!A1:C731,3,FALSE))</f>
        <v>-3.186010341953418</v>
      </c>
      <c r="J630" s="37">
        <f t="shared" si="54"/>
        <v>-3.8853784657968515E-2</v>
      </c>
      <c r="K630" s="183">
        <f>IF(Settings!$E$18="C/LW/RW",VLOOKUP(B630,RW!A1:F189,6,FALSE),VLOOKUP(B630,F!A1:F431,6,FALSE))</f>
        <v>-9.4662690609644997</v>
      </c>
      <c r="L630" s="36">
        <f t="shared" si="55"/>
        <v>-7.2817454315111529</v>
      </c>
      <c r="M630" s="52" t="str">
        <f>IF(Settings!$E$9="YAHOO",VLOOKUP(B630,ADP!A1:E731,2,FALSE),IF(Settings!$E$9="ESPN",VLOOKUP(B630,ADP!A1:E731,3,FALSE),IF(Settings!$E$9="FANTRAX",VLOOKUP(B630,ADP!A1:E731,4,FALSE),VLOOKUP(B630,ADP!A1:E731,5,FALSE))))</f>
        <v>-</v>
      </c>
      <c r="N630" s="52" t="str">
        <f t="shared" si="56"/>
        <v>N/A</v>
      </c>
      <c r="O630" s="38"/>
      <c r="P630" s="39" t="str">
        <f>IF(Settings!$E$27="ON",_xlfn.XLOOKUP(B630,ADP!A2:A731,ADP!H2:H731)," ")</f>
        <v xml:space="preserve"> </v>
      </c>
      <c r="Q630" s="40">
        <f>IF(Settings!$E$12="YES",VLOOKUP(B630,'Player Data'!A1:E734,5,FALSE),82)</f>
        <v>82</v>
      </c>
      <c r="R630" s="38">
        <f>VLOOKUP(B630,'Player Data'!$A1:$AE734,6,FALSE)</f>
        <v>10.693561218536001</v>
      </c>
      <c r="S630" s="40">
        <f>VLOOKUP(B630,'Player Data'!$A1:$AE734,7,FALSE)*$Q630*IFERROR((VLOOKUP(P630,Settings!$E$28:$F$33,2,FALSE)+1),1)</f>
        <v>13.059198198243859</v>
      </c>
      <c r="T630" s="40">
        <f>VLOOKUP(B630,'Player Data'!$A1:$AE734,8,FALSE)*$Q630*IFERROR((VLOOKUP(P630,Settings!$E$28:$F$33,2,FALSE)+1),1)</f>
        <v>9.8495872680105752</v>
      </c>
      <c r="U630" s="40">
        <f t="shared" si="57"/>
        <v>22.908785466254436</v>
      </c>
      <c r="V630" s="40">
        <f>VLOOKUP(B630,'Player Data'!$A1:$AE734,10,FALSE)*$Q630*IFERROR(((VLOOKUP(P630,Settings!$E$28:$F$33,2,FALSE)/2)+1),1)</f>
        <v>115.14999029567501</v>
      </c>
      <c r="W630" s="40">
        <f>VLOOKUP(B630,'Player Data'!$A1:$AE734,11,FALSE)*$Q630*IFERROR((VLOOKUP(P630,Settings!$E$28:$F$33,2,FALSE)+1),1)</f>
        <v>9.5792344356893461E-2</v>
      </c>
      <c r="X630" s="40">
        <f>VLOOKUP(B630,'Player Data'!$A1:$AE734,12,FALSE)*$Q630*IFERROR((VLOOKUP(P630,Settings!$E$28:$F$33,2,FALSE)+1),1)</f>
        <v>0.20006209400065997</v>
      </c>
      <c r="Y630" s="40">
        <f>VLOOKUP(B630,'Player Data'!$A1:$AE734,13,FALSE)*$Q630</f>
        <v>0.14615067244760005</v>
      </c>
      <c r="Z630" s="40">
        <f>VLOOKUP(B630,'Player Data'!$A1:$AE734,14,FALSE)*$Q630</f>
        <v>0.30056720556509031</v>
      </c>
      <c r="AA630" s="40">
        <f>VLOOKUP(B630,'Player Data'!$A1:$AE734,15,FALSE)*$Q630</f>
        <v>27.994537081795588</v>
      </c>
      <c r="AB630" s="40">
        <f>VLOOKUP(B630,'Player Data'!$A1:$AE734,16,FALSE)*$Q630</f>
        <v>185.33570553509477</v>
      </c>
      <c r="AC630" s="40">
        <f>VLOOKUP(B630,'Player Data'!$A1:$AE734,17,FALSE)*$Q630*IFERROR((VLOOKUP(P630,Settings!$E$28:$F$33,2,FALSE)+1),1)</f>
        <v>8.7179944507180016E-2</v>
      </c>
      <c r="AD630" s="40">
        <f>VLOOKUP(B630,'Player Data'!$A1:$AE734,18,FALSE)*$Q630</f>
        <v>26.34005101119493</v>
      </c>
      <c r="AE630" s="40">
        <f>VLOOKUP(B630,'Player Data'!$A1:$AE734,19,FALSE)*$Q630*IFERROR((VLOOKUP(P630,Settings!$E$28:$F$33,2,FALSE)+1),1)</f>
        <v>1.9335586719366837</v>
      </c>
      <c r="AF630" s="40">
        <f>VLOOKUP(B630,'Player Data'!$A1:$AE734,20,FALSE)*$Q630</f>
        <v>5.8493474860374191</v>
      </c>
      <c r="AG630" s="40">
        <f>VLOOKUP(B630,'Player Data'!$A1:$AE734,21,FALSE)*$Q630</f>
        <v>8.8752713829672274</v>
      </c>
      <c r="AH630" s="41">
        <f>VLOOKUP(B630,'Player Data'!$A1:$AE734,22,FALSE)</f>
        <v>0.39724950017893601</v>
      </c>
      <c r="AI630" s="38"/>
      <c r="AJ630" s="42"/>
      <c r="AK630" s="40"/>
      <c r="AL630" s="40"/>
      <c r="AM630" s="40"/>
      <c r="AN630" s="40"/>
      <c r="AO630" s="40"/>
      <c r="AP630" s="40"/>
      <c r="AQ630" s="43"/>
      <c r="AR630" s="44"/>
      <c r="AS630" s="38"/>
    </row>
    <row r="631" spans="1:45" ht="21.2" customHeight="1">
      <c r="A631" s="181">
        <f t="shared" si="53"/>
        <v>630</v>
      </c>
      <c r="B631" s="8" t="s">
        <v>724</v>
      </c>
      <c r="C631" s="31" t="s">
        <v>104</v>
      </c>
      <c r="D631" s="32" t="str">
        <f>VLOOKUP(B631,'Player Data'!A1:D734,4,FALSE)</f>
        <v>LW</v>
      </c>
      <c r="E631" s="48">
        <f>VLOOKUP(B631,LW!A1:C227,3,FALSE)</f>
        <v>174</v>
      </c>
      <c r="F631" s="34" t="str">
        <f>VLOOKUP(B631,'Player Data'!A1:B734,2,FALSE)</f>
        <v>ARI</v>
      </c>
      <c r="G631" s="9">
        <f>VLOOKUP(B631,'Player Data'!A1:D734,3,FALSE)</f>
        <v>28</v>
      </c>
      <c r="H631" s="35">
        <f>IFERROR(VLOOKUP(B631,ADP!A1:G731,7,FALSE)/1000000,VLOOKUP(B631,ADP!A1:G731,7,FALSE))</f>
        <v>0.8</v>
      </c>
      <c r="I631" s="36">
        <f>IF(Settings!$E$15="POINTS",((R631*Q631)*Settings!$B$12)+(S631*Settings!$B$2)+(T631*Settings!$B$3)+(U631*Settings!$B$4)+(V631*Settings!$B$5)+(X631*Settings!$B$9)+(AA631*Settings!$B$6)+(W631*Settings!$B$8)+(AB631*Settings!$B$7)+(AC631*Settings!$B$14)+(AD631*Settings!$B$15)+(AE631*Settings!$B$16)+(AF631*Settings!$B$17)+(AG631*Settings!$B$18)+(Y631*Settings!$B$10)+(Z631*Settings!$B$11),VLOOKUP(B631,'Standard Deviations'!A1:C731,3,FALSE))</f>
        <v>-2.8422080971613628</v>
      </c>
      <c r="J631" s="37">
        <f t="shared" si="54"/>
        <v>-3.4661074355626376E-2</v>
      </c>
      <c r="K631" s="183">
        <f>IF(Settings!$E$18="C/LW/RW",VLOOKUP(B631,LW!A1:F227,6,FALSE),VLOOKUP(B631,F!A1:F431,6,FALSE))</f>
        <v>-9.4968771412857649</v>
      </c>
      <c r="L631" s="36">
        <f t="shared" si="55"/>
        <v>-11.871096426607206</v>
      </c>
      <c r="M631" s="52" t="str">
        <f>IF(Settings!$E$9="YAHOO",VLOOKUP(B631,ADP!A1:E731,2,FALSE),IF(Settings!$E$9="ESPN",VLOOKUP(B631,ADP!A1:E731,3,FALSE),IF(Settings!$E$9="FANTRAX",VLOOKUP(B631,ADP!A1:E731,4,FALSE),VLOOKUP(B631,ADP!A1:E731,5,FALSE))))</f>
        <v>-</v>
      </c>
      <c r="N631" s="52" t="str">
        <f t="shared" si="56"/>
        <v>N/A</v>
      </c>
      <c r="O631" s="38"/>
      <c r="P631" s="39" t="str">
        <f>IF(Settings!$E$27="ON",_xlfn.XLOOKUP(B631,ADP!A2:A731,ADP!H2:H731)," ")</f>
        <v xml:space="preserve"> </v>
      </c>
      <c r="Q631" s="40">
        <f>IF(Settings!$E$12="YES",VLOOKUP(B631,'Player Data'!A1:E734,5,FALSE),82)</f>
        <v>82</v>
      </c>
      <c r="R631" s="38">
        <f>VLOOKUP(B631,'Player Data'!$A1:$AE734,6,FALSE)</f>
        <v>13.5060416666667</v>
      </c>
      <c r="S631" s="40">
        <f>VLOOKUP(B631,'Player Data'!$A1:$AE734,7,FALSE)*$Q631*IFERROR((VLOOKUP(P631,Settings!$E$28:$F$33,2,FALSE)+1),1)</f>
        <v>11.223514843130108</v>
      </c>
      <c r="T631" s="40">
        <f>VLOOKUP(B631,'Player Data'!$A1:$AE734,8,FALSE)*$Q631*IFERROR((VLOOKUP(P631,Settings!$E$28:$F$33,2,FALSE)+1),1)</f>
        <v>12.300176560916373</v>
      </c>
      <c r="U631" s="40">
        <f t="shared" si="57"/>
        <v>23.523691404046481</v>
      </c>
      <c r="V631" s="40">
        <f>VLOOKUP(B631,'Player Data'!$A1:$AE734,10,FALSE)*$Q631*IFERROR(((VLOOKUP(P631,Settings!$E$28:$F$33,2,FALSE)/2)+1),1)</f>
        <v>108.59163796601814</v>
      </c>
      <c r="W631" s="40">
        <f>VLOOKUP(B631,'Player Data'!$A1:$AE734,11,FALSE)*$Q631*IFERROR((VLOOKUP(P631,Settings!$E$28:$F$33,2,FALSE)+1),1)</f>
        <v>2.177518715276356</v>
      </c>
      <c r="X631" s="40">
        <f>VLOOKUP(B631,'Player Data'!$A1:$AE734,12,FALSE)*$Q631*IFERROR((VLOOKUP(P631,Settings!$E$28:$F$33,2,FALSE)+1),1)</f>
        <v>4.4401950844800719</v>
      </c>
      <c r="Y631" s="40">
        <f>VLOOKUP(B631,'Player Data'!$A1:$AE734,13,FALSE)*$Q631</f>
        <v>4.8101076771141199E-2</v>
      </c>
      <c r="Z631" s="40">
        <f>VLOOKUP(B631,'Player Data'!$A1:$AE734,14,FALSE)*$Q631</f>
        <v>0.18728686743425402</v>
      </c>
      <c r="AA631" s="40">
        <f>VLOOKUP(B631,'Player Data'!$A1:$AE734,15,FALSE)*$Q631</f>
        <v>66.417641079038802</v>
      </c>
      <c r="AB631" s="40">
        <f>VLOOKUP(B631,'Player Data'!$A1:$AE734,16,FALSE)*$Q631</f>
        <v>134.33286820820513</v>
      </c>
      <c r="AC631" s="40">
        <f>VLOOKUP(B631,'Player Data'!$A1:$AE734,17,FALSE)*$Q631*IFERROR((VLOOKUP(P631,Settings!$E$28:$F$33,2,FALSE)+1),1)</f>
        <v>-0.5443764134490493</v>
      </c>
      <c r="AD631" s="40">
        <f>VLOOKUP(B631,'Player Data'!$A1:$AE734,18,FALSE)*$Q631</f>
        <v>37.136905805061595</v>
      </c>
      <c r="AE631" s="40">
        <f>VLOOKUP(B631,'Player Data'!$A1:$AE734,19,FALSE)*$Q631*IFERROR((VLOOKUP(P631,Settings!$E$28:$F$33,2,FALSE)+1),1)</f>
        <v>1.4163693896247607</v>
      </c>
      <c r="AF631" s="40">
        <f>VLOOKUP(B631,'Player Data'!$A1:$AE734,20,FALSE)*$Q631</f>
        <v>15.39951569441174</v>
      </c>
      <c r="AG631" s="40">
        <f>VLOOKUP(B631,'Player Data'!$A1:$AE734,21,FALSE)*$Q631</f>
        <v>41.773521452249085</v>
      </c>
      <c r="AH631" s="41">
        <f>VLOOKUP(B631,'Player Data'!$A1:$AE734,22,FALSE)</f>
        <v>0.26934926781847801</v>
      </c>
      <c r="AI631" s="38"/>
      <c r="AJ631" s="42"/>
      <c r="AK631" s="40"/>
      <c r="AL631" s="40"/>
      <c r="AM631" s="40"/>
      <c r="AN631" s="40"/>
      <c r="AO631" s="40"/>
      <c r="AP631" s="40"/>
      <c r="AQ631" s="43"/>
      <c r="AR631" s="44"/>
      <c r="AS631" s="38"/>
    </row>
    <row r="632" spans="1:45" ht="21.2" customHeight="1">
      <c r="A632" s="181">
        <f t="shared" si="53"/>
        <v>631</v>
      </c>
      <c r="B632" s="8" t="s">
        <v>710</v>
      </c>
      <c r="C632" s="31" t="s">
        <v>104</v>
      </c>
      <c r="D632" s="32" t="str">
        <f>VLOOKUP(B632,'Player Data'!A1:D734,4,FALSE)</f>
        <v>C</v>
      </c>
      <c r="E632" s="33">
        <f>VLOOKUP(B632,'C'!A1:C208,3,FALSE)</f>
        <v>155</v>
      </c>
      <c r="F632" s="34" t="str">
        <f>VLOOKUP(B632,'Player Data'!A1:B734,2,FALSE)</f>
        <v>PIT</v>
      </c>
      <c r="G632" s="9">
        <f>VLOOKUP(B632,'Player Data'!A1:D734,3,FALSE)</f>
        <v>34</v>
      </c>
      <c r="H632" s="35">
        <f>IFERROR(VLOOKUP(B632,ADP!A1:G731,7,FALSE)/1000000,VLOOKUP(B632,ADP!A1:G731,7,FALSE))</f>
        <v>2.4500000000000002</v>
      </c>
      <c r="I632" s="36">
        <f>IF(Settings!$E$15="POINTS",((R632*Q632)*Settings!$B$12)+(S632*Settings!$B$2)+(T632*Settings!$B$3)+(U632*Settings!$B$4)+(V632*Settings!$B$5)+(X632*Settings!$B$9)+(AA632*Settings!$B$6)+(W632*Settings!$B$8)+(AB632*Settings!$B$7)+(AC632*Settings!$B$14)+(AD632*Settings!$B$15)+(AE632*Settings!$B$16)+(AF632*Settings!$B$17)+(AG632*Settings!$B$18)+(Y632*Settings!$B$10)+(Z632*Settings!$B$11),VLOOKUP(B632,'Standard Deviations'!A1:C731,3,FALSE))</f>
        <v>-3.176771943551878</v>
      </c>
      <c r="J632" s="37">
        <f t="shared" si="54"/>
        <v>-3.8741121262827777E-2</v>
      </c>
      <c r="K632" s="183">
        <f>IF(Settings!$E$18="C/LW/RW",VLOOKUP(B632,'C'!A1:F208,6,FALSE),VLOOKUP(B632,F!A1:F431,6,FALSE))</f>
        <v>-9.5138226677584807</v>
      </c>
      <c r="L632" s="36">
        <f t="shared" si="55"/>
        <v>-3.8831929256157061</v>
      </c>
      <c r="M632" s="38">
        <f>IF(Settings!$E$9="YAHOO",VLOOKUP(B632,ADP!A1:E731,2,FALSE),IF(Settings!$E$9="ESPN",VLOOKUP(B632,ADP!A1:E731,3,FALSE),IF(Settings!$E$9="FANTRAX",VLOOKUP(B632,ADP!A1:E731,4,FALSE),VLOOKUP(B632,ADP!A1:E731,5,FALSE))))</f>
        <v>455.5</v>
      </c>
      <c r="N632" s="38">
        <f t="shared" si="56"/>
        <v>-175.5</v>
      </c>
      <c r="O632" s="38"/>
      <c r="P632" s="39" t="str">
        <f>IF(Settings!$E$27="ON",_xlfn.XLOOKUP(B632,ADP!A2:A731,ADP!H2:H731)," ")</f>
        <v xml:space="preserve"> </v>
      </c>
      <c r="Q632" s="40">
        <f>IF(Settings!$E$12="YES",VLOOKUP(B632,'Player Data'!A1:E734,5,FALSE),82)</f>
        <v>82</v>
      </c>
      <c r="R632" s="38">
        <f>VLOOKUP(B632,'Player Data'!$A1:$AE734,6,FALSE)</f>
        <v>14.0217364908505</v>
      </c>
      <c r="S632" s="40">
        <f>VLOOKUP(B632,'Player Data'!$A1:$AE734,7,FALSE)*$Q632*IFERROR((VLOOKUP(P632,Settings!$E$28:$F$33,2,FALSE)+1),1)</f>
        <v>9.5695037136583831</v>
      </c>
      <c r="T632" s="40">
        <f>VLOOKUP(B632,'Player Data'!$A1:$AE734,8,FALSE)*$Q632*IFERROR((VLOOKUP(P632,Settings!$E$28:$F$33,2,FALSE)+1),1)</f>
        <v>12.929183006395085</v>
      </c>
      <c r="U632" s="40">
        <f t="shared" si="57"/>
        <v>22.49868672005347</v>
      </c>
      <c r="V632" s="40">
        <f>VLOOKUP(B632,'Player Data'!$A1:$AE734,10,FALSE)*$Q632*IFERROR(((VLOOKUP(P632,Settings!$E$28:$F$33,2,FALSE)/2)+1),1)</f>
        <v>123.60810303521224</v>
      </c>
      <c r="W632" s="40">
        <f>VLOOKUP(B632,'Player Data'!$A1:$AE734,11,FALSE)*$Q632*IFERROR((VLOOKUP(P632,Settings!$E$28:$F$33,2,FALSE)+1),1)</f>
        <v>2.7491913479368468E-2</v>
      </c>
      <c r="X632" s="40">
        <f>VLOOKUP(B632,'Player Data'!$A1:$AE734,12,FALSE)*$Q632*IFERROR((VLOOKUP(P632,Settings!$E$28:$F$33,2,FALSE)+1),1)</f>
        <v>0.16344061323580961</v>
      </c>
      <c r="Y632" s="40">
        <f>VLOOKUP(B632,'Player Data'!$A1:$AE734,13,FALSE)*$Q632</f>
        <v>0.48198613539772528</v>
      </c>
      <c r="Z632" s="40">
        <f>VLOOKUP(B632,'Player Data'!$A1:$AE734,14,FALSE)*$Q632</f>
        <v>0.22851979473965386</v>
      </c>
      <c r="AA632" s="40">
        <f>VLOOKUP(B632,'Player Data'!$A1:$AE734,15,FALSE)*$Q632</f>
        <v>39.396400763971499</v>
      </c>
      <c r="AB632" s="40">
        <f>VLOOKUP(B632,'Player Data'!$A1:$AE734,16,FALSE)*$Q632</f>
        <v>91.179570990037149</v>
      </c>
      <c r="AC632" s="40">
        <f>VLOOKUP(B632,'Player Data'!$A1:$AE734,17,FALSE)*$Q632*IFERROR((VLOOKUP(P632,Settings!$E$28:$F$33,2,FALSE)+1),1)</f>
        <v>1.4309052717701518</v>
      </c>
      <c r="AD632" s="40">
        <f>VLOOKUP(B632,'Player Data'!$A1:$AE734,18,FALSE)*$Q632</f>
        <v>38.059829942859537</v>
      </c>
      <c r="AE632" s="40">
        <f>VLOOKUP(B632,'Player Data'!$A1:$AE734,19,FALSE)*$Q632*IFERROR((VLOOKUP(P632,Settings!$E$28:$F$33,2,FALSE)+1),1)</f>
        <v>1.5360969603234276</v>
      </c>
      <c r="AF632" s="40">
        <f>VLOOKUP(B632,'Player Data'!$A1:$AE734,20,FALSE)*$Q632</f>
        <v>499.11699960810978</v>
      </c>
      <c r="AG632" s="40">
        <f>VLOOKUP(B632,'Player Data'!$A1:$AE734,21,FALSE)*$Q632</f>
        <v>468.19209315312293</v>
      </c>
      <c r="AH632" s="41">
        <f>VLOOKUP(B632,'Player Data'!$A1:$AE734,22,FALSE)</f>
        <v>0.51598501796706497</v>
      </c>
      <c r="AI632" s="38"/>
      <c r="AJ632" s="42"/>
      <c r="AK632" s="40"/>
      <c r="AL632" s="40"/>
      <c r="AM632" s="40"/>
      <c r="AN632" s="40"/>
      <c r="AO632" s="40"/>
      <c r="AP632" s="40"/>
      <c r="AQ632" s="43"/>
      <c r="AR632" s="44"/>
      <c r="AS632" s="38"/>
    </row>
    <row r="633" spans="1:45" ht="21.2" customHeight="1">
      <c r="A633" s="181">
        <f t="shared" si="53"/>
        <v>632</v>
      </c>
      <c r="B633" s="8" t="s">
        <v>716</v>
      </c>
      <c r="C633" s="31" t="s">
        <v>104</v>
      </c>
      <c r="D633" s="32" t="str">
        <f>VLOOKUP(B633,'Player Data'!A1:D734,4,FALSE)</f>
        <v>C</v>
      </c>
      <c r="E633" s="33">
        <f>VLOOKUP(B633,'C'!A1:C208,3,FALSE)</f>
        <v>157</v>
      </c>
      <c r="F633" s="34" t="str">
        <f>VLOOKUP(B633,'Player Data'!A1:B734,2,FALSE)</f>
        <v>MTL</v>
      </c>
      <c r="G633" s="9">
        <f>VLOOKUP(B633,'Player Data'!A1:D734,3,FALSE)</f>
        <v>27</v>
      </c>
      <c r="H633" s="35">
        <f>IFERROR(VLOOKUP(B633,ADP!A1:G731,7,FALSE)/1000000,VLOOKUP(B633,ADP!A1:G731,7,FALSE))</f>
        <v>1.7</v>
      </c>
      <c r="I633" s="36">
        <f>IF(Settings!$E$15="POINTS",((R633*Q633)*Settings!$B$12)+(S633*Settings!$B$2)+(T633*Settings!$B$3)+(U633*Settings!$B$4)+(V633*Settings!$B$5)+(X633*Settings!$B$9)+(AA633*Settings!$B$6)+(W633*Settings!$B$8)+(AB633*Settings!$B$7)+(AC633*Settings!$B$14)+(AD633*Settings!$B$15)+(AE633*Settings!$B$16)+(AF633*Settings!$B$17)+(AG633*Settings!$B$18)+(Y633*Settings!$B$10)+(Z633*Settings!$B$11),VLOOKUP(B633,'Standard Deviations'!A1:C731,3,FALSE))</f>
        <v>-3.181183264652045</v>
      </c>
      <c r="J633" s="37">
        <f t="shared" si="54"/>
        <v>-3.8794917861610302E-2</v>
      </c>
      <c r="K633" s="183">
        <f>IF(Settings!$E$18="C/LW/RW",VLOOKUP(B633,'C'!A1:F208,6,FALSE),VLOOKUP(B633,F!A1:F431,6,FALSE))</f>
        <v>-9.5182339888586469</v>
      </c>
      <c r="L633" s="36">
        <f t="shared" si="55"/>
        <v>-5.5989611699168513</v>
      </c>
      <c r="M633" s="52" t="str">
        <f>IF(Settings!$E$9="YAHOO",VLOOKUP(B633,ADP!A1:E731,2,FALSE),IF(Settings!$E$9="ESPN",VLOOKUP(B633,ADP!A1:E731,3,FALSE),IF(Settings!$E$9="FANTRAX",VLOOKUP(B633,ADP!A1:E731,4,FALSE),VLOOKUP(B633,ADP!A1:E731,5,FALSE))))</f>
        <v>-</v>
      </c>
      <c r="N633" s="52" t="str">
        <f t="shared" si="56"/>
        <v>N/A</v>
      </c>
      <c r="O633" s="38"/>
      <c r="P633" s="39" t="str">
        <f>IF(Settings!$E$27="ON",_xlfn.XLOOKUP(B633,ADP!A2:A731,ADP!H2:H731)," ")</f>
        <v xml:space="preserve"> </v>
      </c>
      <c r="Q633" s="40">
        <f>IF(Settings!$E$12="YES",VLOOKUP(B633,'Player Data'!A1:E734,5,FALSE),82)</f>
        <v>82</v>
      </c>
      <c r="R633" s="38">
        <f>VLOOKUP(B633,'Player Data'!$A1:$AE734,6,FALSE)</f>
        <v>13.537480911322101</v>
      </c>
      <c r="S633" s="40">
        <f>VLOOKUP(B633,'Player Data'!$A1:$AE734,7,FALSE)*$Q633*IFERROR((VLOOKUP(P633,Settings!$E$28:$F$33,2,FALSE)+1),1)</f>
        <v>7.4666415885193542</v>
      </c>
      <c r="T633" s="40">
        <f>VLOOKUP(B633,'Player Data'!$A1:$AE734,8,FALSE)*$Q633*IFERROR((VLOOKUP(P633,Settings!$E$28:$F$33,2,FALSE)+1),1)</f>
        <v>19.410325200893286</v>
      </c>
      <c r="U633" s="40">
        <f t="shared" si="57"/>
        <v>26.876966789412641</v>
      </c>
      <c r="V633" s="40">
        <f>VLOOKUP(B633,'Player Data'!$A1:$AE734,10,FALSE)*$Q633*IFERROR(((VLOOKUP(P633,Settings!$E$28:$F$33,2,FALSE)/2)+1),1)</f>
        <v>95.678697618096265</v>
      </c>
      <c r="W633" s="40">
        <f>VLOOKUP(B633,'Player Data'!$A1:$AE734,11,FALSE)*$Q633*IFERROR((VLOOKUP(P633,Settings!$E$28:$F$33,2,FALSE)+1),1)</f>
        <v>0.10685196582577616</v>
      </c>
      <c r="X633" s="40">
        <f>VLOOKUP(B633,'Player Data'!$A1:$AE734,12,FALSE)*$Q633*IFERROR((VLOOKUP(P633,Settings!$E$28:$F$33,2,FALSE)+1),1)</f>
        <v>0.18739292070362709</v>
      </c>
      <c r="Y633" s="40">
        <f>VLOOKUP(B633,'Player Data'!$A1:$AE734,13,FALSE)*$Q633</f>
        <v>0.32015855892043726</v>
      </c>
      <c r="Z633" s="40">
        <f>VLOOKUP(B633,'Player Data'!$A1:$AE734,14,FALSE)*$Q633</f>
        <v>2.5232367350354195</v>
      </c>
      <c r="AA633" s="40">
        <f>VLOOKUP(B633,'Player Data'!$A1:$AE734,15,FALSE)*$Q633</f>
        <v>50.532094449194865</v>
      </c>
      <c r="AB633" s="40">
        <f>VLOOKUP(B633,'Player Data'!$A1:$AE734,16,FALSE)*$Q633</f>
        <v>67.090081248477205</v>
      </c>
      <c r="AC633" s="40">
        <f>VLOOKUP(B633,'Player Data'!$A1:$AE734,17,FALSE)*$Q633*IFERROR((VLOOKUP(P633,Settings!$E$28:$F$33,2,FALSE)+1),1)</f>
        <v>-7.19833331443765</v>
      </c>
      <c r="AD633" s="40">
        <f>VLOOKUP(B633,'Player Data'!$A1:$AE734,18,FALSE)*$Q633</f>
        <v>30.96401632327629</v>
      </c>
      <c r="AE633" s="40">
        <f>VLOOKUP(B633,'Player Data'!$A1:$AE734,19,FALSE)*$Q633*IFERROR((VLOOKUP(P633,Settings!$E$28:$F$33,2,FALSE)+1),1)</f>
        <v>0.76489855316392941</v>
      </c>
      <c r="AF633" s="40">
        <f>VLOOKUP(B633,'Player Data'!$A1:$AE734,20,FALSE)*$Q633</f>
        <v>460.84973924164717</v>
      </c>
      <c r="AG633" s="40">
        <f>VLOOKUP(B633,'Player Data'!$A1:$AE734,21,FALSE)*$Q633</f>
        <v>448.34038334429721</v>
      </c>
      <c r="AH633" s="41">
        <f>VLOOKUP(B633,'Player Data'!$A1:$AE734,22,FALSE)</f>
        <v>0.50687939496184298</v>
      </c>
      <c r="AI633" s="38"/>
      <c r="AJ633" s="42"/>
      <c r="AK633" s="40"/>
      <c r="AL633" s="40"/>
      <c r="AM633" s="40"/>
      <c r="AN633" s="40"/>
      <c r="AO633" s="40"/>
      <c r="AP633" s="40"/>
      <c r="AQ633" s="43"/>
      <c r="AR633" s="44"/>
      <c r="AS633" s="38"/>
    </row>
    <row r="634" spans="1:45" ht="21.2" customHeight="1">
      <c r="A634" s="181">
        <f t="shared" si="53"/>
        <v>633</v>
      </c>
      <c r="B634" s="8" t="s">
        <v>688</v>
      </c>
      <c r="C634" s="31" t="s">
        <v>104</v>
      </c>
      <c r="D634" s="32" t="str">
        <f>VLOOKUP(B634,'Player Data'!A1:D734,4,FALSE)</f>
        <v>LW,RW</v>
      </c>
      <c r="E634" s="45">
        <f>VLOOKUP(B634,RW!A1:F189,3,FALSE)</f>
        <v>160</v>
      </c>
      <c r="F634" s="34" t="str">
        <f>VLOOKUP(B634,'Player Data'!A1:B734,2,FALSE)</f>
        <v>UFA</v>
      </c>
      <c r="G634" s="9">
        <f>VLOOKUP(B634,'Player Data'!A1:D734,3,FALSE)</f>
        <v>28</v>
      </c>
      <c r="H634" s="35">
        <f>IFERROR(VLOOKUP(B634,ADP!A1:G731,7,FALSE)/1000000,VLOOKUP(B634,ADP!A1:G731,7,FALSE))</f>
        <v>1.7010000000000001</v>
      </c>
      <c r="I634" s="36">
        <f>IF(Settings!$E$15="POINTS",((R634*Q634)*Settings!$B$12)+(S634*Settings!$B$2)+(T634*Settings!$B$3)+(U634*Settings!$B$4)+(V634*Settings!$B$5)+(X634*Settings!$B$9)+(AA634*Settings!$B$6)+(W634*Settings!$B$8)+(AB634*Settings!$B$7)+(AC634*Settings!$B$14)+(AD634*Settings!$B$15)+(AE634*Settings!$B$16)+(AF634*Settings!$B$17)+(AG634*Settings!$B$18)+(Y634*Settings!$B$10)+(Z634*Settings!$B$11),VLOOKUP(B634,'Standard Deviations'!A1:C731,3,FALSE))</f>
        <v>-3.2796792853281387</v>
      </c>
      <c r="J634" s="37">
        <f t="shared" si="54"/>
        <v>-3.9996088845465107E-2</v>
      </c>
      <c r="K634" s="183">
        <f>IF(Settings!$E$18="C/LW/RW",VLOOKUP(B634,RW!A1:F189,6,FALSE),VLOOKUP(B634,F!A1:F431,6,FALSE))</f>
        <v>-9.5599380043392195</v>
      </c>
      <c r="L634" s="36">
        <f t="shared" si="55"/>
        <v>-5.6201869514045963</v>
      </c>
      <c r="M634" s="52" t="str">
        <f>IF(Settings!$E$9="YAHOO",VLOOKUP(B634,ADP!A1:E731,2,FALSE),IF(Settings!$E$9="ESPN",VLOOKUP(B634,ADP!A1:E731,3,FALSE),IF(Settings!$E$9="FANTRAX",VLOOKUP(B634,ADP!A1:E731,4,FALSE),VLOOKUP(B634,ADP!A1:E731,5,FALSE))))</f>
        <v>-</v>
      </c>
      <c r="N634" s="52" t="str">
        <f t="shared" si="56"/>
        <v>N/A</v>
      </c>
      <c r="O634" s="38"/>
      <c r="P634" s="39" t="str">
        <f>IF(Settings!$E$27="ON",_xlfn.XLOOKUP(B634,ADP!A2:A731,ADP!H2:H731)," ")</f>
        <v xml:space="preserve"> </v>
      </c>
      <c r="Q634" s="40">
        <f>IF(Settings!$E$12="YES",VLOOKUP(B634,'Player Data'!A1:E734,5,FALSE),82)</f>
        <v>82</v>
      </c>
      <c r="R634" s="38">
        <f>VLOOKUP(B634,'Player Data'!$A1:$AE734,6,FALSE)</f>
        <v>10.853233615277</v>
      </c>
      <c r="S634" s="40">
        <f>VLOOKUP(B634,'Player Data'!$A1:$AE734,7,FALSE)*$Q634*IFERROR((VLOOKUP(P634,Settings!$E$28:$F$33,2,FALSE)+1),1)</f>
        <v>9.1148505038398024</v>
      </c>
      <c r="T634" s="40">
        <f>VLOOKUP(B634,'Player Data'!$A1:$AE734,8,FALSE)*$Q634*IFERROR((VLOOKUP(P634,Settings!$E$28:$F$33,2,FALSE)+1),1)</f>
        <v>12.264543199843462</v>
      </c>
      <c r="U634" s="40">
        <f t="shared" si="57"/>
        <v>21.379393703683263</v>
      </c>
      <c r="V634" s="40">
        <f>VLOOKUP(B634,'Player Data'!$A1:$AE734,10,FALSE)*$Q634*IFERROR(((VLOOKUP(P634,Settings!$E$28:$F$33,2,FALSE)/2)+1),1)</f>
        <v>126.07292338201526</v>
      </c>
      <c r="W634" s="40">
        <f>VLOOKUP(B634,'Player Data'!$A1:$AE734,11,FALSE)*$Q634*IFERROR((VLOOKUP(P634,Settings!$E$28:$F$33,2,FALSE)+1),1)</f>
        <v>5.2098321944820523E-2</v>
      </c>
      <c r="X634" s="40">
        <f>VLOOKUP(B634,'Player Data'!$A1:$AE734,12,FALSE)*$Q634*IFERROR((VLOOKUP(P634,Settings!$E$28:$F$33,2,FALSE)+1),1)</f>
        <v>0.13240369325184584</v>
      </c>
      <c r="Y634" s="40">
        <f>VLOOKUP(B634,'Player Data'!$A1:$AE734,13,FALSE)*$Q634</f>
        <v>0</v>
      </c>
      <c r="Z634" s="40">
        <f>VLOOKUP(B634,'Player Data'!$A1:$AE734,14,FALSE)*$Q634</f>
        <v>0</v>
      </c>
      <c r="AA634" s="40">
        <f>VLOOKUP(B634,'Player Data'!$A1:$AE734,15,FALSE)*$Q634</f>
        <v>60.504162816478065</v>
      </c>
      <c r="AB634" s="40">
        <f>VLOOKUP(B634,'Player Data'!$A1:$AE734,16,FALSE)*$Q634</f>
        <v>155.00472315379099</v>
      </c>
      <c r="AC634" s="40">
        <f>VLOOKUP(B634,'Player Data'!$A1:$AE734,17,FALSE)*$Q634*IFERROR((VLOOKUP(P634,Settings!$E$28:$F$33,2,FALSE)+1),1)</f>
        <v>-9.6005494241785769E-2</v>
      </c>
      <c r="AD634" s="40">
        <f>VLOOKUP(B634,'Player Data'!$A1:$AE734,18,FALSE)*$Q634</f>
        <v>18.283931528166598</v>
      </c>
      <c r="AE634" s="40">
        <f>VLOOKUP(B634,'Player Data'!$A1:$AE734,19,FALSE)*$Q634*IFERROR((VLOOKUP(P634,Settings!$E$28:$F$33,2,FALSE)+1),1)</f>
        <v>0</v>
      </c>
      <c r="AF634" s="40">
        <f>VLOOKUP(B634,'Player Data'!$A1:$AE734,20,FALSE)*$Q634</f>
        <v>25.287360085511384</v>
      </c>
      <c r="AG634" s="40">
        <f>VLOOKUP(B634,'Player Data'!$A1:$AE734,21,FALSE)*$Q634</f>
        <v>28.243096911551362</v>
      </c>
      <c r="AH634" s="41">
        <f>VLOOKUP(B634,'Player Data'!$A1:$AE734,22,FALSE)</f>
        <v>0.47239200828976502</v>
      </c>
      <c r="AI634" s="38"/>
      <c r="AJ634" s="42"/>
      <c r="AK634" s="40"/>
      <c r="AL634" s="40"/>
      <c r="AM634" s="40"/>
      <c r="AN634" s="40"/>
      <c r="AO634" s="40"/>
      <c r="AP634" s="40"/>
      <c r="AQ634" s="43"/>
      <c r="AR634" s="44"/>
      <c r="AS634" s="38"/>
    </row>
    <row r="635" spans="1:45" ht="21.2" customHeight="1">
      <c r="A635" s="181">
        <f t="shared" si="53"/>
        <v>634</v>
      </c>
      <c r="B635" s="8" t="s">
        <v>748</v>
      </c>
      <c r="C635" s="31" t="s">
        <v>104</v>
      </c>
      <c r="D635" s="32" t="str">
        <f>VLOOKUP(B635,'Player Data'!A1:D734,4,FALSE)</f>
        <v>LW,RW</v>
      </c>
      <c r="E635" s="45">
        <f>VLOOKUP(B635,RW!A1:F189,3,FALSE)</f>
        <v>161</v>
      </c>
      <c r="F635" s="34" t="str">
        <f>VLOOKUP(B635,'Player Data'!A1:B734,2,FALSE)</f>
        <v>PIT</v>
      </c>
      <c r="G635" s="9">
        <f>VLOOKUP(B635,'Player Data'!A1:D734,3,FALSE)</f>
        <v>29</v>
      </c>
      <c r="H635" s="35">
        <f>IFERROR(VLOOKUP(B635,ADP!A1:G731,7,FALSE)/1000000,VLOOKUP(B635,ADP!A1:G731,7,FALSE))</f>
        <v>1.115</v>
      </c>
      <c r="I635" s="36">
        <f>IF(Settings!$E$15="POINTS",((R635*Q635)*Settings!$B$12)+(S635*Settings!$B$2)+(T635*Settings!$B$3)+(U635*Settings!$B$4)+(V635*Settings!$B$5)+(X635*Settings!$B$9)+(AA635*Settings!$B$6)+(W635*Settings!$B$8)+(AB635*Settings!$B$7)+(AC635*Settings!$B$14)+(AD635*Settings!$B$15)+(AE635*Settings!$B$16)+(AF635*Settings!$B$17)+(AG635*Settings!$B$18)+(Y635*Settings!$B$10)+(Z635*Settings!$B$11),VLOOKUP(B635,'Standard Deviations'!A1:C731,3,FALSE))</f>
        <v>-3.3040523489701288</v>
      </c>
      <c r="J635" s="37">
        <f t="shared" si="54"/>
        <v>-4.0293321328904008E-2</v>
      </c>
      <c r="K635" s="183">
        <f>IF(Settings!$E$18="C/LW/RW",VLOOKUP(B635,RW!A1:F189,6,FALSE),VLOOKUP(B635,F!A1:F431,6,FALSE))</f>
        <v>-9.5843110679812096</v>
      </c>
      <c r="L635" s="36">
        <f t="shared" si="55"/>
        <v>-8.5957946798037757</v>
      </c>
      <c r="M635" s="52" t="str">
        <f>IF(Settings!$E$9="YAHOO",VLOOKUP(B635,ADP!A1:E731,2,FALSE),IF(Settings!$E$9="ESPN",VLOOKUP(B635,ADP!A1:E731,3,FALSE),IF(Settings!$E$9="FANTRAX",VLOOKUP(B635,ADP!A1:E731,4,FALSE),VLOOKUP(B635,ADP!A1:E731,5,FALSE))))</f>
        <v>-</v>
      </c>
      <c r="N635" s="52" t="str">
        <f t="shared" si="56"/>
        <v>N/A</v>
      </c>
      <c r="O635" s="38"/>
      <c r="P635" s="39" t="str">
        <f>IF(Settings!$E$27="ON",_xlfn.XLOOKUP(B635,ADP!A2:A731,ADP!H2:H731)," ")</f>
        <v xml:space="preserve"> </v>
      </c>
      <c r="Q635" s="40">
        <f>IF(Settings!$E$12="YES",VLOOKUP(B635,'Player Data'!A1:E734,5,FALSE),82)</f>
        <v>82</v>
      </c>
      <c r="R635" s="38">
        <f>VLOOKUP(B635,'Player Data'!$A1:$AE734,6,FALSE)</f>
        <v>11.0089701779689</v>
      </c>
      <c r="S635" s="40">
        <f>VLOOKUP(B635,'Player Data'!$A1:$AE734,7,FALSE)*$Q635*IFERROR((VLOOKUP(P635,Settings!$E$28:$F$33,2,FALSE)+1),1)</f>
        <v>9.3195699771779381</v>
      </c>
      <c r="T635" s="40">
        <f>VLOOKUP(B635,'Player Data'!$A1:$AE734,8,FALSE)*$Q635*IFERROR((VLOOKUP(P635,Settings!$E$28:$F$33,2,FALSE)+1),1)</f>
        <v>15.633201281696664</v>
      </c>
      <c r="U635" s="40">
        <f t="shared" si="57"/>
        <v>24.952771258874602</v>
      </c>
      <c r="V635" s="40">
        <f>VLOOKUP(B635,'Player Data'!$A1:$AE734,10,FALSE)*$Q635*IFERROR(((VLOOKUP(P635,Settings!$E$28:$F$33,2,FALSE)/2)+1),1)</f>
        <v>99.249730596559033</v>
      </c>
      <c r="W635" s="40">
        <f>VLOOKUP(B635,'Player Data'!$A1:$AE734,11,FALSE)*$Q635*IFERROR((VLOOKUP(P635,Settings!$E$28:$F$33,2,FALSE)+1),1)</f>
        <v>8.7595682571108363E-2</v>
      </c>
      <c r="X635" s="40">
        <f>VLOOKUP(B635,'Player Data'!$A1:$AE734,12,FALSE)*$Q635*IFERROR((VLOOKUP(P635,Settings!$E$28:$F$33,2,FALSE)+1),1)</f>
        <v>0.1732815966673151</v>
      </c>
      <c r="Y635" s="40">
        <f>VLOOKUP(B635,'Player Data'!$A1:$AE734,13,FALSE)*$Q635</f>
        <v>8.2213937118707461E-2</v>
      </c>
      <c r="Z635" s="40">
        <f>VLOOKUP(B635,'Player Data'!$A1:$AE734,14,FALSE)*$Q635</f>
        <v>0.62026659106052295</v>
      </c>
      <c r="AA635" s="40">
        <f>VLOOKUP(B635,'Player Data'!$A1:$AE734,15,FALSE)*$Q635</f>
        <v>20.892932776310023</v>
      </c>
      <c r="AB635" s="40">
        <f>VLOOKUP(B635,'Player Data'!$A1:$AE734,16,FALSE)*$Q635</f>
        <v>45.948695444457528</v>
      </c>
      <c r="AC635" s="40">
        <f>VLOOKUP(B635,'Player Data'!$A1:$AE734,17,FALSE)*$Q635*IFERROR((VLOOKUP(P635,Settings!$E$28:$F$33,2,FALSE)+1),1)</f>
        <v>0.72276183578633701</v>
      </c>
      <c r="AD635" s="40">
        <f>VLOOKUP(B635,'Player Data'!$A1:$AE734,18,FALSE)*$Q635</f>
        <v>22.432559675586699</v>
      </c>
      <c r="AE635" s="40">
        <f>VLOOKUP(B635,'Player Data'!$A1:$AE734,19,FALSE)*$Q635*IFERROR((VLOOKUP(P635,Settings!$E$28:$F$33,2,FALSE)+1),1)</f>
        <v>1.4959775910878068</v>
      </c>
      <c r="AF635" s="40">
        <f>VLOOKUP(B635,'Player Data'!$A1:$AE734,20,FALSE)*$Q635</f>
        <v>7.4339730653369793</v>
      </c>
      <c r="AG635" s="40">
        <f>VLOOKUP(B635,'Player Data'!$A1:$AE734,21,FALSE)*$Q635</f>
        <v>14.529042134501136</v>
      </c>
      <c r="AH635" s="41">
        <f>VLOOKUP(B635,'Player Data'!$A1:$AE734,22,FALSE)</f>
        <v>0.33847688933857201</v>
      </c>
      <c r="AI635" s="38"/>
      <c r="AJ635" s="40"/>
      <c r="AK635" s="40"/>
      <c r="AL635" s="40"/>
      <c r="AM635" s="40"/>
      <c r="AN635" s="40"/>
      <c r="AO635" s="40"/>
      <c r="AP635" s="40"/>
      <c r="AQ635" s="43"/>
      <c r="AR635" s="44"/>
      <c r="AS635" s="38"/>
    </row>
    <row r="636" spans="1:45" ht="21.2" customHeight="1">
      <c r="A636" s="181">
        <f t="shared" si="53"/>
        <v>635</v>
      </c>
      <c r="B636" s="8" t="s">
        <v>712</v>
      </c>
      <c r="C636" s="31" t="s">
        <v>104</v>
      </c>
      <c r="D636" s="32" t="str">
        <f>VLOOKUP(B636,'Player Data'!A1:D734,4,FALSE)</f>
        <v>LW</v>
      </c>
      <c r="E636" s="48">
        <f>VLOOKUP(B636,LW!A1:C227,3,FALSE)</f>
        <v>177</v>
      </c>
      <c r="F636" s="34" t="str">
        <f>VLOOKUP(B636,'Player Data'!A1:B734,2,FALSE)</f>
        <v>STL</v>
      </c>
      <c r="G636" s="9">
        <f>VLOOKUP(B636,'Player Data'!A1:D734,3,FALSE)</f>
        <v>21</v>
      </c>
      <c r="H636" s="35">
        <f>IFERROR(VLOOKUP(B636,ADP!A1:G731,7,FALSE)/1000000,VLOOKUP(B636,ADP!A1:G731,7,FALSE))</f>
        <v>0.83583300000000005</v>
      </c>
      <c r="I636" s="36">
        <f>IF(Settings!$E$15="POINTS",((R636*Q636)*Settings!$B$12)+(S636*Settings!$B$2)+(T636*Settings!$B$3)+(U636*Settings!$B$4)+(V636*Settings!$B$5)+(X636*Settings!$B$9)+(AA636*Settings!$B$6)+(W636*Settings!$B$8)+(AB636*Settings!$B$7)+(AC636*Settings!$B$14)+(AD636*Settings!$B$15)+(AE636*Settings!$B$16)+(AF636*Settings!$B$17)+(AG636*Settings!$B$18)+(Y636*Settings!$B$10)+(Z636*Settings!$B$11),VLOOKUP(B636,'Standard Deviations'!A1:C731,3,FALSE))</f>
        <v>-2.9400181095136171</v>
      </c>
      <c r="J636" s="37">
        <f t="shared" si="54"/>
        <v>-3.5853879384312407E-2</v>
      </c>
      <c r="K636" s="183">
        <f>IF(Settings!$E$18="C/LW/RW",VLOOKUP(B636,LW!A1:F227,6,FALSE),VLOOKUP(B636,F!A1:F431,6,FALSE))</f>
        <v>-9.5946871536380183</v>
      </c>
      <c r="L636" s="36">
        <f t="shared" si="55"/>
        <v>-11.479191601238545</v>
      </c>
      <c r="M636" s="52" t="str">
        <f>IF(Settings!$E$9="YAHOO",VLOOKUP(B636,ADP!A1:E731,2,FALSE),IF(Settings!$E$9="ESPN",VLOOKUP(B636,ADP!A1:E731,3,FALSE),IF(Settings!$E$9="FANTRAX",VLOOKUP(B636,ADP!A1:E731,4,FALSE),VLOOKUP(B636,ADP!A1:E731,5,FALSE))))</f>
        <v>-</v>
      </c>
      <c r="N636" s="52" t="str">
        <f t="shared" si="56"/>
        <v>N/A</v>
      </c>
      <c r="O636" s="38"/>
      <c r="P636" s="39" t="str">
        <f>IF(Settings!$E$27="ON",_xlfn.XLOOKUP(B636,ADP!A2:A731,ADP!H2:H731)," ")</f>
        <v xml:space="preserve"> </v>
      </c>
      <c r="Q636" s="40">
        <f>IF(Settings!$E$12="YES",VLOOKUP(B636,'Player Data'!A1:E734,5,FALSE),82)</f>
        <v>82</v>
      </c>
      <c r="R636" s="38">
        <f>VLOOKUP(B636,'Player Data'!$A1:$AE734,6,FALSE)</f>
        <v>12.1848979404717</v>
      </c>
      <c r="S636" s="40">
        <f>VLOOKUP(B636,'Player Data'!$A1:$AE734,7,FALSE)*$Q636*IFERROR((VLOOKUP(P636,Settings!$E$28:$F$33,2,FALSE)+1),1)</f>
        <v>12.37282985943664</v>
      </c>
      <c r="T636" s="40">
        <f>VLOOKUP(B636,'Player Data'!$A1:$AE734,8,FALSE)*$Q636*IFERROR((VLOOKUP(P636,Settings!$E$28:$F$33,2,FALSE)+1),1)</f>
        <v>12.22296613741857</v>
      </c>
      <c r="U636" s="40">
        <f t="shared" si="57"/>
        <v>24.595795996855209</v>
      </c>
      <c r="V636" s="40">
        <f>VLOOKUP(B636,'Player Data'!$A1:$AE734,10,FALSE)*$Q636*IFERROR(((VLOOKUP(P636,Settings!$E$28:$F$33,2,FALSE)/2)+1),1)</f>
        <v>103.23994037883217</v>
      </c>
      <c r="W636" s="40">
        <f>VLOOKUP(B636,'Player Data'!$A1:$AE734,11,FALSE)*$Q636*IFERROR((VLOOKUP(P636,Settings!$E$28:$F$33,2,FALSE)+1),1)</f>
        <v>1.2962096905609588</v>
      </c>
      <c r="X636" s="40">
        <f>VLOOKUP(B636,'Player Data'!$A1:$AE734,12,FALSE)*$Q636*IFERROR((VLOOKUP(P636,Settings!$E$28:$F$33,2,FALSE)+1),1)</f>
        <v>2.8450674435608008</v>
      </c>
      <c r="Y636" s="40">
        <f>VLOOKUP(B636,'Player Data'!$A1:$AE734,13,FALSE)*$Q636</f>
        <v>7.6182253774054201E-2</v>
      </c>
      <c r="Z636" s="40">
        <f>VLOOKUP(B636,'Player Data'!$A1:$AE734,14,FALSE)*$Q636</f>
        <v>0.15343892788554273</v>
      </c>
      <c r="AA636" s="40">
        <f>VLOOKUP(B636,'Player Data'!$A1:$AE734,15,FALSE)*$Q636</f>
        <v>37.296202524195898</v>
      </c>
      <c r="AB636" s="40">
        <f>VLOOKUP(B636,'Player Data'!$A1:$AE734,16,FALSE)*$Q636</f>
        <v>115.34518068829686</v>
      </c>
      <c r="AC636" s="40">
        <f>VLOOKUP(B636,'Player Data'!$A1:$AE734,17,FALSE)*$Q636*IFERROR((VLOOKUP(P636,Settings!$E$28:$F$33,2,FALSE)+1),1)</f>
        <v>-6.2778962508139768</v>
      </c>
      <c r="AD636" s="40">
        <f>VLOOKUP(B636,'Player Data'!$A1:$AE734,18,FALSE)*$Q636</f>
        <v>34.270095629136307</v>
      </c>
      <c r="AE636" s="40">
        <f>VLOOKUP(B636,'Player Data'!$A1:$AE734,19,FALSE)*$Q636*IFERROR((VLOOKUP(P636,Settings!$E$28:$F$33,2,FALSE)+1),1)</f>
        <v>1.423775330340062</v>
      </c>
      <c r="AF636" s="40">
        <f>VLOOKUP(B636,'Player Data'!$A1:$AE734,20,FALSE)*$Q636</f>
        <v>12.947176477455214</v>
      </c>
      <c r="AG636" s="40">
        <f>VLOOKUP(B636,'Player Data'!$A1:$AE734,21,FALSE)*$Q636</f>
        <v>22.584945443193323</v>
      </c>
      <c r="AH636" s="41">
        <f>VLOOKUP(B636,'Player Data'!$A1:$AE734,22,FALSE)</f>
        <v>0.364379490376883</v>
      </c>
      <c r="AI636" s="38"/>
      <c r="AJ636" s="42"/>
      <c r="AK636" s="40"/>
      <c r="AL636" s="40"/>
      <c r="AM636" s="40"/>
      <c r="AN636" s="40"/>
      <c r="AO636" s="40"/>
      <c r="AP636" s="40"/>
      <c r="AQ636" s="43"/>
      <c r="AR636" s="44"/>
      <c r="AS636" s="38"/>
    </row>
    <row r="637" spans="1:45" ht="21.2" customHeight="1">
      <c r="A637" s="181">
        <f t="shared" si="53"/>
        <v>636</v>
      </c>
      <c r="B637" s="8" t="s">
        <v>697</v>
      </c>
      <c r="C637" s="31" t="s">
        <v>104</v>
      </c>
      <c r="D637" s="32" t="str">
        <f>VLOOKUP(B637,'Player Data'!A1:D734,4,FALSE)</f>
        <v>RW</v>
      </c>
      <c r="E637" s="46">
        <f>VLOOKUP(B637,RW!A1:F189,3,FALSE)</f>
        <v>162</v>
      </c>
      <c r="F637" s="34" t="str">
        <f>VLOOKUP(B637,'Player Data'!A1:B734,2,FALSE)</f>
        <v>MTL</v>
      </c>
      <c r="G637" s="9">
        <f>VLOOKUP(B637,'Player Data'!A1:D734,3,FALSE)</f>
        <v>30</v>
      </c>
      <c r="H637" s="35">
        <f>IFERROR(VLOOKUP(B637,ADP!A1:G731,7,FALSE)/1000000,VLOOKUP(B637,ADP!A1:G731,7,FALSE))</f>
        <v>3.4</v>
      </c>
      <c r="I637" s="36">
        <f>IF(Settings!$E$15="POINTS",((R637*Q637)*Settings!$B$12)+(S637*Settings!$B$2)+(T637*Settings!$B$3)+(U637*Settings!$B$4)+(V637*Settings!$B$5)+(X637*Settings!$B$9)+(AA637*Settings!$B$6)+(W637*Settings!$B$8)+(AB637*Settings!$B$7)+(AC637*Settings!$B$14)+(AD637*Settings!$B$15)+(AE637*Settings!$B$16)+(AF637*Settings!$B$17)+(AG637*Settings!$B$18)+(Y637*Settings!$B$10)+(Z637*Settings!$B$11),VLOOKUP(B637,'Standard Deviations'!A1:C731,3,FALSE))</f>
        <v>-3.3292495313371768</v>
      </c>
      <c r="J637" s="37">
        <f t="shared" si="54"/>
        <v>-4.0600604040697277E-2</v>
      </c>
      <c r="K637" s="183">
        <f>IF(Settings!$E$18="C/LW/RW",VLOOKUP(B637,RW!A1:F189,6,FALSE),VLOOKUP(B637,F!A1:F431,6,FALSE))</f>
        <v>-9.6095082503482576</v>
      </c>
      <c r="L637" s="36">
        <f t="shared" si="55"/>
        <v>-2.8263259559847818</v>
      </c>
      <c r="M637" s="52" t="str">
        <f>IF(Settings!$E$9="YAHOO",VLOOKUP(B637,ADP!A1:E731,2,FALSE),IF(Settings!$E$9="ESPN",VLOOKUP(B637,ADP!A1:E731,3,FALSE),IF(Settings!$E$9="FANTRAX",VLOOKUP(B637,ADP!A1:E731,4,FALSE),VLOOKUP(B637,ADP!A1:E731,5,FALSE))))</f>
        <v>-</v>
      </c>
      <c r="N637" s="52" t="str">
        <f t="shared" si="56"/>
        <v>N/A</v>
      </c>
      <c r="O637" s="38"/>
      <c r="P637" s="39" t="str">
        <f>IF(Settings!$E$27="ON",_xlfn.XLOOKUP(B637,ADP!A2:A731,ADP!H2:H731)," ")</f>
        <v xml:space="preserve"> </v>
      </c>
      <c r="Q637" s="40">
        <f>IF(Settings!$E$12="YES",VLOOKUP(B637,'Player Data'!A1:E734,5,FALSE),82)</f>
        <v>82</v>
      </c>
      <c r="R637" s="38">
        <f>VLOOKUP(B637,'Player Data'!$A1:$AE734,6,FALSE)</f>
        <v>13.191452451224499</v>
      </c>
      <c r="S637" s="40">
        <f>VLOOKUP(B637,'Player Data'!$A1:$AE734,7,FALSE)*$Q637*IFERROR((VLOOKUP(P637,Settings!$E$28:$F$33,2,FALSE)+1),1)</f>
        <v>9.9081487259602099</v>
      </c>
      <c r="T637" s="40">
        <f>VLOOKUP(B637,'Player Data'!$A1:$AE734,8,FALSE)*$Q637*IFERROR((VLOOKUP(P637,Settings!$E$28:$F$33,2,FALSE)+1),1)</f>
        <v>11.179595447189469</v>
      </c>
      <c r="U637" s="40">
        <f t="shared" si="57"/>
        <v>21.08774417314968</v>
      </c>
      <c r="V637" s="40">
        <f>VLOOKUP(B637,'Player Data'!$A1:$AE734,10,FALSE)*$Q637*IFERROR(((VLOOKUP(P637,Settings!$E$28:$F$33,2,FALSE)/2)+1),1)</f>
        <v>119.95015877925101</v>
      </c>
      <c r="W637" s="40">
        <f>VLOOKUP(B637,'Player Data'!$A1:$AE734,11,FALSE)*$Q637*IFERROR((VLOOKUP(P637,Settings!$E$28:$F$33,2,FALSE)+1),1)</f>
        <v>0.2718429861768118</v>
      </c>
      <c r="X637" s="40">
        <f>VLOOKUP(B637,'Player Data'!$A1:$AE734,12,FALSE)*$Q637*IFERROR((VLOOKUP(P637,Settings!$E$28:$F$33,2,FALSE)+1),1)</f>
        <v>0.818553835073771</v>
      </c>
      <c r="Y637" s="40">
        <f>VLOOKUP(B637,'Player Data'!$A1:$AE734,13,FALSE)*$Q637</f>
        <v>1.3869975989271628</v>
      </c>
      <c r="Z637" s="40">
        <f>VLOOKUP(B637,'Player Data'!$A1:$AE734,14,FALSE)*$Q637</f>
        <v>1.6574582786019874</v>
      </c>
      <c r="AA637" s="40">
        <f>VLOOKUP(B637,'Player Data'!$A1:$AE734,15,FALSE)*$Q637</f>
        <v>40.549392866935335</v>
      </c>
      <c r="AB637" s="40">
        <f>VLOOKUP(B637,'Player Data'!$A1:$AE734,16,FALSE)*$Q637</f>
        <v>97.804440847122194</v>
      </c>
      <c r="AC637" s="40">
        <f>VLOOKUP(B637,'Player Data'!$A1:$AE734,17,FALSE)*$Q637*IFERROR((VLOOKUP(P637,Settings!$E$28:$F$33,2,FALSE)+1),1)</f>
        <v>-8.1164288797948192</v>
      </c>
      <c r="AD637" s="40">
        <f>VLOOKUP(B637,'Player Data'!$A1:$AE734,18,FALSE)*$Q637</f>
        <v>26.214287430678162</v>
      </c>
      <c r="AE637" s="40">
        <f>VLOOKUP(B637,'Player Data'!$A1:$AE734,19,FALSE)*$Q637*IFERROR((VLOOKUP(P637,Settings!$E$28:$F$33,2,FALSE)+1),1)</f>
        <v>1.0150117070937188</v>
      </c>
      <c r="AF637" s="40">
        <f>VLOOKUP(B637,'Player Data'!$A1:$AE734,20,FALSE)*$Q637</f>
        <v>5.0519342367417819</v>
      </c>
      <c r="AG637" s="40">
        <f>VLOOKUP(B637,'Player Data'!$A1:$AE734,21,FALSE)*$Q637</f>
        <v>14.621597104344232</v>
      </c>
      <c r="AH637" s="41">
        <f>VLOOKUP(B637,'Player Data'!$A1:$AE734,22,FALSE)</f>
        <v>0.25678837973492802</v>
      </c>
      <c r="AI637" s="38"/>
      <c r="AJ637" s="42"/>
      <c r="AK637" s="40"/>
      <c r="AL637" s="40"/>
      <c r="AM637" s="40"/>
      <c r="AN637" s="40"/>
      <c r="AO637" s="40"/>
      <c r="AP637" s="40"/>
      <c r="AQ637" s="43"/>
      <c r="AR637" s="44"/>
      <c r="AS637" s="38"/>
    </row>
    <row r="638" spans="1:45" ht="21.2" customHeight="1">
      <c r="A638" s="181">
        <f t="shared" si="53"/>
        <v>637</v>
      </c>
      <c r="B638" s="8" t="s">
        <v>705</v>
      </c>
      <c r="C638" s="31" t="s">
        <v>104</v>
      </c>
      <c r="D638" s="32" t="str">
        <f>VLOOKUP(B638,'Player Data'!A1:D734,4,FALSE)</f>
        <v>C</v>
      </c>
      <c r="E638" s="33">
        <f>VLOOKUP(B638,'C'!A1:C208,3,FALSE)</f>
        <v>160</v>
      </c>
      <c r="F638" s="34" t="str">
        <f>VLOOKUP(B638,'Player Data'!A1:B734,2,FALSE)</f>
        <v>TOR</v>
      </c>
      <c r="G638" s="9">
        <f>VLOOKUP(B638,'Player Data'!A1:D734,3,FALSE)</f>
        <v>28</v>
      </c>
      <c r="H638" s="35">
        <f>IFERROR(VLOOKUP(B638,ADP!A1:G731,7,FALSE)/1000000,VLOOKUP(B638,ADP!A1:G731,7,FALSE))</f>
        <v>2.5</v>
      </c>
      <c r="I638" s="36">
        <f>IF(Settings!$E$15="POINTS",((R638*Q638)*Settings!$B$12)+(S638*Settings!$B$2)+(T638*Settings!$B$3)+(U638*Settings!$B$4)+(V638*Settings!$B$5)+(X638*Settings!$B$9)+(AA638*Settings!$B$6)+(W638*Settings!$B$8)+(AB638*Settings!$B$7)+(AC638*Settings!$B$14)+(AD638*Settings!$B$15)+(AE638*Settings!$B$16)+(AF638*Settings!$B$17)+(AG638*Settings!$B$18)+(Y638*Settings!$B$10)+(Z638*Settings!$B$11),VLOOKUP(B638,'Standard Deviations'!A1:C731,3,FALSE))</f>
        <v>-3.2758866960987159</v>
      </c>
      <c r="J638" s="37">
        <f t="shared" si="54"/>
        <v>-3.9949837757301411E-2</v>
      </c>
      <c r="K638" s="183">
        <f>IF(Settings!$E$18="C/LW/RW",VLOOKUP(B638,'C'!A1:F208,6,FALSE),VLOOKUP(B638,F!A1:F431,6,FALSE))</f>
        <v>-9.6129374203053182</v>
      </c>
      <c r="L638" s="36">
        <f t="shared" si="55"/>
        <v>-3.8451749681221274</v>
      </c>
      <c r="M638" s="52" t="str">
        <f>IF(Settings!$E$9="YAHOO",VLOOKUP(B638,ADP!A1:E731,2,FALSE),IF(Settings!$E$9="ESPN",VLOOKUP(B638,ADP!A1:E731,3,FALSE),IF(Settings!$E$9="FANTRAX",VLOOKUP(B638,ADP!A1:E731,4,FALSE),VLOOKUP(B638,ADP!A1:E731,5,FALSE))))</f>
        <v>-</v>
      </c>
      <c r="N638" s="52" t="str">
        <f t="shared" si="56"/>
        <v>N/A</v>
      </c>
      <c r="O638" s="38"/>
      <c r="P638" s="39" t="str">
        <f>IF(Settings!$E$27="ON",_xlfn.XLOOKUP(B638,ADP!A2:A731,ADP!H2:H731)," ")</f>
        <v xml:space="preserve"> </v>
      </c>
      <c r="Q638" s="40">
        <f>IF(Settings!$E$12="YES",VLOOKUP(B638,'Player Data'!A1:E734,5,FALSE),82)</f>
        <v>82</v>
      </c>
      <c r="R638" s="38">
        <f>VLOOKUP(B638,'Player Data'!$A1:$AE734,6,FALSE)</f>
        <v>14.881329360046401</v>
      </c>
      <c r="S638" s="40">
        <f>VLOOKUP(B638,'Player Data'!$A1:$AE734,7,FALSE)*$Q638*IFERROR((VLOOKUP(P638,Settings!$E$28:$F$33,2,FALSE)+1),1)</f>
        <v>7.9039085274261716</v>
      </c>
      <c r="T638" s="40">
        <f>VLOOKUP(B638,'Player Data'!$A1:$AE734,8,FALSE)*$Q638*IFERROR((VLOOKUP(P638,Settings!$E$28:$F$33,2,FALSE)+1),1)</f>
        <v>17.594062119856524</v>
      </c>
      <c r="U638" s="40">
        <f t="shared" si="57"/>
        <v>25.497970647282695</v>
      </c>
      <c r="V638" s="40">
        <f>VLOOKUP(B638,'Player Data'!$A1:$AE734,10,FALSE)*$Q638*IFERROR(((VLOOKUP(P638,Settings!$E$28:$F$33,2,FALSE)/2)+1),1)</f>
        <v>99.166489809620572</v>
      </c>
      <c r="W638" s="40">
        <f>VLOOKUP(B638,'Player Data'!$A1:$AE734,11,FALSE)*$Q638*IFERROR((VLOOKUP(P638,Settings!$E$28:$F$33,2,FALSE)+1),1)</f>
        <v>6.4277056968502666E-2</v>
      </c>
      <c r="X638" s="40">
        <f>VLOOKUP(B638,'Player Data'!$A1:$AE734,12,FALSE)*$Q638*IFERROR((VLOOKUP(P638,Settings!$E$28:$F$33,2,FALSE)+1),1)</f>
        <v>0.16220676621103872</v>
      </c>
      <c r="Y638" s="40">
        <f>VLOOKUP(B638,'Player Data'!$A1:$AE734,13,FALSE)*$Q638</f>
        <v>0.64190106095549571</v>
      </c>
      <c r="Z638" s="40">
        <f>VLOOKUP(B638,'Player Data'!$A1:$AE734,14,FALSE)*$Q638</f>
        <v>2.4521976398182486</v>
      </c>
      <c r="AA638" s="40">
        <f>VLOOKUP(B638,'Player Data'!$A1:$AE734,15,FALSE)*$Q638</f>
        <v>28.260134752213563</v>
      </c>
      <c r="AB638" s="40">
        <f>VLOOKUP(B638,'Player Data'!$A1:$AE734,16,FALSE)*$Q638</f>
        <v>75.334116289490908</v>
      </c>
      <c r="AC638" s="40">
        <f>VLOOKUP(B638,'Player Data'!$A1:$AE734,17,FALSE)*$Q638*IFERROR((VLOOKUP(P638,Settings!$E$28:$F$33,2,FALSE)+1),1)</f>
        <v>3.4380727803762086</v>
      </c>
      <c r="AD638" s="40">
        <f>VLOOKUP(B638,'Player Data'!$A1:$AE734,18,FALSE)*$Q638</f>
        <v>18.395603323954322</v>
      </c>
      <c r="AE638" s="40">
        <f>VLOOKUP(B638,'Player Data'!$A1:$AE734,19,FALSE)*$Q638*IFERROR((VLOOKUP(P638,Settings!$E$28:$F$33,2,FALSE)+1),1)</f>
        <v>1.269760804103973</v>
      </c>
      <c r="AF638" s="40">
        <f>VLOOKUP(B638,'Player Data'!$A1:$AE734,20,FALSE)*$Q638</f>
        <v>586.29444971822659</v>
      </c>
      <c r="AG638" s="40">
        <f>VLOOKUP(B638,'Player Data'!$A1:$AE734,21,FALSE)*$Q638</f>
        <v>535.87621620476966</v>
      </c>
      <c r="AH638" s="41">
        <f>VLOOKUP(B638,'Player Data'!$A1:$AE734,22,FALSE)</f>
        <v>0.52246460143920603</v>
      </c>
      <c r="AI638" s="38"/>
      <c r="AJ638" s="40"/>
      <c r="AK638" s="40"/>
      <c r="AL638" s="40"/>
      <c r="AM638" s="40"/>
      <c r="AN638" s="40"/>
      <c r="AO638" s="40"/>
      <c r="AP638" s="40"/>
      <c r="AQ638" s="43"/>
      <c r="AR638" s="44"/>
      <c r="AS638" s="38"/>
    </row>
    <row r="639" spans="1:45" ht="21.2" customHeight="1">
      <c r="A639" s="181">
        <f t="shared" si="53"/>
        <v>638</v>
      </c>
      <c r="B639" s="8" t="s">
        <v>729</v>
      </c>
      <c r="C639" s="31" t="s">
        <v>104</v>
      </c>
      <c r="D639" s="32" t="str">
        <f>VLOOKUP(B639,'Player Data'!A1:D734,4,FALSE)</f>
        <v>C</v>
      </c>
      <c r="E639" s="33">
        <f>VLOOKUP(B639,'C'!A1:C208,3,FALSE)</f>
        <v>162</v>
      </c>
      <c r="F639" s="34" t="str">
        <f>VLOOKUP(B639,'Player Data'!A1:B734,2,FALSE)</f>
        <v>ANA</v>
      </c>
      <c r="G639" s="9">
        <f>VLOOKUP(B639,'Player Data'!A1:D734,3,FALSE)</f>
        <v>23</v>
      </c>
      <c r="H639" s="35">
        <f>IFERROR(VLOOKUP(B639,ADP!A1:G731,7,FALSE)/1000000,VLOOKUP(B639,ADP!A1:G731,7,FALSE))</f>
        <v>1.8</v>
      </c>
      <c r="I639" s="36">
        <f>IF(Settings!$E$15="POINTS",((R639*Q639)*Settings!$B$12)+(S639*Settings!$B$2)+(T639*Settings!$B$3)+(U639*Settings!$B$4)+(V639*Settings!$B$5)+(X639*Settings!$B$9)+(AA639*Settings!$B$6)+(W639*Settings!$B$8)+(AB639*Settings!$B$7)+(AC639*Settings!$B$14)+(AD639*Settings!$B$15)+(AE639*Settings!$B$16)+(AF639*Settings!$B$17)+(AG639*Settings!$B$18)+(Y639*Settings!$B$10)+(Z639*Settings!$B$11),VLOOKUP(B639,'Standard Deviations'!A1:C731,3,FALSE))</f>
        <v>-3.3096231344637013</v>
      </c>
      <c r="J639" s="37">
        <f t="shared" si="54"/>
        <v>-4.0361257737362211E-2</v>
      </c>
      <c r="K639" s="183">
        <f>IF(Settings!$E$18="C/LW/RW",VLOOKUP(B639,'C'!A1:F208,6,FALSE),VLOOKUP(B639,F!A1:F431,6,FALSE))</f>
        <v>-9.6466738586703045</v>
      </c>
      <c r="L639" s="36">
        <f t="shared" si="55"/>
        <v>-5.3592632548168355</v>
      </c>
      <c r="M639" s="52" t="str">
        <f>IF(Settings!$E$9="YAHOO",VLOOKUP(B639,ADP!A1:E731,2,FALSE),IF(Settings!$E$9="ESPN",VLOOKUP(B639,ADP!A1:E731,3,FALSE),IF(Settings!$E$9="FANTRAX",VLOOKUP(B639,ADP!A1:E731,4,FALSE),VLOOKUP(B639,ADP!A1:E731,5,FALSE))))</f>
        <v>-</v>
      </c>
      <c r="N639" s="52" t="str">
        <f t="shared" si="56"/>
        <v>N/A</v>
      </c>
      <c r="O639" s="38"/>
      <c r="P639" s="39" t="str">
        <f>IF(Settings!$E$27="ON",_xlfn.XLOOKUP(B639,ADP!A2:A731,ADP!H2:H731)," ")</f>
        <v xml:space="preserve"> </v>
      </c>
      <c r="Q639" s="40">
        <f>IF(Settings!$E$12="YES",VLOOKUP(B639,'Player Data'!A1:E734,5,FALSE),82)</f>
        <v>82</v>
      </c>
      <c r="R639" s="38">
        <f>VLOOKUP(B639,'Player Data'!$A1:$AE734,6,FALSE)</f>
        <v>14.3119135291102</v>
      </c>
      <c r="S639" s="40">
        <f>VLOOKUP(B639,'Player Data'!$A1:$AE734,7,FALSE)*$Q639*IFERROR((VLOOKUP(P639,Settings!$E$28:$F$33,2,FALSE)+1),1)</f>
        <v>11.679177992331033</v>
      </c>
      <c r="T639" s="40">
        <f>VLOOKUP(B639,'Player Data'!$A1:$AE734,8,FALSE)*$Q639*IFERROR((VLOOKUP(P639,Settings!$E$28:$F$33,2,FALSE)+1),1)</f>
        <v>14.275044516629571</v>
      </c>
      <c r="U639" s="40">
        <f t="shared" si="57"/>
        <v>25.954222508960605</v>
      </c>
      <c r="V639" s="40">
        <f>VLOOKUP(B639,'Player Data'!$A1:$AE734,10,FALSE)*$Q639*IFERROR(((VLOOKUP(P639,Settings!$E$28:$F$33,2,FALSE)/2)+1),1)</f>
        <v>87.043667210458622</v>
      </c>
      <c r="W639" s="40">
        <f>VLOOKUP(B639,'Player Data'!$A1:$AE734,11,FALSE)*$Q639*IFERROR((VLOOKUP(P639,Settings!$E$28:$F$33,2,FALSE)+1),1)</f>
        <v>0.180902927704293</v>
      </c>
      <c r="X639" s="40">
        <f>VLOOKUP(B639,'Player Data'!$A1:$AE734,12,FALSE)*$Q639*IFERROR((VLOOKUP(P639,Settings!$E$28:$F$33,2,FALSE)+1),1)</f>
        <v>0.44806667316236198</v>
      </c>
      <c r="Y639" s="40">
        <f>VLOOKUP(B639,'Player Data'!$A1:$AE734,13,FALSE)*$Q639</f>
        <v>1.3302147161197095</v>
      </c>
      <c r="Z639" s="40">
        <f>VLOOKUP(B639,'Player Data'!$A1:$AE734,14,FALSE)*$Q639</f>
        <v>1.6848074137438336</v>
      </c>
      <c r="AA639" s="40">
        <f>VLOOKUP(B639,'Player Data'!$A1:$AE734,15,FALSE)*$Q639</f>
        <v>53.610625347856988</v>
      </c>
      <c r="AB639" s="40">
        <f>VLOOKUP(B639,'Player Data'!$A1:$AE734,16,FALSE)*$Q639</f>
        <v>43.030005233148032</v>
      </c>
      <c r="AC639" s="40">
        <f>VLOOKUP(B639,'Player Data'!$A1:$AE734,17,FALSE)*$Q639*IFERROR((VLOOKUP(P639,Settings!$E$28:$F$33,2,FALSE)+1),1)</f>
        <v>-9.4594391929008221</v>
      </c>
      <c r="AD639" s="40">
        <f>VLOOKUP(B639,'Player Data'!$A1:$AE734,18,FALSE)*$Q639</f>
        <v>13.086419870266402</v>
      </c>
      <c r="AE639" s="40">
        <f>VLOOKUP(B639,'Player Data'!$A1:$AE734,19,FALSE)*$Q639*IFERROR((VLOOKUP(P639,Settings!$E$28:$F$33,2,FALSE)+1),1)</f>
        <v>1.1196013396604887</v>
      </c>
      <c r="AF639" s="40">
        <f>VLOOKUP(B639,'Player Data'!$A1:$AE734,20,FALSE)*$Q639</f>
        <v>372.22084672719672</v>
      </c>
      <c r="AG639" s="40">
        <f>VLOOKUP(B639,'Player Data'!$A1:$AE734,21,FALSE)*$Q639</f>
        <v>434.58871576815301</v>
      </c>
      <c r="AH639" s="41">
        <f>VLOOKUP(B639,'Player Data'!$A1:$AE734,22,FALSE)</f>
        <v>0.46134907669657499</v>
      </c>
      <c r="AI639" s="38"/>
      <c r="AJ639" s="42"/>
      <c r="AK639" s="40"/>
      <c r="AL639" s="40"/>
      <c r="AM639" s="40"/>
      <c r="AN639" s="40"/>
      <c r="AO639" s="40"/>
      <c r="AP639" s="40"/>
      <c r="AQ639" s="43"/>
      <c r="AR639" s="44"/>
      <c r="AS639" s="38"/>
    </row>
    <row r="640" spans="1:45" ht="21.2" customHeight="1">
      <c r="A640" s="181">
        <f t="shared" si="53"/>
        <v>639</v>
      </c>
      <c r="B640" s="8" t="s">
        <v>690</v>
      </c>
      <c r="C640" s="31" t="s">
        <v>104</v>
      </c>
      <c r="D640" s="32" t="str">
        <f>VLOOKUP(B640,'Player Data'!A1:D734,4,FALSE)</f>
        <v>RW</v>
      </c>
      <c r="E640" s="46">
        <f>VLOOKUP(B640,RW!A1:F189,3,FALSE)</f>
        <v>163</v>
      </c>
      <c r="F640" s="34" t="str">
        <f>VLOOKUP(B640,'Player Data'!A1:B734,2,FALSE)</f>
        <v>NJD</v>
      </c>
      <c r="G640" s="9">
        <f>VLOOKUP(B640,'Player Data'!A1:D734,3,FALSE)</f>
        <v>25</v>
      </c>
      <c r="H640" s="35">
        <f>IFERROR(VLOOKUP(B640,ADP!A1:G731,7,FALSE)/1000000,VLOOKUP(B640,ADP!A1:G731,7,FALSE))</f>
        <v>1.35</v>
      </c>
      <c r="I640" s="36">
        <f>IF(Settings!$E$15="POINTS",((R640*Q640)*Settings!$B$12)+(S640*Settings!$B$2)+(T640*Settings!$B$3)+(U640*Settings!$B$4)+(V640*Settings!$B$5)+(X640*Settings!$B$9)+(AA640*Settings!$B$6)+(W640*Settings!$B$8)+(AB640*Settings!$B$7)+(AC640*Settings!$B$14)+(AD640*Settings!$B$15)+(AE640*Settings!$B$16)+(AF640*Settings!$B$17)+(AG640*Settings!$B$18)+(Y640*Settings!$B$10)+(Z640*Settings!$B$11),VLOOKUP(B640,'Standard Deviations'!A1:C731,3,FALSE))</f>
        <v>-3.3683471046734512</v>
      </c>
      <c r="J640" s="37">
        <f t="shared" si="54"/>
        <v>-4.1077403715529891E-2</v>
      </c>
      <c r="K640" s="183">
        <f>IF(Settings!$E$18="C/LW/RW",VLOOKUP(B640,RW!A1:F189,6,FALSE),VLOOKUP(B640,F!A1:F431,6,FALSE))</f>
        <v>-9.648605823684532</v>
      </c>
      <c r="L640" s="36">
        <f t="shared" si="55"/>
        <v>-7.1471154249515045</v>
      </c>
      <c r="M640" s="52" t="str">
        <f>IF(Settings!$E$9="YAHOO",VLOOKUP(B640,ADP!A1:E731,2,FALSE),IF(Settings!$E$9="ESPN",VLOOKUP(B640,ADP!A1:E731,3,FALSE),IF(Settings!$E$9="FANTRAX",VLOOKUP(B640,ADP!A1:E731,4,FALSE),VLOOKUP(B640,ADP!A1:E731,5,FALSE))))</f>
        <v>-</v>
      </c>
      <c r="N640" s="52" t="str">
        <f t="shared" si="56"/>
        <v>N/A</v>
      </c>
      <c r="O640" s="38"/>
      <c r="P640" s="39" t="str">
        <f>IF(Settings!$E$27="ON",_xlfn.XLOOKUP(B640,ADP!A2:A731,ADP!H2:H731)," ")</f>
        <v xml:space="preserve"> </v>
      </c>
      <c r="Q640" s="40">
        <f>IF(Settings!$E$12="YES",VLOOKUP(B640,'Player Data'!A1:E734,5,FALSE),82)</f>
        <v>82</v>
      </c>
      <c r="R640" s="38">
        <f>VLOOKUP(B640,'Player Data'!$A1:$AE734,6,FALSE)</f>
        <v>11.973523432279</v>
      </c>
      <c r="S640" s="40">
        <f>VLOOKUP(B640,'Player Data'!$A1:$AE734,7,FALSE)*$Q640*IFERROR((VLOOKUP(P640,Settings!$E$28:$F$33,2,FALSE)+1),1)</f>
        <v>10.747225861050829</v>
      </c>
      <c r="T640" s="40">
        <f>VLOOKUP(B640,'Player Data'!$A1:$AE734,8,FALSE)*$Q640*IFERROR((VLOOKUP(P640,Settings!$E$28:$F$33,2,FALSE)+1),1)</f>
        <v>12.046835935920569</v>
      </c>
      <c r="U640" s="40">
        <f t="shared" si="57"/>
        <v>22.794061796971398</v>
      </c>
      <c r="V640" s="40">
        <f>VLOOKUP(B640,'Player Data'!$A1:$AE734,10,FALSE)*$Q640*IFERROR(((VLOOKUP(P640,Settings!$E$28:$F$33,2,FALSE)/2)+1),1)</f>
        <v>103.99701685748492</v>
      </c>
      <c r="W640" s="40">
        <f>VLOOKUP(B640,'Player Data'!$A1:$AE734,11,FALSE)*$Q640*IFERROR((VLOOKUP(P640,Settings!$E$28:$F$33,2,FALSE)+1),1)</f>
        <v>0.51684156945485038</v>
      </c>
      <c r="X640" s="40">
        <f>VLOOKUP(B640,'Player Data'!$A1:$AE734,12,FALSE)*$Q640*IFERROR((VLOOKUP(P640,Settings!$E$28:$F$33,2,FALSE)+1),1)</f>
        <v>0.91860393101621673</v>
      </c>
      <c r="Y640" s="40">
        <f>VLOOKUP(B640,'Player Data'!$A1:$AE734,13,FALSE)*$Q640</f>
        <v>0.23803405390008131</v>
      </c>
      <c r="Z640" s="40">
        <f>VLOOKUP(B640,'Player Data'!$A1:$AE734,14,FALSE)*$Q640</f>
        <v>0.52632143573396528</v>
      </c>
      <c r="AA640" s="40">
        <f>VLOOKUP(B640,'Player Data'!$A1:$AE734,15,FALSE)*$Q640</f>
        <v>60.365174905213465</v>
      </c>
      <c r="AB640" s="40">
        <f>VLOOKUP(B640,'Player Data'!$A1:$AE734,16,FALSE)*$Q640</f>
        <v>193.88486665798985</v>
      </c>
      <c r="AC640" s="40">
        <f>VLOOKUP(B640,'Player Data'!$A1:$AE734,17,FALSE)*$Q640*IFERROR((VLOOKUP(P640,Settings!$E$28:$F$33,2,FALSE)+1),1)</f>
        <v>0.62090655964198593</v>
      </c>
      <c r="AD640" s="40">
        <f>VLOOKUP(B640,'Player Data'!$A1:$AE734,18,FALSE)*$Q640</f>
        <v>43.81602640731213</v>
      </c>
      <c r="AE640" s="40">
        <f>VLOOKUP(B640,'Player Data'!$A1:$AE734,19,FALSE)*$Q640*IFERROR((VLOOKUP(P640,Settings!$E$28:$F$33,2,FALSE)+1),1)</f>
        <v>1.579605558367184</v>
      </c>
      <c r="AF640" s="40">
        <f>VLOOKUP(B640,'Player Data'!$A1:$AE734,20,FALSE)*$Q640</f>
        <v>25.374014915365816</v>
      </c>
      <c r="AG640" s="40">
        <f>VLOOKUP(B640,'Player Data'!$A1:$AE734,21,FALSE)*$Q640</f>
        <v>39.069828257075187</v>
      </c>
      <c r="AH640" s="41">
        <f>VLOOKUP(B640,'Player Data'!$A1:$AE734,22,FALSE)</f>
        <v>0.39373838781571702</v>
      </c>
      <c r="AI640" s="38"/>
      <c r="AJ640" s="40"/>
      <c r="AK640" s="40"/>
      <c r="AL640" s="40"/>
      <c r="AM640" s="40"/>
      <c r="AN640" s="40"/>
      <c r="AO640" s="40"/>
      <c r="AP640" s="40"/>
      <c r="AQ640" s="43"/>
      <c r="AR640" s="44"/>
      <c r="AS640" s="38"/>
    </row>
    <row r="641" spans="1:45" ht="21.2" customHeight="1">
      <c r="A641" s="181">
        <f t="shared" si="53"/>
        <v>640</v>
      </c>
      <c r="B641" s="8" t="s">
        <v>703</v>
      </c>
      <c r="C641" s="31" t="s">
        <v>104</v>
      </c>
      <c r="D641" s="32" t="str">
        <f>VLOOKUP(B641,'Player Data'!A1:D734,4,FALSE)</f>
        <v>RW</v>
      </c>
      <c r="E641" s="46">
        <f>VLOOKUP(B641,RW!A1:F189,3,FALSE)</f>
        <v>164</v>
      </c>
      <c r="F641" s="34" t="str">
        <f>VLOOKUP(B641,'Player Data'!A1:B734,2,FALSE)</f>
        <v>DET</v>
      </c>
      <c r="G641" s="9">
        <f>VLOOKUP(B641,'Player Data'!A1:D734,3,FALSE)</f>
        <v>26</v>
      </c>
      <c r="H641" s="35">
        <f>IFERROR(VLOOKUP(B641,ADP!A1:G731,7,FALSE)/1000000,VLOOKUP(B641,ADP!A1:G731,7,FALSE))</f>
        <v>1.125</v>
      </c>
      <c r="I641" s="36">
        <f>IF(Settings!$E$15="POINTS",((R641*Q641)*Settings!$B$12)+(S641*Settings!$B$2)+(T641*Settings!$B$3)+(U641*Settings!$B$4)+(V641*Settings!$B$5)+(X641*Settings!$B$9)+(AA641*Settings!$B$6)+(W641*Settings!$B$8)+(AB641*Settings!$B$7)+(AC641*Settings!$B$14)+(AD641*Settings!$B$15)+(AE641*Settings!$B$16)+(AF641*Settings!$B$17)+(AG641*Settings!$B$18)+(Y641*Settings!$B$10)+(Z641*Settings!$B$11),VLOOKUP(B641,'Standard Deviations'!A1:C731,3,FALSE))</f>
        <v>-3.3919296974618183</v>
      </c>
      <c r="J641" s="37">
        <f t="shared" si="54"/>
        <v>-4.136499631050998E-2</v>
      </c>
      <c r="K641" s="183">
        <f>IF(Settings!$E$18="C/LW/RW",VLOOKUP(B641,RW!A1:F189,6,FALSE),VLOOKUP(B641,F!A1:F431,6,FALSE))</f>
        <v>-9.6721884164728991</v>
      </c>
      <c r="L641" s="36">
        <f t="shared" si="55"/>
        <v>-8.5975008146425775</v>
      </c>
      <c r="M641" s="52" t="str">
        <f>IF(Settings!$E$9="YAHOO",VLOOKUP(B641,ADP!A1:E731,2,FALSE),IF(Settings!$E$9="ESPN",VLOOKUP(B641,ADP!A1:E731,3,FALSE),IF(Settings!$E$9="FANTRAX",VLOOKUP(B641,ADP!A1:E731,4,FALSE),VLOOKUP(B641,ADP!A1:E731,5,FALSE))))</f>
        <v>-</v>
      </c>
      <c r="N641" s="52" t="str">
        <f t="shared" si="56"/>
        <v>N/A</v>
      </c>
      <c r="O641" s="38"/>
      <c r="P641" s="39" t="str">
        <f>IF(Settings!$E$27="ON",_xlfn.XLOOKUP(B641,ADP!A2:A731,ADP!H2:H731)," ")</f>
        <v xml:space="preserve"> </v>
      </c>
      <c r="Q641" s="40">
        <f>IF(Settings!$E$12="YES",VLOOKUP(B641,'Player Data'!A1:E734,5,FALSE),82)</f>
        <v>82</v>
      </c>
      <c r="R641" s="38">
        <f>VLOOKUP(B641,'Player Data'!$A1:$AE734,6,FALSE)</f>
        <v>12.5239868422081</v>
      </c>
      <c r="S641" s="40">
        <f>VLOOKUP(B641,'Player Data'!$A1:$AE734,7,FALSE)*$Q641*IFERROR((VLOOKUP(P641,Settings!$E$28:$F$33,2,FALSE)+1),1)</f>
        <v>10.124026820306181</v>
      </c>
      <c r="T641" s="40">
        <f>VLOOKUP(B641,'Player Data'!$A1:$AE734,8,FALSE)*$Q641*IFERROR((VLOOKUP(P641,Settings!$E$28:$F$33,2,FALSE)+1),1)</f>
        <v>12.369544119303061</v>
      </c>
      <c r="U641" s="40">
        <f t="shared" si="57"/>
        <v>22.493570939609242</v>
      </c>
      <c r="V641" s="40">
        <f>VLOOKUP(B641,'Player Data'!$A1:$AE734,10,FALSE)*$Q641*IFERROR(((VLOOKUP(P641,Settings!$E$28:$F$33,2,FALSE)/2)+1),1)</f>
        <v>109.08807997994278</v>
      </c>
      <c r="W641" s="40">
        <f>VLOOKUP(B641,'Player Data'!$A1:$AE734,11,FALSE)*$Q641*IFERROR((VLOOKUP(P641,Settings!$E$28:$F$33,2,FALSE)+1),1)</f>
        <v>0.11585390440267591</v>
      </c>
      <c r="X641" s="40">
        <f>VLOOKUP(B641,'Player Data'!$A1:$AE734,12,FALSE)*$Q641*IFERROR((VLOOKUP(P641,Settings!$E$28:$F$33,2,FALSE)+1),1)</f>
        <v>0.32513048086855001</v>
      </c>
      <c r="Y641" s="40">
        <f>VLOOKUP(B641,'Player Data'!$A1:$AE734,13,FALSE)*$Q641</f>
        <v>0.37394519258991082</v>
      </c>
      <c r="Z641" s="40">
        <f>VLOOKUP(B641,'Player Data'!$A1:$AE734,14,FALSE)*$Q641</f>
        <v>0.47928583181756501</v>
      </c>
      <c r="AA641" s="40">
        <f>VLOOKUP(B641,'Player Data'!$A1:$AE734,15,FALSE)*$Q641</f>
        <v>32.687661064198466</v>
      </c>
      <c r="AB641" s="40">
        <f>VLOOKUP(B641,'Player Data'!$A1:$AE734,16,FALSE)*$Q641</f>
        <v>124.48699529892005</v>
      </c>
      <c r="AC641" s="40">
        <f>VLOOKUP(B641,'Player Data'!$A1:$AE734,17,FALSE)*$Q641*IFERROR((VLOOKUP(P641,Settings!$E$28:$F$33,2,FALSE)+1),1)</f>
        <v>-3.2456685104236587</v>
      </c>
      <c r="AD641" s="40">
        <f>VLOOKUP(B641,'Player Data'!$A1:$AE734,18,FALSE)*$Q641</f>
        <v>18.592192167292069</v>
      </c>
      <c r="AE641" s="40">
        <f>VLOOKUP(B641,'Player Data'!$A1:$AE734,19,FALSE)*$Q641*IFERROR((VLOOKUP(P641,Settings!$E$28:$F$33,2,FALSE)+1),1)</f>
        <v>1.3397717937777187</v>
      </c>
      <c r="AF641" s="40">
        <f>VLOOKUP(B641,'Player Data'!$A1:$AE734,20,FALSE)*$Q641</f>
        <v>19.781269343714722</v>
      </c>
      <c r="AG641" s="40">
        <f>VLOOKUP(B641,'Player Data'!$A1:$AE734,21,FALSE)*$Q641</f>
        <v>50.118343357061889</v>
      </c>
      <c r="AH641" s="41">
        <f>VLOOKUP(B641,'Player Data'!$A1:$AE734,22,FALSE)</f>
        <v>0.28299540697590903</v>
      </c>
      <c r="AI641" s="38"/>
      <c r="AJ641" s="42"/>
      <c r="AK641" s="40"/>
      <c r="AL641" s="40"/>
      <c r="AM641" s="40"/>
      <c r="AN641" s="40"/>
      <c r="AO641" s="40"/>
      <c r="AP641" s="40"/>
      <c r="AQ641" s="43"/>
      <c r="AR641" s="44"/>
      <c r="AS641" s="38"/>
    </row>
    <row r="642" spans="1:45" ht="21.2" customHeight="1">
      <c r="A642" s="181">
        <f t="shared" ref="A642:A705" si="58">RANK(K642,K$2:K$730)</f>
        <v>641</v>
      </c>
      <c r="B642" s="8" t="s">
        <v>694</v>
      </c>
      <c r="C642" s="31" t="s">
        <v>104</v>
      </c>
      <c r="D642" s="32" t="str">
        <f>VLOOKUP(B642,'Player Data'!A1:D734,4,FALSE)</f>
        <v>RW</v>
      </c>
      <c r="E642" s="46">
        <f>VLOOKUP(B642,RW!A1:F189,3,FALSE)</f>
        <v>165</v>
      </c>
      <c r="F642" s="34" t="str">
        <f>VLOOKUP(B642,'Player Data'!A1:B734,2,FALSE)</f>
        <v>WSH</v>
      </c>
      <c r="G642" s="9">
        <f>VLOOKUP(B642,'Player Data'!A1:D734,3,FALSE)</f>
        <v>27</v>
      </c>
      <c r="H642" s="35">
        <f>IFERROR(VLOOKUP(B642,ADP!A1:G731,7,FALSE)/1000000,VLOOKUP(B642,ADP!A1:G731,7,FALSE))</f>
        <v>1.25</v>
      </c>
      <c r="I642" s="36">
        <f>IF(Settings!$E$15="POINTS",((R642*Q642)*Settings!$B$12)+(S642*Settings!$B$2)+(T642*Settings!$B$3)+(U642*Settings!$B$4)+(V642*Settings!$B$5)+(X642*Settings!$B$9)+(AA642*Settings!$B$6)+(W642*Settings!$B$8)+(AB642*Settings!$B$7)+(AC642*Settings!$B$14)+(AD642*Settings!$B$15)+(AE642*Settings!$B$16)+(AF642*Settings!$B$17)+(AG642*Settings!$B$18)+(Y642*Settings!$B$10)+(Z642*Settings!$B$11),VLOOKUP(B642,'Standard Deviations'!A1:C731,3,FALSE))</f>
        <v>-3.3932300952228558</v>
      </c>
      <c r="J642" s="37">
        <f t="shared" ref="J642:J705" si="59">IF(D642="G",I642/AJ642,I642/Q642)</f>
        <v>-4.1380854819790924E-2</v>
      </c>
      <c r="K642" s="183">
        <f>IF(Settings!$E$18="C/LW/RW",VLOOKUP(B642,RW!A1:F189,6,FALSE),VLOOKUP(B642,F!A1:F431,6,FALSE))</f>
        <v>-9.6734888142339361</v>
      </c>
      <c r="L642" s="36">
        <f t="shared" ref="L642:L705" si="60">IFERROR(K642/H642,"N/A")</f>
        <v>-7.7387910513871487</v>
      </c>
      <c r="M642" s="52" t="str">
        <f>IF(Settings!$E$9="YAHOO",VLOOKUP(B642,ADP!A1:E731,2,FALSE),IF(Settings!$E$9="ESPN",VLOOKUP(B642,ADP!A1:E731,3,FALSE),IF(Settings!$E$9="FANTRAX",VLOOKUP(B642,ADP!A1:E731,4,FALSE),VLOOKUP(B642,ADP!A1:E731,5,FALSE))))</f>
        <v>-</v>
      </c>
      <c r="N642" s="52" t="str">
        <f t="shared" ref="N642:N705" si="61">IFERROR(M642-A642,"N/A")</f>
        <v>N/A</v>
      </c>
      <c r="O642" s="38"/>
      <c r="P642" s="39" t="str">
        <f>IF(Settings!$E$27="ON",_xlfn.XLOOKUP(B642,ADP!A2:A731,ADP!H2:H731)," ")</f>
        <v xml:space="preserve"> </v>
      </c>
      <c r="Q642" s="40">
        <f>IF(Settings!$E$12="YES",VLOOKUP(B642,'Player Data'!A1:E734,5,FALSE),82)</f>
        <v>82</v>
      </c>
      <c r="R642" s="38">
        <f>VLOOKUP(B642,'Player Data'!$A1:$AE734,6,FALSE)</f>
        <v>11.6591043865379</v>
      </c>
      <c r="S642" s="40">
        <f>VLOOKUP(B642,'Player Data'!$A1:$AE734,7,FALSE)*$Q642*IFERROR((VLOOKUP(P642,Settings!$E$28:$F$33,2,FALSE)+1),1)</f>
        <v>9.2615573105890441</v>
      </c>
      <c r="T642" s="40">
        <f>VLOOKUP(B642,'Player Data'!$A1:$AE734,8,FALSE)*$Q642*IFERROR((VLOOKUP(P642,Settings!$E$28:$F$33,2,FALSE)+1),1)</f>
        <v>14.179852616477319</v>
      </c>
      <c r="U642" s="40">
        <f t="shared" si="57"/>
        <v>23.441409927066363</v>
      </c>
      <c r="V642" s="40">
        <f>VLOOKUP(B642,'Player Data'!$A1:$AE734,10,FALSE)*$Q642*IFERROR(((VLOOKUP(P642,Settings!$E$28:$F$33,2,FALSE)/2)+1),1)</f>
        <v>105.15574262343407</v>
      </c>
      <c r="W642" s="40">
        <f>VLOOKUP(B642,'Player Data'!$A1:$AE734,11,FALSE)*$Q642*IFERROR((VLOOKUP(P642,Settings!$E$28:$F$33,2,FALSE)+1),1)</f>
        <v>2.6776336979216591E-2</v>
      </c>
      <c r="X642" s="40">
        <f>VLOOKUP(B642,'Player Data'!$A1:$AE734,12,FALSE)*$Q642*IFERROR((VLOOKUP(P642,Settings!$E$28:$F$33,2,FALSE)+1),1)</f>
        <v>6.7350361453834773E-2</v>
      </c>
      <c r="Y642" s="40">
        <f>VLOOKUP(B642,'Player Data'!$A1:$AE734,13,FALSE)*$Q642</f>
        <v>0.1973039755309938</v>
      </c>
      <c r="Z642" s="40">
        <f>VLOOKUP(B642,'Player Data'!$A1:$AE734,14,FALSE)*$Q642</f>
        <v>0.37547480563186691</v>
      </c>
      <c r="AA642" s="40">
        <f>VLOOKUP(B642,'Player Data'!$A1:$AE734,15,FALSE)*$Q642</f>
        <v>21.698244514314982</v>
      </c>
      <c r="AB642" s="40">
        <f>VLOOKUP(B642,'Player Data'!$A1:$AE734,16,FALSE)*$Q642</f>
        <v>167.42542957717387</v>
      </c>
      <c r="AC642" s="40">
        <f>VLOOKUP(B642,'Player Data'!$A1:$AE734,17,FALSE)*$Q642*IFERROR((VLOOKUP(P642,Settings!$E$28:$F$33,2,FALSE)+1),1)</f>
        <v>-2.4096483164231994</v>
      </c>
      <c r="AD642" s="40">
        <f>VLOOKUP(B642,'Player Data'!$A1:$AE734,18,FALSE)*$Q642</f>
        <v>54.096034057666003</v>
      </c>
      <c r="AE642" s="40">
        <f>VLOOKUP(B642,'Player Data'!$A1:$AE734,19,FALSE)*$Q642*IFERROR((VLOOKUP(P642,Settings!$E$28:$F$33,2,FALSE)+1),1)</f>
        <v>1.1392260691415883</v>
      </c>
      <c r="AF642" s="40">
        <f>VLOOKUP(B642,'Player Data'!$A1:$AE734,20,FALSE)*$Q642</f>
        <v>7.1327977439112589</v>
      </c>
      <c r="AG642" s="40">
        <f>VLOOKUP(B642,'Player Data'!$A1:$AE734,21,FALSE)*$Q642</f>
        <v>11.954517691367025</v>
      </c>
      <c r="AH642" s="41">
        <f>VLOOKUP(B642,'Player Data'!$A1:$AE734,22,FALSE)</f>
        <v>0.37369308261799999</v>
      </c>
      <c r="AI642" s="38"/>
      <c r="AJ642" s="42"/>
      <c r="AK642" s="40"/>
      <c r="AL642" s="40"/>
      <c r="AM642" s="40"/>
      <c r="AN642" s="40"/>
      <c r="AO642" s="40"/>
      <c r="AP642" s="40"/>
      <c r="AQ642" s="43"/>
      <c r="AR642" s="44"/>
      <c r="AS642" s="38"/>
    </row>
    <row r="643" spans="1:45" ht="21.2" customHeight="1">
      <c r="A643" s="181">
        <f t="shared" si="58"/>
        <v>642</v>
      </c>
      <c r="B643" s="8" t="s">
        <v>701</v>
      </c>
      <c r="C643" s="31" t="s">
        <v>104</v>
      </c>
      <c r="D643" s="32" t="str">
        <f>VLOOKUP(B643,'Player Data'!A1:D734,4,FALSE)</f>
        <v>C,RW</v>
      </c>
      <c r="E643" s="45">
        <f>VLOOKUP(B643,RW!A1:F189,3,FALSE)</f>
        <v>166</v>
      </c>
      <c r="F643" s="34" t="str">
        <f>VLOOKUP(B643,'Player Data'!A1:B734,2,FALSE)</f>
        <v>ARI</v>
      </c>
      <c r="G643" s="9">
        <f>VLOOKUP(B643,'Player Data'!A1:D734,3,FALSE)</f>
        <v>29</v>
      </c>
      <c r="H643" s="35">
        <f>IFERROR(VLOOKUP(B643,ADP!A1:G731,7,FALSE)/1000000,VLOOKUP(B643,ADP!A1:G731,7,FALSE))</f>
        <v>1.75</v>
      </c>
      <c r="I643" s="36">
        <f>IF(Settings!$E$15="POINTS",((R643*Q643)*Settings!$B$12)+(S643*Settings!$B$2)+(T643*Settings!$B$3)+(U643*Settings!$B$4)+(V643*Settings!$B$5)+(X643*Settings!$B$9)+(AA643*Settings!$B$6)+(W643*Settings!$B$8)+(AB643*Settings!$B$7)+(AC643*Settings!$B$14)+(AD643*Settings!$B$15)+(AE643*Settings!$B$16)+(AF643*Settings!$B$17)+(AG643*Settings!$B$18)+(Y643*Settings!$B$10)+(Z643*Settings!$B$11),VLOOKUP(B643,'Standard Deviations'!A1:C731,3,FALSE))</f>
        <v>-3.3951565016949661</v>
      </c>
      <c r="J643" s="37">
        <f t="shared" si="59"/>
        <v>-4.1404347581645927E-2</v>
      </c>
      <c r="K643" s="183">
        <f>IF(Settings!$E$18="C/LW/RW",VLOOKUP(B643,RW!A1:F189,6,FALSE),VLOOKUP(B643,F!A1:F431,6,FALSE))</f>
        <v>-9.6754152207060464</v>
      </c>
      <c r="L643" s="36">
        <f t="shared" si="60"/>
        <v>-5.528808697546312</v>
      </c>
      <c r="M643" s="52" t="str">
        <f>IF(Settings!$E$9="YAHOO",VLOOKUP(B643,ADP!A1:E731,2,FALSE),IF(Settings!$E$9="ESPN",VLOOKUP(B643,ADP!A1:E731,3,FALSE),IF(Settings!$E$9="FANTRAX",VLOOKUP(B643,ADP!A1:E731,4,FALSE),VLOOKUP(B643,ADP!A1:E731,5,FALSE))))</f>
        <v>-</v>
      </c>
      <c r="N643" s="52" t="str">
        <f t="shared" si="61"/>
        <v>N/A</v>
      </c>
      <c r="O643" s="38"/>
      <c r="P643" s="39" t="str">
        <f>IF(Settings!$E$27="ON",_xlfn.XLOOKUP(B643,ADP!A2:A731,ADP!H2:H731)," ")</f>
        <v xml:space="preserve"> </v>
      </c>
      <c r="Q643" s="40">
        <f>IF(Settings!$E$12="YES",VLOOKUP(B643,'Player Data'!A1:E734,5,FALSE),82)</f>
        <v>82</v>
      </c>
      <c r="R643" s="38">
        <f>VLOOKUP(B643,'Player Data'!$A1:$AE734,6,FALSE)</f>
        <v>12.9131321669377</v>
      </c>
      <c r="S643" s="40">
        <f>VLOOKUP(B643,'Player Data'!$A1:$AE734,7,FALSE)*$Q643*IFERROR((VLOOKUP(P643,Settings!$E$28:$F$33,2,FALSE)+1),1)</f>
        <v>11.858749883549061</v>
      </c>
      <c r="T643" s="40">
        <f>VLOOKUP(B643,'Player Data'!$A1:$AE734,8,FALSE)*$Q643*IFERROR((VLOOKUP(P643,Settings!$E$28:$F$33,2,FALSE)+1),1)</f>
        <v>13.40044297502642</v>
      </c>
      <c r="U643" s="40">
        <f t="shared" si="57"/>
        <v>25.259192858575481</v>
      </c>
      <c r="V643" s="40">
        <f>VLOOKUP(B643,'Player Data'!$A1:$AE734,10,FALSE)*$Q643*IFERROR(((VLOOKUP(P643,Settings!$E$28:$F$33,2,FALSE)/2)+1),1)</f>
        <v>71.370593173342542</v>
      </c>
      <c r="W643" s="40">
        <f>VLOOKUP(B643,'Player Data'!$A1:$AE734,11,FALSE)*$Q643*IFERROR((VLOOKUP(P643,Settings!$E$28:$F$33,2,FALSE)+1),1)</f>
        <v>0.84909957179659146</v>
      </c>
      <c r="X643" s="40">
        <f>VLOOKUP(B643,'Player Data'!$A1:$AE734,12,FALSE)*$Q643*IFERROR((VLOOKUP(P643,Settings!$E$28:$F$33,2,FALSE)+1),1)</f>
        <v>2.987062907570067</v>
      </c>
      <c r="Y643" s="40">
        <f>VLOOKUP(B643,'Player Data'!$A1:$AE734,13,FALSE)*$Q643</f>
        <v>5.5323864665889205E-2</v>
      </c>
      <c r="Z643" s="40">
        <f>VLOOKUP(B643,'Player Data'!$A1:$AE734,14,FALSE)*$Q643</f>
        <v>7.7147676049603292E-2</v>
      </c>
      <c r="AA643" s="40">
        <f>VLOOKUP(B643,'Player Data'!$A1:$AE734,15,FALSE)*$Q643</f>
        <v>46.069859373986517</v>
      </c>
      <c r="AB643" s="40">
        <f>VLOOKUP(B643,'Player Data'!$A1:$AE734,16,FALSE)*$Q643</f>
        <v>51.202104532562991</v>
      </c>
      <c r="AC643" s="40">
        <f>VLOOKUP(B643,'Player Data'!$A1:$AE734,17,FALSE)*$Q643*IFERROR((VLOOKUP(P643,Settings!$E$28:$F$33,2,FALSE)+1),1)</f>
        <v>-5.3432014468243016</v>
      </c>
      <c r="AD643" s="40">
        <f>VLOOKUP(B643,'Player Data'!$A1:$AE734,18,FALSE)*$Q643</f>
        <v>22.920547300384815</v>
      </c>
      <c r="AE643" s="40">
        <f>VLOOKUP(B643,'Player Data'!$A1:$AE734,19,FALSE)*$Q643*IFERROR((VLOOKUP(P643,Settings!$E$28:$F$33,2,FALSE)+1),1)</f>
        <v>1.4965338905892007</v>
      </c>
      <c r="AF643" s="40">
        <f>VLOOKUP(B643,'Player Data'!$A1:$AE734,20,FALSE)*$Q643</f>
        <v>383.80468548909386</v>
      </c>
      <c r="AG643" s="40">
        <f>VLOOKUP(B643,'Player Data'!$A1:$AE734,21,FALSE)*$Q643</f>
        <v>479.07390294152191</v>
      </c>
      <c r="AH643" s="41">
        <f>VLOOKUP(B643,'Player Data'!$A1:$AE734,22,FALSE)</f>
        <v>0.44479569969067101</v>
      </c>
      <c r="AI643" s="38"/>
      <c r="AJ643" s="42"/>
      <c r="AK643" s="40"/>
      <c r="AL643" s="40"/>
      <c r="AM643" s="40"/>
      <c r="AN643" s="40"/>
      <c r="AO643" s="40"/>
      <c r="AP643" s="40"/>
      <c r="AQ643" s="43"/>
      <c r="AR643" s="44"/>
      <c r="AS643" s="38"/>
    </row>
    <row r="644" spans="1:45" ht="21.2" customHeight="1">
      <c r="A644" s="181">
        <f t="shared" si="58"/>
        <v>643</v>
      </c>
      <c r="B644" s="8" t="s">
        <v>684</v>
      </c>
      <c r="C644" s="31" t="s">
        <v>104</v>
      </c>
      <c r="D644" s="32" t="str">
        <f>VLOOKUP(B644,'Player Data'!A1:D734,4,FALSE)</f>
        <v>C,LW,RW</v>
      </c>
      <c r="E644" s="45">
        <f>VLOOKUP(B644,RW!A1:F189,3,FALSE)</f>
        <v>167</v>
      </c>
      <c r="F644" s="34" t="str">
        <f>VLOOKUP(B644,'Player Data'!A1:B734,2,FALSE)</f>
        <v>PIT</v>
      </c>
      <c r="G644" s="9">
        <f>VLOOKUP(B644,'Player Data'!A1:D734,3,FALSE)</f>
        <v>31</v>
      </c>
      <c r="H644" s="35">
        <f>IFERROR(VLOOKUP(B644,ADP!A1:G731,7,FALSE)/1000000,VLOOKUP(B644,ADP!A1:G731,7,FALSE))</f>
        <v>1.9370000000000001</v>
      </c>
      <c r="I644" s="36">
        <f>IF(Settings!$E$15="POINTS",((R644*Q644)*Settings!$B$12)+(S644*Settings!$B$2)+(T644*Settings!$B$3)+(U644*Settings!$B$4)+(V644*Settings!$B$5)+(X644*Settings!$B$9)+(AA644*Settings!$B$6)+(W644*Settings!$B$8)+(AB644*Settings!$B$7)+(AC644*Settings!$B$14)+(AD644*Settings!$B$15)+(AE644*Settings!$B$16)+(AF644*Settings!$B$17)+(AG644*Settings!$B$18)+(Y644*Settings!$B$10)+(Z644*Settings!$B$11),VLOOKUP(B644,'Standard Deviations'!A1:C731,3,FALSE))</f>
        <v>-3.4126410702631458</v>
      </c>
      <c r="J644" s="37">
        <f t="shared" si="59"/>
        <v>-4.1617574027599337E-2</v>
      </c>
      <c r="K644" s="183">
        <f>IF(Settings!$E$18="C/LW/RW",VLOOKUP(B644,RW!A1:F189,6,FALSE),VLOOKUP(B644,F!A1:F431,6,FALSE))</f>
        <v>-9.692899789274227</v>
      </c>
      <c r="L644" s="36">
        <f t="shared" si="60"/>
        <v>-5.0040783630739423</v>
      </c>
      <c r="M644" s="38">
        <f>IF(Settings!$E$9="YAHOO",VLOOKUP(B644,ADP!A1:E731,2,FALSE),IF(Settings!$E$9="ESPN",VLOOKUP(B644,ADP!A1:E731,3,FALSE),IF(Settings!$E$9="FANTRAX",VLOOKUP(B644,ADP!A1:E731,4,FALSE),VLOOKUP(B644,ADP!A1:E731,5,FALSE))))</f>
        <v>457.5</v>
      </c>
      <c r="N644" s="38">
        <f t="shared" si="61"/>
        <v>-185.5</v>
      </c>
      <c r="O644" s="38"/>
      <c r="P644" s="39" t="str">
        <f>IF(Settings!$E$27="ON",_xlfn.XLOOKUP(B644,ADP!A2:A731,ADP!H2:H731)," ")</f>
        <v xml:space="preserve"> </v>
      </c>
      <c r="Q644" s="40">
        <f>IF(Settings!$E$12="YES",VLOOKUP(B644,'Player Data'!A1:E734,5,FALSE),82)</f>
        <v>82</v>
      </c>
      <c r="R644" s="38">
        <f>VLOOKUP(B644,'Player Data'!$A1:$AE734,6,FALSE)</f>
        <v>13.708700866103401</v>
      </c>
      <c r="S644" s="40">
        <f>VLOOKUP(B644,'Player Data'!$A1:$AE734,7,FALSE)*$Q644*IFERROR((VLOOKUP(P644,Settings!$E$28:$F$33,2,FALSE)+1),1)</f>
        <v>11.283821041063492</v>
      </c>
      <c r="T644" s="40">
        <f>VLOOKUP(B644,'Player Data'!$A1:$AE734,8,FALSE)*$Q644*IFERROR((VLOOKUP(P644,Settings!$E$28:$F$33,2,FALSE)+1),1)</f>
        <v>11.392212867635083</v>
      </c>
      <c r="U644" s="40">
        <f t="shared" si="57"/>
        <v>22.676033908698574</v>
      </c>
      <c r="V644" s="40">
        <f>VLOOKUP(B644,'Player Data'!$A1:$AE734,10,FALSE)*$Q644*IFERROR(((VLOOKUP(P644,Settings!$E$28:$F$33,2,FALSE)/2)+1),1)</f>
        <v>105.83888091194022</v>
      </c>
      <c r="W644" s="40">
        <f>VLOOKUP(B644,'Player Data'!$A1:$AE734,11,FALSE)*$Q644*IFERROR((VLOOKUP(P644,Settings!$E$28:$F$33,2,FALSE)+1),1)</f>
        <v>7.3620286470266014E-2</v>
      </c>
      <c r="X644" s="40">
        <f>VLOOKUP(B644,'Player Data'!$A1:$AE734,12,FALSE)*$Q644*IFERROR((VLOOKUP(P644,Settings!$E$28:$F$33,2,FALSE)+1),1)</f>
        <v>0.18085741261843735</v>
      </c>
      <c r="Y644" s="40">
        <f>VLOOKUP(B644,'Player Data'!$A1:$AE734,13,FALSE)*$Q644</f>
        <v>-4.2578083083452518E-2</v>
      </c>
      <c r="Z644" s="40">
        <f>VLOOKUP(B644,'Player Data'!$A1:$AE734,14,FALSE)*$Q644</f>
        <v>1.8231157161362694</v>
      </c>
      <c r="AA644" s="40">
        <f>VLOOKUP(B644,'Player Data'!$A1:$AE734,15,FALSE)*$Q644</f>
        <v>79.140490581650326</v>
      </c>
      <c r="AB644" s="40">
        <f>VLOOKUP(B644,'Player Data'!$A1:$AE734,16,FALSE)*$Q644</f>
        <v>217.09347480374984</v>
      </c>
      <c r="AC644" s="40">
        <f>VLOOKUP(B644,'Player Data'!$A1:$AE734,17,FALSE)*$Q644*IFERROR((VLOOKUP(P644,Settings!$E$28:$F$33,2,FALSE)+1),1)</f>
        <v>1.2039442161188536</v>
      </c>
      <c r="AD644" s="40">
        <f>VLOOKUP(B644,'Player Data'!$A1:$AE734,18,FALSE)*$Q644</f>
        <v>24.653494194860738</v>
      </c>
      <c r="AE644" s="40">
        <f>VLOOKUP(B644,'Player Data'!$A1:$AE734,19,FALSE)*$Q644*IFERROR((VLOOKUP(P644,Settings!$E$28:$F$33,2,FALSE)+1),1)</f>
        <v>1.8112792178837887</v>
      </c>
      <c r="AF644" s="40">
        <f>VLOOKUP(B644,'Player Data'!$A1:$AE734,20,FALSE)*$Q644</f>
        <v>357.53364034249398</v>
      </c>
      <c r="AG644" s="40">
        <f>VLOOKUP(B644,'Player Data'!$A1:$AE734,21,FALSE)*$Q644</f>
        <v>315.36673783833265</v>
      </c>
      <c r="AH644" s="41">
        <f>VLOOKUP(B644,'Player Data'!$A1:$AE734,22,FALSE)</f>
        <v>0.53133220300615602</v>
      </c>
      <c r="AI644" s="38"/>
      <c r="AJ644" s="42"/>
      <c r="AK644" s="40"/>
      <c r="AL644" s="40"/>
      <c r="AM644" s="40"/>
      <c r="AN644" s="40"/>
      <c r="AO644" s="40"/>
      <c r="AP644" s="40"/>
      <c r="AQ644" s="43"/>
      <c r="AR644" s="44"/>
      <c r="AS644" s="38"/>
    </row>
    <row r="645" spans="1:45" ht="21.2" customHeight="1">
      <c r="A645" s="181">
        <f t="shared" si="58"/>
        <v>644</v>
      </c>
      <c r="B645" s="8" t="s">
        <v>730</v>
      </c>
      <c r="C645" s="31" t="s">
        <v>104</v>
      </c>
      <c r="D645" s="32" t="str">
        <f>VLOOKUP(B645,'Player Data'!A1:D734,4,FALSE)</f>
        <v>C</v>
      </c>
      <c r="E645" s="33">
        <f>VLOOKUP(B645,'C'!A1:C208,3,FALSE)</f>
        <v>164</v>
      </c>
      <c r="F645" s="34" t="str">
        <f>VLOOKUP(B645,'Player Data'!A1:B734,2,FALSE)</f>
        <v>ARI</v>
      </c>
      <c r="G645" s="9">
        <f>VLOOKUP(B645,'Player Data'!A1:D734,3,FALSE)</f>
        <v>23</v>
      </c>
      <c r="H645" s="35">
        <f>IFERROR(VLOOKUP(B645,ADP!A1:G731,7,FALSE)/1000000,VLOOKUP(B645,ADP!A1:G731,7,FALSE))</f>
        <v>0</v>
      </c>
      <c r="I645" s="36">
        <f>IF(Settings!$E$15="POINTS",((R645*Q645)*Settings!$B$12)+(S645*Settings!$B$2)+(T645*Settings!$B$3)+(U645*Settings!$B$4)+(V645*Settings!$B$5)+(X645*Settings!$B$9)+(AA645*Settings!$B$6)+(W645*Settings!$B$8)+(AB645*Settings!$B$7)+(AC645*Settings!$B$14)+(AD645*Settings!$B$15)+(AE645*Settings!$B$16)+(AF645*Settings!$B$17)+(AG645*Settings!$B$18)+(Y645*Settings!$B$10)+(Z645*Settings!$B$11),VLOOKUP(B645,'Standard Deviations'!A1:C731,3,FALSE))</f>
        <v>-3.3704092008296289</v>
      </c>
      <c r="J645" s="37">
        <f t="shared" si="59"/>
        <v>-4.1102551229629622E-2</v>
      </c>
      <c r="K645" s="183">
        <f>IF(Settings!$E$18="C/LW/RW",VLOOKUP(B645,'C'!A1:F208,6,FALSE),VLOOKUP(B645,F!A1:F431,6,FALSE))</f>
        <v>-9.7074599250362326</v>
      </c>
      <c r="L645" s="49" t="str">
        <f t="shared" si="60"/>
        <v>N/A</v>
      </c>
      <c r="M645" s="52" t="str">
        <f>IF(Settings!$E$9="YAHOO",VLOOKUP(B645,ADP!A1:E731,2,FALSE),IF(Settings!$E$9="ESPN",VLOOKUP(B645,ADP!A1:E731,3,FALSE),IF(Settings!$E$9="FANTRAX",VLOOKUP(B645,ADP!A1:E731,4,FALSE),VLOOKUP(B645,ADP!A1:E731,5,FALSE))))</f>
        <v>-</v>
      </c>
      <c r="N645" s="52" t="str">
        <f t="shared" si="61"/>
        <v>N/A</v>
      </c>
      <c r="O645" s="38"/>
      <c r="P645" s="39" t="str">
        <f>IF(Settings!$E$27="ON",_xlfn.XLOOKUP(B645,ADP!A2:A731,ADP!H2:H731)," ")</f>
        <v xml:space="preserve"> </v>
      </c>
      <c r="Q645" s="40">
        <f>IF(Settings!$E$12="YES",VLOOKUP(B645,'Player Data'!A1:E734,5,FALSE),82)</f>
        <v>82</v>
      </c>
      <c r="R645" s="38">
        <f>VLOOKUP(B645,'Player Data'!$A1:$AE734,6,FALSE)</f>
        <v>13.0415059605106</v>
      </c>
      <c r="S645" s="40">
        <f>VLOOKUP(B645,'Player Data'!$A1:$AE734,7,FALSE)*$Q645*IFERROR((VLOOKUP(P645,Settings!$E$28:$F$33,2,FALSE)+1),1)</f>
        <v>12.432643575371236</v>
      </c>
      <c r="T645" s="40">
        <f>VLOOKUP(B645,'Player Data'!$A1:$AE734,8,FALSE)*$Q645*IFERROR((VLOOKUP(P645,Settings!$E$28:$F$33,2,FALSE)+1),1)</f>
        <v>13.866931683300887</v>
      </c>
      <c r="U645" s="40">
        <f t="shared" si="57"/>
        <v>26.299575258672121</v>
      </c>
      <c r="V645" s="40">
        <f>VLOOKUP(B645,'Player Data'!$A1:$AE734,10,FALSE)*$Q645*IFERROR(((VLOOKUP(P645,Settings!$E$28:$F$33,2,FALSE)/2)+1),1)</f>
        <v>80.260065967279473</v>
      </c>
      <c r="W645" s="40">
        <f>VLOOKUP(B645,'Player Data'!$A1:$AE734,11,FALSE)*$Q645*IFERROR((VLOOKUP(P645,Settings!$E$28:$F$33,2,FALSE)+1),1)</f>
        <v>0.11797554697128367</v>
      </c>
      <c r="X645" s="40">
        <f>VLOOKUP(B645,'Player Data'!$A1:$AE734,12,FALSE)*$Q645*IFERROR((VLOOKUP(P645,Settings!$E$28:$F$33,2,FALSE)+1),1)</f>
        <v>0.40046322258269507</v>
      </c>
      <c r="Y645" s="40">
        <f>VLOOKUP(B645,'Player Data'!$A1:$AE734,13,FALSE)*$Q645</f>
        <v>0.31680450354150197</v>
      </c>
      <c r="Z645" s="40">
        <f>VLOOKUP(B645,'Player Data'!$A1:$AE734,14,FALSE)*$Q645</f>
        <v>0.76842036185284002</v>
      </c>
      <c r="AA645" s="40">
        <f>VLOOKUP(B645,'Player Data'!$A1:$AE734,15,FALSE)*$Q645</f>
        <v>45.941918338679613</v>
      </c>
      <c r="AB645" s="40">
        <f>VLOOKUP(B645,'Player Data'!$A1:$AE734,16,FALSE)*$Q645</f>
        <v>249.06062537413641</v>
      </c>
      <c r="AC645" s="40">
        <f>VLOOKUP(B645,'Player Data'!$A1:$AE734,17,FALSE)*$Q645*IFERROR((VLOOKUP(P645,Settings!$E$28:$F$33,2,FALSE)+1),1)</f>
        <v>-5.0022708669798233</v>
      </c>
      <c r="AD645" s="40">
        <f>VLOOKUP(B645,'Player Data'!$A1:$AE734,18,FALSE)*$Q645</f>
        <v>48.798378955625104</v>
      </c>
      <c r="AE645" s="40">
        <f>VLOOKUP(B645,'Player Data'!$A1:$AE734,19,FALSE)*$Q645*IFERROR((VLOOKUP(P645,Settings!$E$28:$F$33,2,FALSE)+1),1)</f>
        <v>1.5689573220504316</v>
      </c>
      <c r="AF645" s="40">
        <f>VLOOKUP(B645,'Player Data'!$A1:$AE734,20,FALSE)*$Q645</f>
        <v>337.72227326933563</v>
      </c>
      <c r="AG645" s="40">
        <f>VLOOKUP(B645,'Player Data'!$A1:$AE734,21,FALSE)*$Q645</f>
        <v>445.65163937944897</v>
      </c>
      <c r="AH645" s="41">
        <f>VLOOKUP(B645,'Player Data'!$A1:$AE734,22,FALSE)</f>
        <v>0.43111248385513801</v>
      </c>
      <c r="AI645" s="38"/>
      <c r="AJ645" s="42"/>
      <c r="AK645" s="40"/>
      <c r="AL645" s="40"/>
      <c r="AM645" s="40"/>
      <c r="AN645" s="40"/>
      <c r="AO645" s="40"/>
      <c r="AP645" s="40"/>
      <c r="AQ645" s="43"/>
      <c r="AR645" s="44"/>
      <c r="AS645" s="38"/>
    </row>
    <row r="646" spans="1:45" ht="21.2" customHeight="1">
      <c r="A646" s="181">
        <f t="shared" si="58"/>
        <v>645</v>
      </c>
      <c r="B646" s="8" t="s">
        <v>721</v>
      </c>
      <c r="C646" s="31" t="s">
        <v>104</v>
      </c>
      <c r="D646" s="32" t="str">
        <f>VLOOKUP(B646,'Player Data'!A1:D734,4,FALSE)</f>
        <v>C</v>
      </c>
      <c r="E646" s="33">
        <f>VLOOKUP(B646,'C'!A1:C208,3,FALSE)</f>
        <v>165</v>
      </c>
      <c r="F646" s="34" t="str">
        <f>VLOOKUP(B646,'Player Data'!A1:B734,2,FALSE)</f>
        <v>BUF</v>
      </c>
      <c r="G646" s="9">
        <f>VLOOKUP(B646,'Player Data'!A1:D734,3,FALSE)</f>
        <v>25</v>
      </c>
      <c r="H646" s="35">
        <f>IFERROR(VLOOKUP(B646,ADP!A1:G731,7,FALSE)/1000000,VLOOKUP(B646,ADP!A1:G731,7,FALSE))</f>
        <v>2</v>
      </c>
      <c r="I646" s="36">
        <f>IF(Settings!$E$15="POINTS",((R646*Q646)*Settings!$B$12)+(S646*Settings!$B$2)+(T646*Settings!$B$3)+(U646*Settings!$B$4)+(V646*Settings!$B$5)+(X646*Settings!$B$9)+(AA646*Settings!$B$6)+(W646*Settings!$B$8)+(AB646*Settings!$B$7)+(AC646*Settings!$B$14)+(AD646*Settings!$B$15)+(AE646*Settings!$B$16)+(AF646*Settings!$B$17)+(AG646*Settings!$B$18)+(Y646*Settings!$B$10)+(Z646*Settings!$B$11),VLOOKUP(B646,'Standard Deviations'!A1:C731,3,FALSE))</f>
        <v>-3.3766255928054751</v>
      </c>
      <c r="J646" s="37">
        <f t="shared" si="59"/>
        <v>-4.1178360887871648E-2</v>
      </c>
      <c r="K646" s="183">
        <f>IF(Settings!$E$18="C/LW/RW",VLOOKUP(B646,'C'!A1:F208,6,FALSE),VLOOKUP(B646,F!A1:F431,6,FALSE))</f>
        <v>-9.7136763170120783</v>
      </c>
      <c r="L646" s="36">
        <f t="shared" si="60"/>
        <v>-4.8568381585060392</v>
      </c>
      <c r="M646" s="52" t="str">
        <f>IF(Settings!$E$9="YAHOO",VLOOKUP(B646,ADP!A1:E731,2,FALSE),IF(Settings!$E$9="ESPN",VLOOKUP(B646,ADP!A1:E731,3,FALSE),IF(Settings!$E$9="FANTRAX",VLOOKUP(B646,ADP!A1:E731,4,FALSE),VLOOKUP(B646,ADP!A1:E731,5,FALSE))))</f>
        <v>-</v>
      </c>
      <c r="N646" s="52" t="str">
        <f t="shared" si="61"/>
        <v>N/A</v>
      </c>
      <c r="O646" s="38"/>
      <c r="P646" s="39" t="str">
        <f>IF(Settings!$E$27="ON",_xlfn.XLOOKUP(B646,ADP!A2:A731,ADP!H2:H731)," ")</f>
        <v xml:space="preserve"> </v>
      </c>
      <c r="Q646" s="40">
        <f>IF(Settings!$E$12="YES",VLOOKUP(B646,'Player Data'!A1:E734,5,FALSE),82)</f>
        <v>82</v>
      </c>
      <c r="R646" s="38">
        <f>VLOOKUP(B646,'Player Data'!$A1:$AE734,6,FALSE)</f>
        <v>11.7994350472961</v>
      </c>
      <c r="S646" s="40">
        <f>VLOOKUP(B646,'Player Data'!$A1:$AE734,7,FALSE)*$Q646*IFERROR((VLOOKUP(P646,Settings!$E$28:$F$33,2,FALSE)+1),1)</f>
        <v>8.4134526026719794</v>
      </c>
      <c r="T646" s="40">
        <f>VLOOKUP(B646,'Player Data'!$A1:$AE734,8,FALSE)*$Q646*IFERROR((VLOOKUP(P646,Settings!$E$28:$F$33,2,FALSE)+1),1)</f>
        <v>15.57106031257981</v>
      </c>
      <c r="U646" s="40">
        <f t="shared" si="57"/>
        <v>23.984512915251791</v>
      </c>
      <c r="V646" s="40">
        <f>VLOOKUP(B646,'Player Data'!$A1:$AE734,10,FALSE)*$Q646*IFERROR(((VLOOKUP(P646,Settings!$E$28:$F$33,2,FALSE)/2)+1),1)</f>
        <v>103.22223905611861</v>
      </c>
      <c r="W646" s="40">
        <f>VLOOKUP(B646,'Player Data'!$A1:$AE734,11,FALSE)*$Q646*IFERROR((VLOOKUP(P646,Settings!$E$28:$F$33,2,FALSE)+1),1)</f>
        <v>4.8390561001742105E-2</v>
      </c>
      <c r="X646" s="40">
        <f>VLOOKUP(B646,'Player Data'!$A1:$AE734,12,FALSE)*$Q646*IFERROR((VLOOKUP(P646,Settings!$E$28:$F$33,2,FALSE)+1),1)</f>
        <v>0.1214424841421327</v>
      </c>
      <c r="Y646" s="40">
        <f>VLOOKUP(B646,'Player Data'!$A1:$AE734,13,FALSE)*$Q646</f>
        <v>9.0485239154718095E-2</v>
      </c>
      <c r="Z646" s="40">
        <f>VLOOKUP(B646,'Player Data'!$A1:$AE734,14,FALSE)*$Q646</f>
        <v>0.41953068311090297</v>
      </c>
      <c r="AA646" s="40">
        <f>VLOOKUP(B646,'Player Data'!$A1:$AE734,15,FALSE)*$Q646</f>
        <v>33.788440418221121</v>
      </c>
      <c r="AB646" s="40">
        <f>VLOOKUP(B646,'Player Data'!$A1:$AE734,16,FALSE)*$Q646</f>
        <v>72.104369567058228</v>
      </c>
      <c r="AC646" s="40">
        <f>VLOOKUP(B646,'Player Data'!$A1:$AE734,17,FALSE)*$Q646*IFERROR((VLOOKUP(P646,Settings!$E$28:$F$33,2,FALSE)+1),1)</f>
        <v>-2.564495601644817</v>
      </c>
      <c r="AD646" s="40">
        <f>VLOOKUP(B646,'Player Data'!$A1:$AE734,18,FALSE)*$Q646</f>
        <v>31.24298903086892</v>
      </c>
      <c r="AE646" s="40">
        <f>VLOOKUP(B646,'Player Data'!$A1:$AE734,19,FALSE)*$Q646*IFERROR((VLOOKUP(P646,Settings!$E$28:$F$33,2,FALSE)+1),1)</f>
        <v>1.0770822641630891</v>
      </c>
      <c r="AF646" s="40">
        <f>VLOOKUP(B646,'Player Data'!$A1:$AE734,20,FALSE)*$Q646</f>
        <v>184.96059412239075</v>
      </c>
      <c r="AG646" s="40">
        <f>VLOOKUP(B646,'Player Data'!$A1:$AE734,21,FALSE)*$Q646</f>
        <v>266.10417531912606</v>
      </c>
      <c r="AH646" s="41">
        <f>VLOOKUP(B646,'Player Data'!$A1:$AE734,22,FALSE)</f>
        <v>0.41005329312550498</v>
      </c>
      <c r="AI646" s="38"/>
      <c r="AJ646" s="42"/>
      <c r="AK646" s="40"/>
      <c r="AL646" s="40"/>
      <c r="AM646" s="40"/>
      <c r="AN646" s="40"/>
      <c r="AO646" s="40"/>
      <c r="AP646" s="40"/>
      <c r="AQ646" s="43"/>
      <c r="AR646" s="44"/>
      <c r="AS646" s="38"/>
    </row>
    <row r="647" spans="1:45" ht="21.2" customHeight="1">
      <c r="A647" s="181">
        <f t="shared" si="58"/>
        <v>646</v>
      </c>
      <c r="B647" s="8" t="s">
        <v>713</v>
      </c>
      <c r="C647" s="31" t="s">
        <v>104</v>
      </c>
      <c r="D647" s="32" t="str">
        <f>VLOOKUP(B647,'Player Data'!A1:D734,4,FALSE)</f>
        <v>C,LW</v>
      </c>
      <c r="E647" s="45">
        <f>VLOOKUP(B647,LW!A1:C227,3,FALSE)</f>
        <v>179</v>
      </c>
      <c r="F647" s="34" t="str">
        <f>VLOOKUP(B647,'Player Data'!A1:B734,2,FALSE)</f>
        <v>VGK</v>
      </c>
      <c r="G647" s="9">
        <f>VLOOKUP(B647,'Player Data'!A1:D734,3,FALSE)</f>
        <v>25</v>
      </c>
      <c r="H647" s="35">
        <f>IFERROR(VLOOKUP(B647,ADP!A1:G731,7,FALSE)/1000000,VLOOKUP(B647,ADP!A1:G731,7,FALSE))</f>
        <v>1.9</v>
      </c>
      <c r="I647" s="36">
        <f>IF(Settings!$E$15="POINTS",((R647*Q647)*Settings!$B$12)+(S647*Settings!$B$2)+(T647*Settings!$B$3)+(U647*Settings!$B$4)+(V647*Settings!$B$5)+(X647*Settings!$B$9)+(AA647*Settings!$B$6)+(W647*Settings!$B$8)+(AB647*Settings!$B$7)+(AC647*Settings!$B$14)+(AD647*Settings!$B$15)+(AE647*Settings!$B$16)+(AF647*Settings!$B$17)+(AG647*Settings!$B$18)+(Y647*Settings!$B$10)+(Z647*Settings!$B$11),VLOOKUP(B647,'Standard Deviations'!A1:C731,3,FALSE))</f>
        <v>-3.153600121502623</v>
      </c>
      <c r="J647" s="37">
        <f t="shared" si="59"/>
        <v>-3.8458538067105162E-2</v>
      </c>
      <c r="K647" s="183">
        <f>IF(Settings!$E$18="C/LW/RW",VLOOKUP(B647,LW!A1:F227,6,FALSE),VLOOKUP(B647,F!A1:F431,6,FALSE))</f>
        <v>-9.8082691656270242</v>
      </c>
      <c r="L647" s="36">
        <f t="shared" si="60"/>
        <v>-5.1622469292773818</v>
      </c>
      <c r="M647" s="52" t="str">
        <f>IF(Settings!$E$9="YAHOO",VLOOKUP(B647,ADP!A1:E731,2,FALSE),IF(Settings!$E$9="ESPN",VLOOKUP(B647,ADP!A1:E731,3,FALSE),IF(Settings!$E$9="FANTRAX",VLOOKUP(B647,ADP!A1:E731,4,FALSE),VLOOKUP(B647,ADP!A1:E731,5,FALSE))))</f>
        <v>-</v>
      </c>
      <c r="N647" s="52" t="str">
        <f t="shared" si="61"/>
        <v>N/A</v>
      </c>
      <c r="O647" s="38"/>
      <c r="P647" s="39" t="str">
        <f>IF(Settings!$E$27="ON",_xlfn.XLOOKUP(B647,ADP!A2:A731,ADP!H2:H731)," ")</f>
        <v xml:space="preserve"> </v>
      </c>
      <c r="Q647" s="40">
        <f>IF(Settings!$E$12="YES",VLOOKUP(B647,'Player Data'!A1:E734,5,FALSE),82)</f>
        <v>82</v>
      </c>
      <c r="R647" s="38">
        <f>VLOOKUP(B647,'Player Data'!$A1:$AE734,6,FALSE)</f>
        <v>13.173532965387899</v>
      </c>
      <c r="S647" s="40">
        <f>VLOOKUP(B647,'Player Data'!$A1:$AE734,7,FALSE)*$Q647*IFERROR((VLOOKUP(P647,Settings!$E$28:$F$33,2,FALSE)+1),1)</f>
        <v>11.734855819519231</v>
      </c>
      <c r="T647" s="40">
        <f>VLOOKUP(B647,'Player Data'!$A1:$AE734,8,FALSE)*$Q647*IFERROR((VLOOKUP(P647,Settings!$E$28:$F$33,2,FALSE)+1),1)</f>
        <v>15.936928040183618</v>
      </c>
      <c r="U647" s="40">
        <f t="shared" si="57"/>
        <v>27.671783859702849</v>
      </c>
      <c r="V647" s="40">
        <f>VLOOKUP(B647,'Player Data'!$A1:$AE734,10,FALSE)*$Q647*IFERROR(((VLOOKUP(P647,Settings!$E$28:$F$33,2,FALSE)/2)+1),1)</f>
        <v>86.554219656535381</v>
      </c>
      <c r="W647" s="40">
        <f>VLOOKUP(B647,'Player Data'!$A1:$AE734,11,FALSE)*$Q647*IFERROR((VLOOKUP(P647,Settings!$E$28:$F$33,2,FALSE)+1),1)</f>
        <v>3.8013680416602386E-2</v>
      </c>
      <c r="X647" s="40">
        <f>VLOOKUP(B647,'Player Data'!$A1:$AE734,12,FALSE)*$Q647*IFERROR((VLOOKUP(P647,Settings!$E$28:$F$33,2,FALSE)+1),1)</f>
        <v>7.4391161045809229E-2</v>
      </c>
      <c r="Y647" s="40">
        <f>VLOOKUP(B647,'Player Data'!$A1:$AE734,13,FALSE)*$Q647</f>
        <v>0.15470992621223681</v>
      </c>
      <c r="Z647" s="40">
        <f>VLOOKUP(B647,'Player Data'!$A1:$AE734,14,FALSE)*$Q647</f>
        <v>1.0718231882821638</v>
      </c>
      <c r="AA647" s="40">
        <f>VLOOKUP(B647,'Player Data'!$A1:$AE734,15,FALSE)*$Q647</f>
        <v>54.646952833716306</v>
      </c>
      <c r="AB647" s="40">
        <f>VLOOKUP(B647,'Player Data'!$A1:$AE734,16,FALSE)*$Q647</f>
        <v>141.21449068486496</v>
      </c>
      <c r="AC647" s="40">
        <f>VLOOKUP(B647,'Player Data'!$A1:$AE734,17,FALSE)*$Q647*IFERROR((VLOOKUP(P647,Settings!$E$28:$F$33,2,FALSE)+1),1)</f>
        <v>4.5704013363025808</v>
      </c>
      <c r="AD647" s="40">
        <f>VLOOKUP(B647,'Player Data'!$A1:$AE734,18,FALSE)*$Q647</f>
        <v>41.468381545358532</v>
      </c>
      <c r="AE647" s="40">
        <f>VLOOKUP(B647,'Player Data'!$A1:$AE734,19,FALSE)*$Q647*IFERROR((VLOOKUP(P647,Settings!$E$28:$F$33,2,FALSE)+1),1)</f>
        <v>1.9177956236096372</v>
      </c>
      <c r="AF647" s="40">
        <f>VLOOKUP(B647,'Player Data'!$A1:$AE734,20,FALSE)*$Q647</f>
        <v>197.6312922862798</v>
      </c>
      <c r="AG647" s="40">
        <f>VLOOKUP(B647,'Player Data'!$A1:$AE734,21,FALSE)*$Q647</f>
        <v>201.76420584193633</v>
      </c>
      <c r="AH647" s="41">
        <f>VLOOKUP(B647,'Player Data'!$A1:$AE734,22,FALSE)</f>
        <v>0.49482603888248</v>
      </c>
      <c r="AI647" s="38"/>
      <c r="AJ647" s="42"/>
      <c r="AK647" s="40"/>
      <c r="AL647" s="40"/>
      <c r="AM647" s="40"/>
      <c r="AN647" s="40"/>
      <c r="AO647" s="40"/>
      <c r="AP647" s="40"/>
      <c r="AQ647" s="43"/>
      <c r="AR647" s="44"/>
      <c r="AS647" s="38"/>
    </row>
    <row r="648" spans="1:45" ht="21.2" customHeight="1">
      <c r="A648" s="181">
        <f t="shared" si="58"/>
        <v>647</v>
      </c>
      <c r="B648" s="8" t="s">
        <v>726</v>
      </c>
      <c r="C648" s="31" t="s">
        <v>104</v>
      </c>
      <c r="D648" s="32" t="str">
        <f>VLOOKUP(B648,'Player Data'!A1:D734,4,FALSE)</f>
        <v>C</v>
      </c>
      <c r="E648" s="33">
        <f>VLOOKUP(B648,'C'!A1:C208,3,FALSE)</f>
        <v>168</v>
      </c>
      <c r="F648" s="34" t="str">
        <f>VLOOKUP(B648,'Player Data'!A1:B734,2,FALSE)</f>
        <v>WSH</v>
      </c>
      <c r="G648" s="9">
        <f>VLOOKUP(B648,'Player Data'!A1:D734,3,FALSE)</f>
        <v>33</v>
      </c>
      <c r="H648" s="35">
        <f>IFERROR(VLOOKUP(B648,ADP!A1:G731,7,FALSE)/1000000,VLOOKUP(B648,ADP!A1:G731,7,FALSE))</f>
        <v>1.3</v>
      </c>
      <c r="I648" s="36">
        <f>IF(Settings!$E$15="POINTS",((R648*Q648)*Settings!$B$12)+(S648*Settings!$B$2)+(T648*Settings!$B$3)+(U648*Settings!$B$4)+(V648*Settings!$B$5)+(X648*Settings!$B$9)+(AA648*Settings!$B$6)+(W648*Settings!$B$8)+(AB648*Settings!$B$7)+(AC648*Settings!$B$14)+(AD648*Settings!$B$15)+(AE648*Settings!$B$16)+(AF648*Settings!$B$17)+(AG648*Settings!$B$18)+(Y648*Settings!$B$10)+(Z648*Settings!$B$11),VLOOKUP(B648,'Standard Deviations'!A1:C731,3,FALSE))</f>
        <v>-3.4968471789960325</v>
      </c>
      <c r="J648" s="37">
        <f t="shared" si="59"/>
        <v>-4.2644477792634541E-2</v>
      </c>
      <c r="K648" s="183">
        <f>IF(Settings!$E$18="C/LW/RW",VLOOKUP(B648,'C'!A1:F208,6,FALSE),VLOOKUP(B648,F!A1:F431,6,FALSE))</f>
        <v>-9.8338979032026348</v>
      </c>
      <c r="L648" s="36">
        <f t="shared" si="60"/>
        <v>-7.5645368486174114</v>
      </c>
      <c r="M648" s="52" t="str">
        <f>IF(Settings!$E$9="YAHOO",VLOOKUP(B648,ADP!A1:E731,2,FALSE),IF(Settings!$E$9="ESPN",VLOOKUP(B648,ADP!A1:E731,3,FALSE),IF(Settings!$E$9="FANTRAX",VLOOKUP(B648,ADP!A1:E731,4,FALSE),VLOOKUP(B648,ADP!A1:E731,5,FALSE))))</f>
        <v>-</v>
      </c>
      <c r="N648" s="52" t="str">
        <f t="shared" si="61"/>
        <v>N/A</v>
      </c>
      <c r="O648" s="38"/>
      <c r="P648" s="39" t="str">
        <f>IF(Settings!$E$27="ON",_xlfn.XLOOKUP(B648,ADP!A2:A731,ADP!H2:H731)," ")</f>
        <v xml:space="preserve"> </v>
      </c>
      <c r="Q648" s="40">
        <f>IF(Settings!$E$12="YES",VLOOKUP(B648,'Player Data'!A1:E734,5,FALSE),82)</f>
        <v>82</v>
      </c>
      <c r="R648" s="38">
        <f>VLOOKUP(B648,'Player Data'!$A1:$AE734,6,FALSE)</f>
        <v>13.377314962247899</v>
      </c>
      <c r="S648" s="40">
        <f>VLOOKUP(B648,'Player Data'!$A1:$AE734,7,FALSE)*$Q648*IFERROR((VLOOKUP(P648,Settings!$E$28:$F$33,2,FALSE)+1),1)</f>
        <v>11.884370921713733</v>
      </c>
      <c r="T648" s="40">
        <f>VLOOKUP(B648,'Player Data'!$A1:$AE734,8,FALSE)*$Q648*IFERROR((VLOOKUP(P648,Settings!$E$28:$F$33,2,FALSE)+1),1)</f>
        <v>12.494784116726725</v>
      </c>
      <c r="U648" s="40">
        <f t="shared" si="57"/>
        <v>24.379155038440459</v>
      </c>
      <c r="V648" s="40">
        <f>VLOOKUP(B648,'Player Data'!$A1:$AE734,10,FALSE)*$Q648*IFERROR(((VLOOKUP(P648,Settings!$E$28:$F$33,2,FALSE)/2)+1),1)</f>
        <v>88.683133921470116</v>
      </c>
      <c r="W648" s="40">
        <f>VLOOKUP(B648,'Player Data'!$A1:$AE734,11,FALSE)*$Q648*IFERROR((VLOOKUP(P648,Settings!$E$28:$F$33,2,FALSE)+1),1)</f>
        <v>2.7900566548635285E-2</v>
      </c>
      <c r="X648" s="40">
        <f>VLOOKUP(B648,'Player Data'!$A1:$AE734,12,FALSE)*$Q648*IFERROR((VLOOKUP(P648,Settings!$E$28:$F$33,2,FALSE)+1),1)</f>
        <v>9.1215213374298554E-2</v>
      </c>
      <c r="Y648" s="40">
        <f>VLOOKUP(B648,'Player Data'!$A1:$AE734,13,FALSE)*$Q648</f>
        <v>0.21079336389961767</v>
      </c>
      <c r="Z648" s="40">
        <f>VLOOKUP(B648,'Player Data'!$A1:$AE734,14,FALSE)*$Q648</f>
        <v>0.57709423932678394</v>
      </c>
      <c r="AA648" s="40">
        <f>VLOOKUP(B648,'Player Data'!$A1:$AE734,15,FALSE)*$Q648</f>
        <v>69.507949749883167</v>
      </c>
      <c r="AB648" s="40">
        <f>VLOOKUP(B648,'Player Data'!$A1:$AE734,16,FALSE)*$Q648</f>
        <v>162.60148224614395</v>
      </c>
      <c r="AC648" s="40">
        <f>VLOOKUP(B648,'Player Data'!$A1:$AE734,17,FALSE)*$Q648*IFERROR((VLOOKUP(P648,Settings!$E$28:$F$33,2,FALSE)+1),1)</f>
        <v>-2.3704428514963571</v>
      </c>
      <c r="AD648" s="40">
        <f>VLOOKUP(B648,'Player Data'!$A1:$AE734,18,FALSE)*$Q648</f>
        <v>38.630083065360424</v>
      </c>
      <c r="AE648" s="40">
        <f>VLOOKUP(B648,'Player Data'!$A1:$AE734,19,FALSE)*$Q648*IFERROR((VLOOKUP(P648,Settings!$E$28:$F$33,2,FALSE)+1),1)</f>
        <v>1.4618475830068971</v>
      </c>
      <c r="AF648" s="40">
        <f>VLOOKUP(B648,'Player Data'!$A1:$AE734,20,FALSE)*$Q648</f>
        <v>573.92417112555177</v>
      </c>
      <c r="AG648" s="40">
        <f>VLOOKUP(B648,'Player Data'!$A1:$AE734,21,FALSE)*$Q648</f>
        <v>507.52788695046985</v>
      </c>
      <c r="AH648" s="41">
        <f>VLOOKUP(B648,'Player Data'!$A1:$AE734,22,FALSE)</f>
        <v>0.53069774738475495</v>
      </c>
      <c r="AI648" s="38"/>
      <c r="AJ648" s="42"/>
      <c r="AK648" s="40"/>
      <c r="AL648" s="40"/>
      <c r="AM648" s="40"/>
      <c r="AN648" s="40"/>
      <c r="AO648" s="40"/>
      <c r="AP648" s="40"/>
      <c r="AQ648" s="43"/>
      <c r="AR648" s="44"/>
      <c r="AS648" s="38"/>
    </row>
    <row r="649" spans="1:45" ht="21.2" customHeight="1">
      <c r="A649" s="181">
        <f t="shared" si="58"/>
        <v>648</v>
      </c>
      <c r="B649" s="8" t="s">
        <v>723</v>
      </c>
      <c r="C649" s="31" t="s">
        <v>104</v>
      </c>
      <c r="D649" s="32" t="str">
        <f>VLOOKUP(B649,'Player Data'!A1:D734,4,FALSE)</f>
        <v>C,LW</v>
      </c>
      <c r="E649" s="45">
        <f>VLOOKUP(B649,LW!A1:C227,3,FALSE)</f>
        <v>180</v>
      </c>
      <c r="F649" s="34" t="str">
        <f>VLOOKUP(B649,'Player Data'!A1:B734,2,FALSE)</f>
        <v>WSH</v>
      </c>
      <c r="G649" s="9">
        <f>VLOOKUP(B649,'Player Data'!A1:D734,3,FALSE)</f>
        <v>22</v>
      </c>
      <c r="H649" s="35">
        <f>IFERROR(VLOOKUP(B649,ADP!A1:G731,7,FALSE)/1000000,VLOOKUP(B649,ADP!A1:G731,7,FALSE))</f>
        <v>0</v>
      </c>
      <c r="I649" s="36">
        <f>IF(Settings!$E$15="POINTS",((R649*Q649)*Settings!$B$12)+(S649*Settings!$B$2)+(T649*Settings!$B$3)+(U649*Settings!$B$4)+(V649*Settings!$B$5)+(X649*Settings!$B$9)+(AA649*Settings!$B$6)+(W649*Settings!$B$8)+(AB649*Settings!$B$7)+(AC649*Settings!$B$14)+(AD649*Settings!$B$15)+(AE649*Settings!$B$16)+(AF649*Settings!$B$17)+(AG649*Settings!$B$18)+(Y649*Settings!$B$10)+(Z649*Settings!$B$11),VLOOKUP(B649,'Standard Deviations'!A1:C731,3,FALSE))</f>
        <v>-3.181932982573926</v>
      </c>
      <c r="J649" s="37">
        <f t="shared" si="59"/>
        <v>-3.8804060763096657E-2</v>
      </c>
      <c r="K649" s="183">
        <f>IF(Settings!$E$18="C/LW/RW",VLOOKUP(B649,LW!A1:F227,6,FALSE),VLOOKUP(B649,F!A1:F431,6,FALSE))</f>
        <v>-9.8366020266983263</v>
      </c>
      <c r="L649" s="49" t="str">
        <f t="shared" si="60"/>
        <v>N/A</v>
      </c>
      <c r="M649" s="52" t="str">
        <f>IF(Settings!$E$9="YAHOO",VLOOKUP(B649,ADP!A1:E731,2,FALSE),IF(Settings!$E$9="ESPN",VLOOKUP(B649,ADP!A1:E731,3,FALSE),IF(Settings!$E$9="FANTRAX",VLOOKUP(B649,ADP!A1:E731,4,FALSE),VLOOKUP(B649,ADP!A1:E731,5,FALSE))))</f>
        <v>-</v>
      </c>
      <c r="N649" s="52" t="str">
        <f t="shared" si="61"/>
        <v>N/A</v>
      </c>
      <c r="O649" s="38"/>
      <c r="P649" s="39" t="str">
        <f>IF(Settings!$E$27="ON",_xlfn.XLOOKUP(B649,ADP!A2:A731,ADP!H2:H731)," ")</f>
        <v xml:space="preserve"> </v>
      </c>
      <c r="Q649" s="40">
        <f>IF(Settings!$E$12="YES",VLOOKUP(B649,'Player Data'!A1:E734,5,FALSE),82)</f>
        <v>82</v>
      </c>
      <c r="R649" s="38">
        <f>VLOOKUP(B649,'Player Data'!$A1:$AE734,6,FALSE)</f>
        <v>11.7348036727292</v>
      </c>
      <c r="S649" s="40">
        <f>VLOOKUP(B649,'Player Data'!$A1:$AE734,7,FALSE)*$Q649*IFERROR((VLOOKUP(P649,Settings!$E$28:$F$33,2,FALSE)+1),1)</f>
        <v>8.460002721021656</v>
      </c>
      <c r="T649" s="40">
        <f>VLOOKUP(B649,'Player Data'!$A1:$AE734,8,FALSE)*$Q649*IFERROR((VLOOKUP(P649,Settings!$E$28:$F$33,2,FALSE)+1),1)</f>
        <v>15.958673474105701</v>
      </c>
      <c r="U649" s="40">
        <f t="shared" si="57"/>
        <v>24.418676195127357</v>
      </c>
      <c r="V649" s="40">
        <f>VLOOKUP(B649,'Player Data'!$A1:$AE734,10,FALSE)*$Q649*IFERROR(((VLOOKUP(P649,Settings!$E$28:$F$33,2,FALSE)/2)+1),1)</f>
        <v>111.5016750201643</v>
      </c>
      <c r="W649" s="40">
        <f>VLOOKUP(B649,'Player Data'!$A1:$AE734,11,FALSE)*$Q649*IFERROR((VLOOKUP(P649,Settings!$E$28:$F$33,2,FALSE)+1),1)</f>
        <v>5.4525035425965714E-2</v>
      </c>
      <c r="X649" s="40">
        <f>VLOOKUP(B649,'Player Data'!$A1:$AE734,12,FALSE)*$Q649*IFERROR((VLOOKUP(P649,Settings!$E$28:$F$33,2,FALSE)+1),1)</f>
        <v>0.16156685068395293</v>
      </c>
      <c r="Y649" s="40">
        <f>VLOOKUP(B649,'Player Data'!$A1:$AE734,13,FALSE)*$Q649</f>
        <v>0.23142192410994941</v>
      </c>
      <c r="Z649" s="40">
        <f>VLOOKUP(B649,'Player Data'!$A1:$AE734,14,FALSE)*$Q649</f>
        <v>0.46873823771533979</v>
      </c>
      <c r="AA649" s="40">
        <f>VLOOKUP(B649,'Player Data'!$A1:$AE734,15,FALSE)*$Q649</f>
        <v>26.903817208788837</v>
      </c>
      <c r="AB649" s="40">
        <f>VLOOKUP(B649,'Player Data'!$A1:$AE734,16,FALSE)*$Q649</f>
        <v>65.100428343209572</v>
      </c>
      <c r="AC649" s="40">
        <f>VLOOKUP(B649,'Player Data'!$A1:$AE734,17,FALSE)*$Q649*IFERROR((VLOOKUP(P649,Settings!$E$28:$F$33,2,FALSE)+1),1)</f>
        <v>-2.4316852373941642</v>
      </c>
      <c r="AD649" s="40">
        <f>VLOOKUP(B649,'Player Data'!$A1:$AE734,18,FALSE)*$Q649</f>
        <v>16.640027643660609</v>
      </c>
      <c r="AE649" s="40">
        <f>VLOOKUP(B649,'Player Data'!$A1:$AE734,19,FALSE)*$Q649*IFERROR((VLOOKUP(P649,Settings!$E$28:$F$33,2,FALSE)+1),1)</f>
        <v>1.0406301361194785</v>
      </c>
      <c r="AF649" s="40">
        <f>VLOOKUP(B649,'Player Data'!$A1:$AE734,20,FALSE)*$Q649</f>
        <v>42.376218483727726</v>
      </c>
      <c r="AG649" s="40">
        <f>VLOOKUP(B649,'Player Data'!$A1:$AE734,21,FALSE)*$Q649</f>
        <v>73.00565611587318</v>
      </c>
      <c r="AH649" s="41">
        <f>VLOOKUP(B649,'Player Data'!$A1:$AE734,22,FALSE)</f>
        <v>0.367269284112275</v>
      </c>
      <c r="AI649" s="38"/>
      <c r="AJ649" s="42"/>
      <c r="AK649" s="40"/>
      <c r="AL649" s="40"/>
      <c r="AM649" s="40"/>
      <c r="AN649" s="40"/>
      <c r="AO649" s="40"/>
      <c r="AP649" s="40"/>
      <c r="AQ649" s="43"/>
      <c r="AR649" s="44"/>
      <c r="AS649" s="38"/>
    </row>
    <row r="650" spans="1:45" ht="21.2" customHeight="1">
      <c r="A650" s="181">
        <f t="shared" si="58"/>
        <v>649</v>
      </c>
      <c r="B650" s="8" t="s">
        <v>695</v>
      </c>
      <c r="C650" s="31" t="s">
        <v>104</v>
      </c>
      <c r="D650" s="32" t="str">
        <f>VLOOKUP(B650,'Player Data'!A1:D734,4,FALSE)</f>
        <v>C,LW</v>
      </c>
      <c r="E650" s="45">
        <f>VLOOKUP(B650,LW!A1:C227,3,FALSE)</f>
        <v>182</v>
      </c>
      <c r="F650" s="34" t="str">
        <f>VLOOKUP(B650,'Player Data'!A1:B734,2,FALSE)</f>
        <v>WPG</v>
      </c>
      <c r="G650" s="9">
        <f>VLOOKUP(B650,'Player Data'!A1:D734,3,FALSE)</f>
        <v>30</v>
      </c>
      <c r="H650" s="35">
        <f>IFERROR(VLOOKUP(B650,ADP!A1:G731,7,FALSE)/1000000,VLOOKUP(B650,ADP!A1:G731,7,FALSE))</f>
        <v>2</v>
      </c>
      <c r="I650" s="36">
        <f>IF(Settings!$E$15="POINTS",((R650*Q650)*Settings!$B$12)+(S650*Settings!$B$2)+(T650*Settings!$B$3)+(U650*Settings!$B$4)+(V650*Settings!$B$5)+(X650*Settings!$B$9)+(AA650*Settings!$B$6)+(W650*Settings!$B$8)+(AB650*Settings!$B$7)+(AC650*Settings!$B$14)+(AD650*Settings!$B$15)+(AE650*Settings!$B$16)+(AF650*Settings!$B$17)+(AG650*Settings!$B$18)+(Y650*Settings!$B$10)+(Z650*Settings!$B$11),VLOOKUP(B650,'Standard Deviations'!A1:C731,3,FALSE))</f>
        <v>-3.2061896101337308</v>
      </c>
      <c r="J650" s="37">
        <f t="shared" si="59"/>
        <v>-3.9099873294313789E-2</v>
      </c>
      <c r="K650" s="183">
        <f>IF(Settings!$E$18="C/LW/RW",VLOOKUP(B650,LW!A1:F227,6,FALSE),VLOOKUP(B650,F!A1:F431,6,FALSE))</f>
        <v>-9.8608586542581325</v>
      </c>
      <c r="L650" s="36">
        <f t="shared" si="60"/>
        <v>-4.9304293271290662</v>
      </c>
      <c r="M650" s="52" t="str">
        <f>IF(Settings!$E$9="YAHOO",VLOOKUP(B650,ADP!A1:E731,2,FALSE),IF(Settings!$E$9="ESPN",VLOOKUP(B650,ADP!A1:E731,3,FALSE),IF(Settings!$E$9="FANTRAX",VLOOKUP(B650,ADP!A1:E731,4,FALSE),VLOOKUP(B650,ADP!A1:E731,5,FALSE))))</f>
        <v>-</v>
      </c>
      <c r="N650" s="52" t="str">
        <f t="shared" si="61"/>
        <v>N/A</v>
      </c>
      <c r="O650" s="38"/>
      <c r="P650" s="39" t="str">
        <f>IF(Settings!$E$27="ON",_xlfn.XLOOKUP(B650,ADP!A2:A731,ADP!H2:H731)," ")</f>
        <v xml:space="preserve"> </v>
      </c>
      <c r="Q650" s="40">
        <f>IF(Settings!$E$12="YES",VLOOKUP(B650,'Player Data'!A1:E734,5,FALSE),82)</f>
        <v>82</v>
      </c>
      <c r="R650" s="38">
        <f>VLOOKUP(B650,'Player Data'!$A1:$AE734,6,FALSE)</f>
        <v>11.935810243902401</v>
      </c>
      <c r="S650" s="40">
        <f>VLOOKUP(B650,'Player Data'!$A1:$AE734,7,FALSE)*$Q650*IFERROR((VLOOKUP(P650,Settings!$E$28:$F$33,2,FALSE)+1),1)</f>
        <v>9.9625565393149298</v>
      </c>
      <c r="T650" s="40">
        <f>VLOOKUP(B650,'Player Data'!$A1:$AE734,8,FALSE)*$Q650*IFERROR((VLOOKUP(P650,Settings!$E$28:$F$33,2,FALSE)+1),1)</f>
        <v>13.84930610224899</v>
      </c>
      <c r="U650" s="40">
        <f t="shared" si="57"/>
        <v>23.81186264156392</v>
      </c>
      <c r="V650" s="40">
        <f>VLOOKUP(B650,'Player Data'!$A1:$AE734,10,FALSE)*$Q650*IFERROR(((VLOOKUP(P650,Settings!$E$28:$F$33,2,FALSE)/2)+1),1)</f>
        <v>104.87657676928862</v>
      </c>
      <c r="W650" s="40">
        <f>VLOOKUP(B650,'Player Data'!$A1:$AE734,11,FALSE)*$Q650*IFERROR((VLOOKUP(P650,Settings!$E$28:$F$33,2,FALSE)+1),1)</f>
        <v>0.24667341989748606</v>
      </c>
      <c r="X650" s="40">
        <f>VLOOKUP(B650,'Player Data'!$A1:$AE734,12,FALSE)*$Q650*IFERROR((VLOOKUP(P650,Settings!$E$28:$F$33,2,FALSE)+1),1)</f>
        <v>1.3868048789489862</v>
      </c>
      <c r="Y650" s="40">
        <f>VLOOKUP(B650,'Player Data'!$A1:$AE734,13,FALSE)*$Q650</f>
        <v>0.12853697072871728</v>
      </c>
      <c r="Z650" s="40">
        <f>VLOOKUP(B650,'Player Data'!$A1:$AE734,14,FALSE)*$Q650</f>
        <v>0.24888054591134096</v>
      </c>
      <c r="AA650" s="40">
        <f>VLOOKUP(B650,'Player Data'!$A1:$AE734,15,FALSE)*$Q650</f>
        <v>38.009701982244032</v>
      </c>
      <c r="AB650" s="40">
        <f>VLOOKUP(B650,'Player Data'!$A1:$AE734,16,FALSE)*$Q650</f>
        <v>101.48597442338219</v>
      </c>
      <c r="AC650" s="40">
        <f>VLOOKUP(B650,'Player Data'!$A1:$AE734,17,FALSE)*$Q650*IFERROR((VLOOKUP(P650,Settings!$E$28:$F$33,2,FALSE)+1),1)</f>
        <v>2.2407683521909885</v>
      </c>
      <c r="AD650" s="40">
        <f>VLOOKUP(B650,'Player Data'!$A1:$AE734,18,FALSE)*$Q650</f>
        <v>33.839856607347571</v>
      </c>
      <c r="AE650" s="40">
        <f>VLOOKUP(B650,'Player Data'!$A1:$AE734,19,FALSE)*$Q650*IFERROR((VLOOKUP(P650,Settings!$E$28:$F$33,2,FALSE)+1),1)</f>
        <v>1.554192166623241</v>
      </c>
      <c r="AF650" s="40">
        <f>VLOOKUP(B650,'Player Data'!$A1:$AE734,20,FALSE)*$Q650</f>
        <v>83.95205839947829</v>
      </c>
      <c r="AG650" s="40">
        <f>VLOOKUP(B650,'Player Data'!$A1:$AE734,21,FALSE)*$Q650</f>
        <v>120.97501731824661</v>
      </c>
      <c r="AH650" s="41">
        <f>VLOOKUP(B650,'Player Data'!$A1:$AE734,22,FALSE)</f>
        <v>0.40966796654590099</v>
      </c>
      <c r="AI650" s="38"/>
      <c r="AJ650" s="42"/>
      <c r="AK650" s="40"/>
      <c r="AL650" s="40"/>
      <c r="AM650" s="40"/>
      <c r="AN650" s="40"/>
      <c r="AO650" s="40"/>
      <c r="AP650" s="40"/>
      <c r="AQ650" s="43"/>
      <c r="AR650" s="44"/>
      <c r="AS650" s="38"/>
    </row>
    <row r="651" spans="1:45" ht="21.2" customHeight="1">
      <c r="A651" s="181">
        <f t="shared" si="58"/>
        <v>650</v>
      </c>
      <c r="B651" s="8" t="s">
        <v>725</v>
      </c>
      <c r="C651" s="31" t="s">
        <v>104</v>
      </c>
      <c r="D651" s="32" t="str">
        <f>VLOOKUP(B651,'Player Data'!A1:D734,4,FALSE)</f>
        <v>C</v>
      </c>
      <c r="E651" s="33">
        <f>VLOOKUP(B651,'C'!A1:C208,3,FALSE)</f>
        <v>169</v>
      </c>
      <c r="F651" s="34" t="str">
        <f>VLOOKUP(B651,'Player Data'!A1:B734,2,FALSE)</f>
        <v>CBJ</v>
      </c>
      <c r="G651" s="9">
        <f>VLOOKUP(B651,'Player Data'!A1:D734,3,FALSE)</f>
        <v>30</v>
      </c>
      <c r="H651" s="35">
        <f>IFERROR(VLOOKUP(B651,ADP!A1:G731,7,FALSE)/1000000,VLOOKUP(B651,ADP!A1:G731,7,FALSE))</f>
        <v>2.5</v>
      </c>
      <c r="I651" s="36">
        <f>IF(Settings!$E$15="POINTS",((R651*Q651)*Settings!$B$12)+(S651*Settings!$B$2)+(T651*Settings!$B$3)+(U651*Settings!$B$4)+(V651*Settings!$B$5)+(X651*Settings!$B$9)+(AA651*Settings!$B$6)+(W651*Settings!$B$8)+(AB651*Settings!$B$7)+(AC651*Settings!$B$14)+(AD651*Settings!$B$15)+(AE651*Settings!$B$16)+(AF651*Settings!$B$17)+(AG651*Settings!$B$18)+(Y651*Settings!$B$10)+(Z651*Settings!$B$11),VLOOKUP(B651,'Standard Deviations'!A1:C731,3,FALSE))</f>
        <v>-3.5286071320844878</v>
      </c>
      <c r="J651" s="37">
        <f t="shared" si="59"/>
        <v>-4.3031794293713267E-2</v>
      </c>
      <c r="K651" s="183">
        <f>IF(Settings!$E$18="C/LW/RW",VLOOKUP(B651,'C'!A1:F208,6,FALSE),VLOOKUP(B651,F!A1:F431,6,FALSE))</f>
        <v>-9.8656578562910902</v>
      </c>
      <c r="L651" s="36">
        <f t="shared" si="60"/>
        <v>-3.9462631425164361</v>
      </c>
      <c r="M651" s="52" t="str">
        <f>IF(Settings!$E$9="YAHOO",VLOOKUP(B651,ADP!A1:E731,2,FALSE),IF(Settings!$E$9="ESPN",VLOOKUP(B651,ADP!A1:E731,3,FALSE),IF(Settings!$E$9="FANTRAX",VLOOKUP(B651,ADP!A1:E731,4,FALSE),VLOOKUP(B651,ADP!A1:E731,5,FALSE))))</f>
        <v>-</v>
      </c>
      <c r="N651" s="52" t="str">
        <f t="shared" si="61"/>
        <v>N/A</v>
      </c>
      <c r="O651" s="38"/>
      <c r="P651" s="39" t="str">
        <f>IF(Settings!$E$27="ON",_xlfn.XLOOKUP(B651,ADP!A2:A731,ADP!H2:H731)," ")</f>
        <v xml:space="preserve"> </v>
      </c>
      <c r="Q651" s="40">
        <f>IF(Settings!$E$12="YES",VLOOKUP(B651,'Player Data'!A1:E734,5,FALSE),82)</f>
        <v>82</v>
      </c>
      <c r="R651" s="38">
        <f>VLOOKUP(B651,'Player Data'!$A1:$AE734,6,FALSE)</f>
        <v>13.590176092618499</v>
      </c>
      <c r="S651" s="40">
        <f>VLOOKUP(B651,'Player Data'!$A1:$AE734,7,FALSE)*$Q651*IFERROR((VLOOKUP(P651,Settings!$E$28:$F$33,2,FALSE)+1),1)</f>
        <v>10.137160866637959</v>
      </c>
      <c r="T651" s="40">
        <f>VLOOKUP(B651,'Player Data'!$A1:$AE734,8,FALSE)*$Q651*IFERROR((VLOOKUP(P651,Settings!$E$28:$F$33,2,FALSE)+1),1)</f>
        <v>11.203740608225889</v>
      </c>
      <c r="U651" s="40">
        <f t="shared" si="57"/>
        <v>21.340901474863848</v>
      </c>
      <c r="V651" s="40">
        <f>VLOOKUP(B651,'Player Data'!$A1:$AE734,10,FALSE)*$Q651*IFERROR(((VLOOKUP(P651,Settings!$E$28:$F$33,2,FALSE)/2)+1),1)</f>
        <v>109.79048603451065</v>
      </c>
      <c r="W651" s="40">
        <f>VLOOKUP(B651,'Player Data'!$A1:$AE734,11,FALSE)*$Q651*IFERROR((VLOOKUP(P651,Settings!$E$28:$F$33,2,FALSE)+1),1)</f>
        <v>0.10221835843927526</v>
      </c>
      <c r="X651" s="40">
        <f>VLOOKUP(B651,'Player Data'!$A1:$AE734,12,FALSE)*$Q651*IFERROR((VLOOKUP(P651,Settings!$E$28:$F$33,2,FALSE)+1),1)</f>
        <v>0.18247106610325078</v>
      </c>
      <c r="Y651" s="40">
        <f>VLOOKUP(B651,'Player Data'!$A1:$AE734,13,FALSE)*$Q651</f>
        <v>0.50321003157161204</v>
      </c>
      <c r="Z651" s="40">
        <f>VLOOKUP(B651,'Player Data'!$A1:$AE734,14,FALSE)*$Q651</f>
        <v>0.75447496207490716</v>
      </c>
      <c r="AA651" s="40">
        <f>VLOOKUP(B651,'Player Data'!$A1:$AE734,15,FALSE)*$Q651</f>
        <v>46.695357654065397</v>
      </c>
      <c r="AB651" s="40">
        <f>VLOOKUP(B651,'Player Data'!$A1:$AE734,16,FALSE)*$Q651</f>
        <v>186.74070052495435</v>
      </c>
      <c r="AC651" s="40">
        <f>VLOOKUP(B651,'Player Data'!$A1:$AE734,17,FALSE)*$Q651*IFERROR((VLOOKUP(P651,Settings!$E$28:$F$33,2,FALSE)+1),1)</f>
        <v>-7.2490938385899328</v>
      </c>
      <c r="AD651" s="40">
        <f>VLOOKUP(B651,'Player Data'!$A1:$AE734,18,FALSE)*$Q651</f>
        <v>42.570166614189958</v>
      </c>
      <c r="AE651" s="40">
        <f>VLOOKUP(B651,'Player Data'!$A1:$AE734,19,FALSE)*$Q651*IFERROR((VLOOKUP(P651,Settings!$E$28:$F$33,2,FALSE)+1),1)</f>
        <v>1.0862665831111828</v>
      </c>
      <c r="AF651" s="40">
        <f>VLOOKUP(B651,'Player Data'!$A1:$AE734,20,FALSE)*$Q651</f>
        <v>576.81673160626372</v>
      </c>
      <c r="AG651" s="40">
        <f>VLOOKUP(B651,'Player Data'!$A1:$AE734,21,FALSE)*$Q651</f>
        <v>558.99758713749191</v>
      </c>
      <c r="AH651" s="41">
        <f>VLOOKUP(B651,'Player Data'!$A1:$AE734,22,FALSE)</f>
        <v>0.50784421545613201</v>
      </c>
      <c r="AI651" s="38"/>
      <c r="AJ651" s="42"/>
      <c r="AK651" s="40"/>
      <c r="AL651" s="40"/>
      <c r="AM651" s="40"/>
      <c r="AN651" s="40"/>
      <c r="AO651" s="40"/>
      <c r="AP651" s="40"/>
      <c r="AQ651" s="43"/>
      <c r="AR651" s="44"/>
      <c r="AS651" s="38"/>
    </row>
    <row r="652" spans="1:45" ht="21.2" customHeight="1">
      <c r="A652" s="181">
        <f t="shared" si="58"/>
        <v>651</v>
      </c>
      <c r="B652" s="8" t="s">
        <v>739</v>
      </c>
      <c r="C652" s="31" t="s">
        <v>104</v>
      </c>
      <c r="D652" s="32" t="str">
        <f>VLOOKUP(B652,'Player Data'!A1:D734,4,FALSE)</f>
        <v>C,LW,RW</v>
      </c>
      <c r="E652" s="45">
        <f>VLOOKUP(B652,RW!A1:F189,3,FALSE)</f>
        <v>168</v>
      </c>
      <c r="F652" s="34" t="str">
        <f>VLOOKUP(B652,'Player Data'!A1:B734,2,FALSE)</f>
        <v>OTT</v>
      </c>
      <c r="G652" s="9">
        <f>VLOOKUP(B652,'Player Data'!A1:D734,3,FALSE)</f>
        <v>27</v>
      </c>
      <c r="H652" s="35">
        <f>IFERROR(VLOOKUP(B652,ADP!A1:G731,7,FALSE)/1000000,VLOOKUP(B652,ADP!A1:G731,7,FALSE))</f>
        <v>0.79579999999999995</v>
      </c>
      <c r="I652" s="36">
        <f>IF(Settings!$E$15="POINTS",((R652*Q652)*Settings!$B$12)+(S652*Settings!$B$2)+(T652*Settings!$B$3)+(U652*Settings!$B$4)+(V652*Settings!$B$5)+(X652*Settings!$B$9)+(AA652*Settings!$B$6)+(W652*Settings!$B$8)+(AB652*Settings!$B$7)+(AC652*Settings!$B$14)+(AD652*Settings!$B$15)+(AE652*Settings!$B$16)+(AF652*Settings!$B$17)+(AG652*Settings!$B$18)+(Y652*Settings!$B$10)+(Z652*Settings!$B$11),VLOOKUP(B652,'Standard Deviations'!A1:C731,3,FALSE))</f>
        <v>-3.5922632471769935</v>
      </c>
      <c r="J652" s="37">
        <f t="shared" si="59"/>
        <v>-4.3808088380207236E-2</v>
      </c>
      <c r="K652" s="183">
        <f>IF(Settings!$E$18="C/LW/RW",VLOOKUP(B652,RW!A1:F189,6,FALSE),VLOOKUP(B652,F!A1:F431,6,FALSE))</f>
        <v>-9.8725219661880743</v>
      </c>
      <c r="L652" s="36">
        <f t="shared" si="60"/>
        <v>-12.405782817527111</v>
      </c>
      <c r="M652" s="52" t="str">
        <f>IF(Settings!$E$9="YAHOO",VLOOKUP(B652,ADP!A1:E731,2,FALSE),IF(Settings!$E$9="ESPN",VLOOKUP(B652,ADP!A1:E731,3,FALSE),IF(Settings!$E$9="FANTRAX",VLOOKUP(B652,ADP!A1:E731,4,FALSE),VLOOKUP(B652,ADP!A1:E731,5,FALSE))))</f>
        <v>-</v>
      </c>
      <c r="N652" s="52" t="str">
        <f t="shared" si="61"/>
        <v>N/A</v>
      </c>
      <c r="O652" s="38"/>
      <c r="P652" s="39" t="str">
        <f>IF(Settings!$E$27="ON",_xlfn.XLOOKUP(B652,ADP!A2:A731,ADP!H2:H731)," ")</f>
        <v xml:space="preserve"> </v>
      </c>
      <c r="Q652" s="40">
        <f>IF(Settings!$E$12="YES",VLOOKUP(B652,'Player Data'!A1:E734,5,FALSE),82)</f>
        <v>82</v>
      </c>
      <c r="R652" s="38">
        <f>VLOOKUP(B652,'Player Data'!$A1:$AE734,6,FALSE)</f>
        <v>10.75</v>
      </c>
      <c r="S652" s="40">
        <f>VLOOKUP(B652,'Player Data'!$A1:$AE734,7,FALSE)*$Q652*IFERROR((VLOOKUP(P652,Settings!$E$28:$F$33,2,FALSE)+1),1)</f>
        <v>8.4606120998211249</v>
      </c>
      <c r="T652" s="40">
        <f>VLOOKUP(B652,'Player Data'!$A1:$AE734,8,FALSE)*$Q652*IFERROR((VLOOKUP(P652,Settings!$E$28:$F$33,2,FALSE)+1),1)</f>
        <v>11.465589089807631</v>
      </c>
      <c r="U652" s="40">
        <f t="shared" si="57"/>
        <v>19.926201189628756</v>
      </c>
      <c r="V652" s="40">
        <f>VLOOKUP(B652,'Player Data'!$A1:$AE734,10,FALSE)*$Q652*IFERROR(((VLOOKUP(P652,Settings!$E$28:$F$33,2,FALSE)/2)+1),1)</f>
        <v>92.239732663788786</v>
      </c>
      <c r="W652" s="40">
        <f>VLOOKUP(B652,'Player Data'!$A1:$AE734,11,FALSE)*$Q652*IFERROR((VLOOKUP(P652,Settings!$E$28:$F$33,2,FALSE)+1),1)</f>
        <v>2.3062388853832587</v>
      </c>
      <c r="X652" s="40">
        <f>VLOOKUP(B652,'Player Data'!$A1:$AE734,12,FALSE)*$Q652*IFERROR((VLOOKUP(P652,Settings!$E$28:$F$33,2,FALSE)+1),1)</f>
        <v>4.5232988507249887</v>
      </c>
      <c r="Y652" s="40">
        <f>VLOOKUP(B652,'Player Data'!$A1:$AE734,13,FALSE)*$Q652</f>
        <v>0</v>
      </c>
      <c r="Z652" s="40">
        <f>VLOOKUP(B652,'Player Data'!$A1:$AE734,14,FALSE)*$Q652</f>
        <v>0</v>
      </c>
      <c r="AA652" s="40">
        <f>VLOOKUP(B652,'Player Data'!$A1:$AE734,15,FALSE)*$Q652</f>
        <v>39.947937061146568</v>
      </c>
      <c r="AB652" s="40">
        <f>VLOOKUP(B652,'Player Data'!$A1:$AE734,16,FALSE)*$Q652</f>
        <v>91.920382254692584</v>
      </c>
      <c r="AC652" s="40">
        <f>VLOOKUP(B652,'Player Data'!$A1:$AE734,17,FALSE)*$Q652*IFERROR((VLOOKUP(P652,Settings!$E$28:$F$33,2,FALSE)+1),1)</f>
        <v>-1.4139217893397536E-2</v>
      </c>
      <c r="AD652" s="40">
        <f>VLOOKUP(B652,'Player Data'!$A1:$AE734,18,FALSE)*$Q652</f>
        <v>19.780262763542083</v>
      </c>
      <c r="AE652" s="40">
        <f>VLOOKUP(B652,'Player Data'!$A1:$AE734,19,FALSE)*$Q652*IFERROR((VLOOKUP(P652,Settings!$E$28:$F$33,2,FALSE)+1),1)</f>
        <v>1.2723568340308762</v>
      </c>
      <c r="AF652" s="40">
        <f>VLOOKUP(B652,'Player Data'!$A1:$AE734,20,FALSE)*$Q652</f>
        <v>5.5289450887190084</v>
      </c>
      <c r="AG652" s="40">
        <f>VLOOKUP(B652,'Player Data'!$A1:$AE734,21,FALSE)*$Q652</f>
        <v>7.9522636281575778</v>
      </c>
      <c r="AH652" s="41">
        <f>VLOOKUP(B652,'Player Data'!$A1:$AE734,22,FALSE)</f>
        <v>0.41012235659533602</v>
      </c>
      <c r="AI652" s="38"/>
      <c r="AJ652" s="40"/>
      <c r="AK652" s="40"/>
      <c r="AL652" s="40"/>
      <c r="AM652" s="40"/>
      <c r="AN652" s="40"/>
      <c r="AO652" s="40"/>
      <c r="AP652" s="40"/>
      <c r="AQ652" s="43"/>
      <c r="AR652" s="44"/>
      <c r="AS652" s="38"/>
    </row>
    <row r="653" spans="1:45" ht="21.2" customHeight="1">
      <c r="A653" s="181">
        <f t="shared" si="58"/>
        <v>652</v>
      </c>
      <c r="B653" s="8" t="s">
        <v>787</v>
      </c>
      <c r="C653" s="31" t="s">
        <v>104</v>
      </c>
      <c r="D653" s="32" t="str">
        <f>VLOOKUP(B653,'Player Data'!A1:D734,4,FALSE)</f>
        <v>LW</v>
      </c>
      <c r="E653" s="48">
        <f>VLOOKUP(B653,LW!A1:C227,3,FALSE)</f>
        <v>183</v>
      </c>
      <c r="F653" s="34" t="str">
        <f>VLOOKUP(B653,'Player Data'!A1:B734,2,FALSE)</f>
        <v>PIT</v>
      </c>
      <c r="G653" s="9">
        <f>VLOOKUP(B653,'Player Data'!A1:D734,3,FALSE)</f>
        <v>28</v>
      </c>
      <c r="H653" s="35">
        <f>IFERROR(VLOOKUP(B653,ADP!A1:G731,7,FALSE)/1000000,VLOOKUP(B653,ADP!A1:G731,7,FALSE))</f>
        <v>1.1439999999999999</v>
      </c>
      <c r="I653" s="36">
        <f>IF(Settings!$E$15="POINTS",((R653*Q653)*Settings!$B$12)+(S653*Settings!$B$2)+(T653*Settings!$B$3)+(U653*Settings!$B$4)+(V653*Settings!$B$5)+(X653*Settings!$B$9)+(AA653*Settings!$B$6)+(W653*Settings!$B$8)+(AB653*Settings!$B$7)+(AC653*Settings!$B$14)+(AD653*Settings!$B$15)+(AE653*Settings!$B$16)+(AF653*Settings!$B$17)+(AG653*Settings!$B$18)+(Y653*Settings!$B$10)+(Z653*Settings!$B$11),VLOOKUP(B653,'Standard Deviations'!A1:C731,3,FALSE))</f>
        <v>-3.2288039069087691</v>
      </c>
      <c r="J653" s="37">
        <f t="shared" si="59"/>
        <v>-3.9375657401326453E-2</v>
      </c>
      <c r="K653" s="183">
        <f>IF(Settings!$E$18="C/LW/RW",VLOOKUP(B653,LW!A1:F227,6,FALSE),VLOOKUP(B653,F!A1:F431,6,FALSE))</f>
        <v>-9.8834729510331698</v>
      </c>
      <c r="L653" s="36">
        <f t="shared" si="60"/>
        <v>-8.6393994327213033</v>
      </c>
      <c r="M653" s="52" t="str">
        <f>IF(Settings!$E$9="YAHOO",VLOOKUP(B653,ADP!A1:E731,2,FALSE),IF(Settings!$E$9="ESPN",VLOOKUP(B653,ADP!A1:E731,3,FALSE),IF(Settings!$E$9="FANTRAX",VLOOKUP(B653,ADP!A1:E731,4,FALSE),VLOOKUP(B653,ADP!A1:E731,5,FALSE))))</f>
        <v>-</v>
      </c>
      <c r="N653" s="52" t="str">
        <f t="shared" si="61"/>
        <v>N/A</v>
      </c>
      <c r="O653" s="38"/>
      <c r="P653" s="39" t="str">
        <f>IF(Settings!$E$27="ON",_xlfn.XLOOKUP(B653,ADP!A2:A731,ADP!H2:H731)," ")</f>
        <v xml:space="preserve"> </v>
      </c>
      <c r="Q653" s="40">
        <f>IF(Settings!$E$12="YES",VLOOKUP(B653,'Player Data'!A1:E734,5,FALSE),82)</f>
        <v>82</v>
      </c>
      <c r="R653" s="38">
        <f>VLOOKUP(B653,'Player Data'!$A1:$AE734,6,FALSE)</f>
        <v>11.755641362842301</v>
      </c>
      <c r="S653" s="40">
        <f>VLOOKUP(B653,'Player Data'!$A1:$AE734,7,FALSE)*$Q653*IFERROR((VLOOKUP(P653,Settings!$E$28:$F$33,2,FALSE)+1),1)</f>
        <v>8.9989739608658557</v>
      </c>
      <c r="T653" s="40">
        <f>VLOOKUP(B653,'Player Data'!$A1:$AE734,8,FALSE)*$Q653*IFERROR((VLOOKUP(P653,Settings!$E$28:$F$33,2,FALSE)+1),1)</f>
        <v>16.231286982228067</v>
      </c>
      <c r="U653" s="40">
        <f t="shared" si="57"/>
        <v>25.230260943093924</v>
      </c>
      <c r="V653" s="40">
        <f>VLOOKUP(B653,'Player Data'!$A1:$AE734,10,FALSE)*$Q653*IFERROR(((VLOOKUP(P653,Settings!$E$28:$F$33,2,FALSE)/2)+1),1)</f>
        <v>96.72587415946272</v>
      </c>
      <c r="W653" s="40">
        <f>VLOOKUP(B653,'Player Data'!$A1:$AE734,11,FALSE)*$Q653*IFERROR((VLOOKUP(P653,Settings!$E$28:$F$33,2,FALSE)+1),1)</f>
        <v>0.62423589718062689</v>
      </c>
      <c r="X653" s="40">
        <f>VLOOKUP(B653,'Player Data'!$A1:$AE734,12,FALSE)*$Q653*IFERROR((VLOOKUP(P653,Settings!$E$28:$F$33,2,FALSE)+1),1)</f>
        <v>1.0983727122720017</v>
      </c>
      <c r="Y653" s="40">
        <f>VLOOKUP(B653,'Player Data'!$A1:$AE734,13,FALSE)*$Q653</f>
        <v>3.453210311752337E-3</v>
      </c>
      <c r="Z653" s="40">
        <f>VLOOKUP(B653,'Player Data'!$A1:$AE734,14,FALSE)*$Q653</f>
        <v>6.3107034174180289E-3</v>
      </c>
      <c r="AA653" s="40">
        <f>VLOOKUP(B653,'Player Data'!$A1:$AE734,15,FALSE)*$Q653</f>
        <v>25.706861037333059</v>
      </c>
      <c r="AB653" s="40">
        <f>VLOOKUP(B653,'Player Data'!$A1:$AE734,16,FALSE)*$Q653</f>
        <v>72.712303749604288</v>
      </c>
      <c r="AC653" s="40">
        <f>VLOOKUP(B653,'Player Data'!$A1:$AE734,17,FALSE)*$Q653*IFERROR((VLOOKUP(P653,Settings!$E$28:$F$33,2,FALSE)+1),1)</f>
        <v>2.1639567215795679</v>
      </c>
      <c r="AD653" s="40">
        <f>VLOOKUP(B653,'Player Data'!$A1:$AE734,18,FALSE)*$Q653</f>
        <v>25.655412932783172</v>
      </c>
      <c r="AE653" s="40">
        <f>VLOOKUP(B653,'Player Data'!$A1:$AE734,19,FALSE)*$Q653*IFERROR((VLOOKUP(P653,Settings!$E$28:$F$33,2,FALSE)+1),1)</f>
        <v>1.4445155110380503</v>
      </c>
      <c r="AF653" s="40">
        <f>VLOOKUP(B653,'Player Data'!$A1:$AE734,20,FALSE)*$Q653</f>
        <v>13.344350968056403</v>
      </c>
      <c r="AG653" s="40">
        <f>VLOOKUP(B653,'Player Data'!$A1:$AE734,21,FALSE)*$Q653</f>
        <v>26.1450141945006</v>
      </c>
      <c r="AH653" s="41">
        <f>VLOOKUP(B653,'Player Data'!$A1:$AE734,22,FALSE)</f>
        <v>0.337922651152398</v>
      </c>
      <c r="AI653" s="38"/>
      <c r="AJ653" s="40"/>
      <c r="AK653" s="40"/>
      <c r="AL653" s="40"/>
      <c r="AM653" s="40"/>
      <c r="AN653" s="40"/>
      <c r="AO653" s="40"/>
      <c r="AP653" s="40"/>
      <c r="AQ653" s="43"/>
      <c r="AR653" s="44"/>
      <c r="AS653" s="38"/>
    </row>
    <row r="654" spans="1:45" ht="21.2" customHeight="1">
      <c r="A654" s="181">
        <f t="shared" si="58"/>
        <v>653</v>
      </c>
      <c r="B654" s="8" t="s">
        <v>741</v>
      </c>
      <c r="C654" s="31" t="s">
        <v>104</v>
      </c>
      <c r="D654" s="32" t="str">
        <f>VLOOKUP(B654,'Player Data'!A1:D734,4,FALSE)</f>
        <v>LW</v>
      </c>
      <c r="E654" s="48">
        <f>VLOOKUP(B654,LW!A1:C227,3,FALSE)</f>
        <v>184</v>
      </c>
      <c r="F654" s="34" t="str">
        <f>VLOOKUP(B654,'Player Data'!A1:B734,2,FALSE)</f>
        <v>ANA</v>
      </c>
      <c r="G654" s="9">
        <f>VLOOKUP(B654,'Player Data'!A1:D734,3,FALSE)</f>
        <v>25</v>
      </c>
      <c r="H654" s="35">
        <f>IFERROR(VLOOKUP(B654,ADP!A1:G731,7,FALSE)/1000000,VLOOKUP(B654,ADP!A1:G731,7,FALSE))</f>
        <v>1.2949999999999999</v>
      </c>
      <c r="I654" s="36">
        <f>IF(Settings!$E$15="POINTS",((R654*Q654)*Settings!$B$12)+(S654*Settings!$B$2)+(T654*Settings!$B$3)+(U654*Settings!$B$4)+(V654*Settings!$B$5)+(X654*Settings!$B$9)+(AA654*Settings!$B$6)+(W654*Settings!$B$8)+(AB654*Settings!$B$7)+(AC654*Settings!$B$14)+(AD654*Settings!$B$15)+(AE654*Settings!$B$16)+(AF654*Settings!$B$17)+(AG654*Settings!$B$18)+(Y654*Settings!$B$10)+(Z654*Settings!$B$11),VLOOKUP(B654,'Standard Deviations'!A1:C731,3,FALSE))</f>
        <v>-3.2443831257741813</v>
      </c>
      <c r="J654" s="37">
        <f t="shared" si="59"/>
        <v>-3.9565647875294895E-2</v>
      </c>
      <c r="K654" s="183">
        <f>IF(Settings!$E$18="C/LW/RW",VLOOKUP(B654,LW!A1:F227,6,FALSE),VLOOKUP(B654,F!A1:F431,6,FALSE))</f>
        <v>-9.8990521698985816</v>
      </c>
      <c r="L654" s="36">
        <f t="shared" si="60"/>
        <v>-7.6440557296514147</v>
      </c>
      <c r="M654" s="52" t="str">
        <f>IF(Settings!$E$9="YAHOO",VLOOKUP(B654,ADP!A1:E731,2,FALSE),IF(Settings!$E$9="ESPN",VLOOKUP(B654,ADP!A1:E731,3,FALSE),IF(Settings!$E$9="FANTRAX",VLOOKUP(B654,ADP!A1:E731,4,FALSE),VLOOKUP(B654,ADP!A1:E731,5,FALSE))))</f>
        <v>-</v>
      </c>
      <c r="N654" s="52" t="str">
        <f t="shared" si="61"/>
        <v>N/A</v>
      </c>
      <c r="O654" s="38"/>
      <c r="P654" s="39" t="str">
        <f>IF(Settings!$E$27="ON",_xlfn.XLOOKUP(B654,ADP!A2:A731,ADP!H2:H731)," ")</f>
        <v xml:space="preserve"> </v>
      </c>
      <c r="Q654" s="40">
        <f>IF(Settings!$E$12="YES",VLOOKUP(B654,'Player Data'!A1:E734,5,FALSE),82)</f>
        <v>82</v>
      </c>
      <c r="R654" s="38">
        <f>VLOOKUP(B654,'Player Data'!$A1:$AE734,6,FALSE)</f>
        <v>11.6205540656557</v>
      </c>
      <c r="S654" s="40">
        <f>VLOOKUP(B654,'Player Data'!$A1:$AE734,7,FALSE)*$Q654*IFERROR((VLOOKUP(P654,Settings!$E$28:$F$33,2,FALSE)+1),1)</f>
        <v>10.413611679761797</v>
      </c>
      <c r="T654" s="40">
        <f>VLOOKUP(B654,'Player Data'!$A1:$AE734,8,FALSE)*$Q654*IFERROR((VLOOKUP(P654,Settings!$E$28:$F$33,2,FALSE)+1),1)</f>
        <v>11.962588655610409</v>
      </c>
      <c r="U654" s="40">
        <f t="shared" si="57"/>
        <v>22.376200335372204</v>
      </c>
      <c r="V654" s="40">
        <f>VLOOKUP(B654,'Player Data'!$A1:$AE734,10,FALSE)*$Q654*IFERROR(((VLOOKUP(P654,Settings!$E$28:$F$33,2,FALSE)/2)+1),1)</f>
        <v>114.36793097747636</v>
      </c>
      <c r="W654" s="40">
        <f>VLOOKUP(B654,'Player Data'!$A1:$AE734,11,FALSE)*$Q654*IFERROR((VLOOKUP(P654,Settings!$E$28:$F$33,2,FALSE)+1),1)</f>
        <v>0.51992241838438014</v>
      </c>
      <c r="X654" s="40">
        <f>VLOOKUP(B654,'Player Data'!$A1:$AE734,12,FALSE)*$Q654*IFERROR((VLOOKUP(P654,Settings!$E$28:$F$33,2,FALSE)+1),1)</f>
        <v>0.98288443204633635</v>
      </c>
      <c r="Y654" s="40">
        <f>VLOOKUP(B654,'Player Data'!$A1:$AE734,13,FALSE)*$Q654</f>
        <v>3.7840970911790638E-2</v>
      </c>
      <c r="Z654" s="40">
        <f>VLOOKUP(B654,'Player Data'!$A1:$AE734,14,FALSE)*$Q654</f>
        <v>7.5441085601010135E-2</v>
      </c>
      <c r="AA654" s="40">
        <f>VLOOKUP(B654,'Player Data'!$A1:$AE734,15,FALSE)*$Q654</f>
        <v>21.971882069114777</v>
      </c>
      <c r="AB654" s="40">
        <f>VLOOKUP(B654,'Player Data'!$A1:$AE734,16,FALSE)*$Q654</f>
        <v>117.73934818395199</v>
      </c>
      <c r="AC654" s="40">
        <f>VLOOKUP(B654,'Player Data'!$A1:$AE734,17,FALSE)*$Q654*IFERROR((VLOOKUP(P654,Settings!$E$28:$F$33,2,FALSE)+1),1)</f>
        <v>-9.6240935231926326</v>
      </c>
      <c r="AD654" s="40">
        <f>VLOOKUP(B654,'Player Data'!$A1:$AE734,18,FALSE)*$Q654</f>
        <v>55.069016115091216</v>
      </c>
      <c r="AE654" s="40">
        <f>VLOOKUP(B654,'Player Data'!$A1:$AE734,19,FALSE)*$Q654*IFERROR((VLOOKUP(P654,Settings!$E$28:$F$33,2,FALSE)+1),1)</f>
        <v>0.99828032375405518</v>
      </c>
      <c r="AF654" s="40">
        <f>VLOOKUP(B654,'Player Data'!$A1:$AE734,20,FALSE)*$Q654</f>
        <v>10.764055404810618</v>
      </c>
      <c r="AG654" s="40">
        <f>VLOOKUP(B654,'Player Data'!$A1:$AE734,21,FALSE)*$Q654</f>
        <v>12.197986902163731</v>
      </c>
      <c r="AH654" s="41">
        <f>VLOOKUP(B654,'Player Data'!$A1:$AE734,22,FALSE)</f>
        <v>0.46877604617692198</v>
      </c>
      <c r="AI654" s="38"/>
      <c r="AJ654" s="42"/>
      <c r="AK654" s="40"/>
      <c r="AL654" s="40"/>
      <c r="AM654" s="40"/>
      <c r="AN654" s="40"/>
      <c r="AO654" s="40"/>
      <c r="AP654" s="40"/>
      <c r="AQ654" s="43"/>
      <c r="AR654" s="44"/>
      <c r="AS654" s="38"/>
    </row>
    <row r="655" spans="1:45" ht="21.2" customHeight="1">
      <c r="A655" s="181">
        <f t="shared" si="58"/>
        <v>654</v>
      </c>
      <c r="B655" s="8" t="s">
        <v>704</v>
      </c>
      <c r="C655" s="31" t="s">
        <v>104</v>
      </c>
      <c r="D655" s="32" t="str">
        <f>VLOOKUP(B655,'Player Data'!A1:D734,4,FALSE)</f>
        <v>LW</v>
      </c>
      <c r="E655" s="48">
        <f>VLOOKUP(B655,LW!A1:C227,3,FALSE)</f>
        <v>185</v>
      </c>
      <c r="F655" s="34" t="str">
        <f>VLOOKUP(B655,'Player Data'!A1:B734,2,FALSE)</f>
        <v>BUF</v>
      </c>
      <c r="G655" s="9">
        <f>VLOOKUP(B655,'Player Data'!A1:D734,3,FALSE)</f>
        <v>26</v>
      </c>
      <c r="H655" s="35">
        <f>IFERROR(VLOOKUP(B655,ADP!A1:G731,7,FALSE)/1000000,VLOOKUP(B655,ADP!A1:G731,7,FALSE))</f>
        <v>3</v>
      </c>
      <c r="I655" s="36">
        <f>IF(Settings!$E$15="POINTS",((R655*Q655)*Settings!$B$12)+(S655*Settings!$B$2)+(T655*Settings!$B$3)+(U655*Settings!$B$4)+(V655*Settings!$B$5)+(X655*Settings!$B$9)+(AA655*Settings!$B$6)+(W655*Settings!$B$8)+(AB655*Settings!$B$7)+(AC655*Settings!$B$14)+(AD655*Settings!$B$15)+(AE655*Settings!$B$16)+(AF655*Settings!$B$17)+(AG655*Settings!$B$18)+(Y655*Settings!$B$10)+(Z655*Settings!$B$11),VLOOKUP(B655,'Standard Deviations'!A1:C731,3,FALSE))</f>
        <v>-3.2601939343875066</v>
      </c>
      <c r="J655" s="37">
        <f t="shared" si="59"/>
        <v>-3.9758462614481786E-2</v>
      </c>
      <c r="K655" s="183">
        <f>IF(Settings!$E$18="C/LW/RW",VLOOKUP(B655,LW!A1:F227,6,FALSE),VLOOKUP(B655,F!A1:F431,6,FALSE))</f>
        <v>-9.9148629785119073</v>
      </c>
      <c r="L655" s="36">
        <f t="shared" si="60"/>
        <v>-3.3049543261706358</v>
      </c>
      <c r="M655" s="52" t="str">
        <f>IF(Settings!$E$9="YAHOO",VLOOKUP(B655,ADP!A1:E731,2,FALSE),IF(Settings!$E$9="ESPN",VLOOKUP(B655,ADP!A1:E731,3,FALSE),IF(Settings!$E$9="FANTRAX",VLOOKUP(B655,ADP!A1:E731,4,FALSE),VLOOKUP(B655,ADP!A1:E731,5,FALSE))))</f>
        <v>-</v>
      </c>
      <c r="N655" s="52" t="str">
        <f t="shared" si="61"/>
        <v>N/A</v>
      </c>
      <c r="O655" s="38"/>
      <c r="P655" s="39" t="str">
        <f>IF(Settings!$E$27="ON",_xlfn.XLOOKUP(B655,ADP!A2:A731,ADP!H2:H731)," ")</f>
        <v xml:space="preserve"> </v>
      </c>
      <c r="Q655" s="40">
        <f>IF(Settings!$E$12="YES",VLOOKUP(B655,'Player Data'!A1:E734,5,FALSE),82)</f>
        <v>82</v>
      </c>
      <c r="R655" s="38">
        <f>VLOOKUP(B655,'Player Data'!$A1:$AE734,6,FALSE)</f>
        <v>11.514842945408899</v>
      </c>
      <c r="S655" s="40">
        <f>VLOOKUP(B655,'Player Data'!$A1:$AE734,7,FALSE)*$Q655*IFERROR((VLOOKUP(P655,Settings!$E$28:$F$33,2,FALSE)+1),1)</f>
        <v>8.7251220258941</v>
      </c>
      <c r="T655" s="40">
        <f>VLOOKUP(B655,'Player Data'!$A1:$AE734,8,FALSE)*$Q655*IFERROR((VLOOKUP(P655,Settings!$E$28:$F$33,2,FALSE)+1),1)</f>
        <v>14.747141657621365</v>
      </c>
      <c r="U655" s="40">
        <f t="shared" si="57"/>
        <v>23.472263683515465</v>
      </c>
      <c r="V655" s="40">
        <f>VLOOKUP(B655,'Player Data'!$A1:$AE734,10,FALSE)*$Q655*IFERROR(((VLOOKUP(P655,Settings!$E$28:$F$33,2,FALSE)/2)+1),1)</f>
        <v>112.38037992245094</v>
      </c>
      <c r="W655" s="40">
        <f>VLOOKUP(B655,'Player Data'!$A1:$AE734,11,FALSE)*$Q655*IFERROR((VLOOKUP(P655,Settings!$E$28:$F$33,2,FALSE)+1),1)</f>
        <v>0.10753023619927028</v>
      </c>
      <c r="X655" s="40">
        <f>VLOOKUP(B655,'Player Data'!$A1:$AE734,12,FALSE)*$Q655*IFERROR((VLOOKUP(P655,Settings!$E$28:$F$33,2,FALSE)+1),1)</f>
        <v>0.27374693995508281</v>
      </c>
      <c r="Y655" s="40">
        <f>VLOOKUP(B655,'Player Data'!$A1:$AE734,13,FALSE)*$Q655</f>
        <v>2.8468157291902583E-2</v>
      </c>
      <c r="Z655" s="40">
        <f>VLOOKUP(B655,'Player Data'!$A1:$AE734,14,FALSE)*$Q655</f>
        <v>6.1491228048358527E-2</v>
      </c>
      <c r="AA655" s="40">
        <f>VLOOKUP(B655,'Player Data'!$A1:$AE734,15,FALSE)*$Q655</f>
        <v>39.665099439613634</v>
      </c>
      <c r="AB655" s="40">
        <f>VLOOKUP(B655,'Player Data'!$A1:$AE734,16,FALSE)*$Q655</f>
        <v>137.11160931387167</v>
      </c>
      <c r="AC655" s="40">
        <f>VLOOKUP(B655,'Player Data'!$A1:$AE734,17,FALSE)*$Q655*IFERROR((VLOOKUP(P655,Settings!$E$28:$F$33,2,FALSE)+1),1)</f>
        <v>-1.2443012818012993</v>
      </c>
      <c r="AD655" s="40">
        <f>VLOOKUP(B655,'Player Data'!$A1:$AE734,18,FALSE)*$Q655</f>
        <v>44.399378954202874</v>
      </c>
      <c r="AE655" s="40">
        <f>VLOOKUP(B655,'Player Data'!$A1:$AE734,19,FALSE)*$Q655*IFERROR((VLOOKUP(P655,Settings!$E$28:$F$33,2,FALSE)+1),1)</f>
        <v>1.1169818896661732</v>
      </c>
      <c r="AF655" s="40">
        <f>VLOOKUP(B655,'Player Data'!$A1:$AE734,20,FALSE)*$Q655</f>
        <v>7.4308754539533126</v>
      </c>
      <c r="AG655" s="40">
        <f>VLOOKUP(B655,'Player Data'!$A1:$AE734,21,FALSE)*$Q655</f>
        <v>16.763114108147988</v>
      </c>
      <c r="AH655" s="41">
        <f>VLOOKUP(B655,'Player Data'!$A1:$AE734,22,FALSE)</f>
        <v>0.30713725137723502</v>
      </c>
      <c r="AI655" s="38"/>
      <c r="AJ655" s="40"/>
      <c r="AK655" s="40"/>
      <c r="AL655" s="40"/>
      <c r="AM655" s="40"/>
      <c r="AN655" s="40"/>
      <c r="AO655" s="40"/>
      <c r="AP655" s="40"/>
      <c r="AQ655" s="43"/>
      <c r="AR655" s="44"/>
      <c r="AS655" s="38"/>
    </row>
    <row r="656" spans="1:45" ht="21.2" customHeight="1">
      <c r="A656" s="181">
        <f t="shared" si="58"/>
        <v>655</v>
      </c>
      <c r="B656" s="8" t="s">
        <v>718</v>
      </c>
      <c r="C656" s="31" t="s">
        <v>104</v>
      </c>
      <c r="D656" s="32" t="str">
        <f>VLOOKUP(B656,'Player Data'!A1:D734,4,FALSE)</f>
        <v>LW</v>
      </c>
      <c r="E656" s="48">
        <f>VLOOKUP(B656,LW!A1:C227,3,FALSE)</f>
        <v>186</v>
      </c>
      <c r="F656" s="34" t="str">
        <f>VLOOKUP(B656,'Player Data'!A1:B734,2,FALSE)</f>
        <v>FLA</v>
      </c>
      <c r="G656" s="9">
        <f>VLOOKUP(B656,'Player Data'!A1:D734,3,FALSE)</f>
        <v>28</v>
      </c>
      <c r="H656" s="35">
        <f>IFERROR(VLOOKUP(B656,ADP!A1:G731,7,FALSE)/1000000,VLOOKUP(B656,ADP!A1:G731,7,FALSE))</f>
        <v>0.8</v>
      </c>
      <c r="I656" s="36">
        <f>IF(Settings!$E$15="POINTS",((R656*Q656)*Settings!$B$12)+(S656*Settings!$B$2)+(T656*Settings!$B$3)+(U656*Settings!$B$4)+(V656*Settings!$B$5)+(X656*Settings!$B$9)+(AA656*Settings!$B$6)+(W656*Settings!$B$8)+(AB656*Settings!$B$7)+(AC656*Settings!$B$14)+(AD656*Settings!$B$15)+(AE656*Settings!$B$16)+(AF656*Settings!$B$17)+(AG656*Settings!$B$18)+(Y656*Settings!$B$10)+(Z656*Settings!$B$11),VLOOKUP(B656,'Standard Deviations'!A1:C731,3,FALSE))</f>
        <v>-3.2667706376833046</v>
      </c>
      <c r="J656" s="37">
        <f t="shared" si="59"/>
        <v>-3.9838666313211028E-2</v>
      </c>
      <c r="K656" s="183">
        <f>IF(Settings!$E$18="C/LW/RW",VLOOKUP(B656,LW!A1:F227,6,FALSE),VLOOKUP(B656,F!A1:F431,6,FALSE))</f>
        <v>-9.9214396818077049</v>
      </c>
      <c r="L656" s="36">
        <f t="shared" si="60"/>
        <v>-12.401799602259631</v>
      </c>
      <c r="M656" s="52" t="str">
        <f>IF(Settings!$E$9="YAHOO",VLOOKUP(B656,ADP!A1:E731,2,FALSE),IF(Settings!$E$9="ESPN",VLOOKUP(B656,ADP!A1:E731,3,FALSE),IF(Settings!$E$9="FANTRAX",VLOOKUP(B656,ADP!A1:E731,4,FALSE),VLOOKUP(B656,ADP!A1:E731,5,FALSE))))</f>
        <v>-</v>
      </c>
      <c r="N656" s="52" t="str">
        <f t="shared" si="61"/>
        <v>N/A</v>
      </c>
      <c r="O656" s="38"/>
      <c r="P656" s="39" t="str">
        <f>IF(Settings!$E$27="ON",_xlfn.XLOOKUP(B656,ADP!A2:A731,ADP!H2:H731)," ")</f>
        <v xml:space="preserve"> </v>
      </c>
      <c r="Q656" s="40">
        <f>IF(Settings!$E$12="YES",VLOOKUP(B656,'Player Data'!A1:E734,5,FALSE),82)</f>
        <v>82</v>
      </c>
      <c r="R656" s="38">
        <f>VLOOKUP(B656,'Player Data'!$A1:$AE734,6,FALSE)</f>
        <v>11.205898509527501</v>
      </c>
      <c r="S656" s="40">
        <f>VLOOKUP(B656,'Player Data'!$A1:$AE734,7,FALSE)*$Q656*IFERROR((VLOOKUP(P656,Settings!$E$28:$F$33,2,FALSE)+1),1)</f>
        <v>11.069204741030077</v>
      </c>
      <c r="T656" s="40">
        <f>VLOOKUP(B656,'Player Data'!$A1:$AE734,8,FALSE)*$Q656*IFERROR((VLOOKUP(P656,Settings!$E$28:$F$33,2,FALSE)+1),1)</f>
        <v>9.5684170326107481</v>
      </c>
      <c r="U656" s="40">
        <f t="shared" si="57"/>
        <v>20.637621773640824</v>
      </c>
      <c r="V656" s="40">
        <f>VLOOKUP(B656,'Player Data'!$A1:$AE734,10,FALSE)*$Q656*IFERROR(((VLOOKUP(P656,Settings!$E$28:$F$33,2,FALSE)/2)+1),1)</f>
        <v>129.14417924617121</v>
      </c>
      <c r="W656" s="40">
        <f>VLOOKUP(B656,'Player Data'!$A1:$AE734,11,FALSE)*$Q656*IFERROR((VLOOKUP(P656,Settings!$E$28:$F$33,2,FALSE)+1),1)</f>
        <v>6.1790766701837807E-2</v>
      </c>
      <c r="X656" s="40">
        <f>VLOOKUP(B656,'Player Data'!$A1:$AE734,12,FALSE)*$Q656*IFERROR((VLOOKUP(P656,Settings!$E$28:$F$33,2,FALSE)+1),1)</f>
        <v>0.15678695582815524</v>
      </c>
      <c r="Y656" s="40">
        <f>VLOOKUP(B656,'Player Data'!$A1:$AE734,13,FALSE)*$Q656</f>
        <v>4.6176183024232209E-2</v>
      </c>
      <c r="Z656" s="40">
        <f>VLOOKUP(B656,'Player Data'!$A1:$AE734,14,FALSE)*$Q656</f>
        <v>0.24473318510384187</v>
      </c>
      <c r="AA656" s="40">
        <f>VLOOKUP(B656,'Player Data'!$A1:$AE734,15,FALSE)*$Q656</f>
        <v>22.372771668646422</v>
      </c>
      <c r="AB656" s="40">
        <f>VLOOKUP(B656,'Player Data'!$A1:$AE734,16,FALSE)*$Q656</f>
        <v>153.93635686476532</v>
      </c>
      <c r="AC656" s="40">
        <f>VLOOKUP(B656,'Player Data'!$A1:$AE734,17,FALSE)*$Q656*IFERROR((VLOOKUP(P656,Settings!$E$28:$F$33,2,FALSE)+1),1)</f>
        <v>2.9489591614706905</v>
      </c>
      <c r="AD656" s="40">
        <f>VLOOKUP(B656,'Player Data'!$A1:$AE734,18,FALSE)*$Q656</f>
        <v>63.436053851237375</v>
      </c>
      <c r="AE656" s="40">
        <f>VLOOKUP(B656,'Player Data'!$A1:$AE734,19,FALSE)*$Q656*IFERROR((VLOOKUP(P656,Settings!$E$28:$F$33,2,FALSE)+1),1)</f>
        <v>1.5879026687659596</v>
      </c>
      <c r="AF656" s="40">
        <f>VLOOKUP(B656,'Player Data'!$A1:$AE734,20,FALSE)*$Q656</f>
        <v>8.4735630406564635</v>
      </c>
      <c r="AG656" s="40">
        <f>VLOOKUP(B656,'Player Data'!$A1:$AE734,21,FALSE)*$Q656</f>
        <v>17.386939143030499</v>
      </c>
      <c r="AH656" s="41">
        <f>VLOOKUP(B656,'Player Data'!$A1:$AE734,22,FALSE)</f>
        <v>0.32766428820557397</v>
      </c>
      <c r="AI656" s="38"/>
      <c r="AJ656" s="42"/>
      <c r="AK656" s="40"/>
      <c r="AL656" s="40"/>
      <c r="AM656" s="40"/>
      <c r="AN656" s="40"/>
      <c r="AO656" s="40"/>
      <c r="AP656" s="40"/>
      <c r="AQ656" s="43"/>
      <c r="AR656" s="44"/>
      <c r="AS656" s="42"/>
    </row>
    <row r="657" spans="1:45" ht="21.2" customHeight="1">
      <c r="A657" s="181">
        <f t="shared" si="58"/>
        <v>656</v>
      </c>
      <c r="B657" s="8" t="s">
        <v>699</v>
      </c>
      <c r="C657" s="31" t="s">
        <v>104</v>
      </c>
      <c r="D657" s="32" t="str">
        <f>VLOOKUP(B657,'Player Data'!A1:D734,4,FALSE)</f>
        <v>C,LW</v>
      </c>
      <c r="E657" s="45">
        <f>VLOOKUP(B657,LW!A1:C227,3,FALSE)</f>
        <v>187</v>
      </c>
      <c r="F657" s="34" t="str">
        <f>VLOOKUP(B657,'Player Data'!A1:B734,2,FALSE)</f>
        <v>VAN</v>
      </c>
      <c r="G657" s="9">
        <f>VLOOKUP(B657,'Player Data'!A1:D734,3,FALSE)</f>
        <v>29</v>
      </c>
      <c r="H657" s="35">
        <f>IFERROR(VLOOKUP(B657,ADP!A1:G731,7,FALSE)/1000000,VLOOKUP(B657,ADP!A1:G731,7,FALSE))</f>
        <v>1.9</v>
      </c>
      <c r="I657" s="36">
        <f>IF(Settings!$E$15="POINTS",((R657*Q657)*Settings!$B$12)+(S657*Settings!$B$2)+(T657*Settings!$B$3)+(U657*Settings!$B$4)+(V657*Settings!$B$5)+(X657*Settings!$B$9)+(AA657*Settings!$B$6)+(W657*Settings!$B$8)+(AB657*Settings!$B$7)+(AC657*Settings!$B$14)+(AD657*Settings!$B$15)+(AE657*Settings!$B$16)+(AF657*Settings!$B$17)+(AG657*Settings!$B$18)+(Y657*Settings!$B$10)+(Z657*Settings!$B$11),VLOOKUP(B657,'Standard Deviations'!A1:C731,3,FALSE))</f>
        <v>-3.2771970947890514</v>
      </c>
      <c r="J657" s="37">
        <f t="shared" si="59"/>
        <v>-3.9965818229134774E-2</v>
      </c>
      <c r="K657" s="183">
        <f>IF(Settings!$E$18="C/LW/RW",VLOOKUP(B657,LW!A1:F227,6,FALSE),VLOOKUP(B657,F!A1:F431,6,FALSE))</f>
        <v>-9.9318661389134526</v>
      </c>
      <c r="L657" s="36">
        <f t="shared" si="60"/>
        <v>-5.2272979678491858</v>
      </c>
      <c r="M657" s="52" t="str">
        <f>IF(Settings!$E$9="YAHOO",VLOOKUP(B657,ADP!A1:E731,2,FALSE),IF(Settings!$E$9="ESPN",VLOOKUP(B657,ADP!A1:E731,3,FALSE),IF(Settings!$E$9="FANTRAX",VLOOKUP(B657,ADP!A1:E731,4,FALSE),VLOOKUP(B657,ADP!A1:E731,5,FALSE))))</f>
        <v>-</v>
      </c>
      <c r="N657" s="52" t="str">
        <f t="shared" si="61"/>
        <v>N/A</v>
      </c>
      <c r="O657" s="38"/>
      <c r="P657" s="39" t="str">
        <f>IF(Settings!$E$27="ON",_xlfn.XLOOKUP(B657,ADP!A2:A731,ADP!H2:H731)," ")</f>
        <v xml:space="preserve"> </v>
      </c>
      <c r="Q657" s="40">
        <f>IF(Settings!$E$12="YES",VLOOKUP(B657,'Player Data'!A1:E734,5,FALSE),82)</f>
        <v>82</v>
      </c>
      <c r="R657" s="38">
        <f>VLOOKUP(B657,'Player Data'!$A1:$AE734,6,FALSE)</f>
        <v>12.968644329933699</v>
      </c>
      <c r="S657" s="40">
        <f>VLOOKUP(B657,'Player Data'!$A1:$AE734,7,FALSE)*$Q657*IFERROR((VLOOKUP(P657,Settings!$E$28:$F$33,2,FALSE)+1),1)</f>
        <v>7.5581856684217907</v>
      </c>
      <c r="T657" s="40">
        <f>VLOOKUP(B657,'Player Data'!$A1:$AE734,8,FALSE)*$Q657*IFERROR((VLOOKUP(P657,Settings!$E$28:$F$33,2,FALSE)+1),1)</f>
        <v>17.140435602405603</v>
      </c>
      <c r="U657" s="40">
        <f t="shared" si="57"/>
        <v>24.698621270827395</v>
      </c>
      <c r="V657" s="40">
        <f>VLOOKUP(B657,'Player Data'!$A1:$AE734,10,FALSE)*$Q657*IFERROR(((VLOOKUP(P657,Settings!$E$28:$F$33,2,FALSE)/2)+1),1)</f>
        <v>105.13846294274509</v>
      </c>
      <c r="W657" s="40">
        <f>VLOOKUP(B657,'Player Data'!$A1:$AE734,11,FALSE)*$Q657*IFERROR((VLOOKUP(P657,Settings!$E$28:$F$33,2,FALSE)+1),1)</f>
        <v>6.2585316982423408E-2</v>
      </c>
      <c r="X657" s="40">
        <f>VLOOKUP(B657,'Player Data'!$A1:$AE734,12,FALSE)*$Q657*IFERROR((VLOOKUP(P657,Settings!$E$28:$F$33,2,FALSE)+1),1)</f>
        <v>0.15994148721327786</v>
      </c>
      <c r="Y657" s="40">
        <f>VLOOKUP(B657,'Player Data'!$A1:$AE734,13,FALSE)*$Q657</f>
        <v>1.0298658516995041</v>
      </c>
      <c r="Z657" s="40">
        <f>VLOOKUP(B657,'Player Data'!$A1:$AE734,14,FALSE)*$Q657</f>
        <v>2.0656066369886337</v>
      </c>
      <c r="AA657" s="40">
        <f>VLOOKUP(B657,'Player Data'!$A1:$AE734,15,FALSE)*$Q657</f>
        <v>51.565842988054897</v>
      </c>
      <c r="AB657" s="40">
        <f>VLOOKUP(B657,'Player Data'!$A1:$AE734,16,FALSE)*$Q657</f>
        <v>98.333092036129372</v>
      </c>
      <c r="AC657" s="40">
        <f>VLOOKUP(B657,'Player Data'!$A1:$AE734,17,FALSE)*$Q657*IFERROR((VLOOKUP(P657,Settings!$E$28:$F$33,2,FALSE)+1),1)</f>
        <v>-0.53753008372233912</v>
      </c>
      <c r="AD657" s="40">
        <f>VLOOKUP(B657,'Player Data'!$A1:$AE734,18,FALSE)*$Q657</f>
        <v>17.645901471471191</v>
      </c>
      <c r="AE657" s="40">
        <f>VLOOKUP(B657,'Player Data'!$A1:$AE734,19,FALSE)*$Q657*IFERROR((VLOOKUP(P657,Settings!$E$28:$F$33,2,FALSE)+1),1)</f>
        <v>1.0699341099508728</v>
      </c>
      <c r="AF657" s="40">
        <f>VLOOKUP(B657,'Player Data'!$A1:$AE734,20,FALSE)*$Q657</f>
        <v>384.28434242185097</v>
      </c>
      <c r="AG657" s="40">
        <f>VLOOKUP(B657,'Player Data'!$A1:$AE734,21,FALSE)*$Q657</f>
        <v>357.67736089581604</v>
      </c>
      <c r="AH657" s="41">
        <f>VLOOKUP(B657,'Player Data'!$A1:$AE734,22,FALSE)</f>
        <v>0.51793015825955901</v>
      </c>
      <c r="AI657" s="38"/>
      <c r="AJ657" s="42"/>
      <c r="AK657" s="40"/>
      <c r="AL657" s="40"/>
      <c r="AM657" s="40"/>
      <c r="AN657" s="40"/>
      <c r="AO657" s="40"/>
      <c r="AP657" s="40"/>
      <c r="AQ657" s="43"/>
      <c r="AR657" s="44"/>
      <c r="AS657" s="38"/>
    </row>
    <row r="658" spans="1:45" ht="21.2" customHeight="1">
      <c r="A658" s="181">
        <f t="shared" si="58"/>
        <v>657</v>
      </c>
      <c r="B658" s="8" t="s">
        <v>802</v>
      </c>
      <c r="C658" s="31" t="s">
        <v>104</v>
      </c>
      <c r="D658" s="32" t="str">
        <f>VLOOKUP(B658,'Player Data'!A1:D734,4,FALSE)</f>
        <v>C</v>
      </c>
      <c r="E658" s="33">
        <f>VLOOKUP(B658,'C'!A1:C208,3,FALSE)</f>
        <v>171</v>
      </c>
      <c r="F658" s="34" t="str">
        <f>VLOOKUP(B658,'Player Data'!A1:B734,2,FALSE)</f>
        <v>MIN</v>
      </c>
      <c r="G658" s="9">
        <f>VLOOKUP(B658,'Player Data'!A1:D734,3,FALSE)</f>
        <v>21</v>
      </c>
      <c r="H658" s="35">
        <f>IFERROR(VLOOKUP(B658,ADP!A1:G731,7,FALSE)/1000000,VLOOKUP(B658,ADP!A1:G731,7,FALSE))</f>
        <v>0.86333300000000002</v>
      </c>
      <c r="I658" s="36">
        <f>IF(Settings!$E$15="POINTS",((R658*Q658)*Settings!$B$12)+(S658*Settings!$B$2)+(T658*Settings!$B$3)+(U658*Settings!$B$4)+(V658*Settings!$B$5)+(X658*Settings!$B$9)+(AA658*Settings!$B$6)+(W658*Settings!$B$8)+(AB658*Settings!$B$7)+(AC658*Settings!$B$14)+(AD658*Settings!$B$15)+(AE658*Settings!$B$16)+(AF658*Settings!$B$17)+(AG658*Settings!$B$18)+(Y658*Settings!$B$10)+(Z658*Settings!$B$11),VLOOKUP(B658,'Standard Deviations'!A1:C731,3,FALSE))</f>
        <v>-3.606072166397408</v>
      </c>
      <c r="J658" s="37">
        <f t="shared" si="59"/>
        <v>-4.3976489834114729E-2</v>
      </c>
      <c r="K658" s="183">
        <f>IF(Settings!$E$18="C/LW/RW",VLOOKUP(B658,'C'!A1:F208,6,FALSE),VLOOKUP(B658,F!A1:F431,6,FALSE))</f>
        <v>-9.9431228906040108</v>
      </c>
      <c r="L658" s="36">
        <f t="shared" si="60"/>
        <v>-11.517135208087737</v>
      </c>
      <c r="M658" s="52" t="str">
        <f>IF(Settings!$E$9="YAHOO",VLOOKUP(B658,ADP!A1:E731,2,FALSE),IF(Settings!$E$9="ESPN",VLOOKUP(B658,ADP!A1:E731,3,FALSE),IF(Settings!$E$9="FANTRAX",VLOOKUP(B658,ADP!A1:E731,4,FALSE),VLOOKUP(B658,ADP!A1:E731,5,FALSE))))</f>
        <v>-</v>
      </c>
      <c r="N658" s="52" t="str">
        <f t="shared" si="61"/>
        <v>N/A</v>
      </c>
      <c r="O658" s="38"/>
      <c r="P658" s="39" t="str">
        <f>IF(Settings!$E$27="ON",_xlfn.XLOOKUP(B658,ADP!A2:A731,ADP!H2:H731)," ")</f>
        <v xml:space="preserve"> </v>
      </c>
      <c r="Q658" s="40">
        <f>IF(Settings!$E$12="YES",VLOOKUP(B658,'Player Data'!A1:E734,5,FALSE),82)</f>
        <v>82</v>
      </c>
      <c r="R658" s="38">
        <f>VLOOKUP(B658,'Player Data'!$A1:$AE734,6,FALSE)</f>
        <v>12.886467260524</v>
      </c>
      <c r="S658" s="40">
        <f>VLOOKUP(B658,'Player Data'!$A1:$AE734,7,FALSE)*$Q658*IFERROR((VLOOKUP(P658,Settings!$E$28:$F$33,2,FALSE)+1),1)</f>
        <v>8.6249645786593998</v>
      </c>
      <c r="T658" s="40">
        <f>VLOOKUP(B658,'Player Data'!$A1:$AE734,8,FALSE)*$Q658*IFERROR((VLOOKUP(P658,Settings!$E$28:$F$33,2,FALSE)+1),1)</f>
        <v>13.272962340388689</v>
      </c>
      <c r="U658" s="40">
        <f t="shared" si="57"/>
        <v>21.897926919048089</v>
      </c>
      <c r="V658" s="40">
        <f>VLOOKUP(B658,'Player Data'!$A1:$AE734,10,FALSE)*$Q658*IFERROR(((VLOOKUP(P658,Settings!$E$28:$F$33,2,FALSE)/2)+1),1)</f>
        <v>88.654626257307299</v>
      </c>
      <c r="W658" s="40">
        <f>VLOOKUP(B658,'Player Data'!$A1:$AE734,11,FALSE)*$Q658*IFERROR((VLOOKUP(P658,Settings!$E$28:$F$33,2,FALSE)+1),1)</f>
        <v>1.0958141495100131</v>
      </c>
      <c r="X658" s="40">
        <f>VLOOKUP(B658,'Player Data'!$A1:$AE734,12,FALSE)*$Q658*IFERROR((VLOOKUP(P658,Settings!$E$28:$F$33,2,FALSE)+1),1)</f>
        <v>2.6518516830527501</v>
      </c>
      <c r="Y658" s="40">
        <f>VLOOKUP(B658,'Player Data'!$A1:$AE734,13,FALSE)*$Q658</f>
        <v>9.3923576118329757E-2</v>
      </c>
      <c r="Z658" s="40">
        <f>VLOOKUP(B658,'Player Data'!$A1:$AE734,14,FALSE)*$Q658</f>
        <v>0.18190207320493981</v>
      </c>
      <c r="AA658" s="40">
        <f>VLOOKUP(B658,'Player Data'!$A1:$AE734,15,FALSE)*$Q658</f>
        <v>36.607898408620358</v>
      </c>
      <c r="AB658" s="40">
        <f>VLOOKUP(B658,'Player Data'!$A1:$AE734,16,FALSE)*$Q658</f>
        <v>68.08204625385892</v>
      </c>
      <c r="AC658" s="40">
        <f>VLOOKUP(B658,'Player Data'!$A1:$AE734,17,FALSE)*$Q658*IFERROR((VLOOKUP(P658,Settings!$E$28:$F$33,2,FALSE)+1),1)</f>
        <v>0.28521679430204178</v>
      </c>
      <c r="AD658" s="40">
        <f>VLOOKUP(B658,'Player Data'!$A1:$AE734,18,FALSE)*$Q658</f>
        <v>32.256576485270713</v>
      </c>
      <c r="AE658" s="40">
        <f>VLOOKUP(B658,'Player Data'!$A1:$AE734,19,FALSE)*$Q658*IFERROR((VLOOKUP(P658,Settings!$E$28:$F$33,2,FALSE)+1),1)</f>
        <v>1.3849658961543567</v>
      </c>
      <c r="AF658" s="40">
        <f>VLOOKUP(B658,'Player Data'!$A1:$AE734,20,FALSE)*$Q658</f>
        <v>297.7747746498689</v>
      </c>
      <c r="AG658" s="40">
        <f>VLOOKUP(B658,'Player Data'!$A1:$AE734,21,FALSE)*$Q658</f>
        <v>353.14319854841779</v>
      </c>
      <c r="AH658" s="41">
        <f>VLOOKUP(B658,'Player Data'!$A1:$AE734,22,FALSE)</f>
        <v>0.45746896984078</v>
      </c>
      <c r="AI658" s="38"/>
      <c r="AJ658" s="42"/>
      <c r="AK658" s="40"/>
      <c r="AL658" s="40"/>
      <c r="AM658" s="40"/>
      <c r="AN658" s="40"/>
      <c r="AO658" s="40"/>
      <c r="AP658" s="40"/>
      <c r="AQ658" s="43"/>
      <c r="AR658" s="44"/>
      <c r="AS658" s="38"/>
    </row>
    <row r="659" spans="1:45" ht="21.2" customHeight="1">
      <c r="A659" s="181">
        <f t="shared" si="58"/>
        <v>658</v>
      </c>
      <c r="B659" s="8" t="s">
        <v>731</v>
      </c>
      <c r="C659" s="31" t="s">
        <v>104</v>
      </c>
      <c r="D659" s="32" t="str">
        <f>VLOOKUP(B659,'Player Data'!A1:D734,4,FALSE)</f>
        <v>C</v>
      </c>
      <c r="E659" s="33">
        <f>VLOOKUP(B659,'C'!A1:C208,3,FALSE)</f>
        <v>172</v>
      </c>
      <c r="F659" s="34" t="str">
        <f>VLOOKUP(B659,'Player Data'!A1:B734,2,FALSE)</f>
        <v>NJD</v>
      </c>
      <c r="G659" s="9">
        <f>VLOOKUP(B659,'Player Data'!A1:D734,3,FALSE)</f>
        <v>25</v>
      </c>
      <c r="H659" s="35">
        <f>IFERROR(VLOOKUP(B659,ADP!A1:G731,7,FALSE)/1000000,VLOOKUP(B659,ADP!A1:G731,7,FALSE))</f>
        <v>1.4</v>
      </c>
      <c r="I659" s="36">
        <f>IF(Settings!$E$15="POINTS",((R659*Q659)*Settings!$B$12)+(S659*Settings!$B$2)+(T659*Settings!$B$3)+(U659*Settings!$B$4)+(V659*Settings!$B$5)+(X659*Settings!$B$9)+(AA659*Settings!$B$6)+(W659*Settings!$B$8)+(AB659*Settings!$B$7)+(AC659*Settings!$B$14)+(AD659*Settings!$B$15)+(AE659*Settings!$B$16)+(AF659*Settings!$B$17)+(AG659*Settings!$B$18)+(Y659*Settings!$B$10)+(Z659*Settings!$B$11),VLOOKUP(B659,'Standard Deviations'!A1:C731,3,FALSE))</f>
        <v>-3.6247672085559506</v>
      </c>
      <c r="J659" s="37">
        <f t="shared" si="59"/>
        <v>-4.4204478153121347E-2</v>
      </c>
      <c r="K659" s="183">
        <f>IF(Settings!$E$18="C/LW/RW",VLOOKUP(B659,'C'!A1:F208,6,FALSE),VLOOKUP(B659,F!A1:F431,6,FALSE))</f>
        <v>-9.9618179327625533</v>
      </c>
      <c r="L659" s="36">
        <f t="shared" si="60"/>
        <v>-7.1155842376875382</v>
      </c>
      <c r="M659" s="52" t="str">
        <f>IF(Settings!$E$9="YAHOO",VLOOKUP(B659,ADP!A1:E731,2,FALSE),IF(Settings!$E$9="ESPN",VLOOKUP(B659,ADP!A1:E731,3,FALSE),IF(Settings!$E$9="FANTRAX",VLOOKUP(B659,ADP!A1:E731,4,FALSE),VLOOKUP(B659,ADP!A1:E731,5,FALSE))))</f>
        <v>-</v>
      </c>
      <c r="N659" s="52" t="str">
        <f t="shared" si="61"/>
        <v>N/A</v>
      </c>
      <c r="O659" s="38"/>
      <c r="P659" s="39" t="str">
        <f>IF(Settings!$E$27="ON",_xlfn.XLOOKUP(B659,ADP!A2:A731,ADP!H2:H731)," ")</f>
        <v xml:space="preserve"> </v>
      </c>
      <c r="Q659" s="40">
        <f>IF(Settings!$E$12="YES",VLOOKUP(B659,'Player Data'!A1:E734,5,FALSE),82)</f>
        <v>82</v>
      </c>
      <c r="R659" s="38">
        <f>VLOOKUP(B659,'Player Data'!$A1:$AE734,6,FALSE)</f>
        <v>12.2412363922256</v>
      </c>
      <c r="S659" s="40">
        <f>VLOOKUP(B659,'Player Data'!$A1:$AE734,7,FALSE)*$Q659*IFERROR((VLOOKUP(P659,Settings!$E$28:$F$33,2,FALSE)+1),1)</f>
        <v>6.6790242417974302</v>
      </c>
      <c r="T659" s="40">
        <f>VLOOKUP(B659,'Player Data'!$A1:$AE734,8,FALSE)*$Q659*IFERROR((VLOOKUP(P659,Settings!$E$28:$F$33,2,FALSE)+1),1)</f>
        <v>17.597868770096735</v>
      </c>
      <c r="U659" s="40">
        <f t="shared" si="57"/>
        <v>24.276893011894167</v>
      </c>
      <c r="V659" s="40">
        <f>VLOOKUP(B659,'Player Data'!$A1:$AE734,10,FALSE)*$Q659*IFERROR(((VLOOKUP(P659,Settings!$E$28:$F$33,2,FALSE)/2)+1),1)</f>
        <v>88.728601039351176</v>
      </c>
      <c r="W659" s="40">
        <f>VLOOKUP(B659,'Player Data'!$A1:$AE734,11,FALSE)*$Q659*IFERROR((VLOOKUP(P659,Settings!$E$28:$F$33,2,FALSE)+1),1)</f>
        <v>5.3889138348079541E-2</v>
      </c>
      <c r="X659" s="40">
        <f>VLOOKUP(B659,'Player Data'!$A1:$AE734,12,FALSE)*$Q659*IFERROR((VLOOKUP(P659,Settings!$E$28:$F$33,2,FALSE)+1),1)</f>
        <v>0.13457568986086221</v>
      </c>
      <c r="Y659" s="40">
        <f>VLOOKUP(B659,'Player Data'!$A1:$AE734,13,FALSE)*$Q659</f>
        <v>0.1126923463750701</v>
      </c>
      <c r="Z659" s="40">
        <f>VLOOKUP(B659,'Player Data'!$A1:$AE734,14,FALSE)*$Q659</f>
        <v>0.92250866397342501</v>
      </c>
      <c r="AA659" s="40">
        <f>VLOOKUP(B659,'Player Data'!$A1:$AE734,15,FALSE)*$Q659</f>
        <v>44.933316937674263</v>
      </c>
      <c r="AB659" s="40">
        <f>VLOOKUP(B659,'Player Data'!$A1:$AE734,16,FALSE)*$Q659</f>
        <v>135.19764879345669</v>
      </c>
      <c r="AC659" s="40">
        <f>VLOOKUP(B659,'Player Data'!$A1:$AE734,17,FALSE)*$Q659*IFERROR((VLOOKUP(P659,Settings!$E$28:$F$33,2,FALSE)+1),1)</f>
        <v>-0.64670460701626331</v>
      </c>
      <c r="AD659" s="40">
        <f>VLOOKUP(B659,'Player Data'!$A1:$AE734,18,FALSE)*$Q659</f>
        <v>40.611173718493333</v>
      </c>
      <c r="AE659" s="40">
        <f>VLOOKUP(B659,'Player Data'!$A1:$AE734,19,FALSE)*$Q659*IFERROR((VLOOKUP(P659,Settings!$E$28:$F$33,2,FALSE)+1),1)</f>
        <v>0.98166949808393189</v>
      </c>
      <c r="AF659" s="40">
        <f>VLOOKUP(B659,'Player Data'!$A1:$AE734,20,FALSE)*$Q659</f>
        <v>568.39568879955027</v>
      </c>
      <c r="AG659" s="40">
        <f>VLOOKUP(B659,'Player Data'!$A1:$AE734,21,FALSE)*$Q659</f>
        <v>417.59587300177731</v>
      </c>
      <c r="AH659" s="41">
        <f>VLOOKUP(B659,'Player Data'!$A1:$AE734,22,FALSE)</f>
        <v>0.57647114926737997</v>
      </c>
      <c r="AI659" s="38"/>
      <c r="AJ659" s="42"/>
      <c r="AK659" s="40"/>
      <c r="AL659" s="40"/>
      <c r="AM659" s="40"/>
      <c r="AN659" s="40"/>
      <c r="AO659" s="40"/>
      <c r="AP659" s="40"/>
      <c r="AQ659" s="43"/>
      <c r="AR659" s="44"/>
      <c r="AS659" s="38"/>
    </row>
    <row r="660" spans="1:45" ht="21.2" customHeight="1">
      <c r="A660" s="181">
        <f t="shared" si="58"/>
        <v>659</v>
      </c>
      <c r="B660" s="8" t="s">
        <v>768</v>
      </c>
      <c r="C660" s="31" t="s">
        <v>104</v>
      </c>
      <c r="D660" s="32" t="str">
        <f>VLOOKUP(B660,'Player Data'!A1:D734,4,FALSE)</f>
        <v>C,LW</v>
      </c>
      <c r="E660" s="45">
        <f>VLOOKUP(B660,LW!A1:C227,3,FALSE)</f>
        <v>190</v>
      </c>
      <c r="F660" s="34" t="str">
        <f>VLOOKUP(B660,'Player Data'!A1:B734,2,FALSE)</f>
        <v>CAR</v>
      </c>
      <c r="G660" s="9">
        <f>VLOOKUP(B660,'Player Data'!A1:D734,3,FALSE)</f>
        <v>23</v>
      </c>
      <c r="H660" s="35">
        <f>IFERROR(VLOOKUP(B660,ADP!A1:G731,7,FALSE)/1000000,VLOOKUP(B660,ADP!A1:G731,7,FALSE))</f>
        <v>0.92500000000000004</v>
      </c>
      <c r="I660" s="36">
        <f>IF(Settings!$E$15="POINTS",((R660*Q660)*Settings!$B$12)+(S660*Settings!$B$2)+(T660*Settings!$B$3)+(U660*Settings!$B$4)+(V660*Settings!$B$5)+(X660*Settings!$B$9)+(AA660*Settings!$B$6)+(W660*Settings!$B$8)+(AB660*Settings!$B$7)+(AC660*Settings!$B$14)+(AD660*Settings!$B$15)+(AE660*Settings!$B$16)+(AF660*Settings!$B$17)+(AG660*Settings!$B$18)+(Y660*Settings!$B$10)+(Z660*Settings!$B$11),VLOOKUP(B660,'Standard Deviations'!A1:C731,3,FALSE))</f>
        <v>-3.322707621279247</v>
      </c>
      <c r="J660" s="37">
        <f t="shared" si="59"/>
        <v>-4.0520824649746913E-2</v>
      </c>
      <c r="K660" s="183">
        <f>IF(Settings!$E$18="C/LW/RW",VLOOKUP(B660,LW!A1:F227,6,FALSE),VLOOKUP(B660,F!A1:F431,6,FALSE))</f>
        <v>-9.9773766654036482</v>
      </c>
      <c r="L660" s="36">
        <f t="shared" si="60"/>
        <v>-10.786353151787727</v>
      </c>
      <c r="M660" s="52" t="str">
        <f>IF(Settings!$E$9="YAHOO",VLOOKUP(B660,ADP!A1:E731,2,FALSE),IF(Settings!$E$9="ESPN",VLOOKUP(B660,ADP!A1:E731,3,FALSE),IF(Settings!$E$9="FANTRAX",VLOOKUP(B660,ADP!A1:E731,4,FALSE),VLOOKUP(B660,ADP!A1:E731,5,FALSE))))</f>
        <v>-</v>
      </c>
      <c r="N660" s="52" t="str">
        <f t="shared" si="61"/>
        <v>N/A</v>
      </c>
      <c r="O660" s="38"/>
      <c r="P660" s="39" t="str">
        <f>IF(Settings!$E$27="ON",_xlfn.XLOOKUP(B660,ADP!A2:A731,ADP!H2:H731)," ")</f>
        <v xml:space="preserve"> </v>
      </c>
      <c r="Q660" s="40">
        <f>IF(Settings!$E$12="YES",VLOOKUP(B660,'Player Data'!A1:E734,5,FALSE),82)</f>
        <v>82</v>
      </c>
      <c r="R660" s="38">
        <f>VLOOKUP(B660,'Player Data'!$A1:$AE734,6,FALSE)</f>
        <v>10.370621475443301</v>
      </c>
      <c r="S660" s="40">
        <f>VLOOKUP(B660,'Player Data'!$A1:$AE734,7,FALSE)*$Q660*IFERROR((VLOOKUP(P660,Settings!$E$28:$F$33,2,FALSE)+1),1)</f>
        <v>8.3519731363787351</v>
      </c>
      <c r="T660" s="40">
        <f>VLOOKUP(B660,'Player Data'!$A1:$AE734,8,FALSE)*$Q660*IFERROR((VLOOKUP(P660,Settings!$E$28:$F$33,2,FALSE)+1),1)</f>
        <v>11.783406841987505</v>
      </c>
      <c r="U660" s="40">
        <f t="shared" si="57"/>
        <v>20.135379978366238</v>
      </c>
      <c r="V660" s="40">
        <f>VLOOKUP(B660,'Player Data'!$A1:$AE734,10,FALSE)*$Q660*IFERROR(((VLOOKUP(P660,Settings!$E$28:$F$33,2,FALSE)/2)+1),1)</f>
        <v>125.9866829071117</v>
      </c>
      <c r="W660" s="40">
        <f>VLOOKUP(B660,'Player Data'!$A1:$AE734,11,FALSE)*$Q660*IFERROR((VLOOKUP(P660,Settings!$E$28:$F$33,2,FALSE)+1),1)</f>
        <v>0.39858930515311369</v>
      </c>
      <c r="X660" s="40">
        <f>VLOOKUP(B660,'Player Data'!$A1:$AE734,12,FALSE)*$Q660*IFERROR((VLOOKUP(P660,Settings!$E$28:$F$33,2,FALSE)+1),1)</f>
        <v>1.3430853045739974</v>
      </c>
      <c r="Y660" s="40">
        <f>VLOOKUP(B660,'Player Data'!$A1:$AE734,13,FALSE)*$Q660</f>
        <v>0.11259147722294514</v>
      </c>
      <c r="Z660" s="40">
        <f>VLOOKUP(B660,'Player Data'!$A1:$AE734,14,FALSE)*$Q660</f>
        <v>0.22422263120109576</v>
      </c>
      <c r="AA660" s="40">
        <f>VLOOKUP(B660,'Player Data'!$A1:$AE734,15,FALSE)*$Q660</f>
        <v>34.095489661203686</v>
      </c>
      <c r="AB660" s="40">
        <f>VLOOKUP(B660,'Player Data'!$A1:$AE734,16,FALSE)*$Q660</f>
        <v>61.628504241689789</v>
      </c>
      <c r="AC660" s="40">
        <f>VLOOKUP(B660,'Player Data'!$A1:$AE734,17,FALSE)*$Q660*IFERROR((VLOOKUP(P660,Settings!$E$28:$F$33,2,FALSE)+1),1)</f>
        <v>6.8509092882825273</v>
      </c>
      <c r="AD660" s="40">
        <f>VLOOKUP(B660,'Player Data'!$A1:$AE734,18,FALSE)*$Q660</f>
        <v>25.350818029618175</v>
      </c>
      <c r="AE660" s="40">
        <f>VLOOKUP(B660,'Player Data'!$A1:$AE734,19,FALSE)*$Q660*IFERROR((VLOOKUP(P660,Settings!$E$28:$F$33,2,FALSE)+1),1)</f>
        <v>1.498530995487628</v>
      </c>
      <c r="AF660" s="40">
        <f>VLOOKUP(B660,'Player Data'!$A1:$AE734,20,FALSE)*$Q660</f>
        <v>144.47515195814509</v>
      </c>
      <c r="AG660" s="40">
        <f>VLOOKUP(B660,'Player Data'!$A1:$AE734,21,FALSE)*$Q660</f>
        <v>119.15403810575671</v>
      </c>
      <c r="AH660" s="41">
        <f>VLOOKUP(B660,'Player Data'!$A1:$AE734,22,FALSE)</f>
        <v>0.54802410887476005</v>
      </c>
      <c r="AI660" s="38"/>
      <c r="AJ660" s="42"/>
      <c r="AK660" s="40"/>
      <c r="AL660" s="40"/>
      <c r="AM660" s="40"/>
      <c r="AN660" s="40"/>
      <c r="AO660" s="40"/>
      <c r="AP660" s="40"/>
      <c r="AQ660" s="43"/>
      <c r="AR660" s="44"/>
      <c r="AS660" s="38"/>
    </row>
    <row r="661" spans="1:45" ht="21.2" customHeight="1">
      <c r="A661" s="181">
        <f t="shared" si="58"/>
        <v>660</v>
      </c>
      <c r="B661" s="8" t="s">
        <v>711</v>
      </c>
      <c r="C661" s="31" t="s">
        <v>104</v>
      </c>
      <c r="D661" s="32" t="str">
        <f>VLOOKUP(B661,'Player Data'!A1:D734,4,FALSE)</f>
        <v>LW,RW</v>
      </c>
      <c r="E661" s="45">
        <f>VLOOKUP(B661,RW!A1:F189,3,FALSE)</f>
        <v>169</v>
      </c>
      <c r="F661" s="34" t="str">
        <f>VLOOKUP(B661,'Player Data'!A1:B734,2,FALSE)</f>
        <v>STL</v>
      </c>
      <c r="G661" s="9">
        <f>VLOOKUP(B661,'Player Data'!A1:D734,3,FALSE)</f>
        <v>24</v>
      </c>
      <c r="H661" s="35">
        <f>IFERROR(VLOOKUP(B661,ADP!A1:G731,7,FALSE)/1000000,VLOOKUP(B661,ADP!A1:G731,7,FALSE))</f>
        <v>1.25</v>
      </c>
      <c r="I661" s="36">
        <f>IF(Settings!$E$15="POINTS",((R661*Q661)*Settings!$B$12)+(S661*Settings!$B$2)+(T661*Settings!$B$3)+(U661*Settings!$B$4)+(V661*Settings!$B$5)+(X661*Settings!$B$9)+(AA661*Settings!$B$6)+(W661*Settings!$B$8)+(AB661*Settings!$B$7)+(AC661*Settings!$B$14)+(AD661*Settings!$B$15)+(AE661*Settings!$B$16)+(AF661*Settings!$B$17)+(AG661*Settings!$B$18)+(Y661*Settings!$B$10)+(Z661*Settings!$B$11),VLOOKUP(B661,'Standard Deviations'!A1:C731,3,FALSE))</f>
        <v>-3.7049741314572016</v>
      </c>
      <c r="J661" s="37">
        <f t="shared" si="59"/>
        <v>-4.5182611359234168E-2</v>
      </c>
      <c r="K661" s="183">
        <f>IF(Settings!$E$18="C/LW/RW",VLOOKUP(B661,RW!A1:F189,6,FALSE),VLOOKUP(B661,F!A1:F431,6,FALSE))</f>
        <v>-9.9852328504682824</v>
      </c>
      <c r="L661" s="36">
        <f t="shared" si="60"/>
        <v>-7.9881862803746255</v>
      </c>
      <c r="M661" s="52" t="str">
        <f>IF(Settings!$E$9="YAHOO",VLOOKUP(B661,ADP!A1:E731,2,FALSE),IF(Settings!$E$9="ESPN",VLOOKUP(B661,ADP!A1:E731,3,FALSE),IF(Settings!$E$9="FANTRAX",VLOOKUP(B661,ADP!A1:E731,4,FALSE),VLOOKUP(B661,ADP!A1:E731,5,FALSE))))</f>
        <v>-</v>
      </c>
      <c r="N661" s="52" t="str">
        <f t="shared" si="61"/>
        <v>N/A</v>
      </c>
      <c r="O661" s="38"/>
      <c r="P661" s="39" t="str">
        <f>IF(Settings!$E$27="ON",_xlfn.XLOOKUP(B661,ADP!A2:A731,ADP!H2:H731)," ")</f>
        <v xml:space="preserve"> </v>
      </c>
      <c r="Q661" s="40">
        <f>IF(Settings!$E$12="YES",VLOOKUP(B661,'Player Data'!A1:E734,5,FALSE),82)</f>
        <v>82</v>
      </c>
      <c r="R661" s="38">
        <f>VLOOKUP(B661,'Player Data'!$A1:$AE734,6,FALSE)</f>
        <v>11.864781613754801</v>
      </c>
      <c r="S661" s="40">
        <f>VLOOKUP(B661,'Player Data'!$A1:$AE734,7,FALSE)*$Q661*IFERROR((VLOOKUP(P661,Settings!$E$28:$F$33,2,FALSE)+1),1)</f>
        <v>10.741200684101726</v>
      </c>
      <c r="T661" s="40">
        <f>VLOOKUP(B661,'Player Data'!$A1:$AE734,8,FALSE)*$Q661*IFERROR((VLOOKUP(P661,Settings!$E$28:$F$33,2,FALSE)+1),1)</f>
        <v>9.9037122539140583</v>
      </c>
      <c r="U661" s="40">
        <f t="shared" si="57"/>
        <v>20.644912938015786</v>
      </c>
      <c r="V661" s="40">
        <f>VLOOKUP(B661,'Player Data'!$A1:$AE734,10,FALSE)*$Q661*IFERROR(((VLOOKUP(P661,Settings!$E$28:$F$33,2,FALSE)/2)+1),1)</f>
        <v>103.39486598894312</v>
      </c>
      <c r="W661" s="40">
        <f>VLOOKUP(B661,'Player Data'!$A1:$AE734,11,FALSE)*$Q661*IFERROR((VLOOKUP(P661,Settings!$E$28:$F$33,2,FALSE)+1),1)</f>
        <v>6.6493638980624561E-2</v>
      </c>
      <c r="X661" s="40">
        <f>VLOOKUP(B661,'Player Data'!$A1:$AE734,12,FALSE)*$Q661*IFERROR((VLOOKUP(P661,Settings!$E$28:$F$33,2,FALSE)+1),1)</f>
        <v>0.16354512085948961</v>
      </c>
      <c r="Y661" s="40">
        <f>VLOOKUP(B661,'Player Data'!$A1:$AE734,13,FALSE)*$Q661</f>
        <v>0.90725444303983305</v>
      </c>
      <c r="Z661" s="40">
        <f>VLOOKUP(B661,'Player Data'!$A1:$AE734,14,FALSE)*$Q661</f>
        <v>1.11152446026376</v>
      </c>
      <c r="AA661" s="40">
        <f>VLOOKUP(B661,'Player Data'!$A1:$AE734,15,FALSE)*$Q661</f>
        <v>51.928545856886203</v>
      </c>
      <c r="AB661" s="40">
        <f>VLOOKUP(B661,'Player Data'!$A1:$AE734,16,FALSE)*$Q661</f>
        <v>149.83369345426809</v>
      </c>
      <c r="AC661" s="40">
        <f>VLOOKUP(B661,'Player Data'!$A1:$AE734,17,FALSE)*$Q661*IFERROR((VLOOKUP(P661,Settings!$E$28:$F$33,2,FALSE)+1),1)</f>
        <v>-4.0969987000961199</v>
      </c>
      <c r="AD661" s="40">
        <f>VLOOKUP(B661,'Player Data'!$A1:$AE734,18,FALSE)*$Q661</f>
        <v>22.336207540898325</v>
      </c>
      <c r="AE661" s="40">
        <f>VLOOKUP(B661,'Player Data'!$A1:$AE734,19,FALSE)*$Q661*IFERROR((VLOOKUP(P661,Settings!$E$28:$F$33,2,FALSE)+1),1)</f>
        <v>1.2360193040714906</v>
      </c>
      <c r="AF661" s="40">
        <f>VLOOKUP(B661,'Player Data'!$A1:$AE734,20,FALSE)*$Q661</f>
        <v>2.5213494050072689</v>
      </c>
      <c r="AG661" s="40">
        <f>VLOOKUP(B661,'Player Data'!$A1:$AE734,21,FALSE)*$Q661</f>
        <v>6.8456543630976272</v>
      </c>
      <c r="AH661" s="41">
        <f>VLOOKUP(B661,'Player Data'!$A1:$AE734,22,FALSE)</f>
        <v>0.26917352308457299</v>
      </c>
      <c r="AI661" s="38"/>
      <c r="AJ661" s="40"/>
      <c r="AK661" s="40"/>
      <c r="AL661" s="40"/>
      <c r="AM661" s="40"/>
      <c r="AN661" s="40"/>
      <c r="AO661" s="40"/>
      <c r="AP661" s="40"/>
      <c r="AQ661" s="43"/>
      <c r="AR661" s="44"/>
      <c r="AS661" s="38"/>
    </row>
    <row r="662" spans="1:45" ht="21.2" customHeight="1">
      <c r="A662" s="181">
        <f t="shared" si="58"/>
        <v>661</v>
      </c>
      <c r="B662" s="8" t="s">
        <v>756</v>
      </c>
      <c r="C662" s="31" t="s">
        <v>104</v>
      </c>
      <c r="D662" s="32" t="str">
        <f>VLOOKUP(B662,'Player Data'!A1:D734,4,FALSE)</f>
        <v>C</v>
      </c>
      <c r="E662" s="33">
        <f>VLOOKUP(B662,'C'!A1:C208,3,FALSE)</f>
        <v>174</v>
      </c>
      <c r="F662" s="34" t="str">
        <f>VLOOKUP(B662,'Player Data'!A1:B734,2,FALSE)</f>
        <v>DAL</v>
      </c>
      <c r="G662" s="9">
        <f>VLOOKUP(B662,'Player Data'!A1:D734,3,FALSE)</f>
        <v>25</v>
      </c>
      <c r="H662" s="35">
        <f>IFERROR(VLOOKUP(B662,ADP!A1:G731,7,FALSE)/1000000,VLOOKUP(B662,ADP!A1:G731,7,FALSE))</f>
        <v>0.85</v>
      </c>
      <c r="I662" s="36">
        <f>IF(Settings!$E$15="POINTS",((R662*Q662)*Settings!$B$12)+(S662*Settings!$B$2)+(T662*Settings!$B$3)+(U662*Settings!$B$4)+(V662*Settings!$B$5)+(X662*Settings!$B$9)+(AA662*Settings!$B$6)+(W662*Settings!$B$8)+(AB662*Settings!$B$7)+(AC662*Settings!$B$14)+(AD662*Settings!$B$15)+(AE662*Settings!$B$16)+(AF662*Settings!$B$17)+(AG662*Settings!$B$18)+(Y662*Settings!$B$10)+(Z662*Settings!$B$11),VLOOKUP(B662,'Standard Deviations'!A1:C731,3,FALSE))</f>
        <v>-3.6725022325197183</v>
      </c>
      <c r="J662" s="37">
        <f t="shared" si="59"/>
        <v>-4.4786612591703884E-2</v>
      </c>
      <c r="K662" s="183">
        <f>IF(Settings!$E$18="C/LW/RW",VLOOKUP(B662,'C'!A1:F208,6,FALSE),VLOOKUP(B662,F!A1:F431,6,FALSE))</f>
        <v>-10.009552956726321</v>
      </c>
      <c r="L662" s="36">
        <f t="shared" si="60"/>
        <v>-11.775944654972141</v>
      </c>
      <c r="M662" s="52" t="str">
        <f>IF(Settings!$E$9="YAHOO",VLOOKUP(B662,ADP!A1:E731,2,FALSE),IF(Settings!$E$9="ESPN",VLOOKUP(B662,ADP!A1:E731,3,FALSE),IF(Settings!$E$9="FANTRAX",VLOOKUP(B662,ADP!A1:E731,4,FALSE),VLOOKUP(B662,ADP!A1:E731,5,FALSE))))</f>
        <v>-</v>
      </c>
      <c r="N662" s="52" t="str">
        <f t="shared" si="61"/>
        <v>N/A</v>
      </c>
      <c r="O662" s="38"/>
      <c r="P662" s="39" t="str">
        <f>IF(Settings!$E$27="ON",_xlfn.XLOOKUP(B662,ADP!A2:A731,ADP!H2:H731)," ")</f>
        <v xml:space="preserve"> </v>
      </c>
      <c r="Q662" s="40">
        <f>IF(Settings!$E$12="YES",VLOOKUP(B662,'Player Data'!A1:E734,5,FALSE),82)</f>
        <v>82</v>
      </c>
      <c r="R662" s="38">
        <f>VLOOKUP(B662,'Player Data'!$A1:$AE734,6,FALSE)</f>
        <v>11.7777591183489</v>
      </c>
      <c r="S662" s="40">
        <f>VLOOKUP(B662,'Player Data'!$A1:$AE734,7,FALSE)*$Q662*IFERROR((VLOOKUP(P662,Settings!$E$28:$F$33,2,FALSE)+1),1)</f>
        <v>9.5866783845253742</v>
      </c>
      <c r="T662" s="40">
        <f>VLOOKUP(B662,'Player Data'!$A1:$AE734,8,FALSE)*$Q662*IFERROR((VLOOKUP(P662,Settings!$E$28:$F$33,2,FALSE)+1),1)</f>
        <v>14.384710456226365</v>
      </c>
      <c r="U662" s="40">
        <f t="shared" ref="U662:U725" si="62">SUM(S662:T662)</f>
        <v>23.971388840751739</v>
      </c>
      <c r="V662" s="40">
        <f>VLOOKUP(B662,'Player Data'!$A1:$AE734,10,FALSE)*$Q662*IFERROR(((VLOOKUP(P662,Settings!$E$28:$F$33,2,FALSE)/2)+1),1)</f>
        <v>82.452390734709169</v>
      </c>
      <c r="W662" s="40">
        <f>VLOOKUP(B662,'Player Data'!$A1:$AE734,11,FALSE)*$Q662*IFERROR((VLOOKUP(P662,Settings!$E$28:$F$33,2,FALSE)+1),1)</f>
        <v>5.6321819526596602E-2</v>
      </c>
      <c r="X662" s="40">
        <f>VLOOKUP(B662,'Player Data'!$A1:$AE734,12,FALSE)*$Q662*IFERROR((VLOOKUP(P662,Settings!$E$28:$F$33,2,FALSE)+1),1)</f>
        <v>0.38993367921744898</v>
      </c>
      <c r="Y662" s="40">
        <f>VLOOKUP(B662,'Player Data'!$A1:$AE734,13,FALSE)*$Q662</f>
        <v>0.81274378955692761</v>
      </c>
      <c r="Z662" s="40">
        <f>VLOOKUP(B662,'Player Data'!$A1:$AE734,14,FALSE)*$Q662</f>
        <v>0.98424675496645597</v>
      </c>
      <c r="AA662" s="40">
        <f>VLOOKUP(B662,'Player Data'!$A1:$AE734,15,FALSE)*$Q662</f>
        <v>23.156313379640832</v>
      </c>
      <c r="AB662" s="40">
        <f>VLOOKUP(B662,'Player Data'!$A1:$AE734,16,FALSE)*$Q662</f>
        <v>60.367189046278824</v>
      </c>
      <c r="AC662" s="40">
        <f>VLOOKUP(B662,'Player Data'!$A1:$AE734,17,FALSE)*$Q662*IFERROR((VLOOKUP(P662,Settings!$E$28:$F$33,2,FALSE)+1),1)</f>
        <v>4.2157005098602314</v>
      </c>
      <c r="AD662" s="40">
        <f>VLOOKUP(B662,'Player Data'!$A1:$AE734,18,FALSE)*$Q662</f>
        <v>18.729627907379886</v>
      </c>
      <c r="AE662" s="40">
        <f>VLOOKUP(B662,'Player Data'!$A1:$AE734,19,FALSE)*$Q662*IFERROR((VLOOKUP(P662,Settings!$E$28:$F$33,2,FALSE)+1),1)</f>
        <v>1.5338005810389137</v>
      </c>
      <c r="AF662" s="40">
        <f>VLOOKUP(B662,'Player Data'!$A1:$AE734,20,FALSE)*$Q662</f>
        <v>305.54472454665978</v>
      </c>
      <c r="AG662" s="40">
        <f>VLOOKUP(B662,'Player Data'!$A1:$AE734,21,FALSE)*$Q662</f>
        <v>310.48932343428879</v>
      </c>
      <c r="AH662" s="41">
        <f>VLOOKUP(B662,'Player Data'!$A1:$AE734,22,FALSE)</f>
        <v>0.49598674870014497</v>
      </c>
      <c r="AI662" s="38"/>
      <c r="AJ662" s="42"/>
      <c r="AK662" s="40"/>
      <c r="AL662" s="40"/>
      <c r="AM662" s="40"/>
      <c r="AN662" s="40"/>
      <c r="AO662" s="40"/>
      <c r="AP662" s="40"/>
      <c r="AQ662" s="43"/>
      <c r="AR662" s="44"/>
      <c r="AS662" s="38"/>
    </row>
    <row r="663" spans="1:45" ht="21.2" customHeight="1">
      <c r="A663" s="181">
        <f t="shared" si="58"/>
        <v>662</v>
      </c>
      <c r="B663" s="8" t="s">
        <v>753</v>
      </c>
      <c r="C663" s="31" t="s">
        <v>104</v>
      </c>
      <c r="D663" s="32" t="str">
        <f>VLOOKUP(B663,'Player Data'!A1:D734,4,FALSE)</f>
        <v>C</v>
      </c>
      <c r="E663" s="33">
        <f>VLOOKUP(B663,'C'!A1:C208,3,FALSE)</f>
        <v>175</v>
      </c>
      <c r="F663" s="34" t="str">
        <f>VLOOKUP(B663,'Player Data'!A1:B734,2,FALSE)</f>
        <v>PHI</v>
      </c>
      <c r="G663" s="9">
        <f>VLOOKUP(B663,'Player Data'!A1:D734,3,FALSE)</f>
        <v>24</v>
      </c>
      <c r="H663" s="35">
        <f>IFERROR(VLOOKUP(B663,ADP!A1:G731,7,FALSE)/1000000,VLOOKUP(B663,ADP!A1:G731,7,FALSE))</f>
        <v>1.4</v>
      </c>
      <c r="I663" s="36">
        <f>IF(Settings!$E$15="POINTS",((R663*Q663)*Settings!$B$12)+(S663*Settings!$B$2)+(T663*Settings!$B$3)+(U663*Settings!$B$4)+(V663*Settings!$B$5)+(X663*Settings!$B$9)+(AA663*Settings!$B$6)+(W663*Settings!$B$8)+(AB663*Settings!$B$7)+(AC663*Settings!$B$14)+(AD663*Settings!$B$15)+(AE663*Settings!$B$16)+(AF663*Settings!$B$17)+(AG663*Settings!$B$18)+(Y663*Settings!$B$10)+(Z663*Settings!$B$11),VLOOKUP(B663,'Standard Deviations'!A1:C731,3,FALSE))</f>
        <v>-3.6869900761947458</v>
      </c>
      <c r="J663" s="37">
        <f t="shared" si="59"/>
        <v>-4.4963293612131049E-2</v>
      </c>
      <c r="K663" s="183">
        <f>IF(Settings!$E$18="C/LW/RW",VLOOKUP(B663,'C'!A1:F208,6,FALSE),VLOOKUP(B663,F!A1:F431,6,FALSE))</f>
        <v>-10.024040800401348</v>
      </c>
      <c r="L663" s="36">
        <f t="shared" si="60"/>
        <v>-7.160029143143821</v>
      </c>
      <c r="M663" s="52" t="str">
        <f>IF(Settings!$E$9="YAHOO",VLOOKUP(B663,ADP!A1:E731,2,FALSE),IF(Settings!$E$9="ESPN",VLOOKUP(B663,ADP!A1:E731,3,FALSE),IF(Settings!$E$9="FANTRAX",VLOOKUP(B663,ADP!A1:E731,4,FALSE),VLOOKUP(B663,ADP!A1:E731,5,FALSE))))</f>
        <v>-</v>
      </c>
      <c r="N663" s="52" t="str">
        <f t="shared" si="61"/>
        <v>N/A</v>
      </c>
      <c r="O663" s="38"/>
      <c r="P663" s="39" t="str">
        <f>IF(Settings!$E$27="ON",_xlfn.XLOOKUP(B663,ADP!A2:A731,ADP!H2:H731)," ")</f>
        <v xml:space="preserve"> </v>
      </c>
      <c r="Q663" s="40">
        <f>IF(Settings!$E$12="YES",VLOOKUP(B663,'Player Data'!A1:E734,5,FALSE),82)</f>
        <v>82</v>
      </c>
      <c r="R663" s="38">
        <f>VLOOKUP(B663,'Player Data'!$A1:$AE734,6,FALSE)</f>
        <v>11.034029760081101</v>
      </c>
      <c r="S663" s="40">
        <f>VLOOKUP(B663,'Player Data'!$A1:$AE734,7,FALSE)*$Q663*IFERROR((VLOOKUP(P663,Settings!$E$28:$F$33,2,FALSE)+1),1)</f>
        <v>10.40929404212401</v>
      </c>
      <c r="T663" s="40">
        <f>VLOOKUP(B663,'Player Data'!$A1:$AE734,8,FALSE)*$Q663*IFERROR((VLOOKUP(P663,Settings!$E$28:$F$33,2,FALSE)+1),1)</f>
        <v>11.307386045799362</v>
      </c>
      <c r="U663" s="40">
        <f t="shared" si="62"/>
        <v>21.716680087923372</v>
      </c>
      <c r="V663" s="40">
        <f>VLOOKUP(B663,'Player Data'!$A1:$AE734,10,FALSE)*$Q663*IFERROR(((VLOOKUP(P663,Settings!$E$28:$F$33,2,FALSE)/2)+1),1)</f>
        <v>97.44230659839674</v>
      </c>
      <c r="W663" s="40">
        <f>VLOOKUP(B663,'Player Data'!$A1:$AE734,11,FALSE)*$Q663*IFERROR((VLOOKUP(P663,Settings!$E$28:$F$33,2,FALSE)+1),1)</f>
        <v>9.907766951458763E-2</v>
      </c>
      <c r="X663" s="40">
        <f>VLOOKUP(B663,'Player Data'!$A1:$AE734,12,FALSE)*$Q663*IFERROR((VLOOKUP(P663,Settings!$E$28:$F$33,2,FALSE)+1),1)</f>
        <v>0.16910844033162867</v>
      </c>
      <c r="Y663" s="40">
        <f>VLOOKUP(B663,'Player Data'!$A1:$AE734,13,FALSE)*$Q663</f>
        <v>1.9629053633768059</v>
      </c>
      <c r="Z663" s="40">
        <f>VLOOKUP(B663,'Player Data'!$A1:$AE734,14,FALSE)*$Q663</f>
        <v>3.0665207573897315</v>
      </c>
      <c r="AA663" s="40">
        <f>VLOOKUP(B663,'Player Data'!$A1:$AE734,15,FALSE)*$Q663</f>
        <v>51.158277003998386</v>
      </c>
      <c r="AB663" s="40">
        <f>VLOOKUP(B663,'Player Data'!$A1:$AE734,16,FALSE)*$Q663</f>
        <v>85.112063845964641</v>
      </c>
      <c r="AC663" s="40">
        <f>VLOOKUP(B663,'Player Data'!$A1:$AE734,17,FALSE)*$Q663*IFERROR((VLOOKUP(P663,Settings!$E$28:$F$33,2,FALSE)+1),1)</f>
        <v>-6.0721191522170281</v>
      </c>
      <c r="AD663" s="40">
        <f>VLOOKUP(B663,'Player Data'!$A1:$AE734,18,FALSE)*$Q663</f>
        <v>14.190228487182601</v>
      </c>
      <c r="AE663" s="40">
        <f>VLOOKUP(B663,'Player Data'!$A1:$AE734,19,FALSE)*$Q663*IFERROR((VLOOKUP(P663,Settings!$E$28:$F$33,2,FALSE)+1),1)</f>
        <v>1.2235671551406293</v>
      </c>
      <c r="AF663" s="40">
        <f>VLOOKUP(B663,'Player Data'!$A1:$AE734,20,FALSE)*$Q663</f>
        <v>276.55432168948573</v>
      </c>
      <c r="AG663" s="40">
        <f>VLOOKUP(B663,'Player Data'!$A1:$AE734,21,FALSE)*$Q663</f>
        <v>327.07294541172098</v>
      </c>
      <c r="AH663" s="41">
        <f>VLOOKUP(B663,'Player Data'!$A1:$AE734,22,FALSE)</f>
        <v>0.45815412384795001</v>
      </c>
      <c r="AI663" s="38"/>
      <c r="AJ663" s="40"/>
      <c r="AK663" s="40"/>
      <c r="AL663" s="40"/>
      <c r="AM663" s="40"/>
      <c r="AN663" s="40"/>
      <c r="AO663" s="40"/>
      <c r="AP663" s="40"/>
      <c r="AQ663" s="43"/>
      <c r="AR663" s="44"/>
      <c r="AS663" s="38"/>
    </row>
    <row r="664" spans="1:45" ht="21.2" customHeight="1">
      <c r="A664" s="181">
        <f t="shared" si="58"/>
        <v>663</v>
      </c>
      <c r="B664" s="8" t="s">
        <v>720</v>
      </c>
      <c r="C664" s="31" t="s">
        <v>104</v>
      </c>
      <c r="D664" s="32" t="str">
        <f>VLOOKUP(B664,'Player Data'!A1:D734,4,FALSE)</f>
        <v>LW,RW</v>
      </c>
      <c r="E664" s="45">
        <f>VLOOKUP(B664,RW!A1:F189,3,FALSE)</f>
        <v>170</v>
      </c>
      <c r="F664" s="34" t="str">
        <f>VLOOKUP(B664,'Player Data'!A1:B734,2,FALSE)</f>
        <v>MIN</v>
      </c>
      <c r="G664" s="9">
        <f>VLOOKUP(B664,'Player Data'!A1:D734,3,FALSE)</f>
        <v>26</v>
      </c>
      <c r="H664" s="35">
        <f>IFERROR(VLOOKUP(B664,ADP!A1:G731,7,FALSE)/1000000,VLOOKUP(B664,ADP!A1:G731,7,FALSE))</f>
        <v>1.1000000000000001</v>
      </c>
      <c r="I664" s="36">
        <f>IF(Settings!$E$15="POINTS",((R664*Q664)*Settings!$B$12)+(S664*Settings!$B$2)+(T664*Settings!$B$3)+(U664*Settings!$B$4)+(V664*Settings!$B$5)+(X664*Settings!$B$9)+(AA664*Settings!$B$6)+(W664*Settings!$B$8)+(AB664*Settings!$B$7)+(AC664*Settings!$B$14)+(AD664*Settings!$B$15)+(AE664*Settings!$B$16)+(AF664*Settings!$B$17)+(AG664*Settings!$B$18)+(Y664*Settings!$B$10)+(Z664*Settings!$B$11),VLOOKUP(B664,'Standard Deviations'!A1:C731,3,FALSE))</f>
        <v>-3.847161552483727</v>
      </c>
      <c r="J664" s="37">
        <f t="shared" si="59"/>
        <v>-4.6916604298582035E-2</v>
      </c>
      <c r="K664" s="183">
        <f>IF(Settings!$E$18="C/LW/RW",VLOOKUP(B664,RW!A1:F189,6,FALSE),VLOOKUP(B664,F!A1:F431,6,FALSE))</f>
        <v>-10.127420271494808</v>
      </c>
      <c r="L664" s="36">
        <f t="shared" si="60"/>
        <v>-9.2067457013589156</v>
      </c>
      <c r="M664" s="52" t="str">
        <f>IF(Settings!$E$9="YAHOO",VLOOKUP(B664,ADP!A1:E731,2,FALSE),IF(Settings!$E$9="ESPN",VLOOKUP(B664,ADP!A1:E731,3,FALSE),IF(Settings!$E$9="FANTRAX",VLOOKUP(B664,ADP!A1:E731,4,FALSE),VLOOKUP(B664,ADP!A1:E731,5,FALSE))))</f>
        <v>-</v>
      </c>
      <c r="N664" s="52" t="str">
        <f t="shared" si="61"/>
        <v>N/A</v>
      </c>
      <c r="O664" s="38"/>
      <c r="P664" s="39" t="str">
        <f>IF(Settings!$E$27="ON",_xlfn.XLOOKUP(B664,ADP!A2:A731,ADP!H2:H731)," ")</f>
        <v xml:space="preserve"> </v>
      </c>
      <c r="Q664" s="40">
        <f>IF(Settings!$E$12="YES",VLOOKUP(B664,'Player Data'!A1:E734,5,FALSE),82)</f>
        <v>82</v>
      </c>
      <c r="R664" s="38">
        <f>VLOOKUP(B664,'Player Data'!$A1:$AE734,6,FALSE)</f>
        <v>10.7938116821131</v>
      </c>
      <c r="S664" s="40">
        <f>VLOOKUP(B664,'Player Data'!$A1:$AE734,7,FALSE)*$Q664*IFERROR((VLOOKUP(P664,Settings!$E$28:$F$33,2,FALSE)+1),1)</f>
        <v>10.130544589869368</v>
      </c>
      <c r="T664" s="40">
        <f>VLOOKUP(B664,'Player Data'!$A1:$AE734,8,FALSE)*$Q664*IFERROR((VLOOKUP(P664,Settings!$E$28:$F$33,2,FALSE)+1),1)</f>
        <v>7.9071839642560686</v>
      </c>
      <c r="U664" s="40">
        <f t="shared" si="62"/>
        <v>18.037728554125437</v>
      </c>
      <c r="V664" s="40">
        <f>VLOOKUP(B664,'Player Data'!$A1:$AE734,10,FALSE)*$Q664*IFERROR(((VLOOKUP(P664,Settings!$E$28:$F$33,2,FALSE)/2)+1),1)</f>
        <v>113.87320386074124</v>
      </c>
      <c r="W664" s="40">
        <f>VLOOKUP(B664,'Player Data'!$A1:$AE734,11,FALSE)*$Q664*IFERROR((VLOOKUP(P664,Settings!$E$28:$F$33,2,FALSE)+1),1)</f>
        <v>6.703708359314639E-2</v>
      </c>
      <c r="X664" s="40">
        <f>VLOOKUP(B664,'Player Data'!$A1:$AE734,12,FALSE)*$Q664*IFERROR((VLOOKUP(P664,Settings!$E$28:$F$33,2,FALSE)+1),1)</f>
        <v>0.16703811809532543</v>
      </c>
      <c r="Y664" s="40">
        <f>VLOOKUP(B664,'Player Data'!$A1:$AE734,13,FALSE)*$Q664</f>
        <v>0.8759749282748942</v>
      </c>
      <c r="Z664" s="40">
        <f>VLOOKUP(B664,'Player Data'!$A1:$AE734,14,FALSE)*$Q664</f>
        <v>1.0328788000153939</v>
      </c>
      <c r="AA664" s="40">
        <f>VLOOKUP(B664,'Player Data'!$A1:$AE734,15,FALSE)*$Q664</f>
        <v>27.769539346813726</v>
      </c>
      <c r="AB664" s="40">
        <f>VLOOKUP(B664,'Player Data'!$A1:$AE734,16,FALSE)*$Q664</f>
        <v>204.98591694238669</v>
      </c>
      <c r="AC664" s="40">
        <f>VLOOKUP(B664,'Player Data'!$A1:$AE734,17,FALSE)*$Q664*IFERROR((VLOOKUP(P664,Settings!$E$28:$F$33,2,FALSE)+1),1)</f>
        <v>1.8135741724379906</v>
      </c>
      <c r="AD664" s="40">
        <f>VLOOKUP(B664,'Player Data'!$A1:$AE734,18,FALSE)*$Q664</f>
        <v>67.711727078420296</v>
      </c>
      <c r="AE664" s="40">
        <f>VLOOKUP(B664,'Player Data'!$A1:$AE734,19,FALSE)*$Q664*IFERROR((VLOOKUP(P664,Settings!$E$28:$F$33,2,FALSE)+1),1)</f>
        <v>1.6267265376550735</v>
      </c>
      <c r="AF664" s="40">
        <f>VLOOKUP(B664,'Player Data'!$A1:$AE734,20,FALSE)*$Q664</f>
        <v>6.9720197221118427</v>
      </c>
      <c r="AG664" s="40">
        <f>VLOOKUP(B664,'Player Data'!$A1:$AE734,21,FALSE)*$Q664</f>
        <v>17.430049305279628</v>
      </c>
      <c r="AH664" s="41">
        <f>VLOOKUP(B664,'Player Data'!$A1:$AE734,22,FALSE)</f>
        <v>0.28571428571428598</v>
      </c>
      <c r="AI664" s="38"/>
      <c r="AJ664" s="42"/>
      <c r="AK664" s="40"/>
      <c r="AL664" s="40"/>
      <c r="AM664" s="40"/>
      <c r="AN664" s="40"/>
      <c r="AO664" s="40"/>
      <c r="AP664" s="40"/>
      <c r="AQ664" s="43"/>
      <c r="AR664" s="44"/>
      <c r="AS664" s="38"/>
    </row>
    <row r="665" spans="1:45" ht="21.2" customHeight="1">
      <c r="A665" s="181">
        <f t="shared" si="58"/>
        <v>664</v>
      </c>
      <c r="B665" s="8" t="s">
        <v>698</v>
      </c>
      <c r="C665" s="31" t="s">
        <v>104</v>
      </c>
      <c r="D665" s="32" t="str">
        <f>VLOOKUP(B665,'Player Data'!A1:D734,4,FALSE)</f>
        <v>LW,RW</v>
      </c>
      <c r="E665" s="45">
        <f>VLOOKUP(B665,RW!A1:F189,3,FALSE)</f>
        <v>171</v>
      </c>
      <c r="F665" s="34" t="str">
        <f>VLOOKUP(B665,'Player Data'!A1:B734,2,FALSE)</f>
        <v>NYR</v>
      </c>
      <c r="G665" s="9">
        <f>VLOOKUP(B665,'Player Data'!A1:D734,3,FALSE)</f>
        <v>30</v>
      </c>
      <c r="H665" s="35">
        <f>IFERROR(VLOOKUP(B665,ADP!A1:G731,7,FALSE)/1000000,VLOOKUP(B665,ADP!A1:G731,7,FALSE))</f>
        <v>0.8</v>
      </c>
      <c r="I665" s="36">
        <f>IF(Settings!$E$15="POINTS",((R665*Q665)*Settings!$B$12)+(S665*Settings!$B$2)+(T665*Settings!$B$3)+(U665*Settings!$B$4)+(V665*Settings!$B$5)+(X665*Settings!$B$9)+(AA665*Settings!$B$6)+(W665*Settings!$B$8)+(AB665*Settings!$B$7)+(AC665*Settings!$B$14)+(AD665*Settings!$B$15)+(AE665*Settings!$B$16)+(AF665*Settings!$B$17)+(AG665*Settings!$B$18)+(Y665*Settings!$B$10)+(Z665*Settings!$B$11),VLOOKUP(B665,'Standard Deviations'!A1:C731,3,FALSE))</f>
        <v>-3.8766896421974497</v>
      </c>
      <c r="J665" s="37">
        <f t="shared" si="59"/>
        <v>-4.7276702953627438E-2</v>
      </c>
      <c r="K665" s="183">
        <f>IF(Settings!$E$18="C/LW/RW",VLOOKUP(B665,RW!A1:F189,6,FALSE),VLOOKUP(B665,F!A1:F431,6,FALSE))</f>
        <v>-10.156948361208531</v>
      </c>
      <c r="L665" s="36">
        <f t="shared" si="60"/>
        <v>-12.696185451510663</v>
      </c>
      <c r="M665" s="52" t="str">
        <f>IF(Settings!$E$9="YAHOO",VLOOKUP(B665,ADP!A1:E731,2,FALSE),IF(Settings!$E$9="ESPN",VLOOKUP(B665,ADP!A1:E731,3,FALSE),IF(Settings!$E$9="FANTRAX",VLOOKUP(B665,ADP!A1:E731,4,FALSE),VLOOKUP(B665,ADP!A1:E731,5,FALSE))))</f>
        <v>-</v>
      </c>
      <c r="N665" s="52" t="str">
        <f t="shared" si="61"/>
        <v>N/A</v>
      </c>
      <c r="O665" s="38"/>
      <c r="P665" s="39" t="str">
        <f>IF(Settings!$E$27="ON",_xlfn.XLOOKUP(B665,ADP!A2:A731,ADP!H2:H731)," ")</f>
        <v xml:space="preserve"> </v>
      </c>
      <c r="Q665" s="40">
        <f>IF(Settings!$E$12="YES",VLOOKUP(B665,'Player Data'!A1:E734,5,FALSE),82)</f>
        <v>82</v>
      </c>
      <c r="R665" s="38">
        <f>VLOOKUP(B665,'Player Data'!$A1:$AE734,6,FALSE)</f>
        <v>12.199277330761699</v>
      </c>
      <c r="S665" s="40">
        <f>VLOOKUP(B665,'Player Data'!$A1:$AE734,7,FALSE)*$Q665*IFERROR((VLOOKUP(P665,Settings!$E$28:$F$33,2,FALSE)+1),1)</f>
        <v>8.4697057351287164</v>
      </c>
      <c r="T665" s="40">
        <f>VLOOKUP(B665,'Player Data'!$A1:$AE734,8,FALSE)*$Q665*IFERROR((VLOOKUP(P665,Settings!$E$28:$F$33,2,FALSE)+1),1)</f>
        <v>10.293023621493472</v>
      </c>
      <c r="U665" s="40">
        <f t="shared" si="62"/>
        <v>18.762729356622188</v>
      </c>
      <c r="V665" s="40">
        <f>VLOOKUP(B665,'Player Data'!$A1:$AE734,10,FALSE)*$Q665*IFERROR(((VLOOKUP(P665,Settings!$E$28:$F$33,2,FALSE)/2)+1),1)</f>
        <v>109.64294799003868</v>
      </c>
      <c r="W665" s="40">
        <f>VLOOKUP(B665,'Player Data'!$A1:$AE734,11,FALSE)*$Q665*IFERROR((VLOOKUP(P665,Settings!$E$28:$F$33,2,FALSE)+1),1)</f>
        <v>4.7271481909745144E-2</v>
      </c>
      <c r="X665" s="40">
        <f>VLOOKUP(B665,'Player Data'!$A1:$AE734,12,FALSE)*$Q665*IFERROR((VLOOKUP(P665,Settings!$E$28:$F$33,2,FALSE)+1),1)</f>
        <v>0.12227472011175866</v>
      </c>
      <c r="Y665" s="40">
        <f>VLOOKUP(B665,'Player Data'!$A1:$AE734,13,FALSE)*$Q665</f>
        <v>0.85317677282981497</v>
      </c>
      <c r="Z665" s="40">
        <f>VLOOKUP(B665,'Player Data'!$A1:$AE734,14,FALSE)*$Q665</f>
        <v>0.98758391885841934</v>
      </c>
      <c r="AA665" s="40">
        <f>VLOOKUP(B665,'Player Data'!$A1:$AE734,15,FALSE)*$Q665</f>
        <v>35.310072766303087</v>
      </c>
      <c r="AB665" s="40">
        <f>VLOOKUP(B665,'Player Data'!$A1:$AE734,16,FALSE)*$Q665</f>
        <v>95.779758266601462</v>
      </c>
      <c r="AC665" s="40">
        <f>VLOOKUP(B665,'Player Data'!$A1:$AE734,17,FALSE)*$Q665*IFERROR((VLOOKUP(P665,Settings!$E$28:$F$33,2,FALSE)+1),1)</f>
        <v>4.0248985712400103</v>
      </c>
      <c r="AD665" s="40">
        <f>VLOOKUP(B665,'Player Data'!$A1:$AE734,18,FALSE)*$Q665</f>
        <v>17.738747369190463</v>
      </c>
      <c r="AE665" s="40">
        <f>VLOOKUP(B665,'Player Data'!$A1:$AE734,19,FALSE)*$Q665*IFERROR((VLOOKUP(P665,Settings!$E$28:$F$33,2,FALSE)+1),1)</f>
        <v>1.4432220411621528</v>
      </c>
      <c r="AF665" s="40">
        <f>VLOOKUP(B665,'Player Data'!$A1:$AE734,20,FALSE)*$Q665</f>
        <v>5.8165314903066694</v>
      </c>
      <c r="AG665" s="40">
        <f>VLOOKUP(B665,'Player Data'!$A1:$AE734,21,FALSE)*$Q665</f>
        <v>17.206178108161918</v>
      </c>
      <c r="AH665" s="41">
        <f>VLOOKUP(B665,'Player Data'!$A1:$AE734,22,FALSE)</f>
        <v>0.25264322018349999</v>
      </c>
      <c r="AI665" s="38"/>
      <c r="AJ665" s="42"/>
      <c r="AK665" s="40"/>
      <c r="AL665" s="40"/>
      <c r="AM665" s="40"/>
      <c r="AN665" s="40"/>
      <c r="AO665" s="40"/>
      <c r="AP665" s="40"/>
      <c r="AQ665" s="43"/>
      <c r="AR665" s="44"/>
      <c r="AS665" s="38"/>
    </row>
    <row r="666" spans="1:45" ht="21.2" customHeight="1">
      <c r="A666" s="181">
        <f t="shared" si="58"/>
        <v>665</v>
      </c>
      <c r="B666" s="8" t="s">
        <v>702</v>
      </c>
      <c r="C666" s="31" t="s">
        <v>104</v>
      </c>
      <c r="D666" s="32" t="str">
        <f>VLOOKUP(B666,'Player Data'!A1:D734,4,FALSE)</f>
        <v>RW</v>
      </c>
      <c r="E666" s="46">
        <f>VLOOKUP(B666,RW!A1:F189,3,FALSE)</f>
        <v>172</v>
      </c>
      <c r="F666" s="34" t="str">
        <f>VLOOKUP(B666,'Player Data'!A1:B734,2,FALSE)</f>
        <v>VGK</v>
      </c>
      <c r="G666" s="9">
        <f>VLOOKUP(B666,'Player Data'!A1:D734,3,FALSE)</f>
        <v>26</v>
      </c>
      <c r="H666" s="35">
        <f>IFERROR(VLOOKUP(B666,ADP!A1:G731,7,FALSE)/1000000,VLOOKUP(B666,ADP!A1:G731,7,FALSE))</f>
        <v>1.4</v>
      </c>
      <c r="I666" s="36">
        <f>IF(Settings!$E$15="POINTS",((R666*Q666)*Settings!$B$12)+(S666*Settings!$B$2)+(T666*Settings!$B$3)+(U666*Settings!$B$4)+(V666*Settings!$B$5)+(X666*Settings!$B$9)+(AA666*Settings!$B$6)+(W666*Settings!$B$8)+(AB666*Settings!$B$7)+(AC666*Settings!$B$14)+(AD666*Settings!$B$15)+(AE666*Settings!$B$16)+(AF666*Settings!$B$17)+(AG666*Settings!$B$18)+(Y666*Settings!$B$10)+(Z666*Settings!$B$11),VLOOKUP(B666,'Standard Deviations'!A1:C731,3,FALSE))</f>
        <v>-3.8801562885331955</v>
      </c>
      <c r="J666" s="37">
        <f t="shared" si="59"/>
        <v>-4.7318979128453606E-2</v>
      </c>
      <c r="K666" s="183">
        <f>IF(Settings!$E$18="C/LW/RW",VLOOKUP(B666,RW!A1:F189,6,FALSE),VLOOKUP(B666,F!A1:F431,6,FALSE))</f>
        <v>-10.160415007544277</v>
      </c>
      <c r="L666" s="36">
        <f t="shared" si="60"/>
        <v>-7.2574392911030552</v>
      </c>
      <c r="M666" s="52" t="str">
        <f>IF(Settings!$E$9="YAHOO",VLOOKUP(B666,ADP!A1:E731,2,FALSE),IF(Settings!$E$9="ESPN",VLOOKUP(B666,ADP!A1:E731,3,FALSE),IF(Settings!$E$9="FANTRAX",VLOOKUP(B666,ADP!A1:E731,4,FALSE),VLOOKUP(B666,ADP!A1:E731,5,FALSE))))</f>
        <v>-</v>
      </c>
      <c r="N666" s="52" t="str">
        <f t="shared" si="61"/>
        <v>N/A</v>
      </c>
      <c r="O666" s="38"/>
      <c r="P666" s="39" t="str">
        <f>IF(Settings!$E$27="ON",_xlfn.XLOOKUP(B666,ADP!A2:A731,ADP!H2:H731)," ")</f>
        <v xml:space="preserve"> </v>
      </c>
      <c r="Q666" s="40">
        <f>IF(Settings!$E$12="YES",VLOOKUP(B666,'Player Data'!A1:E734,5,FALSE),82)</f>
        <v>82</v>
      </c>
      <c r="R666" s="38">
        <f>VLOOKUP(B666,'Player Data'!$A1:$AE734,6,FALSE)</f>
        <v>11.4904814081791</v>
      </c>
      <c r="S666" s="40">
        <f>VLOOKUP(B666,'Player Data'!$A1:$AE734,7,FALSE)*$Q666*IFERROR((VLOOKUP(P666,Settings!$E$28:$F$33,2,FALSE)+1),1)</f>
        <v>8.12532883583801</v>
      </c>
      <c r="T666" s="40">
        <f>VLOOKUP(B666,'Player Data'!$A1:$AE734,8,FALSE)*$Q666*IFERROR((VLOOKUP(P666,Settings!$E$28:$F$33,2,FALSE)+1),1)</f>
        <v>14.928024780250032</v>
      </c>
      <c r="U666" s="40">
        <f t="shared" si="62"/>
        <v>23.053353616088042</v>
      </c>
      <c r="V666" s="40">
        <f>VLOOKUP(B666,'Player Data'!$A1:$AE734,10,FALSE)*$Q666*IFERROR(((VLOOKUP(P666,Settings!$E$28:$F$33,2,FALSE)/2)+1),1)</f>
        <v>80.29206653771017</v>
      </c>
      <c r="W666" s="40">
        <f>VLOOKUP(B666,'Player Data'!$A1:$AE734,11,FALSE)*$Q666*IFERROR((VLOOKUP(P666,Settings!$E$28:$F$33,2,FALSE)+1),1)</f>
        <v>4.4648242590299633E-2</v>
      </c>
      <c r="X666" s="40">
        <f>VLOOKUP(B666,'Player Data'!$A1:$AE734,12,FALSE)*$Q666*IFERROR((VLOOKUP(P666,Settings!$E$28:$F$33,2,FALSE)+1),1)</f>
        <v>8.7495945554208879E-2</v>
      </c>
      <c r="Y666" s="40">
        <f>VLOOKUP(B666,'Player Data'!$A1:$AE734,13,FALSE)*$Q666</f>
        <v>0.10505390260301706</v>
      </c>
      <c r="Z666" s="40">
        <f>VLOOKUP(B666,'Player Data'!$A1:$AE734,14,FALSE)*$Q666</f>
        <v>0.13190862568120001</v>
      </c>
      <c r="AA666" s="40">
        <f>VLOOKUP(B666,'Player Data'!$A1:$AE734,15,FALSE)*$Q666</f>
        <v>37.140814510895922</v>
      </c>
      <c r="AB666" s="40">
        <f>VLOOKUP(B666,'Player Data'!$A1:$AE734,16,FALSE)*$Q666</f>
        <v>263.55492966609421</v>
      </c>
      <c r="AC666" s="40">
        <f>VLOOKUP(B666,'Player Data'!$A1:$AE734,17,FALSE)*$Q666*IFERROR((VLOOKUP(P666,Settings!$E$28:$F$33,2,FALSE)+1),1)</f>
        <v>4.6144274005005297</v>
      </c>
      <c r="AD666" s="40">
        <f>VLOOKUP(B666,'Player Data'!$A1:$AE734,18,FALSE)*$Q666</f>
        <v>55.496727744700586</v>
      </c>
      <c r="AE666" s="40">
        <f>VLOOKUP(B666,'Player Data'!$A1:$AE734,19,FALSE)*$Q666*IFERROR((VLOOKUP(P666,Settings!$E$28:$F$33,2,FALSE)+1),1)</f>
        <v>1.3279004294062029</v>
      </c>
      <c r="AF666" s="40">
        <f>VLOOKUP(B666,'Player Data'!$A1:$AE734,20,FALSE)*$Q666</f>
        <v>28.505437681911602</v>
      </c>
      <c r="AG666" s="40">
        <f>VLOOKUP(B666,'Player Data'!$A1:$AE734,21,FALSE)*$Q666</f>
        <v>46.554859539444607</v>
      </c>
      <c r="AH666" s="41">
        <f>VLOOKUP(B666,'Player Data'!$A1:$AE734,22,FALSE)</f>
        <v>0.37976718367964601</v>
      </c>
      <c r="AI666" s="38"/>
      <c r="AJ666" s="42"/>
      <c r="AK666" s="40"/>
      <c r="AL666" s="40"/>
      <c r="AM666" s="40"/>
      <c r="AN666" s="40"/>
      <c r="AO666" s="40"/>
      <c r="AP666" s="40"/>
      <c r="AQ666" s="43"/>
      <c r="AR666" s="44"/>
      <c r="AS666" s="38"/>
    </row>
    <row r="667" spans="1:45" ht="21.2" customHeight="1">
      <c r="A667" s="181">
        <f t="shared" si="58"/>
        <v>666</v>
      </c>
      <c r="B667" s="8" t="s">
        <v>676</v>
      </c>
      <c r="C667" s="31" t="s">
        <v>104</v>
      </c>
      <c r="D667" s="32" t="str">
        <f>VLOOKUP(B667,'Player Data'!A1:D734,4,FALSE)</f>
        <v>RW</v>
      </c>
      <c r="E667" s="46">
        <f>VLOOKUP(B667,RW!A1:F189,3,FALSE)</f>
        <v>173</v>
      </c>
      <c r="F667" s="34" t="str">
        <f>VLOOKUP(B667,'Player Data'!A1:B734,2,FALSE)</f>
        <v>PHI</v>
      </c>
      <c r="G667" s="9">
        <f>VLOOKUP(B667,'Player Data'!A1:D734,3,FALSE)</f>
        <v>31</v>
      </c>
      <c r="H667" s="35">
        <f>IFERROR(VLOOKUP(B667,ADP!A1:G731,7,FALSE)/1000000,VLOOKUP(B667,ADP!A1:G731,7,FALSE))</f>
        <v>2.0019999999999998</v>
      </c>
      <c r="I667" s="36">
        <f>IF(Settings!$E$15="POINTS",((R667*Q667)*Settings!$B$12)+(S667*Settings!$B$2)+(T667*Settings!$B$3)+(U667*Settings!$B$4)+(V667*Settings!$B$5)+(X667*Settings!$B$9)+(AA667*Settings!$B$6)+(W667*Settings!$B$8)+(AB667*Settings!$B$7)+(AC667*Settings!$B$14)+(AD667*Settings!$B$15)+(AE667*Settings!$B$16)+(AF667*Settings!$B$17)+(AG667*Settings!$B$18)+(Y667*Settings!$B$10)+(Z667*Settings!$B$11),VLOOKUP(B667,'Standard Deviations'!A1:C731,3,FALSE))</f>
        <v>-3.8852416356307868</v>
      </c>
      <c r="J667" s="37">
        <f t="shared" si="59"/>
        <v>-4.7380995556473009E-2</v>
      </c>
      <c r="K667" s="183">
        <f>IF(Settings!$E$18="C/LW/RW",VLOOKUP(B667,RW!A1:F189,6,FALSE),VLOOKUP(B667,F!A1:F431,6,FALSE))</f>
        <v>-10.165500354641868</v>
      </c>
      <c r="L667" s="36">
        <f t="shared" si="60"/>
        <v>-5.0776725048161184</v>
      </c>
      <c r="M667" s="52" t="str">
        <f>IF(Settings!$E$9="YAHOO",VLOOKUP(B667,ADP!A1:E731,2,FALSE),IF(Settings!$E$9="ESPN",VLOOKUP(B667,ADP!A1:E731,3,FALSE),IF(Settings!$E$9="FANTRAX",VLOOKUP(B667,ADP!A1:E731,4,FALSE),VLOOKUP(B667,ADP!A1:E731,5,FALSE))))</f>
        <v>-</v>
      </c>
      <c r="N667" s="52" t="str">
        <f t="shared" si="61"/>
        <v>N/A</v>
      </c>
      <c r="O667" s="38"/>
      <c r="P667" s="39" t="str">
        <f>IF(Settings!$E$27="ON",_xlfn.XLOOKUP(B667,ADP!A2:A731,ADP!H2:H731)," ")</f>
        <v xml:space="preserve"> </v>
      </c>
      <c r="Q667" s="40">
        <f>IF(Settings!$E$12="YES",VLOOKUP(B667,'Player Data'!A1:E734,5,FALSE),82)</f>
        <v>82</v>
      </c>
      <c r="R667" s="38">
        <f>VLOOKUP(B667,'Player Data'!$A1:$AE734,6,FALSE)</f>
        <v>11.7869071393692</v>
      </c>
      <c r="S667" s="40">
        <f>VLOOKUP(B667,'Player Data'!$A1:$AE734,7,FALSE)*$Q667*IFERROR((VLOOKUP(P667,Settings!$E$28:$F$33,2,FALSE)+1),1)</f>
        <v>10.604702210526762</v>
      </c>
      <c r="T667" s="40">
        <f>VLOOKUP(B667,'Player Data'!$A1:$AE734,8,FALSE)*$Q667*IFERROR((VLOOKUP(P667,Settings!$E$28:$F$33,2,FALSE)+1),1)</f>
        <v>10.160146908475284</v>
      </c>
      <c r="U667" s="40">
        <f t="shared" si="62"/>
        <v>20.764849119002044</v>
      </c>
      <c r="V667" s="40">
        <f>VLOOKUP(B667,'Player Data'!$A1:$AE734,10,FALSE)*$Q667*IFERROR(((VLOOKUP(P667,Settings!$E$28:$F$33,2,FALSE)/2)+1),1)</f>
        <v>92.835036566380268</v>
      </c>
      <c r="W667" s="40">
        <f>VLOOKUP(B667,'Player Data'!$A1:$AE734,11,FALSE)*$Q667*IFERROR((VLOOKUP(P667,Settings!$E$28:$F$33,2,FALSE)+1),1)</f>
        <v>9.6508214859814256E-3</v>
      </c>
      <c r="X667" s="40">
        <f>VLOOKUP(B667,'Player Data'!$A1:$AE734,12,FALSE)*$Q667*IFERROR((VLOOKUP(P667,Settings!$E$28:$F$33,2,FALSE)+1),1)</f>
        <v>2.5016492808869212E-2</v>
      </c>
      <c r="Y667" s="40">
        <f>VLOOKUP(B667,'Player Data'!$A1:$AE734,13,FALSE)*$Q667</f>
        <v>-9.4488981950290336E-3</v>
      </c>
      <c r="Z667" s="40">
        <f>VLOOKUP(B667,'Player Data'!$A1:$AE734,14,FALSE)*$Q667</f>
        <v>0.95070980317075859</v>
      </c>
      <c r="AA667" s="40">
        <f>VLOOKUP(B667,'Player Data'!$A1:$AE734,15,FALSE)*$Q667</f>
        <v>69.495814972050027</v>
      </c>
      <c r="AB667" s="40">
        <f>VLOOKUP(B667,'Player Data'!$A1:$AE734,16,FALSE)*$Q667</f>
        <v>234.50290304020294</v>
      </c>
      <c r="AC667" s="40">
        <f>VLOOKUP(B667,'Player Data'!$A1:$AE734,17,FALSE)*$Q667*IFERROR((VLOOKUP(P667,Settings!$E$28:$F$33,2,FALSE)+1),1)</f>
        <v>-4.5936577300559902</v>
      </c>
      <c r="AD667" s="40">
        <f>VLOOKUP(B667,'Player Data'!$A1:$AE734,18,FALSE)*$Q667</f>
        <v>50.778986717186903</v>
      </c>
      <c r="AE667" s="40">
        <f>VLOOKUP(B667,'Player Data'!$A1:$AE734,19,FALSE)*$Q667*IFERROR((VLOOKUP(P667,Settings!$E$28:$F$33,2,FALSE)+1),1)</f>
        <v>1.2465365338262839</v>
      </c>
      <c r="AF667" s="40">
        <f>VLOOKUP(B667,'Player Data'!$A1:$AE734,20,FALSE)*$Q667</f>
        <v>5.3263346616777181</v>
      </c>
      <c r="AG667" s="40">
        <f>VLOOKUP(B667,'Player Data'!$A1:$AE734,21,FALSE)*$Q667</f>
        <v>11.742927446928594</v>
      </c>
      <c r="AH667" s="41">
        <f>VLOOKUP(B667,'Player Data'!$A1:$AE734,22,FALSE)</f>
        <v>0.31204246720144901</v>
      </c>
      <c r="AI667" s="38"/>
      <c r="AJ667" s="42"/>
      <c r="AK667" s="40"/>
      <c r="AL667" s="40"/>
      <c r="AM667" s="40"/>
      <c r="AN667" s="40"/>
      <c r="AO667" s="40"/>
      <c r="AP667" s="40"/>
      <c r="AQ667" s="43"/>
      <c r="AR667" s="44"/>
      <c r="AS667" s="38"/>
    </row>
    <row r="668" spans="1:45" ht="21.2" customHeight="1">
      <c r="A668" s="181">
        <f t="shared" si="58"/>
        <v>667</v>
      </c>
      <c r="B668" s="8" t="s">
        <v>732</v>
      </c>
      <c r="C668" s="31" t="s">
        <v>104</v>
      </c>
      <c r="D668" s="32" t="str">
        <f>VLOOKUP(B668,'Player Data'!A1:D734,4,FALSE)</f>
        <v>C,RW</v>
      </c>
      <c r="E668" s="45">
        <f>VLOOKUP(B668,RW!A1:F189,3,FALSE)</f>
        <v>174</v>
      </c>
      <c r="F668" s="34" t="str">
        <f>VLOOKUP(B668,'Player Data'!A1:B734,2,FALSE)</f>
        <v>VAN</v>
      </c>
      <c r="G668" s="9">
        <f>VLOOKUP(B668,'Player Data'!A1:D734,3,FALSE)</f>
        <v>27</v>
      </c>
      <c r="H668" s="35">
        <f>IFERROR(VLOOKUP(B668,ADP!A1:G731,7,FALSE)/1000000,VLOOKUP(B668,ADP!A1:G731,7,FALSE))</f>
        <v>0.82499999999999996</v>
      </c>
      <c r="I668" s="36">
        <f>IF(Settings!$E$15="POINTS",((R668*Q668)*Settings!$B$12)+(S668*Settings!$B$2)+(T668*Settings!$B$3)+(U668*Settings!$B$4)+(V668*Settings!$B$5)+(X668*Settings!$B$9)+(AA668*Settings!$B$6)+(W668*Settings!$B$8)+(AB668*Settings!$B$7)+(AC668*Settings!$B$14)+(AD668*Settings!$B$15)+(AE668*Settings!$B$16)+(AF668*Settings!$B$17)+(AG668*Settings!$B$18)+(Y668*Settings!$B$10)+(Z668*Settings!$B$11),VLOOKUP(B668,'Standard Deviations'!A1:C731,3,FALSE))</f>
        <v>-3.92227209384464</v>
      </c>
      <c r="J668" s="37">
        <f t="shared" si="59"/>
        <v>-4.7832586510300486E-2</v>
      </c>
      <c r="K668" s="183">
        <f>IF(Settings!$E$18="C/LW/RW",VLOOKUP(B668,RW!A1:F189,6,FALSE),VLOOKUP(B668,F!A1:F431,6,FALSE))</f>
        <v>-10.20253081285572</v>
      </c>
      <c r="L668" s="36">
        <f t="shared" si="60"/>
        <v>-12.366704015582691</v>
      </c>
      <c r="M668" s="52" t="str">
        <f>IF(Settings!$E$9="YAHOO",VLOOKUP(B668,ADP!A1:E731,2,FALSE),IF(Settings!$E$9="ESPN",VLOOKUP(B668,ADP!A1:E731,3,FALSE),IF(Settings!$E$9="FANTRAX",VLOOKUP(B668,ADP!A1:E731,4,FALSE),VLOOKUP(B668,ADP!A1:E731,5,FALSE))))</f>
        <v>-</v>
      </c>
      <c r="N668" s="52" t="str">
        <f t="shared" si="61"/>
        <v>N/A</v>
      </c>
      <c r="O668" s="38"/>
      <c r="P668" s="39" t="str">
        <f>IF(Settings!$E$27="ON",_xlfn.XLOOKUP(B668,ADP!A2:A731,ADP!H2:H731)," ")</f>
        <v xml:space="preserve"> </v>
      </c>
      <c r="Q668" s="40">
        <f>IF(Settings!$E$12="YES",VLOOKUP(B668,'Player Data'!A1:E734,5,FALSE),82)</f>
        <v>82</v>
      </c>
      <c r="R668" s="38">
        <f>VLOOKUP(B668,'Player Data'!$A1:$AE734,6,FALSE)</f>
        <v>11.2480436828014</v>
      </c>
      <c r="S668" s="40">
        <f>VLOOKUP(B668,'Player Data'!$A1:$AE734,7,FALSE)*$Q668*IFERROR((VLOOKUP(P668,Settings!$E$28:$F$33,2,FALSE)+1),1)</f>
        <v>9.859932669780207</v>
      </c>
      <c r="T668" s="40">
        <f>VLOOKUP(B668,'Player Data'!$A1:$AE734,8,FALSE)*$Q668*IFERROR((VLOOKUP(P668,Settings!$E$28:$F$33,2,FALSE)+1),1)</f>
        <v>12.475060801438193</v>
      </c>
      <c r="U668" s="40">
        <f t="shared" si="62"/>
        <v>22.3349934712184</v>
      </c>
      <c r="V668" s="40">
        <f>VLOOKUP(B668,'Player Data'!$A1:$AE734,10,FALSE)*$Q668*IFERROR(((VLOOKUP(P668,Settings!$E$28:$F$33,2,FALSE)/2)+1),1)</f>
        <v>78.271633303632498</v>
      </c>
      <c r="W668" s="40">
        <f>VLOOKUP(B668,'Player Data'!$A1:$AE734,11,FALSE)*$Q668*IFERROR((VLOOKUP(P668,Settings!$E$28:$F$33,2,FALSE)+1),1)</f>
        <v>0.25016685171399033</v>
      </c>
      <c r="X668" s="40">
        <f>VLOOKUP(B668,'Player Data'!$A1:$AE734,12,FALSE)*$Q668*IFERROR((VLOOKUP(P668,Settings!$E$28:$F$33,2,FALSE)+1),1)</f>
        <v>0.43925594607434837</v>
      </c>
      <c r="Y668" s="40">
        <f>VLOOKUP(B668,'Player Data'!$A1:$AE734,13,FALSE)*$Q668</f>
        <v>0.64770418347835035</v>
      </c>
      <c r="Z668" s="40">
        <f>VLOOKUP(B668,'Player Data'!$A1:$AE734,14,FALSE)*$Q668</f>
        <v>0.75395499574925873</v>
      </c>
      <c r="AA668" s="40">
        <f>VLOOKUP(B668,'Player Data'!$A1:$AE734,15,FALSE)*$Q668</f>
        <v>32.014597164775694</v>
      </c>
      <c r="AB668" s="40">
        <f>VLOOKUP(B668,'Player Data'!$A1:$AE734,16,FALSE)*$Q668</f>
        <v>212.71692633251931</v>
      </c>
      <c r="AC668" s="40">
        <f>VLOOKUP(B668,'Player Data'!$A1:$AE734,17,FALSE)*$Q668*IFERROR((VLOOKUP(P668,Settings!$E$28:$F$33,2,FALSE)+1),1)</f>
        <v>-0.38836141121375817</v>
      </c>
      <c r="AD668" s="40">
        <f>VLOOKUP(B668,'Player Data'!$A1:$AE734,18,FALSE)*$Q668</f>
        <v>42.892983769162676</v>
      </c>
      <c r="AE668" s="40">
        <f>VLOOKUP(B668,'Player Data'!$A1:$AE734,19,FALSE)*$Q668*IFERROR((VLOOKUP(P668,Settings!$E$28:$F$33,2,FALSE)+1),1)</f>
        <v>1.3957686074440725</v>
      </c>
      <c r="AF668" s="40">
        <f>VLOOKUP(B668,'Player Data'!$A1:$AE734,20,FALSE)*$Q668</f>
        <v>36.014016629108532</v>
      </c>
      <c r="AG668" s="40">
        <f>VLOOKUP(B668,'Player Data'!$A1:$AE734,21,FALSE)*$Q668</f>
        <v>31.061488984330012</v>
      </c>
      <c r="AH668" s="41">
        <f>VLOOKUP(B668,'Player Data'!$A1:$AE734,22,FALSE)</f>
        <v>0.53691755730713597</v>
      </c>
      <c r="AI668" s="38"/>
      <c r="AJ668" s="40"/>
      <c r="AK668" s="40"/>
      <c r="AL668" s="40"/>
      <c r="AM668" s="40"/>
      <c r="AN668" s="40"/>
      <c r="AO668" s="40"/>
      <c r="AP668" s="40"/>
      <c r="AQ668" s="43"/>
      <c r="AR668" s="44"/>
      <c r="AS668" s="42"/>
    </row>
    <row r="669" spans="1:45" ht="21.2" customHeight="1">
      <c r="A669" s="181">
        <f t="shared" si="58"/>
        <v>668</v>
      </c>
      <c r="B669" s="8" t="s">
        <v>790</v>
      </c>
      <c r="C669" s="31" t="s">
        <v>104</v>
      </c>
      <c r="D669" s="32" t="str">
        <f>VLOOKUP(B669,'Player Data'!A1:D734,4,FALSE)</f>
        <v>C</v>
      </c>
      <c r="E669" s="33">
        <f>VLOOKUP(B669,'C'!A1:C208,3,FALSE)</f>
        <v>176</v>
      </c>
      <c r="F669" s="34" t="str">
        <f>VLOOKUP(B669,'Player Data'!A1:B734,2,FALSE)</f>
        <v>VAN</v>
      </c>
      <c r="G669" s="9">
        <f>VLOOKUP(B669,'Player Data'!A1:D734,3,FALSE)</f>
        <v>29</v>
      </c>
      <c r="H669" s="35">
        <f>IFERROR(VLOOKUP(B669,ADP!A1:G731,7,FALSE)/1000000,VLOOKUP(B669,ADP!A1:G731,7,FALSE))</f>
        <v>0.76249999999999996</v>
      </c>
      <c r="I669" s="36">
        <f>IF(Settings!$E$15="POINTS",((R669*Q669)*Settings!$B$12)+(S669*Settings!$B$2)+(T669*Settings!$B$3)+(U669*Settings!$B$4)+(V669*Settings!$B$5)+(X669*Settings!$B$9)+(AA669*Settings!$B$6)+(W669*Settings!$B$8)+(AB669*Settings!$B$7)+(AC669*Settings!$B$14)+(AD669*Settings!$B$15)+(AE669*Settings!$B$16)+(AF669*Settings!$B$17)+(AG669*Settings!$B$18)+(Y669*Settings!$B$10)+(Z669*Settings!$B$11),VLOOKUP(B669,'Standard Deviations'!A1:C731,3,FALSE))</f>
        <v>-3.8956330070904084</v>
      </c>
      <c r="J669" s="37">
        <f t="shared" si="59"/>
        <v>-4.7507719598663518E-2</v>
      </c>
      <c r="K669" s="183">
        <f>IF(Settings!$E$18="C/LW/RW",VLOOKUP(B669,'C'!A1:F208,6,FALSE),VLOOKUP(B669,F!A1:F431,6,FALSE))</f>
        <v>-10.232683731297012</v>
      </c>
      <c r="L669" s="36">
        <f t="shared" si="60"/>
        <v>-13.41991309022559</v>
      </c>
      <c r="M669" s="52" t="str">
        <f>IF(Settings!$E$9="YAHOO",VLOOKUP(B669,ADP!A1:E731,2,FALSE),IF(Settings!$E$9="ESPN",VLOOKUP(B669,ADP!A1:E731,3,FALSE),IF(Settings!$E$9="FANTRAX",VLOOKUP(B669,ADP!A1:E731,4,FALSE),VLOOKUP(B669,ADP!A1:E731,5,FALSE))))</f>
        <v>-</v>
      </c>
      <c r="N669" s="52" t="str">
        <f t="shared" si="61"/>
        <v>N/A</v>
      </c>
      <c r="O669" s="38"/>
      <c r="P669" s="39" t="str">
        <f>IF(Settings!$E$27="ON",_xlfn.XLOOKUP(B669,ADP!A2:A731,ADP!H2:H731)," ")</f>
        <v xml:space="preserve"> </v>
      </c>
      <c r="Q669" s="40">
        <f>IF(Settings!$E$12="YES",VLOOKUP(B669,'Player Data'!A1:E734,5,FALSE),82)</f>
        <v>82</v>
      </c>
      <c r="R669" s="38">
        <f>VLOOKUP(B669,'Player Data'!$A1:$AE734,6,FALSE)</f>
        <v>10.7086024399318</v>
      </c>
      <c r="S669" s="40">
        <f>VLOOKUP(B669,'Player Data'!$A1:$AE734,7,FALSE)*$Q669*IFERROR((VLOOKUP(P669,Settings!$E$28:$F$33,2,FALSE)+1),1)</f>
        <v>9.8542355154219372</v>
      </c>
      <c r="T669" s="40">
        <f>VLOOKUP(B669,'Player Data'!$A1:$AE734,8,FALSE)*$Q669*IFERROR((VLOOKUP(P669,Settings!$E$28:$F$33,2,FALSE)+1),1)</f>
        <v>8.3684906234351786</v>
      </c>
      <c r="U669" s="40">
        <f t="shared" si="62"/>
        <v>18.222726138857116</v>
      </c>
      <c r="V669" s="40">
        <f>VLOOKUP(B669,'Player Data'!$A1:$AE734,10,FALSE)*$Q669*IFERROR(((VLOOKUP(P669,Settings!$E$28:$F$33,2,FALSE)/2)+1),1)</f>
        <v>103.63661584972701</v>
      </c>
      <c r="W669" s="40">
        <f>VLOOKUP(B669,'Player Data'!$A1:$AE734,11,FALSE)*$Q669*IFERROR((VLOOKUP(P669,Settings!$E$28:$F$33,2,FALSE)+1),1)</f>
        <v>0.88752088062270318</v>
      </c>
      <c r="X669" s="40">
        <f>VLOOKUP(B669,'Player Data'!$A1:$AE734,12,FALSE)*$Q669*IFERROR((VLOOKUP(P669,Settings!$E$28:$F$33,2,FALSE)+1),1)</f>
        <v>1.2465156888689217</v>
      </c>
      <c r="Y669" s="40">
        <f>VLOOKUP(B669,'Player Data'!$A1:$AE734,13,FALSE)*$Q669</f>
        <v>0.49949408601654538</v>
      </c>
      <c r="Z669" s="40">
        <f>VLOOKUP(B669,'Player Data'!$A1:$AE734,14,FALSE)*$Q669</f>
        <v>0.54509639697222045</v>
      </c>
      <c r="AA669" s="40">
        <f>VLOOKUP(B669,'Player Data'!$A1:$AE734,15,FALSE)*$Q669</f>
        <v>45.630134027667879</v>
      </c>
      <c r="AB669" s="40">
        <f>VLOOKUP(B669,'Player Data'!$A1:$AE734,16,FALSE)*$Q669</f>
        <v>108.05743204205864</v>
      </c>
      <c r="AC669" s="40">
        <f>VLOOKUP(B669,'Player Data'!$A1:$AE734,17,FALSE)*$Q669*IFERROR((VLOOKUP(P669,Settings!$E$28:$F$33,2,FALSE)+1),1)</f>
        <v>-0.4059662957888362</v>
      </c>
      <c r="AD669" s="40">
        <f>VLOOKUP(B669,'Player Data'!$A1:$AE734,18,FALSE)*$Q669</f>
        <v>28.90991613721296</v>
      </c>
      <c r="AE669" s="40">
        <f>VLOOKUP(B669,'Player Data'!$A1:$AE734,19,FALSE)*$Q669*IFERROR((VLOOKUP(P669,Settings!$E$28:$F$33,2,FALSE)+1),1)</f>
        <v>1.3949621202730678</v>
      </c>
      <c r="AF669" s="40">
        <f>VLOOKUP(B669,'Player Data'!$A1:$AE734,20,FALSE)*$Q669</f>
        <v>261.20608337033201</v>
      </c>
      <c r="AG669" s="40">
        <f>VLOOKUP(B669,'Player Data'!$A1:$AE734,21,FALSE)*$Q669</f>
        <v>292.15043555740328</v>
      </c>
      <c r="AH669" s="41">
        <f>VLOOKUP(B669,'Player Data'!$A1:$AE734,22,FALSE)</f>
        <v>0.47203940757124102</v>
      </c>
      <c r="AI669" s="38"/>
      <c r="AJ669" s="42"/>
      <c r="AK669" s="40"/>
      <c r="AL669" s="40"/>
      <c r="AM669" s="40"/>
      <c r="AN669" s="40"/>
      <c r="AO669" s="40"/>
      <c r="AP669" s="40"/>
      <c r="AQ669" s="43"/>
      <c r="AR669" s="44"/>
      <c r="AS669" s="38"/>
    </row>
    <row r="670" spans="1:45" ht="21.2" customHeight="1">
      <c r="A670" s="181">
        <f t="shared" si="58"/>
        <v>669</v>
      </c>
      <c r="B670" s="8" t="s">
        <v>715</v>
      </c>
      <c r="C670" s="31" t="s">
        <v>104</v>
      </c>
      <c r="D670" s="32" t="str">
        <f>VLOOKUP(B670,'Player Data'!A1:D734,4,FALSE)</f>
        <v>LW</v>
      </c>
      <c r="E670" s="48">
        <f>VLOOKUP(B670,LW!A1:C227,3,FALSE)</f>
        <v>192</v>
      </c>
      <c r="F670" s="34" t="str">
        <f>VLOOKUP(B670,'Player Data'!A1:B734,2,FALSE)</f>
        <v>ANA</v>
      </c>
      <c r="G670" s="9">
        <f>VLOOKUP(B670,'Player Data'!A1:D734,3,FALSE)</f>
        <v>29</v>
      </c>
      <c r="H670" s="35">
        <f>IFERROR(VLOOKUP(B670,ADP!A1:G731,7,FALSE)/1000000,VLOOKUP(B670,ADP!A1:G731,7,FALSE))</f>
        <v>2.75</v>
      </c>
      <c r="I670" s="36">
        <f>IF(Settings!$E$15="POINTS",((R670*Q670)*Settings!$B$12)+(S670*Settings!$B$2)+(T670*Settings!$B$3)+(U670*Settings!$B$4)+(V670*Settings!$B$5)+(X670*Settings!$B$9)+(AA670*Settings!$B$6)+(W670*Settings!$B$8)+(AB670*Settings!$B$7)+(AC670*Settings!$B$14)+(AD670*Settings!$B$15)+(AE670*Settings!$B$16)+(AF670*Settings!$B$17)+(AG670*Settings!$B$18)+(Y670*Settings!$B$10)+(Z670*Settings!$B$11),VLOOKUP(B670,'Standard Deviations'!A1:C731,3,FALSE))</f>
        <v>-3.5891992892531359</v>
      </c>
      <c r="J670" s="37">
        <f t="shared" si="59"/>
        <v>-4.3770723039672388E-2</v>
      </c>
      <c r="K670" s="183">
        <f>IF(Settings!$E$18="C/LW/RW",VLOOKUP(B670,LW!A1:F227,6,FALSE),VLOOKUP(B670,F!A1:F431,6,FALSE))</f>
        <v>-10.243868333377538</v>
      </c>
      <c r="L670" s="36">
        <f t="shared" si="60"/>
        <v>-3.7250430303191049</v>
      </c>
      <c r="M670" s="52" t="str">
        <f>IF(Settings!$E$9="YAHOO",VLOOKUP(B670,ADP!A1:E731,2,FALSE),IF(Settings!$E$9="ESPN",VLOOKUP(B670,ADP!A1:E731,3,FALSE),IF(Settings!$E$9="FANTRAX",VLOOKUP(B670,ADP!A1:E731,4,FALSE),VLOOKUP(B670,ADP!A1:E731,5,FALSE))))</f>
        <v>-</v>
      </c>
      <c r="N670" s="52" t="str">
        <f t="shared" si="61"/>
        <v>N/A</v>
      </c>
      <c r="O670" s="38"/>
      <c r="P670" s="39" t="str">
        <f>IF(Settings!$E$27="ON",_xlfn.XLOOKUP(B670,ADP!A2:A731,ADP!H2:H731)," ")</f>
        <v xml:space="preserve"> </v>
      </c>
      <c r="Q670" s="40">
        <f>IF(Settings!$E$12="YES",VLOOKUP(B670,'Player Data'!A1:E734,5,FALSE),82)</f>
        <v>82</v>
      </c>
      <c r="R670" s="38">
        <f>VLOOKUP(B670,'Player Data'!$A1:$AE734,6,FALSE)</f>
        <v>13.2202528699822</v>
      </c>
      <c r="S670" s="40">
        <f>VLOOKUP(B670,'Player Data'!$A1:$AE734,7,FALSE)*$Q670*IFERROR((VLOOKUP(P670,Settings!$E$28:$F$33,2,FALSE)+1),1)</f>
        <v>12.231955386842277</v>
      </c>
      <c r="T670" s="40">
        <f>VLOOKUP(B670,'Player Data'!$A1:$AE734,8,FALSE)*$Q670*IFERROR((VLOOKUP(P670,Settings!$E$28:$F$33,2,FALSE)+1),1)</f>
        <v>9.0142400112342482</v>
      </c>
      <c r="U670" s="40">
        <f t="shared" si="62"/>
        <v>21.246195398076523</v>
      </c>
      <c r="V670" s="40">
        <f>VLOOKUP(B670,'Player Data'!$A1:$AE734,10,FALSE)*$Q670*IFERROR(((VLOOKUP(P670,Settings!$E$28:$F$33,2,FALSE)/2)+1),1)</f>
        <v>104.73312481555108</v>
      </c>
      <c r="W670" s="40">
        <f>VLOOKUP(B670,'Player Data'!$A1:$AE734,11,FALSE)*$Q670*IFERROR((VLOOKUP(P670,Settings!$E$28:$F$33,2,FALSE)+1),1)</f>
        <v>1.9022930172716092E-2</v>
      </c>
      <c r="X670" s="40">
        <f>VLOOKUP(B670,'Player Data'!$A1:$AE734,12,FALSE)*$Q670*IFERROR((VLOOKUP(P670,Settings!$E$28:$F$33,2,FALSE)+1),1)</f>
        <v>4.8641660219799432E-2</v>
      </c>
      <c r="Y670" s="40">
        <f>VLOOKUP(B670,'Player Data'!$A1:$AE734,13,FALSE)*$Q670</f>
        <v>1.5670521563082165</v>
      </c>
      <c r="Z670" s="40">
        <f>VLOOKUP(B670,'Player Data'!$A1:$AE734,14,FALSE)*$Q670</f>
        <v>1.5799592820773574</v>
      </c>
      <c r="AA670" s="40">
        <f>VLOOKUP(B670,'Player Data'!$A1:$AE734,15,FALSE)*$Q670</f>
        <v>50.162673127713909</v>
      </c>
      <c r="AB670" s="40">
        <f>VLOOKUP(B670,'Player Data'!$A1:$AE734,16,FALSE)*$Q670</f>
        <v>99.752402332329339</v>
      </c>
      <c r="AC670" s="40">
        <f>VLOOKUP(B670,'Player Data'!$A1:$AE734,17,FALSE)*$Q670*IFERROR((VLOOKUP(P670,Settings!$E$28:$F$33,2,FALSE)+1),1)</f>
        <v>-8.5197016404275576</v>
      </c>
      <c r="AD670" s="40">
        <f>VLOOKUP(B670,'Player Data'!$A1:$AE734,18,FALSE)*$Q670</f>
        <v>20.682820750490738</v>
      </c>
      <c r="AE670" s="40">
        <f>VLOOKUP(B670,'Player Data'!$A1:$AE734,19,FALSE)*$Q670*IFERROR((VLOOKUP(P670,Settings!$E$28:$F$33,2,FALSE)+1),1)</f>
        <v>1.1725922532192397</v>
      </c>
      <c r="AF670" s="40">
        <f>VLOOKUP(B670,'Player Data'!$A1:$AE734,20,FALSE)*$Q670</f>
        <v>6.6345703627311705</v>
      </c>
      <c r="AG670" s="40">
        <f>VLOOKUP(B670,'Player Data'!$A1:$AE734,21,FALSE)*$Q670</f>
        <v>15.178258585640789</v>
      </c>
      <c r="AH670" s="41">
        <f>VLOOKUP(B670,'Player Data'!$A1:$AE734,22,FALSE)</f>
        <v>0.30415909731077501</v>
      </c>
      <c r="AI670" s="38"/>
      <c r="AJ670" s="42"/>
      <c r="AK670" s="40"/>
      <c r="AL670" s="40"/>
      <c r="AM670" s="40"/>
      <c r="AN670" s="40"/>
      <c r="AO670" s="40"/>
      <c r="AP670" s="40"/>
      <c r="AQ670" s="43"/>
      <c r="AR670" s="44"/>
      <c r="AS670" s="38"/>
    </row>
    <row r="671" spans="1:45" ht="21.2" customHeight="1">
      <c r="A671" s="181">
        <f t="shared" si="58"/>
        <v>670</v>
      </c>
      <c r="B671" s="8" t="s">
        <v>766</v>
      </c>
      <c r="C671" s="31" t="s">
        <v>104</v>
      </c>
      <c r="D671" s="32" t="str">
        <f>VLOOKUP(B671,'Player Data'!A1:D734,4,FALSE)</f>
        <v>C,LW</v>
      </c>
      <c r="E671" s="45">
        <f>VLOOKUP(B671,LW!A1:C227,3,FALSE)</f>
        <v>194</v>
      </c>
      <c r="F671" s="34" t="str">
        <f>VLOOKUP(B671,'Player Data'!A1:B734,2,FALSE)</f>
        <v>BOS</v>
      </c>
      <c r="G671" s="9">
        <f>VLOOKUP(B671,'Player Data'!A1:D734,3,FALSE)</f>
        <v>23</v>
      </c>
      <c r="H671" s="35">
        <f>IFERROR(VLOOKUP(B671,ADP!A1:G731,7,FALSE)/1000000,VLOOKUP(B671,ADP!A1:G731,7,FALSE))</f>
        <v>0</v>
      </c>
      <c r="I671" s="36">
        <f>IF(Settings!$E$15="POINTS",((R671*Q671)*Settings!$B$12)+(S671*Settings!$B$2)+(T671*Settings!$B$3)+(U671*Settings!$B$4)+(V671*Settings!$B$5)+(X671*Settings!$B$9)+(AA671*Settings!$B$6)+(W671*Settings!$B$8)+(AB671*Settings!$B$7)+(AC671*Settings!$B$14)+(AD671*Settings!$B$15)+(AE671*Settings!$B$16)+(AF671*Settings!$B$17)+(AG671*Settings!$B$18)+(Y671*Settings!$B$10)+(Z671*Settings!$B$11),VLOOKUP(B671,'Standard Deviations'!A1:C731,3,FALSE))</f>
        <v>-3.6277871407283206</v>
      </c>
      <c r="J671" s="37">
        <f t="shared" si="59"/>
        <v>-4.4241306594247812E-2</v>
      </c>
      <c r="K671" s="183">
        <f>IF(Settings!$E$18="C/LW/RW",VLOOKUP(B671,LW!A1:F227,6,FALSE),VLOOKUP(B671,F!A1:F431,6,FALSE))</f>
        <v>-10.282456184852721</v>
      </c>
      <c r="L671" s="49" t="str">
        <f t="shared" si="60"/>
        <v>N/A</v>
      </c>
      <c r="M671" s="52" t="str">
        <f>IF(Settings!$E$9="YAHOO",VLOOKUP(B671,ADP!A1:E731,2,FALSE),IF(Settings!$E$9="ESPN",VLOOKUP(B671,ADP!A1:E731,3,FALSE),IF(Settings!$E$9="FANTRAX",VLOOKUP(B671,ADP!A1:E731,4,FALSE),VLOOKUP(B671,ADP!A1:E731,5,FALSE))))</f>
        <v>-</v>
      </c>
      <c r="N671" s="52" t="str">
        <f t="shared" si="61"/>
        <v>N/A</v>
      </c>
      <c r="O671" s="38"/>
      <c r="P671" s="39" t="str">
        <f>IF(Settings!$E$27="ON",_xlfn.XLOOKUP(B671,ADP!A2:A731,ADP!H2:H731)," ")</f>
        <v xml:space="preserve"> </v>
      </c>
      <c r="Q671" s="40">
        <f>IF(Settings!$E$12="YES",VLOOKUP(B671,'Player Data'!A1:E734,5,FALSE),82)</f>
        <v>82</v>
      </c>
      <c r="R671" s="38">
        <f>VLOOKUP(B671,'Player Data'!$A1:$AE734,6,FALSE)</f>
        <v>10.4881712267675</v>
      </c>
      <c r="S671" s="40">
        <f>VLOOKUP(B671,'Player Data'!$A1:$AE734,7,FALSE)*$Q671*IFERROR((VLOOKUP(P671,Settings!$E$28:$F$33,2,FALSE)+1),1)</f>
        <v>12.037091116107831</v>
      </c>
      <c r="T671" s="40">
        <f>VLOOKUP(B671,'Player Data'!$A1:$AE734,8,FALSE)*$Q671*IFERROR((VLOOKUP(P671,Settings!$E$28:$F$33,2,FALSE)+1),1)</f>
        <v>12.03901502987908</v>
      </c>
      <c r="U671" s="40">
        <f t="shared" si="62"/>
        <v>24.076106145986913</v>
      </c>
      <c r="V671" s="40">
        <f>VLOOKUP(B671,'Player Data'!$A1:$AE734,10,FALSE)*$Q671*IFERROR(((VLOOKUP(P671,Settings!$E$28:$F$33,2,FALSE)/2)+1),1)</f>
        <v>83.083856220764417</v>
      </c>
      <c r="W671" s="40">
        <f>VLOOKUP(B671,'Player Data'!$A1:$AE734,11,FALSE)*$Q671*IFERROR((VLOOKUP(P671,Settings!$E$28:$F$33,2,FALSE)+1),1)</f>
        <v>1.6072885354097663E-2</v>
      </c>
      <c r="X671" s="40">
        <f>VLOOKUP(B671,'Player Data'!$A1:$AE734,12,FALSE)*$Q671*IFERROR((VLOOKUP(P671,Settings!$E$28:$F$33,2,FALSE)+1),1)</f>
        <v>3.9557179558060387E-2</v>
      </c>
      <c r="Y671" s="40">
        <f>VLOOKUP(B671,'Player Data'!$A1:$AE734,13,FALSE)*$Q671</f>
        <v>0.14547309345433104</v>
      </c>
      <c r="Z671" s="40">
        <f>VLOOKUP(B671,'Player Data'!$A1:$AE734,14,FALSE)*$Q671</f>
        <v>0.28957172536764864</v>
      </c>
      <c r="AA671" s="40">
        <f>VLOOKUP(B671,'Player Data'!$A1:$AE734,15,FALSE)*$Q671</f>
        <v>31.688540934779208</v>
      </c>
      <c r="AB671" s="40">
        <f>VLOOKUP(B671,'Player Data'!$A1:$AE734,16,FALSE)*$Q671</f>
        <v>163.67231270188401</v>
      </c>
      <c r="AC671" s="40">
        <f>VLOOKUP(B671,'Player Data'!$A1:$AE734,17,FALSE)*$Q671*IFERROR((VLOOKUP(P671,Settings!$E$28:$F$33,2,FALSE)+1),1)</f>
        <v>3.0539944629754534</v>
      </c>
      <c r="AD671" s="40">
        <f>VLOOKUP(B671,'Player Data'!$A1:$AE734,18,FALSE)*$Q671</f>
        <v>28.333945921680137</v>
      </c>
      <c r="AE671" s="40">
        <f>VLOOKUP(B671,'Player Data'!$A1:$AE734,19,FALSE)*$Q671*IFERROR((VLOOKUP(P671,Settings!$E$28:$F$33,2,FALSE)+1),1)</f>
        <v>2.0207907158994769</v>
      </c>
      <c r="AF671" s="40">
        <f>VLOOKUP(B671,'Player Data'!$A1:$AE734,20,FALSE)*$Q671</f>
        <v>0</v>
      </c>
      <c r="AG671" s="40">
        <f>VLOOKUP(B671,'Player Data'!$A1:$AE734,21,FALSE)*$Q671</f>
        <v>16.877398628169338</v>
      </c>
      <c r="AH671" s="41">
        <f>VLOOKUP(B671,'Player Data'!$A1:$AE734,22,FALSE)</f>
        <v>0</v>
      </c>
      <c r="AI671" s="38"/>
      <c r="AJ671" s="42"/>
      <c r="AK671" s="40"/>
      <c r="AL671" s="40"/>
      <c r="AM671" s="40"/>
      <c r="AN671" s="40"/>
      <c r="AO671" s="40"/>
      <c r="AP671" s="40"/>
      <c r="AQ671" s="43"/>
      <c r="AR671" s="44"/>
      <c r="AS671" s="38"/>
    </row>
    <row r="672" spans="1:45" ht="21.2" customHeight="1">
      <c r="A672" s="181">
        <f t="shared" si="58"/>
        <v>671</v>
      </c>
      <c r="B672" s="8" t="s">
        <v>770</v>
      </c>
      <c r="C672" s="31" t="s">
        <v>104</v>
      </c>
      <c r="D672" s="32" t="str">
        <f>VLOOKUP(B672,'Player Data'!A1:D734,4,FALSE)</f>
        <v>RW</v>
      </c>
      <c r="E672" s="46">
        <f>VLOOKUP(B672,RW!A1:F189,3,FALSE)</f>
        <v>175</v>
      </c>
      <c r="F672" s="34" t="str">
        <f>VLOOKUP(B672,'Player Data'!A1:B734,2,FALSE)</f>
        <v>TOR</v>
      </c>
      <c r="G672" s="9">
        <f>VLOOKUP(B672,'Player Data'!A1:D734,3,FALSE)</f>
        <v>24</v>
      </c>
      <c r="H672" s="35">
        <f>IFERROR(VLOOKUP(B672,ADP!A1:G731,7,FALSE)/1000000,VLOOKUP(B672,ADP!A1:G731,7,FALSE))</f>
        <v>0.8</v>
      </c>
      <c r="I672" s="36">
        <f>IF(Settings!$E$15="POINTS",((R672*Q672)*Settings!$B$12)+(S672*Settings!$B$2)+(T672*Settings!$B$3)+(U672*Settings!$B$4)+(V672*Settings!$B$5)+(X672*Settings!$B$9)+(AA672*Settings!$B$6)+(W672*Settings!$B$8)+(AB672*Settings!$B$7)+(AC672*Settings!$B$14)+(AD672*Settings!$B$15)+(AE672*Settings!$B$16)+(AF672*Settings!$B$17)+(AG672*Settings!$B$18)+(Y672*Settings!$B$10)+(Z672*Settings!$B$11),VLOOKUP(B672,'Standard Deviations'!A1:C731,3,FALSE))</f>
        <v>-4.0045767257232789</v>
      </c>
      <c r="J672" s="37">
        <f t="shared" si="59"/>
        <v>-4.8836301533210717E-2</v>
      </c>
      <c r="K672" s="183">
        <f>IF(Settings!$E$18="C/LW/RW",VLOOKUP(B672,RW!A1:F189,6,FALSE),VLOOKUP(B672,F!A1:F431,6,FALSE))</f>
        <v>-10.284835444734359</v>
      </c>
      <c r="L672" s="36">
        <f t="shared" si="60"/>
        <v>-12.856044305917948</v>
      </c>
      <c r="M672" s="52" t="str">
        <f>IF(Settings!$E$9="YAHOO",VLOOKUP(B672,ADP!A1:E731,2,FALSE),IF(Settings!$E$9="ESPN",VLOOKUP(B672,ADP!A1:E731,3,FALSE),IF(Settings!$E$9="FANTRAX",VLOOKUP(B672,ADP!A1:E731,4,FALSE),VLOOKUP(B672,ADP!A1:E731,5,FALSE))))</f>
        <v>-</v>
      </c>
      <c r="N672" s="52" t="str">
        <f t="shared" si="61"/>
        <v>N/A</v>
      </c>
      <c r="O672" s="38"/>
      <c r="P672" s="39" t="str">
        <f>IF(Settings!$E$27="ON",_xlfn.XLOOKUP(B672,ADP!A2:A731,ADP!H2:H731)," ")</f>
        <v xml:space="preserve"> </v>
      </c>
      <c r="Q672" s="40">
        <f>IF(Settings!$E$12="YES",VLOOKUP(B672,'Player Data'!A1:E734,5,FALSE),82)</f>
        <v>82</v>
      </c>
      <c r="R672" s="38">
        <f>VLOOKUP(B672,'Player Data'!$A1:$AE734,6,FALSE)</f>
        <v>10.123286374526201</v>
      </c>
      <c r="S672" s="40">
        <f>VLOOKUP(B672,'Player Data'!$A1:$AE734,7,FALSE)*$Q672*IFERROR((VLOOKUP(P672,Settings!$E$28:$F$33,2,FALSE)+1),1)</f>
        <v>8.9151271784583415</v>
      </c>
      <c r="T672" s="40">
        <f>VLOOKUP(B672,'Player Data'!$A1:$AE734,8,FALSE)*$Q672*IFERROR((VLOOKUP(P672,Settings!$E$28:$F$33,2,FALSE)+1),1)</f>
        <v>14.709648557844261</v>
      </c>
      <c r="U672" s="40">
        <f t="shared" si="62"/>
        <v>23.624775736302603</v>
      </c>
      <c r="V672" s="40">
        <f>VLOOKUP(B672,'Player Data'!$A1:$AE734,10,FALSE)*$Q672*IFERROR(((VLOOKUP(P672,Settings!$E$28:$F$33,2,FALSE)/2)+1),1)</f>
        <v>67.1794905918278</v>
      </c>
      <c r="W672" s="40">
        <f>VLOOKUP(B672,'Player Data'!$A1:$AE734,11,FALSE)*$Q672*IFERROR((VLOOKUP(P672,Settings!$E$28:$F$33,2,FALSE)+1),1)</f>
        <v>0.11047663668604334</v>
      </c>
      <c r="X672" s="40">
        <f>VLOOKUP(B672,'Player Data'!$A1:$AE734,12,FALSE)*$Q672*IFERROR((VLOOKUP(P672,Settings!$E$28:$F$33,2,FALSE)+1),1)</f>
        <v>0.19312635998610742</v>
      </c>
      <c r="Y672" s="40">
        <f>VLOOKUP(B672,'Player Data'!$A1:$AE734,13,FALSE)*$Q672</f>
        <v>0.13853458966020388</v>
      </c>
      <c r="Z672" s="40">
        <f>VLOOKUP(B672,'Player Data'!$A1:$AE734,14,FALSE)*$Q672</f>
        <v>0.27100163068341521</v>
      </c>
      <c r="AA672" s="40">
        <f>VLOOKUP(B672,'Player Data'!$A1:$AE734,15,FALSE)*$Q672</f>
        <v>37.597798723855327</v>
      </c>
      <c r="AB672" s="40">
        <f>VLOOKUP(B672,'Player Data'!$A1:$AE734,16,FALSE)*$Q672</f>
        <v>78.414867268505191</v>
      </c>
      <c r="AC672" s="40">
        <f>VLOOKUP(B672,'Player Data'!$A1:$AE734,17,FALSE)*$Q672*IFERROR((VLOOKUP(P672,Settings!$E$28:$F$33,2,FALSE)+1),1)</f>
        <v>4.2353333945483396</v>
      </c>
      <c r="AD672" s="40">
        <f>VLOOKUP(B672,'Player Data'!$A1:$AE734,18,FALSE)*$Q672</f>
        <v>28.241426316833692</v>
      </c>
      <c r="AE672" s="40">
        <f>VLOOKUP(B672,'Player Data'!$A1:$AE734,19,FALSE)*$Q672*IFERROR((VLOOKUP(P672,Settings!$E$28:$F$33,2,FALSE)+1),1)</f>
        <v>1.4322128116144424</v>
      </c>
      <c r="AF672" s="40">
        <f>VLOOKUP(B672,'Player Data'!$A1:$AE734,20,FALSE)*$Q672</f>
        <v>200.24429199319565</v>
      </c>
      <c r="AG672" s="40">
        <f>VLOOKUP(B672,'Player Data'!$A1:$AE734,21,FALSE)*$Q672</f>
        <v>271.29871818433008</v>
      </c>
      <c r="AH672" s="41">
        <f>VLOOKUP(B672,'Player Data'!$A1:$AE734,22,FALSE)</f>
        <v>0.42465753424657499</v>
      </c>
      <c r="AI672" s="38"/>
      <c r="AJ672" s="42"/>
      <c r="AK672" s="40"/>
      <c r="AL672" s="40"/>
      <c r="AM672" s="40"/>
      <c r="AN672" s="40"/>
      <c r="AO672" s="40"/>
      <c r="AP672" s="40"/>
      <c r="AQ672" s="43"/>
      <c r="AR672" s="44"/>
      <c r="AS672" s="38"/>
    </row>
    <row r="673" spans="1:45" ht="21.2" customHeight="1">
      <c r="A673" s="181">
        <f t="shared" si="58"/>
        <v>672</v>
      </c>
      <c r="B673" s="8" t="s">
        <v>740</v>
      </c>
      <c r="C673" s="31" t="s">
        <v>104</v>
      </c>
      <c r="D673" s="32" t="str">
        <f>VLOOKUP(B673,'Player Data'!A1:D734,4,FALSE)</f>
        <v>C</v>
      </c>
      <c r="E673" s="33">
        <f>VLOOKUP(B673,'C'!A1:C208,3,FALSE)</f>
        <v>181</v>
      </c>
      <c r="F673" s="34" t="str">
        <f>VLOOKUP(B673,'Player Data'!A1:B734,2,FALSE)</f>
        <v>NYI</v>
      </c>
      <c r="G673" s="9">
        <f>VLOOKUP(B673,'Player Data'!A1:D734,3,FALSE)</f>
        <v>32</v>
      </c>
      <c r="H673" s="35">
        <f>IFERROR(VLOOKUP(B673,ADP!A1:G731,7,FALSE)/1000000,VLOOKUP(B673,ADP!A1:G731,7,FALSE))</f>
        <v>2.5</v>
      </c>
      <c r="I673" s="36">
        <f>IF(Settings!$E$15="POINTS",((R673*Q673)*Settings!$B$12)+(S673*Settings!$B$2)+(T673*Settings!$B$3)+(U673*Settings!$B$4)+(V673*Settings!$B$5)+(X673*Settings!$B$9)+(AA673*Settings!$B$6)+(W673*Settings!$B$8)+(AB673*Settings!$B$7)+(AC673*Settings!$B$14)+(AD673*Settings!$B$15)+(AE673*Settings!$B$16)+(AF673*Settings!$B$17)+(AG673*Settings!$B$18)+(Y673*Settings!$B$10)+(Z673*Settings!$B$11),VLOOKUP(B673,'Standard Deviations'!A1:C731,3,FALSE))</f>
        <v>-4.04614124404804</v>
      </c>
      <c r="J673" s="37">
        <f t="shared" si="59"/>
        <v>-4.9343185903024875E-2</v>
      </c>
      <c r="K673" s="183">
        <f>IF(Settings!$E$18="C/LW/RW",VLOOKUP(B673,'C'!A1:F208,6,FALSE),VLOOKUP(B673,F!A1:F431,6,FALSE))</f>
        <v>-10.383191968254643</v>
      </c>
      <c r="L673" s="36">
        <f t="shared" si="60"/>
        <v>-4.1532767873018575</v>
      </c>
      <c r="M673" s="52" t="str">
        <f>IF(Settings!$E$9="YAHOO",VLOOKUP(B673,ADP!A1:E731,2,FALSE),IF(Settings!$E$9="ESPN",VLOOKUP(B673,ADP!A1:E731,3,FALSE),IF(Settings!$E$9="FANTRAX",VLOOKUP(B673,ADP!A1:E731,4,FALSE),VLOOKUP(B673,ADP!A1:E731,5,FALSE))))</f>
        <v>-</v>
      </c>
      <c r="N673" s="52" t="str">
        <f t="shared" si="61"/>
        <v>N/A</v>
      </c>
      <c r="O673" s="38"/>
      <c r="P673" s="39" t="str">
        <f>IF(Settings!$E$27="ON",_xlfn.XLOOKUP(B673,ADP!A2:A731,ADP!H2:H731)," ")</f>
        <v xml:space="preserve"> </v>
      </c>
      <c r="Q673" s="40">
        <f>IF(Settings!$E$12="YES",VLOOKUP(B673,'Player Data'!A1:E734,5,FALSE),82)</f>
        <v>82</v>
      </c>
      <c r="R673" s="38">
        <f>VLOOKUP(B673,'Player Data'!$A1:$AE734,6,FALSE)</f>
        <v>13.682718181534</v>
      </c>
      <c r="S673" s="40">
        <f>VLOOKUP(B673,'Player Data'!$A1:$AE734,7,FALSE)*$Q673*IFERROR((VLOOKUP(P673,Settings!$E$28:$F$33,2,FALSE)+1),1)</f>
        <v>7.1426954903256377</v>
      </c>
      <c r="T673" s="40">
        <f>VLOOKUP(B673,'Player Data'!$A1:$AE734,8,FALSE)*$Q673*IFERROR((VLOOKUP(P673,Settings!$E$28:$F$33,2,FALSE)+1),1)</f>
        <v>10.947765307198186</v>
      </c>
      <c r="U673" s="40">
        <f t="shared" si="62"/>
        <v>18.090460797523825</v>
      </c>
      <c r="V673" s="40">
        <f>VLOOKUP(B673,'Player Data'!$A1:$AE734,10,FALSE)*$Q673*IFERROR(((VLOOKUP(P673,Settings!$E$28:$F$33,2,FALSE)/2)+1),1)</f>
        <v>105.96918250881117</v>
      </c>
      <c r="W673" s="40">
        <f>VLOOKUP(B673,'Player Data'!$A1:$AE734,11,FALSE)*$Q673*IFERROR((VLOOKUP(P673,Settings!$E$28:$F$33,2,FALSE)+1),1)</f>
        <v>5.1866376744060382E-2</v>
      </c>
      <c r="X673" s="40">
        <f>VLOOKUP(B673,'Player Data'!$A1:$AE734,12,FALSE)*$Q673*IFERROR((VLOOKUP(P673,Settings!$E$28:$F$33,2,FALSE)+1),1)</f>
        <v>0.13724742597629006</v>
      </c>
      <c r="Y673" s="40">
        <f>VLOOKUP(B673,'Player Data'!$A1:$AE734,13,FALSE)*$Q673</f>
        <v>0.27662043194343194</v>
      </c>
      <c r="Z673" s="40">
        <f>VLOOKUP(B673,'Player Data'!$A1:$AE734,14,FALSE)*$Q673</f>
        <v>0.68404995831034998</v>
      </c>
      <c r="AA673" s="40">
        <f>VLOOKUP(B673,'Player Data'!$A1:$AE734,15,FALSE)*$Q673</f>
        <v>52.119440941780056</v>
      </c>
      <c r="AB673" s="40">
        <f>VLOOKUP(B673,'Player Data'!$A1:$AE734,16,FALSE)*$Q673</f>
        <v>162.33785010886234</v>
      </c>
      <c r="AC673" s="40">
        <f>VLOOKUP(B673,'Player Data'!$A1:$AE734,17,FALSE)*$Q673*IFERROR((VLOOKUP(P673,Settings!$E$28:$F$33,2,FALSE)+1),1)</f>
        <v>-1.9133604072258772</v>
      </c>
      <c r="AD673" s="40">
        <f>VLOOKUP(B673,'Player Data'!$A1:$AE734,18,FALSE)*$Q673</f>
        <v>41.66975480702439</v>
      </c>
      <c r="AE673" s="40">
        <f>VLOOKUP(B673,'Player Data'!$A1:$AE734,19,FALSE)*$Q673*IFERROR((VLOOKUP(P673,Settings!$E$28:$F$33,2,FALSE)+1),1)</f>
        <v>1.1037025735976524</v>
      </c>
      <c r="AF673" s="40">
        <f>VLOOKUP(B673,'Player Data'!$A1:$AE734,20,FALSE)*$Q673</f>
        <v>497.73627505825181</v>
      </c>
      <c r="AG673" s="40">
        <f>VLOOKUP(B673,'Player Data'!$A1:$AE734,21,FALSE)*$Q673</f>
        <v>422.61053758151809</v>
      </c>
      <c r="AH673" s="41">
        <f>VLOOKUP(B673,'Player Data'!$A1:$AE734,22,FALSE)</f>
        <v>0.54081381955420504</v>
      </c>
      <c r="AI673" s="38"/>
      <c r="AJ673" s="40"/>
      <c r="AK673" s="40"/>
      <c r="AL673" s="40"/>
      <c r="AM673" s="40"/>
      <c r="AN673" s="40"/>
      <c r="AO673" s="40"/>
      <c r="AP673" s="40"/>
      <c r="AQ673" s="43"/>
      <c r="AR673" s="44"/>
      <c r="AS673" s="38"/>
    </row>
    <row r="674" spans="1:45" ht="21.2" customHeight="1">
      <c r="A674" s="181">
        <f t="shared" si="58"/>
        <v>673</v>
      </c>
      <c r="B674" s="8" t="s">
        <v>719</v>
      </c>
      <c r="C674" s="31" t="s">
        <v>104</v>
      </c>
      <c r="D674" s="32" t="str">
        <f>VLOOKUP(B674,'Player Data'!A1:D734,4,FALSE)</f>
        <v>LW</v>
      </c>
      <c r="E674" s="48">
        <f>VLOOKUP(B674,LW!A1:C227,3,FALSE)</f>
        <v>196</v>
      </c>
      <c r="F674" s="34" t="str">
        <f>VLOOKUP(B674,'Player Data'!A1:B734,2,FALSE)</f>
        <v>PIT</v>
      </c>
      <c r="G674" s="9">
        <f>VLOOKUP(B674,'Player Data'!A1:D734,3,FALSE)</f>
        <v>30</v>
      </c>
      <c r="H674" s="35">
        <f>IFERROR(VLOOKUP(B674,ADP!A1:G731,7,FALSE)/1000000,VLOOKUP(B674,ADP!A1:G731,7,FALSE))</f>
        <v>0.9</v>
      </c>
      <c r="I674" s="36">
        <f>IF(Settings!$E$15="POINTS",((R674*Q674)*Settings!$B$12)+(S674*Settings!$B$2)+(T674*Settings!$B$3)+(U674*Settings!$B$4)+(V674*Settings!$B$5)+(X674*Settings!$B$9)+(AA674*Settings!$B$6)+(W674*Settings!$B$8)+(AB674*Settings!$B$7)+(AC674*Settings!$B$14)+(AD674*Settings!$B$15)+(AE674*Settings!$B$16)+(AF674*Settings!$B$17)+(AG674*Settings!$B$18)+(Y674*Settings!$B$10)+(Z674*Settings!$B$11),VLOOKUP(B674,'Standard Deviations'!A1:C731,3,FALSE))</f>
        <v>-3.7299819656050444</v>
      </c>
      <c r="J674" s="37">
        <f t="shared" si="59"/>
        <v>-4.5487584946402981E-2</v>
      </c>
      <c r="K674" s="183">
        <f>IF(Settings!$E$18="C/LW/RW",VLOOKUP(B674,LW!A1:F227,6,FALSE),VLOOKUP(B674,F!A1:F431,6,FALSE))</f>
        <v>-10.384651009729446</v>
      </c>
      <c r="L674" s="36">
        <f t="shared" si="60"/>
        <v>-11.538501121921605</v>
      </c>
      <c r="M674" s="52" t="str">
        <f>IF(Settings!$E$9="YAHOO",VLOOKUP(B674,ADP!A1:E731,2,FALSE),IF(Settings!$E$9="ESPN",VLOOKUP(B674,ADP!A1:E731,3,FALSE),IF(Settings!$E$9="FANTRAX",VLOOKUP(B674,ADP!A1:E731,4,FALSE),VLOOKUP(B674,ADP!A1:E731,5,FALSE))))</f>
        <v>-</v>
      </c>
      <c r="N674" s="52" t="str">
        <f t="shared" si="61"/>
        <v>N/A</v>
      </c>
      <c r="O674" s="38"/>
      <c r="P674" s="39" t="str">
        <f>IF(Settings!$E$27="ON",_xlfn.XLOOKUP(B674,ADP!A2:A731,ADP!H2:H731)," ")</f>
        <v xml:space="preserve"> </v>
      </c>
      <c r="Q674" s="40">
        <f>IF(Settings!$E$12="YES",VLOOKUP(B674,'Player Data'!A1:E734,5,FALSE),82)</f>
        <v>82</v>
      </c>
      <c r="R674" s="38">
        <f>VLOOKUP(B674,'Player Data'!$A1:$AE734,6,FALSE)</f>
        <v>13.102413782124</v>
      </c>
      <c r="S674" s="40">
        <f>VLOOKUP(B674,'Player Data'!$A1:$AE734,7,FALSE)*$Q674*IFERROR((VLOOKUP(P674,Settings!$E$28:$F$33,2,FALSE)+1),1)</f>
        <v>9.0353809499521436</v>
      </c>
      <c r="T674" s="40">
        <f>VLOOKUP(B674,'Player Data'!$A1:$AE734,8,FALSE)*$Q674*IFERROR((VLOOKUP(P674,Settings!$E$28:$F$33,2,FALSE)+1),1)</f>
        <v>10.581999027022041</v>
      </c>
      <c r="U674" s="40">
        <f t="shared" si="62"/>
        <v>19.617379976974185</v>
      </c>
      <c r="V674" s="40">
        <f>VLOOKUP(B674,'Player Data'!$A1:$AE734,10,FALSE)*$Q674*IFERROR(((VLOOKUP(P674,Settings!$E$28:$F$33,2,FALSE)/2)+1),1)</f>
        <v>107.51192329588783</v>
      </c>
      <c r="W674" s="40">
        <f>VLOOKUP(B674,'Player Data'!$A1:$AE734,11,FALSE)*$Q674*IFERROR((VLOOKUP(P674,Settings!$E$28:$F$33,2,FALSE)+1),1)</f>
        <v>0.22160997911354088</v>
      </c>
      <c r="X674" s="40">
        <f>VLOOKUP(B674,'Player Data'!$A1:$AE734,12,FALSE)*$Q674*IFERROR((VLOOKUP(P674,Settings!$E$28:$F$33,2,FALSE)+1),1)</f>
        <v>0.81694831695385317</v>
      </c>
      <c r="Y674" s="40">
        <f>VLOOKUP(B674,'Player Data'!$A1:$AE734,13,FALSE)*$Q674</f>
        <v>-3.8503827291833118E-2</v>
      </c>
      <c r="Z674" s="40">
        <f>VLOOKUP(B674,'Player Data'!$A1:$AE734,14,FALSE)*$Q674</f>
        <v>-0.10743780659718932</v>
      </c>
      <c r="AA674" s="40">
        <f>VLOOKUP(B674,'Player Data'!$A1:$AE734,15,FALSE)*$Q674</f>
        <v>38.023951423097031</v>
      </c>
      <c r="AB674" s="40">
        <f>VLOOKUP(B674,'Player Data'!$A1:$AE734,16,FALSE)*$Q674</f>
        <v>68.776659471482532</v>
      </c>
      <c r="AC674" s="40">
        <f>VLOOKUP(B674,'Player Data'!$A1:$AE734,17,FALSE)*$Q674*IFERROR((VLOOKUP(P674,Settings!$E$28:$F$33,2,FALSE)+1),1)</f>
        <v>0.81164556737697224</v>
      </c>
      <c r="AD674" s="40">
        <f>VLOOKUP(B674,'Player Data'!$A1:$AE734,18,FALSE)*$Q674</f>
        <v>18.986047217250277</v>
      </c>
      <c r="AE674" s="40">
        <f>VLOOKUP(B674,'Player Data'!$A1:$AE734,19,FALSE)*$Q674*IFERROR((VLOOKUP(P674,Settings!$E$28:$F$33,2,FALSE)+1),1)</f>
        <v>1.4503595617791563</v>
      </c>
      <c r="AF674" s="40">
        <f>VLOOKUP(B674,'Player Data'!$A1:$AE734,20,FALSE)*$Q674</f>
        <v>6.4166171472731559</v>
      </c>
      <c r="AG674" s="40">
        <f>VLOOKUP(B674,'Player Data'!$A1:$AE734,21,FALSE)*$Q674</f>
        <v>10.751127753931716</v>
      </c>
      <c r="AH674" s="41">
        <f>VLOOKUP(B674,'Player Data'!$A1:$AE734,22,FALSE)</f>
        <v>0.37376004735618101</v>
      </c>
      <c r="AI674" s="38"/>
      <c r="AJ674" s="42"/>
      <c r="AK674" s="40"/>
      <c r="AL674" s="40"/>
      <c r="AM674" s="40"/>
      <c r="AN674" s="40"/>
      <c r="AO674" s="40"/>
      <c r="AP674" s="40"/>
      <c r="AQ674" s="43"/>
      <c r="AR674" s="44"/>
      <c r="AS674" s="38"/>
    </row>
    <row r="675" spans="1:45" ht="21.2" customHeight="1">
      <c r="A675" s="181">
        <f t="shared" si="58"/>
        <v>674</v>
      </c>
      <c r="B675" s="8" t="s">
        <v>762</v>
      </c>
      <c r="C675" s="31" t="s">
        <v>104</v>
      </c>
      <c r="D675" s="32" t="str">
        <f>VLOOKUP(B675,'Player Data'!A1:D734,4,FALSE)</f>
        <v>C</v>
      </c>
      <c r="E675" s="33">
        <f>VLOOKUP(B675,'C'!A1:C208,3,FALSE)</f>
        <v>182</v>
      </c>
      <c r="F675" s="34" t="str">
        <f>VLOOKUP(B675,'Player Data'!A1:B734,2,FALSE)</f>
        <v>FLA</v>
      </c>
      <c r="G675" s="9">
        <f>VLOOKUP(B675,'Player Data'!A1:D734,3,FALSE)</f>
        <v>27</v>
      </c>
      <c r="H675" s="35">
        <f>IFERROR(VLOOKUP(B675,ADP!A1:G731,7,FALSE)/1000000,VLOOKUP(B675,ADP!A1:G731,7,FALSE))</f>
        <v>1.05</v>
      </c>
      <c r="I675" s="36">
        <f>IF(Settings!$E$15="POINTS",((R675*Q675)*Settings!$B$12)+(S675*Settings!$B$2)+(T675*Settings!$B$3)+(U675*Settings!$B$4)+(V675*Settings!$B$5)+(X675*Settings!$B$9)+(AA675*Settings!$B$6)+(W675*Settings!$B$8)+(AB675*Settings!$B$7)+(AC675*Settings!$B$14)+(AD675*Settings!$B$15)+(AE675*Settings!$B$16)+(AF675*Settings!$B$17)+(AG675*Settings!$B$18)+(Y675*Settings!$B$10)+(Z675*Settings!$B$11),VLOOKUP(B675,'Standard Deviations'!A1:C731,3,FALSE))</f>
        <v>-4.0934979612669631</v>
      </c>
      <c r="J675" s="37">
        <f t="shared" si="59"/>
        <v>-4.9920706844719061E-2</v>
      </c>
      <c r="K675" s="183">
        <f>IF(Settings!$E$18="C/LW/RW",VLOOKUP(B675,'C'!A1:F208,6,FALSE),VLOOKUP(B675,F!A1:F431,6,FALSE))</f>
        <v>-10.430548685473566</v>
      </c>
      <c r="L675" s="36">
        <f t="shared" si="60"/>
        <v>-9.9338558909272052</v>
      </c>
      <c r="M675" s="52" t="str">
        <f>IF(Settings!$E$9="YAHOO",VLOOKUP(B675,ADP!A1:E731,2,FALSE),IF(Settings!$E$9="ESPN",VLOOKUP(B675,ADP!A1:E731,3,FALSE),IF(Settings!$E$9="FANTRAX",VLOOKUP(B675,ADP!A1:E731,4,FALSE),VLOOKUP(B675,ADP!A1:E731,5,FALSE))))</f>
        <v>-</v>
      </c>
      <c r="N675" s="52" t="str">
        <f t="shared" si="61"/>
        <v>N/A</v>
      </c>
      <c r="O675" s="38"/>
      <c r="P675" s="39" t="str">
        <f>IF(Settings!$E$27="ON",_xlfn.XLOOKUP(B675,ADP!A2:A731,ADP!H2:H731)," ")</f>
        <v xml:space="preserve"> </v>
      </c>
      <c r="Q675" s="40">
        <f>IF(Settings!$E$12="YES",VLOOKUP(B675,'Player Data'!A1:E734,5,FALSE),82)</f>
        <v>82</v>
      </c>
      <c r="R675" s="38">
        <f>VLOOKUP(B675,'Player Data'!$A1:$AE734,6,FALSE)</f>
        <v>11.308871135670699</v>
      </c>
      <c r="S675" s="40">
        <f>VLOOKUP(B675,'Player Data'!$A1:$AE734,7,FALSE)*$Q675*IFERROR((VLOOKUP(P675,Settings!$E$28:$F$33,2,FALSE)+1),1)</f>
        <v>8.6855099247919298</v>
      </c>
      <c r="T675" s="40">
        <f>VLOOKUP(B675,'Player Data'!$A1:$AE734,8,FALSE)*$Q675*IFERROR((VLOOKUP(P675,Settings!$E$28:$F$33,2,FALSE)+1),1)</f>
        <v>9.1458626891242769</v>
      </c>
      <c r="U675" s="40">
        <f t="shared" si="62"/>
        <v>17.831372613916209</v>
      </c>
      <c r="V675" s="40">
        <f>VLOOKUP(B675,'Player Data'!$A1:$AE734,10,FALSE)*$Q675*IFERROR(((VLOOKUP(P675,Settings!$E$28:$F$33,2,FALSE)/2)+1),1)</f>
        <v>102.55604540146905</v>
      </c>
      <c r="W675" s="40">
        <f>VLOOKUP(B675,'Player Data'!$A1:$AE734,11,FALSE)*$Q675*IFERROR((VLOOKUP(P675,Settings!$E$28:$F$33,2,FALSE)+1),1)</f>
        <v>0.102314204808196</v>
      </c>
      <c r="X675" s="40">
        <f>VLOOKUP(B675,'Player Data'!$A1:$AE734,12,FALSE)*$Q675*IFERROR((VLOOKUP(P675,Settings!$E$28:$F$33,2,FALSE)+1),1)</f>
        <v>0.17970644113517995</v>
      </c>
      <c r="Y675" s="40">
        <f>VLOOKUP(B675,'Player Data'!$A1:$AE734,13,FALSE)*$Q675</f>
        <v>0.66515691660088994</v>
      </c>
      <c r="Z675" s="40">
        <f>VLOOKUP(B675,'Player Data'!$A1:$AE734,14,FALSE)*$Q675</f>
        <v>1.3379999595242418</v>
      </c>
      <c r="AA675" s="40">
        <f>VLOOKUP(B675,'Player Data'!$A1:$AE734,15,FALSE)*$Q675</f>
        <v>38.471748556332003</v>
      </c>
      <c r="AB675" s="40">
        <f>VLOOKUP(B675,'Player Data'!$A1:$AE734,16,FALSE)*$Q675</f>
        <v>121.62682298547696</v>
      </c>
      <c r="AC675" s="40">
        <f>VLOOKUP(B675,'Player Data'!$A1:$AE734,17,FALSE)*$Q675*IFERROR((VLOOKUP(P675,Settings!$E$28:$F$33,2,FALSE)+1),1)</f>
        <v>1.6832377957212779</v>
      </c>
      <c r="AD675" s="40">
        <f>VLOOKUP(B675,'Player Data'!$A1:$AE734,18,FALSE)*$Q675</f>
        <v>16.298716429729062</v>
      </c>
      <c r="AE675" s="40">
        <f>VLOOKUP(B675,'Player Data'!$A1:$AE734,19,FALSE)*$Q675*IFERROR((VLOOKUP(P675,Settings!$E$28:$F$33,2,FALSE)+1),1)</f>
        <v>1.2459562102098078</v>
      </c>
      <c r="AF675" s="40">
        <f>VLOOKUP(B675,'Player Data'!$A1:$AE734,20,FALSE)*$Q675</f>
        <v>234.36435257193634</v>
      </c>
      <c r="AG675" s="40">
        <f>VLOOKUP(B675,'Player Data'!$A1:$AE734,21,FALSE)*$Q675</f>
        <v>257.94786969560477</v>
      </c>
      <c r="AH675" s="41">
        <f>VLOOKUP(B675,'Player Data'!$A1:$AE734,22,FALSE)</f>
        <v>0.47604821081320498</v>
      </c>
      <c r="AI675" s="38"/>
      <c r="AJ675" s="40"/>
      <c r="AK675" s="40"/>
      <c r="AL675" s="40"/>
      <c r="AM675" s="40"/>
      <c r="AN675" s="40"/>
      <c r="AO675" s="40"/>
      <c r="AP675" s="40"/>
      <c r="AQ675" s="43"/>
      <c r="AR675" s="44"/>
      <c r="AS675" s="38"/>
    </row>
    <row r="676" spans="1:45" ht="21.2" customHeight="1">
      <c r="A676" s="181">
        <f t="shared" si="58"/>
        <v>675</v>
      </c>
      <c r="B676" s="8" t="s">
        <v>792</v>
      </c>
      <c r="C676" s="31" t="s">
        <v>104</v>
      </c>
      <c r="D676" s="32" t="str">
        <f>VLOOKUP(B676,'Player Data'!A1:D734,4,FALSE)</f>
        <v>C</v>
      </c>
      <c r="E676" s="33">
        <f>VLOOKUP(B676,'C'!A1:C208,3,FALSE)</f>
        <v>183</v>
      </c>
      <c r="F676" s="34" t="str">
        <f>VLOOKUP(B676,'Player Data'!A1:B734,2,FALSE)</f>
        <v>VAN</v>
      </c>
      <c r="G676" s="9">
        <f>VLOOKUP(B676,'Player Data'!A1:D734,3,FALSE)</f>
        <v>23</v>
      </c>
      <c r="H676" s="35">
        <f>IFERROR(VLOOKUP(B676,ADP!A1:G731,7,FALSE)/1000000,VLOOKUP(B676,ADP!A1:G731,7,FALSE))</f>
        <v>0.88375000000000004</v>
      </c>
      <c r="I676" s="36">
        <f>IF(Settings!$E$15="POINTS",((R676*Q676)*Settings!$B$12)+(S676*Settings!$B$2)+(T676*Settings!$B$3)+(U676*Settings!$B$4)+(V676*Settings!$B$5)+(X676*Settings!$B$9)+(AA676*Settings!$B$6)+(W676*Settings!$B$8)+(AB676*Settings!$B$7)+(AC676*Settings!$B$14)+(AD676*Settings!$B$15)+(AE676*Settings!$B$16)+(AF676*Settings!$B$17)+(AG676*Settings!$B$18)+(Y676*Settings!$B$10)+(Z676*Settings!$B$11),VLOOKUP(B676,'Standard Deviations'!A1:C731,3,FALSE))</f>
        <v>-4.108399234921988</v>
      </c>
      <c r="J676" s="37">
        <f t="shared" si="59"/>
        <v>-5.0102429694170586E-2</v>
      </c>
      <c r="K676" s="183">
        <f>IF(Settings!$E$18="C/LW/RW",VLOOKUP(B676,'C'!A1:F208,6,FALSE),VLOOKUP(B676,F!A1:F431,6,FALSE))</f>
        <v>-10.445449959128592</v>
      </c>
      <c r="L676" s="36">
        <f t="shared" si="60"/>
        <v>-11.819462471432635</v>
      </c>
      <c r="M676" s="52" t="str">
        <f>IF(Settings!$E$9="YAHOO",VLOOKUP(B676,ADP!A1:E731,2,FALSE),IF(Settings!$E$9="ESPN",VLOOKUP(B676,ADP!A1:E731,3,FALSE),IF(Settings!$E$9="FANTRAX",VLOOKUP(B676,ADP!A1:E731,4,FALSE),VLOOKUP(B676,ADP!A1:E731,5,FALSE))))</f>
        <v>-</v>
      </c>
      <c r="N676" s="52" t="str">
        <f t="shared" si="61"/>
        <v>N/A</v>
      </c>
      <c r="O676" s="38"/>
      <c r="P676" s="39" t="str">
        <f>IF(Settings!$E$27="ON",_xlfn.XLOOKUP(B676,ADP!A2:A731,ADP!H2:H731)," ")</f>
        <v xml:space="preserve"> </v>
      </c>
      <c r="Q676" s="40">
        <f>IF(Settings!$E$12="YES",VLOOKUP(B676,'Player Data'!A1:E734,5,FALSE),82)</f>
        <v>82</v>
      </c>
      <c r="R676" s="38">
        <f>VLOOKUP(B676,'Player Data'!$A1:$AE734,6,FALSE)</f>
        <v>12.424576644996399</v>
      </c>
      <c r="S676" s="40">
        <f>VLOOKUP(B676,'Player Data'!$A1:$AE734,7,FALSE)*$Q676*IFERROR((VLOOKUP(P676,Settings!$E$28:$F$33,2,FALSE)+1),1)</f>
        <v>7.4974366032701036</v>
      </c>
      <c r="T676" s="40">
        <f>VLOOKUP(B676,'Player Data'!$A1:$AE734,8,FALSE)*$Q676*IFERROR((VLOOKUP(P676,Settings!$E$28:$F$33,2,FALSE)+1),1)</f>
        <v>15.33611676081537</v>
      </c>
      <c r="U676" s="40">
        <f t="shared" si="62"/>
        <v>22.833553364085475</v>
      </c>
      <c r="V676" s="40">
        <f>VLOOKUP(B676,'Player Data'!$A1:$AE734,10,FALSE)*$Q676*IFERROR(((VLOOKUP(P676,Settings!$E$28:$F$33,2,FALSE)/2)+1),1)</f>
        <v>68.564275879524189</v>
      </c>
      <c r="W676" s="40">
        <f>VLOOKUP(B676,'Player Data'!$A1:$AE734,11,FALSE)*$Q676*IFERROR((VLOOKUP(P676,Settings!$E$28:$F$33,2,FALSE)+1),1)</f>
        <v>7.1948219067438701E-2</v>
      </c>
      <c r="X676" s="40">
        <f>VLOOKUP(B676,'Player Data'!$A1:$AE734,12,FALSE)*$Q676*IFERROR((VLOOKUP(P676,Settings!$E$28:$F$33,2,FALSE)+1),1)</f>
        <v>0.17544844585117811</v>
      </c>
      <c r="Y676" s="40">
        <f>VLOOKUP(B676,'Player Data'!$A1:$AE734,13,FALSE)*$Q676</f>
        <v>0.20196602386471912</v>
      </c>
      <c r="Z676" s="40">
        <f>VLOOKUP(B676,'Player Data'!$A1:$AE734,14,FALSE)*$Q676</f>
        <v>1.8189738316386364</v>
      </c>
      <c r="AA676" s="40">
        <f>VLOOKUP(B676,'Player Data'!$A1:$AE734,15,FALSE)*$Q676</f>
        <v>45.376981169196036</v>
      </c>
      <c r="AB676" s="40">
        <f>VLOOKUP(B676,'Player Data'!$A1:$AE734,16,FALSE)*$Q676</f>
        <v>64.153687531451283</v>
      </c>
      <c r="AC676" s="40">
        <f>VLOOKUP(B676,'Player Data'!$A1:$AE734,17,FALSE)*$Q676*IFERROR((VLOOKUP(P676,Settings!$E$28:$F$33,2,FALSE)+1),1)</f>
        <v>-1.6145654674626206</v>
      </c>
      <c r="AD676" s="40">
        <f>VLOOKUP(B676,'Player Data'!$A1:$AE734,18,FALSE)*$Q676</f>
        <v>22.991837864468931</v>
      </c>
      <c r="AE676" s="40">
        <f>VLOOKUP(B676,'Player Data'!$A1:$AE734,19,FALSE)*$Q676*IFERROR((VLOOKUP(P676,Settings!$E$28:$F$33,2,FALSE)+1),1)</f>
        <v>1.0613344936137181</v>
      </c>
      <c r="AF676" s="40">
        <f>VLOOKUP(B676,'Player Data'!$A1:$AE734,20,FALSE)*$Q676</f>
        <v>213.4941436353526</v>
      </c>
      <c r="AG676" s="40">
        <f>VLOOKUP(B676,'Player Data'!$A1:$AE734,21,FALSE)*$Q676</f>
        <v>345.60101704507474</v>
      </c>
      <c r="AH676" s="41">
        <f>VLOOKUP(B676,'Player Data'!$A1:$AE734,22,FALSE)</f>
        <v>0.38185654008438802</v>
      </c>
      <c r="AI676" s="38"/>
      <c r="AJ676" s="42"/>
      <c r="AK676" s="40"/>
      <c r="AL676" s="40"/>
      <c r="AM676" s="40"/>
      <c r="AN676" s="40"/>
      <c r="AO676" s="40"/>
      <c r="AP676" s="40"/>
      <c r="AQ676" s="43"/>
      <c r="AR676" s="44"/>
      <c r="AS676" s="38"/>
    </row>
    <row r="677" spans="1:45" ht="21.2" customHeight="1">
      <c r="A677" s="181">
        <f t="shared" si="58"/>
        <v>676</v>
      </c>
      <c r="B677" s="8" t="s">
        <v>798</v>
      </c>
      <c r="C677" s="31" t="s">
        <v>104</v>
      </c>
      <c r="D677" s="32" t="str">
        <f>VLOOKUP(B677,'Player Data'!A1:D734,4,FALSE)</f>
        <v>C</v>
      </c>
      <c r="E677" s="33">
        <f>VLOOKUP(B677,'C'!A1:C208,3,FALSE)</f>
        <v>185</v>
      </c>
      <c r="F677" s="34" t="str">
        <f>VLOOKUP(B677,'Player Data'!A1:B734,2,FALSE)</f>
        <v>FLA</v>
      </c>
      <c r="G677" s="9">
        <f>VLOOKUP(B677,'Player Data'!A1:D734,3,FALSE)</f>
        <v>25</v>
      </c>
      <c r="H677" s="35">
        <f>IFERROR(VLOOKUP(B677,ADP!A1:G731,7,FALSE)/1000000,VLOOKUP(B677,ADP!A1:G731,7,FALSE))</f>
        <v>0</v>
      </c>
      <c r="I677" s="36">
        <f>IF(Settings!$E$15="POINTS",((R677*Q677)*Settings!$B$12)+(S677*Settings!$B$2)+(T677*Settings!$B$3)+(U677*Settings!$B$4)+(V677*Settings!$B$5)+(X677*Settings!$B$9)+(AA677*Settings!$B$6)+(W677*Settings!$B$8)+(AB677*Settings!$B$7)+(AC677*Settings!$B$14)+(AD677*Settings!$B$15)+(AE677*Settings!$B$16)+(AF677*Settings!$B$17)+(AG677*Settings!$B$18)+(Y677*Settings!$B$10)+(Z677*Settings!$B$11),VLOOKUP(B677,'Standard Deviations'!A1:C731,3,FALSE))</f>
        <v>-4.1519749657502603</v>
      </c>
      <c r="J677" s="37">
        <f t="shared" si="59"/>
        <v>-5.063384104573488E-2</v>
      </c>
      <c r="K677" s="183">
        <f>IF(Settings!$E$18="C/LW/RW",VLOOKUP(B677,'C'!A1:F208,6,FALSE),VLOOKUP(B677,F!A1:F431,6,FALSE))</f>
        <v>-10.489025689956863</v>
      </c>
      <c r="L677" s="49" t="str">
        <f t="shared" si="60"/>
        <v>N/A</v>
      </c>
      <c r="M677" s="52" t="str">
        <f>IF(Settings!$E$9="YAHOO",VLOOKUP(B677,ADP!A1:E731,2,FALSE),IF(Settings!$E$9="ESPN",VLOOKUP(B677,ADP!A1:E731,3,FALSE),IF(Settings!$E$9="FANTRAX",VLOOKUP(B677,ADP!A1:E731,4,FALSE),VLOOKUP(B677,ADP!A1:E731,5,FALSE))))</f>
        <v>-</v>
      </c>
      <c r="N677" s="52" t="str">
        <f t="shared" si="61"/>
        <v>N/A</v>
      </c>
      <c r="O677" s="38"/>
      <c r="P677" s="39" t="str">
        <f>IF(Settings!$E$27="ON",_xlfn.XLOOKUP(B677,ADP!A2:A731,ADP!H2:H731)," ")</f>
        <v xml:space="preserve"> </v>
      </c>
      <c r="Q677" s="40">
        <f>IF(Settings!$E$12="YES",VLOOKUP(B677,'Player Data'!A1:E734,5,FALSE),82)</f>
        <v>82</v>
      </c>
      <c r="R677" s="38">
        <f>VLOOKUP(B677,'Player Data'!$A1:$AE734,6,FALSE)</f>
        <v>10.877065152404199</v>
      </c>
      <c r="S677" s="40">
        <f>VLOOKUP(B677,'Player Data'!$A1:$AE734,7,FALSE)*$Q677*IFERROR((VLOOKUP(P677,Settings!$E$28:$F$33,2,FALSE)+1),1)</f>
        <v>6.3298740973711745</v>
      </c>
      <c r="T677" s="40">
        <f>VLOOKUP(B677,'Player Data'!$A1:$AE734,8,FALSE)*$Q677*IFERROR((VLOOKUP(P677,Settings!$E$28:$F$33,2,FALSE)+1),1)</f>
        <v>12.704531272754814</v>
      </c>
      <c r="U677" s="40">
        <f t="shared" si="62"/>
        <v>19.034405370125988</v>
      </c>
      <c r="V677" s="40">
        <f>VLOOKUP(B677,'Player Data'!$A1:$AE734,10,FALSE)*$Q677*IFERROR(((VLOOKUP(P677,Settings!$E$28:$F$33,2,FALSE)/2)+1),1)</f>
        <v>93.947200381285256</v>
      </c>
      <c r="W677" s="40">
        <f>VLOOKUP(B677,'Player Data'!$A1:$AE734,11,FALSE)*$Q677*IFERROR((VLOOKUP(P677,Settings!$E$28:$F$33,2,FALSE)+1),1)</f>
        <v>8.3056050147199398E-2</v>
      </c>
      <c r="X677" s="40">
        <f>VLOOKUP(B677,'Player Data'!$A1:$AE734,12,FALSE)*$Q677*IFERROR((VLOOKUP(P677,Settings!$E$28:$F$33,2,FALSE)+1),1)</f>
        <v>0.18407164243966681</v>
      </c>
      <c r="Y677" s="40">
        <f>VLOOKUP(B677,'Player Data'!$A1:$AE734,13,FALSE)*$Q677</f>
        <v>1.0844783300226337</v>
      </c>
      <c r="Z677" s="40">
        <f>VLOOKUP(B677,'Player Data'!$A1:$AE734,14,FALSE)*$Q677</f>
        <v>1.2268063455385287</v>
      </c>
      <c r="AA677" s="40">
        <f>VLOOKUP(B677,'Player Data'!$A1:$AE734,15,FALSE)*$Q677</f>
        <v>19.745107955034481</v>
      </c>
      <c r="AB677" s="40">
        <f>VLOOKUP(B677,'Player Data'!$A1:$AE734,16,FALSE)*$Q677</f>
        <v>51.25792627345816</v>
      </c>
      <c r="AC677" s="40">
        <f>VLOOKUP(B677,'Player Data'!$A1:$AE734,17,FALSE)*$Q677*IFERROR((VLOOKUP(P677,Settings!$E$28:$F$33,2,FALSE)+1),1)</f>
        <v>1.8703961872057482</v>
      </c>
      <c r="AD677" s="40">
        <f>VLOOKUP(B677,'Player Data'!$A1:$AE734,18,FALSE)*$Q677</f>
        <v>10.738062394179897</v>
      </c>
      <c r="AE677" s="40">
        <f>VLOOKUP(B677,'Player Data'!$A1:$AE734,19,FALSE)*$Q677*IFERROR((VLOOKUP(P677,Settings!$E$28:$F$33,2,FALSE)+1),1)</f>
        <v>0.90803487760158397</v>
      </c>
      <c r="AF677" s="40">
        <f>VLOOKUP(B677,'Player Data'!$A1:$AE734,20,FALSE)*$Q677</f>
        <v>32.32472002380949</v>
      </c>
      <c r="AG677" s="40">
        <f>VLOOKUP(B677,'Player Data'!$A1:$AE734,21,FALSE)*$Q677</f>
        <v>45.702501074278004</v>
      </c>
      <c r="AH677" s="41">
        <f>VLOOKUP(B677,'Player Data'!$A1:$AE734,22,FALSE)</f>
        <v>0.414274910331284</v>
      </c>
      <c r="AI677" s="38"/>
      <c r="AJ677" s="42"/>
      <c r="AK677" s="40"/>
      <c r="AL677" s="40"/>
      <c r="AM677" s="40"/>
      <c r="AN677" s="40"/>
      <c r="AO677" s="40"/>
      <c r="AP677" s="40"/>
      <c r="AQ677" s="43"/>
      <c r="AR677" s="44"/>
      <c r="AS677" s="38"/>
    </row>
    <row r="678" spans="1:45" ht="21.2" customHeight="1">
      <c r="A678" s="181">
        <f t="shared" si="58"/>
        <v>677</v>
      </c>
      <c r="B678" s="8" t="s">
        <v>758</v>
      </c>
      <c r="C678" s="31" t="s">
        <v>104</v>
      </c>
      <c r="D678" s="32" t="str">
        <f>VLOOKUP(B678,'Player Data'!A1:D734,4,FALSE)</f>
        <v>LW</v>
      </c>
      <c r="E678" s="48">
        <f>VLOOKUP(B678,LW!A1:C227,3,FALSE)</f>
        <v>197</v>
      </c>
      <c r="F678" s="34" t="str">
        <f>VLOOKUP(B678,'Player Data'!A1:B734,2,FALSE)</f>
        <v>BOS</v>
      </c>
      <c r="G678" s="9">
        <f>VLOOKUP(B678,'Player Data'!A1:D734,3,FALSE)</f>
        <v>26</v>
      </c>
      <c r="H678" s="35">
        <f>IFERROR(VLOOKUP(B678,ADP!A1:G731,7,FALSE)/1000000,VLOOKUP(B678,ADP!A1:G731,7,FALSE))</f>
        <v>0.76249999999999996</v>
      </c>
      <c r="I678" s="36">
        <f>IF(Settings!$E$15="POINTS",((R678*Q678)*Settings!$B$12)+(S678*Settings!$B$2)+(T678*Settings!$B$3)+(U678*Settings!$B$4)+(V678*Settings!$B$5)+(X678*Settings!$B$9)+(AA678*Settings!$B$6)+(W678*Settings!$B$8)+(AB678*Settings!$B$7)+(AC678*Settings!$B$14)+(AD678*Settings!$B$15)+(AE678*Settings!$B$16)+(AF678*Settings!$B$17)+(AG678*Settings!$B$18)+(Y678*Settings!$B$10)+(Z678*Settings!$B$11),VLOOKUP(B678,'Standard Deviations'!A1:C731,3,FALSE))</f>
        <v>-3.8421143609125856</v>
      </c>
      <c r="J678" s="37">
        <f t="shared" si="59"/>
        <v>-4.6855053181860798E-2</v>
      </c>
      <c r="K678" s="183">
        <f>IF(Settings!$E$18="C/LW/RW",VLOOKUP(B678,LW!A1:F227,6,FALSE),VLOOKUP(B678,F!A1:F431,6,FALSE))</f>
        <v>-10.496783405036986</v>
      </c>
      <c r="L678" s="36">
        <f t="shared" si="60"/>
        <v>-13.766273318081295</v>
      </c>
      <c r="M678" s="52" t="str">
        <f>IF(Settings!$E$9="YAHOO",VLOOKUP(B678,ADP!A1:E731,2,FALSE),IF(Settings!$E$9="ESPN",VLOOKUP(B678,ADP!A1:E731,3,FALSE),IF(Settings!$E$9="FANTRAX",VLOOKUP(B678,ADP!A1:E731,4,FALSE),VLOOKUP(B678,ADP!A1:E731,5,FALSE))))</f>
        <v>-</v>
      </c>
      <c r="N678" s="52" t="str">
        <f t="shared" si="61"/>
        <v>N/A</v>
      </c>
      <c r="O678" s="38"/>
      <c r="P678" s="39" t="str">
        <f>IF(Settings!$E$27="ON",_xlfn.XLOOKUP(B678,ADP!A2:A731,ADP!H2:H731)," ")</f>
        <v xml:space="preserve"> </v>
      </c>
      <c r="Q678" s="40">
        <f>IF(Settings!$E$12="YES",VLOOKUP(B678,'Player Data'!A1:E734,5,FALSE),82)</f>
        <v>82</v>
      </c>
      <c r="R678" s="38">
        <f>VLOOKUP(B678,'Player Data'!$A1:$AE734,6,FALSE)</f>
        <v>10.2532127375004</v>
      </c>
      <c r="S678" s="40">
        <f>VLOOKUP(B678,'Player Data'!$A1:$AE734,7,FALSE)*$Q678*IFERROR((VLOOKUP(P678,Settings!$E$28:$F$33,2,FALSE)+1),1)</f>
        <v>8.0248397890597332</v>
      </c>
      <c r="T678" s="40">
        <f>VLOOKUP(B678,'Player Data'!$A1:$AE734,8,FALSE)*$Q678*IFERROR((VLOOKUP(P678,Settings!$E$28:$F$33,2,FALSE)+1),1)</f>
        <v>10.832993738886312</v>
      </c>
      <c r="U678" s="40">
        <f t="shared" si="62"/>
        <v>18.857833527946045</v>
      </c>
      <c r="V678" s="40">
        <f>VLOOKUP(B678,'Player Data'!$A1:$AE734,10,FALSE)*$Q678*IFERROR(((VLOOKUP(P678,Settings!$E$28:$F$33,2,FALSE)/2)+1),1)</f>
        <v>111.50805862962892</v>
      </c>
      <c r="W678" s="40">
        <f>VLOOKUP(B678,'Player Data'!$A1:$AE734,11,FALSE)*$Q678*IFERROR((VLOOKUP(P678,Settings!$E$28:$F$33,2,FALSE)+1),1)</f>
        <v>5.9487239133327367E-2</v>
      </c>
      <c r="X678" s="40">
        <f>VLOOKUP(B678,'Player Data'!$A1:$AE734,12,FALSE)*$Q678*IFERROR((VLOOKUP(P678,Settings!$E$28:$F$33,2,FALSE)+1),1)</f>
        <v>0.14753353707917297</v>
      </c>
      <c r="Y678" s="40">
        <f>VLOOKUP(B678,'Player Data'!$A1:$AE734,13,FALSE)*$Q678</f>
        <v>2.6075884854334576E-2</v>
      </c>
      <c r="Z678" s="40">
        <f>VLOOKUP(B678,'Player Data'!$A1:$AE734,14,FALSE)*$Q678</f>
        <v>4.936273979350609E-2</v>
      </c>
      <c r="AA678" s="40">
        <f>VLOOKUP(B678,'Player Data'!$A1:$AE734,15,FALSE)*$Q678</f>
        <v>39.595474853842674</v>
      </c>
      <c r="AB678" s="40">
        <f>VLOOKUP(B678,'Player Data'!$A1:$AE734,16,FALSE)*$Q678</f>
        <v>154.84494839345535</v>
      </c>
      <c r="AC678" s="40">
        <f>VLOOKUP(B678,'Player Data'!$A1:$AE734,17,FALSE)*$Q678*IFERROR((VLOOKUP(P678,Settings!$E$28:$F$33,2,FALSE)+1),1)</f>
        <v>3.736103591842046</v>
      </c>
      <c r="AD678" s="40">
        <f>VLOOKUP(B678,'Player Data'!$A1:$AE734,18,FALSE)*$Q678</f>
        <v>60.14636127302694</v>
      </c>
      <c r="AE678" s="40">
        <f>VLOOKUP(B678,'Player Data'!$A1:$AE734,19,FALSE)*$Q678*IFERROR((VLOOKUP(P678,Settings!$E$28:$F$33,2,FALSE)+1),1)</f>
        <v>1.3472126767082522</v>
      </c>
      <c r="AF678" s="40">
        <f>VLOOKUP(B678,'Player Data'!$A1:$AE734,20,FALSE)*$Q678</f>
        <v>3.5165005504157576</v>
      </c>
      <c r="AG678" s="40">
        <f>VLOOKUP(B678,'Player Data'!$A1:$AE734,21,FALSE)*$Q678</f>
        <v>1.8014364490834081</v>
      </c>
      <c r="AH678" s="41">
        <f>VLOOKUP(B678,'Player Data'!$A1:$AE734,22,FALSE)</f>
        <v>0.66125276601564398</v>
      </c>
      <c r="AI678" s="38"/>
      <c r="AJ678" s="42"/>
      <c r="AK678" s="40"/>
      <c r="AL678" s="40"/>
      <c r="AM678" s="40"/>
      <c r="AN678" s="40"/>
      <c r="AO678" s="40"/>
      <c r="AP678" s="40"/>
      <c r="AQ678" s="43"/>
      <c r="AR678" s="44"/>
      <c r="AS678" s="38"/>
    </row>
    <row r="679" spans="1:45" ht="21.2" customHeight="1">
      <c r="A679" s="181">
        <f t="shared" si="58"/>
        <v>678</v>
      </c>
      <c r="B679" s="8" t="s">
        <v>800</v>
      </c>
      <c r="C679" s="31" t="s">
        <v>104</v>
      </c>
      <c r="D679" s="32" t="str">
        <f>VLOOKUP(B679,'Player Data'!A1:D734,4,FALSE)</f>
        <v>C</v>
      </c>
      <c r="E679" s="33">
        <f>VLOOKUP(B679,'C'!A1:C208,3,FALSE)</f>
        <v>187</v>
      </c>
      <c r="F679" s="34" t="str">
        <f>VLOOKUP(B679,'Player Data'!A1:B734,2,FALSE)</f>
        <v>STL</v>
      </c>
      <c r="G679" s="9">
        <f>VLOOKUP(B679,'Player Data'!A1:D734,3,FALSE)</f>
        <v>22</v>
      </c>
      <c r="H679" s="35">
        <f>IFERROR(VLOOKUP(B679,ADP!A1:G731,7,FALSE)/1000000,VLOOKUP(B679,ADP!A1:G731,7,FALSE))</f>
        <v>0</v>
      </c>
      <c r="I679" s="36">
        <f>IF(Settings!$E$15="POINTS",((R679*Q679)*Settings!$B$12)+(S679*Settings!$B$2)+(T679*Settings!$B$3)+(U679*Settings!$B$4)+(V679*Settings!$B$5)+(X679*Settings!$B$9)+(AA679*Settings!$B$6)+(W679*Settings!$B$8)+(AB679*Settings!$B$7)+(AC679*Settings!$B$14)+(AD679*Settings!$B$15)+(AE679*Settings!$B$16)+(AF679*Settings!$B$17)+(AG679*Settings!$B$18)+(Y679*Settings!$B$10)+(Z679*Settings!$B$11),VLOOKUP(B679,'Standard Deviations'!A1:C731,3,FALSE))</f>
        <v>-4.1986590508874677</v>
      </c>
      <c r="J679" s="37">
        <f t="shared" si="59"/>
        <v>-5.1203159157164238E-2</v>
      </c>
      <c r="K679" s="183">
        <f>IF(Settings!$E$18="C/LW/RW",VLOOKUP(B679,'C'!A1:F208,6,FALSE),VLOOKUP(B679,F!A1:F431,6,FALSE))</f>
        <v>-10.53570977509407</v>
      </c>
      <c r="L679" s="49" t="str">
        <f t="shared" si="60"/>
        <v>N/A</v>
      </c>
      <c r="M679" s="52" t="str">
        <f>IF(Settings!$E$9="YAHOO",VLOOKUP(B679,ADP!A1:E731,2,FALSE),IF(Settings!$E$9="ESPN",VLOOKUP(B679,ADP!A1:E731,3,FALSE),IF(Settings!$E$9="FANTRAX",VLOOKUP(B679,ADP!A1:E731,4,FALSE),VLOOKUP(B679,ADP!A1:E731,5,FALSE))))</f>
        <v>-</v>
      </c>
      <c r="N679" s="52" t="str">
        <f t="shared" si="61"/>
        <v>N/A</v>
      </c>
      <c r="O679" s="38"/>
      <c r="P679" s="39" t="str">
        <f>IF(Settings!$E$27="ON",_xlfn.XLOOKUP(B679,ADP!A2:A731,ADP!H2:H731)," ")</f>
        <v xml:space="preserve"> </v>
      </c>
      <c r="Q679" s="40">
        <f>IF(Settings!$E$12="YES",VLOOKUP(B679,'Player Data'!A1:E734,5,FALSE),82)</f>
        <v>82</v>
      </c>
      <c r="R679" s="38">
        <f>VLOOKUP(B679,'Player Data'!$A1:$AE734,6,FALSE)</f>
        <v>9.6253540182709099</v>
      </c>
      <c r="S679" s="40">
        <f>VLOOKUP(B679,'Player Data'!$A1:$AE734,7,FALSE)*$Q679*IFERROR((VLOOKUP(P679,Settings!$E$28:$F$33,2,FALSE)+1),1)</f>
        <v>8.7918181960575854</v>
      </c>
      <c r="T679" s="40">
        <f>VLOOKUP(B679,'Player Data'!$A1:$AE734,8,FALSE)*$Q679*IFERROR((VLOOKUP(P679,Settings!$E$28:$F$33,2,FALSE)+1),1)</f>
        <v>11.476179731222421</v>
      </c>
      <c r="U679" s="40">
        <f t="shared" si="62"/>
        <v>20.267997927280007</v>
      </c>
      <c r="V679" s="40">
        <f>VLOOKUP(B679,'Player Data'!$A1:$AE734,10,FALSE)*$Q679*IFERROR(((VLOOKUP(P679,Settings!$E$28:$F$33,2,FALSE)/2)+1),1)</f>
        <v>79.279474394877596</v>
      </c>
      <c r="W679" s="40">
        <f>VLOOKUP(B679,'Player Data'!$A1:$AE734,11,FALSE)*$Q679*IFERROR((VLOOKUP(P679,Settings!$E$28:$F$33,2,FALSE)+1),1)</f>
        <v>6.7879720701533114E-2</v>
      </c>
      <c r="X679" s="40">
        <f>VLOOKUP(B679,'Player Data'!$A1:$AE734,12,FALSE)*$Q679*IFERROR((VLOOKUP(P679,Settings!$E$28:$F$33,2,FALSE)+1),1)</f>
        <v>0.16673954767539237</v>
      </c>
      <c r="Y679" s="40">
        <f>VLOOKUP(B679,'Player Data'!$A1:$AE734,13,FALSE)*$Q679</f>
        <v>5.5365967062987798E-2</v>
      </c>
      <c r="Z679" s="40">
        <f>VLOOKUP(B679,'Player Data'!$A1:$AE734,14,FALSE)*$Q679</f>
        <v>0.10793185025883203</v>
      </c>
      <c r="AA679" s="40">
        <f>VLOOKUP(B679,'Player Data'!$A1:$AE734,15,FALSE)*$Q679</f>
        <v>34.875445281000893</v>
      </c>
      <c r="AB679" s="40">
        <f>VLOOKUP(B679,'Player Data'!$A1:$AE734,16,FALSE)*$Q679</f>
        <v>97.25115661630025</v>
      </c>
      <c r="AC679" s="40">
        <f>VLOOKUP(B679,'Player Data'!$A1:$AE734,17,FALSE)*$Q679*IFERROR((VLOOKUP(P679,Settings!$E$28:$F$33,2,FALSE)+1),1)</f>
        <v>-3.4677612100758632</v>
      </c>
      <c r="AD679" s="40">
        <f>VLOOKUP(B679,'Player Data'!$A1:$AE734,18,FALSE)*$Q679</f>
        <v>20.936557058827329</v>
      </c>
      <c r="AE679" s="40">
        <f>VLOOKUP(B679,'Player Data'!$A1:$AE734,19,FALSE)*$Q679*IFERROR((VLOOKUP(P679,Settings!$E$28:$F$33,2,FALSE)+1),1)</f>
        <v>1.011698536114173</v>
      </c>
      <c r="AF679" s="40">
        <f>VLOOKUP(B679,'Player Data'!$A1:$AE734,20,FALSE)*$Q679</f>
        <v>152.24292522256886</v>
      </c>
      <c r="AG679" s="40">
        <f>VLOOKUP(B679,'Player Data'!$A1:$AE734,21,FALSE)*$Q679</f>
        <v>278.63327823753281</v>
      </c>
      <c r="AH679" s="41">
        <f>VLOOKUP(B679,'Player Data'!$A1:$AE734,22,FALSE)</f>
        <v>0.353333333333333</v>
      </c>
      <c r="AI679" s="38"/>
      <c r="AJ679" s="42"/>
      <c r="AK679" s="40"/>
      <c r="AL679" s="40"/>
      <c r="AM679" s="40"/>
      <c r="AN679" s="40"/>
      <c r="AO679" s="40"/>
      <c r="AP679" s="40"/>
      <c r="AQ679" s="43"/>
      <c r="AR679" s="44"/>
      <c r="AS679" s="38"/>
    </row>
    <row r="680" spans="1:45" ht="21.2" customHeight="1">
      <c r="A680" s="181">
        <f t="shared" si="58"/>
        <v>679</v>
      </c>
      <c r="B680" s="8" t="s">
        <v>782</v>
      </c>
      <c r="C680" s="31" t="s">
        <v>104</v>
      </c>
      <c r="D680" s="32" t="str">
        <f>VLOOKUP(B680,'Player Data'!A1:D734,4,FALSE)</f>
        <v>C</v>
      </c>
      <c r="E680" s="33">
        <f>VLOOKUP(B680,'C'!A1:C208,3,FALSE)</f>
        <v>188</v>
      </c>
      <c r="F680" s="34" t="str">
        <f>VLOOKUP(B680,'Player Data'!A1:B734,2,FALSE)</f>
        <v>DET</v>
      </c>
      <c r="G680" s="9">
        <f>VLOOKUP(B680,'Player Data'!A1:D734,3,FALSE)</f>
        <v>23</v>
      </c>
      <c r="H680" s="35">
        <f>IFERROR(VLOOKUP(B680,ADP!A1:G731,7,FALSE)/1000000,VLOOKUP(B680,ADP!A1:G731,7,FALSE))</f>
        <v>0</v>
      </c>
      <c r="I680" s="36">
        <f>IF(Settings!$E$15="POINTS",((R680*Q680)*Settings!$B$12)+(S680*Settings!$B$2)+(T680*Settings!$B$3)+(U680*Settings!$B$4)+(V680*Settings!$B$5)+(X680*Settings!$B$9)+(AA680*Settings!$B$6)+(W680*Settings!$B$8)+(AB680*Settings!$B$7)+(AC680*Settings!$B$14)+(AD680*Settings!$B$15)+(AE680*Settings!$B$16)+(AF680*Settings!$B$17)+(AG680*Settings!$B$18)+(Y680*Settings!$B$10)+(Z680*Settings!$B$11),VLOOKUP(B680,'Standard Deviations'!A1:C731,3,FALSE))</f>
        <v>-4.21386934212887</v>
      </c>
      <c r="J680" s="37">
        <f t="shared" si="59"/>
        <v>-5.1388650513766704E-2</v>
      </c>
      <c r="K680" s="183">
        <f>IF(Settings!$E$18="C/LW/RW",VLOOKUP(B680,'C'!A1:F208,6,FALSE),VLOOKUP(B680,F!A1:F431,6,FALSE))</f>
        <v>-10.550920066335472</v>
      </c>
      <c r="L680" s="49" t="str">
        <f t="shared" si="60"/>
        <v>N/A</v>
      </c>
      <c r="M680" s="52" t="str">
        <f>IF(Settings!$E$9="YAHOO",VLOOKUP(B680,ADP!A1:E731,2,FALSE),IF(Settings!$E$9="ESPN",VLOOKUP(B680,ADP!A1:E731,3,FALSE),IF(Settings!$E$9="FANTRAX",VLOOKUP(B680,ADP!A1:E731,4,FALSE),VLOOKUP(B680,ADP!A1:E731,5,FALSE))))</f>
        <v>-</v>
      </c>
      <c r="N680" s="52" t="str">
        <f t="shared" si="61"/>
        <v>N/A</v>
      </c>
      <c r="O680" s="38"/>
      <c r="P680" s="39" t="str">
        <f>IF(Settings!$E$27="ON",_xlfn.XLOOKUP(B680,ADP!A2:A731,ADP!H2:H731)," ")</f>
        <v xml:space="preserve"> </v>
      </c>
      <c r="Q680" s="40">
        <f>IF(Settings!$E$12="YES",VLOOKUP(B680,'Player Data'!A1:E734,5,FALSE),82)</f>
        <v>82</v>
      </c>
      <c r="R680" s="38">
        <f>VLOOKUP(B680,'Player Data'!$A1:$AE734,6,FALSE)</f>
        <v>11.5508804716291</v>
      </c>
      <c r="S680" s="40">
        <f>VLOOKUP(B680,'Player Data'!$A1:$AE734,7,FALSE)*$Q680*IFERROR((VLOOKUP(P680,Settings!$E$28:$F$33,2,FALSE)+1),1)</f>
        <v>9.0945874110819407</v>
      </c>
      <c r="T680" s="40">
        <f>VLOOKUP(B680,'Player Data'!$A1:$AE734,8,FALSE)*$Q680*IFERROR((VLOOKUP(P680,Settings!$E$28:$F$33,2,FALSE)+1),1)</f>
        <v>9.8805471781876317</v>
      </c>
      <c r="U680" s="40">
        <f t="shared" si="62"/>
        <v>18.975134589269572</v>
      </c>
      <c r="V680" s="40">
        <f>VLOOKUP(B680,'Player Data'!$A1:$AE734,10,FALSE)*$Q680*IFERROR(((VLOOKUP(P680,Settings!$E$28:$F$33,2,FALSE)/2)+1),1)</f>
        <v>79.836735739476893</v>
      </c>
      <c r="W680" s="40">
        <f>VLOOKUP(B680,'Player Data'!$A1:$AE734,11,FALSE)*$Q680*IFERROR((VLOOKUP(P680,Settings!$E$28:$F$33,2,FALSE)+1),1)</f>
        <v>0.48429425735765091</v>
      </c>
      <c r="X680" s="40">
        <f>VLOOKUP(B680,'Player Data'!$A1:$AE734,12,FALSE)*$Q680*IFERROR((VLOOKUP(P680,Settings!$E$28:$F$33,2,FALSE)+1),1)</f>
        <v>1.3567340672355428</v>
      </c>
      <c r="Y680" s="40">
        <f>VLOOKUP(B680,'Player Data'!$A1:$AE734,13,FALSE)*$Q680</f>
        <v>0.11653086516523184</v>
      </c>
      <c r="Z680" s="40">
        <f>VLOOKUP(B680,'Player Data'!$A1:$AE734,14,FALSE)*$Q680</f>
        <v>0.25071122550423158</v>
      </c>
      <c r="AA680" s="40">
        <f>VLOOKUP(B680,'Player Data'!$A1:$AE734,15,FALSE)*$Q680</f>
        <v>37.345502483350622</v>
      </c>
      <c r="AB680" s="40">
        <f>VLOOKUP(B680,'Player Data'!$A1:$AE734,16,FALSE)*$Q680</f>
        <v>136.58086979690989</v>
      </c>
      <c r="AC680" s="40">
        <f>VLOOKUP(B680,'Player Data'!$A1:$AE734,17,FALSE)*$Q680*IFERROR((VLOOKUP(P680,Settings!$E$28:$F$33,2,FALSE)+1),1)</f>
        <v>-3.8060328634023786</v>
      </c>
      <c r="AD680" s="40">
        <f>VLOOKUP(B680,'Player Data'!$A1:$AE734,18,FALSE)*$Q680</f>
        <v>26.037393606401871</v>
      </c>
      <c r="AE680" s="40">
        <f>VLOOKUP(B680,'Player Data'!$A1:$AE734,19,FALSE)*$Q680*IFERROR((VLOOKUP(P680,Settings!$E$28:$F$33,2,FALSE)+1),1)</f>
        <v>1.2035400444588067</v>
      </c>
      <c r="AF680" s="40">
        <f>VLOOKUP(B680,'Player Data'!$A1:$AE734,20,FALSE)*$Q680</f>
        <v>260.47108050009962</v>
      </c>
      <c r="AG680" s="40">
        <f>VLOOKUP(B680,'Player Data'!$A1:$AE734,21,FALSE)*$Q680</f>
        <v>319.16424464661424</v>
      </c>
      <c r="AH680" s="41">
        <f>VLOOKUP(B680,'Player Data'!$A1:$AE734,22,FALSE)</f>
        <v>0.44937061148606</v>
      </c>
      <c r="AI680" s="38"/>
      <c r="AJ680" s="42"/>
      <c r="AK680" s="40"/>
      <c r="AL680" s="40"/>
      <c r="AM680" s="40"/>
      <c r="AN680" s="40"/>
      <c r="AO680" s="40"/>
      <c r="AP680" s="40"/>
      <c r="AQ680" s="43"/>
      <c r="AR680" s="44"/>
      <c r="AS680" s="38"/>
    </row>
    <row r="681" spans="1:45" ht="21.2" customHeight="1">
      <c r="A681" s="181">
        <f t="shared" si="58"/>
        <v>680</v>
      </c>
      <c r="B681" s="8" t="s">
        <v>722</v>
      </c>
      <c r="C681" s="31" t="s">
        <v>104</v>
      </c>
      <c r="D681" s="32" t="str">
        <f>VLOOKUP(B681,'Player Data'!A1:D734,4,FALSE)</f>
        <v>LW</v>
      </c>
      <c r="E681" s="48">
        <f>VLOOKUP(B681,LW!A1:C227,3,FALSE)</f>
        <v>200</v>
      </c>
      <c r="F681" s="34" t="str">
        <f>VLOOKUP(B681,'Player Data'!A1:B734,2,FALSE)</f>
        <v>SJS</v>
      </c>
      <c r="G681" s="9">
        <f>VLOOKUP(B681,'Player Data'!A1:D734,3,FALSE)</f>
        <v>27</v>
      </c>
      <c r="H681" s="35">
        <f>IFERROR(VLOOKUP(B681,ADP!A1:G731,7,FALSE)/1000000,VLOOKUP(B681,ADP!A1:G731,7,FALSE))</f>
        <v>2.5</v>
      </c>
      <c r="I681" s="36">
        <f>IF(Settings!$E$15="POINTS",((R681*Q681)*Settings!$B$12)+(S681*Settings!$B$2)+(T681*Settings!$B$3)+(U681*Settings!$B$4)+(V681*Settings!$B$5)+(X681*Settings!$B$9)+(AA681*Settings!$B$6)+(W681*Settings!$B$8)+(AB681*Settings!$B$7)+(AC681*Settings!$B$14)+(AD681*Settings!$B$15)+(AE681*Settings!$B$16)+(AF681*Settings!$B$17)+(AG681*Settings!$B$18)+(Y681*Settings!$B$10)+(Z681*Settings!$B$11),VLOOKUP(B681,'Standard Deviations'!A1:C731,3,FALSE))</f>
        <v>-3.9053307575112441</v>
      </c>
      <c r="J681" s="37">
        <f t="shared" si="59"/>
        <v>-4.7625984847698102E-2</v>
      </c>
      <c r="K681" s="183">
        <f>IF(Settings!$E$18="C/LW/RW",VLOOKUP(B681,LW!A1:F227,6,FALSE),VLOOKUP(B681,F!A1:F431,6,FALSE))</f>
        <v>-10.559999801635644</v>
      </c>
      <c r="L681" s="36">
        <f t="shared" si="60"/>
        <v>-4.2239999206542578</v>
      </c>
      <c r="M681" s="52" t="str">
        <f>IF(Settings!$E$9="YAHOO",VLOOKUP(B681,ADP!A1:E731,2,FALSE),IF(Settings!$E$9="ESPN",VLOOKUP(B681,ADP!A1:E731,3,FALSE),IF(Settings!$E$9="FANTRAX",VLOOKUP(B681,ADP!A1:E731,4,FALSE),VLOOKUP(B681,ADP!A1:E731,5,FALSE))))</f>
        <v>-</v>
      </c>
      <c r="N681" s="52" t="str">
        <f t="shared" si="61"/>
        <v>N/A</v>
      </c>
      <c r="O681" s="38"/>
      <c r="P681" s="39" t="str">
        <f>IF(Settings!$E$27="ON",_xlfn.XLOOKUP(B681,ADP!A2:A731,ADP!H2:H731)," ")</f>
        <v xml:space="preserve"> </v>
      </c>
      <c r="Q681" s="40">
        <f>IF(Settings!$E$12="YES",VLOOKUP(B681,'Player Data'!A1:E734,5,FALSE),82)</f>
        <v>82</v>
      </c>
      <c r="R681" s="38">
        <f>VLOOKUP(B681,'Player Data'!$A1:$AE734,6,FALSE)</f>
        <v>11.2311320841553</v>
      </c>
      <c r="S681" s="40">
        <f>VLOOKUP(B681,'Player Data'!$A1:$AE734,7,FALSE)*$Q681*IFERROR((VLOOKUP(P681,Settings!$E$28:$F$33,2,FALSE)+1),1)</f>
        <v>9.2824807621439902</v>
      </c>
      <c r="T681" s="40">
        <f>VLOOKUP(B681,'Player Data'!$A1:$AE734,8,FALSE)*$Q681*IFERROR((VLOOKUP(P681,Settings!$E$28:$F$33,2,FALSE)+1),1)</f>
        <v>11.021410185332115</v>
      </c>
      <c r="U681" s="40">
        <f t="shared" si="62"/>
        <v>20.303890947476106</v>
      </c>
      <c r="V681" s="40">
        <f>VLOOKUP(B681,'Player Data'!$A1:$AE734,10,FALSE)*$Q681*IFERROR(((VLOOKUP(P681,Settings!$E$28:$F$33,2,FALSE)/2)+1),1)</f>
        <v>94.442693707085553</v>
      </c>
      <c r="W681" s="40">
        <f>VLOOKUP(B681,'Player Data'!$A1:$AE734,11,FALSE)*$Q681*IFERROR((VLOOKUP(P681,Settings!$E$28:$F$33,2,FALSE)+1),1)</f>
        <v>9.6726687620115243E-2</v>
      </c>
      <c r="X681" s="40">
        <f>VLOOKUP(B681,'Player Data'!$A1:$AE734,12,FALSE)*$Q681*IFERROR((VLOOKUP(P681,Settings!$E$28:$F$33,2,FALSE)+1),1)</f>
        <v>0.39900775917705972</v>
      </c>
      <c r="Y681" s="40">
        <f>VLOOKUP(B681,'Player Data'!$A1:$AE734,13,FALSE)*$Q681</f>
        <v>5.2636969252633059E-2</v>
      </c>
      <c r="Z681" s="40">
        <f>VLOOKUP(B681,'Player Data'!$A1:$AE734,14,FALSE)*$Q681</f>
        <v>0.11308913864968087</v>
      </c>
      <c r="AA681" s="40">
        <f>VLOOKUP(B681,'Player Data'!$A1:$AE734,15,FALSE)*$Q681</f>
        <v>34.179740505567011</v>
      </c>
      <c r="AB681" s="40">
        <f>VLOOKUP(B681,'Player Data'!$A1:$AE734,16,FALSE)*$Q681</f>
        <v>85.003599072150905</v>
      </c>
      <c r="AC681" s="40">
        <f>VLOOKUP(B681,'Player Data'!$A1:$AE734,17,FALSE)*$Q681*IFERROR((VLOOKUP(P681,Settings!$E$28:$F$33,2,FALSE)+1),1)</f>
        <v>-1.014852695950234</v>
      </c>
      <c r="AD681" s="40">
        <f>VLOOKUP(B681,'Player Data'!$A1:$AE734,18,FALSE)*$Q681</f>
        <v>19.591862005160635</v>
      </c>
      <c r="AE681" s="40">
        <f>VLOOKUP(B681,'Player Data'!$A1:$AE734,19,FALSE)*$Q681*IFERROR((VLOOKUP(P681,Settings!$E$28:$F$33,2,FALSE)+1),1)</f>
        <v>1.1524734019443523</v>
      </c>
      <c r="AF681" s="40">
        <f>VLOOKUP(B681,'Player Data'!$A1:$AE734,20,FALSE)*$Q681</f>
        <v>8.9742739706086141</v>
      </c>
      <c r="AG681" s="40">
        <f>VLOOKUP(B681,'Player Data'!$A1:$AE734,21,FALSE)*$Q681</f>
        <v>11.004352916843693</v>
      </c>
      <c r="AH681" s="41">
        <f>VLOOKUP(B681,'Player Data'!$A1:$AE734,22,FALSE)</f>
        <v>0.44919373193985501</v>
      </c>
      <c r="AI681" s="38"/>
      <c r="AJ681" s="42"/>
      <c r="AK681" s="40"/>
      <c r="AL681" s="40"/>
      <c r="AM681" s="40"/>
      <c r="AN681" s="40"/>
      <c r="AO681" s="40"/>
      <c r="AP681" s="40"/>
      <c r="AQ681" s="43"/>
      <c r="AR681" s="44"/>
      <c r="AS681" s="38"/>
    </row>
    <row r="682" spans="1:45" ht="21.2" customHeight="1">
      <c r="A682" s="181">
        <f t="shared" si="58"/>
        <v>681</v>
      </c>
      <c r="B682" s="8" t="s">
        <v>728</v>
      </c>
      <c r="C682" s="31" t="s">
        <v>104</v>
      </c>
      <c r="D682" s="32" t="str">
        <f>VLOOKUP(B682,'Player Data'!A1:D734,4,FALSE)</f>
        <v>LW</v>
      </c>
      <c r="E682" s="48">
        <f>VLOOKUP(B682,LW!A1:C227,3,FALSE)</f>
        <v>201</v>
      </c>
      <c r="F682" s="34" t="str">
        <f>VLOOKUP(B682,'Player Data'!A1:B734,2,FALSE)</f>
        <v>CHI</v>
      </c>
      <c r="G682" s="9">
        <f>VLOOKUP(B682,'Player Data'!A1:D734,3,FALSE)</f>
        <v>35</v>
      </c>
      <c r="H682" s="35">
        <f>IFERROR(VLOOKUP(B682,ADP!A1:G731,7,FALSE)/1000000,VLOOKUP(B682,ADP!A1:G731,7,FALSE))</f>
        <v>4</v>
      </c>
      <c r="I682" s="36">
        <f>IF(Settings!$E$15="POINTS",((R682*Q682)*Settings!$B$12)+(S682*Settings!$B$2)+(T682*Settings!$B$3)+(U682*Settings!$B$4)+(V682*Settings!$B$5)+(X682*Settings!$B$9)+(AA682*Settings!$B$6)+(W682*Settings!$B$8)+(AB682*Settings!$B$7)+(AC682*Settings!$B$14)+(AD682*Settings!$B$15)+(AE682*Settings!$B$16)+(AF682*Settings!$B$17)+(AG682*Settings!$B$18)+(Y682*Settings!$B$10)+(Z682*Settings!$B$11),VLOOKUP(B682,'Standard Deviations'!A1:C731,3,FALSE))</f>
        <v>-3.9176149188486202</v>
      </c>
      <c r="J682" s="37">
        <f t="shared" si="59"/>
        <v>-4.7775791693275858E-2</v>
      </c>
      <c r="K682" s="183">
        <f>IF(Settings!$E$18="C/LW/RW",VLOOKUP(B682,LW!A1:F227,6,FALSE),VLOOKUP(B682,F!A1:F431,6,FALSE))</f>
        <v>-10.572283962973021</v>
      </c>
      <c r="L682" s="36">
        <f t="shared" si="60"/>
        <v>-2.6430709907432552</v>
      </c>
      <c r="M682" s="52" t="str">
        <f>IF(Settings!$E$9="YAHOO",VLOOKUP(B682,ADP!A1:E731,2,FALSE),IF(Settings!$E$9="ESPN",VLOOKUP(B682,ADP!A1:E731,3,FALSE),IF(Settings!$E$9="FANTRAX",VLOOKUP(B682,ADP!A1:E731,4,FALSE),VLOOKUP(B682,ADP!A1:E731,5,FALSE))))</f>
        <v>-</v>
      </c>
      <c r="N682" s="52" t="str">
        <f t="shared" si="61"/>
        <v>N/A</v>
      </c>
      <c r="O682" s="38"/>
      <c r="P682" s="39" t="str">
        <f>IF(Settings!$E$27="ON",_xlfn.XLOOKUP(B682,ADP!A2:A731,ADP!H2:H731)," ")</f>
        <v xml:space="preserve"> </v>
      </c>
      <c r="Q682" s="40">
        <f>IF(Settings!$E$12="YES",VLOOKUP(B682,'Player Data'!A1:E734,5,FALSE),82)</f>
        <v>82</v>
      </c>
      <c r="R682" s="38">
        <f>VLOOKUP(B682,'Player Data'!$A1:$AE734,6,FALSE)</f>
        <v>11.926720266768299</v>
      </c>
      <c r="S682" s="40">
        <f>VLOOKUP(B682,'Player Data'!$A1:$AE734,7,FALSE)*$Q682*IFERROR((VLOOKUP(P682,Settings!$E$28:$F$33,2,FALSE)+1),1)</f>
        <v>6.4020527701839187</v>
      </c>
      <c r="T682" s="40">
        <f>VLOOKUP(B682,'Player Data'!$A1:$AE734,8,FALSE)*$Q682*IFERROR((VLOOKUP(P682,Settings!$E$28:$F$33,2,FALSE)+1),1)</f>
        <v>14.293310504158274</v>
      </c>
      <c r="U682" s="40">
        <f t="shared" si="62"/>
        <v>20.695363274342192</v>
      </c>
      <c r="V682" s="40">
        <f>VLOOKUP(B682,'Player Data'!$A1:$AE734,10,FALSE)*$Q682*IFERROR(((VLOOKUP(P682,Settings!$E$28:$F$33,2,FALSE)/2)+1),1)</f>
        <v>94.537083155648219</v>
      </c>
      <c r="W682" s="40">
        <f>VLOOKUP(B682,'Player Data'!$A1:$AE734,11,FALSE)*$Q682*IFERROR((VLOOKUP(P682,Settings!$E$28:$F$33,2,FALSE)+1),1)</f>
        <v>0.16969251137560604</v>
      </c>
      <c r="X682" s="40">
        <f>VLOOKUP(B682,'Player Data'!$A1:$AE734,12,FALSE)*$Q682*IFERROR((VLOOKUP(P682,Settings!$E$28:$F$33,2,FALSE)+1),1)</f>
        <v>0.47357164743508401</v>
      </c>
      <c r="Y682" s="40">
        <f>VLOOKUP(B682,'Player Data'!$A1:$AE734,13,FALSE)*$Q682</f>
        <v>7.523148898452961E-2</v>
      </c>
      <c r="Z682" s="40">
        <f>VLOOKUP(B682,'Player Data'!$A1:$AE734,14,FALSE)*$Q682</f>
        <v>1.1142597514342403</v>
      </c>
      <c r="AA682" s="40">
        <f>VLOOKUP(B682,'Player Data'!$A1:$AE734,15,FALSE)*$Q682</f>
        <v>43.174505715032566</v>
      </c>
      <c r="AB682" s="40">
        <f>VLOOKUP(B682,'Player Data'!$A1:$AE734,16,FALSE)*$Q682</f>
        <v>189.07683337268134</v>
      </c>
      <c r="AC682" s="40">
        <f>VLOOKUP(B682,'Player Data'!$A1:$AE734,17,FALSE)*$Q682*IFERROR((VLOOKUP(P682,Settings!$E$28:$F$33,2,FALSE)+1),1)</f>
        <v>-5.6750653849117425</v>
      </c>
      <c r="AD682" s="40">
        <f>VLOOKUP(B682,'Player Data'!$A1:$AE734,18,FALSE)*$Q682</f>
        <v>49.989313828203287</v>
      </c>
      <c r="AE682" s="40">
        <f>VLOOKUP(B682,'Player Data'!$A1:$AE734,19,FALSE)*$Q682*IFERROR((VLOOKUP(P682,Settings!$E$28:$F$33,2,FALSE)+1),1)</f>
        <v>0.75020247928868145</v>
      </c>
      <c r="AF682" s="40">
        <f>VLOOKUP(B682,'Player Data'!$A1:$AE734,20,FALSE)*$Q682</f>
        <v>63.867502989160997</v>
      </c>
      <c r="AG682" s="40">
        <f>VLOOKUP(B682,'Player Data'!$A1:$AE734,21,FALSE)*$Q682</f>
        <v>56.676842030467434</v>
      </c>
      <c r="AH682" s="41">
        <f>VLOOKUP(B682,'Player Data'!$A1:$AE734,22,FALSE)</f>
        <v>0.52982579131987795</v>
      </c>
      <c r="AI682" s="38"/>
      <c r="AJ682" s="42"/>
      <c r="AK682" s="40"/>
      <c r="AL682" s="40"/>
      <c r="AM682" s="40"/>
      <c r="AN682" s="40"/>
      <c r="AO682" s="40"/>
      <c r="AP682" s="40"/>
      <c r="AQ682" s="43"/>
      <c r="AR682" s="44"/>
      <c r="AS682" s="38"/>
    </row>
    <row r="683" spans="1:45" ht="21.2" customHeight="1">
      <c r="A683" s="181">
        <f t="shared" si="58"/>
        <v>682</v>
      </c>
      <c r="B683" s="8" t="s">
        <v>743</v>
      </c>
      <c r="C683" s="31" t="s">
        <v>104</v>
      </c>
      <c r="D683" s="32" t="str">
        <f>VLOOKUP(B683,'Player Data'!A1:D734,4,FALSE)</f>
        <v>LW</v>
      </c>
      <c r="E683" s="48">
        <f>VLOOKUP(B683,LW!A1:C227,3,FALSE)</f>
        <v>202</v>
      </c>
      <c r="F683" s="34" t="str">
        <f>VLOOKUP(B683,'Player Data'!A1:B734,2,FALSE)</f>
        <v>CHI</v>
      </c>
      <c r="G683" s="9">
        <f>VLOOKUP(B683,'Player Data'!A1:D734,3,FALSE)</f>
        <v>25</v>
      </c>
      <c r="H683" s="35">
        <f>IFERROR(VLOOKUP(B683,ADP!A1:G731,7,FALSE)/1000000,VLOOKUP(B683,ADP!A1:G731,7,FALSE))</f>
        <v>0.75833300000000003</v>
      </c>
      <c r="I683" s="36">
        <f>IF(Settings!$E$15="POINTS",((R683*Q683)*Settings!$B$12)+(S683*Settings!$B$2)+(T683*Settings!$B$3)+(U683*Settings!$B$4)+(V683*Settings!$B$5)+(X683*Settings!$B$9)+(AA683*Settings!$B$6)+(W683*Settings!$B$8)+(AB683*Settings!$B$7)+(AC683*Settings!$B$14)+(AD683*Settings!$B$15)+(AE683*Settings!$B$16)+(AF683*Settings!$B$17)+(AG683*Settings!$B$18)+(Y683*Settings!$B$10)+(Z683*Settings!$B$11),VLOOKUP(B683,'Standard Deviations'!A1:C731,3,FALSE))</f>
        <v>-3.9559172433966978</v>
      </c>
      <c r="J683" s="37">
        <f t="shared" si="59"/>
        <v>-4.8242893212154851E-2</v>
      </c>
      <c r="K683" s="183">
        <f>IF(Settings!$E$18="C/LW/RW",VLOOKUP(B683,LW!A1:F227,6,FALSE),VLOOKUP(B683,F!A1:F431,6,FALSE))</f>
        <v>-10.610586287521098</v>
      </c>
      <c r="L683" s="36">
        <f t="shared" si="60"/>
        <v>-13.991988067934663</v>
      </c>
      <c r="M683" s="52" t="str">
        <f>IF(Settings!$E$9="YAHOO",VLOOKUP(B683,ADP!A1:E731,2,FALSE),IF(Settings!$E$9="ESPN",VLOOKUP(B683,ADP!A1:E731,3,FALSE),IF(Settings!$E$9="FANTRAX",VLOOKUP(B683,ADP!A1:E731,4,FALSE),VLOOKUP(B683,ADP!A1:E731,5,FALSE))))</f>
        <v>-</v>
      </c>
      <c r="N683" s="52" t="str">
        <f t="shared" si="61"/>
        <v>N/A</v>
      </c>
      <c r="O683" s="38"/>
      <c r="P683" s="39" t="str">
        <f>IF(Settings!$E$27="ON",_xlfn.XLOOKUP(B683,ADP!A2:A731,ADP!H2:H731)," ")</f>
        <v xml:space="preserve"> </v>
      </c>
      <c r="Q683" s="40">
        <f>IF(Settings!$E$12="YES",VLOOKUP(B683,'Player Data'!A1:E734,5,FALSE),82)</f>
        <v>82</v>
      </c>
      <c r="R683" s="38">
        <f>VLOOKUP(B683,'Player Data'!$A1:$AE734,6,FALSE)</f>
        <v>12.2772769974769</v>
      </c>
      <c r="S683" s="40">
        <f>VLOOKUP(B683,'Player Data'!$A1:$AE734,7,FALSE)*$Q683*IFERROR((VLOOKUP(P683,Settings!$E$28:$F$33,2,FALSE)+1),1)</f>
        <v>7.4171369137359724</v>
      </c>
      <c r="T683" s="40">
        <f>VLOOKUP(B683,'Player Data'!$A1:$AE734,8,FALSE)*$Q683*IFERROR((VLOOKUP(P683,Settings!$E$28:$F$33,2,FALSE)+1),1)</f>
        <v>13.114512881776527</v>
      </c>
      <c r="U683" s="40">
        <f t="shared" si="62"/>
        <v>20.5316497955125</v>
      </c>
      <c r="V683" s="40">
        <f>VLOOKUP(B683,'Player Data'!$A1:$AE734,10,FALSE)*$Q683*IFERROR(((VLOOKUP(P683,Settings!$E$28:$F$33,2,FALSE)/2)+1),1)</f>
        <v>91.245354866512443</v>
      </c>
      <c r="W683" s="40">
        <f>VLOOKUP(B683,'Player Data'!$A1:$AE734,11,FALSE)*$Q683*IFERROR((VLOOKUP(P683,Settings!$E$28:$F$33,2,FALSE)+1),1)</f>
        <v>0.23973209894737821</v>
      </c>
      <c r="X683" s="40">
        <f>VLOOKUP(B683,'Player Data'!$A1:$AE734,12,FALSE)*$Q683*IFERROR((VLOOKUP(P683,Settings!$E$28:$F$33,2,FALSE)+1),1)</f>
        <v>0.59754628097825657</v>
      </c>
      <c r="Y683" s="40">
        <f>VLOOKUP(B683,'Player Data'!$A1:$AE734,13,FALSE)*$Q683</f>
        <v>0.25558517713379003</v>
      </c>
      <c r="Z683" s="40">
        <f>VLOOKUP(B683,'Player Data'!$A1:$AE734,14,FALSE)*$Q683</f>
        <v>1.605145290880917</v>
      </c>
      <c r="AA683" s="40">
        <f>VLOOKUP(B683,'Player Data'!$A1:$AE734,15,FALSE)*$Q683</f>
        <v>29.247994995817709</v>
      </c>
      <c r="AB683" s="40">
        <f>VLOOKUP(B683,'Player Data'!$A1:$AE734,16,FALSE)*$Q683</f>
        <v>146.40848491873697</v>
      </c>
      <c r="AC683" s="40">
        <f>VLOOKUP(B683,'Player Data'!$A1:$AE734,17,FALSE)*$Q683*IFERROR((VLOOKUP(P683,Settings!$E$28:$F$33,2,FALSE)+1),1)</f>
        <v>-7.3843227366268795</v>
      </c>
      <c r="AD683" s="40">
        <f>VLOOKUP(B683,'Player Data'!$A1:$AE734,18,FALSE)*$Q683</f>
        <v>32.813624966199733</v>
      </c>
      <c r="AE683" s="40">
        <f>VLOOKUP(B683,'Player Data'!$A1:$AE734,19,FALSE)*$Q683*IFERROR((VLOOKUP(P683,Settings!$E$28:$F$33,2,FALSE)+1),1)</f>
        <v>0.86915161459196877</v>
      </c>
      <c r="AF683" s="40">
        <f>VLOOKUP(B683,'Player Data'!$A1:$AE734,20,FALSE)*$Q683</f>
        <v>6.2306326849716962</v>
      </c>
      <c r="AG683" s="40">
        <f>VLOOKUP(B683,'Player Data'!$A1:$AE734,21,FALSE)*$Q683</f>
        <v>16.940044290372217</v>
      </c>
      <c r="AH683" s="41">
        <f>VLOOKUP(B683,'Player Data'!$A1:$AE734,22,FALSE)</f>
        <v>0.26890162473896501</v>
      </c>
      <c r="AI683" s="38"/>
      <c r="AJ683" s="40"/>
      <c r="AK683" s="40"/>
      <c r="AL683" s="40"/>
      <c r="AM683" s="40"/>
      <c r="AN683" s="40"/>
      <c r="AO683" s="40"/>
      <c r="AP683" s="40"/>
      <c r="AQ683" s="43"/>
      <c r="AR683" s="44"/>
      <c r="AS683" s="38"/>
    </row>
    <row r="684" spans="1:45" ht="21.2" customHeight="1">
      <c r="A684" s="181">
        <f t="shared" si="58"/>
        <v>683</v>
      </c>
      <c r="B684" s="8" t="s">
        <v>734</v>
      </c>
      <c r="C684" s="31" t="s">
        <v>104</v>
      </c>
      <c r="D684" s="32" t="str">
        <f>VLOOKUP(B684,'Player Data'!A1:D734,4,FALSE)</f>
        <v>C,LW</v>
      </c>
      <c r="E684" s="45">
        <f>VLOOKUP(B684,LW!A1:C227,3,FALSE)</f>
        <v>203</v>
      </c>
      <c r="F684" s="34" t="str">
        <f>VLOOKUP(B684,'Player Data'!A1:B734,2,FALSE)</f>
        <v>BUF</v>
      </c>
      <c r="G684" s="9">
        <f>VLOOKUP(B684,'Player Data'!A1:D734,3,FALSE)</f>
        <v>29</v>
      </c>
      <c r="H684" s="35">
        <f>IFERROR(VLOOKUP(B684,ADP!A1:G731,7,FALSE)/1000000,VLOOKUP(B684,ADP!A1:G731,7,FALSE))</f>
        <v>1.88</v>
      </c>
      <c r="I684" s="36">
        <f>IF(Settings!$E$15="POINTS",((R684*Q684)*Settings!$B$12)+(S684*Settings!$B$2)+(T684*Settings!$B$3)+(U684*Settings!$B$4)+(V684*Settings!$B$5)+(X684*Settings!$B$9)+(AA684*Settings!$B$6)+(W684*Settings!$B$8)+(AB684*Settings!$B$7)+(AC684*Settings!$B$14)+(AD684*Settings!$B$15)+(AE684*Settings!$B$16)+(AF684*Settings!$B$17)+(AG684*Settings!$B$18)+(Y684*Settings!$B$10)+(Z684*Settings!$B$11),VLOOKUP(B684,'Standard Deviations'!A1:C731,3,FALSE))</f>
        <v>-3.9752289640747072</v>
      </c>
      <c r="J684" s="37">
        <f t="shared" si="59"/>
        <v>-4.847840200091106E-2</v>
      </c>
      <c r="K684" s="183">
        <f>IF(Settings!$E$18="C/LW/RW",VLOOKUP(B684,LW!A1:F227,6,FALSE),VLOOKUP(B684,F!A1:F431,6,FALSE))</f>
        <v>-10.629898008199108</v>
      </c>
      <c r="L684" s="36">
        <f t="shared" si="60"/>
        <v>-5.6542010681910151</v>
      </c>
      <c r="M684" s="52" t="str">
        <f>IF(Settings!$E$9="YAHOO",VLOOKUP(B684,ADP!A1:E731,2,FALSE),IF(Settings!$E$9="ESPN",VLOOKUP(B684,ADP!A1:E731,3,FALSE),IF(Settings!$E$9="FANTRAX",VLOOKUP(B684,ADP!A1:E731,4,FALSE),VLOOKUP(B684,ADP!A1:E731,5,FALSE))))</f>
        <v>-</v>
      </c>
      <c r="N684" s="52" t="str">
        <f t="shared" si="61"/>
        <v>N/A</v>
      </c>
      <c r="O684" s="38"/>
      <c r="P684" s="39" t="str">
        <f>IF(Settings!$E$27="ON",_xlfn.XLOOKUP(B684,ADP!A2:A731,ADP!H2:H731)," ")</f>
        <v xml:space="preserve"> </v>
      </c>
      <c r="Q684" s="40">
        <f>IF(Settings!$E$12="YES",VLOOKUP(B684,'Player Data'!A1:E734,5,FALSE),82)</f>
        <v>82</v>
      </c>
      <c r="R684" s="38">
        <f>VLOOKUP(B684,'Player Data'!$A1:$AE734,6,FALSE)</f>
        <v>12.589980673544099</v>
      </c>
      <c r="S684" s="40">
        <f>VLOOKUP(B684,'Player Data'!$A1:$AE734,7,FALSE)*$Q684*IFERROR((VLOOKUP(P684,Settings!$E$28:$F$33,2,FALSE)+1),1)</f>
        <v>9.3007695891234281</v>
      </c>
      <c r="T684" s="40">
        <f>VLOOKUP(B684,'Player Data'!$A1:$AE734,8,FALSE)*$Q684*IFERROR((VLOOKUP(P684,Settings!$E$28:$F$33,2,FALSE)+1),1)</f>
        <v>8.1444660323740532</v>
      </c>
      <c r="U684" s="40">
        <f t="shared" si="62"/>
        <v>17.445235621497481</v>
      </c>
      <c r="V684" s="40">
        <f>VLOOKUP(B684,'Player Data'!$A1:$AE734,10,FALSE)*$Q684*IFERROR(((VLOOKUP(P684,Settings!$E$28:$F$33,2,FALSE)/2)+1),1)</f>
        <v>111.1113960307013</v>
      </c>
      <c r="W684" s="40">
        <f>VLOOKUP(B684,'Player Data'!$A1:$AE734,11,FALSE)*$Q684*IFERROR((VLOOKUP(P684,Settings!$E$28:$F$33,2,FALSE)+1),1)</f>
        <v>9.4153145071353639E-2</v>
      </c>
      <c r="X684" s="40">
        <f>VLOOKUP(B684,'Player Data'!$A1:$AE734,12,FALSE)*$Q684*IFERROR((VLOOKUP(P684,Settings!$E$28:$F$33,2,FALSE)+1),1)</f>
        <v>0.23396991849974497</v>
      </c>
      <c r="Y684" s="40">
        <f>VLOOKUP(B684,'Player Data'!$A1:$AE734,13,FALSE)*$Q684</f>
        <v>0.10533232998511474</v>
      </c>
      <c r="Z684" s="40">
        <f>VLOOKUP(B684,'Player Data'!$A1:$AE734,14,FALSE)*$Q684</f>
        <v>0.15548273372407373</v>
      </c>
      <c r="AA684" s="40">
        <f>VLOOKUP(B684,'Player Data'!$A1:$AE734,15,FALSE)*$Q684</f>
        <v>45.579465056525024</v>
      </c>
      <c r="AB684" s="40">
        <f>VLOOKUP(B684,'Player Data'!$A1:$AE734,16,FALSE)*$Q684</f>
        <v>102.90477867860487</v>
      </c>
      <c r="AC684" s="40">
        <f>VLOOKUP(B684,'Player Data'!$A1:$AE734,17,FALSE)*$Q684*IFERROR((VLOOKUP(P684,Settings!$E$28:$F$33,2,FALSE)+1),1)</f>
        <v>-2.2478201178151691</v>
      </c>
      <c r="AD684" s="40">
        <f>VLOOKUP(B684,'Player Data'!$A1:$AE734,18,FALSE)*$Q684</f>
        <v>18.987380006167193</v>
      </c>
      <c r="AE684" s="40">
        <f>VLOOKUP(B684,'Player Data'!$A1:$AE734,19,FALSE)*$Q684*IFERROR((VLOOKUP(P684,Settings!$E$28:$F$33,2,FALSE)+1),1)</f>
        <v>1.190675747591516</v>
      </c>
      <c r="AF684" s="40">
        <f>VLOOKUP(B684,'Player Data'!$A1:$AE734,20,FALSE)*$Q684</f>
        <v>107.20669145375788</v>
      </c>
      <c r="AG684" s="40">
        <f>VLOOKUP(B684,'Player Data'!$A1:$AE734,21,FALSE)*$Q684</f>
        <v>120.07651207896164</v>
      </c>
      <c r="AH684" s="41">
        <f>VLOOKUP(B684,'Player Data'!$A1:$AE734,22,FALSE)</f>
        <v>0.471687699695434</v>
      </c>
      <c r="AI684" s="38"/>
      <c r="AJ684" s="42"/>
      <c r="AK684" s="40"/>
      <c r="AL684" s="40"/>
      <c r="AM684" s="40"/>
      <c r="AN684" s="40"/>
      <c r="AO684" s="40"/>
      <c r="AP684" s="40"/>
      <c r="AQ684" s="43"/>
      <c r="AR684" s="44"/>
      <c r="AS684" s="38"/>
    </row>
    <row r="685" spans="1:45" ht="21.2" customHeight="1">
      <c r="A685" s="181">
        <f t="shared" si="58"/>
        <v>684</v>
      </c>
      <c r="B685" s="8" t="s">
        <v>784</v>
      </c>
      <c r="C685" s="31" t="s">
        <v>104</v>
      </c>
      <c r="D685" s="32" t="str">
        <f>VLOOKUP(B685,'Player Data'!A1:D734,4,FALSE)</f>
        <v>C</v>
      </c>
      <c r="E685" s="33">
        <f>VLOOKUP(B685,'C'!A1:C208,3,FALSE)</f>
        <v>189</v>
      </c>
      <c r="F685" s="34" t="str">
        <f>VLOOKUP(B685,'Player Data'!A1:B734,2,FALSE)</f>
        <v>BOS</v>
      </c>
      <c r="G685" s="9">
        <f>VLOOKUP(B685,'Player Data'!A1:D734,3,FALSE)</f>
        <v>31</v>
      </c>
      <c r="H685" s="35">
        <f>IFERROR(VLOOKUP(B685,ADP!A1:G731,7,FALSE)/1000000,VLOOKUP(B685,ADP!A1:G731,7,FALSE))</f>
        <v>0.8</v>
      </c>
      <c r="I685" s="36">
        <f>IF(Settings!$E$15="POINTS",((R685*Q685)*Settings!$B$12)+(S685*Settings!$B$2)+(T685*Settings!$B$3)+(U685*Settings!$B$4)+(V685*Settings!$B$5)+(X685*Settings!$B$9)+(AA685*Settings!$B$6)+(W685*Settings!$B$8)+(AB685*Settings!$B$7)+(AC685*Settings!$B$14)+(AD685*Settings!$B$15)+(AE685*Settings!$B$16)+(AF685*Settings!$B$17)+(AG685*Settings!$B$18)+(Y685*Settings!$B$10)+(Z685*Settings!$B$11),VLOOKUP(B685,'Standard Deviations'!A1:C731,3,FALSE))</f>
        <v>-4.293258721438324</v>
      </c>
      <c r="J685" s="37">
        <f t="shared" si="59"/>
        <v>-5.235681367607712E-2</v>
      </c>
      <c r="K685" s="183">
        <f>IF(Settings!$E$18="C/LW/RW",VLOOKUP(B685,'C'!A1:F208,6,FALSE),VLOOKUP(B685,F!A1:F431,6,FALSE))</f>
        <v>-10.630309445644926</v>
      </c>
      <c r="L685" s="36">
        <f t="shared" si="60"/>
        <v>-13.287886807056157</v>
      </c>
      <c r="M685" s="52" t="str">
        <f>IF(Settings!$E$9="YAHOO",VLOOKUP(B685,ADP!A1:E731,2,FALSE),IF(Settings!$E$9="ESPN",VLOOKUP(B685,ADP!A1:E731,3,FALSE),IF(Settings!$E$9="FANTRAX",VLOOKUP(B685,ADP!A1:E731,4,FALSE),VLOOKUP(B685,ADP!A1:E731,5,FALSE))))</f>
        <v>-</v>
      </c>
      <c r="N685" s="52" t="str">
        <f t="shared" si="61"/>
        <v>N/A</v>
      </c>
      <c r="O685" s="38"/>
      <c r="P685" s="39" t="str">
        <f>IF(Settings!$E$27="ON",_xlfn.XLOOKUP(B685,ADP!A2:A731,ADP!H2:H731)," ")</f>
        <v xml:space="preserve"> </v>
      </c>
      <c r="Q685" s="40">
        <f>IF(Settings!$E$12="YES",VLOOKUP(B685,'Player Data'!A1:E734,5,FALSE),82)</f>
        <v>82</v>
      </c>
      <c r="R685" s="38">
        <f>VLOOKUP(B685,'Player Data'!$A1:$AE734,6,FALSE)</f>
        <v>12.319388809884501</v>
      </c>
      <c r="S685" s="40">
        <f>VLOOKUP(B685,'Player Data'!$A1:$AE734,7,FALSE)*$Q685*IFERROR((VLOOKUP(P685,Settings!$E$28:$F$33,2,FALSE)+1),1)</f>
        <v>6.632560477544418</v>
      </c>
      <c r="T685" s="40">
        <f>VLOOKUP(B685,'Player Data'!$A1:$AE734,8,FALSE)*$Q685*IFERROR((VLOOKUP(P685,Settings!$E$28:$F$33,2,FALSE)+1),1)</f>
        <v>11.311341526364373</v>
      </c>
      <c r="U685" s="40">
        <f t="shared" si="62"/>
        <v>17.943902003908789</v>
      </c>
      <c r="V685" s="40">
        <f>VLOOKUP(B685,'Player Data'!$A1:$AE734,10,FALSE)*$Q685*IFERROR(((VLOOKUP(P685,Settings!$E$28:$F$33,2,FALSE)/2)+1),1)</f>
        <v>92.778757549053054</v>
      </c>
      <c r="W685" s="40">
        <f>VLOOKUP(B685,'Player Data'!$A1:$AE734,11,FALSE)*$Q685*IFERROR((VLOOKUP(P685,Settings!$E$28:$F$33,2,FALSE)+1),1)</f>
        <v>6.5015781921194685E-2</v>
      </c>
      <c r="X685" s="40">
        <f>VLOOKUP(B685,'Player Data'!$A1:$AE734,12,FALSE)*$Q685*IFERROR((VLOOKUP(P685,Settings!$E$28:$F$33,2,FALSE)+1),1)</f>
        <v>0.16916479071772395</v>
      </c>
      <c r="Y685" s="40">
        <f>VLOOKUP(B685,'Player Data'!$A1:$AE734,13,FALSE)*$Q685</f>
        <v>0.62975149532351016</v>
      </c>
      <c r="Z685" s="40">
        <f>VLOOKUP(B685,'Player Data'!$A1:$AE734,14,FALSE)*$Q685</f>
        <v>0.63075653764026884</v>
      </c>
      <c r="AA685" s="40">
        <f>VLOOKUP(B685,'Player Data'!$A1:$AE734,15,FALSE)*$Q685</f>
        <v>56.700843671572436</v>
      </c>
      <c r="AB685" s="40">
        <f>VLOOKUP(B685,'Player Data'!$A1:$AE734,16,FALSE)*$Q685</f>
        <v>208.99133803133492</v>
      </c>
      <c r="AC685" s="40">
        <f>VLOOKUP(B685,'Player Data'!$A1:$AE734,17,FALSE)*$Q685*IFERROR((VLOOKUP(P685,Settings!$E$28:$F$33,2,FALSE)+1),1)</f>
        <v>1.8652970313269026</v>
      </c>
      <c r="AD685" s="40">
        <f>VLOOKUP(B685,'Player Data'!$A1:$AE734,18,FALSE)*$Q685</f>
        <v>34.641248015821738</v>
      </c>
      <c r="AE685" s="40">
        <f>VLOOKUP(B685,'Player Data'!$A1:$AE734,19,FALSE)*$Q685*IFERROR((VLOOKUP(P685,Settings!$E$28:$F$33,2,FALSE)+1),1)</f>
        <v>1.1134763794990179</v>
      </c>
      <c r="AF685" s="40">
        <f>VLOOKUP(B685,'Player Data'!$A1:$AE734,20,FALSE)*$Q685</f>
        <v>293.42191837808383</v>
      </c>
      <c r="AG685" s="40">
        <f>VLOOKUP(B685,'Player Data'!$A1:$AE734,21,FALSE)*$Q685</f>
        <v>238.83852265568066</v>
      </c>
      <c r="AH685" s="41">
        <f>VLOOKUP(B685,'Player Data'!$A1:$AE734,22,FALSE)</f>
        <v>0.55127508219133303</v>
      </c>
      <c r="AI685" s="38"/>
      <c r="AJ685" s="42"/>
      <c r="AK685" s="40"/>
      <c r="AL685" s="40"/>
      <c r="AM685" s="40"/>
      <c r="AN685" s="40"/>
      <c r="AO685" s="40"/>
      <c r="AP685" s="40"/>
      <c r="AQ685" s="43"/>
      <c r="AR685" s="44"/>
      <c r="AS685" s="38"/>
    </row>
    <row r="686" spans="1:45" ht="21.2" customHeight="1">
      <c r="A686" s="181">
        <f t="shared" si="58"/>
        <v>685</v>
      </c>
      <c r="B686" s="8" t="s">
        <v>772</v>
      </c>
      <c r="C686" s="31" t="s">
        <v>104</v>
      </c>
      <c r="D686" s="32" t="str">
        <f>VLOOKUP(B686,'Player Data'!A1:D734,4,FALSE)</f>
        <v>C,LW</v>
      </c>
      <c r="E686" s="45">
        <f>VLOOKUP(B686,LW!A1:C227,3,FALSE)</f>
        <v>204</v>
      </c>
      <c r="F686" s="34" t="str">
        <f>VLOOKUP(B686,'Player Data'!A1:B734,2,FALSE)</f>
        <v>LAK</v>
      </c>
      <c r="G686" s="9">
        <f>VLOOKUP(B686,'Player Data'!A1:D734,3,FALSE)</f>
        <v>23</v>
      </c>
      <c r="H686" s="35">
        <f>IFERROR(VLOOKUP(B686,ADP!A1:G731,7,FALSE)/1000000,VLOOKUP(B686,ADP!A1:G731,7,FALSE))</f>
        <v>0.77500000000000002</v>
      </c>
      <c r="I686" s="36">
        <f>IF(Settings!$E$15="POINTS",((R686*Q686)*Settings!$B$12)+(S686*Settings!$B$2)+(T686*Settings!$B$3)+(U686*Settings!$B$4)+(V686*Settings!$B$5)+(X686*Settings!$B$9)+(AA686*Settings!$B$6)+(W686*Settings!$B$8)+(AB686*Settings!$B$7)+(AC686*Settings!$B$14)+(AD686*Settings!$B$15)+(AE686*Settings!$B$16)+(AF686*Settings!$B$17)+(AG686*Settings!$B$18)+(Y686*Settings!$B$10)+(Z686*Settings!$B$11),VLOOKUP(B686,'Standard Deviations'!A1:C731,3,FALSE))</f>
        <v>-4.0097239398523401</v>
      </c>
      <c r="J686" s="37">
        <f t="shared" si="59"/>
        <v>-4.8899072437223662E-2</v>
      </c>
      <c r="K686" s="183">
        <f>IF(Settings!$E$18="C/LW/RW",VLOOKUP(B686,LW!A1:F227,6,FALSE),VLOOKUP(B686,F!A1:F431,6,FALSE))</f>
        <v>-10.664392983976741</v>
      </c>
      <c r="L686" s="36">
        <f t="shared" si="60"/>
        <v>-13.760507076099021</v>
      </c>
      <c r="M686" s="52" t="str">
        <f>IF(Settings!$E$9="YAHOO",VLOOKUP(B686,ADP!A1:E731,2,FALSE),IF(Settings!$E$9="ESPN",VLOOKUP(B686,ADP!A1:E731,3,FALSE),IF(Settings!$E$9="FANTRAX",VLOOKUP(B686,ADP!A1:E731,4,FALSE),VLOOKUP(B686,ADP!A1:E731,5,FALSE))))</f>
        <v>-</v>
      </c>
      <c r="N686" s="52" t="str">
        <f t="shared" si="61"/>
        <v>N/A</v>
      </c>
      <c r="O686" s="38"/>
      <c r="P686" s="39" t="str">
        <f>IF(Settings!$E$27="ON",_xlfn.XLOOKUP(B686,ADP!A2:A731,ADP!H2:H731)," ")</f>
        <v xml:space="preserve"> </v>
      </c>
      <c r="Q686" s="40">
        <f>IF(Settings!$E$12="YES",VLOOKUP(B686,'Player Data'!A1:E734,5,FALSE),82)</f>
        <v>82</v>
      </c>
      <c r="R686" s="38">
        <f>VLOOKUP(B686,'Player Data'!$A1:$AE734,6,FALSE)</f>
        <v>10.404411525343001</v>
      </c>
      <c r="S686" s="40">
        <f>VLOOKUP(B686,'Player Data'!$A1:$AE734,7,FALSE)*$Q686*IFERROR((VLOOKUP(P686,Settings!$E$28:$F$33,2,FALSE)+1),1)</f>
        <v>10.869913845510993</v>
      </c>
      <c r="T686" s="40">
        <f>VLOOKUP(B686,'Player Data'!$A1:$AE734,8,FALSE)*$Q686*IFERROR((VLOOKUP(P686,Settings!$E$28:$F$33,2,FALSE)+1),1)</f>
        <v>9.008222093774501</v>
      </c>
      <c r="U686" s="40">
        <f t="shared" si="62"/>
        <v>19.878135939285492</v>
      </c>
      <c r="V686" s="40">
        <f>VLOOKUP(B686,'Player Data'!$A1:$AE734,10,FALSE)*$Q686*IFERROR(((VLOOKUP(P686,Settings!$E$28:$F$33,2,FALSE)/2)+1),1)</f>
        <v>87.993545347752004</v>
      </c>
      <c r="W686" s="40">
        <f>VLOOKUP(B686,'Player Data'!$A1:$AE734,11,FALSE)*$Q686*IFERROR((VLOOKUP(P686,Settings!$E$28:$F$33,2,FALSE)+1),1)</f>
        <v>0.20149635938471797</v>
      </c>
      <c r="X686" s="40">
        <f>VLOOKUP(B686,'Player Data'!$A1:$AE734,12,FALSE)*$Q686*IFERROR((VLOOKUP(P686,Settings!$E$28:$F$33,2,FALSE)+1),1)</f>
        <v>0.56440409352892795</v>
      </c>
      <c r="Y686" s="40">
        <f>VLOOKUP(B686,'Player Data'!$A1:$AE734,13,FALSE)*$Q686</f>
        <v>6.1529554789909909E-2</v>
      </c>
      <c r="Z686" s="40">
        <f>VLOOKUP(B686,'Player Data'!$A1:$AE734,14,FALSE)*$Q686</f>
        <v>0.12453217140651894</v>
      </c>
      <c r="AA686" s="40">
        <f>VLOOKUP(B686,'Player Data'!$A1:$AE734,15,FALSE)*$Q686</f>
        <v>44.710516472272424</v>
      </c>
      <c r="AB686" s="40">
        <f>VLOOKUP(B686,'Player Data'!$A1:$AE734,16,FALSE)*$Q686</f>
        <v>113.11532525712582</v>
      </c>
      <c r="AC686" s="40">
        <f>VLOOKUP(B686,'Player Data'!$A1:$AE734,17,FALSE)*$Q686*IFERROR((VLOOKUP(P686,Settings!$E$28:$F$33,2,FALSE)+1),1)</f>
        <v>-0.8595387324989302</v>
      </c>
      <c r="AD686" s="40">
        <f>VLOOKUP(B686,'Player Data'!$A1:$AE734,18,FALSE)*$Q686</f>
        <v>13.848156547199924</v>
      </c>
      <c r="AE686" s="40">
        <f>VLOOKUP(B686,'Player Data'!$A1:$AE734,19,FALSE)*$Q686*IFERROR((VLOOKUP(P686,Settings!$E$28:$F$33,2,FALSE)+1),1)</f>
        <v>1.6094109194252464</v>
      </c>
      <c r="AF686" s="40">
        <f>VLOOKUP(B686,'Player Data'!$A1:$AE734,20,FALSE)*$Q686</f>
        <v>79.537566872732583</v>
      </c>
      <c r="AG686" s="40">
        <f>VLOOKUP(B686,'Player Data'!$A1:$AE734,21,FALSE)*$Q686</f>
        <v>68.312643865823986</v>
      </c>
      <c r="AH686" s="41">
        <f>VLOOKUP(B686,'Player Data'!$A1:$AE734,22,FALSE)</f>
        <v>0.53796045656897196</v>
      </c>
      <c r="AI686" s="38"/>
      <c r="AJ686" s="42"/>
      <c r="AK686" s="40"/>
      <c r="AL686" s="40"/>
      <c r="AM686" s="40"/>
      <c r="AN686" s="40"/>
      <c r="AO686" s="40"/>
      <c r="AP686" s="40"/>
      <c r="AQ686" s="43"/>
      <c r="AR686" s="44"/>
      <c r="AS686" s="38"/>
    </row>
    <row r="687" spans="1:45" ht="21.2" customHeight="1">
      <c r="A687" s="181">
        <f t="shared" si="58"/>
        <v>686</v>
      </c>
      <c r="B687" s="8" t="s">
        <v>767</v>
      </c>
      <c r="C687" s="31" t="s">
        <v>104</v>
      </c>
      <c r="D687" s="32" t="str">
        <f>VLOOKUP(B687,'Player Data'!A1:D734,4,FALSE)</f>
        <v>C</v>
      </c>
      <c r="E687" s="33">
        <f>VLOOKUP(B687,'C'!A1:C208,3,FALSE)</f>
        <v>190</v>
      </c>
      <c r="F687" s="34" t="str">
        <f>VLOOKUP(B687,'Player Data'!A1:B734,2,FALSE)</f>
        <v>EDM</v>
      </c>
      <c r="G687" s="9">
        <f>VLOOKUP(B687,'Player Data'!A1:D734,3,FALSE)</f>
        <v>36</v>
      </c>
      <c r="H687" s="35">
        <f>IFERROR(VLOOKUP(B687,ADP!A1:G731,7,FALSE)/1000000,VLOOKUP(B687,ADP!A1:G731,7,FALSE))</f>
        <v>0.9</v>
      </c>
      <c r="I687" s="36">
        <f>IF(Settings!$E$15="POINTS",((R687*Q687)*Settings!$B$12)+(S687*Settings!$B$2)+(T687*Settings!$B$3)+(U687*Settings!$B$4)+(V687*Settings!$B$5)+(X687*Settings!$B$9)+(AA687*Settings!$B$6)+(W687*Settings!$B$8)+(AB687*Settings!$B$7)+(AC687*Settings!$B$14)+(AD687*Settings!$B$15)+(AE687*Settings!$B$16)+(AF687*Settings!$B$17)+(AG687*Settings!$B$18)+(Y687*Settings!$B$10)+(Z687*Settings!$B$11),VLOOKUP(B687,'Standard Deviations'!A1:C731,3,FALSE))</f>
        <v>-4.3501785895838188</v>
      </c>
      <c r="J687" s="37">
        <f t="shared" si="59"/>
        <v>-5.3050958409558764E-2</v>
      </c>
      <c r="K687" s="183">
        <f>IF(Settings!$E$18="C/LW/RW",VLOOKUP(B687,'C'!A1:F208,6,FALSE),VLOOKUP(B687,F!A1:F431,6,FALSE))</f>
        <v>-10.687229313790422</v>
      </c>
      <c r="L687" s="36">
        <f t="shared" si="60"/>
        <v>-11.874699237544913</v>
      </c>
      <c r="M687" s="52" t="str">
        <f>IF(Settings!$E$9="YAHOO",VLOOKUP(B687,ADP!A1:E731,2,FALSE),IF(Settings!$E$9="ESPN",VLOOKUP(B687,ADP!A1:E731,3,FALSE),IF(Settings!$E$9="FANTRAX",VLOOKUP(B687,ADP!A1:E731,4,FALSE),VLOOKUP(B687,ADP!A1:E731,5,FALSE))))</f>
        <v>-</v>
      </c>
      <c r="N687" s="52" t="str">
        <f t="shared" si="61"/>
        <v>N/A</v>
      </c>
      <c r="O687" s="38"/>
      <c r="P687" s="39" t="str">
        <f>IF(Settings!$E$27="ON",_xlfn.XLOOKUP(B687,ADP!A2:A731,ADP!H2:H731)," ")</f>
        <v xml:space="preserve"> </v>
      </c>
      <c r="Q687" s="40">
        <f>IF(Settings!$E$12="YES",VLOOKUP(B687,'Player Data'!A1:E734,5,FALSE),82)</f>
        <v>82</v>
      </c>
      <c r="R687" s="38">
        <f>VLOOKUP(B687,'Player Data'!$A1:$AE734,6,FALSE)</f>
        <v>10.6621497980183</v>
      </c>
      <c r="S687" s="40">
        <f>VLOOKUP(B687,'Player Data'!$A1:$AE734,7,FALSE)*$Q687*IFERROR((VLOOKUP(P687,Settings!$E$28:$F$33,2,FALSE)+1),1)</f>
        <v>9.280883342284401</v>
      </c>
      <c r="T687" s="40">
        <f>VLOOKUP(B687,'Player Data'!$A1:$AE734,8,FALSE)*$Q687*IFERROR((VLOOKUP(P687,Settings!$E$28:$F$33,2,FALSE)+1),1)</f>
        <v>8.6079690840564727</v>
      </c>
      <c r="U687" s="40">
        <f t="shared" si="62"/>
        <v>17.888852426340875</v>
      </c>
      <c r="V687" s="40">
        <f>VLOOKUP(B687,'Player Data'!$A1:$AE734,10,FALSE)*$Q687*IFERROR(((VLOOKUP(P687,Settings!$E$28:$F$33,2,FALSE)/2)+1),1)</f>
        <v>86.330087256654252</v>
      </c>
      <c r="W687" s="40">
        <f>VLOOKUP(B687,'Player Data'!$A1:$AE734,11,FALSE)*$Q687*IFERROR((VLOOKUP(P687,Settings!$E$28:$F$33,2,FALSE)+1),1)</f>
        <v>4.8957717657715304E-2</v>
      </c>
      <c r="X687" s="40">
        <f>VLOOKUP(B687,'Player Data'!$A1:$AE734,12,FALSE)*$Q687*IFERROR((VLOOKUP(P687,Settings!$E$28:$F$33,2,FALSE)+1),1)</f>
        <v>0.13031469018089725</v>
      </c>
      <c r="Y687" s="40">
        <f>VLOOKUP(B687,'Player Data'!$A1:$AE734,13,FALSE)*$Q687</f>
        <v>0.51044272447289707</v>
      </c>
      <c r="Z687" s="40">
        <f>VLOOKUP(B687,'Player Data'!$A1:$AE734,14,FALSE)*$Q687</f>
        <v>0.86701923596930985</v>
      </c>
      <c r="AA687" s="40">
        <f>VLOOKUP(B687,'Player Data'!$A1:$AE734,15,FALSE)*$Q687</f>
        <v>39.387303534510181</v>
      </c>
      <c r="AB687" s="40">
        <f>VLOOKUP(B687,'Player Data'!$A1:$AE734,16,FALSE)*$Q687</f>
        <v>60.947495160165893</v>
      </c>
      <c r="AC687" s="40">
        <f>VLOOKUP(B687,'Player Data'!$A1:$AE734,17,FALSE)*$Q687*IFERROR((VLOOKUP(P687,Settings!$E$28:$F$33,2,FALSE)+1),1)</f>
        <v>6.2233896747889421</v>
      </c>
      <c r="AD687" s="40">
        <f>VLOOKUP(B687,'Player Data'!$A1:$AE734,18,FALSE)*$Q687</f>
        <v>21.111938527232581</v>
      </c>
      <c r="AE687" s="40">
        <f>VLOOKUP(B687,'Player Data'!$A1:$AE734,19,FALSE)*$Q687*IFERROR((VLOOKUP(P687,Settings!$E$28:$F$33,2,FALSE)+1),1)</f>
        <v>1.4690641970195024</v>
      </c>
      <c r="AF687" s="40">
        <f>VLOOKUP(B687,'Player Data'!$A1:$AE734,20,FALSE)*$Q687</f>
        <v>234.39427667923184</v>
      </c>
      <c r="AG687" s="40">
        <f>VLOOKUP(B687,'Player Data'!$A1:$AE734,21,FALSE)*$Q687</f>
        <v>211.99277524482829</v>
      </c>
      <c r="AH687" s="41">
        <f>VLOOKUP(B687,'Player Data'!$A1:$AE734,22,FALSE)</f>
        <v>0.52509201525654403</v>
      </c>
      <c r="AI687" s="38"/>
      <c r="AJ687" s="42"/>
      <c r="AK687" s="40"/>
      <c r="AL687" s="40"/>
      <c r="AM687" s="40"/>
      <c r="AN687" s="40"/>
      <c r="AO687" s="40"/>
      <c r="AP687" s="40"/>
      <c r="AQ687" s="43"/>
      <c r="AR687" s="44"/>
      <c r="AS687" s="38"/>
    </row>
    <row r="688" spans="1:45" ht="21.2" customHeight="1">
      <c r="A688" s="181">
        <f t="shared" si="58"/>
        <v>687</v>
      </c>
      <c r="B688" s="8" t="s">
        <v>736</v>
      </c>
      <c r="C688" s="31" t="s">
        <v>104</v>
      </c>
      <c r="D688" s="32" t="str">
        <f>VLOOKUP(B688,'Player Data'!A1:D734,4,FALSE)</f>
        <v>C,LW</v>
      </c>
      <c r="E688" s="45">
        <f>VLOOKUP(B688,LW!A1:C227,3,FALSE)</f>
        <v>205</v>
      </c>
      <c r="F688" s="34" t="str">
        <f>VLOOKUP(B688,'Player Data'!A1:B734,2,FALSE)</f>
        <v>NYR</v>
      </c>
      <c r="G688" s="9">
        <f>VLOOKUP(B688,'Player Data'!A1:D734,3,FALSE)</f>
        <v>35</v>
      </c>
      <c r="H688" s="35">
        <f>IFERROR(VLOOKUP(B688,ADP!A1:G731,7,FALSE)/1000000,VLOOKUP(B688,ADP!A1:G731,7,FALSE))</f>
        <v>0.8</v>
      </c>
      <c r="I688" s="36">
        <f>IF(Settings!$E$15="POINTS",((R688*Q688)*Settings!$B$12)+(S688*Settings!$B$2)+(T688*Settings!$B$3)+(U688*Settings!$B$4)+(V688*Settings!$B$5)+(X688*Settings!$B$9)+(AA688*Settings!$B$6)+(W688*Settings!$B$8)+(AB688*Settings!$B$7)+(AC688*Settings!$B$14)+(AD688*Settings!$B$15)+(AE688*Settings!$B$16)+(AF688*Settings!$B$17)+(AG688*Settings!$B$18)+(Y688*Settings!$B$10)+(Z688*Settings!$B$11),VLOOKUP(B688,'Standard Deviations'!A1:C731,3,FALSE))</f>
        <v>-4.0336687034884982</v>
      </c>
      <c r="J688" s="37">
        <f t="shared" si="59"/>
        <v>-4.9191081749859734E-2</v>
      </c>
      <c r="K688" s="183">
        <f>IF(Settings!$E$18="C/LW/RW",VLOOKUP(B688,LW!A1:F227,6,FALSE),VLOOKUP(B688,F!A1:F431,6,FALSE))</f>
        <v>-10.688337747612898</v>
      </c>
      <c r="L688" s="36">
        <f t="shared" si="60"/>
        <v>-13.360422184516123</v>
      </c>
      <c r="M688" s="52" t="str">
        <f>IF(Settings!$E$9="YAHOO",VLOOKUP(B688,ADP!A1:E731,2,FALSE),IF(Settings!$E$9="ESPN",VLOOKUP(B688,ADP!A1:E731,3,FALSE),IF(Settings!$E$9="FANTRAX",VLOOKUP(B688,ADP!A1:E731,4,FALSE),VLOOKUP(B688,ADP!A1:E731,5,FALSE))))</f>
        <v>-</v>
      </c>
      <c r="N688" s="52" t="str">
        <f t="shared" si="61"/>
        <v>N/A</v>
      </c>
      <c r="O688" s="38"/>
      <c r="P688" s="39" t="str">
        <f>IF(Settings!$E$27="ON",_xlfn.XLOOKUP(B688,ADP!A2:A731,ADP!H2:H731)," ")</f>
        <v xml:space="preserve"> </v>
      </c>
      <c r="Q688" s="40">
        <f>IF(Settings!$E$12="YES",VLOOKUP(B688,'Player Data'!A1:E734,5,FALSE),82)</f>
        <v>82</v>
      </c>
      <c r="R688" s="38">
        <f>VLOOKUP(B688,'Player Data'!$A1:$AE734,6,FALSE)</f>
        <v>12.9197530240193</v>
      </c>
      <c r="S688" s="40">
        <f>VLOOKUP(B688,'Player Data'!$A1:$AE734,7,FALSE)*$Q688*IFERROR((VLOOKUP(P688,Settings!$E$28:$F$33,2,FALSE)+1),1)</f>
        <v>9.8810722785635541</v>
      </c>
      <c r="T688" s="40">
        <f>VLOOKUP(B688,'Player Data'!$A1:$AE734,8,FALSE)*$Q688*IFERROR((VLOOKUP(P688,Settings!$E$28:$F$33,2,FALSE)+1),1)</f>
        <v>8.2748479327541062</v>
      </c>
      <c r="U688" s="40">
        <f t="shared" si="62"/>
        <v>18.15592021131766</v>
      </c>
      <c r="V688" s="40">
        <f>VLOOKUP(B688,'Player Data'!$A1:$AE734,10,FALSE)*$Q688*IFERROR(((VLOOKUP(P688,Settings!$E$28:$F$33,2,FALSE)/2)+1),1)</f>
        <v>99.206279596892159</v>
      </c>
      <c r="W688" s="40">
        <f>VLOOKUP(B688,'Player Data'!$A1:$AE734,11,FALSE)*$Q688*IFERROR((VLOOKUP(P688,Settings!$E$28:$F$33,2,FALSE)+1),1)</f>
        <v>0.24754466696509306</v>
      </c>
      <c r="X688" s="40">
        <f>VLOOKUP(B688,'Player Data'!$A1:$AE734,12,FALSE)*$Q688*IFERROR((VLOOKUP(P688,Settings!$E$28:$F$33,2,FALSE)+1),1)</f>
        <v>0.6823921415407449</v>
      </c>
      <c r="Y688" s="40">
        <f>VLOOKUP(B688,'Player Data'!$A1:$AE734,13,FALSE)*$Q688</f>
        <v>0.18283172917121215</v>
      </c>
      <c r="Z688" s="40">
        <f>VLOOKUP(B688,'Player Data'!$A1:$AE734,14,FALSE)*$Q688</f>
        <v>-0.13089686310782236</v>
      </c>
      <c r="AA688" s="40">
        <f>VLOOKUP(B688,'Player Data'!$A1:$AE734,15,FALSE)*$Q688</f>
        <v>82.846168312893994</v>
      </c>
      <c r="AB688" s="40">
        <f>VLOOKUP(B688,'Player Data'!$A1:$AE734,16,FALSE)*$Q688</f>
        <v>36.220790913672765</v>
      </c>
      <c r="AC688" s="40">
        <f>VLOOKUP(B688,'Player Data'!$A1:$AE734,17,FALSE)*$Q688*IFERROR((VLOOKUP(P688,Settings!$E$28:$F$33,2,FALSE)+1),1)</f>
        <v>3.9363099337860272</v>
      </c>
      <c r="AD688" s="40">
        <f>VLOOKUP(B688,'Player Data'!$A1:$AE734,18,FALSE)*$Q688</f>
        <v>19.295833750505174</v>
      </c>
      <c r="AE688" s="40">
        <f>VLOOKUP(B688,'Player Data'!$A1:$AE734,19,FALSE)*$Q688*IFERROR((VLOOKUP(P688,Settings!$E$28:$F$33,2,FALSE)+1),1)</f>
        <v>1.6837162646150077</v>
      </c>
      <c r="AF688" s="40">
        <f>VLOOKUP(B688,'Player Data'!$A1:$AE734,20,FALSE)*$Q688</f>
        <v>292.15344321557319</v>
      </c>
      <c r="AG688" s="40">
        <f>VLOOKUP(B688,'Player Data'!$A1:$AE734,21,FALSE)*$Q688</f>
        <v>287.21847000629492</v>
      </c>
      <c r="AH688" s="41">
        <f>VLOOKUP(B688,'Player Data'!$A1:$AE734,22,FALSE)</f>
        <v>0.50425889924645695</v>
      </c>
      <c r="AI688" s="38"/>
      <c r="AJ688" s="42"/>
      <c r="AK688" s="40"/>
      <c r="AL688" s="40"/>
      <c r="AM688" s="40"/>
      <c r="AN688" s="40"/>
      <c r="AO688" s="40"/>
      <c r="AP688" s="40"/>
      <c r="AQ688" s="43"/>
      <c r="AR688" s="44"/>
      <c r="AS688" s="38"/>
    </row>
    <row r="689" spans="1:45" ht="21.2" customHeight="1">
      <c r="A689" s="181">
        <f t="shared" si="58"/>
        <v>688</v>
      </c>
      <c r="B689" s="8" t="s">
        <v>752</v>
      </c>
      <c r="C689" s="31" t="s">
        <v>104</v>
      </c>
      <c r="D689" s="32" t="str">
        <f>VLOOKUP(B689,'Player Data'!A1:D734,4,FALSE)</f>
        <v>C</v>
      </c>
      <c r="E689" s="33">
        <f>VLOOKUP(B689,'C'!A1:C208,3,FALSE)</f>
        <v>191</v>
      </c>
      <c r="F689" s="34" t="str">
        <f>VLOOKUP(B689,'Player Data'!A1:B734,2,FALSE)</f>
        <v>DAL</v>
      </c>
      <c r="G689" s="9">
        <f>VLOOKUP(B689,'Player Data'!A1:D734,3,FALSE)</f>
        <v>29</v>
      </c>
      <c r="H689" s="35">
        <f>IFERROR(VLOOKUP(B689,ADP!A1:G731,7,FALSE)/1000000,VLOOKUP(B689,ADP!A1:G731,7,FALSE))</f>
        <v>3.25</v>
      </c>
      <c r="I689" s="36">
        <f>IF(Settings!$E$15="POINTS",((R689*Q689)*Settings!$B$12)+(S689*Settings!$B$2)+(T689*Settings!$B$3)+(U689*Settings!$B$4)+(V689*Settings!$B$5)+(X689*Settings!$B$9)+(AA689*Settings!$B$6)+(W689*Settings!$B$8)+(AB689*Settings!$B$7)+(AC689*Settings!$B$14)+(AD689*Settings!$B$15)+(AE689*Settings!$B$16)+(AF689*Settings!$B$17)+(AG689*Settings!$B$18)+(Y689*Settings!$B$10)+(Z689*Settings!$B$11),VLOOKUP(B689,'Standard Deviations'!A1:C731,3,FALSE))</f>
        <v>-4.3609326607280181</v>
      </c>
      <c r="J689" s="37">
        <f t="shared" si="59"/>
        <v>-5.3182105618634366E-2</v>
      </c>
      <c r="K689" s="183">
        <f>IF(Settings!$E$18="C/LW/RW",VLOOKUP(B689,'C'!A1:F208,6,FALSE),VLOOKUP(B689,F!A1:F431,6,FALSE))</f>
        <v>-10.69798338493462</v>
      </c>
      <c r="L689" s="36">
        <f t="shared" si="60"/>
        <v>-3.2916871953644984</v>
      </c>
      <c r="M689" s="52" t="str">
        <f>IF(Settings!$E$9="YAHOO",VLOOKUP(B689,ADP!A1:E731,2,FALSE),IF(Settings!$E$9="ESPN",VLOOKUP(B689,ADP!A1:E731,3,FALSE),IF(Settings!$E$9="FANTRAX",VLOOKUP(B689,ADP!A1:E731,4,FALSE),VLOOKUP(B689,ADP!A1:E731,5,FALSE))))</f>
        <v>-</v>
      </c>
      <c r="N689" s="52" t="str">
        <f t="shared" si="61"/>
        <v>N/A</v>
      </c>
      <c r="O689" s="38"/>
      <c r="P689" s="39" t="str">
        <f>IF(Settings!$E$27="ON",_xlfn.XLOOKUP(B689,ADP!A2:A731,ADP!H2:H731)," ")</f>
        <v xml:space="preserve"> </v>
      </c>
      <c r="Q689" s="40">
        <f>IF(Settings!$E$12="YES",VLOOKUP(B689,'Player Data'!A1:E734,5,FALSE),82)</f>
        <v>82</v>
      </c>
      <c r="R689" s="38">
        <f>VLOOKUP(B689,'Player Data'!$A1:$AE734,6,FALSE)</f>
        <v>13.127798144138501</v>
      </c>
      <c r="S689" s="40">
        <f>VLOOKUP(B689,'Player Data'!$A1:$AE734,7,FALSE)*$Q689*IFERROR((VLOOKUP(P689,Settings!$E$28:$F$33,2,FALSE)+1),1)</f>
        <v>7.5733091043635898</v>
      </c>
      <c r="T689" s="40">
        <f>VLOOKUP(B689,'Player Data'!$A1:$AE734,8,FALSE)*$Q689*IFERROR((VLOOKUP(P689,Settings!$E$28:$F$33,2,FALSE)+1),1)</f>
        <v>10.424311322980286</v>
      </c>
      <c r="U689" s="40">
        <f t="shared" si="62"/>
        <v>17.997620427343875</v>
      </c>
      <c r="V689" s="40">
        <f>VLOOKUP(B689,'Player Data'!$A1:$AE734,10,FALSE)*$Q689*IFERROR(((VLOOKUP(P689,Settings!$E$28:$F$33,2,FALSE)/2)+1),1)</f>
        <v>87.256740695953383</v>
      </c>
      <c r="W689" s="40">
        <f>VLOOKUP(B689,'Player Data'!$A1:$AE734,11,FALSE)*$Q689*IFERROR((VLOOKUP(P689,Settings!$E$28:$F$33,2,FALSE)+1),1)</f>
        <v>6.8871018978028165E-2</v>
      </c>
      <c r="X689" s="40">
        <f>VLOOKUP(B689,'Player Data'!$A1:$AE734,12,FALSE)*$Q689*IFERROR((VLOOKUP(P689,Settings!$E$28:$F$33,2,FALSE)+1),1)</f>
        <v>0.13761216533581203</v>
      </c>
      <c r="Y689" s="40">
        <f>VLOOKUP(B689,'Player Data'!$A1:$AE734,13,FALSE)*$Q689</f>
        <v>1.0604243737712602</v>
      </c>
      <c r="Z689" s="40">
        <f>VLOOKUP(B689,'Player Data'!$A1:$AE734,14,FALSE)*$Q689</f>
        <v>1.9638013530318588</v>
      </c>
      <c r="AA689" s="40">
        <f>VLOOKUP(B689,'Player Data'!$A1:$AE734,15,FALSE)*$Q689</f>
        <v>62.071835324157185</v>
      </c>
      <c r="AB689" s="40">
        <f>VLOOKUP(B689,'Player Data'!$A1:$AE734,16,FALSE)*$Q689</f>
        <v>96.558529190327263</v>
      </c>
      <c r="AC689" s="40">
        <f>VLOOKUP(B689,'Player Data'!$A1:$AE734,17,FALSE)*$Q689*IFERROR((VLOOKUP(P689,Settings!$E$28:$F$33,2,FALSE)+1),1)</f>
        <v>3.1053229938425768</v>
      </c>
      <c r="AD689" s="40">
        <f>VLOOKUP(B689,'Player Data'!$A1:$AE734,18,FALSE)*$Q689</f>
        <v>37.490807758829384</v>
      </c>
      <c r="AE689" s="40">
        <f>VLOOKUP(B689,'Player Data'!$A1:$AE734,19,FALSE)*$Q689*IFERROR((VLOOKUP(P689,Settings!$E$28:$F$33,2,FALSE)+1),1)</f>
        <v>1.2116757690974995</v>
      </c>
      <c r="AF689" s="40">
        <f>VLOOKUP(B689,'Player Data'!$A1:$AE734,20,FALSE)*$Q689</f>
        <v>327.0527671985277</v>
      </c>
      <c r="AG689" s="40">
        <f>VLOOKUP(B689,'Player Data'!$A1:$AE734,21,FALSE)*$Q689</f>
        <v>261.04681358269892</v>
      </c>
      <c r="AH689" s="41">
        <f>VLOOKUP(B689,'Player Data'!$A1:$AE734,22,FALSE)</f>
        <v>0.55611800770895603</v>
      </c>
      <c r="AI689" s="38"/>
      <c r="AJ689" s="42"/>
      <c r="AK689" s="40"/>
      <c r="AL689" s="40"/>
      <c r="AM689" s="40"/>
      <c r="AN689" s="40"/>
      <c r="AO689" s="40"/>
      <c r="AP689" s="40"/>
      <c r="AQ689" s="43"/>
      <c r="AR689" s="44"/>
      <c r="AS689" s="38"/>
    </row>
    <row r="690" spans="1:45" ht="21.2" customHeight="1">
      <c r="A690" s="181">
        <f t="shared" si="58"/>
        <v>689</v>
      </c>
      <c r="B690" s="8" t="s">
        <v>764</v>
      </c>
      <c r="C690" s="31" t="s">
        <v>104</v>
      </c>
      <c r="D690" s="32" t="str">
        <f>VLOOKUP(B690,'Player Data'!A1:D734,4,FALSE)</f>
        <v>RW</v>
      </c>
      <c r="E690" s="46">
        <f>VLOOKUP(B690,RW!A1:F189,3,FALSE)</f>
        <v>176</v>
      </c>
      <c r="F690" s="34" t="str">
        <f>VLOOKUP(B690,'Player Data'!A1:B734,2,FALSE)</f>
        <v>ANA</v>
      </c>
      <c r="G690" s="9">
        <f>VLOOKUP(B690,'Player Data'!A1:D734,3,FALSE)</f>
        <v>24</v>
      </c>
      <c r="H690" s="35">
        <f>IFERROR(VLOOKUP(B690,ADP!A1:G731,7,FALSE)/1000000,VLOOKUP(B690,ADP!A1:G731,7,FALSE))</f>
        <v>0.77500000000000002</v>
      </c>
      <c r="I690" s="36">
        <f>IF(Settings!$E$15="POINTS",((R690*Q690)*Settings!$B$12)+(S690*Settings!$B$2)+(T690*Settings!$B$3)+(U690*Settings!$B$4)+(V690*Settings!$B$5)+(X690*Settings!$B$9)+(AA690*Settings!$B$6)+(W690*Settings!$B$8)+(AB690*Settings!$B$7)+(AC690*Settings!$B$14)+(AD690*Settings!$B$15)+(AE690*Settings!$B$16)+(AF690*Settings!$B$17)+(AG690*Settings!$B$18)+(Y690*Settings!$B$10)+(Z690*Settings!$B$11),VLOOKUP(B690,'Standard Deviations'!A1:C731,3,FALSE))</f>
        <v>-4.4557596841979228</v>
      </c>
      <c r="J690" s="37">
        <f t="shared" si="59"/>
        <v>-5.4338532734121009E-2</v>
      </c>
      <c r="K690" s="183">
        <f>IF(Settings!$E$18="C/LW/RW",VLOOKUP(B690,RW!A1:F189,6,FALSE),VLOOKUP(B690,F!A1:F431,6,FALSE))</f>
        <v>-10.736018403209004</v>
      </c>
      <c r="L690" s="36">
        <f t="shared" si="60"/>
        <v>-13.852926971882585</v>
      </c>
      <c r="M690" s="52" t="str">
        <f>IF(Settings!$E$9="YAHOO",VLOOKUP(B690,ADP!A1:E731,2,FALSE),IF(Settings!$E$9="ESPN",VLOOKUP(B690,ADP!A1:E731,3,FALSE),IF(Settings!$E$9="FANTRAX",VLOOKUP(B690,ADP!A1:E731,4,FALSE),VLOOKUP(B690,ADP!A1:E731,5,FALSE))))</f>
        <v>-</v>
      </c>
      <c r="N690" s="52" t="str">
        <f t="shared" si="61"/>
        <v>N/A</v>
      </c>
      <c r="O690" s="38"/>
      <c r="P690" s="39" t="str">
        <f>IF(Settings!$E$27="ON",_xlfn.XLOOKUP(B690,ADP!A2:A731,ADP!H2:H731)," ")</f>
        <v xml:space="preserve"> </v>
      </c>
      <c r="Q690" s="40">
        <f>IF(Settings!$E$12="YES",VLOOKUP(B690,'Player Data'!A1:E734,5,FALSE),82)</f>
        <v>82</v>
      </c>
      <c r="R690" s="38">
        <f>VLOOKUP(B690,'Player Data'!$A1:$AE734,6,FALSE)</f>
        <v>10.8540220796423</v>
      </c>
      <c r="S690" s="40">
        <f>VLOOKUP(B690,'Player Data'!$A1:$AE734,7,FALSE)*$Q690*IFERROR((VLOOKUP(P690,Settings!$E$28:$F$33,2,FALSE)+1),1)</f>
        <v>9.2318949392409806</v>
      </c>
      <c r="T690" s="40">
        <f>VLOOKUP(B690,'Player Data'!$A1:$AE734,8,FALSE)*$Q690*IFERROR((VLOOKUP(P690,Settings!$E$28:$F$33,2,FALSE)+1),1)</f>
        <v>7.8854770339851799</v>
      </c>
      <c r="U690" s="40">
        <f t="shared" si="62"/>
        <v>17.11737197322616</v>
      </c>
      <c r="V690" s="40">
        <f>VLOOKUP(B690,'Player Data'!$A1:$AE734,10,FALSE)*$Q690*IFERROR(((VLOOKUP(P690,Settings!$E$28:$F$33,2,FALSE)/2)+1),1)</f>
        <v>85.281167606933892</v>
      </c>
      <c r="W690" s="40">
        <f>VLOOKUP(B690,'Player Data'!$A1:$AE734,11,FALSE)*$Q690*IFERROR((VLOOKUP(P690,Settings!$E$28:$F$33,2,FALSE)+1),1)</f>
        <v>6.6158711534743994E-2</v>
      </c>
      <c r="X690" s="40">
        <f>VLOOKUP(B690,'Player Data'!$A1:$AE734,12,FALSE)*$Q690*IFERROR((VLOOKUP(P690,Settings!$E$28:$F$33,2,FALSE)+1),1)</f>
        <v>0.16191169421777588</v>
      </c>
      <c r="Y690" s="40">
        <f>VLOOKUP(B690,'Player Data'!$A1:$AE734,13,FALSE)*$Q690</f>
        <v>2.8489860281075603E-2</v>
      </c>
      <c r="Z690" s="40">
        <f>VLOOKUP(B690,'Player Data'!$A1:$AE734,14,FALSE)*$Q690</f>
        <v>5.4730544944343214E-2</v>
      </c>
      <c r="AA690" s="40">
        <f>VLOOKUP(B690,'Player Data'!$A1:$AE734,15,FALSE)*$Q690</f>
        <v>30.6434991885776</v>
      </c>
      <c r="AB690" s="40">
        <f>VLOOKUP(B690,'Player Data'!$A1:$AE734,16,FALSE)*$Q690</f>
        <v>69.219342891299505</v>
      </c>
      <c r="AC690" s="40">
        <f>VLOOKUP(B690,'Player Data'!$A1:$AE734,17,FALSE)*$Q690*IFERROR((VLOOKUP(P690,Settings!$E$28:$F$33,2,FALSE)+1),1)</f>
        <v>-10.362912555170579</v>
      </c>
      <c r="AD690" s="40">
        <f>VLOOKUP(B690,'Player Data'!$A1:$AE734,18,FALSE)*$Q690</f>
        <v>19.990741527661974</v>
      </c>
      <c r="AE690" s="40">
        <f>VLOOKUP(B690,'Player Data'!$A1:$AE734,19,FALSE)*$Q690*IFERROR((VLOOKUP(P690,Settings!$E$28:$F$33,2,FALSE)+1),1)</f>
        <v>0.88499738152514618</v>
      </c>
      <c r="AF690" s="40">
        <f>VLOOKUP(B690,'Player Data'!$A1:$AE734,20,FALSE)*$Q690</f>
        <v>3.6015720046645816</v>
      </c>
      <c r="AG690" s="40">
        <f>VLOOKUP(B690,'Player Data'!$A1:$AE734,21,FALSE)*$Q690</f>
        <v>6.7968899029302134</v>
      </c>
      <c r="AH690" s="41">
        <f>VLOOKUP(B690,'Player Data'!$A1:$AE734,22,FALSE)</f>
        <v>0.34635622428294699</v>
      </c>
      <c r="AI690" s="38"/>
      <c r="AJ690" s="42"/>
      <c r="AK690" s="40"/>
      <c r="AL690" s="40"/>
      <c r="AM690" s="40"/>
      <c r="AN690" s="40"/>
      <c r="AO690" s="40"/>
      <c r="AP690" s="40"/>
      <c r="AQ690" s="43"/>
      <c r="AR690" s="44"/>
      <c r="AS690" s="38"/>
    </row>
    <row r="691" spans="1:45" ht="21.2" customHeight="1">
      <c r="A691" s="181">
        <f t="shared" si="58"/>
        <v>690</v>
      </c>
      <c r="B691" s="8" t="s">
        <v>757</v>
      </c>
      <c r="C691" s="31" t="s">
        <v>104</v>
      </c>
      <c r="D691" s="32" t="str">
        <f>VLOOKUP(B691,'Player Data'!A1:D734,4,FALSE)</f>
        <v>C,LW</v>
      </c>
      <c r="E691" s="45">
        <f>VLOOKUP(B691,LW!A1:C227,3,FALSE)</f>
        <v>206</v>
      </c>
      <c r="F691" s="34" t="str">
        <f>VLOOKUP(B691,'Player Data'!A1:B734,2,FALSE)</f>
        <v>NJD</v>
      </c>
      <c r="G691" s="9">
        <f>VLOOKUP(B691,'Player Data'!A1:D734,3,FALSE)</f>
        <v>30</v>
      </c>
      <c r="H691" s="35">
        <f>IFERROR(VLOOKUP(B691,ADP!A1:G731,7,FALSE)/1000000,VLOOKUP(B691,ADP!A1:G731,7,FALSE))</f>
        <v>1</v>
      </c>
      <c r="I691" s="36">
        <f>IF(Settings!$E$15="POINTS",((R691*Q691)*Settings!$B$12)+(S691*Settings!$B$2)+(T691*Settings!$B$3)+(U691*Settings!$B$4)+(V691*Settings!$B$5)+(X691*Settings!$B$9)+(AA691*Settings!$B$6)+(W691*Settings!$B$8)+(AB691*Settings!$B$7)+(AC691*Settings!$B$14)+(AD691*Settings!$B$15)+(AE691*Settings!$B$16)+(AF691*Settings!$B$17)+(AG691*Settings!$B$18)+(Y691*Settings!$B$10)+(Z691*Settings!$B$11),VLOOKUP(B691,'Standard Deviations'!A1:C731,3,FALSE))</f>
        <v>-4.1360754113078348</v>
      </c>
      <c r="J691" s="37">
        <f t="shared" si="59"/>
        <v>-5.0439944040339448E-2</v>
      </c>
      <c r="K691" s="183">
        <f>IF(Settings!$E$18="C/LW/RW",VLOOKUP(B691,LW!A1:F227,6,FALSE),VLOOKUP(B691,F!A1:F431,6,FALSE))</f>
        <v>-10.790744455432236</v>
      </c>
      <c r="L691" s="36">
        <f t="shared" si="60"/>
        <v>-10.790744455432236</v>
      </c>
      <c r="M691" s="52" t="str">
        <f>IF(Settings!$E$9="YAHOO",VLOOKUP(B691,ADP!A1:E731,2,FALSE),IF(Settings!$E$9="ESPN",VLOOKUP(B691,ADP!A1:E731,3,FALSE),IF(Settings!$E$9="FANTRAX",VLOOKUP(B691,ADP!A1:E731,4,FALSE),VLOOKUP(B691,ADP!A1:E731,5,FALSE))))</f>
        <v>-</v>
      </c>
      <c r="N691" s="52" t="str">
        <f t="shared" si="61"/>
        <v>N/A</v>
      </c>
      <c r="O691" s="38"/>
      <c r="P691" s="39" t="str">
        <f>IF(Settings!$E$27="ON",_xlfn.XLOOKUP(B691,ADP!A2:A731,ADP!H2:H731)," ")</f>
        <v xml:space="preserve"> </v>
      </c>
      <c r="Q691" s="40">
        <f>IF(Settings!$E$12="YES",VLOOKUP(B691,'Player Data'!A1:E734,5,FALSE),82)</f>
        <v>82</v>
      </c>
      <c r="R691" s="38">
        <f>VLOOKUP(B691,'Player Data'!$A1:$AE734,6,FALSE)</f>
        <v>12.553484848484899</v>
      </c>
      <c r="S691" s="40">
        <f>VLOOKUP(B691,'Player Data'!$A1:$AE734,7,FALSE)*$Q691*IFERROR((VLOOKUP(P691,Settings!$E$28:$F$33,2,FALSE)+1),1)</f>
        <v>6.8251707150011836</v>
      </c>
      <c r="T691" s="40">
        <f>VLOOKUP(B691,'Player Data'!$A1:$AE734,8,FALSE)*$Q691*IFERROR((VLOOKUP(P691,Settings!$E$28:$F$33,2,FALSE)+1),1)</f>
        <v>12.869252403727526</v>
      </c>
      <c r="U691" s="40">
        <f t="shared" si="62"/>
        <v>19.694423118728707</v>
      </c>
      <c r="V691" s="40">
        <f>VLOOKUP(B691,'Player Data'!$A1:$AE734,10,FALSE)*$Q691*IFERROR(((VLOOKUP(P691,Settings!$E$28:$F$33,2,FALSE)/2)+1),1)</f>
        <v>89.93778668896293</v>
      </c>
      <c r="W691" s="40">
        <f>VLOOKUP(B691,'Player Data'!$A1:$AE734,11,FALSE)*$Q691*IFERROR((VLOOKUP(P691,Settings!$E$28:$F$33,2,FALSE)+1),1)</f>
        <v>4.4195276274571024E-2</v>
      </c>
      <c r="X691" s="40">
        <f>VLOOKUP(B691,'Player Data'!$A1:$AE734,12,FALSE)*$Q691*IFERROR((VLOOKUP(P691,Settings!$E$28:$F$33,2,FALSE)+1),1)</f>
        <v>0.13075206909964981</v>
      </c>
      <c r="Y691" s="40">
        <f>VLOOKUP(B691,'Player Data'!$A1:$AE734,13,FALSE)*$Q691</f>
        <v>0.63252303288262812</v>
      </c>
      <c r="Z691" s="40">
        <f>VLOOKUP(B691,'Player Data'!$A1:$AE734,14,FALSE)*$Q691</f>
        <v>0.89518097179810618</v>
      </c>
      <c r="AA691" s="40">
        <f>VLOOKUP(B691,'Player Data'!$A1:$AE734,15,FALSE)*$Q691</f>
        <v>38.712460011316303</v>
      </c>
      <c r="AB691" s="40">
        <f>VLOOKUP(B691,'Player Data'!$A1:$AE734,16,FALSE)*$Q691</f>
        <v>93.22654113848931</v>
      </c>
      <c r="AC691" s="40">
        <f>VLOOKUP(B691,'Player Data'!$A1:$AE734,17,FALSE)*$Q691*IFERROR((VLOOKUP(P691,Settings!$E$28:$F$33,2,FALSE)+1),1)</f>
        <v>-0.22850361502911637</v>
      </c>
      <c r="AD691" s="40">
        <f>VLOOKUP(B691,'Player Data'!$A1:$AE734,18,FALSE)*$Q691</f>
        <v>34.793394382263067</v>
      </c>
      <c r="AE691" s="40">
        <f>VLOOKUP(B691,'Player Data'!$A1:$AE734,19,FALSE)*$Q691*IFERROR((VLOOKUP(P691,Settings!$E$28:$F$33,2,FALSE)+1),1)</f>
        <v>1.0031498116451263</v>
      </c>
      <c r="AF691" s="40">
        <f>VLOOKUP(B691,'Player Data'!$A1:$AE734,20,FALSE)*$Q691</f>
        <v>411.65167000808509</v>
      </c>
      <c r="AG691" s="40">
        <f>VLOOKUP(B691,'Player Data'!$A1:$AE734,21,FALSE)*$Q691</f>
        <v>325.1619319593463</v>
      </c>
      <c r="AH691" s="41">
        <f>VLOOKUP(B691,'Player Data'!$A1:$AE734,22,FALSE)</f>
        <v>0.55869173547949902</v>
      </c>
      <c r="AI691" s="38"/>
      <c r="AJ691" s="42"/>
      <c r="AK691" s="40"/>
      <c r="AL691" s="40"/>
      <c r="AM691" s="40"/>
      <c r="AN691" s="40"/>
      <c r="AO691" s="40"/>
      <c r="AP691" s="40"/>
      <c r="AQ691" s="43"/>
      <c r="AR691" s="44"/>
      <c r="AS691" s="38"/>
    </row>
    <row r="692" spans="1:45" ht="21.2" customHeight="1">
      <c r="A692" s="181">
        <f t="shared" si="58"/>
        <v>691</v>
      </c>
      <c r="B692" s="8" t="s">
        <v>755</v>
      </c>
      <c r="C692" s="31" t="s">
        <v>104</v>
      </c>
      <c r="D692" s="32" t="str">
        <f>VLOOKUP(B692,'Player Data'!A1:D734,4,FALSE)</f>
        <v>C,LW</v>
      </c>
      <c r="E692" s="45">
        <f>VLOOKUP(B692,LW!A1:C227,3,FALSE)</f>
        <v>207</v>
      </c>
      <c r="F692" s="34" t="str">
        <f>VLOOKUP(B692,'Player Data'!A1:B734,2,FALSE)</f>
        <v>MIN</v>
      </c>
      <c r="G692" s="9">
        <f>VLOOKUP(B692,'Player Data'!A1:D734,3,FALSE)</f>
        <v>24</v>
      </c>
      <c r="H692" s="35">
        <f>IFERROR(VLOOKUP(B692,ADP!A1:G731,7,FALSE)/1000000,VLOOKUP(B692,ADP!A1:G731,7,FALSE))</f>
        <v>0.8</v>
      </c>
      <c r="I692" s="36">
        <f>IF(Settings!$E$15="POINTS",((R692*Q692)*Settings!$B$12)+(S692*Settings!$B$2)+(T692*Settings!$B$3)+(U692*Settings!$B$4)+(V692*Settings!$B$5)+(X692*Settings!$B$9)+(AA692*Settings!$B$6)+(W692*Settings!$B$8)+(AB692*Settings!$B$7)+(AC692*Settings!$B$14)+(AD692*Settings!$B$15)+(AE692*Settings!$B$16)+(AF692*Settings!$B$17)+(AG692*Settings!$B$18)+(Y692*Settings!$B$10)+(Z692*Settings!$B$11),VLOOKUP(B692,'Standard Deviations'!A1:C731,3,FALSE))</f>
        <v>-4.1870475440077968</v>
      </c>
      <c r="J692" s="37">
        <f t="shared" si="59"/>
        <v>-5.1061555414729232E-2</v>
      </c>
      <c r="K692" s="183">
        <f>IF(Settings!$E$18="C/LW/RW",VLOOKUP(B692,LW!A1:F227,6,FALSE),VLOOKUP(B692,F!A1:F431,6,FALSE))</f>
        <v>-10.841716588132197</v>
      </c>
      <c r="L692" s="36">
        <f t="shared" si="60"/>
        <v>-13.552145735165245</v>
      </c>
      <c r="M692" s="52" t="str">
        <f>IF(Settings!$E$9="YAHOO",VLOOKUP(B692,ADP!A1:E731,2,FALSE),IF(Settings!$E$9="ESPN",VLOOKUP(B692,ADP!A1:E731,3,FALSE),IF(Settings!$E$9="FANTRAX",VLOOKUP(B692,ADP!A1:E731,4,FALSE),VLOOKUP(B692,ADP!A1:E731,5,FALSE))))</f>
        <v>-</v>
      </c>
      <c r="N692" s="52" t="str">
        <f t="shared" si="61"/>
        <v>N/A</v>
      </c>
      <c r="O692" s="38"/>
      <c r="P692" s="39" t="str">
        <f>IF(Settings!$E$27="ON",_xlfn.XLOOKUP(B692,ADP!A2:A731,ADP!H2:H731)," ")</f>
        <v xml:space="preserve"> </v>
      </c>
      <c r="Q692" s="40">
        <f>IF(Settings!$E$12="YES",VLOOKUP(B692,'Player Data'!A1:E734,5,FALSE),82)</f>
        <v>82</v>
      </c>
      <c r="R692" s="38">
        <f>VLOOKUP(B692,'Player Data'!$A1:$AE734,6,FALSE)</f>
        <v>10.907855957292099</v>
      </c>
      <c r="S692" s="40">
        <f>VLOOKUP(B692,'Player Data'!$A1:$AE734,7,FALSE)*$Q692*IFERROR((VLOOKUP(P692,Settings!$E$28:$F$33,2,FALSE)+1),1)</f>
        <v>7.3189274151424026</v>
      </c>
      <c r="T692" s="40">
        <f>VLOOKUP(B692,'Player Data'!$A1:$AE734,8,FALSE)*$Q692*IFERROR((VLOOKUP(P692,Settings!$E$28:$F$33,2,FALSE)+1),1)</f>
        <v>11.642789049047884</v>
      </c>
      <c r="U692" s="40">
        <f t="shared" si="62"/>
        <v>18.961716464190289</v>
      </c>
      <c r="V692" s="40">
        <f>VLOOKUP(B692,'Player Data'!$A1:$AE734,10,FALSE)*$Q692*IFERROR(((VLOOKUP(P692,Settings!$E$28:$F$33,2,FALSE)/2)+1),1)</f>
        <v>90.916942025655231</v>
      </c>
      <c r="W692" s="40">
        <f>VLOOKUP(B692,'Player Data'!$A1:$AE734,11,FALSE)*$Q692*IFERROR((VLOOKUP(P692,Settings!$E$28:$F$33,2,FALSE)+1),1)</f>
        <v>6.5707154087830288E-2</v>
      </c>
      <c r="X692" s="40">
        <f>VLOOKUP(B692,'Player Data'!$A1:$AE734,12,FALSE)*$Q692*IFERROR((VLOOKUP(P692,Settings!$E$28:$F$33,2,FALSE)+1),1)</f>
        <v>0.19654130040617721</v>
      </c>
      <c r="Y692" s="40">
        <f>VLOOKUP(B692,'Player Data'!$A1:$AE734,13,FALSE)*$Q692</f>
        <v>2.4850984468258139</v>
      </c>
      <c r="Z692" s="40">
        <f>VLOOKUP(B692,'Player Data'!$A1:$AE734,14,FALSE)*$Q692</f>
        <v>3.4351060657166568</v>
      </c>
      <c r="AA692" s="40">
        <f>VLOOKUP(B692,'Player Data'!$A1:$AE734,15,FALSE)*$Q692</f>
        <v>48.448738871886576</v>
      </c>
      <c r="AB692" s="40">
        <f>VLOOKUP(B692,'Player Data'!$A1:$AE734,16,FALSE)*$Q692</f>
        <v>123.22436015898606</v>
      </c>
      <c r="AC692" s="40">
        <f>VLOOKUP(B692,'Player Data'!$A1:$AE734,17,FALSE)*$Q692*IFERROR((VLOOKUP(P692,Settings!$E$28:$F$33,2,FALSE)+1),1)</f>
        <v>0.58203389219347523</v>
      </c>
      <c r="AD692" s="40">
        <f>VLOOKUP(B692,'Player Data'!$A1:$AE734,18,FALSE)*$Q692</f>
        <v>28.96862386135486</v>
      </c>
      <c r="AE692" s="40">
        <f>VLOOKUP(B692,'Player Data'!$A1:$AE734,19,FALSE)*$Q692*IFERROR((VLOOKUP(P692,Settings!$E$28:$F$33,2,FALSE)+1),1)</f>
        <v>1.1752471298817779</v>
      </c>
      <c r="AF692" s="40">
        <f>VLOOKUP(B692,'Player Data'!$A1:$AE734,20,FALSE)*$Q692</f>
        <v>221.27382918234073</v>
      </c>
      <c r="AG692" s="40">
        <f>VLOOKUP(B692,'Player Data'!$A1:$AE734,21,FALSE)*$Q692</f>
        <v>273.28365642070901</v>
      </c>
      <c r="AH692" s="41">
        <f>VLOOKUP(B692,'Player Data'!$A1:$AE734,22,FALSE)</f>
        <v>0.44741781415465998</v>
      </c>
      <c r="AI692" s="38"/>
      <c r="AJ692" s="40"/>
      <c r="AK692" s="40"/>
      <c r="AL692" s="40"/>
      <c r="AM692" s="40"/>
      <c r="AN692" s="40"/>
      <c r="AO692" s="40"/>
      <c r="AP692" s="40"/>
      <c r="AQ692" s="43"/>
      <c r="AR692" s="44"/>
      <c r="AS692" s="38"/>
    </row>
    <row r="693" spans="1:45" ht="21.2" customHeight="1">
      <c r="A693" s="181">
        <f t="shared" si="58"/>
        <v>692</v>
      </c>
      <c r="B693" s="8" t="s">
        <v>763</v>
      </c>
      <c r="C693" s="31" t="s">
        <v>104</v>
      </c>
      <c r="D693" s="32" t="str">
        <f>VLOOKUP(B693,'Player Data'!A1:D734,4,FALSE)</f>
        <v>RW</v>
      </c>
      <c r="E693" s="46">
        <f>VLOOKUP(B693,RW!A1:F189,3,FALSE)</f>
        <v>177</v>
      </c>
      <c r="F693" s="34" t="str">
        <f>VLOOKUP(B693,'Player Data'!A1:B734,2,FALSE)</f>
        <v>NSH</v>
      </c>
      <c r="G693" s="9">
        <f>VLOOKUP(B693,'Player Data'!A1:D734,3,FALSE)</f>
        <v>28</v>
      </c>
      <c r="H693" s="35">
        <f>IFERROR(VLOOKUP(B693,ADP!A1:G731,7,FALSE)/1000000,VLOOKUP(B693,ADP!A1:G731,7,FALSE))</f>
        <v>0.77500000000000002</v>
      </c>
      <c r="I693" s="36">
        <f>IF(Settings!$E$15="POINTS",((R693*Q693)*Settings!$B$12)+(S693*Settings!$B$2)+(T693*Settings!$B$3)+(U693*Settings!$B$4)+(V693*Settings!$B$5)+(X693*Settings!$B$9)+(AA693*Settings!$B$6)+(W693*Settings!$B$8)+(AB693*Settings!$B$7)+(AC693*Settings!$B$14)+(AD693*Settings!$B$15)+(AE693*Settings!$B$16)+(AF693*Settings!$B$17)+(AG693*Settings!$B$18)+(Y693*Settings!$B$10)+(Z693*Settings!$B$11),VLOOKUP(B693,'Standard Deviations'!A1:C731,3,FALSE))</f>
        <v>-4.5851465435594889</v>
      </c>
      <c r="J693" s="37">
        <f t="shared" si="59"/>
        <v>-5.5916421262920596E-2</v>
      </c>
      <c r="K693" s="183">
        <f>IF(Settings!$E$18="C/LW/RW",VLOOKUP(B693,RW!A1:F189,6,FALSE),VLOOKUP(B693,F!A1:F431,6,FALSE))</f>
        <v>-10.865405262570569</v>
      </c>
      <c r="L693" s="36">
        <f t="shared" si="60"/>
        <v>-14.019877758155573</v>
      </c>
      <c r="M693" s="52" t="str">
        <f>IF(Settings!$E$9="YAHOO",VLOOKUP(B693,ADP!A1:E731,2,FALSE),IF(Settings!$E$9="ESPN",VLOOKUP(B693,ADP!A1:E731,3,FALSE),IF(Settings!$E$9="FANTRAX",VLOOKUP(B693,ADP!A1:E731,4,FALSE),VLOOKUP(B693,ADP!A1:E731,5,FALSE))))</f>
        <v>-</v>
      </c>
      <c r="N693" s="52" t="str">
        <f t="shared" si="61"/>
        <v>N/A</v>
      </c>
      <c r="O693" s="38"/>
      <c r="P693" s="39" t="str">
        <f>IF(Settings!$E$27="ON",_xlfn.XLOOKUP(B693,ADP!A2:A731,ADP!H2:H731)," ")</f>
        <v xml:space="preserve"> </v>
      </c>
      <c r="Q693" s="40">
        <f>IF(Settings!$E$12="YES",VLOOKUP(B693,'Player Data'!A1:E734,5,FALSE),82)</f>
        <v>82</v>
      </c>
      <c r="R693" s="38">
        <f>VLOOKUP(B693,'Player Data'!$A1:$AE734,6,FALSE)</f>
        <v>10.2932065625</v>
      </c>
      <c r="S693" s="40">
        <f>VLOOKUP(B693,'Player Data'!$A1:$AE734,7,FALSE)*$Q693*IFERROR((VLOOKUP(P693,Settings!$E$28:$F$33,2,FALSE)+1),1)</f>
        <v>7.544290586997767</v>
      </c>
      <c r="T693" s="40">
        <f>VLOOKUP(B693,'Player Data'!$A1:$AE734,8,FALSE)*$Q693*IFERROR((VLOOKUP(P693,Settings!$E$28:$F$33,2,FALSE)+1),1)</f>
        <v>8.0798637505166333</v>
      </c>
      <c r="U693" s="40">
        <f t="shared" si="62"/>
        <v>15.624154337514401</v>
      </c>
      <c r="V693" s="40">
        <f>VLOOKUP(B693,'Player Data'!$A1:$AE734,10,FALSE)*$Q693*IFERROR(((VLOOKUP(P693,Settings!$E$28:$F$33,2,FALSE)/2)+1),1)</f>
        <v>90.051659083610133</v>
      </c>
      <c r="W693" s="40">
        <f>VLOOKUP(B693,'Player Data'!$A1:$AE734,11,FALSE)*$Q693*IFERROR((VLOOKUP(P693,Settings!$E$28:$F$33,2,FALSE)+1),1)</f>
        <v>6.4959081938575983E-2</v>
      </c>
      <c r="X693" s="40">
        <f>VLOOKUP(B693,'Player Data'!$A1:$AE734,12,FALSE)*$Q693*IFERROR((VLOOKUP(P693,Settings!$E$28:$F$33,2,FALSE)+1),1)</f>
        <v>0.20210172991043229</v>
      </c>
      <c r="Y693" s="40">
        <f>VLOOKUP(B693,'Player Data'!$A1:$AE734,13,FALSE)*$Q693</f>
        <v>0.60560505671701526</v>
      </c>
      <c r="Z693" s="40">
        <f>VLOOKUP(B693,'Player Data'!$A1:$AE734,14,FALSE)*$Q693</f>
        <v>1.5545682062078425</v>
      </c>
      <c r="AA693" s="40">
        <f>VLOOKUP(B693,'Player Data'!$A1:$AE734,15,FALSE)*$Q693</f>
        <v>44.659168214829833</v>
      </c>
      <c r="AB693" s="40">
        <f>VLOOKUP(B693,'Player Data'!$A1:$AE734,16,FALSE)*$Q693</f>
        <v>166.6783761879629</v>
      </c>
      <c r="AC693" s="40">
        <f>VLOOKUP(B693,'Player Data'!$A1:$AE734,17,FALSE)*$Q693*IFERROR((VLOOKUP(P693,Settings!$E$28:$F$33,2,FALSE)+1),1)</f>
        <v>-0.92280465577672466</v>
      </c>
      <c r="AD693" s="40">
        <f>VLOOKUP(B693,'Player Data'!$A1:$AE734,18,FALSE)*$Q693</f>
        <v>54.581121101033894</v>
      </c>
      <c r="AE693" s="40">
        <f>VLOOKUP(B693,'Player Data'!$A1:$AE734,19,FALSE)*$Q693*IFERROR((VLOOKUP(P693,Settings!$E$28:$F$33,2,FALSE)+1),1)</f>
        <v>1.1016637396609477</v>
      </c>
      <c r="AF693" s="40">
        <f>VLOOKUP(B693,'Player Data'!$A1:$AE734,20,FALSE)*$Q693</f>
        <v>192.73266741163584</v>
      </c>
      <c r="AG693" s="40">
        <f>VLOOKUP(B693,'Player Data'!$A1:$AE734,21,FALSE)*$Q693</f>
        <v>151.63017074065135</v>
      </c>
      <c r="AH693" s="41">
        <f>VLOOKUP(B693,'Player Data'!$A1:$AE734,22,FALSE)</f>
        <v>0.55967905377293903</v>
      </c>
      <c r="AI693" s="38"/>
      <c r="AJ693" s="42"/>
      <c r="AK693" s="40"/>
      <c r="AL693" s="40"/>
      <c r="AM693" s="40"/>
      <c r="AN693" s="40"/>
      <c r="AO693" s="40"/>
      <c r="AP693" s="40"/>
      <c r="AQ693" s="43"/>
      <c r="AR693" s="44"/>
      <c r="AS693" s="38"/>
    </row>
    <row r="694" spans="1:45" ht="21.2" customHeight="1">
      <c r="A694" s="181">
        <f t="shared" si="58"/>
        <v>693</v>
      </c>
      <c r="B694" s="8" t="s">
        <v>760</v>
      </c>
      <c r="C694" s="31" t="s">
        <v>104</v>
      </c>
      <c r="D694" s="32" t="str">
        <f>VLOOKUP(B694,'Player Data'!A1:D734,4,FALSE)</f>
        <v>RW</v>
      </c>
      <c r="E694" s="46">
        <f>VLOOKUP(B694,RW!A1:F189,3,FALSE)</f>
        <v>178</v>
      </c>
      <c r="F694" s="34" t="str">
        <f>VLOOKUP(B694,'Player Data'!A1:B734,2,FALSE)</f>
        <v>LAK</v>
      </c>
      <c r="G694" s="9">
        <f>VLOOKUP(B694,'Player Data'!A1:D734,3,FALSE)</f>
        <v>36</v>
      </c>
      <c r="H694" s="35">
        <f>IFERROR(VLOOKUP(B694,ADP!A1:G731,7,FALSE)/1000000,VLOOKUP(B694,ADP!A1:G731,7,FALSE))</f>
        <v>0.77500000000000002</v>
      </c>
      <c r="I694" s="36">
        <f>IF(Settings!$E$15="POINTS",((R694*Q694)*Settings!$B$12)+(S694*Settings!$B$2)+(T694*Settings!$B$3)+(U694*Settings!$B$4)+(V694*Settings!$B$5)+(X694*Settings!$B$9)+(AA694*Settings!$B$6)+(W694*Settings!$B$8)+(AB694*Settings!$B$7)+(AC694*Settings!$B$14)+(AD694*Settings!$B$15)+(AE694*Settings!$B$16)+(AF694*Settings!$B$17)+(AG694*Settings!$B$18)+(Y694*Settings!$B$10)+(Z694*Settings!$B$11),VLOOKUP(B694,'Standard Deviations'!A1:C731,3,FALSE))</f>
        <v>-4.5887976170341558</v>
      </c>
      <c r="J694" s="37">
        <f t="shared" si="59"/>
        <v>-5.5960946549197019E-2</v>
      </c>
      <c r="K694" s="183">
        <f>IF(Settings!$E$18="C/LW/RW",VLOOKUP(B694,RW!A1:F189,6,FALSE),VLOOKUP(B694,F!A1:F431,6,FALSE))</f>
        <v>-10.869056336045237</v>
      </c>
      <c r="L694" s="36">
        <f t="shared" si="60"/>
        <v>-14.024588820703531</v>
      </c>
      <c r="M694" s="52" t="str">
        <f>IF(Settings!$E$9="YAHOO",VLOOKUP(B694,ADP!A1:E731,2,FALSE),IF(Settings!$E$9="ESPN",VLOOKUP(B694,ADP!A1:E731,3,FALSE),IF(Settings!$E$9="FANTRAX",VLOOKUP(B694,ADP!A1:E731,4,FALSE),VLOOKUP(B694,ADP!A1:E731,5,FALSE))))</f>
        <v>-</v>
      </c>
      <c r="N694" s="52" t="str">
        <f t="shared" si="61"/>
        <v>N/A</v>
      </c>
      <c r="O694" s="38"/>
      <c r="P694" s="39" t="str">
        <f>IF(Settings!$E$27="ON",_xlfn.XLOOKUP(B694,ADP!A2:A731,ADP!H2:H731)," ")</f>
        <v xml:space="preserve"> </v>
      </c>
      <c r="Q694" s="40">
        <f>IF(Settings!$E$12="YES",VLOOKUP(B694,'Player Data'!A1:E734,5,FALSE),82)</f>
        <v>82</v>
      </c>
      <c r="R694" s="38">
        <f>VLOOKUP(B694,'Player Data'!$A1:$AE734,6,FALSE)</f>
        <v>10.7458775203646</v>
      </c>
      <c r="S694" s="40">
        <f>VLOOKUP(B694,'Player Data'!$A1:$AE734,7,FALSE)*$Q694*IFERROR((VLOOKUP(P694,Settings!$E$28:$F$33,2,FALSE)+1),1)</f>
        <v>5.4781829307075025</v>
      </c>
      <c r="T694" s="40">
        <f>VLOOKUP(B694,'Player Data'!$A1:$AE734,8,FALSE)*$Q694*IFERROR((VLOOKUP(P694,Settings!$E$28:$F$33,2,FALSE)+1),1)</f>
        <v>7.3451479893103739</v>
      </c>
      <c r="U694" s="40">
        <f t="shared" si="62"/>
        <v>12.823330920017877</v>
      </c>
      <c r="V694" s="40">
        <f>VLOOKUP(B694,'Player Data'!$A1:$AE734,10,FALSE)*$Q694*IFERROR(((VLOOKUP(P694,Settings!$E$28:$F$33,2,FALSE)/2)+1),1)</f>
        <v>110.6286219211311</v>
      </c>
      <c r="W694" s="40">
        <f>VLOOKUP(B694,'Player Data'!$A1:$AE734,11,FALSE)*$Q694*IFERROR((VLOOKUP(P694,Settings!$E$28:$F$33,2,FALSE)+1),1)</f>
        <v>0.21671728791173922</v>
      </c>
      <c r="X694" s="40">
        <f>VLOOKUP(B694,'Player Data'!$A1:$AE734,12,FALSE)*$Q694*IFERROR((VLOOKUP(P694,Settings!$E$28:$F$33,2,FALSE)+1),1)</f>
        <v>0.46032052033084619</v>
      </c>
      <c r="Y694" s="40">
        <f>VLOOKUP(B694,'Player Data'!$A1:$AE734,13,FALSE)*$Q694</f>
        <v>0.62503570453141977</v>
      </c>
      <c r="Z694" s="40">
        <f>VLOOKUP(B694,'Player Data'!$A1:$AE734,14,FALSE)*$Q694</f>
        <v>0.4327747107230851</v>
      </c>
      <c r="AA694" s="40">
        <f>VLOOKUP(B694,'Player Data'!$A1:$AE734,15,FALSE)*$Q694</f>
        <v>29.823718791692084</v>
      </c>
      <c r="AB694" s="40">
        <f>VLOOKUP(B694,'Player Data'!$A1:$AE734,16,FALSE)*$Q694</f>
        <v>135.5390200523791</v>
      </c>
      <c r="AC694" s="40">
        <f>VLOOKUP(B694,'Player Data'!$A1:$AE734,17,FALSE)*$Q694*IFERROR((VLOOKUP(P694,Settings!$E$28:$F$33,2,FALSE)+1),1)</f>
        <v>-0.93509017703634734</v>
      </c>
      <c r="AD694" s="40">
        <f>VLOOKUP(B694,'Player Data'!$A1:$AE734,18,FALSE)*$Q694</f>
        <v>14.126975398540807</v>
      </c>
      <c r="AE694" s="40">
        <f>VLOOKUP(B694,'Player Data'!$A1:$AE734,19,FALSE)*$Q694*IFERROR((VLOOKUP(P694,Settings!$E$28:$F$33,2,FALSE)+1),1)</f>
        <v>0.8111055480840581</v>
      </c>
      <c r="AF694" s="40">
        <f>VLOOKUP(B694,'Player Data'!$A1:$AE734,20,FALSE)*$Q694</f>
        <v>104.60912814492093</v>
      </c>
      <c r="AG694" s="40">
        <f>VLOOKUP(B694,'Player Data'!$A1:$AE734,21,FALSE)*$Q694</f>
        <v>129.5584772395172</v>
      </c>
      <c r="AH694" s="41">
        <f>VLOOKUP(B694,'Player Data'!$A1:$AE734,22,FALSE)</f>
        <v>0.446727582037583</v>
      </c>
      <c r="AI694" s="38"/>
      <c r="AJ694" s="42"/>
      <c r="AK694" s="40"/>
      <c r="AL694" s="40"/>
      <c r="AM694" s="40"/>
      <c r="AN694" s="40"/>
      <c r="AO694" s="40"/>
      <c r="AP694" s="40"/>
      <c r="AQ694" s="43"/>
      <c r="AR694" s="44"/>
      <c r="AS694" s="38"/>
    </row>
    <row r="695" spans="1:45" ht="21.2" customHeight="1">
      <c r="A695" s="181">
        <f t="shared" si="58"/>
        <v>694</v>
      </c>
      <c r="B695" s="8" t="s">
        <v>801</v>
      </c>
      <c r="C695" s="31" t="s">
        <v>104</v>
      </c>
      <c r="D695" s="32" t="str">
        <f>VLOOKUP(B695,'Player Data'!A1:D734,4,FALSE)</f>
        <v>C</v>
      </c>
      <c r="E695" s="33">
        <f>VLOOKUP(B695,'C'!A1:C208,3,FALSE)</f>
        <v>193</v>
      </c>
      <c r="F695" s="34" t="str">
        <f>VLOOKUP(B695,'Player Data'!A1:B734,2,FALSE)</f>
        <v>ANA</v>
      </c>
      <c r="G695" s="9">
        <f>VLOOKUP(B695,'Player Data'!A1:D734,3,FALSE)</f>
        <v>31</v>
      </c>
      <c r="H695" s="35">
        <f>IFERROR(VLOOKUP(B695,ADP!A1:G731,7,FALSE)/1000000,VLOOKUP(B695,ADP!A1:G731,7,FALSE))</f>
        <v>0.85</v>
      </c>
      <c r="I695" s="36">
        <f>IF(Settings!$E$15="POINTS",((R695*Q695)*Settings!$B$12)+(S695*Settings!$B$2)+(T695*Settings!$B$3)+(U695*Settings!$B$4)+(V695*Settings!$B$5)+(X695*Settings!$B$9)+(AA695*Settings!$B$6)+(W695*Settings!$B$8)+(AB695*Settings!$B$7)+(AC695*Settings!$B$14)+(AD695*Settings!$B$15)+(AE695*Settings!$B$16)+(AF695*Settings!$B$17)+(AG695*Settings!$B$18)+(Y695*Settings!$B$10)+(Z695*Settings!$B$11),VLOOKUP(B695,'Standard Deviations'!A1:C731,3,FALSE))</f>
        <v>-4.5419599854583117</v>
      </c>
      <c r="J695" s="37">
        <f t="shared" si="59"/>
        <v>-5.5389755920223313E-2</v>
      </c>
      <c r="K695" s="183">
        <f>IF(Settings!$E$18="C/LW/RW",VLOOKUP(B695,'C'!A1:F208,6,FALSE),VLOOKUP(B695,F!A1:F431,6,FALSE))</f>
        <v>-10.879010709664914</v>
      </c>
      <c r="L695" s="36">
        <f t="shared" si="60"/>
        <v>-12.798836129017547</v>
      </c>
      <c r="M695" s="52" t="str">
        <f>IF(Settings!$E$9="YAHOO",VLOOKUP(B695,ADP!A1:E731,2,FALSE),IF(Settings!$E$9="ESPN",VLOOKUP(B695,ADP!A1:E731,3,FALSE),IF(Settings!$E$9="FANTRAX",VLOOKUP(B695,ADP!A1:E731,4,FALSE),VLOOKUP(B695,ADP!A1:E731,5,FALSE))))</f>
        <v>-</v>
      </c>
      <c r="N695" s="52" t="str">
        <f t="shared" si="61"/>
        <v>N/A</v>
      </c>
      <c r="O695" s="38"/>
      <c r="P695" s="39" t="str">
        <f>IF(Settings!$E$27="ON",_xlfn.XLOOKUP(B695,ADP!A2:A731,ADP!H2:H731)," ")</f>
        <v xml:space="preserve"> </v>
      </c>
      <c r="Q695" s="40">
        <f>IF(Settings!$E$12="YES",VLOOKUP(B695,'Player Data'!A1:E734,5,FALSE),82)</f>
        <v>82</v>
      </c>
      <c r="R695" s="38">
        <f>VLOOKUP(B695,'Player Data'!$A1:$AE734,6,FALSE)</f>
        <v>10.545349719204401</v>
      </c>
      <c r="S695" s="40">
        <f>VLOOKUP(B695,'Player Data'!$A1:$AE734,7,FALSE)*$Q695*IFERROR((VLOOKUP(P695,Settings!$E$28:$F$33,2,FALSE)+1),1)</f>
        <v>7.7985502358715877</v>
      </c>
      <c r="T695" s="40">
        <f>VLOOKUP(B695,'Player Data'!$A1:$AE734,8,FALSE)*$Q695*IFERROR((VLOOKUP(P695,Settings!$E$28:$F$33,2,FALSE)+1),1)</f>
        <v>8.4009241049837122</v>
      </c>
      <c r="U695" s="40">
        <f t="shared" si="62"/>
        <v>16.1994743408553</v>
      </c>
      <c r="V695" s="40">
        <f>VLOOKUP(B695,'Player Data'!$A1:$AE734,10,FALSE)*$Q695*IFERROR(((VLOOKUP(P695,Settings!$E$28:$F$33,2,FALSE)/2)+1),1)</f>
        <v>85.999335279511726</v>
      </c>
      <c r="W695" s="40">
        <f>VLOOKUP(B695,'Player Data'!$A1:$AE734,11,FALSE)*$Q695*IFERROR((VLOOKUP(P695,Settings!$E$28:$F$33,2,FALSE)+1),1)</f>
        <v>0.19508939626697266</v>
      </c>
      <c r="X695" s="40">
        <f>VLOOKUP(B695,'Player Data'!$A1:$AE734,12,FALSE)*$Q695*IFERROR((VLOOKUP(P695,Settings!$E$28:$F$33,2,FALSE)+1),1)</f>
        <v>0.58290952885935632</v>
      </c>
      <c r="Y695" s="40">
        <f>VLOOKUP(B695,'Player Data'!$A1:$AE734,13,FALSE)*$Q695</f>
        <v>6.3863558083080724E-2</v>
      </c>
      <c r="Z695" s="40">
        <f>VLOOKUP(B695,'Player Data'!$A1:$AE734,14,FALSE)*$Q695</f>
        <v>8.7410653980449254E-2</v>
      </c>
      <c r="AA695" s="40">
        <f>VLOOKUP(B695,'Player Data'!$A1:$AE734,15,FALSE)*$Q695</f>
        <v>33.108221069648678</v>
      </c>
      <c r="AB695" s="40">
        <f>VLOOKUP(B695,'Player Data'!$A1:$AE734,16,FALSE)*$Q695</f>
        <v>143.02998251624808</v>
      </c>
      <c r="AC695" s="40">
        <f>VLOOKUP(B695,'Player Data'!$A1:$AE734,17,FALSE)*$Q695*IFERROR((VLOOKUP(P695,Settings!$E$28:$F$33,2,FALSE)+1),1)</f>
        <v>-9.3031515467844663</v>
      </c>
      <c r="AD695" s="40">
        <f>VLOOKUP(B695,'Player Data'!$A1:$AE734,18,FALSE)*$Q695</f>
        <v>75.767625659948024</v>
      </c>
      <c r="AE695" s="40">
        <f>VLOOKUP(B695,'Player Data'!$A1:$AE734,19,FALSE)*$Q695*IFERROR((VLOOKUP(P695,Settings!$E$28:$F$33,2,FALSE)+1),1)</f>
        <v>0.7475926214348928</v>
      </c>
      <c r="AF695" s="40">
        <f>VLOOKUP(B695,'Player Data'!$A1:$AE734,20,FALSE)*$Q695</f>
        <v>272.46918043000221</v>
      </c>
      <c r="AG695" s="40">
        <f>VLOOKUP(B695,'Player Data'!$A1:$AE734,21,FALSE)*$Q695</f>
        <v>276.88727668677171</v>
      </c>
      <c r="AH695" s="41">
        <f>VLOOKUP(B695,'Player Data'!$A1:$AE734,22,FALSE)</f>
        <v>0.49597884379119</v>
      </c>
      <c r="AI695" s="38"/>
      <c r="AJ695" s="42"/>
      <c r="AK695" s="40"/>
      <c r="AL695" s="40"/>
      <c r="AM695" s="40"/>
      <c r="AN695" s="40"/>
      <c r="AO695" s="40"/>
      <c r="AP695" s="40"/>
      <c r="AQ695" s="43"/>
      <c r="AR695" s="44"/>
      <c r="AS695" s="38"/>
    </row>
    <row r="696" spans="1:45" ht="21.2" customHeight="1">
      <c r="A696" s="181">
        <f t="shared" si="58"/>
        <v>695</v>
      </c>
      <c r="B696" s="8" t="s">
        <v>783</v>
      </c>
      <c r="C696" s="31" t="s">
        <v>104</v>
      </c>
      <c r="D696" s="32" t="str">
        <f>VLOOKUP(B696,'Player Data'!A1:D734,4,FALSE)</f>
        <v>C,RW</v>
      </c>
      <c r="E696" s="45">
        <f>VLOOKUP(B696,RW!A1:F189,3,FALSE)</f>
        <v>179</v>
      </c>
      <c r="F696" s="34" t="str">
        <f>VLOOKUP(B696,'Player Data'!A1:B734,2,FALSE)</f>
        <v>NJD</v>
      </c>
      <c r="G696" s="9">
        <f>VLOOKUP(B696,'Player Data'!A1:D734,3,FALSE)</f>
        <v>28</v>
      </c>
      <c r="H696" s="35">
        <f>IFERROR(VLOOKUP(B696,ADP!A1:G731,7,FALSE)/1000000,VLOOKUP(B696,ADP!A1:G731,7,FALSE))</f>
        <v>1</v>
      </c>
      <c r="I696" s="36">
        <f>IF(Settings!$E$15="POINTS",((R696*Q696)*Settings!$B$12)+(S696*Settings!$B$2)+(T696*Settings!$B$3)+(U696*Settings!$B$4)+(V696*Settings!$B$5)+(X696*Settings!$B$9)+(AA696*Settings!$B$6)+(W696*Settings!$B$8)+(AB696*Settings!$B$7)+(AC696*Settings!$B$14)+(AD696*Settings!$B$15)+(AE696*Settings!$B$16)+(AF696*Settings!$B$17)+(AG696*Settings!$B$18)+(Y696*Settings!$B$10)+(Z696*Settings!$B$11),VLOOKUP(B696,'Standard Deviations'!A1:C731,3,FALSE))</f>
        <v>-4.6122811131689705</v>
      </c>
      <c r="J696" s="37">
        <f t="shared" si="59"/>
        <v>-5.624733064840208E-2</v>
      </c>
      <c r="K696" s="183">
        <f>IF(Settings!$E$18="C/LW/RW",VLOOKUP(B696,RW!A1:F189,6,FALSE),VLOOKUP(B696,F!A1:F431,6,FALSE))</f>
        <v>-10.892539832180052</v>
      </c>
      <c r="L696" s="36">
        <f t="shared" si="60"/>
        <v>-10.892539832180052</v>
      </c>
      <c r="M696" s="52" t="str">
        <f>IF(Settings!$E$9="YAHOO",VLOOKUP(B696,ADP!A1:E731,2,FALSE),IF(Settings!$E$9="ESPN",VLOOKUP(B696,ADP!A1:E731,3,FALSE),IF(Settings!$E$9="FANTRAX",VLOOKUP(B696,ADP!A1:E731,4,FALSE),VLOOKUP(B696,ADP!A1:E731,5,FALSE))))</f>
        <v>-</v>
      </c>
      <c r="N696" s="52" t="str">
        <f t="shared" si="61"/>
        <v>N/A</v>
      </c>
      <c r="O696" s="38"/>
      <c r="P696" s="39" t="str">
        <f>IF(Settings!$E$27="ON",_xlfn.XLOOKUP(B696,ADP!A2:A731,ADP!H2:H731)," ")</f>
        <v xml:space="preserve"> </v>
      </c>
      <c r="Q696" s="40">
        <f>IF(Settings!$E$12="YES",VLOOKUP(B696,'Player Data'!A1:E734,5,FALSE),82)</f>
        <v>82</v>
      </c>
      <c r="R696" s="38">
        <f>VLOOKUP(B696,'Player Data'!$A1:$AE734,6,FALSE)</f>
        <v>11.682841037407201</v>
      </c>
      <c r="S696" s="40">
        <f>VLOOKUP(B696,'Player Data'!$A1:$AE734,7,FALSE)*$Q696*IFERROR((VLOOKUP(P696,Settings!$E$28:$F$33,2,FALSE)+1),1)</f>
        <v>7.4913363197974032</v>
      </c>
      <c r="T696" s="40">
        <f>VLOOKUP(B696,'Player Data'!$A1:$AE734,8,FALSE)*$Q696*IFERROR((VLOOKUP(P696,Settings!$E$28:$F$33,2,FALSE)+1),1)</f>
        <v>7.5013377891817816</v>
      </c>
      <c r="U696" s="40">
        <f t="shared" si="62"/>
        <v>14.992674108979184</v>
      </c>
      <c r="V696" s="40">
        <f>VLOOKUP(B696,'Player Data'!$A1:$AE734,10,FALSE)*$Q696*IFERROR(((VLOOKUP(P696,Settings!$E$28:$F$33,2,FALSE)/2)+1),1)</f>
        <v>93.165599342892463</v>
      </c>
      <c r="W696" s="40">
        <f>VLOOKUP(B696,'Player Data'!$A1:$AE734,11,FALSE)*$Q696*IFERROR((VLOOKUP(P696,Settings!$E$28:$F$33,2,FALSE)+1),1)</f>
        <v>6.2056928362064216E-2</v>
      </c>
      <c r="X696" s="40">
        <f>VLOOKUP(B696,'Player Data'!$A1:$AE734,12,FALSE)*$Q696*IFERROR((VLOOKUP(P696,Settings!$E$28:$F$33,2,FALSE)+1),1)</f>
        <v>0.15732908757637437</v>
      </c>
      <c r="Y696" s="40">
        <f>VLOOKUP(B696,'Player Data'!$A1:$AE734,13,FALSE)*$Q696</f>
        <v>8.4299728137203697E-2</v>
      </c>
      <c r="Z696" s="40">
        <f>VLOOKUP(B696,'Player Data'!$A1:$AE734,14,FALSE)*$Q696</f>
        <v>0.51629219797600023</v>
      </c>
      <c r="AA696" s="40">
        <f>VLOOKUP(B696,'Player Data'!$A1:$AE734,15,FALSE)*$Q696</f>
        <v>66.971899604717933</v>
      </c>
      <c r="AB696" s="40">
        <f>VLOOKUP(B696,'Player Data'!$A1:$AE734,16,FALSE)*$Q696</f>
        <v>196.82913388080917</v>
      </c>
      <c r="AC696" s="40">
        <f>VLOOKUP(B696,'Player Data'!$A1:$AE734,17,FALSE)*$Q696*IFERROR((VLOOKUP(P696,Settings!$E$28:$F$33,2,FALSE)+1),1)</f>
        <v>-0.43181654372404082</v>
      </c>
      <c r="AD696" s="40">
        <f>VLOOKUP(B696,'Player Data'!$A1:$AE734,18,FALSE)*$Q696</f>
        <v>22.473600346219019</v>
      </c>
      <c r="AE696" s="40">
        <f>VLOOKUP(B696,'Player Data'!$A1:$AE734,19,FALSE)*$Q696*IFERROR((VLOOKUP(P696,Settings!$E$28:$F$33,2,FALSE)+1),1)</f>
        <v>1.1010614872471809</v>
      </c>
      <c r="AF696" s="40">
        <f>VLOOKUP(B696,'Player Data'!$A1:$AE734,20,FALSE)*$Q696</f>
        <v>211.06001518177598</v>
      </c>
      <c r="AG696" s="40">
        <f>VLOOKUP(B696,'Player Data'!$A1:$AE734,21,FALSE)*$Q696</f>
        <v>215.60595476927688</v>
      </c>
      <c r="AH696" s="41">
        <f>VLOOKUP(B696,'Player Data'!$A1:$AE734,22,FALSE)</f>
        <v>0.49467271834683402</v>
      </c>
      <c r="AI696" s="38"/>
      <c r="AJ696" s="42"/>
      <c r="AK696" s="40"/>
      <c r="AL696" s="40"/>
      <c r="AM696" s="40"/>
      <c r="AN696" s="40"/>
      <c r="AO696" s="40"/>
      <c r="AP696" s="40"/>
      <c r="AQ696" s="43"/>
      <c r="AR696" s="44"/>
      <c r="AS696" s="38"/>
    </row>
    <row r="697" spans="1:45" ht="21.2" customHeight="1">
      <c r="A697" s="181">
        <f t="shared" si="58"/>
        <v>696</v>
      </c>
      <c r="B697" s="8" t="s">
        <v>814</v>
      </c>
      <c r="C697" s="31" t="s">
        <v>104</v>
      </c>
      <c r="D697" s="32" t="str">
        <f>VLOOKUP(B697,'Player Data'!A1:D734,4,FALSE)</f>
        <v>C</v>
      </c>
      <c r="E697" s="33">
        <f>VLOOKUP(B697,'C'!A1:C208,3,FALSE)</f>
        <v>194</v>
      </c>
      <c r="F697" s="34" t="str">
        <f>VLOOKUP(B697,'Player Data'!A1:B734,2,FALSE)</f>
        <v>TBL</v>
      </c>
      <c r="G697" s="9">
        <f>VLOOKUP(B697,'Player Data'!A1:D734,3,FALSE)</f>
        <v>25</v>
      </c>
      <c r="H697" s="35">
        <f>IFERROR(VLOOKUP(B697,ADP!A1:G731,7,FALSE)/1000000,VLOOKUP(B697,ADP!A1:G731,7,FALSE))</f>
        <v>0</v>
      </c>
      <c r="I697" s="36">
        <f>IF(Settings!$E$15="POINTS",((R697*Q697)*Settings!$B$12)+(S697*Settings!$B$2)+(T697*Settings!$B$3)+(U697*Settings!$B$4)+(V697*Settings!$B$5)+(X697*Settings!$B$9)+(AA697*Settings!$B$6)+(W697*Settings!$B$8)+(AB697*Settings!$B$7)+(AC697*Settings!$B$14)+(AD697*Settings!$B$15)+(AE697*Settings!$B$16)+(AF697*Settings!$B$17)+(AG697*Settings!$B$18)+(Y697*Settings!$B$10)+(Z697*Settings!$B$11),VLOOKUP(B697,'Standard Deviations'!A1:C731,3,FALSE))</f>
        <v>-4.5730397615199969</v>
      </c>
      <c r="J697" s="37">
        <f t="shared" si="59"/>
        <v>-5.5768777579512159E-2</v>
      </c>
      <c r="K697" s="183">
        <f>IF(Settings!$E$18="C/LW/RW",VLOOKUP(B697,'C'!A1:F208,6,FALSE),VLOOKUP(B697,F!A1:F431,6,FALSE))</f>
        <v>-10.910090485726599</v>
      </c>
      <c r="L697" s="49" t="str">
        <f t="shared" si="60"/>
        <v>N/A</v>
      </c>
      <c r="M697" s="52" t="str">
        <f>IF(Settings!$E$9="YAHOO",VLOOKUP(B697,ADP!A1:E731,2,FALSE),IF(Settings!$E$9="ESPN",VLOOKUP(B697,ADP!A1:E731,3,FALSE),IF(Settings!$E$9="FANTRAX",VLOOKUP(B697,ADP!A1:E731,4,FALSE),VLOOKUP(B697,ADP!A1:E731,5,FALSE))))</f>
        <v>-</v>
      </c>
      <c r="N697" s="52" t="str">
        <f t="shared" si="61"/>
        <v>N/A</v>
      </c>
      <c r="O697" s="38"/>
      <c r="P697" s="39" t="str">
        <f>IF(Settings!$E$27="ON",_xlfn.XLOOKUP(B697,ADP!A2:A731,ADP!H2:H731)," ")</f>
        <v xml:space="preserve"> </v>
      </c>
      <c r="Q697" s="40">
        <f>IF(Settings!$E$12="YES",VLOOKUP(B697,'Player Data'!A1:E734,5,FALSE),82)</f>
        <v>82</v>
      </c>
      <c r="R697" s="38">
        <f>VLOOKUP(B697,'Player Data'!$A1:$AE734,6,FALSE)</f>
        <v>9.8003265705411593</v>
      </c>
      <c r="S697" s="40">
        <f>VLOOKUP(B697,'Player Data'!$A1:$AE734,7,FALSE)*$Q697*IFERROR((VLOOKUP(P697,Settings!$E$28:$F$33,2,FALSE)+1),1)</f>
        <v>7.4827661037967372</v>
      </c>
      <c r="T697" s="40">
        <f>VLOOKUP(B697,'Player Data'!$A1:$AE734,8,FALSE)*$Q697*IFERROR((VLOOKUP(P697,Settings!$E$28:$F$33,2,FALSE)+1),1)</f>
        <v>11.707689087287259</v>
      </c>
      <c r="U697" s="40">
        <f t="shared" si="62"/>
        <v>19.190455191083995</v>
      </c>
      <c r="V697" s="40">
        <f>VLOOKUP(B697,'Player Data'!$A1:$AE734,10,FALSE)*$Q697*IFERROR(((VLOOKUP(P697,Settings!$E$28:$F$33,2,FALSE)/2)+1),1)</f>
        <v>63.00146225032362</v>
      </c>
      <c r="W697" s="40">
        <f>VLOOKUP(B697,'Player Data'!$A1:$AE734,11,FALSE)*$Q697*IFERROR((VLOOKUP(P697,Settings!$E$28:$F$33,2,FALSE)+1),1)</f>
        <v>0.23493310180698082</v>
      </c>
      <c r="X697" s="40">
        <f>VLOOKUP(B697,'Player Data'!$A1:$AE734,12,FALSE)*$Q697*IFERROR((VLOOKUP(P697,Settings!$E$28:$F$33,2,FALSE)+1),1)</f>
        <v>0.71516256512158549</v>
      </c>
      <c r="Y697" s="40">
        <f>VLOOKUP(B697,'Player Data'!$A1:$AE734,13,FALSE)*$Q697</f>
        <v>4.8808091467658502E-3</v>
      </c>
      <c r="Z697" s="40">
        <f>VLOOKUP(B697,'Player Data'!$A1:$AE734,14,FALSE)*$Q697</f>
        <v>9.3635658634707644E-3</v>
      </c>
      <c r="AA697" s="40">
        <f>VLOOKUP(B697,'Player Data'!$A1:$AE734,15,FALSE)*$Q697</f>
        <v>24.588002362842516</v>
      </c>
      <c r="AB697" s="40">
        <f>VLOOKUP(B697,'Player Data'!$A1:$AE734,16,FALSE)*$Q697</f>
        <v>74.868883219901662</v>
      </c>
      <c r="AC697" s="40">
        <f>VLOOKUP(B697,'Player Data'!$A1:$AE734,17,FALSE)*$Q697*IFERROR((VLOOKUP(P697,Settings!$E$28:$F$33,2,FALSE)+1),1)</f>
        <v>-0.52332291646392526</v>
      </c>
      <c r="AD697" s="40">
        <f>VLOOKUP(B697,'Player Data'!$A1:$AE734,18,FALSE)*$Q697</f>
        <v>20.06564155102653</v>
      </c>
      <c r="AE697" s="40">
        <f>VLOOKUP(B697,'Player Data'!$A1:$AE734,19,FALSE)*$Q697*IFERROR((VLOOKUP(P697,Settings!$E$28:$F$33,2,FALSE)+1),1)</f>
        <v>1.1710556133636518</v>
      </c>
      <c r="AF697" s="40">
        <f>VLOOKUP(B697,'Player Data'!$A1:$AE734,20,FALSE)*$Q697</f>
        <v>151.30254377641992</v>
      </c>
      <c r="AG697" s="40">
        <f>VLOOKUP(B697,'Player Data'!$A1:$AE734,21,FALSE)*$Q697</f>
        <v>261.58540000127209</v>
      </c>
      <c r="AH697" s="41">
        <f>VLOOKUP(B697,'Player Data'!$A1:$AE734,22,FALSE)</f>
        <v>0.36644941092754402</v>
      </c>
      <c r="AI697" s="38"/>
      <c r="AJ697" s="42"/>
      <c r="AK697" s="40"/>
      <c r="AL697" s="40"/>
      <c r="AM697" s="40"/>
      <c r="AN697" s="40"/>
      <c r="AO697" s="40"/>
      <c r="AP697" s="40"/>
      <c r="AQ697" s="43"/>
      <c r="AR697" s="44"/>
      <c r="AS697" s="42"/>
    </row>
    <row r="698" spans="1:45" ht="21.2" customHeight="1">
      <c r="A698" s="181">
        <f t="shared" si="58"/>
        <v>697</v>
      </c>
      <c r="B698" s="8" t="s">
        <v>804</v>
      </c>
      <c r="C698" s="31" t="s">
        <v>104</v>
      </c>
      <c r="D698" s="32" t="str">
        <f>VLOOKUP(B698,'Player Data'!A1:D734,4,FALSE)</f>
        <v>C</v>
      </c>
      <c r="E698" s="33">
        <f>VLOOKUP(B698,'C'!A1:C208,3,FALSE)</f>
        <v>196</v>
      </c>
      <c r="F698" s="34" t="str">
        <f>VLOOKUP(B698,'Player Data'!A1:B734,2,FALSE)</f>
        <v>OTT</v>
      </c>
      <c r="G698" s="9">
        <f>VLOOKUP(B698,'Player Data'!A1:D734,3,FALSE)</f>
        <v>24</v>
      </c>
      <c r="H698" s="35">
        <f>IFERROR(VLOOKUP(B698,ADP!A1:G731,7,FALSE)/1000000,VLOOKUP(B698,ADP!A1:G731,7,FALSE))</f>
        <v>0.83499999999999996</v>
      </c>
      <c r="I698" s="36">
        <f>IF(Settings!$E$15="POINTS",((R698*Q698)*Settings!$B$12)+(S698*Settings!$B$2)+(T698*Settings!$B$3)+(U698*Settings!$B$4)+(V698*Settings!$B$5)+(X698*Settings!$B$9)+(AA698*Settings!$B$6)+(W698*Settings!$B$8)+(AB698*Settings!$B$7)+(AC698*Settings!$B$14)+(AD698*Settings!$B$15)+(AE698*Settings!$B$16)+(AF698*Settings!$B$17)+(AG698*Settings!$B$18)+(Y698*Settings!$B$10)+(Z698*Settings!$B$11),VLOOKUP(B698,'Standard Deviations'!A1:C731,3,FALSE))</f>
        <v>-4.62097402251562</v>
      </c>
      <c r="J698" s="37">
        <f t="shared" si="59"/>
        <v>-5.6353341737995367E-2</v>
      </c>
      <c r="K698" s="183">
        <f>IF(Settings!$E$18="C/LW/RW",VLOOKUP(B698,'C'!A1:F208,6,FALSE),VLOOKUP(B698,F!A1:F431,6,FALSE))</f>
        <v>-10.958024746722224</v>
      </c>
      <c r="L698" s="36">
        <f t="shared" si="60"/>
        <v>-13.123382930206256</v>
      </c>
      <c r="M698" s="52" t="str">
        <f>IF(Settings!$E$9="YAHOO",VLOOKUP(B698,ADP!A1:E731,2,FALSE),IF(Settings!$E$9="ESPN",VLOOKUP(B698,ADP!A1:E731,3,FALSE),IF(Settings!$E$9="FANTRAX",VLOOKUP(B698,ADP!A1:E731,4,FALSE),VLOOKUP(B698,ADP!A1:E731,5,FALSE))))</f>
        <v>-</v>
      </c>
      <c r="N698" s="52" t="str">
        <f t="shared" si="61"/>
        <v>N/A</v>
      </c>
      <c r="O698" s="38"/>
      <c r="P698" s="39" t="str">
        <f>IF(Settings!$E$27="ON",_xlfn.XLOOKUP(B698,ADP!A2:A731,ADP!H2:H731)," ")</f>
        <v xml:space="preserve"> </v>
      </c>
      <c r="Q698" s="40">
        <f>IF(Settings!$E$12="YES",VLOOKUP(B698,'Player Data'!A1:E734,5,FALSE),82)</f>
        <v>82</v>
      </c>
      <c r="R698" s="38">
        <f>VLOOKUP(B698,'Player Data'!$A1:$AE734,6,FALSE)</f>
        <v>8.7474233384146292</v>
      </c>
      <c r="S698" s="40">
        <f>VLOOKUP(B698,'Player Data'!$A1:$AE734,7,FALSE)*$Q698*IFERROR((VLOOKUP(P698,Settings!$E$28:$F$33,2,FALSE)+1),1)</f>
        <v>8.5967951937192488</v>
      </c>
      <c r="T698" s="40">
        <f>VLOOKUP(B698,'Player Data'!$A1:$AE734,8,FALSE)*$Q698*IFERROR((VLOOKUP(P698,Settings!$E$28:$F$33,2,FALSE)+1),1)</f>
        <v>7.3291541419854109</v>
      </c>
      <c r="U698" s="40">
        <f t="shared" si="62"/>
        <v>15.92594933570466</v>
      </c>
      <c r="V698" s="40">
        <f>VLOOKUP(B698,'Player Data'!$A1:$AE734,10,FALSE)*$Q698*IFERROR(((VLOOKUP(P698,Settings!$E$28:$F$33,2,FALSE)/2)+1),1)</f>
        <v>84.697344886041151</v>
      </c>
      <c r="W698" s="40">
        <f>VLOOKUP(B698,'Player Data'!$A1:$AE734,11,FALSE)*$Q698*IFERROR((VLOOKUP(P698,Settings!$E$28:$F$33,2,FALSE)+1),1)</f>
        <v>5.8786749933689576E-2</v>
      </c>
      <c r="X698" s="40">
        <f>VLOOKUP(B698,'Player Data'!$A1:$AE734,12,FALSE)*$Q698*IFERROR((VLOOKUP(P698,Settings!$E$28:$F$33,2,FALSE)+1),1)</f>
        <v>0.14550059982105881</v>
      </c>
      <c r="Y698" s="40">
        <f>VLOOKUP(B698,'Player Data'!$A1:$AE734,13,FALSE)*$Q698</f>
        <v>0.1862677288191</v>
      </c>
      <c r="Z698" s="40">
        <f>VLOOKUP(B698,'Player Data'!$A1:$AE734,14,FALSE)*$Q698</f>
        <v>0.38149118615980765</v>
      </c>
      <c r="AA698" s="40">
        <f>VLOOKUP(B698,'Player Data'!$A1:$AE734,15,FALSE)*$Q698</f>
        <v>42.478969290348701</v>
      </c>
      <c r="AB698" s="40">
        <f>VLOOKUP(B698,'Player Data'!$A1:$AE734,16,FALSE)*$Q698</f>
        <v>170.38868216606224</v>
      </c>
      <c r="AC698" s="40">
        <f>VLOOKUP(B698,'Player Data'!$A1:$AE734,17,FALSE)*$Q698*IFERROR((VLOOKUP(P698,Settings!$E$28:$F$33,2,FALSE)+1),1)</f>
        <v>0.81608884953399985</v>
      </c>
      <c r="AD698" s="40">
        <f>VLOOKUP(B698,'Player Data'!$A1:$AE734,18,FALSE)*$Q698</f>
        <v>49.835099219172264</v>
      </c>
      <c r="AE698" s="40">
        <f>VLOOKUP(B698,'Player Data'!$A1:$AE734,19,FALSE)*$Q698*IFERROR((VLOOKUP(P698,Settings!$E$28:$F$33,2,FALSE)+1),1)</f>
        <v>1.2928368522797322</v>
      </c>
      <c r="AF698" s="40">
        <f>VLOOKUP(B698,'Player Data'!$A1:$AE734,20,FALSE)*$Q698</f>
        <v>413.85655316798017</v>
      </c>
      <c r="AG698" s="40">
        <f>VLOOKUP(B698,'Player Data'!$A1:$AE734,21,FALSE)*$Q698</f>
        <v>310.55503788847676</v>
      </c>
      <c r="AH698" s="41">
        <f>VLOOKUP(B698,'Player Data'!$A1:$AE734,22,FALSE)</f>
        <v>0.571300291543411</v>
      </c>
      <c r="AI698" s="38"/>
      <c r="AJ698" s="42"/>
      <c r="AK698" s="40"/>
      <c r="AL698" s="40"/>
      <c r="AM698" s="40"/>
      <c r="AN698" s="40"/>
      <c r="AO698" s="40"/>
      <c r="AP698" s="40"/>
      <c r="AQ698" s="43"/>
      <c r="AR698" s="44"/>
      <c r="AS698" s="38"/>
    </row>
    <row r="699" spans="1:45" ht="21.2" customHeight="1">
      <c r="A699" s="181">
        <f t="shared" si="58"/>
        <v>698</v>
      </c>
      <c r="B699" s="8" t="s">
        <v>751</v>
      </c>
      <c r="C699" s="31" t="s">
        <v>104</v>
      </c>
      <c r="D699" s="32" t="str">
        <f>VLOOKUP(B699,'Player Data'!A1:D734,4,FALSE)</f>
        <v>RW</v>
      </c>
      <c r="E699" s="46">
        <f>VLOOKUP(B699,RW!A1:F189,3,FALSE)</f>
        <v>180</v>
      </c>
      <c r="F699" s="34" t="str">
        <f>VLOOKUP(B699,'Player Data'!A1:B734,2,FALSE)</f>
        <v>NYI</v>
      </c>
      <c r="G699" s="9">
        <f>VLOOKUP(B699,'Player Data'!A1:D734,3,FALSE)</f>
        <v>35</v>
      </c>
      <c r="H699" s="35">
        <f>IFERROR(VLOOKUP(B699,ADP!A1:G731,7,FALSE)/1000000,VLOOKUP(B699,ADP!A1:G731,7,FALSE))</f>
        <v>1.75</v>
      </c>
      <c r="I699" s="36">
        <f>IF(Settings!$E$15="POINTS",((R699*Q699)*Settings!$B$12)+(S699*Settings!$B$2)+(T699*Settings!$B$3)+(U699*Settings!$B$4)+(V699*Settings!$B$5)+(X699*Settings!$B$9)+(AA699*Settings!$B$6)+(W699*Settings!$B$8)+(AB699*Settings!$B$7)+(AC699*Settings!$B$14)+(AD699*Settings!$B$15)+(AE699*Settings!$B$16)+(AF699*Settings!$B$17)+(AG699*Settings!$B$18)+(Y699*Settings!$B$10)+(Z699*Settings!$B$11),VLOOKUP(B699,'Standard Deviations'!A1:C731,3,FALSE))</f>
        <v>-4.70207478511671</v>
      </c>
      <c r="J699" s="37">
        <f t="shared" si="59"/>
        <v>-5.7342375428252559E-2</v>
      </c>
      <c r="K699" s="183">
        <f>IF(Settings!$E$18="C/LW/RW",VLOOKUP(B699,RW!A1:F189,6,FALSE),VLOOKUP(B699,F!A1:F431,6,FALSE))</f>
        <v>-10.982333504127791</v>
      </c>
      <c r="L699" s="36">
        <f t="shared" si="60"/>
        <v>-6.27561914521588</v>
      </c>
      <c r="M699" s="52" t="str">
        <f>IF(Settings!$E$9="YAHOO",VLOOKUP(B699,ADP!A1:E731,2,FALSE),IF(Settings!$E$9="ESPN",VLOOKUP(B699,ADP!A1:E731,3,FALSE),IF(Settings!$E$9="FANTRAX",VLOOKUP(B699,ADP!A1:E731,4,FALSE),VLOOKUP(B699,ADP!A1:E731,5,FALSE))))</f>
        <v>-</v>
      </c>
      <c r="N699" s="52" t="str">
        <f t="shared" si="61"/>
        <v>N/A</v>
      </c>
      <c r="O699" s="38"/>
      <c r="P699" s="39" t="str">
        <f>IF(Settings!$E$27="ON",_xlfn.XLOOKUP(B699,ADP!A2:A731,ADP!H2:H731)," ")</f>
        <v xml:space="preserve"> </v>
      </c>
      <c r="Q699" s="40">
        <f>IF(Settings!$E$12="YES",VLOOKUP(B699,'Player Data'!A1:E734,5,FALSE),82)</f>
        <v>82</v>
      </c>
      <c r="R699" s="38">
        <f>VLOOKUP(B699,'Player Data'!$A1:$AE734,6,FALSE)</f>
        <v>12.320296846431701</v>
      </c>
      <c r="S699" s="40">
        <f>VLOOKUP(B699,'Player Data'!$A1:$AE734,7,FALSE)*$Q699*IFERROR((VLOOKUP(P699,Settings!$E$28:$F$33,2,FALSE)+1),1)</f>
        <v>7.035028213624563</v>
      </c>
      <c r="T699" s="40">
        <f>VLOOKUP(B699,'Player Data'!$A1:$AE734,8,FALSE)*$Q699*IFERROR((VLOOKUP(P699,Settings!$E$28:$F$33,2,FALSE)+1),1)</f>
        <v>9.1994886095960791</v>
      </c>
      <c r="U699" s="40">
        <f t="shared" si="62"/>
        <v>16.234516823220641</v>
      </c>
      <c r="V699" s="40">
        <f>VLOOKUP(B699,'Player Data'!$A1:$AE734,10,FALSE)*$Q699*IFERROR(((VLOOKUP(P699,Settings!$E$28:$F$33,2,FALSE)/2)+1),1)</f>
        <v>79.858210147204218</v>
      </c>
      <c r="W699" s="40">
        <f>VLOOKUP(B699,'Player Data'!$A1:$AE734,11,FALSE)*$Q699*IFERROR((VLOOKUP(P699,Settings!$E$28:$F$33,2,FALSE)+1),1)</f>
        <v>5.5248413417076397E-2</v>
      </c>
      <c r="X699" s="40">
        <f>VLOOKUP(B699,'Player Data'!$A1:$AE734,12,FALSE)*$Q699*IFERROR((VLOOKUP(P699,Settings!$E$28:$F$33,2,FALSE)+1),1)</f>
        <v>0.14987892731923116</v>
      </c>
      <c r="Y699" s="40">
        <f>VLOOKUP(B699,'Player Data'!$A1:$AE734,13,FALSE)*$Q699</f>
        <v>0.59037966733494573</v>
      </c>
      <c r="Z699" s="40">
        <f>VLOOKUP(B699,'Player Data'!$A1:$AE734,14,FALSE)*$Q699</f>
        <v>0.3294949462872257</v>
      </c>
      <c r="AA699" s="40">
        <f>VLOOKUP(B699,'Player Data'!$A1:$AE734,15,FALSE)*$Q699</f>
        <v>44.419816410519495</v>
      </c>
      <c r="AB699" s="40">
        <f>VLOOKUP(B699,'Player Data'!$A1:$AE734,16,FALSE)*$Q699</f>
        <v>272.36584919180711</v>
      </c>
      <c r="AC699" s="40">
        <f>VLOOKUP(B699,'Player Data'!$A1:$AE734,17,FALSE)*$Q699*IFERROR((VLOOKUP(P699,Settings!$E$28:$F$33,2,FALSE)+1),1)</f>
        <v>-0.82032115674717854</v>
      </c>
      <c r="AD699" s="40">
        <f>VLOOKUP(B699,'Player Data'!$A1:$AE734,18,FALSE)*$Q699</f>
        <v>22.179331143659702</v>
      </c>
      <c r="AE699" s="40">
        <f>VLOOKUP(B699,'Player Data'!$A1:$AE734,19,FALSE)*$Q699*IFERROR((VLOOKUP(P699,Settings!$E$28:$F$33,2,FALSE)+1),1)</f>
        <v>1.0870656260267828</v>
      </c>
      <c r="AF699" s="40">
        <f>VLOOKUP(B699,'Player Data'!$A1:$AE734,20,FALSE)*$Q699</f>
        <v>3.4240649544583039</v>
      </c>
      <c r="AG699" s="40">
        <f>VLOOKUP(B699,'Player Data'!$A1:$AE734,21,FALSE)*$Q699</f>
        <v>5.8060420408241971</v>
      </c>
      <c r="AH699" s="41">
        <f>VLOOKUP(B699,'Player Data'!$A1:$AE734,22,FALSE)</f>
        <v>0.37096698404561701</v>
      </c>
      <c r="AI699" s="38"/>
      <c r="AJ699" s="42"/>
      <c r="AK699" s="40"/>
      <c r="AL699" s="40"/>
      <c r="AM699" s="40"/>
      <c r="AN699" s="40"/>
      <c r="AO699" s="40"/>
      <c r="AP699" s="40"/>
      <c r="AQ699" s="43"/>
      <c r="AR699" s="44"/>
      <c r="AS699" s="38"/>
    </row>
    <row r="700" spans="1:45" ht="21.2" customHeight="1">
      <c r="A700" s="181">
        <f t="shared" si="58"/>
        <v>699</v>
      </c>
      <c r="B700" s="8" t="s">
        <v>749</v>
      </c>
      <c r="C700" s="31" t="s">
        <v>104</v>
      </c>
      <c r="D700" s="32" t="str">
        <f>VLOOKUP(B700,'Player Data'!A1:D734,4,FALSE)</f>
        <v>RW</v>
      </c>
      <c r="E700" s="46">
        <f>VLOOKUP(B700,RW!A1:F189,3,FALSE)</f>
        <v>181</v>
      </c>
      <c r="F700" s="34" t="str">
        <f>VLOOKUP(B700,'Player Data'!A1:B734,2,FALSE)</f>
        <v>OTT</v>
      </c>
      <c r="G700" s="9">
        <f>VLOOKUP(B700,'Player Data'!A1:D734,3,FALSE)</f>
        <v>27</v>
      </c>
      <c r="H700" s="35">
        <f>IFERROR(VLOOKUP(B700,ADP!A1:G731,7,FALSE)/1000000,VLOOKUP(B700,ADP!A1:G731,7,FALSE))</f>
        <v>0.77500000000000002</v>
      </c>
      <c r="I700" s="36">
        <f>IF(Settings!$E$15="POINTS",((R700*Q700)*Settings!$B$12)+(S700*Settings!$B$2)+(T700*Settings!$B$3)+(U700*Settings!$B$4)+(V700*Settings!$B$5)+(X700*Settings!$B$9)+(AA700*Settings!$B$6)+(W700*Settings!$B$8)+(AB700*Settings!$B$7)+(AC700*Settings!$B$14)+(AD700*Settings!$B$15)+(AE700*Settings!$B$16)+(AF700*Settings!$B$17)+(AG700*Settings!$B$18)+(Y700*Settings!$B$10)+(Z700*Settings!$B$11),VLOOKUP(B700,'Standard Deviations'!A1:C731,3,FALSE))</f>
        <v>-4.744890179862546</v>
      </c>
      <c r="J700" s="37">
        <f t="shared" si="59"/>
        <v>-5.7864514388567635E-2</v>
      </c>
      <c r="K700" s="183">
        <f>IF(Settings!$E$18="C/LW/RW",VLOOKUP(B700,RW!A1:F189,6,FALSE),VLOOKUP(B700,F!A1:F431,6,FALSE))</f>
        <v>-11.025148898873628</v>
      </c>
      <c r="L700" s="36">
        <f t="shared" si="60"/>
        <v>-14.225998579191778</v>
      </c>
      <c r="M700" s="52" t="str">
        <f>IF(Settings!$E$9="YAHOO",VLOOKUP(B700,ADP!A1:E731,2,FALSE),IF(Settings!$E$9="ESPN",VLOOKUP(B700,ADP!A1:E731,3,FALSE),IF(Settings!$E$9="FANTRAX",VLOOKUP(B700,ADP!A1:E731,4,FALSE),VLOOKUP(B700,ADP!A1:E731,5,FALSE))))</f>
        <v>-</v>
      </c>
      <c r="N700" s="52" t="str">
        <f t="shared" si="61"/>
        <v>N/A</v>
      </c>
      <c r="O700" s="38"/>
      <c r="P700" s="39" t="str">
        <f>IF(Settings!$E$27="ON",_xlfn.XLOOKUP(B700,ADP!A2:A731,ADP!H2:H731)," ")</f>
        <v xml:space="preserve"> </v>
      </c>
      <c r="Q700" s="40">
        <f>IF(Settings!$E$12="YES",VLOOKUP(B700,'Player Data'!A1:E734,5,FALSE),82)</f>
        <v>82</v>
      </c>
      <c r="R700" s="38">
        <f>VLOOKUP(B700,'Player Data'!$A1:$AE734,6,FALSE)</f>
        <v>10.558119996872399</v>
      </c>
      <c r="S700" s="40">
        <f>VLOOKUP(B700,'Player Data'!$A1:$AE734,7,FALSE)*$Q700*IFERROR((VLOOKUP(P700,Settings!$E$28:$F$33,2,FALSE)+1),1)</f>
        <v>5.31608855786539</v>
      </c>
      <c r="T700" s="40">
        <f>VLOOKUP(B700,'Player Data'!$A1:$AE734,8,FALSE)*$Q700*IFERROR((VLOOKUP(P700,Settings!$E$28:$F$33,2,FALSE)+1),1)</f>
        <v>8.2839839811820486</v>
      </c>
      <c r="U700" s="40">
        <f t="shared" si="62"/>
        <v>13.600072539047439</v>
      </c>
      <c r="V700" s="40">
        <f>VLOOKUP(B700,'Player Data'!$A1:$AE734,10,FALSE)*$Q700*IFERROR(((VLOOKUP(P700,Settings!$E$28:$F$33,2,FALSE)/2)+1),1)</f>
        <v>98.201906220546789</v>
      </c>
      <c r="W700" s="40">
        <f>VLOOKUP(B700,'Player Data'!$A1:$AE734,11,FALSE)*$Q700*IFERROR((VLOOKUP(P700,Settings!$E$28:$F$33,2,FALSE)+1),1)</f>
        <v>4.6265710653592397E-2</v>
      </c>
      <c r="X700" s="40">
        <f>VLOOKUP(B700,'Player Data'!$A1:$AE734,12,FALSE)*$Q700*IFERROR((VLOOKUP(P700,Settings!$E$28:$F$33,2,FALSE)+1),1)</f>
        <v>0.11690558264628197</v>
      </c>
      <c r="Y700" s="40">
        <f>VLOOKUP(B700,'Player Data'!$A1:$AE734,13,FALSE)*$Q700</f>
        <v>1.3196402969935435E-2</v>
      </c>
      <c r="Z700" s="40">
        <f>VLOOKUP(B700,'Player Data'!$A1:$AE734,14,FALSE)*$Q700</f>
        <v>2.4751615144870617E-2</v>
      </c>
      <c r="AA700" s="40">
        <f>VLOOKUP(B700,'Player Data'!$A1:$AE734,15,FALSE)*$Q700</f>
        <v>37.363469163437578</v>
      </c>
      <c r="AB700" s="40">
        <f>VLOOKUP(B700,'Player Data'!$A1:$AE734,16,FALSE)*$Q700</f>
        <v>187.56098997408364</v>
      </c>
      <c r="AC700" s="40">
        <f>VLOOKUP(B700,'Player Data'!$A1:$AE734,17,FALSE)*$Q700*IFERROR((VLOOKUP(P700,Settings!$E$28:$F$33,2,FALSE)+1),1)</f>
        <v>-0.18459822041201238</v>
      </c>
      <c r="AD700" s="40">
        <f>VLOOKUP(B700,'Player Data'!$A1:$AE734,18,FALSE)*$Q700</f>
        <v>81.760679343586133</v>
      </c>
      <c r="AE700" s="40">
        <f>VLOOKUP(B700,'Player Data'!$A1:$AE734,19,FALSE)*$Q700*IFERROR((VLOOKUP(P700,Settings!$E$28:$F$33,2,FALSE)+1),1)</f>
        <v>0.79946480551405585</v>
      </c>
      <c r="AF700" s="40">
        <f>VLOOKUP(B700,'Player Data'!$A1:$AE734,20,FALSE)*$Q700</f>
        <v>18.709937732240963</v>
      </c>
      <c r="AG700" s="40">
        <f>VLOOKUP(B700,'Player Data'!$A1:$AE734,21,FALSE)*$Q700</f>
        <v>19.493737019188409</v>
      </c>
      <c r="AH700" s="41">
        <f>VLOOKUP(B700,'Player Data'!$A1:$AE734,22,FALSE)</f>
        <v>0.489741833841284</v>
      </c>
      <c r="AI700" s="38"/>
      <c r="AJ700" s="42"/>
      <c r="AK700" s="40"/>
      <c r="AL700" s="40"/>
      <c r="AM700" s="40"/>
      <c r="AN700" s="40"/>
      <c r="AO700" s="40"/>
      <c r="AP700" s="40"/>
      <c r="AQ700" s="43"/>
      <c r="AR700" s="44"/>
      <c r="AS700" s="38"/>
    </row>
    <row r="701" spans="1:45" ht="21.2" customHeight="1">
      <c r="A701" s="181">
        <f t="shared" si="58"/>
        <v>700</v>
      </c>
      <c r="B701" s="8" t="s">
        <v>809</v>
      </c>
      <c r="C701" s="31" t="s">
        <v>104</v>
      </c>
      <c r="D701" s="32" t="str">
        <f>VLOOKUP(B701,'Player Data'!A1:D734,4,FALSE)</f>
        <v>LW</v>
      </c>
      <c r="E701" s="48">
        <f>VLOOKUP(B701,LW!A1:C227,3,FALSE)</f>
        <v>208</v>
      </c>
      <c r="F701" s="34" t="str">
        <f>VLOOKUP(B701,'Player Data'!A1:B734,2,FALSE)</f>
        <v>NJD</v>
      </c>
      <c r="G701" s="9">
        <f>VLOOKUP(B701,'Player Data'!A1:D734,3,FALSE)</f>
        <v>22</v>
      </c>
      <c r="H701" s="35">
        <f>IFERROR(VLOOKUP(B701,ADP!A1:G731,7,FALSE)/1000000,VLOOKUP(B701,ADP!A1:G731,7,FALSE))</f>
        <v>0</v>
      </c>
      <c r="I701" s="36">
        <f>IF(Settings!$E$15="POINTS",((R701*Q701)*Settings!$B$12)+(S701*Settings!$B$2)+(T701*Settings!$B$3)+(U701*Settings!$B$4)+(V701*Settings!$B$5)+(X701*Settings!$B$9)+(AA701*Settings!$B$6)+(W701*Settings!$B$8)+(AB701*Settings!$B$7)+(AC701*Settings!$B$14)+(AD701*Settings!$B$15)+(AE701*Settings!$B$16)+(AF701*Settings!$B$17)+(AG701*Settings!$B$18)+(U701*Settings!$B$13)+(Y701*Settings!$B$10)+(Z701*Settings!$B$11),VLOOKUP(B701,'Standard Deviations'!A1:C731,3,FALSE))</f>
        <v>-4.3848602024372312</v>
      </c>
      <c r="J701" s="37">
        <f t="shared" si="59"/>
        <v>-5.3473904907771111E-2</v>
      </c>
      <c r="K701" s="183">
        <f>IF(Settings!$E$18="C/LW/RW",VLOOKUP(B701,LW!A1:F227,6,FALSE),VLOOKUP(B701,F!A1:F431,6,FALSE))</f>
        <v>-11.039529246561631</v>
      </c>
      <c r="L701" s="49" t="str">
        <f t="shared" si="60"/>
        <v>N/A</v>
      </c>
      <c r="M701" s="52" t="str">
        <f>IF(Settings!$E$9="YAHOO",VLOOKUP(B701,ADP!A1:E731,2,FALSE),IF(Settings!$E$9="ESPN",VLOOKUP(B701,ADP!A1:E731,3,FALSE),IF(Settings!$E$9="FANTRAX",VLOOKUP(B701,ADP!A1:E731,4,FALSE),VLOOKUP(B701,ADP!A1:E731,5,FALSE))))</f>
        <v>-</v>
      </c>
      <c r="N701" s="52" t="str">
        <f t="shared" si="61"/>
        <v>N/A</v>
      </c>
      <c r="O701" s="38"/>
      <c r="P701" s="39" t="str">
        <f>IF(Settings!$E$27="ON",_xlfn.XLOOKUP(B701,ADP!A2:A731,ADP!H2:H731)," ")</f>
        <v xml:space="preserve"> </v>
      </c>
      <c r="Q701" s="40">
        <f>IF(Settings!$E$12="YES",VLOOKUP(B701,'Player Data'!A1:E734,5,FALSE),82)</f>
        <v>82</v>
      </c>
      <c r="R701" s="38">
        <f>VLOOKUP(B701,'Player Data'!$A1:$AE734,6,FALSE)</f>
        <v>8.3803449690663001</v>
      </c>
      <c r="S701" s="40">
        <f>VLOOKUP(B701,'Player Data'!$A1:$AE734,7,FALSE)*$Q701*IFERROR((VLOOKUP(P701,Settings!$E$28:$F$33,2,FALSE)+1),1)</f>
        <v>10.88722135975466</v>
      </c>
      <c r="T701" s="40">
        <f>VLOOKUP(B701,'Player Data'!$A1:$AE734,8,FALSE)*$Q701*IFERROR((VLOOKUP(P701,Settings!$E$28:$F$33,2,FALSE)+1),1)</f>
        <v>8.5920078961899957</v>
      </c>
      <c r="U701" s="40">
        <f t="shared" si="62"/>
        <v>19.479229255944656</v>
      </c>
      <c r="V701" s="40">
        <f>VLOOKUP(B701,'Player Data'!$A1:$AE734,10,FALSE)*$Q701*IFERROR(((VLOOKUP(P701,Settings!$E$28:$F$33,2,FALSE)/2)+1),1)</f>
        <v>71.667227700770468</v>
      </c>
      <c r="W701" s="40">
        <f>VLOOKUP(B701,'Player Data'!$A1:$AE734,11,FALSE)*$Q701*IFERROR((VLOOKUP(P701,Settings!$E$28:$F$33,2,FALSE)+1),1)</f>
        <v>6.1931586618306075E-3</v>
      </c>
      <c r="X701" s="40">
        <f>VLOOKUP(B701,'Player Data'!$A1:$AE734,12,FALSE)*$Q701*IFERROR((VLOOKUP(P701,Settings!$E$28:$F$33,2,FALSE)+1),1)</f>
        <v>1.5181286853534436E-2</v>
      </c>
      <c r="Y701" s="40">
        <f>VLOOKUP(B701,'Player Data'!$A1:$AE734,13,FALSE)*$Q701</f>
        <v>0</v>
      </c>
      <c r="Z701" s="40">
        <f>VLOOKUP(B701,'Player Data'!$A1:$AE734,14,FALSE)*$Q701</f>
        <v>0</v>
      </c>
      <c r="AA701" s="40">
        <f>VLOOKUP(B701,'Player Data'!$A1:$AE734,15,FALSE)*$Q701</f>
        <v>27.82800983639072</v>
      </c>
      <c r="AB701" s="40">
        <f>VLOOKUP(B701,'Player Data'!$A1:$AE734,16,FALSE)*$Q701</f>
        <v>95.758988056431107</v>
      </c>
      <c r="AC701" s="40">
        <f>VLOOKUP(B701,'Player Data'!$A1:$AE734,17,FALSE)*$Q701*IFERROR((VLOOKUP(P701,Settings!$E$28:$F$33,2,FALSE)+1),1)</f>
        <v>0.53263947194771177</v>
      </c>
      <c r="AD701" s="40">
        <f>VLOOKUP(B701,'Player Data'!$A1:$AE734,18,FALSE)*$Q701</f>
        <v>14.07345148103478</v>
      </c>
      <c r="AE701" s="40">
        <f>VLOOKUP(B701,'Player Data'!$A1:$AE734,19,FALSE)*$Q701*IFERROR((VLOOKUP(P701,Settings!$E$28:$F$33,2,FALSE)+1),1)</f>
        <v>1.6001818141152298</v>
      </c>
      <c r="AF701" s="40">
        <f>VLOOKUP(B701,'Player Data'!$A1:$AE734,20,FALSE)*$Q701</f>
        <v>0</v>
      </c>
      <c r="AG701" s="40">
        <f>VLOOKUP(B701,'Player Data'!$A1:$AE734,21,FALSE)*$Q701</f>
        <v>29.652018695002802</v>
      </c>
      <c r="AH701" s="41">
        <f>VLOOKUP(B701,'Player Data'!$A1:$AE734,22,FALSE)</f>
        <v>0</v>
      </c>
      <c r="AI701" s="38"/>
      <c r="AJ701" s="42"/>
      <c r="AK701" s="40"/>
      <c r="AL701" s="40"/>
      <c r="AM701" s="40"/>
      <c r="AN701" s="40"/>
      <c r="AO701" s="40"/>
      <c r="AP701" s="40"/>
      <c r="AQ701" s="43"/>
      <c r="AR701" s="44"/>
      <c r="AS701" s="38"/>
    </row>
    <row r="702" spans="1:45" ht="21.2" customHeight="1">
      <c r="A702" s="181">
        <f t="shared" si="58"/>
        <v>701</v>
      </c>
      <c r="B702" s="8" t="s">
        <v>774</v>
      </c>
      <c r="C702" s="31" t="s">
        <v>104</v>
      </c>
      <c r="D702" s="32" t="str">
        <f>VLOOKUP(B702,'Player Data'!A1:D734,4,FALSE)</f>
        <v>C,RW</v>
      </c>
      <c r="E702" s="45">
        <f>VLOOKUP(B702,RW!A1:F189,3,FALSE)</f>
        <v>182</v>
      </c>
      <c r="F702" s="34" t="str">
        <f>VLOOKUP(B702,'Player Data'!A1:B734,2,FALSE)</f>
        <v>NYR</v>
      </c>
      <c r="G702" s="9">
        <f>VLOOKUP(B702,'Player Data'!A1:D734,3,FALSE)</f>
        <v>31</v>
      </c>
      <c r="H702" s="35">
        <f>IFERROR(VLOOKUP(B702,ADP!A1:G731,7,FALSE)/1000000,VLOOKUP(B702,ADP!A1:G731,7,FALSE))</f>
        <v>0.78749999999999998</v>
      </c>
      <c r="I702" s="36">
        <f>IF(Settings!$E$15="POINTS",((R702*Q702)*Settings!$B$12)+(S702*Settings!$B$2)+(T702*Settings!$B$3)+(U702*Settings!$B$4)+(V702*Settings!$B$5)+(X702*Settings!$B$9)+(AA702*Settings!$B$6)+(W702*Settings!$B$8)+(AB702*Settings!$B$7)+(AC702*Settings!$B$14)+(AD702*Settings!$B$15)+(AE702*Settings!$B$16)+(AF702*Settings!$B$17)+(AG702*Settings!$B$18)+(Y702*Settings!$B$10)+(Z702*Settings!$B$11),VLOOKUP(B702,'Standard Deviations'!A1:C731,3,FALSE))</f>
        <v>-4.7758294702794828</v>
      </c>
      <c r="J702" s="37">
        <f t="shared" si="59"/>
        <v>-5.8241822808286374E-2</v>
      </c>
      <c r="K702" s="183">
        <f>IF(Settings!$E$18="C/LW/RW",VLOOKUP(B702,RW!A1:F189,6,FALSE),VLOOKUP(B702,F!A1:F431,6,FALSE))</f>
        <v>-11.056088189290563</v>
      </c>
      <c r="L702" s="36">
        <f t="shared" si="60"/>
        <v>-14.039477065765794</v>
      </c>
      <c r="M702" s="52" t="str">
        <f>IF(Settings!$E$9="YAHOO",VLOOKUP(B702,ADP!A1:E731,2,FALSE),IF(Settings!$E$9="ESPN",VLOOKUP(B702,ADP!A1:E731,3,FALSE),IF(Settings!$E$9="FANTRAX",VLOOKUP(B702,ADP!A1:E731,4,FALSE),VLOOKUP(B702,ADP!A1:E731,5,FALSE))))</f>
        <v>-</v>
      </c>
      <c r="N702" s="52" t="str">
        <f t="shared" si="61"/>
        <v>N/A</v>
      </c>
      <c r="O702" s="38"/>
      <c r="P702" s="39" t="str">
        <f>IF(Settings!$E$27="ON",_xlfn.XLOOKUP(B702,ADP!A2:A731,ADP!H2:H731)," ")</f>
        <v xml:space="preserve"> </v>
      </c>
      <c r="Q702" s="40">
        <f>IF(Settings!$E$12="YES",VLOOKUP(B702,'Player Data'!A1:E734,5,FALSE),82)</f>
        <v>82</v>
      </c>
      <c r="R702" s="38">
        <f>VLOOKUP(B702,'Player Data'!$A1:$AE734,6,FALSE)</f>
        <v>10.0809893441686</v>
      </c>
      <c r="S702" s="40">
        <f>VLOOKUP(B702,'Player Data'!$A1:$AE734,7,FALSE)*$Q702*IFERROR((VLOOKUP(P702,Settings!$E$28:$F$33,2,FALSE)+1),1)</f>
        <v>6.815392937317756</v>
      </c>
      <c r="T702" s="40">
        <f>VLOOKUP(B702,'Player Data'!$A1:$AE734,8,FALSE)*$Q702*IFERROR((VLOOKUP(P702,Settings!$E$28:$F$33,2,FALSE)+1),1)</f>
        <v>9.5748914434463117</v>
      </c>
      <c r="U702" s="40">
        <f t="shared" si="62"/>
        <v>16.390284380764069</v>
      </c>
      <c r="V702" s="40">
        <f>VLOOKUP(B702,'Player Data'!$A1:$AE734,10,FALSE)*$Q702*IFERROR(((VLOOKUP(P702,Settings!$E$28:$F$33,2,FALSE)/2)+1),1)</f>
        <v>74.822576436489584</v>
      </c>
      <c r="W702" s="40">
        <f>VLOOKUP(B702,'Player Data'!$A1:$AE734,11,FALSE)*$Q702*IFERROR((VLOOKUP(P702,Settings!$E$28:$F$33,2,FALSE)+1),1)</f>
        <v>4.2402584000251396E-2</v>
      </c>
      <c r="X702" s="40">
        <f>VLOOKUP(B702,'Player Data'!$A1:$AE734,12,FALSE)*$Q702*IFERROR((VLOOKUP(P702,Settings!$E$28:$F$33,2,FALSE)+1),1)</f>
        <v>0.12677734415629796</v>
      </c>
      <c r="Y702" s="40">
        <f>VLOOKUP(B702,'Player Data'!$A1:$AE734,13,FALSE)*$Q702</f>
        <v>9.7383525432990004E-2</v>
      </c>
      <c r="Z702" s="40">
        <f>VLOOKUP(B702,'Player Data'!$A1:$AE734,14,FALSE)*$Q702</f>
        <v>0.11401696373624577</v>
      </c>
      <c r="AA702" s="40">
        <f>VLOOKUP(B702,'Player Data'!$A1:$AE734,15,FALSE)*$Q702</f>
        <v>39.887612208296083</v>
      </c>
      <c r="AB702" s="40">
        <f>VLOOKUP(B702,'Player Data'!$A1:$AE734,16,FALSE)*$Q702</f>
        <v>134.44564530958971</v>
      </c>
      <c r="AC702" s="40">
        <f>VLOOKUP(B702,'Player Data'!$A1:$AE734,17,FALSE)*$Q702*IFERROR((VLOOKUP(P702,Settings!$E$28:$F$33,2,FALSE)+1),1)</f>
        <v>3.5972037411901536</v>
      </c>
      <c r="AD702" s="40">
        <f>VLOOKUP(B702,'Player Data'!$A1:$AE734,18,FALSE)*$Q702</f>
        <v>18.727669685563775</v>
      </c>
      <c r="AE702" s="40">
        <f>VLOOKUP(B702,'Player Data'!$A1:$AE734,19,FALSE)*$Q702*IFERROR((VLOOKUP(P702,Settings!$E$28:$F$33,2,FALSE)+1),1)</f>
        <v>1.161330229634993</v>
      </c>
      <c r="AF702" s="40">
        <f>VLOOKUP(B702,'Player Data'!$A1:$AE734,20,FALSE)*$Q702</f>
        <v>4.0625524846816123</v>
      </c>
      <c r="AG702" s="40">
        <f>VLOOKUP(B702,'Player Data'!$A1:$AE734,21,FALSE)*$Q702</f>
        <v>5.0446082976891375</v>
      </c>
      <c r="AH702" s="41">
        <f>VLOOKUP(B702,'Player Data'!$A1:$AE734,22,FALSE)</f>
        <v>0.44608331638832199</v>
      </c>
      <c r="AI702" s="38"/>
      <c r="AJ702" s="40"/>
      <c r="AK702" s="40"/>
      <c r="AL702" s="40"/>
      <c r="AM702" s="40"/>
      <c r="AN702" s="40"/>
      <c r="AO702" s="40"/>
      <c r="AP702" s="40"/>
      <c r="AQ702" s="43"/>
      <c r="AR702" s="44"/>
      <c r="AS702" s="38"/>
    </row>
    <row r="703" spans="1:45" ht="21.2" customHeight="1">
      <c r="A703" s="181">
        <f t="shared" si="58"/>
        <v>702</v>
      </c>
      <c r="B703" s="8" t="s">
        <v>765</v>
      </c>
      <c r="C703" s="31" t="s">
        <v>104</v>
      </c>
      <c r="D703" s="32" t="str">
        <f>VLOOKUP(B703,'Player Data'!A1:D734,4,FALSE)</f>
        <v>LW</v>
      </c>
      <c r="E703" s="48">
        <f>VLOOKUP(B703,LW!A1:C227,3,FALSE)</f>
        <v>209</v>
      </c>
      <c r="F703" s="34" t="str">
        <f>VLOOKUP(B703,'Player Data'!A1:B734,2,FALSE)</f>
        <v>NSH</v>
      </c>
      <c r="G703" s="9">
        <f>VLOOKUP(B703,'Player Data'!A1:D734,3,FALSE)</f>
        <v>27</v>
      </c>
      <c r="H703" s="35">
        <f>IFERROR(VLOOKUP(B703,ADP!A1:G731,7,FALSE)/1000000,VLOOKUP(B703,ADP!A1:G731,7,FALSE))</f>
        <v>0.77500000000000002</v>
      </c>
      <c r="I703" s="36">
        <f>IF(Settings!$E$15="POINTS",((R703*Q703)*Settings!$B$12)+(S703*Settings!$B$2)+(T703*Settings!$B$3)+(U703*Settings!$B$4)+(V703*Settings!$B$5)+(X703*Settings!$B$9)+(AA703*Settings!$B$6)+(W703*Settings!$B$8)+(AB703*Settings!$B$7)+(AC703*Settings!$B$14)+(AD703*Settings!$B$15)+(AE703*Settings!$B$16)+(AF703*Settings!$B$17)+(AG703*Settings!$B$18)+(Y703*Settings!$B$10)+(Z703*Settings!$B$11),VLOOKUP(B703,'Standard Deviations'!A1:C731,3,FALSE))</f>
        <v>-4.4049389066175237</v>
      </c>
      <c r="J703" s="37">
        <f t="shared" si="59"/>
        <v>-5.3718767153872242E-2</v>
      </c>
      <c r="K703" s="183">
        <f>IF(Settings!$E$18="C/LW/RW",VLOOKUP(B703,LW!A1:F227,6,FALSE),VLOOKUP(B703,F!A1:F431,6,FALSE))</f>
        <v>-11.059607950741924</v>
      </c>
      <c r="L703" s="36">
        <f t="shared" si="60"/>
        <v>-14.270461871925063</v>
      </c>
      <c r="M703" s="52" t="str">
        <f>IF(Settings!$E$9="YAHOO",VLOOKUP(B703,ADP!A1:E731,2,FALSE),IF(Settings!$E$9="ESPN",VLOOKUP(B703,ADP!A1:E731,3,FALSE),IF(Settings!$E$9="FANTRAX",VLOOKUP(B703,ADP!A1:E731,4,FALSE),VLOOKUP(B703,ADP!A1:E731,5,FALSE))))</f>
        <v>-</v>
      </c>
      <c r="N703" s="52" t="str">
        <f t="shared" si="61"/>
        <v>N/A</v>
      </c>
      <c r="O703" s="38"/>
      <c r="P703" s="39" t="str">
        <f>IF(Settings!$E$27="ON",_xlfn.XLOOKUP(B703,ADP!A2:A731,ADP!H2:H731)," ")</f>
        <v xml:space="preserve"> </v>
      </c>
      <c r="Q703" s="40">
        <f>IF(Settings!$E$12="YES",VLOOKUP(B703,'Player Data'!A1:E734,5,FALSE),82)</f>
        <v>82</v>
      </c>
      <c r="R703" s="38">
        <f>VLOOKUP(B703,'Player Data'!$A1:$AE734,6,FALSE)</f>
        <v>12.2373452416932</v>
      </c>
      <c r="S703" s="40">
        <f>VLOOKUP(B703,'Player Data'!$A1:$AE734,7,FALSE)*$Q703*IFERROR((VLOOKUP(P703,Settings!$E$28:$F$33,2,FALSE)+1),1)</f>
        <v>5.7501985930420529</v>
      </c>
      <c r="T703" s="40">
        <f>VLOOKUP(B703,'Player Data'!$A1:$AE734,8,FALSE)*$Q703*IFERROR((VLOOKUP(P703,Settings!$E$28:$F$33,2,FALSE)+1),1)</f>
        <v>13.589413559766374</v>
      </c>
      <c r="U703" s="40">
        <f t="shared" si="62"/>
        <v>19.339612152808428</v>
      </c>
      <c r="V703" s="40">
        <f>VLOOKUP(B703,'Player Data'!$A1:$AE734,10,FALSE)*$Q703*IFERROR(((VLOOKUP(P703,Settings!$E$28:$F$33,2,FALSE)/2)+1),1)</f>
        <v>77.653849379998789</v>
      </c>
      <c r="W703" s="40">
        <f>VLOOKUP(B703,'Player Data'!$A1:$AE734,11,FALSE)*$Q703*IFERROR((VLOOKUP(P703,Settings!$E$28:$F$33,2,FALSE)+1),1)</f>
        <v>6.6543002666946183E-2</v>
      </c>
      <c r="X703" s="40">
        <f>VLOOKUP(B703,'Player Data'!$A1:$AE734,12,FALSE)*$Q703*IFERROR((VLOOKUP(P703,Settings!$E$28:$F$33,2,FALSE)+1),1)</f>
        <v>0.1674439363374583</v>
      </c>
      <c r="Y703" s="40">
        <f>VLOOKUP(B703,'Player Data'!$A1:$AE734,13,FALSE)*$Q703</f>
        <v>0.17181612477572625</v>
      </c>
      <c r="Z703" s="40">
        <f>VLOOKUP(B703,'Player Data'!$A1:$AE734,14,FALSE)*$Q703</f>
        <v>1.7881239662169317</v>
      </c>
      <c r="AA703" s="40">
        <f>VLOOKUP(B703,'Player Data'!$A1:$AE734,15,FALSE)*$Q703</f>
        <v>30.414252396634904</v>
      </c>
      <c r="AB703" s="40">
        <f>VLOOKUP(B703,'Player Data'!$A1:$AE734,16,FALSE)*$Q703</f>
        <v>212.66043829220484</v>
      </c>
      <c r="AC703" s="40">
        <f>VLOOKUP(B703,'Player Data'!$A1:$AE734,17,FALSE)*$Q703*IFERROR((VLOOKUP(P703,Settings!$E$28:$F$33,2,FALSE)+1),1)</f>
        <v>-2.327072801583514</v>
      </c>
      <c r="AD703" s="40">
        <f>VLOOKUP(B703,'Player Data'!$A1:$AE734,18,FALSE)*$Q703</f>
        <v>49.859336907834688</v>
      </c>
      <c r="AE703" s="40">
        <f>VLOOKUP(B703,'Player Data'!$A1:$AE734,19,FALSE)*$Q703*IFERROR((VLOOKUP(P703,Settings!$E$28:$F$33,2,FALSE)+1),1)</f>
        <v>0.83967938572269873</v>
      </c>
      <c r="AF703" s="40">
        <f>VLOOKUP(B703,'Player Data'!$A1:$AE734,20,FALSE)*$Q703</f>
        <v>0</v>
      </c>
      <c r="AG703" s="40">
        <f>VLOOKUP(B703,'Player Data'!$A1:$AE734,21,FALSE)*$Q703</f>
        <v>5.8367523090992144</v>
      </c>
      <c r="AH703" s="41">
        <f>VLOOKUP(B703,'Player Data'!$A1:$AE734,22,FALSE)</f>
        <v>0</v>
      </c>
      <c r="AI703" s="38"/>
      <c r="AJ703" s="42"/>
      <c r="AK703" s="40"/>
      <c r="AL703" s="40"/>
      <c r="AM703" s="40"/>
      <c r="AN703" s="40"/>
      <c r="AO703" s="40"/>
      <c r="AP703" s="40"/>
      <c r="AQ703" s="43"/>
      <c r="AR703" s="44"/>
      <c r="AS703" s="38"/>
    </row>
    <row r="704" spans="1:45" ht="21.2" customHeight="1">
      <c r="A704" s="181">
        <f t="shared" si="58"/>
        <v>703</v>
      </c>
      <c r="B704" s="8" t="s">
        <v>795</v>
      </c>
      <c r="C704" s="31" t="s">
        <v>104</v>
      </c>
      <c r="D704" s="32" t="str">
        <f>VLOOKUP(B704,'Player Data'!A1:D734,4,FALSE)</f>
        <v>C</v>
      </c>
      <c r="E704" s="33">
        <f>VLOOKUP(B704,'C'!A1:C208,3,FALSE)</f>
        <v>197</v>
      </c>
      <c r="F704" s="34" t="str">
        <f>VLOOKUP(B704,'Player Data'!A1:B734,2,FALSE)</f>
        <v>WPG</v>
      </c>
      <c r="G704" s="9">
        <f>VLOOKUP(B704,'Player Data'!A1:D734,3,FALSE)</f>
        <v>23</v>
      </c>
      <c r="H704" s="35">
        <f>IFERROR(VLOOKUP(B704,ADP!A1:G731,7,FALSE)/1000000,VLOOKUP(B704,ADP!A1:G731,7,FALSE))</f>
        <v>0</v>
      </c>
      <c r="I704" s="36">
        <f>IF(Settings!$E$15="POINTS",((R704*Q704)*Settings!$B$12)+(S704*Settings!$B$2)+(T704*Settings!$B$3)+(U704*Settings!$B$4)+(V704*Settings!$B$5)+(X704*Settings!$B$9)+(AA704*Settings!$B$6)+(W704*Settings!$B$8)+(AB704*Settings!$B$7)+(AC704*Settings!$B$14)+(AD704*Settings!$B$15)+(AE704*Settings!$B$16)+(AF704*Settings!$B$17)+(AG704*Settings!$B$18)+(Y704*Settings!$B$10)+(Z704*Settings!$B$11),VLOOKUP(B704,'Standard Deviations'!A1:C731,3,FALSE))</f>
        <v>-4.7428499497974599</v>
      </c>
      <c r="J704" s="37">
        <f t="shared" si="59"/>
        <v>-5.7839633534115364E-2</v>
      </c>
      <c r="K704" s="183">
        <f>IF(Settings!$E$18="C/LW/RW",VLOOKUP(B704,'C'!A1:F208,6,FALSE),VLOOKUP(B704,F!A1:F431,6,FALSE))</f>
        <v>-11.079900674004062</v>
      </c>
      <c r="L704" s="49" t="str">
        <f t="shared" si="60"/>
        <v>N/A</v>
      </c>
      <c r="M704" s="52" t="str">
        <f>IF(Settings!$E$9="YAHOO",VLOOKUP(B704,ADP!A1:E731,2,FALSE),IF(Settings!$E$9="ESPN",VLOOKUP(B704,ADP!A1:E731,3,FALSE),IF(Settings!$E$9="FANTRAX",VLOOKUP(B704,ADP!A1:E731,4,FALSE),VLOOKUP(B704,ADP!A1:E731,5,FALSE))))</f>
        <v>-</v>
      </c>
      <c r="N704" s="52" t="str">
        <f t="shared" si="61"/>
        <v>N/A</v>
      </c>
      <c r="O704" s="38"/>
      <c r="P704" s="39" t="str">
        <f>IF(Settings!$E$27="ON",_xlfn.XLOOKUP(B704,ADP!A2:A731,ADP!H2:H731)," ")</f>
        <v xml:space="preserve"> </v>
      </c>
      <c r="Q704" s="40">
        <f>IF(Settings!$E$12="YES",VLOOKUP(B704,'Player Data'!A1:E734,5,FALSE),82)</f>
        <v>82</v>
      </c>
      <c r="R704" s="38">
        <f>VLOOKUP(B704,'Player Data'!$A1:$AE734,6,FALSE)</f>
        <v>10.069278592017699</v>
      </c>
      <c r="S704" s="40">
        <f>VLOOKUP(B704,'Player Data'!$A1:$AE734,7,FALSE)*$Q704*IFERROR((VLOOKUP(P704,Settings!$E$28:$F$33,2,FALSE)+1),1)</f>
        <v>5.766814453178708</v>
      </c>
      <c r="T704" s="40">
        <f>VLOOKUP(B704,'Player Data'!$A1:$AE734,8,FALSE)*$Q704*IFERROR((VLOOKUP(P704,Settings!$E$28:$F$33,2,FALSE)+1),1)</f>
        <v>12.066662681695</v>
      </c>
      <c r="U704" s="40">
        <f t="shared" si="62"/>
        <v>17.833477134873707</v>
      </c>
      <c r="V704" s="40">
        <f>VLOOKUP(B704,'Player Data'!$A1:$AE734,10,FALSE)*$Q704*IFERROR(((VLOOKUP(P704,Settings!$E$28:$F$33,2,FALSE)/2)+1),1)</f>
        <v>67.609435843199378</v>
      </c>
      <c r="W704" s="40">
        <f>VLOOKUP(B704,'Player Data'!$A1:$AE734,11,FALSE)*$Q704*IFERROR((VLOOKUP(P704,Settings!$E$28:$F$33,2,FALSE)+1),1)</f>
        <v>8.7312082115358569E-2</v>
      </c>
      <c r="X704" s="40">
        <f>VLOOKUP(B704,'Player Data'!$A1:$AE734,12,FALSE)*$Q704*IFERROR((VLOOKUP(P704,Settings!$E$28:$F$33,2,FALSE)+1),1)</f>
        <v>0.22705311013988064</v>
      </c>
      <c r="Y704" s="40">
        <f>VLOOKUP(B704,'Player Data'!$A1:$AE734,13,FALSE)*$Q704</f>
        <v>0.63012650327920117</v>
      </c>
      <c r="Z704" s="40">
        <f>VLOOKUP(B704,'Player Data'!$A1:$AE734,14,FALSE)*$Q704</f>
        <v>1.5930195303699275</v>
      </c>
      <c r="AA704" s="40">
        <f>VLOOKUP(B704,'Player Data'!$A1:$AE734,15,FALSE)*$Q704</f>
        <v>36.52580533897509</v>
      </c>
      <c r="AB704" s="40">
        <f>VLOOKUP(B704,'Player Data'!$A1:$AE734,16,FALSE)*$Q704</f>
        <v>97.999878068100671</v>
      </c>
      <c r="AC704" s="40">
        <f>VLOOKUP(B704,'Player Data'!$A1:$AE734,17,FALSE)*$Q704*IFERROR((VLOOKUP(P704,Settings!$E$28:$F$33,2,FALSE)+1),1)</f>
        <v>0.5399671994946621</v>
      </c>
      <c r="AD704" s="40">
        <f>VLOOKUP(B704,'Player Data'!$A1:$AE734,18,FALSE)*$Q704</f>
        <v>18.915323707570103</v>
      </c>
      <c r="AE704" s="40">
        <f>VLOOKUP(B704,'Player Data'!$A1:$AE734,19,FALSE)*$Q704*IFERROR((VLOOKUP(P704,Settings!$E$28:$F$33,2,FALSE)+1),1)</f>
        <v>0.89964235727352238</v>
      </c>
      <c r="AF704" s="40">
        <f>VLOOKUP(B704,'Player Data'!$A1:$AE734,20,FALSE)*$Q704</f>
        <v>238.76811284341434</v>
      </c>
      <c r="AG704" s="40">
        <f>VLOOKUP(B704,'Player Data'!$A1:$AE734,21,FALSE)*$Q704</f>
        <v>244.49260699015875</v>
      </c>
      <c r="AH704" s="41">
        <f>VLOOKUP(B704,'Player Data'!$A1:$AE734,22,FALSE)</f>
        <v>0.49407721969549201</v>
      </c>
      <c r="AI704" s="38"/>
      <c r="AJ704" s="42"/>
      <c r="AK704" s="40"/>
      <c r="AL704" s="40"/>
      <c r="AM704" s="40"/>
      <c r="AN704" s="40"/>
      <c r="AO704" s="40"/>
      <c r="AP704" s="40"/>
      <c r="AQ704" s="43"/>
      <c r="AR704" s="44"/>
      <c r="AS704" s="38"/>
    </row>
    <row r="705" spans="1:45" ht="21.2" customHeight="1">
      <c r="A705" s="181">
        <f t="shared" si="58"/>
        <v>704</v>
      </c>
      <c r="B705" s="8" t="s">
        <v>799</v>
      </c>
      <c r="C705" s="31" t="s">
        <v>104</v>
      </c>
      <c r="D705" s="32" t="str">
        <f>VLOOKUP(B705,'Player Data'!A1:D734,4,FALSE)</f>
        <v>C,LW</v>
      </c>
      <c r="E705" s="45">
        <f>VLOOKUP(B705,LW!A1:C227,3,FALSE)</f>
        <v>210</v>
      </c>
      <c r="F705" s="34" t="str">
        <f>VLOOKUP(B705,'Player Data'!A1:B734,2,FALSE)</f>
        <v>MIN</v>
      </c>
      <c r="G705" s="9">
        <f>VLOOKUP(B705,'Player Data'!A1:D734,3,FALSE)</f>
        <v>28</v>
      </c>
      <c r="H705" s="35">
        <f>IFERROR(VLOOKUP(B705,ADP!A1:G731,7,FALSE)/1000000,VLOOKUP(B705,ADP!A1:G731,7,FALSE))</f>
        <v>0</v>
      </c>
      <c r="I705" s="36">
        <f>IF(Settings!$E$15="POINTS",((R705*Q705)*Settings!$B$12)+(S705*Settings!$B$2)+(T705*Settings!$B$3)+(U705*Settings!$B$4)+(V705*Settings!$B$5)+(X705*Settings!$B$9)+(AA705*Settings!$B$6)+(W705*Settings!$B$8)+(AB705*Settings!$B$7)+(AC705*Settings!$B$14)+(AD705*Settings!$B$15)+(AE705*Settings!$B$16)+(AF705*Settings!$B$17)+(AG705*Settings!$B$18)+(Y705*Settings!$B$10)+(Z705*Settings!$B$11),VLOOKUP(B705,'Standard Deviations'!A1:C731,3,FALSE))</f>
        <v>-4.445138037026017</v>
      </c>
      <c r="J705" s="37">
        <f t="shared" si="59"/>
        <v>-5.4209000451536794E-2</v>
      </c>
      <c r="K705" s="183">
        <f>IF(Settings!$E$18="C/LW/RW",VLOOKUP(B705,LW!A1:F227,6,FALSE),VLOOKUP(B705,F!A1:F431,6,FALSE))</f>
        <v>-11.099807081150418</v>
      </c>
      <c r="L705" s="49" t="str">
        <f t="shared" si="60"/>
        <v>N/A</v>
      </c>
      <c r="M705" s="52" t="str">
        <f>IF(Settings!$E$9="YAHOO",VLOOKUP(B705,ADP!A1:E731,2,FALSE),IF(Settings!$E$9="ESPN",VLOOKUP(B705,ADP!A1:E731,3,FALSE),IF(Settings!$E$9="FANTRAX",VLOOKUP(B705,ADP!A1:E731,4,FALSE),VLOOKUP(B705,ADP!A1:E731,5,FALSE))))</f>
        <v>-</v>
      </c>
      <c r="N705" s="52" t="str">
        <f t="shared" si="61"/>
        <v>N/A</v>
      </c>
      <c r="O705" s="38"/>
      <c r="P705" s="39" t="str">
        <f>IF(Settings!$E$27="ON",_xlfn.XLOOKUP(B705,ADP!A2:A731,ADP!H2:H731)," ")</f>
        <v xml:space="preserve"> </v>
      </c>
      <c r="Q705" s="40">
        <f>IF(Settings!$E$12="YES",VLOOKUP(B705,'Player Data'!A1:E734,5,FALSE),82)</f>
        <v>82</v>
      </c>
      <c r="R705" s="38">
        <f>VLOOKUP(B705,'Player Data'!$A1:$AE734,6,FALSE)</f>
        <v>10.9014661127914</v>
      </c>
      <c r="S705" s="40">
        <f>VLOOKUP(B705,'Player Data'!$A1:$AE734,7,FALSE)*$Q705*IFERROR((VLOOKUP(P705,Settings!$E$28:$F$33,2,FALSE)+1),1)</f>
        <v>6.1781339116294687</v>
      </c>
      <c r="T705" s="40">
        <f>VLOOKUP(B705,'Player Data'!$A1:$AE734,8,FALSE)*$Q705*IFERROR((VLOOKUP(P705,Settings!$E$28:$F$33,2,FALSE)+1),1)</f>
        <v>10.860592240442038</v>
      </c>
      <c r="U705" s="40">
        <f t="shared" si="62"/>
        <v>17.038726152071508</v>
      </c>
      <c r="V705" s="40">
        <f>VLOOKUP(B705,'Player Data'!$A1:$AE734,10,FALSE)*$Q705*IFERROR(((VLOOKUP(P705,Settings!$E$28:$F$33,2,FALSE)/2)+1),1)</f>
        <v>89.590190830943968</v>
      </c>
      <c r="W705" s="40">
        <f>VLOOKUP(B705,'Player Data'!$A1:$AE734,11,FALSE)*$Q705*IFERROR((VLOOKUP(P705,Settings!$E$28:$F$33,2,FALSE)+1),1)</f>
        <v>0.11129980364309178</v>
      </c>
      <c r="X705" s="40">
        <f>VLOOKUP(B705,'Player Data'!$A1:$AE734,12,FALSE)*$Q705*IFERROR((VLOOKUP(P705,Settings!$E$28:$F$33,2,FALSE)+1),1)</f>
        <v>0.34685255833860595</v>
      </c>
      <c r="Y705" s="40">
        <f>VLOOKUP(B705,'Player Data'!$A1:$AE734,13,FALSE)*$Q705</f>
        <v>0</v>
      </c>
      <c r="Z705" s="40">
        <f>VLOOKUP(B705,'Player Data'!$A1:$AE734,14,FALSE)*$Q705</f>
        <v>0</v>
      </c>
      <c r="AA705" s="40">
        <f>VLOOKUP(B705,'Player Data'!$A1:$AE734,15,FALSE)*$Q705</f>
        <v>32.384879139883573</v>
      </c>
      <c r="AB705" s="40">
        <f>VLOOKUP(B705,'Player Data'!$A1:$AE734,16,FALSE)*$Q705</f>
        <v>85.734264054348884</v>
      </c>
      <c r="AC705" s="40">
        <f>VLOOKUP(B705,'Player Data'!$A1:$AE734,17,FALSE)*$Q705*IFERROR((VLOOKUP(P705,Settings!$E$28:$F$33,2,FALSE)+1),1)</f>
        <v>1.4545819331583085</v>
      </c>
      <c r="AD705" s="40">
        <f>VLOOKUP(B705,'Player Data'!$A1:$AE734,18,FALSE)*$Q705</f>
        <v>22.419739890917437</v>
      </c>
      <c r="AE705" s="40">
        <f>VLOOKUP(B705,'Player Data'!$A1:$AE734,19,FALSE)*$Q705*IFERROR((VLOOKUP(P705,Settings!$E$28:$F$33,2,FALSE)+1),1)</f>
        <v>0.99206259822246945</v>
      </c>
      <c r="AF705" s="40">
        <f>VLOOKUP(B705,'Player Data'!$A1:$AE734,20,FALSE)*$Q705</f>
        <v>18.072589789644233</v>
      </c>
      <c r="AG705" s="40">
        <f>VLOOKUP(B705,'Player Data'!$A1:$AE734,21,FALSE)*$Q705</f>
        <v>47.924158539475691</v>
      </c>
      <c r="AH705" s="41">
        <f>VLOOKUP(B705,'Player Data'!$A1:$AE734,22,FALSE)</f>
        <v>0.27384060953303002</v>
      </c>
      <c r="AI705" s="38"/>
      <c r="AJ705" s="42"/>
      <c r="AK705" s="40"/>
      <c r="AL705" s="40"/>
      <c r="AM705" s="40"/>
      <c r="AN705" s="40"/>
      <c r="AO705" s="40"/>
      <c r="AP705" s="40"/>
      <c r="AQ705" s="43"/>
      <c r="AR705" s="44"/>
      <c r="AS705" s="38"/>
    </row>
    <row r="706" spans="1:45" ht="21.2" customHeight="1">
      <c r="A706" s="181">
        <f t="shared" ref="A706:A730" si="63">RANK(K706,K$2:K$730)</f>
        <v>705</v>
      </c>
      <c r="B706" s="8" t="s">
        <v>777</v>
      </c>
      <c r="C706" s="31" t="s">
        <v>104</v>
      </c>
      <c r="D706" s="32" t="str">
        <f>VLOOKUP(B706,'Player Data'!A1:D734,4,FALSE)</f>
        <v>RW</v>
      </c>
      <c r="E706" s="46">
        <f>VLOOKUP(B706,RW!A1:F189,3,FALSE)</f>
        <v>183</v>
      </c>
      <c r="F706" s="34" t="str">
        <f>VLOOKUP(B706,'Player Data'!A1:B734,2,FALSE)</f>
        <v>CBJ</v>
      </c>
      <c r="G706" s="9">
        <f>VLOOKUP(B706,'Player Data'!A1:D734,3,FALSE)</f>
        <v>26</v>
      </c>
      <c r="H706" s="35">
        <f>IFERROR(VLOOKUP(B706,ADP!A1:G731,7,FALSE)/1000000,VLOOKUP(B706,ADP!A1:G731,7,FALSE))</f>
        <v>1.1000000000000001</v>
      </c>
      <c r="I706" s="36">
        <f>IF(Settings!$E$15="POINTS",((R706*Q706)*Settings!$B$12)+(S706*Settings!$B$2)+(T706*Settings!$B$3)+(U706*Settings!$B$4)+(V706*Settings!$B$5)+(X706*Settings!$B$9)+(AA706*Settings!$B$6)+(W706*Settings!$B$8)+(AB706*Settings!$B$7)+(AC706*Settings!$B$14)+(AD706*Settings!$B$15)+(AE706*Settings!$B$16)+(AF706*Settings!$B$17)+(AG706*Settings!$B$18)+(Y706*Settings!$B$10)+(Z706*Settings!$B$11),VLOOKUP(B706,'Standard Deviations'!A1:C731,3,FALSE))</f>
        <v>-4.8375383816846469</v>
      </c>
      <c r="J706" s="37">
        <f t="shared" ref="J706:J730" si="64">IF(D706="G",I706/AJ706,I706/Q706)</f>
        <v>-5.8994370508349353E-2</v>
      </c>
      <c r="K706" s="183">
        <f>IF(Settings!$E$18="C/LW/RW",VLOOKUP(B706,RW!A1:F189,6,FALSE),VLOOKUP(B706,F!A1:F431,6,FALSE))</f>
        <v>-11.117797100695729</v>
      </c>
      <c r="L706" s="36">
        <f t="shared" ref="L706:L730" si="65">IFERROR(K706/H706,"N/A")</f>
        <v>-10.107088273359752</v>
      </c>
      <c r="M706" s="52" t="str">
        <f>IF(Settings!$E$9="YAHOO",VLOOKUP(B706,ADP!A1:E731,2,FALSE),IF(Settings!$E$9="ESPN",VLOOKUP(B706,ADP!A1:E731,3,FALSE),IF(Settings!$E$9="FANTRAX",VLOOKUP(B706,ADP!A1:E731,4,FALSE),VLOOKUP(B706,ADP!A1:E731,5,FALSE))))</f>
        <v>-</v>
      </c>
      <c r="N706" s="52" t="str">
        <f t="shared" ref="N706:N730" si="66">IFERROR(M706-A706,"N/A")</f>
        <v>N/A</v>
      </c>
      <c r="O706" s="38"/>
      <c r="P706" s="39" t="str">
        <f>IF(Settings!$E$27="ON",_xlfn.XLOOKUP(B706,ADP!A2:A731,ADP!H2:H731)," ")</f>
        <v xml:space="preserve"> </v>
      </c>
      <c r="Q706" s="40">
        <f>IF(Settings!$E$12="YES",VLOOKUP(B706,'Player Data'!A1:E734,5,FALSE),82)</f>
        <v>82</v>
      </c>
      <c r="R706" s="38">
        <f>VLOOKUP(B706,'Player Data'!$A1:$AE734,6,FALSE)</f>
        <v>9.9943924948465099</v>
      </c>
      <c r="S706" s="40">
        <f>VLOOKUP(B706,'Player Data'!$A1:$AE734,7,FALSE)*$Q706*IFERROR((VLOOKUP(P706,Settings!$E$28:$F$33,2,FALSE)+1),1)</f>
        <v>5.7608886477389039</v>
      </c>
      <c r="T706" s="40">
        <f>VLOOKUP(B706,'Player Data'!$A1:$AE734,8,FALSE)*$Q706*IFERROR((VLOOKUP(P706,Settings!$E$28:$F$33,2,FALSE)+1),1)</f>
        <v>9.9678616839606153</v>
      </c>
      <c r="U706" s="40">
        <f t="shared" si="62"/>
        <v>15.728750331699519</v>
      </c>
      <c r="V706" s="40">
        <f>VLOOKUP(B706,'Player Data'!$A1:$AE734,10,FALSE)*$Q706*IFERROR(((VLOOKUP(P706,Settings!$E$28:$F$33,2,FALSE)/2)+1),1)</f>
        <v>77.679575629816711</v>
      </c>
      <c r="W706" s="40">
        <f>VLOOKUP(B706,'Player Data'!$A1:$AE734,11,FALSE)*$Q706*IFERROR((VLOOKUP(P706,Settings!$E$28:$F$33,2,FALSE)+1),1)</f>
        <v>2.2584757177500518E-2</v>
      </c>
      <c r="X706" s="40">
        <f>VLOOKUP(B706,'Player Data'!$A1:$AE734,12,FALSE)*$Q706*IFERROR((VLOOKUP(P706,Settings!$E$28:$F$33,2,FALSE)+1),1)</f>
        <v>4.7507277240000319E-2</v>
      </c>
      <c r="Y706" s="40">
        <f>VLOOKUP(B706,'Player Data'!$A1:$AE734,13,FALSE)*$Q706</f>
        <v>0.14028927178683814</v>
      </c>
      <c r="Z706" s="40">
        <f>VLOOKUP(B706,'Player Data'!$A1:$AE734,14,FALSE)*$Q706</f>
        <v>0.2860940500107631</v>
      </c>
      <c r="AA706" s="40">
        <f>VLOOKUP(B706,'Player Data'!$A1:$AE734,15,FALSE)*$Q706</f>
        <v>54.038614658030724</v>
      </c>
      <c r="AB706" s="40">
        <f>VLOOKUP(B706,'Player Data'!$A1:$AE734,16,FALSE)*$Q706</f>
        <v>170.89864382095635</v>
      </c>
      <c r="AC706" s="40">
        <f>VLOOKUP(B706,'Player Data'!$A1:$AE734,17,FALSE)*$Q706*IFERROR((VLOOKUP(P706,Settings!$E$28:$F$33,2,FALSE)+1),1)</f>
        <v>-5.9729573868635741</v>
      </c>
      <c r="AD706" s="40">
        <f>VLOOKUP(B706,'Player Data'!$A1:$AE734,18,FALSE)*$Q706</f>
        <v>69.915102856221182</v>
      </c>
      <c r="AE706" s="40">
        <f>VLOOKUP(B706,'Player Data'!$A1:$AE734,19,FALSE)*$Q706*IFERROR((VLOOKUP(P706,Settings!$E$28:$F$33,2,FALSE)+1),1)</f>
        <v>0.61731888340238394</v>
      </c>
      <c r="AF706" s="40">
        <f>VLOOKUP(B706,'Player Data'!$A1:$AE734,20,FALSE)*$Q706</f>
        <v>3.0713551899333527</v>
      </c>
      <c r="AG706" s="40">
        <f>VLOOKUP(B706,'Player Data'!$A1:$AE734,21,FALSE)*$Q706</f>
        <v>13.066717110428977</v>
      </c>
      <c r="AH706" s="41">
        <f>VLOOKUP(B706,'Player Data'!$A1:$AE734,22,FALSE)</f>
        <v>0.190317352207202</v>
      </c>
      <c r="AI706" s="38"/>
      <c r="AJ706" s="42"/>
      <c r="AK706" s="40"/>
      <c r="AL706" s="40"/>
      <c r="AM706" s="40"/>
      <c r="AN706" s="40"/>
      <c r="AO706" s="40"/>
      <c r="AP706" s="40"/>
      <c r="AQ706" s="43"/>
      <c r="AR706" s="44"/>
      <c r="AS706" s="38"/>
    </row>
    <row r="707" spans="1:45" ht="21.2" customHeight="1">
      <c r="A707" s="181">
        <f t="shared" si="63"/>
        <v>706</v>
      </c>
      <c r="B707" s="8" t="s">
        <v>769</v>
      </c>
      <c r="C707" s="31" t="s">
        <v>104</v>
      </c>
      <c r="D707" s="32" t="str">
        <f>VLOOKUP(B707,'Player Data'!A1:D734,4,FALSE)</f>
        <v>RW</v>
      </c>
      <c r="E707" s="46">
        <f>VLOOKUP(B707,RW!A1:F189,3,FALSE)</f>
        <v>184</v>
      </c>
      <c r="F707" s="34" t="str">
        <f>VLOOKUP(B707,'Player Data'!A1:B734,2,FALSE)</f>
        <v>TBL</v>
      </c>
      <c r="G707" s="9">
        <f>VLOOKUP(B707,'Player Data'!A1:D734,3,FALSE)</f>
        <v>30</v>
      </c>
      <c r="H707" s="35">
        <f>IFERROR(VLOOKUP(B707,ADP!A1:G731,7,FALSE)/1000000,VLOOKUP(B707,ADP!A1:G731,7,FALSE))</f>
        <v>0.8</v>
      </c>
      <c r="I707" s="36">
        <f>IF(Settings!$E$15="POINTS",((R707*Q707)*Settings!$B$12)+(S707*Settings!$B$2)+(T707*Settings!$B$3)+(U707*Settings!$B$4)+(V707*Settings!$B$5)+(X707*Settings!$B$9)+(AA707*Settings!$B$6)+(W707*Settings!$B$8)+(AB707*Settings!$B$7)+(AC707*Settings!$B$14)+(AD707*Settings!$B$15)+(AE707*Settings!$B$16)+(AF707*Settings!$B$17)+(AG707*Settings!$B$18)+(Y707*Settings!$B$10)+(Z707*Settings!$B$11),VLOOKUP(B707,'Standard Deviations'!A1:C731,3,FALSE))</f>
        <v>-4.8806281516937311</v>
      </c>
      <c r="J707" s="37">
        <f t="shared" si="64"/>
        <v>-5.9519855508460139E-2</v>
      </c>
      <c r="K707" s="183">
        <f>IF(Settings!$E$18="C/LW/RW",VLOOKUP(B707,RW!A1:F189,6,FALSE),VLOOKUP(B707,F!A1:F431,6,FALSE))</f>
        <v>-11.160886870704811</v>
      </c>
      <c r="L707" s="36">
        <f t="shared" si="65"/>
        <v>-13.951108588381013</v>
      </c>
      <c r="M707" s="52" t="str">
        <f>IF(Settings!$E$9="YAHOO",VLOOKUP(B707,ADP!A1:E731,2,FALSE),IF(Settings!$E$9="ESPN",VLOOKUP(B707,ADP!A1:E731,3,FALSE),IF(Settings!$E$9="FANTRAX",VLOOKUP(B707,ADP!A1:E731,4,FALSE),VLOOKUP(B707,ADP!A1:E731,5,FALSE))))</f>
        <v>-</v>
      </c>
      <c r="N707" s="52" t="str">
        <f t="shared" si="66"/>
        <v>N/A</v>
      </c>
      <c r="O707" s="38"/>
      <c r="P707" s="39" t="str">
        <f>IF(Settings!$E$27="ON",_xlfn.XLOOKUP(B707,ADP!A2:A731,ADP!H2:H731)," ")</f>
        <v xml:space="preserve"> </v>
      </c>
      <c r="Q707" s="40">
        <f>IF(Settings!$E$12="YES",VLOOKUP(B707,'Player Data'!A1:E734,5,FALSE),82)</f>
        <v>82</v>
      </c>
      <c r="R707" s="38">
        <f>VLOOKUP(B707,'Player Data'!$A1:$AE734,6,FALSE)</f>
        <v>9.2804326208398908</v>
      </c>
      <c r="S707" s="40">
        <f>VLOOKUP(B707,'Player Data'!$A1:$AE734,7,FALSE)*$Q707*IFERROR((VLOOKUP(P707,Settings!$E$28:$F$33,2,FALSE)+1),1)</f>
        <v>6.7581701709489783</v>
      </c>
      <c r="T707" s="40">
        <f>VLOOKUP(B707,'Player Data'!$A1:$AE734,8,FALSE)*$Q707*IFERROR((VLOOKUP(P707,Settings!$E$28:$F$33,2,FALSE)+1),1)</f>
        <v>7.6679566018182816</v>
      </c>
      <c r="U707" s="40">
        <f t="shared" si="62"/>
        <v>14.42612677276726</v>
      </c>
      <c r="V707" s="40">
        <f>VLOOKUP(B707,'Player Data'!$A1:$AE734,10,FALSE)*$Q707*IFERROR(((VLOOKUP(P707,Settings!$E$28:$F$33,2,FALSE)/2)+1),1)</f>
        <v>82.218320840725482</v>
      </c>
      <c r="W707" s="40">
        <f>VLOOKUP(B707,'Player Data'!$A1:$AE734,11,FALSE)*$Q707*IFERROR((VLOOKUP(P707,Settings!$E$28:$F$33,2,FALSE)+1),1)</f>
        <v>5.5265245846701873E-2</v>
      </c>
      <c r="X707" s="40">
        <f>VLOOKUP(B707,'Player Data'!$A1:$AE734,12,FALSE)*$Q707*IFERROR((VLOOKUP(P707,Settings!$E$28:$F$33,2,FALSE)+1),1)</f>
        <v>0.14248467619488364</v>
      </c>
      <c r="Y707" s="40">
        <f>VLOOKUP(B707,'Player Data'!$A1:$AE734,13,FALSE)*$Q707</f>
        <v>2.9238575790207919E-2</v>
      </c>
      <c r="Z707" s="40">
        <f>VLOOKUP(B707,'Player Data'!$A1:$AE734,14,FALSE)*$Q707</f>
        <v>2.7856864443904082E-2</v>
      </c>
      <c r="AA707" s="40">
        <f>VLOOKUP(B707,'Player Data'!$A1:$AE734,15,FALSE)*$Q707</f>
        <v>31.806522802149882</v>
      </c>
      <c r="AB707" s="40">
        <f>VLOOKUP(B707,'Player Data'!$A1:$AE734,16,FALSE)*$Q707</f>
        <v>211.69880890263593</v>
      </c>
      <c r="AC707" s="40">
        <f>VLOOKUP(B707,'Player Data'!$A1:$AE734,17,FALSE)*$Q707*IFERROR((VLOOKUP(P707,Settings!$E$28:$F$33,2,FALSE)+1),1)</f>
        <v>0.39611477074741375</v>
      </c>
      <c r="AD707" s="40">
        <f>VLOOKUP(B707,'Player Data'!$A1:$AE734,18,FALSE)*$Q707</f>
        <v>31.520767365134471</v>
      </c>
      <c r="AE707" s="40">
        <f>VLOOKUP(B707,'Player Data'!$A1:$AE734,19,FALSE)*$Q707*IFERROR((VLOOKUP(P707,Settings!$E$28:$F$33,2,FALSE)+1),1)</f>
        <v>1.0576560866630509</v>
      </c>
      <c r="AF707" s="40">
        <f>VLOOKUP(B707,'Player Data'!$A1:$AE734,20,FALSE)*$Q707</f>
        <v>2.2676830103553032</v>
      </c>
      <c r="AG707" s="40">
        <f>VLOOKUP(B707,'Player Data'!$A1:$AE734,21,FALSE)*$Q707</f>
        <v>4.0578167233869067</v>
      </c>
      <c r="AH707" s="41">
        <f>VLOOKUP(B707,'Player Data'!$A1:$AE734,22,FALSE)</f>
        <v>0.35849863343741201</v>
      </c>
      <c r="AI707" s="38"/>
      <c r="AJ707" s="40"/>
      <c r="AK707" s="40"/>
      <c r="AL707" s="40"/>
      <c r="AM707" s="40"/>
      <c r="AN707" s="40"/>
      <c r="AO707" s="40"/>
      <c r="AP707" s="40"/>
      <c r="AQ707" s="43"/>
      <c r="AR707" s="44"/>
      <c r="AS707" s="42"/>
    </row>
    <row r="708" spans="1:45" ht="21.2" customHeight="1">
      <c r="A708" s="181">
        <f t="shared" si="63"/>
        <v>707</v>
      </c>
      <c r="B708" s="8" t="s">
        <v>778</v>
      </c>
      <c r="C708" s="31" t="s">
        <v>104</v>
      </c>
      <c r="D708" s="32" t="str">
        <f>VLOOKUP(B708,'Player Data'!A1:D734,4,FALSE)</f>
        <v>LW</v>
      </c>
      <c r="E708" s="48">
        <f>VLOOKUP(B708,LW!A1:C227,3,FALSE)</f>
        <v>211</v>
      </c>
      <c r="F708" s="34" t="str">
        <f>VLOOKUP(B708,'Player Data'!A1:B734,2,FALSE)</f>
        <v>EDM</v>
      </c>
      <c r="G708" s="9">
        <f>VLOOKUP(B708,'Player Data'!A1:D734,3,FALSE)</f>
        <v>21</v>
      </c>
      <c r="H708" s="35">
        <f>IFERROR(VLOOKUP(B708,ADP!A1:G731,7,FALSE)/1000000,VLOOKUP(B708,ADP!A1:G731,7,FALSE))</f>
        <v>0.92500000000000004</v>
      </c>
      <c r="I708" s="36">
        <f>IF(Settings!$E$15="POINTS",((R708*Q708)*Settings!$B$12)+(S708*Settings!$B$2)+(T708*Settings!$B$3)+(U708*Settings!$B$4)+(V708*Settings!$B$5)+(X708*Settings!$B$9)+(AA708*Settings!$B$6)+(W708*Settings!$B$8)+(AB708*Settings!$B$7)+(AC708*Settings!$B$14)+(AD708*Settings!$B$15)+(AE708*Settings!$B$16)+(AF708*Settings!$B$17)+(AG708*Settings!$B$18)+(Y708*Settings!$B$10)+(Z708*Settings!$B$11),VLOOKUP(B708,'Standard Deviations'!A1:C731,3,FALSE))</f>
        <v>-4.5328673239355943</v>
      </c>
      <c r="J708" s="37">
        <f t="shared" si="64"/>
        <v>-5.5278869804092613E-2</v>
      </c>
      <c r="K708" s="183">
        <f>IF(Settings!$E$18="C/LW/RW",VLOOKUP(B708,LW!A1:F227,6,FALSE),VLOOKUP(B708,F!A1:F431,6,FALSE))</f>
        <v>-11.187536368059995</v>
      </c>
      <c r="L708" s="36">
        <f t="shared" si="65"/>
        <v>-12.09463391141621</v>
      </c>
      <c r="M708" s="52" t="str">
        <f>IF(Settings!$E$9="YAHOO",VLOOKUP(B708,ADP!A1:E731,2,FALSE),IF(Settings!$E$9="ESPN",VLOOKUP(B708,ADP!A1:E731,3,FALSE),IF(Settings!$E$9="FANTRAX",VLOOKUP(B708,ADP!A1:E731,4,FALSE),VLOOKUP(B708,ADP!A1:E731,5,FALSE))))</f>
        <v>-</v>
      </c>
      <c r="N708" s="52" t="str">
        <f t="shared" si="66"/>
        <v>N/A</v>
      </c>
      <c r="O708" s="38"/>
      <c r="P708" s="39" t="str">
        <f>IF(Settings!$E$27="ON",_xlfn.XLOOKUP(B708,ADP!A2:A731,ADP!H2:H731)," ")</f>
        <v xml:space="preserve"> </v>
      </c>
      <c r="Q708" s="40">
        <f>IF(Settings!$E$12="YES",VLOOKUP(B708,'Player Data'!A1:E734,5,FALSE),82)</f>
        <v>82</v>
      </c>
      <c r="R708" s="38">
        <f>VLOOKUP(B708,'Player Data'!$A1:$AE734,6,FALSE)</f>
        <v>9.3911753311887303</v>
      </c>
      <c r="S708" s="40">
        <f>VLOOKUP(B708,'Player Data'!$A1:$AE734,7,FALSE)*$Q708*IFERROR((VLOOKUP(P708,Settings!$E$28:$F$33,2,FALSE)+1),1)</f>
        <v>6.9343081137894833</v>
      </c>
      <c r="T708" s="40">
        <f>VLOOKUP(B708,'Player Data'!$A1:$AE734,8,FALSE)*$Q708*IFERROR((VLOOKUP(P708,Settings!$E$28:$F$33,2,FALSE)+1),1)</f>
        <v>11.011614007570479</v>
      </c>
      <c r="U708" s="40">
        <f t="shared" si="62"/>
        <v>17.945922121359963</v>
      </c>
      <c r="V708" s="40">
        <f>VLOOKUP(B708,'Player Data'!$A1:$AE734,10,FALSE)*$Q708*IFERROR(((VLOOKUP(P708,Settings!$E$28:$F$33,2,FALSE)/2)+1),1)</f>
        <v>71.949039583190086</v>
      </c>
      <c r="W708" s="40">
        <f>VLOOKUP(B708,'Player Data'!$A1:$AE734,11,FALSE)*$Q708*IFERROR((VLOOKUP(P708,Settings!$E$28:$F$33,2,FALSE)+1),1)</f>
        <v>0.48537318656526279</v>
      </c>
      <c r="X708" s="40">
        <f>VLOOKUP(B708,'Player Data'!$A1:$AE734,12,FALSE)*$Q708*IFERROR((VLOOKUP(P708,Settings!$E$28:$F$33,2,FALSE)+1),1)</f>
        <v>1.1940070347691516</v>
      </c>
      <c r="Y708" s="40">
        <f>VLOOKUP(B708,'Player Data'!$A1:$AE734,13,FALSE)*$Q708</f>
        <v>3.4403373551910787E-3</v>
      </c>
      <c r="Z708" s="40">
        <f>VLOOKUP(B708,'Player Data'!$A1:$AE734,14,FALSE)*$Q708</f>
        <v>6.6755784703394095E-3</v>
      </c>
      <c r="AA708" s="40">
        <f>VLOOKUP(B708,'Player Data'!$A1:$AE734,15,FALSE)*$Q708</f>
        <v>26.595675354089121</v>
      </c>
      <c r="AB708" s="40">
        <f>VLOOKUP(B708,'Player Data'!$A1:$AE734,16,FALSE)*$Q708</f>
        <v>125.82395117784667</v>
      </c>
      <c r="AC708" s="40">
        <f>VLOOKUP(B708,'Player Data'!$A1:$AE734,17,FALSE)*$Q708*IFERROR((VLOOKUP(P708,Settings!$E$28:$F$33,2,FALSE)+1),1)</f>
        <v>4.9874747463548665</v>
      </c>
      <c r="AD708" s="40">
        <f>VLOOKUP(B708,'Player Data'!$A1:$AE734,18,FALSE)*$Q708</f>
        <v>30.238911867714474</v>
      </c>
      <c r="AE708" s="40">
        <f>VLOOKUP(B708,'Player Data'!$A1:$AE734,19,FALSE)*$Q708*IFERROR((VLOOKUP(P708,Settings!$E$28:$F$33,2,FALSE)+1),1)</f>
        <v>1.0976265302956099</v>
      </c>
      <c r="AF708" s="40">
        <f>VLOOKUP(B708,'Player Data'!$A1:$AE734,20,FALSE)*$Q708</f>
        <v>34.656193714768087</v>
      </c>
      <c r="AG708" s="40">
        <f>VLOOKUP(B708,'Player Data'!$A1:$AE734,21,FALSE)*$Q708</f>
        <v>63.011261299578479</v>
      </c>
      <c r="AH708" s="41">
        <f>VLOOKUP(B708,'Player Data'!$A1:$AE734,22,FALSE)</f>
        <v>0.35483870967741898</v>
      </c>
      <c r="AI708" s="38"/>
      <c r="AJ708" s="42"/>
      <c r="AK708" s="40"/>
      <c r="AL708" s="40"/>
      <c r="AM708" s="40"/>
      <c r="AN708" s="40"/>
      <c r="AO708" s="40"/>
      <c r="AP708" s="40"/>
      <c r="AQ708" s="43"/>
      <c r="AR708" s="44"/>
      <c r="AS708" s="38"/>
    </row>
    <row r="709" spans="1:45" ht="21.2" customHeight="1">
      <c r="A709" s="181">
        <f t="shared" si="63"/>
        <v>708</v>
      </c>
      <c r="B709" s="8" t="s">
        <v>759</v>
      </c>
      <c r="C709" s="31" t="s">
        <v>104</v>
      </c>
      <c r="D709" s="32" t="str">
        <f>VLOOKUP(B709,'Player Data'!A1:D734,4,FALSE)</f>
        <v>LW</v>
      </c>
      <c r="E709" s="48">
        <f>VLOOKUP(B709,LW!A1:C227,3,FALSE)</f>
        <v>212</v>
      </c>
      <c r="F709" s="34" t="str">
        <f>VLOOKUP(B709,'Player Data'!A1:B734,2,FALSE)</f>
        <v>BOS</v>
      </c>
      <c r="G709" s="9">
        <f>VLOOKUP(B709,'Player Data'!A1:D734,3,FALSE)</f>
        <v>35</v>
      </c>
      <c r="H709" s="35">
        <f>IFERROR(VLOOKUP(B709,ADP!A1:G731,7,FALSE)/1000000,VLOOKUP(B709,ADP!A1:G731,7,FALSE))</f>
        <v>1</v>
      </c>
      <c r="I709" s="36">
        <f>IF(Settings!$E$15="POINTS",((R709*Q709)*Settings!$B$12)+(S709*Settings!$B$2)+(T709*Settings!$B$3)+(U709*Settings!$B$4)+(V709*Settings!$B$5)+(X709*Settings!$B$9)+(AA709*Settings!$B$6)+(W709*Settings!$B$8)+(AB709*Settings!$B$7)+(AC709*Settings!$B$14)+(AD709*Settings!$B$15)+(AE709*Settings!$B$16)+(AF709*Settings!$B$17)+(AG709*Settings!$B$18)+(Y709*Settings!$B$10)+(Z709*Settings!$B$11),VLOOKUP(B709,'Standard Deviations'!A1:C731,3,FALSE))</f>
        <v>-4.5393853244508895</v>
      </c>
      <c r="J709" s="37">
        <f t="shared" si="64"/>
        <v>-5.5358357615254747E-2</v>
      </c>
      <c r="K709" s="183">
        <f>IF(Settings!$E$18="C/LW/RW",VLOOKUP(B709,LW!A1:F227,6,FALSE),VLOOKUP(B709,F!A1:F431,6,FALSE))</f>
        <v>-11.194054368575291</v>
      </c>
      <c r="L709" s="36">
        <f t="shared" si="65"/>
        <v>-11.194054368575291</v>
      </c>
      <c r="M709" s="52" t="str">
        <f>IF(Settings!$E$9="YAHOO",VLOOKUP(B709,ADP!A1:E731,2,FALSE),IF(Settings!$E$9="ESPN",VLOOKUP(B709,ADP!A1:E731,3,FALSE),IF(Settings!$E$9="FANTRAX",VLOOKUP(B709,ADP!A1:E731,4,FALSE),VLOOKUP(B709,ADP!A1:E731,5,FALSE))))</f>
        <v>-</v>
      </c>
      <c r="N709" s="52" t="str">
        <f t="shared" si="66"/>
        <v>N/A</v>
      </c>
      <c r="O709" s="38"/>
      <c r="P709" s="39" t="str">
        <f>IF(Settings!$E$27="ON",_xlfn.XLOOKUP(B709,ADP!A2:A731,ADP!H2:H731)," ")</f>
        <v xml:space="preserve"> </v>
      </c>
      <c r="Q709" s="40">
        <f>IF(Settings!$E$12="YES",VLOOKUP(B709,'Player Data'!A1:E734,5,FALSE),82)</f>
        <v>82</v>
      </c>
      <c r="R709" s="38">
        <f>VLOOKUP(B709,'Player Data'!$A1:$AE734,6,FALSE)</f>
        <v>11.1225685322018</v>
      </c>
      <c r="S709" s="40">
        <f>VLOOKUP(B709,'Player Data'!$A1:$AE734,7,FALSE)*$Q709*IFERROR((VLOOKUP(P709,Settings!$E$28:$F$33,2,FALSE)+1),1)</f>
        <v>6.9346431127780574</v>
      </c>
      <c r="T709" s="40">
        <f>VLOOKUP(B709,'Player Data'!$A1:$AE734,8,FALSE)*$Q709*IFERROR((VLOOKUP(P709,Settings!$E$28:$F$33,2,FALSE)+1),1)</f>
        <v>11.1341957098241</v>
      </c>
      <c r="U709" s="40">
        <f t="shared" si="62"/>
        <v>18.068838822602157</v>
      </c>
      <c r="V709" s="40">
        <f>VLOOKUP(B709,'Player Data'!$A1:$AE734,10,FALSE)*$Q709*IFERROR(((VLOOKUP(P709,Settings!$E$28:$F$33,2,FALSE)/2)+1),1)</f>
        <v>77.029429942013223</v>
      </c>
      <c r="W709" s="40">
        <f>VLOOKUP(B709,'Player Data'!$A1:$AE734,11,FALSE)*$Q709*IFERROR((VLOOKUP(P709,Settings!$E$28:$F$33,2,FALSE)+1),1)</f>
        <v>7.6408462725131993E-2</v>
      </c>
      <c r="X709" s="40">
        <f>VLOOKUP(B709,'Player Data'!$A1:$AE734,12,FALSE)*$Q709*IFERROR((VLOOKUP(P709,Settings!$E$28:$F$33,2,FALSE)+1),1)</f>
        <v>0.13483274996336464</v>
      </c>
      <c r="Y709" s="40">
        <f>VLOOKUP(B709,'Player Data'!$A1:$AE734,13,FALSE)*$Q709</f>
        <v>2.2282471671698474E-3</v>
      </c>
      <c r="Z709" s="40">
        <f>VLOOKUP(B709,'Player Data'!$A1:$AE734,14,FALSE)*$Q709</f>
        <v>3.7207106538873808E-3</v>
      </c>
      <c r="AA709" s="40">
        <f>VLOOKUP(B709,'Player Data'!$A1:$AE734,15,FALSE)*$Q709</f>
        <v>19.015737967813603</v>
      </c>
      <c r="AB709" s="40">
        <f>VLOOKUP(B709,'Player Data'!$A1:$AE734,16,FALSE)*$Q709</f>
        <v>169.3398286494124</v>
      </c>
      <c r="AC709" s="40">
        <f>VLOOKUP(B709,'Player Data'!$A1:$AE734,17,FALSE)*$Q709*IFERROR((VLOOKUP(P709,Settings!$E$28:$F$33,2,FALSE)+1),1)</f>
        <v>0.6080696630401291</v>
      </c>
      <c r="AD709" s="40">
        <f>VLOOKUP(B709,'Player Data'!$A1:$AE734,18,FALSE)*$Q709</f>
        <v>45.68707036594612</v>
      </c>
      <c r="AE709" s="40">
        <f>VLOOKUP(B709,'Player Data'!$A1:$AE734,19,FALSE)*$Q709*IFERROR((VLOOKUP(P709,Settings!$E$28:$F$33,2,FALSE)+1),1)</f>
        <v>1.1641901091556577</v>
      </c>
      <c r="AF709" s="40">
        <f>VLOOKUP(B709,'Player Data'!$A1:$AE734,20,FALSE)*$Q709</f>
        <v>17.536485417091793</v>
      </c>
      <c r="AG709" s="40">
        <f>VLOOKUP(B709,'Player Data'!$A1:$AE734,21,FALSE)*$Q709</f>
        <v>21.472732403113419</v>
      </c>
      <c r="AH709" s="41">
        <f>VLOOKUP(B709,'Player Data'!$A1:$AE734,22,FALSE)</f>
        <v>0.44954721978579598</v>
      </c>
      <c r="AI709" s="38"/>
      <c r="AJ709" s="42"/>
      <c r="AK709" s="40"/>
      <c r="AL709" s="40"/>
      <c r="AM709" s="40"/>
      <c r="AN709" s="40"/>
      <c r="AO709" s="40"/>
      <c r="AP709" s="40"/>
      <c r="AQ709" s="43"/>
      <c r="AR709" s="44"/>
      <c r="AS709" s="38"/>
    </row>
    <row r="710" spans="1:45" ht="21.2" customHeight="1">
      <c r="A710" s="181">
        <f t="shared" si="63"/>
        <v>709</v>
      </c>
      <c r="B710" s="8" t="s">
        <v>761</v>
      </c>
      <c r="C710" s="31" t="s">
        <v>104</v>
      </c>
      <c r="D710" s="32" t="str">
        <f>VLOOKUP(B710,'Player Data'!A1:D734,4,FALSE)</f>
        <v>LW</v>
      </c>
      <c r="E710" s="48">
        <f>VLOOKUP(B710,LW!A1:C227,3,FALSE)</f>
        <v>213</v>
      </c>
      <c r="F710" s="34" t="str">
        <f>VLOOKUP(B710,'Player Data'!A1:B734,2,FALSE)</f>
        <v>UFA</v>
      </c>
      <c r="G710" s="9">
        <f>VLOOKUP(B710,'Player Data'!A1:D734,3,FALSE)</f>
        <v>29</v>
      </c>
      <c r="H710" s="35">
        <f>IFERROR(VLOOKUP(B710,ADP!A1:G731,7,FALSE)/1000000,VLOOKUP(B710,ADP!A1:G731,7,FALSE))</f>
        <v>1.484</v>
      </c>
      <c r="I710" s="36">
        <f>IF(Settings!$E$15="POINTS",((R710*Q710)*Settings!$B$12)+(S710*Settings!$B$2)+(T710*Settings!$B$3)+(U710*Settings!$B$4)+(V710*Settings!$B$5)+(X710*Settings!$B$9)+(AA710*Settings!$B$6)+(W710*Settings!$B$8)+(AB710*Settings!$B$7)+(AC710*Settings!$B$14)+(AD710*Settings!$B$15)+(AE710*Settings!$B$16)+(AF710*Settings!$B$17)+(AG710*Settings!$B$18)+(Y710*Settings!$B$10)+(Z710*Settings!$B$11),VLOOKUP(B710,'Standard Deviations'!A1:C731,3,FALSE))</f>
        <v>-4.5891289709022089</v>
      </c>
      <c r="J710" s="37">
        <f t="shared" si="64"/>
        <v>-5.596498745002694E-2</v>
      </c>
      <c r="K710" s="183">
        <f>IF(Settings!$E$18="C/LW/RW",VLOOKUP(B710,LW!A1:F227,6,FALSE),VLOOKUP(B710,F!A1:F431,6,FALSE))</f>
        <v>-11.243798015026609</v>
      </c>
      <c r="L710" s="36">
        <f t="shared" si="65"/>
        <v>-7.5766832985354506</v>
      </c>
      <c r="M710" s="52" t="str">
        <f>IF(Settings!$E$9="YAHOO",VLOOKUP(B710,ADP!A1:E731,2,FALSE),IF(Settings!$E$9="ESPN",VLOOKUP(B710,ADP!A1:E731,3,FALSE),IF(Settings!$E$9="FANTRAX",VLOOKUP(B710,ADP!A1:E731,4,FALSE),VLOOKUP(B710,ADP!A1:E731,5,FALSE))))</f>
        <v>-</v>
      </c>
      <c r="N710" s="52" t="str">
        <f t="shared" si="66"/>
        <v>N/A</v>
      </c>
      <c r="O710" s="38"/>
      <c r="P710" s="39" t="str">
        <f>IF(Settings!$E$27="ON",_xlfn.XLOOKUP(B710,ADP!A2:A731,ADP!H2:H731)," ")</f>
        <v xml:space="preserve"> </v>
      </c>
      <c r="Q710" s="40">
        <f>IF(Settings!$E$12="YES",VLOOKUP(B710,'Player Data'!A1:E734,5,FALSE),82)</f>
        <v>82</v>
      </c>
      <c r="R710" s="38">
        <f>VLOOKUP(B710,'Player Data'!$A1:$AE734,6,FALSE)</f>
        <v>10.085870754751401</v>
      </c>
      <c r="S710" s="40">
        <f>VLOOKUP(B710,'Player Data'!$A1:$AE734,7,FALSE)*$Q710*IFERROR((VLOOKUP(P710,Settings!$E$28:$F$33,2,FALSE)+1),1)</f>
        <v>8.2802368922908673</v>
      </c>
      <c r="T710" s="40">
        <f>VLOOKUP(B710,'Player Data'!$A1:$AE734,8,FALSE)*$Q710*IFERROR((VLOOKUP(P710,Settings!$E$28:$F$33,2,FALSE)+1),1)</f>
        <v>7.3456229358256495</v>
      </c>
      <c r="U710" s="40">
        <f t="shared" si="62"/>
        <v>15.625859828116518</v>
      </c>
      <c r="V710" s="40">
        <f>VLOOKUP(B710,'Player Data'!$A1:$AE734,10,FALSE)*$Q710*IFERROR(((VLOOKUP(P710,Settings!$E$28:$F$33,2,FALSE)/2)+1),1)</f>
        <v>89.24251992641679</v>
      </c>
      <c r="W710" s="40">
        <f>VLOOKUP(B710,'Player Data'!$A1:$AE734,11,FALSE)*$Q710*IFERROR((VLOOKUP(P710,Settings!$E$28:$F$33,2,FALSE)+1),1)</f>
        <v>4.8870215858261769E-2</v>
      </c>
      <c r="X710" s="40">
        <f>VLOOKUP(B710,'Player Data'!$A1:$AE734,12,FALSE)*$Q710*IFERROR((VLOOKUP(P710,Settings!$E$28:$F$33,2,FALSE)+1),1)</f>
        <v>0.1250072591948703</v>
      </c>
      <c r="Y710" s="40">
        <f>VLOOKUP(B710,'Player Data'!$A1:$AE734,13,FALSE)*$Q710</f>
        <v>0</v>
      </c>
      <c r="Z710" s="40">
        <f>VLOOKUP(B710,'Player Data'!$A1:$AE734,14,FALSE)*$Q710</f>
        <v>0</v>
      </c>
      <c r="AA710" s="40">
        <f>VLOOKUP(B710,'Player Data'!$A1:$AE734,15,FALSE)*$Q710</f>
        <v>38.258844331560773</v>
      </c>
      <c r="AB710" s="40">
        <f>VLOOKUP(B710,'Player Data'!$A1:$AE734,16,FALSE)*$Q710</f>
        <v>175.97374018229624</v>
      </c>
      <c r="AC710" s="40">
        <f>VLOOKUP(B710,'Player Data'!$A1:$AE734,17,FALSE)*$Q710*IFERROR((VLOOKUP(P710,Settings!$E$28:$F$33,2,FALSE)+1),1)</f>
        <v>-0.41313974006667975</v>
      </c>
      <c r="AD710" s="40">
        <f>VLOOKUP(B710,'Player Data'!$A1:$AE734,18,FALSE)*$Q710</f>
        <v>23.139967402172761</v>
      </c>
      <c r="AE710" s="40">
        <f>VLOOKUP(B710,'Player Data'!$A1:$AE734,19,FALSE)*$Q710*IFERROR((VLOOKUP(P710,Settings!$E$28:$F$33,2,FALSE)+1),1)</f>
        <v>0</v>
      </c>
      <c r="AF710" s="40">
        <f>VLOOKUP(B710,'Player Data'!$A1:$AE734,20,FALSE)*$Q710</f>
        <v>6.5871342165517097</v>
      </c>
      <c r="AG710" s="40">
        <f>VLOOKUP(B710,'Player Data'!$A1:$AE734,21,FALSE)*$Q710</f>
        <v>7.1867893884185978</v>
      </c>
      <c r="AH710" s="41">
        <f>VLOOKUP(B710,'Player Data'!$A1:$AE734,22,FALSE)</f>
        <v>0.478232231096065</v>
      </c>
      <c r="AI710" s="38"/>
      <c r="AJ710" s="42"/>
      <c r="AK710" s="40"/>
      <c r="AL710" s="40"/>
      <c r="AM710" s="40"/>
      <c r="AN710" s="40"/>
      <c r="AO710" s="40"/>
      <c r="AP710" s="40"/>
      <c r="AQ710" s="43"/>
      <c r="AR710" s="44"/>
      <c r="AS710" s="38"/>
    </row>
    <row r="711" spans="1:45" ht="21.2" customHeight="1">
      <c r="A711" s="181">
        <f t="shared" si="63"/>
        <v>710</v>
      </c>
      <c r="B711" s="8" t="s">
        <v>744</v>
      </c>
      <c r="C711" s="31" t="s">
        <v>104</v>
      </c>
      <c r="D711" s="32" t="str">
        <f>VLOOKUP(B711,'Player Data'!A1:D734,4,FALSE)</f>
        <v>LW</v>
      </c>
      <c r="E711" s="48">
        <f>VLOOKUP(B711,LW!A1:C227,3,FALSE)</f>
        <v>214</v>
      </c>
      <c r="F711" s="34" t="str">
        <f>VLOOKUP(B711,'Player Data'!A1:B734,2,FALSE)</f>
        <v>COL</v>
      </c>
      <c r="G711" s="9">
        <f>VLOOKUP(B711,'Player Data'!A1:D734,3,FALSE)</f>
        <v>36</v>
      </c>
      <c r="H711" s="35">
        <f>IFERROR(VLOOKUP(B711,ADP!A1:G731,7,FALSE)/1000000,VLOOKUP(B711,ADP!A1:G731,7,FALSE))</f>
        <v>0.82499999999999996</v>
      </c>
      <c r="I711" s="36">
        <f>IF(Settings!$E$15="POINTS",((R711*Q711)*Settings!$B$12)+(S711*Settings!$B$2)+(T711*Settings!$B$3)+(U711*Settings!$B$4)+(V711*Settings!$B$5)+(X711*Settings!$B$9)+(AA711*Settings!$B$6)+(W711*Settings!$B$8)+(AB711*Settings!$B$7)+(AC711*Settings!$B$14)+(AD711*Settings!$B$15)+(AE711*Settings!$B$16)+(AF711*Settings!$B$17)+(AG711*Settings!$B$18)+(Y711*Settings!$B$10)+(Z711*Settings!$B$11),VLOOKUP(B711,'Standard Deviations'!A1:C731,3,FALSE))</f>
        <v>-4.595605541407366</v>
      </c>
      <c r="J711" s="37">
        <f t="shared" si="64"/>
        <v>-5.6043970017162999E-2</v>
      </c>
      <c r="K711" s="183">
        <f>IF(Settings!$E$18="C/LW/RW",VLOOKUP(B711,LW!A1:F227,6,FALSE),VLOOKUP(B711,F!A1:F431,6,FALSE))</f>
        <v>-11.250274585531766</v>
      </c>
      <c r="L711" s="36">
        <f t="shared" si="65"/>
        <v>-13.636696467311232</v>
      </c>
      <c r="M711" s="52" t="str">
        <f>IF(Settings!$E$9="YAHOO",VLOOKUP(B711,ADP!A1:E731,2,FALSE),IF(Settings!$E$9="ESPN",VLOOKUP(B711,ADP!A1:E731,3,FALSE),IF(Settings!$E$9="FANTRAX",VLOOKUP(B711,ADP!A1:E731,4,FALSE),VLOOKUP(B711,ADP!A1:E731,5,FALSE))))</f>
        <v>-</v>
      </c>
      <c r="N711" s="52" t="str">
        <f t="shared" si="66"/>
        <v>N/A</v>
      </c>
      <c r="O711" s="38"/>
      <c r="P711" s="39" t="str">
        <f>IF(Settings!$E$27="ON",_xlfn.XLOOKUP(B711,ADP!A2:A731,ADP!H2:H731)," ")</f>
        <v xml:space="preserve"> </v>
      </c>
      <c r="Q711" s="40">
        <f>IF(Settings!$E$12="YES",VLOOKUP(B711,'Player Data'!A1:E734,5,FALSE),82)</f>
        <v>82</v>
      </c>
      <c r="R711" s="38">
        <f>VLOOKUP(B711,'Player Data'!$A1:$AE734,6,FALSE)</f>
        <v>12.5882683234694</v>
      </c>
      <c r="S711" s="40">
        <f>VLOOKUP(B711,'Player Data'!$A1:$AE734,7,FALSE)*$Q711*IFERROR((VLOOKUP(P711,Settings!$E$28:$F$33,2,FALSE)+1),1)</f>
        <v>6.4037486739052127</v>
      </c>
      <c r="T711" s="40">
        <f>VLOOKUP(B711,'Player Data'!$A1:$AE734,8,FALSE)*$Q711*IFERROR((VLOOKUP(P711,Settings!$E$28:$F$33,2,FALSE)+1),1)</f>
        <v>9.1973553324077848</v>
      </c>
      <c r="U711" s="40">
        <f t="shared" si="62"/>
        <v>15.601104006312998</v>
      </c>
      <c r="V711" s="40">
        <f>VLOOKUP(B711,'Player Data'!$A1:$AE734,10,FALSE)*$Q711*IFERROR(((VLOOKUP(P711,Settings!$E$28:$F$33,2,FALSE)/2)+1),1)</f>
        <v>92.061407987885673</v>
      </c>
      <c r="W711" s="40">
        <f>VLOOKUP(B711,'Player Data'!$A1:$AE734,11,FALSE)*$Q711*IFERROR((VLOOKUP(P711,Settings!$E$28:$F$33,2,FALSE)+1),1)</f>
        <v>1.9195213772673358E-2</v>
      </c>
      <c r="X711" s="40">
        <f>VLOOKUP(B711,'Player Data'!$A1:$AE734,12,FALSE)*$Q711*IFERROR((VLOOKUP(P711,Settings!$E$28:$F$33,2,FALSE)+1),1)</f>
        <v>5.2767547639182927E-2</v>
      </c>
      <c r="Y711" s="40">
        <f>VLOOKUP(B711,'Player Data'!$A1:$AE734,13,FALSE)*$Q711</f>
        <v>0.37681265292658206</v>
      </c>
      <c r="Z711" s="40">
        <f>VLOOKUP(B711,'Player Data'!$A1:$AE734,14,FALSE)*$Q711</f>
        <v>1.5554243535196828</v>
      </c>
      <c r="AA711" s="40">
        <f>VLOOKUP(B711,'Player Data'!$A1:$AE734,15,FALSE)*$Q711</f>
        <v>48.121213175683792</v>
      </c>
      <c r="AB711" s="40">
        <f>VLOOKUP(B711,'Player Data'!$A1:$AE734,16,FALSE)*$Q711</f>
        <v>83.242909549234497</v>
      </c>
      <c r="AC711" s="40">
        <f>VLOOKUP(B711,'Player Data'!$A1:$AE734,17,FALSE)*$Q711*IFERROR((VLOOKUP(P711,Settings!$E$28:$F$33,2,FALSE)+1),1)</f>
        <v>2.4168910801831935</v>
      </c>
      <c r="AD711" s="40">
        <f>VLOOKUP(B711,'Player Data'!$A1:$AE734,18,FALSE)*$Q711</f>
        <v>30.034225509030836</v>
      </c>
      <c r="AE711" s="40">
        <f>VLOOKUP(B711,'Player Data'!$A1:$AE734,19,FALSE)*$Q711*IFERROR((VLOOKUP(P711,Settings!$E$28:$F$33,2,FALSE)+1),1)</f>
        <v>1.0131695238273635</v>
      </c>
      <c r="AF711" s="40">
        <f>VLOOKUP(B711,'Player Data'!$A1:$AE734,20,FALSE)*$Q711</f>
        <v>23.700342741912976</v>
      </c>
      <c r="AG711" s="40">
        <f>VLOOKUP(B711,'Player Data'!$A1:$AE734,21,FALSE)*$Q711</f>
        <v>35.724386155160317</v>
      </c>
      <c r="AH711" s="41">
        <f>VLOOKUP(B711,'Player Data'!$A1:$AE734,22,FALSE)</f>
        <v>0.39882963173400798</v>
      </c>
      <c r="AI711" s="38"/>
      <c r="AJ711" s="40"/>
      <c r="AK711" s="40"/>
      <c r="AL711" s="40"/>
      <c r="AM711" s="40"/>
      <c r="AN711" s="40"/>
      <c r="AO711" s="40"/>
      <c r="AP711" s="40"/>
      <c r="AQ711" s="43"/>
      <c r="AR711" s="44"/>
      <c r="AS711" s="38"/>
    </row>
    <row r="712" spans="1:45" ht="21.2" customHeight="1">
      <c r="A712" s="181">
        <f t="shared" si="63"/>
        <v>711</v>
      </c>
      <c r="B712" s="8" t="s">
        <v>805</v>
      </c>
      <c r="C712" s="31" t="s">
        <v>104</v>
      </c>
      <c r="D712" s="32" t="str">
        <f>VLOOKUP(B712,'Player Data'!A1:D734,4,FALSE)</f>
        <v>LW</v>
      </c>
      <c r="E712" s="48">
        <f>VLOOKUP(B712,LW!A1:C227,3,FALSE)</f>
        <v>215</v>
      </c>
      <c r="F712" s="34" t="str">
        <f>VLOOKUP(B712,'Player Data'!A1:B734,2,FALSE)</f>
        <v>COL</v>
      </c>
      <c r="G712" s="9">
        <f>VLOOKUP(B712,'Player Data'!A1:D734,3,FALSE)</f>
        <v>27</v>
      </c>
      <c r="H712" s="35">
        <f>IFERROR(VLOOKUP(B712,ADP!A1:G731,7,FALSE)/1000000,VLOOKUP(B712,ADP!A1:G731,7,FALSE))</f>
        <v>0.79400000000000004</v>
      </c>
      <c r="I712" s="36">
        <f>IF(Settings!$E$15="POINTS",((R712*Q712)*Settings!$B$12)+(S712*Settings!$B$2)+(T712*Settings!$B$3)+(U712*Settings!$B$4)+(V712*Settings!$B$5)+(X712*Settings!$B$9)+(AA712*Settings!$B$6)+(W712*Settings!$B$8)+(AB712*Settings!$B$7)+(AC712*Settings!$B$14)+(AD712*Settings!$B$15)+(AE712*Settings!$B$16)+(AF712*Settings!$B$17)+(AG712*Settings!$B$18)+(Y712*Settings!$B$10)+(Z712*Settings!$B$11),VLOOKUP(B712,'Standard Deviations'!A1:C731,3,FALSE))</f>
        <v>-4.5970335044850152</v>
      </c>
      <c r="J712" s="37">
        <f t="shared" si="64"/>
        <v>-5.6061384201036769E-2</v>
      </c>
      <c r="K712" s="183">
        <f>IF(Settings!$E$18="C/LW/RW",VLOOKUP(B712,LW!A1:F227,6,FALSE),VLOOKUP(B712,F!A1:F431,6,FALSE))</f>
        <v>-11.251702548609416</v>
      </c>
      <c r="L712" s="36">
        <f t="shared" si="65"/>
        <v>-14.170910010843093</v>
      </c>
      <c r="M712" s="52" t="str">
        <f>IF(Settings!$E$9="YAHOO",VLOOKUP(B712,ADP!A1:E731,2,FALSE),IF(Settings!$E$9="ESPN",VLOOKUP(B712,ADP!A1:E731,3,FALSE),IF(Settings!$E$9="FANTRAX",VLOOKUP(B712,ADP!A1:E731,4,FALSE),VLOOKUP(B712,ADP!A1:E731,5,FALSE))))</f>
        <v>-</v>
      </c>
      <c r="N712" s="52" t="str">
        <f t="shared" si="66"/>
        <v>N/A</v>
      </c>
      <c r="O712" s="38"/>
      <c r="P712" s="39" t="str">
        <f>IF(Settings!$E$27="ON",_xlfn.XLOOKUP(B712,ADP!A2:A731,ADP!H2:H731)," ")</f>
        <v xml:space="preserve"> </v>
      </c>
      <c r="Q712" s="40">
        <f>IF(Settings!$E$12="YES",VLOOKUP(B712,'Player Data'!A1:E734,5,FALSE),82)</f>
        <v>82</v>
      </c>
      <c r="R712" s="38">
        <f>VLOOKUP(B712,'Player Data'!$A1:$AE734,6,FALSE)</f>
        <v>10.207489294185599</v>
      </c>
      <c r="S712" s="40">
        <f>VLOOKUP(B712,'Player Data'!$A1:$AE734,7,FALSE)*$Q712*IFERROR((VLOOKUP(P712,Settings!$E$28:$F$33,2,FALSE)+1),1)</f>
        <v>5.5850050077842983</v>
      </c>
      <c r="T712" s="40">
        <f>VLOOKUP(B712,'Player Data'!$A1:$AE734,8,FALSE)*$Q712*IFERROR((VLOOKUP(P712,Settings!$E$28:$F$33,2,FALSE)+1),1)</f>
        <v>9.634119657594983</v>
      </c>
      <c r="U712" s="40">
        <f t="shared" si="62"/>
        <v>15.219124665379281</v>
      </c>
      <c r="V712" s="40">
        <f>VLOOKUP(B712,'Player Data'!$A1:$AE734,10,FALSE)*$Q712*IFERROR(((VLOOKUP(P712,Settings!$E$28:$F$33,2,FALSE)/2)+1),1)</f>
        <v>95.2867195339565</v>
      </c>
      <c r="W712" s="40">
        <f>VLOOKUP(B712,'Player Data'!$A1:$AE734,11,FALSE)*$Q712*IFERROR((VLOOKUP(P712,Settings!$E$28:$F$33,2,FALSE)+1),1)</f>
        <v>5.3162192715184207E-2</v>
      </c>
      <c r="X712" s="40">
        <f>VLOOKUP(B712,'Player Data'!$A1:$AE734,12,FALSE)*$Q712*IFERROR((VLOOKUP(P712,Settings!$E$28:$F$33,2,FALSE)+1),1)</f>
        <v>0.1332031599678638</v>
      </c>
      <c r="Y712" s="40">
        <f>VLOOKUP(B712,'Player Data'!$A1:$AE734,13,FALSE)*$Q712</f>
        <v>0</v>
      </c>
      <c r="Z712" s="40">
        <f>VLOOKUP(B712,'Player Data'!$A1:$AE734,14,FALSE)*$Q712</f>
        <v>0</v>
      </c>
      <c r="AA712" s="40">
        <f>VLOOKUP(B712,'Player Data'!$A1:$AE734,15,FALSE)*$Q712</f>
        <v>27.209995592487296</v>
      </c>
      <c r="AB712" s="40">
        <f>VLOOKUP(B712,'Player Data'!$A1:$AE734,16,FALSE)*$Q712</f>
        <v>106.72541588543828</v>
      </c>
      <c r="AC712" s="40">
        <f>VLOOKUP(B712,'Player Data'!$A1:$AE734,17,FALSE)*$Q712*IFERROR((VLOOKUP(P712,Settings!$E$28:$F$33,2,FALSE)+1),1)</f>
        <v>4.0286764369841404</v>
      </c>
      <c r="AD712" s="40">
        <f>VLOOKUP(B712,'Player Data'!$A1:$AE734,18,FALSE)*$Q712</f>
        <v>15.951932469208183</v>
      </c>
      <c r="AE712" s="40">
        <f>VLOOKUP(B712,'Player Data'!$A1:$AE734,19,FALSE)*$Q712*IFERROR((VLOOKUP(P712,Settings!$E$28:$F$33,2,FALSE)+1),1)</f>
        <v>0.88363194004918499</v>
      </c>
      <c r="AF712" s="40">
        <f>VLOOKUP(B712,'Player Data'!$A1:$AE734,20,FALSE)*$Q712</f>
        <v>8.7875498385639741</v>
      </c>
      <c r="AG712" s="40">
        <f>VLOOKUP(B712,'Player Data'!$A1:$AE734,21,FALSE)*$Q712</f>
        <v>14.645916397606596</v>
      </c>
      <c r="AH712" s="41">
        <f>VLOOKUP(B712,'Player Data'!$A1:$AE734,22,FALSE)</f>
        <v>0.375</v>
      </c>
      <c r="AI712" s="38"/>
      <c r="AJ712" s="42"/>
      <c r="AK712" s="40"/>
      <c r="AL712" s="40"/>
      <c r="AM712" s="40"/>
      <c r="AN712" s="40"/>
      <c r="AO712" s="40"/>
      <c r="AP712" s="40"/>
      <c r="AQ712" s="43"/>
      <c r="AR712" s="44"/>
      <c r="AS712" s="42"/>
    </row>
    <row r="713" spans="1:45" ht="21.2" customHeight="1">
      <c r="A713" s="181">
        <f t="shared" si="63"/>
        <v>712</v>
      </c>
      <c r="B713" s="8" t="s">
        <v>806</v>
      </c>
      <c r="C713" s="31" t="s">
        <v>104</v>
      </c>
      <c r="D713" s="32" t="str">
        <f>VLOOKUP(B713,'Player Data'!A1:D734,4,FALSE)</f>
        <v>LW</v>
      </c>
      <c r="E713" s="48">
        <f>VLOOKUP(B713,LW!A1:C227,3,FALSE)</f>
        <v>216</v>
      </c>
      <c r="F713" s="34" t="str">
        <f>VLOOKUP(B713,'Player Data'!A1:B734,2,FALSE)</f>
        <v>FLA</v>
      </c>
      <c r="G713" s="9">
        <f>VLOOKUP(B713,'Player Data'!A1:D734,3,FALSE)</f>
        <v>23</v>
      </c>
      <c r="H713" s="35">
        <f>IFERROR(VLOOKUP(B713,ADP!A1:G731,7,FALSE)/1000000,VLOOKUP(B713,ADP!A1:G731,7,FALSE))</f>
        <v>0</v>
      </c>
      <c r="I713" s="36">
        <f>IF(Settings!$E$15="POINTS",((R713*Q713)*Settings!$B$12)+(S713*Settings!$B$2)+(T713*Settings!$B$3)+(U713*Settings!$B$4)+(V713*Settings!$B$5)+(X713*Settings!$B$9)+(AA713*Settings!$B$6)+(W713*Settings!$B$8)+(AB713*Settings!$B$7)+(AC713*Settings!$B$14)+(AD713*Settings!$B$15)+(AE713*Settings!$B$16)+(AF713*Settings!$B$17)+(AG713*Settings!$B$18)+(Y713*Settings!$B$10)+(Z713*Settings!$B$11),VLOOKUP(B713,'Standard Deviations'!A1:C731,3,FALSE))</f>
        <v>-4.6018728336189882</v>
      </c>
      <c r="J713" s="37">
        <f t="shared" si="64"/>
        <v>-5.6120400409987663E-2</v>
      </c>
      <c r="K713" s="183">
        <f>IF(Settings!$E$18="C/LW/RW",VLOOKUP(B713,LW!A1:F227,6,FALSE),VLOOKUP(B713,F!A1:F431,6,FALSE))</f>
        <v>-11.256541877743389</v>
      </c>
      <c r="L713" s="49" t="str">
        <f t="shared" si="65"/>
        <v>N/A</v>
      </c>
      <c r="M713" s="52" t="str">
        <f>IF(Settings!$E$9="YAHOO",VLOOKUP(B713,ADP!A1:E731,2,FALSE),IF(Settings!$E$9="ESPN",VLOOKUP(B713,ADP!A1:E731,3,FALSE),IF(Settings!$E$9="FANTRAX",VLOOKUP(B713,ADP!A1:E731,4,FALSE),VLOOKUP(B713,ADP!A1:E731,5,FALSE))))</f>
        <v>-</v>
      </c>
      <c r="N713" s="52" t="str">
        <f t="shared" si="66"/>
        <v>N/A</v>
      </c>
      <c r="O713" s="38"/>
      <c r="P713" s="39" t="str">
        <f>IF(Settings!$E$27="ON",_xlfn.XLOOKUP(B713,ADP!A2:A731,ADP!H2:H731)," ")</f>
        <v xml:space="preserve"> </v>
      </c>
      <c r="Q713" s="40">
        <f>IF(Settings!$E$12="YES",VLOOKUP(B713,'Player Data'!A1:E734,5,FALSE),82)</f>
        <v>82</v>
      </c>
      <c r="R713" s="38">
        <f>VLOOKUP(B713,'Player Data'!$A1:$AE734,6,FALSE)</f>
        <v>9.6011754183604392</v>
      </c>
      <c r="S713" s="40">
        <f>VLOOKUP(B713,'Player Data'!$A1:$AE734,7,FALSE)*$Q713*IFERROR((VLOOKUP(P713,Settings!$E$28:$F$33,2,FALSE)+1),1)</f>
        <v>5.2443835992305035</v>
      </c>
      <c r="T713" s="40">
        <f>VLOOKUP(B713,'Player Data'!$A1:$AE734,8,FALSE)*$Q713*IFERROR((VLOOKUP(P713,Settings!$E$28:$F$33,2,FALSE)+1),1)</f>
        <v>12.657633974188416</v>
      </c>
      <c r="U713" s="40">
        <f t="shared" si="62"/>
        <v>17.90201757341892</v>
      </c>
      <c r="V713" s="40">
        <f>VLOOKUP(B713,'Player Data'!$A1:$AE734,10,FALSE)*$Q713*IFERROR(((VLOOKUP(P713,Settings!$E$28:$F$33,2,FALSE)/2)+1),1)</f>
        <v>75.562010903547474</v>
      </c>
      <c r="W713" s="40">
        <f>VLOOKUP(B713,'Player Data'!$A1:$AE734,11,FALSE)*$Q713*IFERROR((VLOOKUP(P713,Settings!$E$28:$F$33,2,FALSE)+1),1)</f>
        <v>0.14005151020566592</v>
      </c>
      <c r="X713" s="40">
        <f>VLOOKUP(B713,'Player Data'!$A1:$AE734,12,FALSE)*$Q713*IFERROR((VLOOKUP(P713,Settings!$E$28:$F$33,2,FALSE)+1),1)</f>
        <v>0.34365020746245872</v>
      </c>
      <c r="Y713" s="40">
        <f>VLOOKUP(B713,'Player Data'!$A1:$AE734,13,FALSE)*$Q713</f>
        <v>0</v>
      </c>
      <c r="Z713" s="40">
        <f>VLOOKUP(B713,'Player Data'!$A1:$AE734,14,FALSE)*$Q713</f>
        <v>0</v>
      </c>
      <c r="AA713" s="40">
        <f>VLOOKUP(B713,'Player Data'!$A1:$AE734,15,FALSE)*$Q713</f>
        <v>33.695107432973018</v>
      </c>
      <c r="AB713" s="40">
        <f>VLOOKUP(B713,'Player Data'!$A1:$AE734,16,FALSE)*$Q713</f>
        <v>104.85192285875927</v>
      </c>
      <c r="AC713" s="40">
        <f>VLOOKUP(B713,'Player Data'!$A1:$AE734,17,FALSE)*$Q713*IFERROR((VLOOKUP(P713,Settings!$E$28:$F$33,2,FALSE)+1),1)</f>
        <v>1.6374106911337738</v>
      </c>
      <c r="AD713" s="40">
        <f>VLOOKUP(B713,'Player Data'!$A1:$AE734,18,FALSE)*$Q713</f>
        <v>20.475070257685815</v>
      </c>
      <c r="AE713" s="40">
        <f>VLOOKUP(B713,'Player Data'!$A1:$AE734,19,FALSE)*$Q713*IFERROR((VLOOKUP(P713,Settings!$E$28:$F$33,2,FALSE)+1),1)</f>
        <v>0.75231878965819599</v>
      </c>
      <c r="AF713" s="40">
        <f>VLOOKUP(B713,'Player Data'!$A1:$AE734,20,FALSE)*$Q713</f>
        <v>0.16731736106206582</v>
      </c>
      <c r="AG713" s="40">
        <f>VLOOKUP(B713,'Player Data'!$A1:$AE734,21,FALSE)*$Q713</f>
        <v>1.4664981263898709</v>
      </c>
      <c r="AH713" s="41">
        <f>VLOOKUP(B713,'Player Data'!$A1:$AE734,22,FALSE)</f>
        <v>0.10240896989109299</v>
      </c>
      <c r="AI713" s="38"/>
      <c r="AJ713" s="42"/>
      <c r="AK713" s="40"/>
      <c r="AL713" s="40"/>
      <c r="AM713" s="40"/>
      <c r="AN713" s="40"/>
      <c r="AO713" s="40"/>
      <c r="AP713" s="40"/>
      <c r="AQ713" s="43"/>
      <c r="AR713" s="44"/>
      <c r="AS713" s="38"/>
    </row>
    <row r="714" spans="1:45" ht="21.2" customHeight="1">
      <c r="A714" s="181">
        <f t="shared" si="63"/>
        <v>713</v>
      </c>
      <c r="B714" s="8" t="s">
        <v>820</v>
      </c>
      <c r="C714" s="31" t="s">
        <v>104</v>
      </c>
      <c r="D714" s="32" t="str">
        <f>VLOOKUP(B714,'Player Data'!A1:D734,4,FALSE)</f>
        <v>C</v>
      </c>
      <c r="E714" s="33">
        <f>VLOOKUP(B714,'C'!A1:C208,3,FALSE)</f>
        <v>199</v>
      </c>
      <c r="F714" s="34" t="str">
        <f>VLOOKUP(B714,'Player Data'!A1:B734,2,FALSE)</f>
        <v>EDM</v>
      </c>
      <c r="G714" s="9">
        <f>VLOOKUP(B714,'Player Data'!A1:D734,3,FALSE)</f>
        <v>26</v>
      </c>
      <c r="H714" s="35">
        <f>IFERROR(VLOOKUP(B714,ADP!A1:G731,7,FALSE)/1000000,VLOOKUP(B714,ADP!A1:G731,7,FALSE))</f>
        <v>0.83130000000000004</v>
      </c>
      <c r="I714" s="36">
        <f>IF(Settings!$E$15="POINTS",((R714*Q714)*Settings!$B$12)+(S714*Settings!$B$2)+(T714*Settings!$B$3)+(U714*Settings!$B$4)+(V714*Settings!$B$5)+(X714*Settings!$B$9)+(AA714*Settings!$B$6)+(W714*Settings!$B$8)+(AB714*Settings!$B$7)+(AC714*Settings!$B$14)+(AD714*Settings!$B$15)+(AE714*Settings!$B$16)+(AF714*Settings!$B$17)+(AG714*Settings!$B$18)+(Y714*Settings!$B$10)+(Z714*Settings!$B$11),VLOOKUP(B714,'Standard Deviations'!A1:C731,3,FALSE))</f>
        <v>-5.0059760238281346</v>
      </c>
      <c r="J714" s="37">
        <f t="shared" si="64"/>
        <v>-6.1048488095465057E-2</v>
      </c>
      <c r="K714" s="183">
        <f>IF(Settings!$E$18="C/LW/RW",VLOOKUP(B714,'C'!A1:F208,6,FALSE),VLOOKUP(B714,F!A1:F431,6,FALSE))</f>
        <v>-11.343026748034738</v>
      </c>
      <c r="L714" s="36">
        <f t="shared" si="65"/>
        <v>-13.644925716389675</v>
      </c>
      <c r="M714" s="52" t="str">
        <f>IF(Settings!$E$9="YAHOO",VLOOKUP(B714,ADP!A1:E731,2,FALSE),IF(Settings!$E$9="ESPN",VLOOKUP(B714,ADP!A1:E731,3,FALSE),IF(Settings!$E$9="FANTRAX",VLOOKUP(B714,ADP!A1:E731,4,FALSE),VLOOKUP(B714,ADP!A1:E731,5,FALSE))))</f>
        <v>-</v>
      </c>
      <c r="N714" s="52" t="str">
        <f t="shared" si="66"/>
        <v>N/A</v>
      </c>
      <c r="O714" s="38"/>
      <c r="P714" s="39" t="str">
        <f>IF(Settings!$E$27="ON",_xlfn.XLOOKUP(B714,ADP!A2:A731,ADP!H2:H731)," ")</f>
        <v xml:space="preserve"> </v>
      </c>
      <c r="Q714" s="40">
        <f>IF(Settings!$E$12="YES",VLOOKUP(B714,'Player Data'!A1:E734,5,FALSE),82)</f>
        <v>82</v>
      </c>
      <c r="R714" s="38">
        <f>VLOOKUP(B714,'Player Data'!$A1:$AE734,6,FALSE)</f>
        <v>9.8493333717385507</v>
      </c>
      <c r="S714" s="40">
        <f>VLOOKUP(B714,'Player Data'!$A1:$AE734,7,FALSE)*$Q714*IFERROR((VLOOKUP(P714,Settings!$E$28:$F$33,2,FALSE)+1),1)</f>
        <v>6.1769792194475928</v>
      </c>
      <c r="T714" s="40">
        <f>VLOOKUP(B714,'Player Data'!$A1:$AE734,8,FALSE)*$Q714*IFERROR((VLOOKUP(P714,Settings!$E$28:$F$33,2,FALSE)+1),1)</f>
        <v>8.4532866046748403</v>
      </c>
      <c r="U714" s="40">
        <f t="shared" si="62"/>
        <v>14.630265824122432</v>
      </c>
      <c r="V714" s="40">
        <f>VLOOKUP(B714,'Player Data'!$A1:$AE734,10,FALSE)*$Q714*IFERROR(((VLOOKUP(P714,Settings!$E$28:$F$33,2,FALSE)/2)+1),1)</f>
        <v>71.194274230722286</v>
      </c>
      <c r="W714" s="40">
        <f>VLOOKUP(B714,'Player Data'!$A1:$AE734,11,FALSE)*$Q714*IFERROR((VLOOKUP(P714,Settings!$E$28:$F$33,2,FALSE)+1),1)</f>
        <v>0.22382089153833823</v>
      </c>
      <c r="X714" s="40">
        <f>VLOOKUP(B714,'Player Data'!$A1:$AE734,12,FALSE)*$Q714*IFERROR((VLOOKUP(P714,Settings!$E$28:$F$33,2,FALSE)+1),1)</f>
        <v>0.63506174075271415</v>
      </c>
      <c r="Y714" s="40">
        <f>VLOOKUP(B714,'Player Data'!$A1:$AE734,13,FALSE)*$Q714</f>
        <v>9.7827677204524219E-2</v>
      </c>
      <c r="Z714" s="40">
        <f>VLOOKUP(B714,'Player Data'!$A1:$AE734,14,FALSE)*$Q714</f>
        <v>0.18592453814695331</v>
      </c>
      <c r="AA714" s="40">
        <f>VLOOKUP(B714,'Player Data'!$A1:$AE734,15,FALSE)*$Q714</f>
        <v>28.936387234728532</v>
      </c>
      <c r="AB714" s="40">
        <f>VLOOKUP(B714,'Player Data'!$A1:$AE734,16,FALSE)*$Q714</f>
        <v>150.15825321025102</v>
      </c>
      <c r="AC714" s="40">
        <f>VLOOKUP(B714,'Player Data'!$A1:$AE734,17,FALSE)*$Q714*IFERROR((VLOOKUP(P714,Settings!$E$28:$F$33,2,FALSE)+1),1)</f>
        <v>4.3940115899409973</v>
      </c>
      <c r="AD714" s="40">
        <f>VLOOKUP(B714,'Player Data'!$A1:$AE734,18,FALSE)*$Q714</f>
        <v>32.71597715261187</v>
      </c>
      <c r="AE714" s="40">
        <f>VLOOKUP(B714,'Player Data'!$A1:$AE734,19,FALSE)*$Q714*IFERROR((VLOOKUP(P714,Settings!$E$28:$F$33,2,FALSE)+1),1)</f>
        <v>0.97774949671874511</v>
      </c>
      <c r="AF714" s="40">
        <f>VLOOKUP(B714,'Player Data'!$A1:$AE734,20,FALSE)*$Q714</f>
        <v>172.94653303589305</v>
      </c>
      <c r="AG714" s="40">
        <f>VLOOKUP(B714,'Player Data'!$A1:$AE734,21,FALSE)*$Q714</f>
        <v>185.21147587121933</v>
      </c>
      <c r="AH714" s="41">
        <f>VLOOKUP(B714,'Player Data'!$A1:$AE734,22,FALSE)</f>
        <v>0.48287774874453998</v>
      </c>
      <c r="AI714" s="38"/>
      <c r="AJ714" s="42"/>
      <c r="AK714" s="40"/>
      <c r="AL714" s="40"/>
      <c r="AM714" s="40"/>
      <c r="AN714" s="40"/>
      <c r="AO714" s="40"/>
      <c r="AP714" s="40"/>
      <c r="AQ714" s="43"/>
      <c r="AR714" s="44"/>
      <c r="AS714" s="38"/>
    </row>
    <row r="715" spans="1:45" ht="21.2" customHeight="1">
      <c r="A715" s="181">
        <f t="shared" si="63"/>
        <v>714</v>
      </c>
      <c r="B715" s="8" t="s">
        <v>791</v>
      </c>
      <c r="C715" s="31" t="s">
        <v>104</v>
      </c>
      <c r="D715" s="32" t="str">
        <f>VLOOKUP(B715,'Player Data'!A1:D734,4,FALSE)</f>
        <v>LW</v>
      </c>
      <c r="E715" s="48">
        <f>VLOOKUP(B715,LW!A1:C227,3,FALSE)</f>
        <v>217</v>
      </c>
      <c r="F715" s="34" t="str">
        <f>VLOOKUP(B715,'Player Data'!A1:B734,2,FALSE)</f>
        <v>STL</v>
      </c>
      <c r="G715" s="9">
        <f>VLOOKUP(B715,'Player Data'!A1:D734,3,FALSE)</f>
        <v>29</v>
      </c>
      <c r="H715" s="35">
        <f>IFERROR(VLOOKUP(B715,ADP!A1:G731,7,FALSE)/1000000,VLOOKUP(B715,ADP!A1:G731,7,FALSE))</f>
        <v>0.77500000000000002</v>
      </c>
      <c r="I715" s="36">
        <f>IF(Settings!$E$15="POINTS",((R715*Q715)*Settings!$B$12)+(S715*Settings!$B$2)+(T715*Settings!$B$3)+(U715*Settings!$B$4)+(V715*Settings!$B$5)+(X715*Settings!$B$9)+(AA715*Settings!$B$6)+(W715*Settings!$B$8)+(AB715*Settings!$B$7)+(AC715*Settings!$B$14)+(AD715*Settings!$B$15)+(AE715*Settings!$B$16)+(AF715*Settings!$B$17)+(AG715*Settings!$B$18)+(Y715*Settings!$B$10)+(Z715*Settings!$B$11),VLOOKUP(B715,'Standard Deviations'!A1:C731,3,FALSE))</f>
        <v>-4.706783555182799</v>
      </c>
      <c r="J715" s="37">
        <f t="shared" si="64"/>
        <v>-5.7399799453448766E-2</v>
      </c>
      <c r="K715" s="183">
        <f>IF(Settings!$E$18="C/LW/RW",VLOOKUP(B715,LW!A1:F227,6,FALSE),VLOOKUP(B715,F!A1:F431,6,FALSE))</f>
        <v>-11.361452599307199</v>
      </c>
      <c r="L715" s="36">
        <f t="shared" si="65"/>
        <v>-14.659938837815741</v>
      </c>
      <c r="M715" s="52" t="str">
        <f>IF(Settings!$E$9="YAHOO",VLOOKUP(B715,ADP!A1:E731,2,FALSE),IF(Settings!$E$9="ESPN",VLOOKUP(B715,ADP!A1:E731,3,FALSE),IF(Settings!$E$9="FANTRAX",VLOOKUP(B715,ADP!A1:E731,4,FALSE),VLOOKUP(B715,ADP!A1:E731,5,FALSE))))</f>
        <v>-</v>
      </c>
      <c r="N715" s="52" t="str">
        <f t="shared" si="66"/>
        <v>N/A</v>
      </c>
      <c r="O715" s="38"/>
      <c r="P715" s="39" t="str">
        <f>IF(Settings!$E$27="ON",_xlfn.XLOOKUP(B715,ADP!A2:A731,ADP!H2:H731)," ")</f>
        <v xml:space="preserve"> </v>
      </c>
      <c r="Q715" s="40">
        <f>IF(Settings!$E$12="YES",VLOOKUP(B715,'Player Data'!A1:E734,5,FALSE),82)</f>
        <v>82</v>
      </c>
      <c r="R715" s="38">
        <f>VLOOKUP(B715,'Player Data'!$A1:$AE734,6,FALSE)</f>
        <v>10.283349398339499</v>
      </c>
      <c r="S715" s="40">
        <f>VLOOKUP(B715,'Player Data'!$A1:$AE734,7,FALSE)*$Q715*IFERROR((VLOOKUP(P715,Settings!$E$28:$F$33,2,FALSE)+1),1)</f>
        <v>7.1689533590101959</v>
      </c>
      <c r="T715" s="40">
        <f>VLOOKUP(B715,'Player Data'!$A1:$AE734,8,FALSE)*$Q715*IFERROR((VLOOKUP(P715,Settings!$E$28:$F$33,2,FALSE)+1),1)</f>
        <v>10.130001299706425</v>
      </c>
      <c r="U715" s="40">
        <f t="shared" si="62"/>
        <v>17.298954658716621</v>
      </c>
      <c r="V715" s="40">
        <f>VLOOKUP(B715,'Player Data'!$A1:$AE734,10,FALSE)*$Q715*IFERROR(((VLOOKUP(P715,Settings!$E$28:$F$33,2,FALSE)/2)+1),1)</f>
        <v>71.923205935235416</v>
      </c>
      <c r="W715" s="40">
        <f>VLOOKUP(B715,'Player Data'!$A1:$AE734,11,FALSE)*$Q715*IFERROR((VLOOKUP(P715,Settings!$E$28:$F$33,2,FALSE)+1),1)</f>
        <v>6.3175865440844498E-2</v>
      </c>
      <c r="X715" s="40">
        <f>VLOOKUP(B715,'Player Data'!$A1:$AE734,12,FALSE)*$Q715*IFERROR((VLOOKUP(P715,Settings!$E$28:$F$33,2,FALSE)+1),1)</f>
        <v>0.16135768923490529</v>
      </c>
      <c r="Y715" s="40">
        <f>VLOOKUP(B715,'Player Data'!$A1:$AE734,13,FALSE)*$Q715</f>
        <v>0.13383094748182173</v>
      </c>
      <c r="Z715" s="40">
        <f>VLOOKUP(B715,'Player Data'!$A1:$AE734,14,FALSE)*$Q715</f>
        <v>0.2446047645352912</v>
      </c>
      <c r="AA715" s="40">
        <f>VLOOKUP(B715,'Player Data'!$A1:$AE734,15,FALSE)*$Q715</f>
        <v>47.334867943408604</v>
      </c>
      <c r="AB715" s="40">
        <f>VLOOKUP(B715,'Player Data'!$A1:$AE734,16,FALSE)*$Q715</f>
        <v>122.10706585391375</v>
      </c>
      <c r="AC715" s="40">
        <f>VLOOKUP(B715,'Player Data'!$A1:$AE734,17,FALSE)*$Q715*IFERROR((VLOOKUP(P715,Settings!$E$28:$F$33,2,FALSE)+1),1)</f>
        <v>-3.9573709389245129</v>
      </c>
      <c r="AD715" s="40">
        <f>VLOOKUP(B715,'Player Data'!$A1:$AE734,18,FALSE)*$Q715</f>
        <v>24.302709716790865</v>
      </c>
      <c r="AE715" s="40">
        <f>VLOOKUP(B715,'Player Data'!$A1:$AE734,19,FALSE)*$Q715*IFERROR((VLOOKUP(P715,Settings!$E$28:$F$33,2,FALSE)+1),1)</f>
        <v>0.8249510461935694</v>
      </c>
      <c r="AF715" s="40">
        <f>VLOOKUP(B715,'Player Data'!$A1:$AE734,20,FALSE)*$Q715</f>
        <v>107.9179816656317</v>
      </c>
      <c r="AG715" s="40">
        <f>VLOOKUP(B715,'Player Data'!$A1:$AE734,21,FALSE)*$Q715</f>
        <v>122.27963432360497</v>
      </c>
      <c r="AH715" s="41">
        <f>VLOOKUP(B715,'Player Data'!$A1:$AE734,22,FALSE)</f>
        <v>0.46880581800064403</v>
      </c>
      <c r="AI715" s="38"/>
      <c r="AJ715" s="42"/>
      <c r="AK715" s="40"/>
      <c r="AL715" s="40"/>
      <c r="AM715" s="40"/>
      <c r="AN715" s="40"/>
      <c r="AO715" s="40"/>
      <c r="AP715" s="40"/>
      <c r="AQ715" s="43"/>
      <c r="AR715" s="44"/>
      <c r="AS715" s="38"/>
    </row>
    <row r="716" spans="1:45" ht="21.2" customHeight="1">
      <c r="A716" s="181">
        <f t="shared" si="63"/>
        <v>715</v>
      </c>
      <c r="B716" s="8" t="s">
        <v>819</v>
      </c>
      <c r="C716" s="31" t="s">
        <v>104</v>
      </c>
      <c r="D716" s="32" t="str">
        <f>VLOOKUP(B716,'Player Data'!A1:D734,4,FALSE)</f>
        <v>C</v>
      </c>
      <c r="E716" s="33">
        <f>VLOOKUP(B716,'C'!A1:C208,3,FALSE)</f>
        <v>200</v>
      </c>
      <c r="F716" s="34" t="str">
        <f>VLOOKUP(B716,'Player Data'!A1:B734,2,FALSE)</f>
        <v>WPG</v>
      </c>
      <c r="G716" s="9">
        <f>VLOOKUP(B716,'Player Data'!A1:D734,3,FALSE)</f>
        <v>23</v>
      </c>
      <c r="H716" s="35">
        <f>IFERROR(VLOOKUP(B716,ADP!A1:G731,7,FALSE)/1000000,VLOOKUP(B716,ADP!A1:G731,7,FALSE))</f>
        <v>0</v>
      </c>
      <c r="I716" s="36">
        <f>IF(Settings!$E$15="POINTS",((R716*Q716)*Settings!$B$12)+(S716*Settings!$B$2)+(T716*Settings!$B$3)+(U716*Settings!$B$4)+(V716*Settings!$B$5)+(X716*Settings!$B$9)+(AA716*Settings!$B$6)+(W716*Settings!$B$8)+(AB716*Settings!$B$7)+(AC716*Settings!$B$14)+(AD716*Settings!$B$15)+(AE716*Settings!$B$16)+(AF716*Settings!$B$17)+(AG716*Settings!$B$18)+(Y716*Settings!$B$10)+(Z716*Settings!$B$11),VLOOKUP(B716,'Standard Deviations'!A1:C731,3,FALSE))</f>
        <v>-5.0534607727822412</v>
      </c>
      <c r="J716" s="37">
        <f t="shared" si="64"/>
        <v>-6.1627570399783428E-2</v>
      </c>
      <c r="K716" s="183">
        <f>IF(Settings!$E$18="C/LW/RW",VLOOKUP(B716,'C'!A1:F208,6,FALSE),VLOOKUP(B716,F!A1:F431,6,FALSE))</f>
        <v>-11.390511496988843</v>
      </c>
      <c r="L716" s="49" t="str">
        <f t="shared" si="65"/>
        <v>N/A</v>
      </c>
      <c r="M716" s="52" t="str">
        <f>IF(Settings!$E$9="YAHOO",VLOOKUP(B716,ADP!A1:E731,2,FALSE),IF(Settings!$E$9="ESPN",VLOOKUP(B716,ADP!A1:E731,3,FALSE),IF(Settings!$E$9="FANTRAX",VLOOKUP(B716,ADP!A1:E731,4,FALSE),VLOOKUP(B716,ADP!A1:E731,5,FALSE))))</f>
        <v>-</v>
      </c>
      <c r="N716" s="52" t="str">
        <f t="shared" si="66"/>
        <v>N/A</v>
      </c>
      <c r="O716" s="38"/>
      <c r="P716" s="39" t="str">
        <f>IF(Settings!$E$27="ON",_xlfn.XLOOKUP(B716,ADP!A2:A731,ADP!H2:H731)," ")</f>
        <v xml:space="preserve"> </v>
      </c>
      <c r="Q716" s="40">
        <f>IF(Settings!$E$12="YES",VLOOKUP(B716,'Player Data'!A1:E734,5,FALSE),82)</f>
        <v>82</v>
      </c>
      <c r="R716" s="38">
        <f>VLOOKUP(B716,'Player Data'!$A1:$AE734,6,FALSE)</f>
        <v>9.5327868117046695</v>
      </c>
      <c r="S716" s="40">
        <f>VLOOKUP(B716,'Player Data'!$A1:$AE734,7,FALSE)*$Q716*IFERROR((VLOOKUP(P716,Settings!$E$28:$F$33,2,FALSE)+1),1)</f>
        <v>3.7752694655773587</v>
      </c>
      <c r="T716" s="40">
        <f>VLOOKUP(B716,'Player Data'!$A1:$AE734,8,FALSE)*$Q716*IFERROR((VLOOKUP(P716,Settings!$E$28:$F$33,2,FALSE)+1),1)</f>
        <v>10.402581349306468</v>
      </c>
      <c r="U716" s="40">
        <f t="shared" si="62"/>
        <v>14.177850814883826</v>
      </c>
      <c r="V716" s="40">
        <f>VLOOKUP(B716,'Player Data'!$A1:$AE734,10,FALSE)*$Q716*IFERROR(((VLOOKUP(P716,Settings!$E$28:$F$33,2,FALSE)/2)+1),1)</f>
        <v>77.596703009685271</v>
      </c>
      <c r="W716" s="40">
        <f>VLOOKUP(B716,'Player Data'!$A1:$AE734,11,FALSE)*$Q716*IFERROR((VLOOKUP(P716,Settings!$E$28:$F$33,2,FALSE)+1),1)</f>
        <v>7.1448904857170883E-2</v>
      </c>
      <c r="X716" s="40">
        <f>VLOOKUP(B716,'Player Data'!$A1:$AE734,12,FALSE)*$Q716*IFERROR((VLOOKUP(P716,Settings!$E$28:$F$33,2,FALSE)+1),1)</f>
        <v>0.17324864148936792</v>
      </c>
      <c r="Y716" s="40">
        <f>VLOOKUP(B716,'Player Data'!$A1:$AE734,13,FALSE)*$Q716</f>
        <v>0.22586361879128125</v>
      </c>
      <c r="Z716" s="40">
        <f>VLOOKUP(B716,'Player Data'!$A1:$AE734,14,FALSE)*$Q716</f>
        <v>1.2829311821121601</v>
      </c>
      <c r="AA716" s="40">
        <f>VLOOKUP(B716,'Player Data'!$A1:$AE734,15,FALSE)*$Q716</f>
        <v>30.142518005247979</v>
      </c>
      <c r="AB716" s="40">
        <f>VLOOKUP(B716,'Player Data'!$A1:$AE734,16,FALSE)*$Q716</f>
        <v>64.330642891774033</v>
      </c>
      <c r="AC716" s="40">
        <f>VLOOKUP(B716,'Player Data'!$A1:$AE734,17,FALSE)*$Q716*IFERROR((VLOOKUP(P716,Settings!$E$28:$F$33,2,FALSE)+1),1)</f>
        <v>1.0974300210942924</v>
      </c>
      <c r="AD716" s="40">
        <f>VLOOKUP(B716,'Player Data'!$A1:$AE734,18,FALSE)*$Q716</f>
        <v>15.097372431007839</v>
      </c>
      <c r="AE716" s="40">
        <f>VLOOKUP(B716,'Player Data'!$A1:$AE734,19,FALSE)*$Q716*IFERROR((VLOOKUP(P716,Settings!$E$28:$F$33,2,FALSE)+1),1)</f>
        <v>0.58895467314413963</v>
      </c>
      <c r="AF716" s="40">
        <f>VLOOKUP(B716,'Player Data'!$A1:$AE734,20,FALSE)*$Q716</f>
        <v>174.2056966464279</v>
      </c>
      <c r="AG716" s="40">
        <f>VLOOKUP(B716,'Player Data'!$A1:$AE734,21,FALSE)*$Q716</f>
        <v>180.010316123487</v>
      </c>
      <c r="AH716" s="41">
        <f>VLOOKUP(B716,'Player Data'!$A1:$AE734,22,FALSE)</f>
        <v>0.49180638470905402</v>
      </c>
      <c r="AI716" s="38"/>
      <c r="AJ716" s="40"/>
      <c r="AK716" s="40"/>
      <c r="AL716" s="40"/>
      <c r="AM716" s="40"/>
      <c r="AN716" s="40"/>
      <c r="AO716" s="40"/>
      <c r="AP716" s="40"/>
      <c r="AQ716" s="43"/>
      <c r="AR716" s="44"/>
      <c r="AS716" s="38"/>
    </row>
    <row r="717" spans="1:45" ht="21.2" customHeight="1">
      <c r="A717" s="181">
        <f t="shared" si="63"/>
        <v>716</v>
      </c>
      <c r="B717" s="8" t="s">
        <v>779</v>
      </c>
      <c r="C717" s="31" t="s">
        <v>104</v>
      </c>
      <c r="D717" s="32" t="str">
        <f>VLOOKUP(B717,'Player Data'!A1:D734,4,FALSE)</f>
        <v>LW</v>
      </c>
      <c r="E717" s="48">
        <f>VLOOKUP(B717,LW!A1:C227,3,FALSE)</f>
        <v>218</v>
      </c>
      <c r="F717" s="34" t="str">
        <f>VLOOKUP(B717,'Player Data'!A1:B734,2,FALSE)</f>
        <v>OTT</v>
      </c>
      <c r="G717" s="9">
        <f>VLOOKUP(B717,'Player Data'!A1:D734,3,FALSE)</f>
        <v>24</v>
      </c>
      <c r="H717" s="35">
        <f>IFERROR(VLOOKUP(B717,ADP!A1:G731,7,FALSE)/1000000,VLOOKUP(B717,ADP!A1:G731,7,FALSE))</f>
        <v>0.76249999999999996</v>
      </c>
      <c r="I717" s="36">
        <f>IF(Settings!$E$15="POINTS",((R717*Q717)*Settings!$B$12)+(S717*Settings!$B$2)+(T717*Settings!$B$3)+(U717*Settings!$B$4)+(V717*Settings!$B$5)+(X717*Settings!$B$9)+(AA717*Settings!$B$6)+(W717*Settings!$B$8)+(AB717*Settings!$B$7)+(AC717*Settings!$B$14)+(AD717*Settings!$B$15)+(AE717*Settings!$B$16)+(AF717*Settings!$B$17)+(AG717*Settings!$B$18)+(Y717*Settings!$B$10)+(Z717*Settings!$B$11),VLOOKUP(B717,'Standard Deviations'!A1:C731,3,FALSE))</f>
        <v>-4.7602639265964619</v>
      </c>
      <c r="J717" s="37">
        <f t="shared" si="64"/>
        <v>-5.8051999104834905E-2</v>
      </c>
      <c r="K717" s="183">
        <f>IF(Settings!$E$18="C/LW/RW",VLOOKUP(B717,LW!A1:F227,6,FALSE),VLOOKUP(B717,F!A1:F431,6,FALSE))</f>
        <v>-11.414932970720862</v>
      </c>
      <c r="L717" s="36">
        <f t="shared" si="65"/>
        <v>-14.970403896027362</v>
      </c>
      <c r="M717" s="52" t="str">
        <f>IF(Settings!$E$9="YAHOO",VLOOKUP(B717,ADP!A1:E731,2,FALSE),IF(Settings!$E$9="ESPN",VLOOKUP(B717,ADP!A1:E731,3,FALSE),IF(Settings!$E$9="FANTRAX",VLOOKUP(B717,ADP!A1:E731,4,FALSE),VLOOKUP(B717,ADP!A1:E731,5,FALSE))))</f>
        <v>-</v>
      </c>
      <c r="N717" s="52" t="str">
        <f t="shared" si="66"/>
        <v>N/A</v>
      </c>
      <c r="O717" s="38"/>
      <c r="P717" s="39" t="str">
        <f>IF(Settings!$E$27="ON",_xlfn.XLOOKUP(B717,ADP!A2:A731,ADP!H2:H731)," ")</f>
        <v xml:space="preserve"> </v>
      </c>
      <c r="Q717" s="40">
        <f>IF(Settings!$E$12="YES",VLOOKUP(B717,'Player Data'!A1:E734,5,FALSE),82)</f>
        <v>82</v>
      </c>
      <c r="R717" s="38">
        <f>VLOOKUP(B717,'Player Data'!$A1:$AE734,6,FALSE)</f>
        <v>10.4975796680987</v>
      </c>
      <c r="S717" s="40">
        <f>VLOOKUP(B717,'Player Data'!$A1:$AE734,7,FALSE)*$Q717*IFERROR((VLOOKUP(P717,Settings!$E$28:$F$33,2,FALSE)+1),1)</f>
        <v>6.6492255997316771</v>
      </c>
      <c r="T717" s="40">
        <f>VLOOKUP(B717,'Player Data'!$A1:$AE734,8,FALSE)*$Q717*IFERROR((VLOOKUP(P717,Settings!$E$28:$F$33,2,FALSE)+1),1)</f>
        <v>8.0729405773432674</v>
      </c>
      <c r="U717" s="40">
        <f t="shared" si="62"/>
        <v>14.722166177074945</v>
      </c>
      <c r="V717" s="40">
        <f>VLOOKUP(B717,'Player Data'!$A1:$AE734,10,FALSE)*$Q717*IFERROR(((VLOOKUP(P717,Settings!$E$28:$F$33,2,FALSE)/2)+1),1)</f>
        <v>87.221519619678119</v>
      </c>
      <c r="W717" s="40">
        <f>VLOOKUP(B717,'Player Data'!$A1:$AE734,11,FALSE)*$Q717*IFERROR((VLOOKUP(P717,Settings!$E$28:$F$33,2,FALSE)+1),1)</f>
        <v>7.6548220790112684E-2</v>
      </c>
      <c r="X717" s="40">
        <f>VLOOKUP(B717,'Player Data'!$A1:$AE734,12,FALSE)*$Q717*IFERROR((VLOOKUP(P717,Settings!$E$28:$F$33,2,FALSE)+1),1)</f>
        <v>0.18642216173200105</v>
      </c>
      <c r="Y717" s="40">
        <f>VLOOKUP(B717,'Player Data'!$A1:$AE734,13,FALSE)*$Q717</f>
        <v>0.2441241166629291</v>
      </c>
      <c r="Z717" s="40">
        <f>VLOOKUP(B717,'Player Data'!$A1:$AE734,14,FALSE)*$Q717</f>
        <v>1.6549705916655668</v>
      </c>
      <c r="AA717" s="40">
        <f>VLOOKUP(B717,'Player Data'!$A1:$AE734,15,FALSE)*$Q717</f>
        <v>41.866973593800815</v>
      </c>
      <c r="AB717" s="40">
        <f>VLOOKUP(B717,'Player Data'!$A1:$AE734,16,FALSE)*$Q717</f>
        <v>212.20693377427693</v>
      </c>
      <c r="AC717" s="40">
        <f>VLOOKUP(B717,'Player Data'!$A1:$AE734,17,FALSE)*$Q717*IFERROR((VLOOKUP(P717,Settings!$E$28:$F$33,2,FALSE)+1),1)</f>
        <v>-0.47007670248575301</v>
      </c>
      <c r="AD717" s="40">
        <f>VLOOKUP(B717,'Player Data'!$A1:$AE734,18,FALSE)*$Q717</f>
        <v>43.088419657770878</v>
      </c>
      <c r="AE717" s="40">
        <f>VLOOKUP(B717,'Player Data'!$A1:$AE734,19,FALSE)*$Q717*IFERROR((VLOOKUP(P717,Settings!$E$28:$F$33,2,FALSE)+1),1)</f>
        <v>0.99994983022688422</v>
      </c>
      <c r="AF717" s="40">
        <f>VLOOKUP(B717,'Player Data'!$A1:$AE734,20,FALSE)*$Q717</f>
        <v>5.0555197757619581</v>
      </c>
      <c r="AG717" s="40">
        <f>VLOOKUP(B717,'Player Data'!$A1:$AE734,21,FALSE)*$Q717</f>
        <v>11.169519348491274</v>
      </c>
      <c r="AH717" s="41">
        <f>VLOOKUP(B717,'Player Data'!$A1:$AE734,22,FALSE)</f>
        <v>0.31158752450741101</v>
      </c>
      <c r="AI717" s="38"/>
      <c r="AJ717" s="42"/>
      <c r="AK717" s="40"/>
      <c r="AL717" s="40"/>
      <c r="AM717" s="40"/>
      <c r="AN717" s="40"/>
      <c r="AO717" s="40"/>
      <c r="AP717" s="40"/>
      <c r="AQ717" s="43"/>
      <c r="AR717" s="44"/>
      <c r="AS717" s="38"/>
    </row>
    <row r="718" spans="1:45" ht="21.2" customHeight="1">
      <c r="A718" s="181">
        <f t="shared" si="63"/>
        <v>717</v>
      </c>
      <c r="B718" s="8" t="s">
        <v>796</v>
      </c>
      <c r="C718" s="31" t="s">
        <v>104</v>
      </c>
      <c r="D718" s="32" t="str">
        <f>VLOOKUP(B718,'Player Data'!A1:D734,4,FALSE)</f>
        <v>C,RW</v>
      </c>
      <c r="E718" s="45">
        <f>VLOOKUP(B718,RW!A1:F189,3,FALSE)</f>
        <v>185</v>
      </c>
      <c r="F718" s="34" t="str">
        <f>VLOOKUP(B718,'Player Data'!A1:B734,2,FALSE)</f>
        <v>PHI</v>
      </c>
      <c r="G718" s="9">
        <f>VLOOKUP(B718,'Player Data'!A1:D734,3,FALSE)</f>
        <v>26</v>
      </c>
      <c r="H718" s="35">
        <f>IFERROR(VLOOKUP(B718,ADP!A1:G731,7,FALSE)/1000000,VLOOKUP(B718,ADP!A1:G731,7,FALSE))</f>
        <v>0.76249999999999996</v>
      </c>
      <c r="I718" s="36">
        <f>IF(Settings!$E$15="POINTS",((R718*Q718)*Settings!$B$12)+(S718*Settings!$B$2)+(T718*Settings!$B$3)+(U718*Settings!$B$4)+(V718*Settings!$B$5)+(X718*Settings!$B$9)+(AA718*Settings!$B$6)+(W718*Settings!$B$8)+(AB718*Settings!$B$7)+(AC718*Settings!$B$14)+(AD718*Settings!$B$15)+(AE718*Settings!$B$16)+(AF718*Settings!$B$17)+(AG718*Settings!$B$18)+(Y718*Settings!$B$10)+(Z718*Settings!$B$11),VLOOKUP(B718,'Standard Deviations'!A1:C731,3,FALSE))</f>
        <v>-5.15881266495761</v>
      </c>
      <c r="J718" s="37">
        <f t="shared" si="64"/>
        <v>-6.2912349572653778E-2</v>
      </c>
      <c r="K718" s="183">
        <f>IF(Settings!$E$18="C/LW/RW",VLOOKUP(B718,RW!A1:F189,6,FALSE),VLOOKUP(B718,F!A1:F431,6,FALSE))</f>
        <v>-11.439071383968692</v>
      </c>
      <c r="L718" s="36">
        <f t="shared" si="65"/>
        <v>-15.002060831434351</v>
      </c>
      <c r="M718" s="52" t="str">
        <f>IF(Settings!$E$9="YAHOO",VLOOKUP(B718,ADP!A1:E731,2,FALSE),IF(Settings!$E$9="ESPN",VLOOKUP(B718,ADP!A1:E731,3,FALSE),IF(Settings!$E$9="FANTRAX",VLOOKUP(B718,ADP!A1:E731,4,FALSE),VLOOKUP(B718,ADP!A1:E731,5,FALSE))))</f>
        <v>-</v>
      </c>
      <c r="N718" s="52" t="str">
        <f t="shared" si="66"/>
        <v>N/A</v>
      </c>
      <c r="O718" s="38"/>
      <c r="P718" s="39" t="str">
        <f>IF(Settings!$E$27="ON",_xlfn.XLOOKUP(B718,ADP!A2:A731,ADP!H2:H731)," ")</f>
        <v xml:space="preserve"> </v>
      </c>
      <c r="Q718" s="40">
        <f>IF(Settings!$E$12="YES",VLOOKUP(B718,'Player Data'!A1:E734,5,FALSE),82)</f>
        <v>82</v>
      </c>
      <c r="R718" s="38">
        <f>VLOOKUP(B718,'Player Data'!$A1:$AE734,6,FALSE)</f>
        <v>9.4527941134146296</v>
      </c>
      <c r="S718" s="40">
        <f>VLOOKUP(B718,'Player Data'!$A1:$AE734,7,FALSE)*$Q718*IFERROR((VLOOKUP(P718,Settings!$E$28:$F$33,2,FALSE)+1),1)</f>
        <v>6.2934572219800193</v>
      </c>
      <c r="T718" s="40">
        <f>VLOOKUP(B718,'Player Data'!$A1:$AE734,8,FALSE)*$Q718*IFERROR((VLOOKUP(P718,Settings!$E$28:$F$33,2,FALSE)+1),1)</f>
        <v>7.5832136815858799</v>
      </c>
      <c r="U718" s="40">
        <f t="shared" si="62"/>
        <v>13.876670903565898</v>
      </c>
      <c r="V718" s="40">
        <f>VLOOKUP(B718,'Player Data'!$A1:$AE734,10,FALSE)*$Q718*IFERROR(((VLOOKUP(P718,Settings!$E$28:$F$33,2,FALSE)/2)+1),1)</f>
        <v>68.202987170617888</v>
      </c>
      <c r="W718" s="40">
        <f>VLOOKUP(B718,'Player Data'!$A1:$AE734,11,FALSE)*$Q718*IFERROR((VLOOKUP(P718,Settings!$E$28:$F$33,2,FALSE)+1),1)</f>
        <v>0.18574967871438514</v>
      </c>
      <c r="X718" s="40">
        <f>VLOOKUP(B718,'Player Data'!$A1:$AE734,12,FALSE)*$Q718*IFERROR((VLOOKUP(P718,Settings!$E$28:$F$33,2,FALSE)+1),1)</f>
        <v>0.46108631137237782</v>
      </c>
      <c r="Y718" s="40">
        <f>VLOOKUP(B718,'Player Data'!$A1:$AE734,13,FALSE)*$Q718</f>
        <v>6.9095709538213423E-2</v>
      </c>
      <c r="Z718" s="40">
        <f>VLOOKUP(B718,'Player Data'!$A1:$AE734,14,FALSE)*$Q718</f>
        <v>0.13144342593850841</v>
      </c>
      <c r="AA718" s="40">
        <f>VLOOKUP(B718,'Player Data'!$A1:$AE734,15,FALSE)*$Q718</f>
        <v>27.922834117419281</v>
      </c>
      <c r="AB718" s="40">
        <f>VLOOKUP(B718,'Player Data'!$A1:$AE734,16,FALSE)*$Q718</f>
        <v>93.080750958627917</v>
      </c>
      <c r="AC718" s="40">
        <f>VLOOKUP(B718,'Player Data'!$A1:$AE734,17,FALSE)*$Q718*IFERROR((VLOOKUP(P718,Settings!$E$28:$F$33,2,FALSE)+1),1)</f>
        <v>-6.2731680090126272</v>
      </c>
      <c r="AD718" s="40">
        <f>VLOOKUP(B718,'Player Data'!$A1:$AE734,18,FALSE)*$Q718</f>
        <v>13.868373772446889</v>
      </c>
      <c r="AE718" s="40">
        <f>VLOOKUP(B718,'Player Data'!$A1:$AE734,19,FALSE)*$Q718*IFERROR((VLOOKUP(P718,Settings!$E$28:$F$33,2,FALSE)+1),1)</f>
        <v>0.73976847209189445</v>
      </c>
      <c r="AF718" s="40">
        <f>VLOOKUP(B718,'Player Data'!$A1:$AE734,20,FALSE)*$Q718</f>
        <v>127.55912967296076</v>
      </c>
      <c r="AG718" s="40">
        <f>VLOOKUP(B718,'Player Data'!$A1:$AE734,21,FALSE)*$Q718</f>
        <v>125.76323322983583</v>
      </c>
      <c r="AH718" s="41">
        <f>VLOOKUP(B718,'Player Data'!$A1:$AE734,22,FALSE)</f>
        <v>0.50354468595378998</v>
      </c>
      <c r="AI718" s="38"/>
      <c r="AJ718" s="42"/>
      <c r="AK718" s="40"/>
      <c r="AL718" s="40"/>
      <c r="AM718" s="40"/>
      <c r="AN718" s="40"/>
      <c r="AO718" s="40"/>
      <c r="AP718" s="40"/>
      <c r="AQ718" s="43"/>
      <c r="AR718" s="44"/>
      <c r="AS718" s="38"/>
    </row>
    <row r="719" spans="1:45" ht="21.2" customHeight="1">
      <c r="A719" s="181">
        <f t="shared" si="63"/>
        <v>718</v>
      </c>
      <c r="B719" s="8" t="s">
        <v>813</v>
      </c>
      <c r="C719" s="31" t="s">
        <v>104</v>
      </c>
      <c r="D719" s="32" t="str">
        <f>VLOOKUP(B719,'Player Data'!A1:D734,4,FALSE)</f>
        <v>LW</v>
      </c>
      <c r="E719" s="48">
        <f>VLOOKUP(B719,LW!A1:C227,3,FALSE)</f>
        <v>219</v>
      </c>
      <c r="F719" s="34" t="str">
        <f>VLOOKUP(B719,'Player Data'!A1:B734,2,FALSE)</f>
        <v>COL</v>
      </c>
      <c r="G719" s="9">
        <f>VLOOKUP(B719,'Player Data'!A1:D734,3,FALSE)</f>
        <v>24</v>
      </c>
      <c r="H719" s="35">
        <f>IFERROR(VLOOKUP(B719,ADP!A1:G731,7,FALSE)/1000000,VLOOKUP(B719,ADP!A1:G731,7,FALSE))</f>
        <v>0.77500000000000002</v>
      </c>
      <c r="I719" s="36">
        <f>IF(Settings!$E$15="POINTS",((R719*Q719)*Settings!$B$12)+(S719*Settings!$B$2)+(T719*Settings!$B$3)+(U719*Settings!$B$4)+(V719*Settings!$B$5)+(X719*Settings!$B$9)+(AA719*Settings!$B$6)+(W719*Settings!$B$8)+(AB719*Settings!$B$7)+(AC719*Settings!$B$14)+(AD719*Settings!$B$15)+(AE719*Settings!$B$16)+(AF719*Settings!$B$17)+(AG719*Settings!$B$18)+(Y719*Settings!$B$10)+(Z719*Settings!$B$11),VLOOKUP(B719,'Standard Deviations'!A1:C731,3,FALSE))</f>
        <v>-5.0374279662402941</v>
      </c>
      <c r="J719" s="37">
        <f t="shared" si="64"/>
        <v>-6.1432048368784076E-2</v>
      </c>
      <c r="K719" s="183">
        <f>IF(Settings!$E$18="C/LW/RW",VLOOKUP(B719,LW!A1:F227,6,FALSE),VLOOKUP(B719,F!A1:F431,6,FALSE))</f>
        <v>-11.692097010364694</v>
      </c>
      <c r="L719" s="36">
        <f t="shared" si="65"/>
        <v>-15.086576787567347</v>
      </c>
      <c r="M719" s="52" t="str">
        <f>IF(Settings!$E$9="YAHOO",VLOOKUP(B719,ADP!A1:E731,2,FALSE),IF(Settings!$E$9="ESPN",VLOOKUP(B719,ADP!A1:E731,3,FALSE),IF(Settings!$E$9="FANTRAX",VLOOKUP(B719,ADP!A1:E731,4,FALSE),VLOOKUP(B719,ADP!A1:E731,5,FALSE))))</f>
        <v>-</v>
      </c>
      <c r="N719" s="52" t="str">
        <f t="shared" si="66"/>
        <v>N/A</v>
      </c>
      <c r="O719" s="38"/>
      <c r="P719" s="39" t="str">
        <f>IF(Settings!$E$27="ON",_xlfn.XLOOKUP(B719,ADP!A2:A731,ADP!H2:H731)," ")</f>
        <v xml:space="preserve"> </v>
      </c>
      <c r="Q719" s="40">
        <f>IF(Settings!$E$12="YES",VLOOKUP(B719,'Player Data'!A1:E734,5,FALSE),82)</f>
        <v>82</v>
      </c>
      <c r="R719" s="38">
        <f>VLOOKUP(B719,'Player Data'!$A1:$AE734,6,FALSE)</f>
        <v>9.4200220422236605</v>
      </c>
      <c r="S719" s="40">
        <f>VLOOKUP(B719,'Player Data'!$A1:$AE734,7,FALSE)*$Q719*IFERROR((VLOOKUP(P719,Settings!$E$28:$F$33,2,FALSE)+1),1)</f>
        <v>8.6931842924592946</v>
      </c>
      <c r="T719" s="40">
        <f>VLOOKUP(B719,'Player Data'!$A1:$AE734,8,FALSE)*$Q719*IFERROR((VLOOKUP(P719,Settings!$E$28:$F$33,2,FALSE)+1),1)</f>
        <v>4.8913607653591304</v>
      </c>
      <c r="U719" s="40">
        <f t="shared" si="62"/>
        <v>13.584545057818424</v>
      </c>
      <c r="V719" s="40">
        <f>VLOOKUP(B719,'Player Data'!$A1:$AE734,10,FALSE)*$Q719*IFERROR(((VLOOKUP(P719,Settings!$E$28:$F$33,2,FALSE)/2)+1),1)</f>
        <v>75.942415332015457</v>
      </c>
      <c r="W719" s="40">
        <f>VLOOKUP(B719,'Player Data'!$A1:$AE734,11,FALSE)*$Q719*IFERROR((VLOOKUP(P719,Settings!$E$28:$F$33,2,FALSE)+1),1)</f>
        <v>6.5390020840948873E-2</v>
      </c>
      <c r="X719" s="40">
        <f>VLOOKUP(B719,'Player Data'!$A1:$AE734,12,FALSE)*$Q719*IFERROR((VLOOKUP(P719,Settings!$E$28:$F$33,2,FALSE)+1),1)</f>
        <v>0.15929275469252036</v>
      </c>
      <c r="Y719" s="40">
        <f>VLOOKUP(B719,'Player Data'!$A1:$AE734,13,FALSE)*$Q719</f>
        <v>8.0017736678185611E-3</v>
      </c>
      <c r="Z719" s="40">
        <f>VLOOKUP(B719,'Player Data'!$A1:$AE734,14,FALSE)*$Q719</f>
        <v>1.5184532744026908E-2</v>
      </c>
      <c r="AA719" s="40">
        <f>VLOOKUP(B719,'Player Data'!$A1:$AE734,15,FALSE)*$Q719</f>
        <v>27.85054011459524</v>
      </c>
      <c r="AB719" s="40">
        <f>VLOOKUP(B719,'Player Data'!$A1:$AE734,16,FALSE)*$Q719</f>
        <v>73.43624249405481</v>
      </c>
      <c r="AC719" s="40">
        <f>VLOOKUP(B719,'Player Data'!$A1:$AE734,17,FALSE)*$Q719*IFERROR((VLOOKUP(P719,Settings!$E$28:$F$33,2,FALSE)+1),1)</f>
        <v>3.461780873398713</v>
      </c>
      <c r="AD719" s="40">
        <f>VLOOKUP(B719,'Player Data'!$A1:$AE734,18,FALSE)*$Q719</f>
        <v>16.021827818315682</v>
      </c>
      <c r="AE719" s="40">
        <f>VLOOKUP(B719,'Player Data'!$A1:$AE734,19,FALSE)*$Q719*IFERROR((VLOOKUP(P719,Settings!$E$28:$F$33,2,FALSE)+1),1)</f>
        <v>1.3753927330135631</v>
      </c>
      <c r="AF719" s="40">
        <f>VLOOKUP(B719,'Player Data'!$A1:$AE734,20,FALSE)*$Q719</f>
        <v>195.82916087225792</v>
      </c>
      <c r="AG719" s="40">
        <f>VLOOKUP(B719,'Player Data'!$A1:$AE734,21,FALSE)*$Q719</f>
        <v>189.73262268825519</v>
      </c>
      <c r="AH719" s="41">
        <f>VLOOKUP(B719,'Player Data'!$A1:$AE734,22,FALSE)</f>
        <v>0.50790604572852605</v>
      </c>
      <c r="AI719" s="38"/>
      <c r="AJ719" s="40"/>
      <c r="AK719" s="40"/>
      <c r="AL719" s="40"/>
      <c r="AM719" s="40"/>
      <c r="AN719" s="40"/>
      <c r="AO719" s="40"/>
      <c r="AP719" s="40"/>
      <c r="AQ719" s="43"/>
      <c r="AR719" s="44"/>
      <c r="AS719" s="38"/>
    </row>
    <row r="720" spans="1:45" ht="21.2" customHeight="1">
      <c r="A720" s="181">
        <f t="shared" si="63"/>
        <v>719</v>
      </c>
      <c r="B720" s="8" t="s">
        <v>781</v>
      </c>
      <c r="C720" s="31" t="s">
        <v>104</v>
      </c>
      <c r="D720" s="32" t="str">
        <f>VLOOKUP(B720,'Player Data'!A1:D734,4,FALSE)</f>
        <v>LW</v>
      </c>
      <c r="E720" s="48">
        <f>VLOOKUP(B720,LW!A1:C227,3,FALSE)</f>
        <v>220</v>
      </c>
      <c r="F720" s="34" t="str">
        <f>VLOOKUP(B720,'Player Data'!A1:B734,2,FALSE)</f>
        <v>MIN</v>
      </c>
      <c r="G720" s="9">
        <f>VLOOKUP(B720,'Player Data'!A1:D734,3,FALSE)</f>
        <v>35</v>
      </c>
      <c r="H720" s="35">
        <f>IFERROR(VLOOKUP(B720,ADP!A1:G731,7,FALSE)/1000000,VLOOKUP(B720,ADP!A1:G731,7,FALSE))</f>
        <v>1</v>
      </c>
      <c r="I720" s="36">
        <f>IF(Settings!$E$15="POINTS",((R720*Q720)*Settings!$B$12)+(S720*Settings!$B$2)+(T720*Settings!$B$3)+(U720*Settings!$B$4)+(V720*Settings!$B$5)+(X720*Settings!$B$9)+(AA720*Settings!$B$6)+(W720*Settings!$B$8)+(AB720*Settings!$B$7)+(AC720*Settings!$B$14)+(AD720*Settings!$B$15)+(AE720*Settings!$B$16)+(AF720*Settings!$B$17)+(AG720*Settings!$B$18)+(Y720*Settings!$B$10)+(Z720*Settings!$B$11),VLOOKUP(B720,'Standard Deviations'!A1:C731,3,FALSE))</f>
        <v>-5.092804477832261</v>
      </c>
      <c r="J720" s="37">
        <f t="shared" si="64"/>
        <v>-6.2107371680881235E-2</v>
      </c>
      <c r="K720" s="183">
        <f>IF(Settings!$E$18="C/LW/RW",VLOOKUP(B720,LW!A1:F227,6,FALSE),VLOOKUP(B720,F!A1:F431,6,FALSE))</f>
        <v>-11.747473521956662</v>
      </c>
      <c r="L720" s="36">
        <f t="shared" si="65"/>
        <v>-11.747473521956662</v>
      </c>
      <c r="M720" s="52" t="str">
        <f>IF(Settings!$E$9="YAHOO",VLOOKUP(B720,ADP!A1:E731,2,FALSE),IF(Settings!$E$9="ESPN",VLOOKUP(B720,ADP!A1:E731,3,FALSE),IF(Settings!$E$9="FANTRAX",VLOOKUP(B720,ADP!A1:E731,4,FALSE),VLOOKUP(B720,ADP!A1:E731,5,FALSE))))</f>
        <v>-</v>
      </c>
      <c r="N720" s="52" t="str">
        <f t="shared" si="66"/>
        <v>N/A</v>
      </c>
      <c r="O720" s="38"/>
      <c r="P720" s="39" t="str">
        <f>IF(Settings!$E$27="ON",_xlfn.XLOOKUP(B720,ADP!A2:A731,ADP!H2:H731)," ")</f>
        <v xml:space="preserve"> </v>
      </c>
      <c r="Q720" s="40">
        <f>IF(Settings!$E$12="YES",VLOOKUP(B720,'Player Data'!A1:E734,5,FALSE),82)</f>
        <v>82</v>
      </c>
      <c r="R720" s="38">
        <f>VLOOKUP(B720,'Player Data'!$A1:$AE734,6,FALSE)</f>
        <v>10.307501136509099</v>
      </c>
      <c r="S720" s="40">
        <f>VLOOKUP(B720,'Player Data'!$A1:$AE734,7,FALSE)*$Q720*IFERROR((VLOOKUP(P720,Settings!$E$28:$F$33,2,FALSE)+1),1)</f>
        <v>4.9593453234324993</v>
      </c>
      <c r="T720" s="40">
        <f>VLOOKUP(B720,'Player Data'!$A1:$AE734,8,FALSE)*$Q720*IFERROR((VLOOKUP(P720,Settings!$E$28:$F$33,2,FALSE)+1),1)</f>
        <v>9.6856128218637672</v>
      </c>
      <c r="U720" s="40">
        <f t="shared" si="62"/>
        <v>14.644958145296266</v>
      </c>
      <c r="V720" s="40">
        <f>VLOOKUP(B720,'Player Data'!$A1:$AE734,10,FALSE)*$Q720*IFERROR(((VLOOKUP(P720,Settings!$E$28:$F$33,2,FALSE)/2)+1),1)</f>
        <v>70.197985808674403</v>
      </c>
      <c r="W720" s="40">
        <f>VLOOKUP(B720,'Player Data'!$A1:$AE734,11,FALSE)*$Q720*IFERROR((VLOOKUP(P720,Settings!$E$28:$F$33,2,FALSE)+1),1)</f>
        <v>8.2542467678469456E-2</v>
      </c>
      <c r="X720" s="40">
        <f>VLOOKUP(B720,'Player Data'!$A1:$AE734,12,FALSE)*$Q720*IFERROR((VLOOKUP(P720,Settings!$E$28:$F$33,2,FALSE)+1),1)</f>
        <v>0.2009249693203822</v>
      </c>
      <c r="Y720" s="40">
        <f>VLOOKUP(B720,'Player Data'!$A1:$AE734,13,FALSE)*$Q720</f>
        <v>4.3741504107433027E-4</v>
      </c>
      <c r="Z720" s="40">
        <f>VLOOKUP(B720,'Player Data'!$A1:$AE734,14,FALSE)*$Q720</f>
        <v>7.3928946315875317E-4</v>
      </c>
      <c r="AA720" s="40">
        <f>VLOOKUP(B720,'Player Data'!$A1:$AE734,15,FALSE)*$Q720</f>
        <v>14.681615037447132</v>
      </c>
      <c r="AB720" s="40">
        <f>VLOOKUP(B720,'Player Data'!$A1:$AE734,16,FALSE)*$Q720</f>
        <v>158.52287833129128</v>
      </c>
      <c r="AC720" s="40">
        <f>VLOOKUP(B720,'Player Data'!$A1:$AE734,17,FALSE)*$Q720*IFERROR((VLOOKUP(P720,Settings!$E$28:$F$33,2,FALSE)+1),1)</f>
        <v>1.4973724647313214</v>
      </c>
      <c r="AD720" s="40">
        <f>VLOOKUP(B720,'Player Data'!$A1:$AE734,18,FALSE)*$Q720</f>
        <v>69.910140234508091</v>
      </c>
      <c r="AE720" s="40">
        <f>VLOOKUP(B720,'Player Data'!$A1:$AE734,19,FALSE)*$Q720*IFERROR((VLOOKUP(P720,Settings!$E$28:$F$33,2,FALSE)+1),1)</f>
        <v>0.7963538954352718</v>
      </c>
      <c r="AF720" s="40">
        <f>VLOOKUP(B720,'Player Data'!$A1:$AE734,20,FALSE)*$Q720</f>
        <v>4.5352805659615294</v>
      </c>
      <c r="AG720" s="40">
        <f>VLOOKUP(B720,'Player Data'!$A1:$AE734,21,FALSE)*$Q720</f>
        <v>10.43154453097647</v>
      </c>
      <c r="AH720" s="41">
        <f>VLOOKUP(B720,'Player Data'!$A1:$AE734,22,FALSE)</f>
        <v>0.30302221991552297</v>
      </c>
      <c r="AI720" s="38"/>
      <c r="AJ720" s="42"/>
      <c r="AK720" s="40"/>
      <c r="AL720" s="40"/>
      <c r="AM720" s="40"/>
      <c r="AN720" s="40"/>
      <c r="AO720" s="40"/>
      <c r="AP720" s="40"/>
      <c r="AQ720" s="43"/>
      <c r="AR720" s="44"/>
      <c r="AS720" s="38"/>
    </row>
    <row r="721" spans="1:45" ht="21.2" customHeight="1">
      <c r="A721" s="181">
        <f t="shared" si="63"/>
        <v>720</v>
      </c>
      <c r="B721" s="8" t="s">
        <v>822</v>
      </c>
      <c r="C721" s="31" t="s">
        <v>104</v>
      </c>
      <c r="D721" s="32" t="str">
        <f>VLOOKUP(B721,'Player Data'!A1:D734,4,FALSE)</f>
        <v>C</v>
      </c>
      <c r="E721" s="33">
        <f>VLOOKUP(B721,'C'!A1:C208,3,FALSE)</f>
        <v>202</v>
      </c>
      <c r="F721" s="34" t="str">
        <f>VLOOKUP(B721,'Player Data'!A1:B734,2,FALSE)</f>
        <v>BOS</v>
      </c>
      <c r="G721" s="9">
        <f>VLOOKUP(B721,'Player Data'!A1:D734,3,FALSE)</f>
        <v>33</v>
      </c>
      <c r="H721" s="35">
        <f>IFERROR(VLOOKUP(B721,ADP!A1:G731,7,FALSE)/1000000,VLOOKUP(B721,ADP!A1:G731,7,FALSE))</f>
        <v>0.86770000000000003</v>
      </c>
      <c r="I721" s="36">
        <f>IF(Settings!$E$15="POINTS",((R721*Q721)*Settings!$B$12)+(S721*Settings!$B$2)+(T721*Settings!$B$3)+(U721*Settings!$B$4)+(V721*Settings!$B$5)+(X721*Settings!$B$9)+(AA721*Settings!$B$6)+(W721*Settings!$B$8)+(AB721*Settings!$B$7)+(AC721*Settings!$B$14)+(AD721*Settings!$B$15)+(AE721*Settings!$B$16)+(AF721*Settings!$B$17)+(AG721*Settings!$B$18)+(Y721*Settings!$B$10)+(Z721*Settings!$B$11),VLOOKUP(B721,'Standard Deviations'!A1:C731,3,FALSE))</f>
        <v>-5.4257522885362306</v>
      </c>
      <c r="J721" s="37">
        <f t="shared" si="64"/>
        <v>-6.6167710835807692E-2</v>
      </c>
      <c r="K721" s="183">
        <f>IF(Settings!$E$18="C/LW/RW",VLOOKUP(B721,'C'!A1:F208,6,FALSE),VLOOKUP(B721,F!A1:F431,6,FALSE))</f>
        <v>-11.762803012742832</v>
      </c>
      <c r="L721" s="36">
        <f t="shared" si="65"/>
        <v>-13.556301731869116</v>
      </c>
      <c r="M721" s="52" t="str">
        <f>IF(Settings!$E$9="YAHOO",VLOOKUP(B721,ADP!A1:E731,2,FALSE),IF(Settings!$E$9="ESPN",VLOOKUP(B721,ADP!A1:E731,3,FALSE),IF(Settings!$E$9="FANTRAX",VLOOKUP(B721,ADP!A1:E731,4,FALSE),VLOOKUP(B721,ADP!A1:E731,5,FALSE))))</f>
        <v>-</v>
      </c>
      <c r="N721" s="52" t="str">
        <f t="shared" si="66"/>
        <v>N/A</v>
      </c>
      <c r="O721" s="38"/>
      <c r="P721" s="39" t="str">
        <f>IF(Settings!$E$27="ON",_xlfn.XLOOKUP(B721,ADP!A2:A731,ADP!H2:H731)," ")</f>
        <v xml:space="preserve"> </v>
      </c>
      <c r="Q721" s="40">
        <f>IF(Settings!$E$12="YES",VLOOKUP(B721,'Player Data'!A1:E734,5,FALSE),82)</f>
        <v>82</v>
      </c>
      <c r="R721" s="38">
        <f>VLOOKUP(B721,'Player Data'!$A1:$AE734,6,FALSE)</f>
        <v>10.7685301689509</v>
      </c>
      <c r="S721" s="40">
        <f>VLOOKUP(B721,'Player Data'!$A1:$AE734,7,FALSE)*$Q721*IFERROR((VLOOKUP(P721,Settings!$E$28:$F$33,2,FALSE)+1),1)</f>
        <v>3.3257038680801929</v>
      </c>
      <c r="T721" s="40">
        <f>VLOOKUP(B721,'Player Data'!$A1:$AE734,8,FALSE)*$Q721*IFERROR((VLOOKUP(P721,Settings!$E$28:$F$33,2,FALSE)+1),1)</f>
        <v>9.8403748727160156</v>
      </c>
      <c r="U721" s="40">
        <f t="shared" si="62"/>
        <v>13.166078740796209</v>
      </c>
      <c r="V721" s="40">
        <f>VLOOKUP(B721,'Player Data'!$A1:$AE734,10,FALSE)*$Q721*IFERROR(((VLOOKUP(P721,Settings!$E$28:$F$33,2,FALSE)/2)+1),1)</f>
        <v>63.733271052970771</v>
      </c>
      <c r="W721" s="40">
        <f>VLOOKUP(B721,'Player Data'!$A1:$AE734,11,FALSE)*$Q721*IFERROR((VLOOKUP(P721,Settings!$E$28:$F$33,2,FALSE)+1),1)</f>
        <v>2.2815666654935177E-2</v>
      </c>
      <c r="X721" s="40">
        <f>VLOOKUP(B721,'Player Data'!$A1:$AE734,12,FALSE)*$Q721*IFERROR((VLOOKUP(P721,Settings!$E$28:$F$33,2,FALSE)+1),1)</f>
        <v>6.1952660026436387E-2</v>
      </c>
      <c r="Y721" s="40">
        <f>VLOOKUP(B721,'Player Data'!$A1:$AE734,13,FALSE)*$Q721</f>
        <v>8.6039218676317877E-2</v>
      </c>
      <c r="Z721" s="40">
        <f>VLOOKUP(B721,'Player Data'!$A1:$AE734,14,FALSE)*$Q721</f>
        <v>7.6135102157605258E-2</v>
      </c>
      <c r="AA721" s="40">
        <f>VLOOKUP(B721,'Player Data'!$A1:$AE734,15,FALSE)*$Q721</f>
        <v>34.14513968594423</v>
      </c>
      <c r="AB721" s="40">
        <f>VLOOKUP(B721,'Player Data'!$A1:$AE734,16,FALSE)*$Q721</f>
        <v>85.552147372107086</v>
      </c>
      <c r="AC721" s="40">
        <f>VLOOKUP(B721,'Player Data'!$A1:$AE734,17,FALSE)*$Q721*IFERROR((VLOOKUP(P721,Settings!$E$28:$F$33,2,FALSE)+1),1)</f>
        <v>1.0203298579694069</v>
      </c>
      <c r="AD721" s="40">
        <f>VLOOKUP(B721,'Player Data'!$A1:$AE734,18,FALSE)*$Q721</f>
        <v>15.61266761286919</v>
      </c>
      <c r="AE721" s="40">
        <f>VLOOKUP(B721,'Player Data'!$A1:$AE734,19,FALSE)*$Q721*IFERROR((VLOOKUP(P721,Settings!$E$28:$F$33,2,FALSE)+1),1)</f>
        <v>0.5583202316591358</v>
      </c>
      <c r="AF721" s="40">
        <f>VLOOKUP(B721,'Player Data'!$A1:$AE734,20,FALSE)*$Q721</f>
        <v>230.32611690517081</v>
      </c>
      <c r="AG721" s="40">
        <f>VLOOKUP(B721,'Player Data'!$A1:$AE734,21,FALSE)*$Q721</f>
        <v>216.52264815960598</v>
      </c>
      <c r="AH721" s="41">
        <f>VLOOKUP(B721,'Player Data'!$A1:$AE734,22,FALSE)</f>
        <v>0.51544534731293801</v>
      </c>
      <c r="AI721" s="38"/>
      <c r="AJ721" s="42"/>
      <c r="AK721" s="40"/>
      <c r="AL721" s="40"/>
      <c r="AM721" s="40"/>
      <c r="AN721" s="40"/>
      <c r="AO721" s="40"/>
      <c r="AP721" s="40"/>
      <c r="AQ721" s="43"/>
      <c r="AR721" s="44"/>
      <c r="AS721" s="38"/>
    </row>
    <row r="722" spans="1:45" ht="21.2" customHeight="1">
      <c r="A722" s="181">
        <f t="shared" si="63"/>
        <v>721</v>
      </c>
      <c r="B722" s="8" t="s">
        <v>818</v>
      </c>
      <c r="C722" s="31" t="s">
        <v>104</v>
      </c>
      <c r="D722" s="32" t="str">
        <f>VLOOKUP(B722,'Player Data'!A1:D734,4,FALSE)</f>
        <v>C</v>
      </c>
      <c r="E722" s="33">
        <f>VLOOKUP(B722,'C'!A1:C208,3,FALSE)</f>
        <v>204</v>
      </c>
      <c r="F722" s="34" t="str">
        <f>VLOOKUP(B722,'Player Data'!A1:B734,2,FALSE)</f>
        <v>CGY</v>
      </c>
      <c r="G722" s="9">
        <f>VLOOKUP(B722,'Player Data'!A1:D734,3,FALSE)</f>
        <v>30</v>
      </c>
      <c r="H722" s="35">
        <f>IFERROR(VLOOKUP(B722,ADP!A1:G731,7,FALSE)/1000000,VLOOKUP(B722,ADP!A1:G731,7,FALSE))</f>
        <v>1.3</v>
      </c>
      <c r="I722" s="36">
        <f>IF(Settings!$E$15="POINTS",((R722*Q722)*Settings!$B$12)+(S722*Settings!$B$2)+(T722*Settings!$B$3)+(U722*Settings!$B$4)+(V722*Settings!$B$5)+(X722*Settings!$B$9)+(AA722*Settings!$B$6)+(W722*Settings!$B$8)+(AB722*Settings!$B$7)+(AC722*Settings!$B$14)+(AD722*Settings!$B$15)+(AE722*Settings!$B$16)+(AF722*Settings!$B$17)+(AG722*Settings!$B$18)+(Y722*Settings!$B$10)+(Z722*Settings!$B$11),VLOOKUP(B722,'Standard Deviations'!A1:C731,3,FALSE))</f>
        <v>-5.4379130103180264</v>
      </c>
      <c r="J722" s="37">
        <f t="shared" si="64"/>
        <v>-6.6316012320951537E-2</v>
      </c>
      <c r="K722" s="183">
        <f>IF(Settings!$E$18="C/LW/RW",VLOOKUP(B722,'C'!A1:F208,6,FALSE),VLOOKUP(B722,F!A1:F431,6,FALSE))</f>
        <v>-11.774963734524629</v>
      </c>
      <c r="L722" s="36">
        <f t="shared" si="65"/>
        <v>-9.0576644111727909</v>
      </c>
      <c r="M722" s="52" t="str">
        <f>IF(Settings!$E$9="YAHOO",VLOOKUP(B722,ADP!A1:E731,2,FALSE),IF(Settings!$E$9="ESPN",VLOOKUP(B722,ADP!A1:E731,3,FALSE),IF(Settings!$E$9="FANTRAX",VLOOKUP(B722,ADP!A1:E731,4,FALSE),VLOOKUP(B722,ADP!A1:E731,5,FALSE))))</f>
        <v>-</v>
      </c>
      <c r="N722" s="52" t="str">
        <f t="shared" si="66"/>
        <v>N/A</v>
      </c>
      <c r="O722" s="38"/>
      <c r="P722" s="39" t="str">
        <f>IF(Settings!$E$27="ON",_xlfn.XLOOKUP(B722,ADP!A2:A731,ADP!H2:H731)," ")</f>
        <v xml:space="preserve"> </v>
      </c>
      <c r="Q722" s="40">
        <f>IF(Settings!$E$12="YES",VLOOKUP(B722,'Player Data'!A1:E734,5,FALSE),82)</f>
        <v>82</v>
      </c>
      <c r="R722" s="38">
        <f>VLOOKUP(B722,'Player Data'!$A1:$AE734,6,FALSE)</f>
        <v>8.7664395912549296</v>
      </c>
      <c r="S722" s="40">
        <f>VLOOKUP(B722,'Player Data'!$A1:$AE734,7,FALSE)*$Q722*IFERROR((VLOOKUP(P722,Settings!$E$28:$F$33,2,FALSE)+1),1)</f>
        <v>5.4486612153772835</v>
      </c>
      <c r="T722" s="40">
        <f>VLOOKUP(B722,'Player Data'!$A1:$AE734,8,FALSE)*$Q722*IFERROR((VLOOKUP(P722,Settings!$E$28:$F$33,2,FALSE)+1),1)</f>
        <v>6.5418006650814178</v>
      </c>
      <c r="U722" s="40">
        <f t="shared" si="62"/>
        <v>11.990461880458701</v>
      </c>
      <c r="V722" s="40">
        <f>VLOOKUP(B722,'Player Data'!$A1:$AE734,10,FALSE)*$Q722*IFERROR(((VLOOKUP(P722,Settings!$E$28:$F$33,2,FALSE)/2)+1),1)</f>
        <v>67.63300217221007</v>
      </c>
      <c r="W722" s="40">
        <f>VLOOKUP(B722,'Player Data'!$A1:$AE734,11,FALSE)*$Q722*IFERROR((VLOOKUP(P722,Settings!$E$28:$F$33,2,FALSE)+1),1)</f>
        <v>6.3155038400262792E-2</v>
      </c>
      <c r="X722" s="40">
        <f>VLOOKUP(B722,'Player Data'!$A1:$AE734,12,FALSE)*$Q722*IFERROR((VLOOKUP(P722,Settings!$E$28:$F$33,2,FALSE)+1),1)</f>
        <v>0.16339174232448098</v>
      </c>
      <c r="Y722" s="40">
        <f>VLOOKUP(B722,'Player Data'!$A1:$AE734,13,FALSE)*$Q722</f>
        <v>4.8425521050301873E-2</v>
      </c>
      <c r="Z722" s="40">
        <f>VLOOKUP(B722,'Player Data'!$A1:$AE734,14,FALSE)*$Q722</f>
        <v>5.3621868652231591E-2</v>
      </c>
      <c r="AA722" s="40">
        <f>VLOOKUP(B722,'Player Data'!$A1:$AE734,15,FALSE)*$Q722</f>
        <v>35.075581125117807</v>
      </c>
      <c r="AB722" s="40">
        <f>VLOOKUP(B722,'Player Data'!$A1:$AE734,16,FALSE)*$Q722</f>
        <v>100.2612723184232</v>
      </c>
      <c r="AC722" s="40">
        <f>VLOOKUP(B722,'Player Data'!$A1:$AE734,17,FALSE)*$Q722*IFERROR((VLOOKUP(P722,Settings!$E$28:$F$33,2,FALSE)+1),1)</f>
        <v>0.88283080910088618</v>
      </c>
      <c r="AD722" s="40">
        <f>VLOOKUP(B722,'Player Data'!$A1:$AE734,18,FALSE)*$Q722</f>
        <v>22.6987101492387</v>
      </c>
      <c r="AE722" s="40">
        <f>VLOOKUP(B722,'Player Data'!$A1:$AE734,19,FALSE)*$Q722*IFERROR((VLOOKUP(P722,Settings!$E$28:$F$33,2,FALSE)+1),1)</f>
        <v>0.91046175426276732</v>
      </c>
      <c r="AF722" s="40">
        <f>VLOOKUP(B722,'Player Data'!$A1:$AE734,20,FALSE)*$Q722</f>
        <v>192.78255725713998</v>
      </c>
      <c r="AG722" s="40">
        <f>VLOOKUP(B722,'Player Data'!$A1:$AE734,21,FALSE)*$Q722</f>
        <v>240.37557059581016</v>
      </c>
      <c r="AH722" s="41">
        <f>VLOOKUP(B722,'Player Data'!$A1:$AE734,22,FALSE)</f>
        <v>0.44506277237070901</v>
      </c>
      <c r="AI722" s="38"/>
      <c r="AJ722" s="42"/>
      <c r="AK722" s="40"/>
      <c r="AL722" s="40"/>
      <c r="AM722" s="40"/>
      <c r="AN722" s="40"/>
      <c r="AO722" s="40"/>
      <c r="AP722" s="40"/>
      <c r="AQ722" s="43"/>
      <c r="AR722" s="44"/>
      <c r="AS722" s="38"/>
    </row>
    <row r="723" spans="1:45" ht="21.2" customHeight="1">
      <c r="A723" s="181">
        <f t="shared" si="63"/>
        <v>722</v>
      </c>
      <c r="B723" s="8" t="s">
        <v>775</v>
      </c>
      <c r="C723" s="31" t="s">
        <v>104</v>
      </c>
      <c r="D723" s="32" t="str">
        <f>VLOOKUP(B723,'Player Data'!A1:D734,4,FALSE)</f>
        <v>LW</v>
      </c>
      <c r="E723" s="48">
        <f>VLOOKUP(B723,LW!A1:C227,3,FALSE)</f>
        <v>221</v>
      </c>
      <c r="F723" s="34" t="str">
        <f>VLOOKUP(B723,'Player Data'!A1:B734,2,FALSE)</f>
        <v>NYI</v>
      </c>
      <c r="G723" s="9">
        <f>VLOOKUP(B723,'Player Data'!A1:D734,3,FALSE)</f>
        <v>34</v>
      </c>
      <c r="H723" s="35">
        <f>IFERROR(VLOOKUP(B723,ADP!A1:G731,7,FALSE)/1000000,VLOOKUP(B723,ADP!A1:G731,7,FALSE))</f>
        <v>1.5</v>
      </c>
      <c r="I723" s="36">
        <f>IF(Settings!$E$15="POINTS",((R723*Q723)*Settings!$B$12)+(S723*Settings!$B$2)+(T723*Settings!$B$3)+(U723*Settings!$B$4)+(V723*Settings!$B$5)+(X723*Settings!$B$9)+(AA723*Settings!$B$6)+(W723*Settings!$B$8)+(AB723*Settings!$B$7)+(AC723*Settings!$B$14)+(AD723*Settings!$B$15)+(AE723*Settings!$B$16)+(AF723*Settings!$B$17)+(AG723*Settings!$B$18)+(Y723*Settings!$B$10)+(Z723*Settings!$B$11),VLOOKUP(B723,'Standard Deviations'!A1:C731,3,FALSE))</f>
        <v>-5.1319470863537751</v>
      </c>
      <c r="J723" s="37">
        <f t="shared" si="64"/>
        <v>-6.2584720565289936E-2</v>
      </c>
      <c r="K723" s="183">
        <f>IF(Settings!$E$18="C/LW/RW",VLOOKUP(B723,LW!A1:F227,6,FALSE),VLOOKUP(B723,F!A1:F431,6,FALSE))</f>
        <v>-11.786616130478176</v>
      </c>
      <c r="L723" s="36">
        <f t="shared" si="65"/>
        <v>-7.8577440869854511</v>
      </c>
      <c r="M723" s="52" t="str">
        <f>IF(Settings!$E$9="YAHOO",VLOOKUP(B723,ADP!A1:E731,2,FALSE),IF(Settings!$E$9="ESPN",VLOOKUP(B723,ADP!A1:E731,3,FALSE),IF(Settings!$E$9="FANTRAX",VLOOKUP(B723,ADP!A1:E731,4,FALSE),VLOOKUP(B723,ADP!A1:E731,5,FALSE))))</f>
        <v>-</v>
      </c>
      <c r="N723" s="52" t="str">
        <f t="shared" si="66"/>
        <v>N/A</v>
      </c>
      <c r="O723" s="38"/>
      <c r="P723" s="39" t="str">
        <f>IF(Settings!$E$27="ON",_xlfn.XLOOKUP(B723,ADP!A2:A731,ADP!H2:H731)," ")</f>
        <v xml:space="preserve"> </v>
      </c>
      <c r="Q723" s="40">
        <f>IF(Settings!$E$12="YES",VLOOKUP(B723,'Player Data'!A1:E734,5,FALSE),82)</f>
        <v>82</v>
      </c>
      <c r="R723" s="38">
        <f>VLOOKUP(B723,'Player Data'!$A1:$AE734,6,FALSE)</f>
        <v>10.628550945429801</v>
      </c>
      <c r="S723" s="40">
        <f>VLOOKUP(B723,'Player Data'!$A1:$AE734,7,FALSE)*$Q723*IFERROR((VLOOKUP(P723,Settings!$E$28:$F$33,2,FALSE)+1),1)</f>
        <v>4.8196043848392218</v>
      </c>
      <c r="T723" s="40">
        <f>VLOOKUP(B723,'Player Data'!$A1:$AE734,8,FALSE)*$Q723*IFERROR((VLOOKUP(P723,Settings!$E$28:$F$33,2,FALSE)+1),1)</f>
        <v>7.9077560122640502</v>
      </c>
      <c r="U723" s="40">
        <f t="shared" si="62"/>
        <v>12.727360397103272</v>
      </c>
      <c r="V723" s="40">
        <f>VLOOKUP(B723,'Player Data'!$A1:$AE734,10,FALSE)*$Q723*IFERROR(((VLOOKUP(P723,Settings!$E$28:$F$33,2,FALSE)/2)+1),1)</f>
        <v>81.578697737372991</v>
      </c>
      <c r="W723" s="40">
        <f>VLOOKUP(B723,'Player Data'!$A1:$AE734,11,FALSE)*$Q723*IFERROR((VLOOKUP(P723,Settings!$E$28:$F$33,2,FALSE)+1),1)</f>
        <v>6.6047786596127714E-2</v>
      </c>
      <c r="X723" s="40">
        <f>VLOOKUP(B723,'Player Data'!$A1:$AE734,12,FALSE)*$Q723*IFERROR((VLOOKUP(P723,Settings!$E$28:$F$33,2,FALSE)+1),1)</f>
        <v>0.16944157737690962</v>
      </c>
      <c r="Y723" s="40">
        <f>VLOOKUP(B723,'Player Data'!$A1:$AE734,13,FALSE)*$Q723</f>
        <v>3.0443758500789935E-2</v>
      </c>
      <c r="Z723" s="40">
        <f>VLOOKUP(B723,'Player Data'!$A1:$AE734,14,FALSE)*$Q723</f>
        <v>5.0575615926240033E-2</v>
      </c>
      <c r="AA723" s="40">
        <f>VLOOKUP(B723,'Player Data'!$A1:$AE734,15,FALSE)*$Q723</f>
        <v>37.072826024479426</v>
      </c>
      <c r="AB723" s="40">
        <f>VLOOKUP(B723,'Player Data'!$A1:$AE734,16,FALSE)*$Q723</f>
        <v>254.02126258240227</v>
      </c>
      <c r="AC723" s="40">
        <f>VLOOKUP(B723,'Player Data'!$A1:$AE734,17,FALSE)*$Q723*IFERROR((VLOOKUP(P723,Settings!$E$28:$F$33,2,FALSE)+1),1)</f>
        <v>-1.0790769766406521</v>
      </c>
      <c r="AD723" s="40">
        <f>VLOOKUP(B723,'Player Data'!$A1:$AE734,18,FALSE)*$Q723</f>
        <v>45.691356667963525</v>
      </c>
      <c r="AE723" s="40">
        <f>VLOOKUP(B723,'Player Data'!$A1:$AE734,19,FALSE)*$Q723*IFERROR((VLOOKUP(P723,Settings!$E$28:$F$33,2,FALSE)+1),1)</f>
        <v>0.74473422120183852</v>
      </c>
      <c r="AF723" s="40">
        <f>VLOOKUP(B723,'Player Data'!$A1:$AE734,20,FALSE)*$Q723</f>
        <v>8.5042337034217184</v>
      </c>
      <c r="AG723" s="40">
        <f>VLOOKUP(B723,'Player Data'!$A1:$AE734,21,FALSE)*$Q723</f>
        <v>15.878206244289533</v>
      </c>
      <c r="AH723" s="41">
        <f>VLOOKUP(B723,'Player Data'!$A1:$AE734,22,FALSE)</f>
        <v>0.348785179894189</v>
      </c>
      <c r="AI723" s="38"/>
      <c r="AJ723" s="42"/>
      <c r="AK723" s="40"/>
      <c r="AL723" s="40"/>
      <c r="AM723" s="40"/>
      <c r="AN723" s="40"/>
      <c r="AO723" s="40"/>
      <c r="AP723" s="40"/>
      <c r="AQ723" s="43"/>
      <c r="AR723" s="44"/>
      <c r="AS723" s="38"/>
    </row>
    <row r="724" spans="1:45" ht="21.2" customHeight="1">
      <c r="A724" s="181">
        <f t="shared" si="63"/>
        <v>723</v>
      </c>
      <c r="B724" s="8" t="s">
        <v>794</v>
      </c>
      <c r="C724" s="31" t="s">
        <v>104</v>
      </c>
      <c r="D724" s="32" t="str">
        <f>VLOOKUP(B724,'Player Data'!A1:D734,4,FALSE)</f>
        <v>LW,RW</v>
      </c>
      <c r="E724" s="45">
        <f>VLOOKUP(B724,RW!A1:F189,3,FALSE)</f>
        <v>186</v>
      </c>
      <c r="F724" s="34" t="str">
        <f>VLOOKUP(B724,'Player Data'!A1:B734,2,FALSE)</f>
        <v>SJS</v>
      </c>
      <c r="G724" s="9">
        <f>VLOOKUP(B724,'Player Data'!A1:D734,3,FALSE)</f>
        <v>25</v>
      </c>
      <c r="H724" s="35">
        <f>IFERROR(VLOOKUP(B724,ADP!A1:G731,7,FALSE)/1000000,VLOOKUP(B724,ADP!A1:G731,7,FALSE))</f>
        <v>0.8</v>
      </c>
      <c r="I724" s="36">
        <f>IF(Settings!$E$15="POINTS",((R724*Q724)*Settings!$B$12)+(S724*Settings!$B$2)+(T724*Settings!$B$3)+(U724*Settings!$B$4)+(V724*Settings!$B$5)+(X724*Settings!$B$9)+(AA724*Settings!$B$6)+(W724*Settings!$B$8)+(AB724*Settings!$B$7)+(AC724*Settings!$B$14)+(AD724*Settings!$B$15)+(AE724*Settings!$B$16)+(AF724*Settings!$B$17)+(AG724*Settings!$B$18)+(Y724*Settings!$B$10)+(Z724*Settings!$B$11),VLOOKUP(B724,'Standard Deviations'!A1:C731,3,FALSE))</f>
        <v>-5.5446315249577207</v>
      </c>
      <c r="J724" s="37">
        <f t="shared" si="64"/>
        <v>-6.7617457621435617E-2</v>
      </c>
      <c r="K724" s="183">
        <f>IF(Settings!$E$18="C/LW/RW",VLOOKUP(B724,RW!A1:F189,6,FALSE),VLOOKUP(B724,F!A1:F431,6,FALSE))</f>
        <v>-11.824890243968802</v>
      </c>
      <c r="L724" s="36">
        <f t="shared" si="65"/>
        <v>-14.781112804961003</v>
      </c>
      <c r="M724" s="52" t="str">
        <f>IF(Settings!$E$9="YAHOO",VLOOKUP(B724,ADP!A1:E731,2,FALSE),IF(Settings!$E$9="ESPN",VLOOKUP(B724,ADP!A1:E731,3,FALSE),IF(Settings!$E$9="FANTRAX",VLOOKUP(B724,ADP!A1:E731,4,FALSE),VLOOKUP(B724,ADP!A1:E731,5,FALSE))))</f>
        <v>-</v>
      </c>
      <c r="N724" s="52" t="str">
        <f t="shared" si="66"/>
        <v>N/A</v>
      </c>
      <c r="O724" s="38"/>
      <c r="P724" s="39" t="str">
        <f>IF(Settings!$E$27="ON",_xlfn.XLOOKUP(B724,ADP!A2:A731,ADP!H2:H731)," ")</f>
        <v xml:space="preserve"> </v>
      </c>
      <c r="Q724" s="40">
        <f>IF(Settings!$E$12="YES",VLOOKUP(B724,'Player Data'!A1:E734,5,FALSE),82)</f>
        <v>82</v>
      </c>
      <c r="R724" s="38">
        <f>VLOOKUP(B724,'Player Data'!$A1:$AE734,6,FALSE)</f>
        <v>7.0133333333333301</v>
      </c>
      <c r="S724" s="40">
        <f>VLOOKUP(B724,'Player Data'!$A1:$AE734,7,FALSE)*$Q724*IFERROR((VLOOKUP(P724,Settings!$E$28:$F$33,2,FALSE)+1),1)</f>
        <v>4.8313268415847404</v>
      </c>
      <c r="T724" s="40">
        <f>VLOOKUP(B724,'Player Data'!$A1:$AE734,8,FALSE)*$Q724*IFERROR((VLOOKUP(P724,Settings!$E$28:$F$33,2,FALSE)+1),1)</f>
        <v>6.6813200384474181</v>
      </c>
      <c r="U724" s="40">
        <f t="shared" si="62"/>
        <v>11.512646880032158</v>
      </c>
      <c r="V724" s="40">
        <f>VLOOKUP(B724,'Player Data'!$A1:$AE734,10,FALSE)*$Q724*IFERROR(((VLOOKUP(P724,Settings!$E$28:$F$33,2,FALSE)/2)+1),1)</f>
        <v>65.561800965903799</v>
      </c>
      <c r="W724" s="40">
        <f>VLOOKUP(B724,'Player Data'!$A1:$AE734,11,FALSE)*$Q724*IFERROR((VLOOKUP(P724,Settings!$E$28:$F$33,2,FALSE)+1),1)</f>
        <v>5.861148033537357E-2</v>
      </c>
      <c r="X724" s="40">
        <f>VLOOKUP(B724,'Player Data'!$A1:$AE734,12,FALSE)*$Q724*IFERROR((VLOOKUP(P724,Settings!$E$28:$F$33,2,FALSE)+1),1)</f>
        <v>0.14487333592444029</v>
      </c>
      <c r="Y724" s="40">
        <f>VLOOKUP(B724,'Player Data'!$A1:$AE734,13,FALSE)*$Q724</f>
        <v>4.962649701506559E-3</v>
      </c>
      <c r="Z724" s="40">
        <f>VLOOKUP(B724,'Player Data'!$A1:$AE734,14,FALSE)*$Q724</f>
        <v>9.4453266592251107E-3</v>
      </c>
      <c r="AA724" s="40">
        <f>VLOOKUP(B724,'Player Data'!$A1:$AE734,15,FALSE)*$Q724</f>
        <v>22.185757041670108</v>
      </c>
      <c r="AB724" s="40">
        <f>VLOOKUP(B724,'Player Data'!$A1:$AE734,16,FALSE)*$Q724</f>
        <v>122.13652489699483</v>
      </c>
      <c r="AC724" s="40">
        <f>VLOOKUP(B724,'Player Data'!$A1:$AE734,17,FALSE)*$Q724*IFERROR((VLOOKUP(P724,Settings!$E$28:$F$33,2,FALSE)+1),1)</f>
        <v>-0.46696342664408474</v>
      </c>
      <c r="AD724" s="40">
        <f>VLOOKUP(B724,'Player Data'!$A1:$AE734,18,FALSE)*$Q724</f>
        <v>65.097164847608695</v>
      </c>
      <c r="AE724" s="40">
        <f>VLOOKUP(B724,'Player Data'!$A1:$AE734,19,FALSE)*$Q724*IFERROR((VLOOKUP(P724,Settings!$E$28:$F$33,2,FALSE)+1),1)</f>
        <v>0.59983702888279855</v>
      </c>
      <c r="AF724" s="40">
        <f>VLOOKUP(B724,'Player Data'!$A1:$AE734,20,FALSE)*$Q724</f>
        <v>0.15418508978025428</v>
      </c>
      <c r="AG724" s="40">
        <f>VLOOKUP(B724,'Player Data'!$A1:$AE734,21,FALSE)*$Q724</f>
        <v>0.49011495916592523</v>
      </c>
      <c r="AH724" s="41">
        <f>VLOOKUP(B724,'Player Data'!$A1:$AE734,22,FALSE)</f>
        <v>0.239306344974581</v>
      </c>
      <c r="AI724" s="38"/>
      <c r="AJ724" s="42"/>
      <c r="AK724" s="40"/>
      <c r="AL724" s="40"/>
      <c r="AM724" s="40"/>
      <c r="AN724" s="40"/>
      <c r="AO724" s="40"/>
      <c r="AP724" s="40"/>
      <c r="AQ724" s="43"/>
      <c r="AR724" s="44"/>
      <c r="AS724" s="38"/>
    </row>
    <row r="725" spans="1:45" ht="21.2" customHeight="1">
      <c r="A725" s="181">
        <f t="shared" si="63"/>
        <v>724</v>
      </c>
      <c r="B725" s="8" t="s">
        <v>786</v>
      </c>
      <c r="C725" s="31" t="s">
        <v>104</v>
      </c>
      <c r="D725" s="32" t="str">
        <f>VLOOKUP(B725,'Player Data'!A1:D734,4,FALSE)</f>
        <v>RW</v>
      </c>
      <c r="E725" s="46">
        <f>VLOOKUP(B725,RW!A1:F189,3,FALSE)</f>
        <v>187</v>
      </c>
      <c r="F725" s="34" t="str">
        <f>VLOOKUP(B725,'Player Data'!A1:B734,2,FALSE)</f>
        <v>TOR</v>
      </c>
      <c r="G725" s="9">
        <f>VLOOKUP(B725,'Player Data'!A1:D734,3,FALSE)</f>
        <v>36</v>
      </c>
      <c r="H725" s="35">
        <f>IFERROR(VLOOKUP(B725,ADP!A1:G731,7,FALSE)/1000000,VLOOKUP(B725,ADP!A1:G731,7,FALSE))</f>
        <v>1.3</v>
      </c>
      <c r="I725" s="36">
        <f>IF(Settings!$E$15="POINTS",((R725*Q725)*Settings!$B$12)+(S725*Settings!$B$2)+(T725*Settings!$B$3)+(U725*Settings!$B$4)+(V725*Settings!$B$5)+(X725*Settings!$B$9)+(AA725*Settings!$B$6)+(W725*Settings!$B$8)+(AB725*Settings!$B$7)+(AC725*Settings!$B$14)+(AD725*Settings!$B$15)+(AE725*Settings!$B$16)+(AF725*Settings!$B$17)+(AG725*Settings!$B$18)+(Y725*Settings!$B$10)+(Z725*Settings!$B$11),VLOOKUP(B725,'Standard Deviations'!A1:C731,3,FALSE))</f>
        <v>-5.5537886752010071</v>
      </c>
      <c r="J725" s="37">
        <f t="shared" si="64"/>
        <v>-6.7729130185378128E-2</v>
      </c>
      <c r="K725" s="183">
        <f>IF(Settings!$E$18="C/LW/RW",VLOOKUP(B725,RW!A1:F189,6,FALSE),VLOOKUP(B725,F!A1:F431,6,FALSE))</f>
        <v>-11.834047394212089</v>
      </c>
      <c r="L725" s="36">
        <f t="shared" si="65"/>
        <v>-9.1031133801631441</v>
      </c>
      <c r="M725" s="52" t="str">
        <f>IF(Settings!$E$9="YAHOO",VLOOKUP(B725,ADP!A1:E731,2,FALSE),IF(Settings!$E$9="ESPN",VLOOKUP(B725,ADP!A1:E731,3,FALSE),IF(Settings!$E$9="FANTRAX",VLOOKUP(B725,ADP!A1:E731,4,FALSE),VLOOKUP(B725,ADP!A1:E731,5,FALSE))))</f>
        <v>-</v>
      </c>
      <c r="N725" s="52" t="str">
        <f t="shared" si="66"/>
        <v>N/A</v>
      </c>
      <c r="O725" s="38"/>
      <c r="P725" s="39" t="str">
        <f>IF(Settings!$E$27="ON",_xlfn.XLOOKUP(B725,ADP!A2:A731,ADP!H2:H731)," ")</f>
        <v xml:space="preserve"> </v>
      </c>
      <c r="Q725" s="40">
        <f>IF(Settings!$E$12="YES",VLOOKUP(B725,'Player Data'!A1:E734,5,FALSE),82)</f>
        <v>82</v>
      </c>
      <c r="R725" s="38">
        <f>VLOOKUP(B725,'Player Data'!$A1:$AE734,6,FALSE)</f>
        <v>9.3171298949856904</v>
      </c>
      <c r="S725" s="40">
        <f>VLOOKUP(B725,'Player Data'!$A1:$AE734,7,FALSE)*$Q725*IFERROR((VLOOKUP(P725,Settings!$E$28:$F$33,2,FALSE)+1),1)</f>
        <v>4.3440377591475325</v>
      </c>
      <c r="T725" s="40">
        <f>VLOOKUP(B725,'Player Data'!$A1:$AE734,8,FALSE)*$Q725*IFERROR((VLOOKUP(P725,Settings!$E$28:$F$33,2,FALSE)+1),1)</f>
        <v>8.5954798171446498</v>
      </c>
      <c r="U725" s="40">
        <f t="shared" si="62"/>
        <v>12.939517576292182</v>
      </c>
      <c r="V725" s="40">
        <f>VLOOKUP(B725,'Player Data'!$A1:$AE734,10,FALSE)*$Q725*IFERROR(((VLOOKUP(P725,Settings!$E$28:$F$33,2,FALSE)/2)+1),1)</f>
        <v>56.193194640675216</v>
      </c>
      <c r="W725" s="40">
        <f>VLOOKUP(B725,'Player Data'!$A1:$AE734,11,FALSE)*$Q725*IFERROR((VLOOKUP(P725,Settings!$E$28:$F$33,2,FALSE)+1),1)</f>
        <v>2.7346287860107531E-2</v>
      </c>
      <c r="X725" s="40">
        <f>VLOOKUP(B725,'Player Data'!$A1:$AE734,12,FALSE)*$Q725*IFERROR((VLOOKUP(P725,Settings!$E$28:$F$33,2,FALSE)+1),1)</f>
        <v>7.4283539861166731E-2</v>
      </c>
      <c r="Y725" s="40">
        <f>VLOOKUP(B725,'Player Data'!$A1:$AE734,13,FALSE)*$Q725</f>
        <v>2.3869592331507167E-3</v>
      </c>
      <c r="Z725" s="40">
        <f>VLOOKUP(B725,'Player Data'!$A1:$AE734,14,FALSE)*$Q725</f>
        <v>3.9741075361622623E-3</v>
      </c>
      <c r="AA725" s="40">
        <f>VLOOKUP(B725,'Player Data'!$A1:$AE734,15,FALSE)*$Q725</f>
        <v>25.105331085660424</v>
      </c>
      <c r="AB725" s="40">
        <f>VLOOKUP(B725,'Player Data'!$A1:$AE734,16,FALSE)*$Q725</f>
        <v>220.63404284744723</v>
      </c>
      <c r="AC725" s="40">
        <f>VLOOKUP(B725,'Player Data'!$A1:$AE734,17,FALSE)*$Q725*IFERROR((VLOOKUP(P725,Settings!$E$28:$F$33,2,FALSE)+1),1)</f>
        <v>2.7712351159974697</v>
      </c>
      <c r="AD725" s="40">
        <f>VLOOKUP(B725,'Player Data'!$A1:$AE734,18,FALSE)*$Q725</f>
        <v>40.038980107917986</v>
      </c>
      <c r="AE725" s="40">
        <f>VLOOKUP(B725,'Player Data'!$A1:$AE734,19,FALSE)*$Q725*IFERROR((VLOOKUP(P725,Settings!$E$28:$F$33,2,FALSE)+1),1)</f>
        <v>0.69786851137931671</v>
      </c>
      <c r="AF725" s="40">
        <f>VLOOKUP(B725,'Player Data'!$A1:$AE734,20,FALSE)*$Q725</f>
        <v>6.100429667172877</v>
      </c>
      <c r="AG725" s="40">
        <f>VLOOKUP(B725,'Player Data'!$A1:$AE734,21,FALSE)*$Q725</f>
        <v>10.521952819986712</v>
      </c>
      <c r="AH725" s="41">
        <f>VLOOKUP(B725,'Player Data'!$A1:$AE734,22,FALSE)</f>
        <v>0.36700092010789198</v>
      </c>
      <c r="AI725" s="38"/>
      <c r="AJ725" s="42"/>
      <c r="AK725" s="40"/>
      <c r="AL725" s="40"/>
      <c r="AM725" s="40"/>
      <c r="AN725" s="40"/>
      <c r="AO725" s="40"/>
      <c r="AP725" s="40"/>
      <c r="AQ725" s="43"/>
      <c r="AR725" s="44"/>
      <c r="AS725" s="38"/>
    </row>
    <row r="726" spans="1:45" ht="21.2" customHeight="1">
      <c r="A726" s="181">
        <f t="shared" si="63"/>
        <v>725</v>
      </c>
      <c r="B726" s="8" t="s">
        <v>811</v>
      </c>
      <c r="C726" s="31" t="s">
        <v>104</v>
      </c>
      <c r="D726" s="32" t="str">
        <f>VLOOKUP(B726,'Player Data'!A1:D734,4,FALSE)</f>
        <v>C</v>
      </c>
      <c r="E726" s="33">
        <f>VLOOKUP(B726,'C'!A1:C208,3,FALSE)</f>
        <v>205</v>
      </c>
      <c r="F726" s="34" t="str">
        <f>VLOOKUP(B726,'Player Data'!A1:B734,2,FALSE)</f>
        <v>TBL</v>
      </c>
      <c r="G726" s="9">
        <f>VLOOKUP(B726,'Player Data'!A1:D734,3,FALSE)</f>
        <v>34</v>
      </c>
      <c r="H726" s="35">
        <f>IFERROR(VLOOKUP(B726,ADP!A1:G731,7,FALSE)/1000000,VLOOKUP(B726,ADP!A1:G731,7,FALSE))</f>
        <v>0.8</v>
      </c>
      <c r="I726" s="36">
        <f>IF(Settings!$E$15="POINTS",((R726*Q726)*Settings!$B$12)+(S726*Settings!$B$2)+(T726*Settings!$B$3)+(U726*Settings!$B$4)+(V726*Settings!$B$5)+(X726*Settings!$B$9)+(AA726*Settings!$B$6)+(W726*Settings!$B$8)+(AB726*Settings!$B$7)+(AC726*Settings!$B$14)+(AD726*Settings!$B$15)+(AE726*Settings!$B$16)+(AF726*Settings!$B$17)+(AG726*Settings!$B$18)+(Y726*Settings!$B$10)+(Z726*Settings!$B$11),VLOOKUP(B726,'Standard Deviations'!A1:C731,3,FALSE))</f>
        <v>-5.5105457446545163</v>
      </c>
      <c r="J726" s="37">
        <f t="shared" si="64"/>
        <v>-6.7201777373835564E-2</v>
      </c>
      <c r="K726" s="183">
        <f>IF(Settings!$E$18="C/LW/RW",VLOOKUP(B726,'C'!A1:F208,6,FALSE),VLOOKUP(B726,F!A1:F431,6,FALSE))</f>
        <v>-11.84759646886112</v>
      </c>
      <c r="L726" s="36">
        <f t="shared" si="65"/>
        <v>-14.8094955860764</v>
      </c>
      <c r="M726" s="52" t="str">
        <f>IF(Settings!$E$9="YAHOO",VLOOKUP(B726,ADP!A1:E731,2,FALSE),IF(Settings!$E$9="ESPN",VLOOKUP(B726,ADP!A1:E731,3,FALSE),IF(Settings!$E$9="FANTRAX",VLOOKUP(B726,ADP!A1:E731,4,FALSE),VLOOKUP(B726,ADP!A1:E731,5,FALSE))))</f>
        <v>-</v>
      </c>
      <c r="N726" s="52" t="str">
        <f t="shared" si="66"/>
        <v>N/A</v>
      </c>
      <c r="O726" s="38"/>
      <c r="P726" s="39" t="str">
        <f>IF(Settings!$E$27="ON",_xlfn.XLOOKUP(B726,ADP!A2:A731,ADP!H2:H731)," ")</f>
        <v xml:space="preserve"> </v>
      </c>
      <c r="Q726" s="40">
        <f>IF(Settings!$E$12="YES",VLOOKUP(B726,'Player Data'!A1:E734,5,FALSE),82)</f>
        <v>82</v>
      </c>
      <c r="R726" s="38">
        <f>VLOOKUP(B726,'Player Data'!$A1:$AE734,6,FALSE)</f>
        <v>11.5499818994991</v>
      </c>
      <c r="S726" s="40">
        <f>VLOOKUP(B726,'Player Data'!$A1:$AE734,7,FALSE)*$Q726*IFERROR((VLOOKUP(P726,Settings!$E$28:$F$33,2,FALSE)+1),1)</f>
        <v>4.6749966070227931</v>
      </c>
      <c r="T726" s="40">
        <f>VLOOKUP(B726,'Player Data'!$A1:$AE734,8,FALSE)*$Q726*IFERROR((VLOOKUP(P726,Settings!$E$28:$F$33,2,FALSE)+1),1)</f>
        <v>4.871099381623579</v>
      </c>
      <c r="U726" s="40">
        <f t="shared" ref="U726:U730" si="67">SUM(S726:T726)</f>
        <v>9.5460959886463712</v>
      </c>
      <c r="V726" s="40">
        <f>VLOOKUP(B726,'Player Data'!$A1:$AE734,10,FALSE)*$Q726*IFERROR(((VLOOKUP(P726,Settings!$E$28:$F$33,2,FALSE)/2)+1),1)</f>
        <v>81.351994453183735</v>
      </c>
      <c r="W726" s="40">
        <f>VLOOKUP(B726,'Player Data'!$A1:$AE734,11,FALSE)*$Q726*IFERROR((VLOOKUP(P726,Settings!$E$28:$F$33,2,FALSE)+1),1)</f>
        <v>5.8818391866739088E-2</v>
      </c>
      <c r="X726" s="40">
        <f>VLOOKUP(B726,'Player Data'!$A1:$AE734,12,FALSE)*$Q726*IFERROR((VLOOKUP(P726,Settings!$E$28:$F$33,2,FALSE)+1),1)</f>
        <v>0.16658537310767502</v>
      </c>
      <c r="Y726" s="40">
        <f>VLOOKUP(B726,'Player Data'!$A1:$AE734,13,FALSE)*$Q726</f>
        <v>0.75190228148912819</v>
      </c>
      <c r="Z726" s="40">
        <f>VLOOKUP(B726,'Player Data'!$A1:$AE734,14,FALSE)*$Q726</f>
        <v>1.0892483581800136</v>
      </c>
      <c r="AA726" s="40">
        <f>VLOOKUP(B726,'Player Data'!$A1:$AE734,15,FALSE)*$Q726</f>
        <v>57.281989433187334</v>
      </c>
      <c r="AB726" s="40">
        <f>VLOOKUP(B726,'Player Data'!$A1:$AE734,16,FALSE)*$Q726</f>
        <v>132.55928556095435</v>
      </c>
      <c r="AC726" s="40">
        <f>VLOOKUP(B726,'Player Data'!$A1:$AE734,17,FALSE)*$Q726*IFERROR((VLOOKUP(P726,Settings!$E$28:$F$33,2,FALSE)+1),1)</f>
        <v>-1.2924234082501875</v>
      </c>
      <c r="AD726" s="40">
        <f>VLOOKUP(B726,'Player Data'!$A1:$AE734,18,FALSE)*$Q726</f>
        <v>23.317180849512326</v>
      </c>
      <c r="AE726" s="40">
        <f>VLOOKUP(B726,'Player Data'!$A1:$AE734,19,FALSE)*$Q726*IFERROR((VLOOKUP(P726,Settings!$E$28:$F$33,2,FALSE)+1),1)</f>
        <v>0.73163866719450543</v>
      </c>
      <c r="AF726" s="40">
        <f>VLOOKUP(B726,'Player Data'!$A1:$AE734,20,FALSE)*$Q726</f>
        <v>420.39169549720225</v>
      </c>
      <c r="AG726" s="40">
        <f>VLOOKUP(B726,'Player Data'!$A1:$AE734,21,FALSE)*$Q726</f>
        <v>288.76132008709698</v>
      </c>
      <c r="AH726" s="41">
        <f>VLOOKUP(B726,'Player Data'!$A1:$AE734,22,FALSE)</f>
        <v>0.59280816165016903</v>
      </c>
      <c r="AI726" s="38"/>
      <c r="AJ726" s="42"/>
      <c r="AK726" s="40"/>
      <c r="AL726" s="40"/>
      <c r="AM726" s="40"/>
      <c r="AN726" s="40"/>
      <c r="AO726" s="40"/>
      <c r="AP726" s="40"/>
      <c r="AQ726" s="43"/>
      <c r="AR726" s="44"/>
      <c r="AS726" s="38"/>
    </row>
    <row r="727" spans="1:45" ht="21.2" customHeight="1">
      <c r="A727" s="181">
        <f t="shared" si="63"/>
        <v>726</v>
      </c>
      <c r="B727" s="8" t="s">
        <v>821</v>
      </c>
      <c r="C727" s="31" t="s">
        <v>104</v>
      </c>
      <c r="D727" s="32" t="str">
        <f>VLOOKUP(B727,'Player Data'!A1:D734,4,FALSE)</f>
        <v>C</v>
      </c>
      <c r="E727" s="33">
        <f>VLOOKUP(B727,'C'!A1:C208,3,FALSE)</f>
        <v>206</v>
      </c>
      <c r="F727" s="34" t="str">
        <f>VLOOKUP(B727,'Player Data'!A1:B734,2,FALSE)</f>
        <v>SJS</v>
      </c>
      <c r="G727" s="9">
        <f>VLOOKUP(B727,'Player Data'!A1:D734,3,FALSE)</f>
        <v>32</v>
      </c>
      <c r="H727" s="35">
        <f>IFERROR(VLOOKUP(B727,ADP!A1:G731,7,FALSE)/1000000,VLOOKUP(B727,ADP!A1:G731,7,FALSE))</f>
        <v>0.82279999999999998</v>
      </c>
      <c r="I727" s="36">
        <f>IF(Settings!$E$15="POINTS",((R727*Q727)*Settings!$B$12)+(S727*Settings!$B$2)+(T727*Settings!$B$3)+(U727*Settings!$B$4)+(V727*Settings!$B$5)+(X727*Settings!$B$9)+(AA727*Settings!$B$6)+(W727*Settings!$B$8)+(AB727*Settings!$B$7)+(AC727*Settings!$B$14)+(AD727*Settings!$B$15)+(AE727*Settings!$B$16)+(AF727*Settings!$B$17)+(AG727*Settings!$B$18)+(Y727*Settings!$B$10)+(Z727*Settings!$B$11),VLOOKUP(B727,'Standard Deviations'!A1:C731,3,FALSE))</f>
        <v>-5.6763688712292799</v>
      </c>
      <c r="J727" s="37">
        <f t="shared" si="64"/>
        <v>-6.9224010624747312E-2</v>
      </c>
      <c r="K727" s="183">
        <f>IF(Settings!$E$18="C/LW/RW",VLOOKUP(B727,'C'!A1:F208,6,FALSE),VLOOKUP(B727,F!A1:F431,6,FALSE))</f>
        <v>-12.013419595435883</v>
      </c>
      <c r="L727" s="36">
        <f t="shared" si="65"/>
        <v>-14.600655803884155</v>
      </c>
      <c r="M727" s="52" t="str">
        <f>IF(Settings!$E$9="YAHOO",VLOOKUP(B727,ADP!A1:E731,2,FALSE),IF(Settings!$E$9="ESPN",VLOOKUP(B727,ADP!A1:E731,3,FALSE),IF(Settings!$E$9="FANTRAX",VLOOKUP(B727,ADP!A1:E731,4,FALSE),VLOOKUP(B727,ADP!A1:E731,5,FALSE))))</f>
        <v>-</v>
      </c>
      <c r="N727" s="52" t="str">
        <f t="shared" si="66"/>
        <v>N/A</v>
      </c>
      <c r="O727" s="38"/>
      <c r="P727" s="39" t="str">
        <f>IF(Settings!$E$27="ON",_xlfn.XLOOKUP(B727,ADP!A2:A731,ADP!H2:H731)," ")</f>
        <v xml:space="preserve"> </v>
      </c>
      <c r="Q727" s="40">
        <f>IF(Settings!$E$12="YES",VLOOKUP(B727,'Player Data'!A1:E734,5,FALSE),82)</f>
        <v>82</v>
      </c>
      <c r="R727" s="38">
        <f>VLOOKUP(B727,'Player Data'!$A1:$AE734,6,FALSE)</f>
        <v>9.1511688311688406</v>
      </c>
      <c r="S727" s="40">
        <f>VLOOKUP(B727,'Player Data'!$A1:$AE734,7,FALSE)*$Q727*IFERROR((VLOOKUP(P727,Settings!$E$28:$F$33,2,FALSE)+1),1)</f>
        <v>3.6021944559320525</v>
      </c>
      <c r="T727" s="40">
        <f>VLOOKUP(B727,'Player Data'!$A1:$AE734,8,FALSE)*$Q727*IFERROR((VLOOKUP(P727,Settings!$E$28:$F$33,2,FALSE)+1),1)</f>
        <v>6.7745994239624965</v>
      </c>
      <c r="U727" s="40">
        <f t="shared" si="67"/>
        <v>10.376793879894549</v>
      </c>
      <c r="V727" s="40">
        <f>VLOOKUP(B727,'Player Data'!$A1:$AE734,10,FALSE)*$Q727*IFERROR(((VLOOKUP(P727,Settings!$E$28:$F$33,2,FALSE)/2)+1),1)</f>
        <v>67.098391223191967</v>
      </c>
      <c r="W727" s="40">
        <f>VLOOKUP(B727,'Player Data'!$A1:$AE734,11,FALSE)*$Q727*IFERROR((VLOOKUP(P727,Settings!$E$28:$F$33,2,FALSE)+1),1)</f>
        <v>6.6635824416074893E-2</v>
      </c>
      <c r="X727" s="40">
        <f>VLOOKUP(B727,'Player Data'!$A1:$AE734,12,FALSE)*$Q727*IFERROR((VLOOKUP(P727,Settings!$E$28:$F$33,2,FALSE)+1),1)</f>
        <v>0.18066939784545666</v>
      </c>
      <c r="Y727" s="40">
        <f>VLOOKUP(B727,'Player Data'!$A1:$AE734,13,FALSE)*$Q727</f>
        <v>0.19769103156378307</v>
      </c>
      <c r="Z727" s="40">
        <f>VLOOKUP(B727,'Player Data'!$A1:$AE734,14,FALSE)*$Q727</f>
        <v>0.15247883004815463</v>
      </c>
      <c r="AA727" s="40">
        <f>VLOOKUP(B727,'Player Data'!$A1:$AE734,15,FALSE)*$Q727</f>
        <v>36.290354820991965</v>
      </c>
      <c r="AB727" s="40">
        <f>VLOOKUP(B727,'Player Data'!$A1:$AE734,16,FALSE)*$Q727</f>
        <v>120.9851998494412</v>
      </c>
      <c r="AC727" s="40">
        <f>VLOOKUP(B727,'Player Data'!$A1:$AE734,17,FALSE)*$Q727*IFERROR((VLOOKUP(P727,Settings!$E$28:$F$33,2,FALSE)+1),1)</f>
        <v>-0.58762153868274014</v>
      </c>
      <c r="AD727" s="40">
        <f>VLOOKUP(B727,'Player Data'!$A1:$AE734,18,FALSE)*$Q727</f>
        <v>24.330171547812611</v>
      </c>
      <c r="AE727" s="40">
        <f>VLOOKUP(B727,'Player Data'!$A1:$AE734,19,FALSE)*$Q727*IFERROR((VLOOKUP(P727,Settings!$E$28:$F$33,2,FALSE)+1),1)</f>
        <v>0.44723317025590087</v>
      </c>
      <c r="AF727" s="40">
        <f>VLOOKUP(B727,'Player Data'!$A1:$AE734,20,FALSE)*$Q727</f>
        <v>184.14795618860779</v>
      </c>
      <c r="AG727" s="40">
        <f>VLOOKUP(B727,'Player Data'!$A1:$AE734,21,FALSE)*$Q727</f>
        <v>175.63376144121318</v>
      </c>
      <c r="AH727" s="41">
        <f>VLOOKUP(B727,'Player Data'!$A1:$AE734,22,FALSE)</f>
        <v>0.51183244496619396</v>
      </c>
      <c r="AI727" s="38"/>
      <c r="AJ727" s="40"/>
      <c r="AK727" s="40"/>
      <c r="AL727" s="40"/>
      <c r="AM727" s="40"/>
      <c r="AN727" s="40"/>
      <c r="AO727" s="40"/>
      <c r="AP727" s="40"/>
      <c r="AQ727" s="43"/>
      <c r="AR727" s="44"/>
      <c r="AS727" s="38"/>
    </row>
    <row r="728" spans="1:45" ht="21.2" customHeight="1">
      <c r="A728" s="181">
        <f t="shared" si="63"/>
        <v>727</v>
      </c>
      <c r="B728" s="8" t="s">
        <v>789</v>
      </c>
      <c r="C728" s="31" t="s">
        <v>104</v>
      </c>
      <c r="D728" s="32" t="str">
        <f>VLOOKUP(B728,'Player Data'!A1:D734,4,FALSE)</f>
        <v>LW</v>
      </c>
      <c r="E728" s="48">
        <f>VLOOKUP(B728,LW!A1:C227,3,FALSE)</f>
        <v>222</v>
      </c>
      <c r="F728" s="34" t="str">
        <f>VLOOKUP(B728,'Player Data'!A1:B734,2,FALSE)</f>
        <v>PHI</v>
      </c>
      <c r="G728" s="9">
        <f>VLOOKUP(B728,'Player Data'!A1:D734,3,FALSE)</f>
        <v>32</v>
      </c>
      <c r="H728" s="35">
        <f>IFERROR(VLOOKUP(B728,ADP!A1:G731,7,FALSE)/1000000,VLOOKUP(B728,ADP!A1:G731,7,FALSE))</f>
        <v>1.75</v>
      </c>
      <c r="I728" s="36">
        <f>IF(Settings!$E$15="POINTS",((R728*Q728)*Settings!$B$12)+(S728*Settings!$B$2)+(T728*Settings!$B$3)+(U728*Settings!$B$4)+(V728*Settings!$B$5)+(X728*Settings!$B$9)+(AA728*Settings!$B$6)+(W728*Settings!$B$8)+(AB728*Settings!$B$7)+(AC728*Settings!$B$14)+(AD728*Settings!$B$15)+(AE728*Settings!$B$16)+(AF728*Settings!$B$17)+(AG728*Settings!$B$18)+(Y728*Settings!$B$10)+(Z728*Settings!$B$11),VLOOKUP(B728,'Standard Deviations'!A1:C731,3,FALSE))</f>
        <v>-5.3846071864428602</v>
      </c>
      <c r="J728" s="37">
        <f t="shared" si="64"/>
        <v>-6.566594129808366E-2</v>
      </c>
      <c r="K728" s="183">
        <f>IF(Settings!$E$18="C/LW/RW",VLOOKUP(B728,LW!A1:F227,6,FALSE),VLOOKUP(B728,F!A1:F431,6,FALSE))</f>
        <v>-12.03927623056726</v>
      </c>
      <c r="L728" s="36">
        <f t="shared" si="65"/>
        <v>-6.8795864174670056</v>
      </c>
      <c r="M728" s="52" t="str">
        <f>IF(Settings!$E$9="YAHOO",VLOOKUP(B728,ADP!A1:E731,2,FALSE),IF(Settings!$E$9="ESPN",VLOOKUP(B728,ADP!A1:E731,3,FALSE),IF(Settings!$E$9="FANTRAX",VLOOKUP(B728,ADP!A1:E731,4,FALSE),VLOOKUP(B728,ADP!A1:E731,5,FALSE))))</f>
        <v>-</v>
      </c>
      <c r="N728" s="52" t="str">
        <f t="shared" si="66"/>
        <v>N/A</v>
      </c>
      <c r="O728" s="38"/>
      <c r="P728" s="39" t="str">
        <f>IF(Settings!$E$27="ON",_xlfn.XLOOKUP(B728,ADP!A2:A731,ADP!H2:H731)," ")</f>
        <v xml:space="preserve"> </v>
      </c>
      <c r="Q728" s="40">
        <f>IF(Settings!$E$12="YES",VLOOKUP(B728,'Player Data'!A1:E734,5,FALSE),82)</f>
        <v>82</v>
      </c>
      <c r="R728" s="38">
        <f>VLOOKUP(B728,'Player Data'!$A1:$AE734,6,FALSE)</f>
        <v>9.5094357328506103</v>
      </c>
      <c r="S728" s="40">
        <f>VLOOKUP(B728,'Player Data'!$A1:$AE734,7,FALSE)*$Q728*IFERROR((VLOOKUP(P728,Settings!$E$28:$F$33,2,FALSE)+1),1)</f>
        <v>5.6460729509014165</v>
      </c>
      <c r="T728" s="40">
        <f>VLOOKUP(B728,'Player Data'!$A1:$AE734,8,FALSE)*$Q728*IFERROR((VLOOKUP(P728,Settings!$E$28:$F$33,2,FALSE)+1),1)</f>
        <v>5.6645802551799393</v>
      </c>
      <c r="U728" s="40">
        <f t="shared" si="67"/>
        <v>11.310653206081355</v>
      </c>
      <c r="V728" s="40">
        <f>VLOOKUP(B728,'Player Data'!$A1:$AE734,10,FALSE)*$Q728*IFERROR(((VLOOKUP(P728,Settings!$E$28:$F$33,2,FALSE)/2)+1),1)</f>
        <v>75.359988527803978</v>
      </c>
      <c r="W728" s="40">
        <f>VLOOKUP(B728,'Player Data'!$A1:$AE734,11,FALSE)*$Q728*IFERROR((VLOOKUP(P728,Settings!$E$28:$F$33,2,FALSE)+1),1)</f>
        <v>5.5226085168982676E-2</v>
      </c>
      <c r="X728" s="40">
        <f>VLOOKUP(B728,'Player Data'!$A1:$AE734,12,FALSE)*$Q728*IFERROR((VLOOKUP(P728,Settings!$E$28:$F$33,2,FALSE)+1),1)</f>
        <v>0.14698869513463009</v>
      </c>
      <c r="Y728" s="40">
        <f>VLOOKUP(B728,'Player Data'!$A1:$AE734,13,FALSE)*$Q728</f>
        <v>0.13120808926450631</v>
      </c>
      <c r="Z728" s="40">
        <f>VLOOKUP(B728,'Player Data'!$A1:$AE734,14,FALSE)*$Q728</f>
        <v>0.12535928633588392</v>
      </c>
      <c r="AA728" s="40">
        <f>VLOOKUP(B728,'Player Data'!$A1:$AE734,15,FALSE)*$Q728</f>
        <v>28.858164187886295</v>
      </c>
      <c r="AB728" s="40">
        <f>VLOOKUP(B728,'Player Data'!$A1:$AE734,16,FALSE)*$Q728</f>
        <v>257.27016693086335</v>
      </c>
      <c r="AC728" s="40">
        <f>VLOOKUP(B728,'Player Data'!$A1:$AE734,17,FALSE)*$Q728*IFERROR((VLOOKUP(P728,Settings!$E$28:$F$33,2,FALSE)+1),1)</f>
        <v>-7.1153874378900817</v>
      </c>
      <c r="AD728" s="40">
        <f>VLOOKUP(B728,'Player Data'!$A1:$AE734,18,FALSE)*$Q728</f>
        <v>67.040960891909705</v>
      </c>
      <c r="AE728" s="40">
        <f>VLOOKUP(B728,'Player Data'!$A1:$AE734,19,FALSE)*$Q728*IFERROR((VLOOKUP(P728,Settings!$E$28:$F$33,2,FALSE)+1),1)</f>
        <v>0.66367127206652121</v>
      </c>
      <c r="AF728" s="40">
        <f>VLOOKUP(B728,'Player Data'!$A1:$AE734,20,FALSE)*$Q728</f>
        <v>2.3034613845752725</v>
      </c>
      <c r="AG728" s="40">
        <f>VLOOKUP(B728,'Player Data'!$A1:$AE734,21,FALSE)*$Q728</f>
        <v>6.5670454136400336</v>
      </c>
      <c r="AH728" s="41">
        <f>VLOOKUP(B728,'Player Data'!$A1:$AE734,22,FALSE)</f>
        <v>0.25967641274326198</v>
      </c>
      <c r="AI728" s="38"/>
      <c r="AJ728" s="42"/>
      <c r="AK728" s="40"/>
      <c r="AL728" s="40"/>
      <c r="AM728" s="40"/>
      <c r="AN728" s="40"/>
      <c r="AO728" s="40"/>
      <c r="AP728" s="40"/>
      <c r="AQ728" s="43"/>
      <c r="AR728" s="44"/>
      <c r="AS728" s="38"/>
    </row>
    <row r="729" spans="1:45" ht="21.2" customHeight="1">
      <c r="A729" s="181">
        <f t="shared" si="63"/>
        <v>728</v>
      </c>
      <c r="B729" s="8" t="s">
        <v>797</v>
      </c>
      <c r="C729" s="31" t="s">
        <v>104</v>
      </c>
      <c r="D729" s="32" t="str">
        <f>VLOOKUP(B729,'Player Data'!A1:D734,4,FALSE)</f>
        <v>C,LW</v>
      </c>
      <c r="E729" s="45">
        <f>VLOOKUP(B729,LW!A1:C227,3,FALSE)</f>
        <v>223</v>
      </c>
      <c r="F729" s="34" t="str">
        <f>VLOOKUP(B729,'Player Data'!A1:B734,2,FALSE)</f>
        <v>SEA</v>
      </c>
      <c r="G729" s="9">
        <f>VLOOKUP(B729,'Player Data'!A1:D734,3,FALSE)</f>
        <v>38</v>
      </c>
      <c r="H729" s="35">
        <f>IFERROR(VLOOKUP(B729,ADP!A1:G731,7,FALSE)/1000000,VLOOKUP(B729,ADP!A1:G731,7,FALSE))</f>
        <v>0.77500000000000002</v>
      </c>
      <c r="I729" s="36">
        <f>IF(Settings!$E$15="POINTS",((R729*Q729)*Settings!$B$12)+(S729*Settings!$B$2)+(T729*Settings!$B$3)+(U729*Settings!$B$4)+(V729*Settings!$B$5)+(X729*Settings!$B$9)+(AA729*Settings!$B$6)+(W729*Settings!$B$8)+(AB729*Settings!$B$7)+(AC729*Settings!$B$14)+(AD729*Settings!$B$15)+(AE729*Settings!$B$16)+(AF729*Settings!$B$17)+(AG729*Settings!$B$18)+(Y729*Settings!$B$10)+(Z729*Settings!$B$11),VLOOKUP(B729,'Standard Deviations'!A1:C731,3,FALSE))</f>
        <v>-5.4266330963892599</v>
      </c>
      <c r="J729" s="37">
        <f t="shared" si="64"/>
        <v>-6.6178452394990969E-2</v>
      </c>
      <c r="K729" s="183">
        <f>IF(Settings!$E$18="C/LW/RW",VLOOKUP(B729,LW!A1:F227,6,FALSE),VLOOKUP(B729,F!A1:F431,6,FALSE))</f>
        <v>-12.08130214051366</v>
      </c>
      <c r="L729" s="36">
        <f t="shared" si="65"/>
        <v>-15.588776955501496</v>
      </c>
      <c r="M729" s="52" t="str">
        <f>IF(Settings!$E$9="YAHOO",VLOOKUP(B729,ADP!A1:E731,2,FALSE),IF(Settings!$E$9="ESPN",VLOOKUP(B729,ADP!A1:E731,3,FALSE),IF(Settings!$E$9="FANTRAX",VLOOKUP(B729,ADP!A1:E731,4,FALSE),VLOOKUP(B729,ADP!A1:E731,5,FALSE))))</f>
        <v>-</v>
      </c>
      <c r="N729" s="52" t="str">
        <f t="shared" si="66"/>
        <v>N/A</v>
      </c>
      <c r="O729" s="38"/>
      <c r="P729" s="39" t="str">
        <f>IF(Settings!$E$27="ON",_xlfn.XLOOKUP(B729,ADP!A2:A731,ADP!H2:H731)," ")</f>
        <v xml:space="preserve"> </v>
      </c>
      <c r="Q729" s="40">
        <f>IF(Settings!$E$12="YES",VLOOKUP(B729,'Player Data'!A1:E734,5,FALSE),82)</f>
        <v>82</v>
      </c>
      <c r="R729" s="38">
        <f>VLOOKUP(B729,'Player Data'!$A1:$AE734,6,FALSE)</f>
        <v>11.2828767123288</v>
      </c>
      <c r="S729" s="40">
        <f>VLOOKUP(B729,'Player Data'!$A1:$AE734,7,FALSE)*$Q729*IFERROR((VLOOKUP(P729,Settings!$E$28:$F$33,2,FALSE)+1),1)</f>
        <v>4.9912776738633333</v>
      </c>
      <c r="T729" s="40">
        <f>VLOOKUP(B729,'Player Data'!$A1:$AE734,8,FALSE)*$Q729*IFERROR((VLOOKUP(P729,Settings!$E$28:$F$33,2,FALSE)+1),1)</f>
        <v>7.6030323971264684</v>
      </c>
      <c r="U729" s="40">
        <f t="shared" si="67"/>
        <v>12.594310070989803</v>
      </c>
      <c r="V729" s="40">
        <f>VLOOKUP(B729,'Player Data'!$A1:$AE734,10,FALSE)*$Q729*IFERROR(((VLOOKUP(P729,Settings!$E$28:$F$33,2,FALSE)/2)+1),1)</f>
        <v>65.413407196961032</v>
      </c>
      <c r="W729" s="40">
        <f>VLOOKUP(B729,'Player Data'!$A1:$AE734,11,FALSE)*$Q729*IFERROR((VLOOKUP(P729,Settings!$E$28:$F$33,2,FALSE)+1),1)</f>
        <v>1.8030847016111975E-2</v>
      </c>
      <c r="X729" s="40">
        <f>VLOOKUP(B729,'Player Data'!$A1:$AE734,12,FALSE)*$Q729*IFERROR((VLOOKUP(P729,Settings!$E$28:$F$33,2,FALSE)+1),1)</f>
        <v>5.0800386899860182E-2</v>
      </c>
      <c r="Y729" s="40">
        <f>VLOOKUP(B729,'Player Data'!$A1:$AE734,13,FALSE)*$Q729</f>
        <v>3.6493356982313561E-2</v>
      </c>
      <c r="Z729" s="40">
        <f>VLOOKUP(B729,'Player Data'!$A1:$AE734,14,FALSE)*$Q729</f>
        <v>-1.9428221042509301E-2</v>
      </c>
      <c r="AA729" s="40">
        <f>VLOOKUP(B729,'Player Data'!$A1:$AE734,15,FALSE)*$Q729</f>
        <v>47.812856698462255</v>
      </c>
      <c r="AB729" s="40">
        <f>VLOOKUP(B729,'Player Data'!$A1:$AE734,16,FALSE)*$Q729</f>
        <v>80.389518515528579</v>
      </c>
      <c r="AC729" s="40">
        <f>VLOOKUP(B729,'Player Data'!$A1:$AE734,17,FALSE)*$Q729*IFERROR((VLOOKUP(P729,Settings!$E$28:$F$33,2,FALSE)+1),1)</f>
        <v>-0.43206842845792598</v>
      </c>
      <c r="AD729" s="40">
        <f>VLOOKUP(B729,'Player Data'!$A1:$AE734,18,FALSE)*$Q729</f>
        <v>23.457021953535111</v>
      </c>
      <c r="AE729" s="40">
        <f>VLOOKUP(B729,'Player Data'!$A1:$AE734,19,FALSE)*$Q729*IFERROR((VLOOKUP(P729,Settings!$E$28:$F$33,2,FALSE)+1),1)</f>
        <v>0.70157886215948218</v>
      </c>
      <c r="AF729" s="40">
        <f>VLOOKUP(B729,'Player Data'!$A1:$AE734,20,FALSE)*$Q729</f>
        <v>377.63466465482287</v>
      </c>
      <c r="AG729" s="40">
        <f>VLOOKUP(B729,'Player Data'!$A1:$AE734,21,FALSE)*$Q729</f>
        <v>329.06653690171009</v>
      </c>
      <c r="AH729" s="41">
        <f>VLOOKUP(B729,'Player Data'!$A1:$AE734,22,FALSE)</f>
        <v>0.53436256203197297</v>
      </c>
      <c r="AI729" s="38"/>
      <c r="AJ729" s="42"/>
      <c r="AK729" s="40"/>
      <c r="AL729" s="40"/>
      <c r="AM729" s="40"/>
      <c r="AN729" s="40"/>
      <c r="AO729" s="40"/>
      <c r="AP729" s="40"/>
      <c r="AQ729" s="43"/>
      <c r="AR729" s="44"/>
      <c r="AS729" s="38"/>
    </row>
    <row r="730" spans="1:45" ht="21.2" customHeight="1">
      <c r="A730" s="181">
        <f t="shared" si="63"/>
        <v>729</v>
      </c>
      <c r="B730" s="8" t="s">
        <v>824</v>
      </c>
      <c r="C730" s="31" t="s">
        <v>104</v>
      </c>
      <c r="D730" s="32" t="str">
        <f>VLOOKUP(B730,'Player Data'!A1:D734,4,FALSE)</f>
        <v>LW</v>
      </c>
      <c r="E730" s="48">
        <f>VLOOKUP(B730,LW!A1:C227,3,FALSE)</f>
        <v>225</v>
      </c>
      <c r="F730" s="34" t="str">
        <f>VLOOKUP(B730,'Player Data'!A1:B734,2,FALSE)</f>
        <v>NYI</v>
      </c>
      <c r="G730" s="9">
        <f>VLOOKUP(B730,'Player Data'!A1:D734,3,FALSE)</f>
        <v>29</v>
      </c>
      <c r="H730" s="35">
        <f>IFERROR(VLOOKUP(B730,ADP!A1:G731,7,FALSE)/1000000,VLOOKUP(B730,ADP!A1:G731,7,FALSE))</f>
        <v>1.1000000000000001</v>
      </c>
      <c r="I730" s="36">
        <f>IF(Settings!$E$15="POINTS",((R730*Q730)*Settings!$B$12)+(S730*Settings!$B$2)+(T730*Settings!$B$3)+(U730*Settings!$B$4)+(V730*Settings!$B$5)+(X730*Settings!$B$9)+(AA730*Settings!$B$6)+(W730*Settings!$B$8)+(AB730*Settings!$B$7)+(AC730*Settings!$B$14)+(AD730*Settings!$B$15)+(AE730*Settings!$B$16)+(AF730*Settings!$B$17)+(AG730*Settings!$B$18)+(Y730*Settings!$B$10)+(Z730*Settings!$B$11),VLOOKUP(B730,'Standard Deviations'!A1:C731,3,FALSE))</f>
        <v>-6.0101111442322228</v>
      </c>
      <c r="J730" s="37">
        <f t="shared" si="64"/>
        <v>-7.3294038344295404E-2</v>
      </c>
      <c r="K730" s="183">
        <f>IF(Settings!$E$18="C/LW/RW",VLOOKUP(B730,LW!A1:F227,6,FALSE),VLOOKUP(B730,F!A1:F431,6,FALSE))</f>
        <v>-12.664780188356623</v>
      </c>
      <c r="L730" s="36">
        <f t="shared" si="65"/>
        <v>-11.513436534869657</v>
      </c>
      <c r="M730" s="52" t="str">
        <f>IF(Settings!$E$9="YAHOO",VLOOKUP(B730,ADP!A1:E731,2,FALSE),IF(Settings!$E$9="ESPN",VLOOKUP(B730,ADP!A1:E731,3,FALSE),IF(Settings!$E$9="FANTRAX",VLOOKUP(B730,ADP!A1:E731,4,FALSE),VLOOKUP(B730,ADP!A1:E731,5,FALSE))))</f>
        <v>-</v>
      </c>
      <c r="N730" s="52" t="str">
        <f t="shared" si="66"/>
        <v>N/A</v>
      </c>
      <c r="O730" s="53"/>
      <c r="P730" s="39" t="str">
        <f>IF(Settings!$E$27="ON",_xlfn.XLOOKUP(B730,ADP!A2:A731,ADP!H2:H731)," ")</f>
        <v xml:space="preserve"> </v>
      </c>
      <c r="Q730" s="40">
        <f>IF(Settings!$E$12="YES",VLOOKUP(B730,'Player Data'!A1:E734,5,FALSE),82)</f>
        <v>82</v>
      </c>
      <c r="R730" s="38">
        <f>VLOOKUP(B730,'Player Data'!$A1:$AE734,6,FALSE)</f>
        <v>7.8000427177591503</v>
      </c>
      <c r="S730" s="40">
        <f>VLOOKUP(B730,'Player Data'!$A1:$AE734,7,FALSE)*$Q730*IFERROR((VLOOKUP(P730,Settings!$E$28:$F$33,2,FALSE)+1),1)</f>
        <v>3.6934045567492619</v>
      </c>
      <c r="T730" s="40">
        <f>VLOOKUP(B730,'Player Data'!$A1:$AE734,8,FALSE)*$Q730*IFERROR((VLOOKUP(P730,Settings!$E$28:$F$33,2,FALSE)+1),1)</f>
        <v>8.4594078591310549</v>
      </c>
      <c r="U730" s="40">
        <f t="shared" si="67"/>
        <v>12.152812415880316</v>
      </c>
      <c r="V730" s="40">
        <f>VLOOKUP(B730,'Player Data'!$A1:$AE734,10,FALSE)*$Q730*IFERROR(((VLOOKUP(P730,Settings!$E$28:$F$33,2,FALSE)/2)+1),1)</f>
        <v>35.421949335545222</v>
      </c>
      <c r="W730" s="40">
        <f>VLOOKUP(B730,'Player Data'!$A1:$AE734,11,FALSE)*$Q730*IFERROR((VLOOKUP(P730,Settings!$E$28:$F$33,2,FALSE)+1),1)</f>
        <v>2.5774483259431179E-2</v>
      </c>
      <c r="X730" s="40">
        <f>VLOOKUP(B730,'Player Data'!$A1:$AE734,12,FALSE)*$Q730*IFERROR((VLOOKUP(P730,Settings!$E$28:$F$33,2,FALSE)+1),1)</f>
        <v>6.588541070853933E-2</v>
      </c>
      <c r="Y730" s="40">
        <f>VLOOKUP(B730,'Player Data'!$A1:$AE734,13,FALSE)*$Q730</f>
        <v>0</v>
      </c>
      <c r="Z730" s="40">
        <f>VLOOKUP(B730,'Player Data'!$A1:$AE734,14,FALSE)*$Q730</f>
        <v>0</v>
      </c>
      <c r="AA730" s="40">
        <f>VLOOKUP(B730,'Player Data'!$A1:$AE734,15,FALSE)*$Q730</f>
        <v>26.94942910191758</v>
      </c>
      <c r="AB730" s="40">
        <f>VLOOKUP(B730,'Player Data'!$A1:$AE734,16,FALSE)*$Q730</f>
        <v>141.06523272784733</v>
      </c>
      <c r="AC730" s="40">
        <f>VLOOKUP(B730,'Player Data'!$A1:$AE734,17,FALSE)*$Q730*IFERROR((VLOOKUP(P730,Settings!$E$28:$F$33,2,FALSE)+1),1)</f>
        <v>-0.58082021592657973</v>
      </c>
      <c r="AD730" s="40">
        <f>VLOOKUP(B730,'Player Data'!$A1:$AE734,18,FALSE)*$Q730</f>
        <v>48.532591006818421</v>
      </c>
      <c r="AE730" s="40">
        <f>VLOOKUP(B730,'Player Data'!$A1:$AE734,19,FALSE)*$Q730*IFERROR((VLOOKUP(P730,Settings!$E$28:$F$33,2,FALSE)+1),1)</f>
        <v>0.57071173202647474</v>
      </c>
      <c r="AF730" s="40">
        <f>VLOOKUP(B730,'Player Data'!$A1:$AE734,20,FALSE)*$Q730</f>
        <v>1.8519639952814171</v>
      </c>
      <c r="AG730" s="40">
        <f>VLOOKUP(B730,'Player Data'!$A1:$AE734,21,FALSE)*$Q730</f>
        <v>4.2125238818917001</v>
      </c>
      <c r="AH730" s="41">
        <f>VLOOKUP(B730,'Player Data'!$A1:$AE734,22,FALSE)</f>
        <v>0.30537846439635202</v>
      </c>
      <c r="AI730" s="53"/>
      <c r="AJ730" s="42"/>
      <c r="AK730" s="40"/>
      <c r="AL730" s="40"/>
      <c r="AM730" s="40"/>
      <c r="AN730" s="40"/>
      <c r="AO730" s="40"/>
      <c r="AP730" s="40"/>
      <c r="AQ730" s="43"/>
      <c r="AR730" s="44"/>
      <c r="AS730" s="38"/>
    </row>
  </sheetData>
  <autoFilter ref="A1:AR730" xr:uid="{00000000-0001-0000-0100-000000000000}">
    <filterColumn colId="3" showButton="0"/>
    <sortState xmlns:xlrd2="http://schemas.microsoft.com/office/spreadsheetml/2017/richdata2" ref="A2:AR730">
      <sortCondition descending="1" ref="K1:K730"/>
    </sortState>
  </autoFilter>
  <mergeCells count="1">
    <mergeCell ref="D1:E1"/>
  </mergeCells>
  <conditionalFormatting sqref="D2:D730">
    <cfRule type="containsText" dxfId="58" priority="1" stopIfTrue="1" operator="containsText" text=",">
      <formula>NOT(ISERROR(FIND(UPPER(","),UPPER(D2))))</formula>
      <formula>","</formula>
    </cfRule>
    <cfRule type="containsText" dxfId="57" priority="2" stopIfTrue="1" operator="containsText" text="C">
      <formula>NOT(ISERROR(FIND(UPPER("C"),UPPER(D2))))</formula>
      <formula>"C"</formula>
    </cfRule>
    <cfRule type="containsText" dxfId="56" priority="3" stopIfTrue="1" operator="containsText" text="D">
      <formula>NOT(ISERROR(FIND(UPPER("D"),UPPER(D2))))</formula>
      <formula>"D"</formula>
    </cfRule>
    <cfRule type="containsText" dxfId="55" priority="4" stopIfTrue="1" operator="containsText" text="LW">
      <formula>NOT(ISERROR(FIND(UPPER("LW"),UPPER(D2))))</formula>
      <formula>"LW"</formula>
    </cfRule>
    <cfRule type="containsText" dxfId="54" priority="5" stopIfTrue="1" operator="containsText" text="RW">
      <formula>NOT(ISERROR(FIND(UPPER("RW"),UPPER(D2))))</formula>
      <formula>"RW"</formula>
    </cfRule>
    <cfRule type="containsText" dxfId="53" priority="6" stopIfTrue="1" operator="containsText" text="G">
      <formula>NOT(ISERROR(FIND(UPPER("G"),UPPER(D2))))</formula>
      <formula>"G"</formula>
    </cfRule>
  </conditionalFormatting>
  <conditionalFormatting sqref="E2:E730">
    <cfRule type="containsText" dxfId="52" priority="7" stopIfTrue="1" operator="containsText" text="/">
      <formula>NOT(ISERROR(FIND(UPPER("/"),UPPER(E2))))</formula>
      <formula>"/"</formula>
    </cfRule>
    <cfRule type="containsText" dxfId="51" priority="7" stopIfTrue="1" operator="containsText" text="C">
      <formula>NOT(ISERROR(FIND(UPPER("C"),UPPER(E2))))</formula>
      <formula>"C"</formula>
    </cfRule>
    <cfRule type="containsText" dxfId="50" priority="7" stopIfTrue="1" operator="containsText" text="D">
      <formula>NOT(ISERROR(FIND(UPPER("D"),UPPER(E2))))</formula>
      <formula>"D"</formula>
    </cfRule>
    <cfRule type="containsText" dxfId="49" priority="7" stopIfTrue="1" operator="containsText" text="LW">
      <formula>NOT(ISERROR(FIND(UPPER("LW"),UPPER(E2))))</formula>
      <formula>"LW"</formula>
    </cfRule>
    <cfRule type="containsText" dxfId="48" priority="7" stopIfTrue="1" operator="containsText" text="RW">
      <formula>NOT(ISERROR(FIND(UPPER("RW"),UPPER(E2))))</formula>
      <formula>"RW"</formula>
    </cfRule>
    <cfRule type="containsText" dxfId="47" priority="7" stopIfTrue="1" operator="containsText" text="G">
      <formula>NOT(ISERROR(FIND(UPPER("G"),UPPER(E2))))</formula>
      <formula>"G"</formula>
    </cfRule>
  </conditionalFormatting>
  <conditionalFormatting sqref="N2:N730">
    <cfRule type="cellIs" dxfId="46" priority="8" stopIfTrue="1" operator="between">
      <formula>1</formula>
      <formula>10</formula>
    </cfRule>
    <cfRule type="cellIs" dxfId="45" priority="8" stopIfTrue="1" operator="between">
      <formula>-1</formula>
      <formula>-10</formula>
    </cfRule>
    <cfRule type="cellIs" dxfId="44" priority="8" stopIfTrue="1" operator="greaterThanOrEqual">
      <formula>10</formula>
    </cfRule>
    <cfRule type="cellIs" dxfId="43" priority="8" stopIfTrue="1" operator="lessThanOrEqual">
      <formula>-10</formula>
    </cfRule>
    <cfRule type="cellIs" dxfId="42" priority="8" stopIfTrue="1" operator="between">
      <formula>-1</formula>
      <formula>1</formula>
    </cfRule>
  </conditionalFormatting>
  <pageMargins left="0.5" right="0.5" top="0.75" bottom="0.75" header="0.27777800000000002" footer="0.27777800000000002"/>
  <pageSetup orientation="portrait" r:id="rId1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F464"/>
  <sheetViews>
    <sheetView showGridLines="0" workbookViewId="0">
      <pane ySplit="1" topLeftCell="A2" activePane="bottomLeft" state="frozen"/>
      <selection pane="bottomLeft" activeCell="A3" sqref="A3"/>
    </sheetView>
  </sheetViews>
  <sheetFormatPr defaultColWidth="8" defaultRowHeight="16.350000000000001" customHeight="1"/>
  <cols>
    <col min="1" max="1" width="28.28515625" style="1" customWidth="1"/>
    <col min="2" max="2" width="7.140625" style="1" customWidth="1"/>
    <col min="3" max="3" width="6" style="1" customWidth="1"/>
    <col min="4" max="7" width="8.28515625" style="1" customWidth="1"/>
    <col min="8" max="8" width="3.42578125" style="1" customWidth="1"/>
    <col min="9" max="29" width="7.140625" style="1" customWidth="1"/>
    <col min="30" max="30" width="18.85546875" style="1" customWidth="1"/>
    <col min="31" max="32" width="11.85546875" style="1" customWidth="1"/>
    <col min="33" max="33" width="8" style="1" customWidth="1"/>
    <col min="34" max="16384" width="8" style="1"/>
  </cols>
  <sheetData>
    <row r="1" spans="1:32" ht="21.2" customHeight="1">
      <c r="A1" s="25" t="s">
        <v>918</v>
      </c>
      <c r="B1" s="229" t="s">
        <v>66</v>
      </c>
      <c r="C1" s="221"/>
      <c r="D1" s="26" t="s">
        <v>67</v>
      </c>
      <c r="E1" s="26" t="s">
        <v>68</v>
      </c>
      <c r="F1" s="27" t="s">
        <v>70</v>
      </c>
      <c r="G1" s="27" t="s">
        <v>72</v>
      </c>
      <c r="H1" s="28"/>
      <c r="I1" s="30" t="s">
        <v>77</v>
      </c>
      <c r="J1" s="30" t="s">
        <v>78</v>
      </c>
      <c r="K1" s="30" t="s">
        <v>79</v>
      </c>
      <c r="L1" s="30" t="s">
        <v>80</v>
      </c>
      <c r="M1" s="30" t="s">
        <v>81</v>
      </c>
      <c r="N1" s="30" t="s">
        <v>82</v>
      </c>
      <c r="O1" s="30" t="s">
        <v>83</v>
      </c>
      <c r="P1" s="30" t="s">
        <v>84</v>
      </c>
      <c r="Q1" s="30" t="s">
        <v>85</v>
      </c>
      <c r="R1" s="30" t="s">
        <v>86</v>
      </c>
      <c r="S1" s="30" t="s">
        <v>87</v>
      </c>
      <c r="T1" s="30" t="s">
        <v>88</v>
      </c>
      <c r="U1" s="30" t="s">
        <v>89</v>
      </c>
      <c r="V1" s="30" t="s">
        <v>90</v>
      </c>
      <c r="W1" s="30" t="s">
        <v>91</v>
      </c>
      <c r="X1" s="30" t="s">
        <v>92</v>
      </c>
      <c r="Y1" s="30" t="s">
        <v>93</v>
      </c>
      <c r="Z1" s="30" t="s">
        <v>94</v>
      </c>
      <c r="AA1" s="54"/>
      <c r="AB1" s="55"/>
      <c r="AC1" s="55"/>
      <c r="AD1" s="25" t="s">
        <v>833</v>
      </c>
      <c r="AE1" s="27" t="s">
        <v>70</v>
      </c>
      <c r="AF1" s="27" t="s">
        <v>72</v>
      </c>
    </row>
    <row r="2" spans="1:32" ht="21.2" customHeight="1">
      <c r="A2" s="8" t="s">
        <v>103</v>
      </c>
      <c r="B2" s="56" t="str">
        <f>IFERROR(VLOOKUP($A2,'The List'!$B1:$AS730,3,FALSE)," ")</f>
        <v>C</v>
      </c>
      <c r="C2" s="57">
        <f>IFERROR(VLOOKUP($A2,'The List'!$B1:$AS730,4,FALSE)," ")</f>
        <v>1</v>
      </c>
      <c r="D2" s="34" t="str">
        <f>IFERROR(VLOOKUP($A2,'The List'!$B1:$AS730,5,FALSE)," ")</f>
        <v>EDM</v>
      </c>
      <c r="E2" s="58">
        <f>IFERROR(VLOOKUP($A2,'The List'!$B1:$AS730,6,FALSE)," ")</f>
        <v>26</v>
      </c>
      <c r="F2" s="36">
        <f>IFERROR(VLOOKUP($A2,'The List'!$B1:$AS730,8,FALSE)," ")</f>
        <v>21.26693059622556</v>
      </c>
      <c r="G2" s="36">
        <f>IFERROR(VLOOKUP($A2,'The List'!$B1:$AS730,10,FALSE)," ")</f>
        <v>14.929879872018958</v>
      </c>
      <c r="H2" s="38"/>
      <c r="I2" s="40">
        <f>IFERROR(VLOOKUP($A2,'The List'!$B1:$AS730,16,FALSE)," ")</f>
        <v>82</v>
      </c>
      <c r="J2" s="40">
        <f>IFERROR(VLOOKUP($A2,'The List'!$B1:$AS730,17,FALSE)," ")</f>
        <v>22.290784001524401</v>
      </c>
      <c r="K2" s="40">
        <f>IFERROR(VLOOKUP($A2,'The List'!$B1:$AS730,18,FALSE)," ")</f>
        <v>54.505642928069591</v>
      </c>
      <c r="L2" s="40">
        <f>IFERROR(VLOOKUP($A2,'The List'!$B1:$AS730,19,FALSE)," ")</f>
        <v>87.49715841053613</v>
      </c>
      <c r="M2" s="40">
        <f>IFERROR(VLOOKUP($A2,'The List'!$B1:$AS730,20,FALSE)," ")</f>
        <v>142.00280133860571</v>
      </c>
      <c r="N2" s="40">
        <f>IFERROR(VLOOKUP($A2,'The List'!$B1:$AS730,21,FALSE)," ")</f>
        <v>334.38161399802379</v>
      </c>
      <c r="O2" s="40">
        <f>IFERROR(VLOOKUP($A2,'The List'!$B1:$AS730,22,FALSE)," ")</f>
        <v>16.237603075138008</v>
      </c>
      <c r="P2" s="40">
        <f>IFERROR(VLOOKUP($A2,'The List'!$B1:$AS730,23,FALSE)," ")</f>
        <v>59.243254422710805</v>
      </c>
      <c r="Q2" s="40">
        <f>IFERROR(VLOOKUP($A2,'The List'!$B1:$AS730,24,FALSE)," ")</f>
        <v>1.9208153563207988</v>
      </c>
      <c r="R2" s="40">
        <f>IFERROR(VLOOKUP($A2,'The List'!$B1:$AS730,25,FALSE)," ")</f>
        <v>4.1986695898356041</v>
      </c>
      <c r="S2" s="40">
        <f>IFERROR(VLOOKUP($A2,'The List'!$B1:$AS730,26,FALSE)," ")</f>
        <v>36.833005957746629</v>
      </c>
      <c r="T2" s="40">
        <f>IFERROR(VLOOKUP($A2,'The List'!$B1:$AS730,27,FALSE)," ")</f>
        <v>83.075500854608379</v>
      </c>
      <c r="U2" s="40">
        <f>IFERROR(VLOOKUP($A2,'The List'!$B1:$AS730,28,FALSE)," ")</f>
        <v>11.005057178823307</v>
      </c>
      <c r="V2" s="40">
        <f>IFERROR(VLOOKUP($A2,'The List'!$B1:$AS730,29,FALSE)," ")</f>
        <v>36.216017924291862</v>
      </c>
      <c r="W2" s="40">
        <f>IFERROR(VLOOKUP($A2,'The List'!$B1:$AS730,30,FALSE)," ")</f>
        <v>8.6276581234828456</v>
      </c>
      <c r="X2" s="40">
        <f>IFERROR(VLOOKUP($A2,'The List'!$B1:$AS730,31,FALSE)," ")</f>
        <v>526.80581738492037</v>
      </c>
      <c r="Y2" s="40">
        <f>IFERROR(VLOOKUP($A2,'The List'!$B1:$AS730,32,FALSE)," ")</f>
        <v>484.27545583289475</v>
      </c>
      <c r="Z2" s="41">
        <f>IFERROR(VLOOKUP($A2,'The List'!$B1:$AS730,33,FALSE)," ")</f>
        <v>0.521032118128679</v>
      </c>
      <c r="AA2" s="54"/>
      <c r="AB2" s="59"/>
      <c r="AC2" s="59"/>
      <c r="AD2" s="8" t="s">
        <v>918</v>
      </c>
      <c r="AE2" s="36">
        <f>VLOOKUP(AD2,T1:Y464,2,FALSE)</f>
        <v>21.26693059622556</v>
      </c>
      <c r="AF2" s="36">
        <f>VLOOKUP(AD2,T1:AA464,5,FALSE)</f>
        <v>14.929879872018958</v>
      </c>
    </row>
    <row r="3" spans="1:32" ht="21.2" customHeight="1">
      <c r="A3" s="23"/>
      <c r="B3" s="56" t="str">
        <f>IFERROR(VLOOKUP($A3,'The List'!$B1:$AS730,3,FALSE)," ")</f>
        <v xml:space="preserve"> </v>
      </c>
      <c r="C3" s="60" t="str">
        <f>IFERROR(VLOOKUP($A3,'The List'!$B1:$AS730,4,FALSE)," ")</f>
        <v xml:space="preserve"> </v>
      </c>
      <c r="D3" s="34" t="str">
        <f>IFERROR(VLOOKUP($A3,'The List'!$B1:$AS730,5,FALSE)," ")</f>
        <v xml:space="preserve"> </v>
      </c>
      <c r="E3" s="34" t="str">
        <f>IFERROR(VLOOKUP($A3,'The List'!$B1:$AS730,6,FALSE)," ")</f>
        <v xml:space="preserve"> </v>
      </c>
      <c r="F3" s="49" t="str">
        <f>IFERROR(VLOOKUP($A3,'The List'!$B1:$AS730,8,FALSE)," ")</f>
        <v xml:space="preserve"> </v>
      </c>
      <c r="G3" s="49" t="str">
        <f>IFERROR(VLOOKUP($A3,'The List'!$B1:$AS730,10,FALSE)," ")</f>
        <v xml:space="preserve"> </v>
      </c>
      <c r="H3" s="38"/>
      <c r="I3" s="52" t="str">
        <f>IFERROR(VLOOKUP($A3,'The List'!$B1:$AS730,16,FALSE)," ")</f>
        <v xml:space="preserve"> </v>
      </c>
      <c r="J3" s="52" t="str">
        <f>IFERROR(VLOOKUP($A3,'The List'!$B1:$AS730,17,FALSE)," ")</f>
        <v xml:space="preserve"> </v>
      </c>
      <c r="K3" s="52" t="str">
        <f>IFERROR(VLOOKUP($A3,'The List'!$B1:$AS730,18,FALSE)," ")</f>
        <v xml:space="preserve"> </v>
      </c>
      <c r="L3" s="52" t="str">
        <f>IFERROR(VLOOKUP($A3,'The List'!$B1:$AS730,19,FALSE)," ")</f>
        <v xml:space="preserve"> </v>
      </c>
      <c r="M3" s="52" t="str">
        <f>IFERROR(VLOOKUP($A3,'The List'!$B1:$AS730,20,FALSE)," ")</f>
        <v xml:space="preserve"> </v>
      </c>
      <c r="N3" s="52" t="str">
        <f>IFERROR(VLOOKUP($A3,'The List'!$B1:$AS730,21,FALSE)," ")</f>
        <v xml:space="preserve"> </v>
      </c>
      <c r="O3" s="52" t="str">
        <f>IFERROR(VLOOKUP($A3,'The List'!$B1:$AS730,22,FALSE)," ")</f>
        <v xml:space="preserve"> </v>
      </c>
      <c r="P3" s="52" t="str">
        <f>IFERROR(VLOOKUP($A3,'The List'!$B1:$AS730,23,FALSE)," ")</f>
        <v xml:space="preserve"> </v>
      </c>
      <c r="Q3" s="52" t="str">
        <f>IFERROR(VLOOKUP($A3,'The List'!$B1:$AS730,24,FALSE)," ")</f>
        <v xml:space="preserve"> </v>
      </c>
      <c r="R3" s="52" t="str">
        <f>IFERROR(VLOOKUP($A3,'The List'!$B1:$AS730,25,FALSE)," ")</f>
        <v xml:space="preserve"> </v>
      </c>
      <c r="S3" s="52" t="str">
        <f>IFERROR(VLOOKUP($A3,'The List'!$B1:$AS730,26,FALSE)," ")</f>
        <v xml:space="preserve"> </v>
      </c>
      <c r="T3" s="52" t="str">
        <f>IFERROR(VLOOKUP($A3,'The List'!$B1:$AS730,27,FALSE)," ")</f>
        <v xml:space="preserve"> </v>
      </c>
      <c r="U3" s="52" t="str">
        <f>IFERROR(VLOOKUP($A3,'The List'!$B1:$AS730,28,FALSE)," ")</f>
        <v xml:space="preserve"> </v>
      </c>
      <c r="V3" s="52" t="str">
        <f>IFERROR(VLOOKUP($A3,'The List'!$B1:$AS730,29,FALSE)," ")</f>
        <v xml:space="preserve"> </v>
      </c>
      <c r="W3" s="52" t="str">
        <f>IFERROR(VLOOKUP($A3,'The List'!$B1:$AS730,30,FALSE)," ")</f>
        <v xml:space="preserve"> </v>
      </c>
      <c r="X3" s="52" t="str">
        <f>IFERROR(VLOOKUP($A3,'The List'!$B1:$AS730,31,FALSE)," ")</f>
        <v xml:space="preserve"> </v>
      </c>
      <c r="Y3" s="52" t="str">
        <f>IFERROR(VLOOKUP($A3,'The List'!$B1:$AS730,32,FALSE)," ")</f>
        <v xml:space="preserve"> </v>
      </c>
      <c r="Z3" s="52" t="str">
        <f>IFERROR(VLOOKUP($A3,'The List'!$B1:$AS730,33,FALSE)," ")</f>
        <v xml:space="preserve"> </v>
      </c>
      <c r="AA3" s="54"/>
      <c r="AB3" s="59"/>
      <c r="AC3" s="59"/>
      <c r="AD3" s="8" t="s">
        <v>901</v>
      </c>
      <c r="AE3" s="36">
        <f>VLOOKUP(AD3,T1:Y464,2,FALSE)</f>
        <v>71.241087309930364</v>
      </c>
      <c r="AF3" s="36">
        <f>VLOOKUP(AD3,T1:AA464,5,FALSE)</f>
        <v>-3.2817064977981394</v>
      </c>
    </row>
    <row r="4" spans="1:32" ht="21.2" customHeight="1">
      <c r="A4" s="23"/>
      <c r="B4" s="56" t="str">
        <f>IFERROR(VLOOKUP($A4,'The List'!$B1:$AS730,3,FALSE)," ")</f>
        <v xml:space="preserve"> </v>
      </c>
      <c r="C4" s="60" t="str">
        <f>IFERROR(VLOOKUP($A4,'The List'!$B1:$AS730,4,FALSE)," ")</f>
        <v xml:space="preserve"> </v>
      </c>
      <c r="D4" s="34" t="str">
        <f>IFERROR(VLOOKUP($A4,'The List'!$B1:$AS730,5,FALSE)," ")</f>
        <v xml:space="preserve"> </v>
      </c>
      <c r="E4" s="34" t="str">
        <f>IFERROR(VLOOKUP($A4,'The List'!$B1:$AS730,6,FALSE)," ")</f>
        <v xml:space="preserve"> </v>
      </c>
      <c r="F4" s="49" t="str">
        <f>IFERROR(VLOOKUP($A4,'The List'!$B1:$AS730,8,FALSE)," ")</f>
        <v xml:space="preserve"> </v>
      </c>
      <c r="G4" s="49" t="str">
        <f>IFERROR(VLOOKUP($A4,'The List'!$B1:$AS730,10,FALSE)," ")</f>
        <v xml:space="preserve"> </v>
      </c>
      <c r="H4" s="38"/>
      <c r="I4" s="52" t="str">
        <f>IFERROR(VLOOKUP($A4,'The List'!$B1:$AS730,16,FALSE)," ")</f>
        <v xml:space="preserve"> </v>
      </c>
      <c r="J4" s="52" t="str">
        <f>IFERROR(VLOOKUP($A4,'The List'!$B1:$AS730,17,FALSE)," ")</f>
        <v xml:space="preserve"> </v>
      </c>
      <c r="K4" s="52" t="str">
        <f>IFERROR(VLOOKUP($A4,'The List'!$B1:$AS730,18,FALSE)," ")</f>
        <v xml:space="preserve"> </v>
      </c>
      <c r="L4" s="52" t="str">
        <f>IFERROR(VLOOKUP($A4,'The List'!$B1:$AS730,19,FALSE)," ")</f>
        <v xml:space="preserve"> </v>
      </c>
      <c r="M4" s="52" t="str">
        <f>IFERROR(VLOOKUP($A4,'The List'!$B1:$AS730,20,FALSE)," ")</f>
        <v xml:space="preserve"> </v>
      </c>
      <c r="N4" s="52" t="str">
        <f>IFERROR(VLOOKUP($A4,'The List'!$B1:$AS730,21,FALSE)," ")</f>
        <v xml:space="preserve"> </v>
      </c>
      <c r="O4" s="52" t="str">
        <f>IFERROR(VLOOKUP($A4,'The List'!$B1:$AS730,22,FALSE)," ")</f>
        <v xml:space="preserve"> </v>
      </c>
      <c r="P4" s="52" t="str">
        <f>IFERROR(VLOOKUP($A4,'The List'!$B1:$AS730,23,FALSE)," ")</f>
        <v xml:space="preserve"> </v>
      </c>
      <c r="Q4" s="52" t="str">
        <f>IFERROR(VLOOKUP($A4,'The List'!$B1:$AS730,24,FALSE)," ")</f>
        <v xml:space="preserve"> </v>
      </c>
      <c r="R4" s="52" t="str">
        <f>IFERROR(VLOOKUP($A4,'The List'!$B1:$AS730,25,FALSE)," ")</f>
        <v xml:space="preserve"> </v>
      </c>
      <c r="S4" s="52" t="str">
        <f>IFERROR(VLOOKUP($A4,'The List'!$B1:$AS730,26,FALSE)," ")</f>
        <v xml:space="preserve"> </v>
      </c>
      <c r="T4" s="52" t="str">
        <f>IFERROR(VLOOKUP($A4,'The List'!$B1:$AS730,27,FALSE)," ")</f>
        <v xml:space="preserve"> </v>
      </c>
      <c r="U4" s="52" t="str">
        <f>IFERROR(VLOOKUP($A4,'The List'!$B1:$AS730,28,FALSE)," ")</f>
        <v xml:space="preserve"> </v>
      </c>
      <c r="V4" s="52" t="str">
        <f>IFERROR(VLOOKUP($A4,'The List'!$B1:$AS730,29,FALSE)," ")</f>
        <v xml:space="preserve"> </v>
      </c>
      <c r="W4" s="52" t="str">
        <f>IFERROR(VLOOKUP($A4,'The List'!$B1:$AS730,30,FALSE)," ")</f>
        <v xml:space="preserve"> </v>
      </c>
      <c r="X4" s="52" t="str">
        <f>IFERROR(VLOOKUP($A4,'The List'!$B1:$AS730,31,FALSE)," ")</f>
        <v xml:space="preserve"> </v>
      </c>
      <c r="Y4" s="52" t="str">
        <f>IFERROR(VLOOKUP($A4,'The List'!$B1:$AS730,32,FALSE)," ")</f>
        <v xml:space="preserve"> </v>
      </c>
      <c r="Z4" s="52" t="str">
        <f>IFERROR(VLOOKUP($A4,'The List'!$B1:$AS730,33,FALSE)," ")</f>
        <v xml:space="preserve"> </v>
      </c>
      <c r="AA4" s="54"/>
      <c r="AB4" s="59"/>
      <c r="AC4" s="59"/>
      <c r="AD4" s="8" t="s">
        <v>917</v>
      </c>
      <c r="AE4" s="36">
        <f>VLOOKUP(AD4,T1:Y464,2,FALSE)</f>
        <v>90.784944590212689</v>
      </c>
      <c r="AF4" s="36">
        <f>VLOOKUP(AD4,T1:AA464,5,FALSE)</f>
        <v>15.195711812339709</v>
      </c>
    </row>
    <row r="5" spans="1:32" ht="21.2" customHeight="1">
      <c r="A5" s="23"/>
      <c r="B5" s="56" t="str">
        <f>IFERROR(VLOOKUP($A5,'The List'!$B1:$AS730,3,FALSE)," ")</f>
        <v xml:space="preserve"> </v>
      </c>
      <c r="C5" s="60" t="str">
        <f>IFERROR(VLOOKUP($A5,'The List'!$B1:$AS730,4,FALSE)," ")</f>
        <v xml:space="preserve"> </v>
      </c>
      <c r="D5" s="34" t="str">
        <f>IFERROR(VLOOKUP($A5,'The List'!$B1:$AS730,5,FALSE)," ")</f>
        <v xml:space="preserve"> </v>
      </c>
      <c r="E5" s="34" t="str">
        <f>IFERROR(VLOOKUP($A5,'The List'!$B1:$AS730,6,FALSE)," ")</f>
        <v xml:space="preserve"> </v>
      </c>
      <c r="F5" s="49" t="str">
        <f>IFERROR(VLOOKUP($A5,'The List'!$B1:$AS730,8,FALSE)," ")</f>
        <v xml:space="preserve"> </v>
      </c>
      <c r="G5" s="49" t="str">
        <f>IFERROR(VLOOKUP($A5,'The List'!$B1:$AS730,10,FALSE)," ")</f>
        <v xml:space="preserve"> </v>
      </c>
      <c r="H5" s="38"/>
      <c r="I5" s="52" t="str">
        <f>IFERROR(VLOOKUP($A5,'The List'!$B1:$AS730,16,FALSE)," ")</f>
        <v xml:space="preserve"> </v>
      </c>
      <c r="J5" s="52" t="str">
        <f>IFERROR(VLOOKUP($A5,'The List'!$B1:$AS730,17,FALSE)," ")</f>
        <v xml:space="preserve"> </v>
      </c>
      <c r="K5" s="52" t="str">
        <f>IFERROR(VLOOKUP($A5,'The List'!$B1:$AS730,18,FALSE)," ")</f>
        <v xml:space="preserve"> </v>
      </c>
      <c r="L5" s="52" t="str">
        <f>IFERROR(VLOOKUP($A5,'The List'!$B1:$AS730,19,FALSE)," ")</f>
        <v xml:space="preserve"> </v>
      </c>
      <c r="M5" s="52" t="str">
        <f>IFERROR(VLOOKUP($A5,'The List'!$B1:$AS730,20,FALSE)," ")</f>
        <v xml:space="preserve"> </v>
      </c>
      <c r="N5" s="52" t="str">
        <f>IFERROR(VLOOKUP($A5,'The List'!$B1:$AS730,21,FALSE)," ")</f>
        <v xml:space="preserve"> </v>
      </c>
      <c r="O5" s="52" t="str">
        <f>IFERROR(VLOOKUP($A5,'The List'!$B1:$AS730,22,FALSE)," ")</f>
        <v xml:space="preserve"> </v>
      </c>
      <c r="P5" s="52" t="str">
        <f>IFERROR(VLOOKUP($A5,'The List'!$B1:$AS730,23,FALSE)," ")</f>
        <v xml:space="preserve"> </v>
      </c>
      <c r="Q5" s="52" t="str">
        <f>IFERROR(VLOOKUP($A5,'The List'!$B1:$AS730,24,FALSE)," ")</f>
        <v xml:space="preserve"> </v>
      </c>
      <c r="R5" s="52" t="str">
        <f>IFERROR(VLOOKUP($A5,'The List'!$B1:$AS730,25,FALSE)," ")</f>
        <v xml:space="preserve"> </v>
      </c>
      <c r="S5" s="52" t="str">
        <f>IFERROR(VLOOKUP($A5,'The List'!$B1:$AS730,26,FALSE)," ")</f>
        <v xml:space="preserve"> </v>
      </c>
      <c r="T5" s="52" t="str">
        <f>IFERROR(VLOOKUP($A5,'The List'!$B1:$AS730,27,FALSE)," ")</f>
        <v xml:space="preserve"> </v>
      </c>
      <c r="U5" s="52" t="str">
        <f>IFERROR(VLOOKUP($A5,'The List'!$B1:$AS730,28,FALSE)," ")</f>
        <v xml:space="preserve"> </v>
      </c>
      <c r="V5" s="52" t="str">
        <f>IFERROR(VLOOKUP($A5,'The List'!$B1:$AS730,29,FALSE)," ")</f>
        <v xml:space="preserve"> </v>
      </c>
      <c r="W5" s="52" t="str">
        <f>IFERROR(VLOOKUP($A5,'The List'!$B1:$AS730,30,FALSE)," ")</f>
        <v xml:space="preserve"> </v>
      </c>
      <c r="X5" s="52" t="str">
        <f>IFERROR(VLOOKUP($A5,'The List'!$B1:$AS730,31,FALSE)," ")</f>
        <v xml:space="preserve"> </v>
      </c>
      <c r="Y5" s="52" t="str">
        <f>IFERROR(VLOOKUP($A5,'The List'!$B1:$AS730,32,FALSE)," ")</f>
        <v xml:space="preserve"> </v>
      </c>
      <c r="Z5" s="52" t="str">
        <f>IFERROR(VLOOKUP($A5,'The List'!$B1:$AS730,33,FALSE)," ")</f>
        <v xml:space="preserve"> </v>
      </c>
      <c r="AA5" s="54"/>
      <c r="AB5" s="59"/>
      <c r="AC5" s="59"/>
      <c r="AD5" s="8" t="s">
        <v>903</v>
      </c>
      <c r="AE5" s="36">
        <f>VLOOKUP(AD5,T1:Y464,2,FALSE)</f>
        <v>100.82239838939545</v>
      </c>
      <c r="AF5" s="36">
        <f>VLOOKUP(AD5,T1:AA464,5,FALSE)</f>
        <v>25.550783931440307</v>
      </c>
    </row>
    <row r="6" spans="1:32" ht="21.2" customHeight="1">
      <c r="A6" s="8"/>
      <c r="B6" s="61" t="str">
        <f>IFERROR(VLOOKUP($A6,'The List'!$B1:$AS730,3,FALSE)," ")</f>
        <v xml:space="preserve"> </v>
      </c>
      <c r="C6" s="62" t="str">
        <f>IFERROR(VLOOKUP($A6,'The List'!$B1:$AS730,4,FALSE)," ")</f>
        <v xml:space="preserve"> </v>
      </c>
      <c r="D6" s="34" t="str">
        <f>IFERROR(VLOOKUP($A6,'The List'!$B1:$AS730,5,FALSE)," ")</f>
        <v xml:space="preserve"> </v>
      </c>
      <c r="E6" s="58" t="str">
        <f>IFERROR(VLOOKUP($A6,'The List'!$B1:$AS730,6,FALSE)," ")</f>
        <v xml:space="preserve"> </v>
      </c>
      <c r="F6" s="36" t="str">
        <f>IFERROR(VLOOKUP($A6,'The List'!$B1:$AS730,8,FALSE)," ")</f>
        <v xml:space="preserve"> </v>
      </c>
      <c r="G6" s="36" t="str">
        <f>IFERROR(VLOOKUP($A6,'The List'!$B1:$AS730,10,FALSE)," ")</f>
        <v xml:space="preserve"> </v>
      </c>
      <c r="H6" s="38"/>
      <c r="I6" s="40" t="str">
        <f>IFERROR(VLOOKUP($A6,'The List'!$B1:$AS730,16,FALSE)," ")</f>
        <v xml:space="preserve"> </v>
      </c>
      <c r="J6" s="40" t="str">
        <f>IFERROR(VLOOKUP($A6,'The List'!$B1:$AS730,17,FALSE)," ")</f>
        <v xml:space="preserve"> </v>
      </c>
      <c r="K6" s="40" t="str">
        <f>IFERROR(VLOOKUP($A6,'The List'!$B1:$AS730,18,FALSE)," ")</f>
        <v xml:space="preserve"> </v>
      </c>
      <c r="L6" s="40" t="str">
        <f>IFERROR(VLOOKUP($A6,'The List'!$B1:$AS730,19,FALSE)," ")</f>
        <v xml:space="preserve"> </v>
      </c>
      <c r="M6" s="40" t="str">
        <f>IFERROR(VLOOKUP($A6,'The List'!$B1:$AS730,20,FALSE)," ")</f>
        <v xml:space="preserve"> </v>
      </c>
      <c r="N6" s="40" t="str">
        <f>IFERROR(VLOOKUP($A6,'The List'!$B1:$AS730,21,FALSE)," ")</f>
        <v xml:space="preserve"> </v>
      </c>
      <c r="O6" s="40" t="str">
        <f>IFERROR(VLOOKUP($A6,'The List'!$B1:$AS730,22,FALSE)," ")</f>
        <v xml:space="preserve"> </v>
      </c>
      <c r="P6" s="40" t="str">
        <f>IFERROR(VLOOKUP($A6,'The List'!$B1:$AS730,23,FALSE)," ")</f>
        <v xml:space="preserve"> </v>
      </c>
      <c r="Q6" s="40" t="str">
        <f>IFERROR(VLOOKUP($A6,'The List'!$B1:$AS730,24,FALSE)," ")</f>
        <v xml:space="preserve"> </v>
      </c>
      <c r="R6" s="40" t="str">
        <f>IFERROR(VLOOKUP($A6,'The List'!$B1:$AS730,25,FALSE)," ")</f>
        <v xml:space="preserve"> </v>
      </c>
      <c r="S6" s="40" t="str">
        <f>IFERROR(VLOOKUP($A6,'The List'!$B1:$AS730,26,FALSE)," ")</f>
        <v xml:space="preserve"> </v>
      </c>
      <c r="T6" s="40" t="str">
        <f>IFERROR(VLOOKUP($A6,'The List'!$B1:$AS730,27,FALSE)," ")</f>
        <v xml:space="preserve"> </v>
      </c>
      <c r="U6" s="40" t="str">
        <f>IFERROR(VLOOKUP($A6,'The List'!$B1:$AS730,28,FALSE)," ")</f>
        <v xml:space="preserve"> </v>
      </c>
      <c r="V6" s="40" t="str">
        <f>IFERROR(VLOOKUP($A6,'The List'!$B1:$AS730,29,FALSE)," ")</f>
        <v xml:space="preserve"> </v>
      </c>
      <c r="W6" s="40" t="str">
        <f>IFERROR(VLOOKUP($A6,'The List'!$B1:$AS730,30,FALSE)," ")</f>
        <v xml:space="preserve"> </v>
      </c>
      <c r="X6" s="40" t="str">
        <f>IFERROR(VLOOKUP($A6,'The List'!$B1:$AS730,31,FALSE)," ")</f>
        <v xml:space="preserve"> </v>
      </c>
      <c r="Y6" s="40" t="str">
        <f>IFERROR(VLOOKUP($A6,'The List'!$B1:$AS730,32,FALSE)," ")</f>
        <v xml:space="preserve"> </v>
      </c>
      <c r="Z6" s="41" t="str">
        <f>IFERROR(VLOOKUP($A6,'The List'!$B1:$AS730,33,FALSE)," ")</f>
        <v xml:space="preserve"> </v>
      </c>
      <c r="AA6" s="54"/>
      <c r="AB6" s="59"/>
      <c r="AC6" s="59"/>
      <c r="AD6" s="8" t="s">
        <v>904</v>
      </c>
      <c r="AE6" s="36">
        <f>VLOOKUP(AD6,T1:Y464,2,FALSE)</f>
        <v>94.24311288573837</v>
      </c>
      <c r="AF6" s="36">
        <f>VLOOKUP(AD6,T1:AA464,5,FALSE)</f>
        <v>18.65388010786539</v>
      </c>
    </row>
    <row r="7" spans="1:32" ht="21.2" customHeight="1">
      <c r="A7" s="23"/>
      <c r="B7" s="61" t="str">
        <f>IFERROR(VLOOKUP($A7,'The List'!$B1:$AS730,3,FALSE)," ")</f>
        <v xml:space="preserve"> </v>
      </c>
      <c r="C7" s="63" t="str">
        <f>IFERROR(VLOOKUP($A7,'The List'!$B1:$AS730,4,FALSE)," ")</f>
        <v xml:space="preserve"> </v>
      </c>
      <c r="D7" s="34" t="str">
        <f>IFERROR(VLOOKUP($A7,'The List'!$B1:$AS730,5,FALSE)," ")</f>
        <v xml:space="preserve"> </v>
      </c>
      <c r="E7" s="34" t="str">
        <f>IFERROR(VLOOKUP($A7,'The List'!$B1:$AS730,6,FALSE)," ")</f>
        <v xml:space="preserve"> </v>
      </c>
      <c r="F7" s="49" t="str">
        <f>IFERROR(VLOOKUP($A7,'The List'!$B1:$AS730,8,FALSE)," ")</f>
        <v xml:space="preserve"> </v>
      </c>
      <c r="G7" s="49" t="str">
        <f>IFERROR(VLOOKUP($A7,'The List'!$B1:$AS730,10,FALSE)," ")</f>
        <v xml:space="preserve"> </v>
      </c>
      <c r="H7" s="38"/>
      <c r="I7" s="52" t="str">
        <f>IFERROR(VLOOKUP($A7,'The List'!$B1:$AS730,16,FALSE)," ")</f>
        <v xml:space="preserve"> </v>
      </c>
      <c r="J7" s="52" t="str">
        <f>IFERROR(VLOOKUP($A7,'The List'!$B1:$AS730,17,FALSE)," ")</f>
        <v xml:space="preserve"> </v>
      </c>
      <c r="K7" s="52" t="str">
        <f>IFERROR(VLOOKUP($A7,'The List'!$B1:$AS730,18,FALSE)," ")</f>
        <v xml:space="preserve"> </v>
      </c>
      <c r="L7" s="52" t="str">
        <f>IFERROR(VLOOKUP($A7,'The List'!$B1:$AS730,19,FALSE)," ")</f>
        <v xml:space="preserve"> </v>
      </c>
      <c r="M7" s="52" t="str">
        <f>IFERROR(VLOOKUP($A7,'The List'!$B1:$AS730,20,FALSE)," ")</f>
        <v xml:space="preserve"> </v>
      </c>
      <c r="N7" s="52" t="str">
        <f>IFERROR(VLOOKUP($A7,'The List'!$B1:$AS730,21,FALSE)," ")</f>
        <v xml:space="preserve"> </v>
      </c>
      <c r="O7" s="52" t="str">
        <f>IFERROR(VLOOKUP($A7,'The List'!$B1:$AS730,22,FALSE)," ")</f>
        <v xml:space="preserve"> </v>
      </c>
      <c r="P7" s="52" t="str">
        <f>IFERROR(VLOOKUP($A7,'The List'!$B1:$AS730,23,FALSE)," ")</f>
        <v xml:space="preserve"> </v>
      </c>
      <c r="Q7" s="52" t="str">
        <f>IFERROR(VLOOKUP($A7,'The List'!$B1:$AS730,24,FALSE)," ")</f>
        <v xml:space="preserve"> </v>
      </c>
      <c r="R7" s="52" t="str">
        <f>IFERROR(VLOOKUP($A7,'The List'!$B1:$AS730,25,FALSE)," ")</f>
        <v xml:space="preserve"> </v>
      </c>
      <c r="S7" s="52" t="str">
        <f>IFERROR(VLOOKUP($A7,'The List'!$B1:$AS730,26,FALSE)," ")</f>
        <v xml:space="preserve"> </v>
      </c>
      <c r="T7" s="52" t="str">
        <f>IFERROR(VLOOKUP($A7,'The List'!$B1:$AS730,27,FALSE)," ")</f>
        <v xml:space="preserve"> </v>
      </c>
      <c r="U7" s="52" t="str">
        <f>IFERROR(VLOOKUP($A7,'The List'!$B1:$AS730,28,FALSE)," ")</f>
        <v xml:space="preserve"> </v>
      </c>
      <c r="V7" s="52" t="str">
        <f>IFERROR(VLOOKUP($A7,'The List'!$B1:$AS730,29,FALSE)," ")</f>
        <v xml:space="preserve"> </v>
      </c>
      <c r="W7" s="52" t="str">
        <f>IFERROR(VLOOKUP($A7,'The List'!$B1:$AS730,30,FALSE)," ")</f>
        <v xml:space="preserve"> </v>
      </c>
      <c r="X7" s="52" t="str">
        <f>IFERROR(VLOOKUP($A7,'The List'!$B1:$AS730,31,FALSE)," ")</f>
        <v xml:space="preserve"> </v>
      </c>
      <c r="Y7" s="52" t="str">
        <f>IFERROR(VLOOKUP($A7,'The List'!$B1:$AS730,32,FALSE)," ")</f>
        <v xml:space="preserve"> </v>
      </c>
      <c r="Z7" s="52" t="str">
        <f>IFERROR(VLOOKUP($A7,'The List'!$B1:$AS730,33,FALSE)," ")</f>
        <v xml:space="preserve"> </v>
      </c>
      <c r="AA7" s="54"/>
      <c r="AB7" s="59"/>
      <c r="AC7" s="59"/>
      <c r="AD7" s="8" t="s">
        <v>905</v>
      </c>
      <c r="AE7" s="36">
        <f>VLOOKUP(AD7,T1:Y464,2,FALSE)</f>
        <v>77.49945125343713</v>
      </c>
      <c r="AF7" s="36">
        <f>VLOOKUP(AD7,T1:AA464,5,FALSE)</f>
        <v>2.54545511539976</v>
      </c>
    </row>
    <row r="8" spans="1:32" ht="21.2" customHeight="1">
      <c r="A8" s="23"/>
      <c r="B8" s="61" t="str">
        <f>IFERROR(VLOOKUP($A8,'The List'!$B1:$AS730,3,FALSE)," ")</f>
        <v xml:space="preserve"> </v>
      </c>
      <c r="C8" s="63" t="str">
        <f>IFERROR(VLOOKUP($A8,'The List'!$B1:$AS730,4,FALSE)," ")</f>
        <v xml:space="preserve"> </v>
      </c>
      <c r="D8" s="34" t="str">
        <f>IFERROR(VLOOKUP($A8,'The List'!$B1:$AS730,5,FALSE)," ")</f>
        <v xml:space="preserve"> </v>
      </c>
      <c r="E8" s="34" t="str">
        <f>IFERROR(VLOOKUP($A8,'The List'!$B1:$AS730,6,FALSE)," ")</f>
        <v xml:space="preserve"> </v>
      </c>
      <c r="F8" s="49" t="str">
        <f>IFERROR(VLOOKUP($A8,'The List'!$B1:$AS730,8,FALSE)," ")</f>
        <v xml:space="preserve"> </v>
      </c>
      <c r="G8" s="49" t="str">
        <f>IFERROR(VLOOKUP($A8,'The List'!$B1:$AS730,10,FALSE)," ")</f>
        <v xml:space="preserve"> </v>
      </c>
      <c r="H8" s="38"/>
      <c r="I8" s="52" t="str">
        <f>IFERROR(VLOOKUP($A8,'The List'!$B1:$AS730,16,FALSE)," ")</f>
        <v xml:space="preserve"> </v>
      </c>
      <c r="J8" s="52" t="str">
        <f>IFERROR(VLOOKUP($A8,'The List'!$B1:$AS730,17,FALSE)," ")</f>
        <v xml:space="preserve"> </v>
      </c>
      <c r="K8" s="52" t="str">
        <f>IFERROR(VLOOKUP($A8,'The List'!$B1:$AS730,18,FALSE)," ")</f>
        <v xml:space="preserve"> </v>
      </c>
      <c r="L8" s="52" t="str">
        <f>IFERROR(VLOOKUP($A8,'The List'!$B1:$AS730,19,FALSE)," ")</f>
        <v xml:space="preserve"> </v>
      </c>
      <c r="M8" s="52" t="str">
        <f>IFERROR(VLOOKUP($A8,'The List'!$B1:$AS730,20,FALSE)," ")</f>
        <v xml:space="preserve"> </v>
      </c>
      <c r="N8" s="52" t="str">
        <f>IFERROR(VLOOKUP($A8,'The List'!$B1:$AS730,21,FALSE)," ")</f>
        <v xml:space="preserve"> </v>
      </c>
      <c r="O8" s="52" t="str">
        <f>IFERROR(VLOOKUP($A8,'The List'!$B1:$AS730,22,FALSE)," ")</f>
        <v xml:space="preserve"> </v>
      </c>
      <c r="P8" s="52" t="str">
        <f>IFERROR(VLOOKUP($A8,'The List'!$B1:$AS730,23,FALSE)," ")</f>
        <v xml:space="preserve"> </v>
      </c>
      <c r="Q8" s="52" t="str">
        <f>IFERROR(VLOOKUP($A8,'The List'!$B1:$AS730,24,FALSE)," ")</f>
        <v xml:space="preserve"> </v>
      </c>
      <c r="R8" s="52" t="str">
        <f>IFERROR(VLOOKUP($A8,'The List'!$B1:$AS730,25,FALSE)," ")</f>
        <v xml:space="preserve"> </v>
      </c>
      <c r="S8" s="52" t="str">
        <f>IFERROR(VLOOKUP($A8,'The List'!$B1:$AS730,26,FALSE)," ")</f>
        <v xml:space="preserve"> </v>
      </c>
      <c r="T8" s="52" t="str">
        <f>IFERROR(VLOOKUP($A8,'The List'!$B1:$AS730,27,FALSE)," ")</f>
        <v xml:space="preserve"> </v>
      </c>
      <c r="U8" s="52" t="str">
        <f>IFERROR(VLOOKUP($A8,'The List'!$B1:$AS730,28,FALSE)," ")</f>
        <v xml:space="preserve"> </v>
      </c>
      <c r="V8" s="52" t="str">
        <f>IFERROR(VLOOKUP($A8,'The List'!$B1:$AS730,29,FALSE)," ")</f>
        <v xml:space="preserve"> </v>
      </c>
      <c r="W8" s="52" t="str">
        <f>IFERROR(VLOOKUP($A8,'The List'!$B1:$AS730,30,FALSE)," ")</f>
        <v xml:space="preserve"> </v>
      </c>
      <c r="X8" s="52" t="str">
        <f>IFERROR(VLOOKUP($A8,'The List'!$B1:$AS730,31,FALSE)," ")</f>
        <v xml:space="preserve"> </v>
      </c>
      <c r="Y8" s="52" t="str">
        <f>IFERROR(VLOOKUP($A8,'The List'!$B1:$AS730,32,FALSE)," ")</f>
        <v xml:space="preserve"> </v>
      </c>
      <c r="Z8" s="52" t="str">
        <f>IFERROR(VLOOKUP($A8,'The List'!$B1:$AS730,33,FALSE)," ")</f>
        <v xml:space="preserve"> </v>
      </c>
      <c r="AA8" s="54"/>
      <c r="AB8" s="59"/>
      <c r="AC8" s="59"/>
      <c r="AD8" s="8" t="s">
        <v>906</v>
      </c>
      <c r="AE8" s="36">
        <f>VLOOKUP(AD8,T1:Y464,2,FALSE)</f>
        <v>92.065625349939381</v>
      </c>
      <c r="AF8" s="36">
        <f>VLOOKUP(AD8,T1:AA464,5,FALSE)</f>
        <v>16.419600566870905</v>
      </c>
    </row>
    <row r="9" spans="1:32" ht="21.2" customHeight="1">
      <c r="A9" s="23"/>
      <c r="B9" s="61" t="str">
        <f>IFERROR(VLOOKUP($A9,'The List'!$B1:$AS730,3,FALSE)," ")</f>
        <v xml:space="preserve"> </v>
      </c>
      <c r="C9" s="63" t="str">
        <f>IFERROR(VLOOKUP($A9,'The List'!$B1:$AS730,4,FALSE)," ")</f>
        <v xml:space="preserve"> </v>
      </c>
      <c r="D9" s="34" t="str">
        <f>IFERROR(VLOOKUP($A9,'The List'!$B1:$AS730,5,FALSE)," ")</f>
        <v xml:space="preserve"> </v>
      </c>
      <c r="E9" s="34" t="str">
        <f>IFERROR(VLOOKUP($A9,'The List'!$B1:$AS730,6,FALSE)," ")</f>
        <v xml:space="preserve"> </v>
      </c>
      <c r="F9" s="49" t="str">
        <f>IFERROR(VLOOKUP($A9,'The List'!$B1:$AS730,8,FALSE)," ")</f>
        <v xml:space="preserve"> </v>
      </c>
      <c r="G9" s="49" t="str">
        <f>IFERROR(VLOOKUP($A9,'The List'!$B1:$AS730,10,FALSE)," ")</f>
        <v xml:space="preserve"> </v>
      </c>
      <c r="H9" s="38"/>
      <c r="I9" s="52" t="str">
        <f>IFERROR(VLOOKUP($A9,'The List'!$B1:$AS730,16,FALSE)," ")</f>
        <v xml:space="preserve"> </v>
      </c>
      <c r="J9" s="52" t="str">
        <f>IFERROR(VLOOKUP($A9,'The List'!$B1:$AS730,17,FALSE)," ")</f>
        <v xml:space="preserve"> </v>
      </c>
      <c r="K9" s="52" t="str">
        <f>IFERROR(VLOOKUP($A9,'The List'!$B1:$AS730,18,FALSE)," ")</f>
        <v xml:space="preserve"> </v>
      </c>
      <c r="L9" s="52" t="str">
        <f>IFERROR(VLOOKUP($A9,'The List'!$B1:$AS730,19,FALSE)," ")</f>
        <v xml:space="preserve"> </v>
      </c>
      <c r="M9" s="52" t="str">
        <f>IFERROR(VLOOKUP($A9,'The List'!$B1:$AS730,20,FALSE)," ")</f>
        <v xml:space="preserve"> </v>
      </c>
      <c r="N9" s="52" t="str">
        <f>IFERROR(VLOOKUP($A9,'The List'!$B1:$AS730,21,FALSE)," ")</f>
        <v xml:space="preserve"> </v>
      </c>
      <c r="O9" s="52" t="str">
        <f>IFERROR(VLOOKUP($A9,'The List'!$B1:$AS730,22,FALSE)," ")</f>
        <v xml:space="preserve"> </v>
      </c>
      <c r="P9" s="52" t="str">
        <f>IFERROR(VLOOKUP($A9,'The List'!$B1:$AS730,23,FALSE)," ")</f>
        <v xml:space="preserve"> </v>
      </c>
      <c r="Q9" s="52" t="str">
        <f>IFERROR(VLOOKUP($A9,'The List'!$B1:$AS730,24,FALSE)," ")</f>
        <v xml:space="preserve"> </v>
      </c>
      <c r="R9" s="52" t="str">
        <f>IFERROR(VLOOKUP($A9,'The List'!$B1:$AS730,25,FALSE)," ")</f>
        <v xml:space="preserve"> </v>
      </c>
      <c r="S9" s="52" t="str">
        <f>IFERROR(VLOOKUP($A9,'The List'!$B1:$AS730,26,FALSE)," ")</f>
        <v xml:space="preserve"> </v>
      </c>
      <c r="T9" s="52" t="str">
        <f>IFERROR(VLOOKUP($A9,'The List'!$B1:$AS730,27,FALSE)," ")</f>
        <v xml:space="preserve"> </v>
      </c>
      <c r="U9" s="52" t="str">
        <f>IFERROR(VLOOKUP($A9,'The List'!$B1:$AS730,28,FALSE)," ")</f>
        <v xml:space="preserve"> </v>
      </c>
      <c r="V9" s="52" t="str">
        <f>IFERROR(VLOOKUP($A9,'The List'!$B1:$AS730,29,FALSE)," ")</f>
        <v xml:space="preserve"> </v>
      </c>
      <c r="W9" s="52" t="str">
        <f>IFERROR(VLOOKUP($A9,'The List'!$B1:$AS730,30,FALSE)," ")</f>
        <v xml:space="preserve"> </v>
      </c>
      <c r="X9" s="52" t="str">
        <f>IFERROR(VLOOKUP($A9,'The List'!$B1:$AS730,31,FALSE)," ")</f>
        <v xml:space="preserve"> </v>
      </c>
      <c r="Y9" s="52" t="str">
        <f>IFERROR(VLOOKUP($A9,'The List'!$B1:$AS730,32,FALSE)," ")</f>
        <v xml:space="preserve"> </v>
      </c>
      <c r="Z9" s="52" t="str">
        <f>IFERROR(VLOOKUP($A9,'The List'!$B1:$AS730,33,FALSE)," ")</f>
        <v xml:space="preserve"> </v>
      </c>
      <c r="AA9" s="54"/>
      <c r="AB9" s="59"/>
      <c r="AC9" s="59"/>
      <c r="AD9" s="8" t="s">
        <v>907</v>
      </c>
      <c r="AE9" s="36">
        <f>VLOOKUP(AD9,T1:Y464,2,FALSE)</f>
        <v>82.198716003983364</v>
      </c>
      <c r="AF9" s="36">
        <f>VLOOKUP(AD9,T1:AA464,5,FALSE)</f>
        <v>7.6191301910593285</v>
      </c>
    </row>
    <row r="10" spans="1:32" ht="21.2" customHeight="1">
      <c r="A10" s="8"/>
      <c r="B10" s="64" t="str">
        <f>IFERROR(VLOOKUP($A10,'The List'!$B1:$AS730,3,FALSE)," ")</f>
        <v xml:space="preserve"> </v>
      </c>
      <c r="C10" s="65" t="str">
        <f>IFERROR(VLOOKUP($A10,'The List'!$B1:$AS730,4,FALSE)," ")</f>
        <v xml:space="preserve"> </v>
      </c>
      <c r="D10" s="34" t="str">
        <f>IFERROR(VLOOKUP($A10,'The List'!$B1:$AS730,5,FALSE)," ")</f>
        <v xml:space="preserve"> </v>
      </c>
      <c r="E10" s="58" t="str">
        <f>IFERROR(VLOOKUP($A10,'The List'!$B1:$AS730,6,FALSE)," ")</f>
        <v xml:space="preserve"> </v>
      </c>
      <c r="F10" s="36" t="str">
        <f>IFERROR(VLOOKUP($A10,'The List'!$B1:$AS730,8,FALSE)," ")</f>
        <v xml:space="preserve"> </v>
      </c>
      <c r="G10" s="36" t="str">
        <f>IFERROR(VLOOKUP($A10,'The List'!$B1:$AS730,10,FALSE)," ")</f>
        <v xml:space="preserve"> </v>
      </c>
      <c r="H10" s="38"/>
      <c r="I10" s="40" t="str">
        <f>IFERROR(VLOOKUP($A10,'The List'!$B1:$AS730,16,FALSE)," ")</f>
        <v xml:space="preserve"> </v>
      </c>
      <c r="J10" s="40" t="str">
        <f>IFERROR(VLOOKUP($A10,'The List'!$B1:$AS730,17,FALSE)," ")</f>
        <v xml:space="preserve"> </v>
      </c>
      <c r="K10" s="40" t="str">
        <f>IFERROR(VLOOKUP($A10,'The List'!$B1:$AS730,18,FALSE)," ")</f>
        <v xml:space="preserve"> </v>
      </c>
      <c r="L10" s="40" t="str">
        <f>IFERROR(VLOOKUP($A10,'The List'!$B1:$AS730,19,FALSE)," ")</f>
        <v xml:space="preserve"> </v>
      </c>
      <c r="M10" s="40" t="str">
        <f>IFERROR(VLOOKUP($A10,'The List'!$B1:$AS730,20,FALSE)," ")</f>
        <v xml:space="preserve"> </v>
      </c>
      <c r="N10" s="40" t="str">
        <f>IFERROR(VLOOKUP($A10,'The List'!$B1:$AS730,21,FALSE)," ")</f>
        <v xml:space="preserve"> </v>
      </c>
      <c r="O10" s="40" t="str">
        <f>IFERROR(VLOOKUP($A10,'The List'!$B1:$AS730,22,FALSE)," ")</f>
        <v xml:space="preserve"> </v>
      </c>
      <c r="P10" s="40" t="str">
        <f>IFERROR(VLOOKUP($A10,'The List'!$B1:$AS730,23,FALSE)," ")</f>
        <v xml:space="preserve"> </v>
      </c>
      <c r="Q10" s="40" t="str">
        <f>IFERROR(VLOOKUP($A10,'The List'!$B1:$AS730,24,FALSE)," ")</f>
        <v xml:space="preserve"> </v>
      </c>
      <c r="R10" s="40" t="str">
        <f>IFERROR(VLOOKUP($A10,'The List'!$B1:$AS730,25,FALSE)," ")</f>
        <v xml:space="preserve"> </v>
      </c>
      <c r="S10" s="40" t="str">
        <f>IFERROR(VLOOKUP($A10,'The List'!$B1:$AS730,26,FALSE)," ")</f>
        <v xml:space="preserve"> </v>
      </c>
      <c r="T10" s="40" t="str">
        <f>IFERROR(VLOOKUP($A10,'The List'!$B1:$AS730,27,FALSE)," ")</f>
        <v xml:space="preserve"> </v>
      </c>
      <c r="U10" s="40" t="str">
        <f>IFERROR(VLOOKUP($A10,'The List'!$B1:$AS730,28,FALSE)," ")</f>
        <v xml:space="preserve"> </v>
      </c>
      <c r="V10" s="40" t="str">
        <f>IFERROR(VLOOKUP($A10,'The List'!$B1:$AS730,29,FALSE)," ")</f>
        <v xml:space="preserve"> </v>
      </c>
      <c r="W10" s="40" t="str">
        <f>IFERROR(VLOOKUP($A10,'The List'!$B1:$AS730,30,FALSE)," ")</f>
        <v xml:space="preserve"> </v>
      </c>
      <c r="X10" s="40" t="str">
        <f>IFERROR(VLOOKUP($A10,'The List'!$B1:$AS730,31,FALSE)," ")</f>
        <v xml:space="preserve"> </v>
      </c>
      <c r="Y10" s="40" t="str">
        <f>IFERROR(VLOOKUP($A10,'The List'!$B1:$AS730,32,FALSE)," ")</f>
        <v xml:space="preserve"> </v>
      </c>
      <c r="Z10" s="41" t="str">
        <f>IFERROR(VLOOKUP($A10,'The List'!$B1:$AS730,33,FALSE)," ")</f>
        <v xml:space="preserve"> </v>
      </c>
      <c r="AA10" s="54"/>
      <c r="AB10" s="59"/>
      <c r="AC10" s="59"/>
      <c r="AD10" s="8" t="s">
        <v>908</v>
      </c>
      <c r="AE10" s="36">
        <f>VLOOKUP(AD10,T1:Y464,2,FALSE)</f>
        <v>111.80728046113232</v>
      </c>
      <c r="AF10" s="36">
        <f>VLOOKUP(AD10,T1:AA464,5,FALSE)</f>
        <v>36.966868333485991</v>
      </c>
    </row>
    <row r="11" spans="1:32" ht="21.2" customHeight="1">
      <c r="A11" s="23"/>
      <c r="B11" s="64" t="str">
        <f>IFERROR(VLOOKUP($A11,'The List'!$B1:$AS730,3,FALSE)," ")</f>
        <v xml:space="preserve"> </v>
      </c>
      <c r="C11" s="66" t="str">
        <f>IFERROR(VLOOKUP($A11,'The List'!$B1:$AS730,4,FALSE)," ")</f>
        <v xml:space="preserve"> </v>
      </c>
      <c r="D11" s="34" t="str">
        <f>IFERROR(VLOOKUP($A11,'The List'!$B1:$AS730,5,FALSE)," ")</f>
        <v xml:space="preserve"> </v>
      </c>
      <c r="E11" s="34" t="str">
        <f>IFERROR(VLOOKUP($A11,'The List'!$B1:$AS730,6,FALSE)," ")</f>
        <v xml:space="preserve"> </v>
      </c>
      <c r="F11" s="49" t="str">
        <f>IFERROR(VLOOKUP($A11,'The List'!$B1:$AS730,8,FALSE)," ")</f>
        <v xml:space="preserve"> </v>
      </c>
      <c r="G11" s="49" t="str">
        <f>IFERROR(VLOOKUP($A11,'The List'!$B1:$AS730,10,FALSE)," ")</f>
        <v xml:space="preserve"> </v>
      </c>
      <c r="H11" s="38"/>
      <c r="I11" s="52" t="str">
        <f>IFERROR(VLOOKUP($A11,'The List'!$B1:$AS730,16,FALSE)," ")</f>
        <v xml:space="preserve"> </v>
      </c>
      <c r="J11" s="52" t="str">
        <f>IFERROR(VLOOKUP($A11,'The List'!$B1:$AS730,17,FALSE)," ")</f>
        <v xml:space="preserve"> </v>
      </c>
      <c r="K11" s="52" t="str">
        <f>IFERROR(VLOOKUP($A11,'The List'!$B1:$AS730,18,FALSE)," ")</f>
        <v xml:space="preserve"> </v>
      </c>
      <c r="L11" s="52" t="str">
        <f>IFERROR(VLOOKUP($A11,'The List'!$B1:$AS730,19,FALSE)," ")</f>
        <v xml:space="preserve"> </v>
      </c>
      <c r="M11" s="52" t="str">
        <f>IFERROR(VLOOKUP($A11,'The List'!$B1:$AS730,20,FALSE)," ")</f>
        <v xml:space="preserve"> </v>
      </c>
      <c r="N11" s="52" t="str">
        <f>IFERROR(VLOOKUP($A11,'The List'!$B1:$AS730,21,FALSE)," ")</f>
        <v xml:space="preserve"> </v>
      </c>
      <c r="O11" s="52" t="str">
        <f>IFERROR(VLOOKUP($A11,'The List'!$B1:$AS730,22,FALSE)," ")</f>
        <v xml:space="preserve"> </v>
      </c>
      <c r="P11" s="52" t="str">
        <f>IFERROR(VLOOKUP($A11,'The List'!$B1:$AS730,23,FALSE)," ")</f>
        <v xml:space="preserve"> </v>
      </c>
      <c r="Q11" s="52" t="str">
        <f>IFERROR(VLOOKUP($A11,'The List'!$B1:$AS730,24,FALSE)," ")</f>
        <v xml:space="preserve"> </v>
      </c>
      <c r="R11" s="52" t="str">
        <f>IFERROR(VLOOKUP($A11,'The List'!$B1:$AS730,25,FALSE)," ")</f>
        <v xml:space="preserve"> </v>
      </c>
      <c r="S11" s="52" t="str">
        <f>IFERROR(VLOOKUP($A11,'The List'!$B1:$AS730,26,FALSE)," ")</f>
        <v xml:space="preserve"> </v>
      </c>
      <c r="T11" s="52" t="str">
        <f>IFERROR(VLOOKUP($A11,'The List'!$B1:$AS730,27,FALSE)," ")</f>
        <v xml:space="preserve"> </v>
      </c>
      <c r="U11" s="52" t="str">
        <f>IFERROR(VLOOKUP($A11,'The List'!$B1:$AS730,28,FALSE)," ")</f>
        <v xml:space="preserve"> </v>
      </c>
      <c r="V11" s="52" t="str">
        <f>IFERROR(VLOOKUP($A11,'The List'!$B1:$AS730,29,FALSE)," ")</f>
        <v xml:space="preserve"> </v>
      </c>
      <c r="W11" s="52" t="str">
        <f>IFERROR(VLOOKUP($A11,'The List'!$B1:$AS730,30,FALSE)," ")</f>
        <v xml:space="preserve"> </v>
      </c>
      <c r="X11" s="52" t="str">
        <f>IFERROR(VLOOKUP($A11,'The List'!$B1:$AS730,31,FALSE)," ")</f>
        <v xml:space="preserve"> </v>
      </c>
      <c r="Y11" s="52" t="str">
        <f>IFERROR(VLOOKUP($A11,'The List'!$B1:$AS730,32,FALSE)," ")</f>
        <v xml:space="preserve"> </v>
      </c>
      <c r="Z11" s="52" t="str">
        <f>IFERROR(VLOOKUP($A11,'The List'!$B1:$AS730,33,FALSE)," ")</f>
        <v xml:space="preserve"> </v>
      </c>
      <c r="AA11" s="54"/>
      <c r="AB11" s="59"/>
      <c r="AC11" s="59"/>
      <c r="AD11" s="8" t="s">
        <v>909</v>
      </c>
      <c r="AE11" s="36">
        <f>VLOOKUP(AD11,T1:Y464,2,FALSE)</f>
        <v>88.671423448558244</v>
      </c>
      <c r="AF11" s="36">
        <f>VLOOKUP(AD11,T1:AA464,5,FALSE)</f>
        <v>13.399808990603082</v>
      </c>
    </row>
    <row r="12" spans="1:32" ht="21.2" customHeight="1">
      <c r="A12" s="23"/>
      <c r="B12" s="64" t="str">
        <f>IFERROR(VLOOKUP($A12,'The List'!$B1:$AS730,3,FALSE)," ")</f>
        <v xml:space="preserve"> </v>
      </c>
      <c r="C12" s="66" t="str">
        <f>IFERROR(VLOOKUP($A12,'The List'!$B1:$AS730,4,FALSE)," ")</f>
        <v xml:space="preserve"> </v>
      </c>
      <c r="D12" s="34" t="str">
        <f>IFERROR(VLOOKUP($A12,'The List'!$B1:$AS730,5,FALSE)," ")</f>
        <v xml:space="preserve"> </v>
      </c>
      <c r="E12" s="34" t="str">
        <f>IFERROR(VLOOKUP($A12,'The List'!$B1:$AS730,6,FALSE)," ")</f>
        <v xml:space="preserve"> </v>
      </c>
      <c r="F12" s="49" t="str">
        <f>IFERROR(VLOOKUP($A12,'The List'!$B1:$AS730,8,FALSE)," ")</f>
        <v xml:space="preserve"> </v>
      </c>
      <c r="G12" s="49" t="str">
        <f>IFERROR(VLOOKUP($A12,'The List'!$B1:$AS730,10,FALSE)," ")</f>
        <v xml:space="preserve"> </v>
      </c>
      <c r="H12" s="38"/>
      <c r="I12" s="52" t="str">
        <f>IFERROR(VLOOKUP($A12,'The List'!$B1:$AS730,16,FALSE)," ")</f>
        <v xml:space="preserve"> </v>
      </c>
      <c r="J12" s="52" t="str">
        <f>IFERROR(VLOOKUP($A12,'The List'!$B1:$AS730,17,FALSE)," ")</f>
        <v xml:space="preserve"> </v>
      </c>
      <c r="K12" s="52" t="str">
        <f>IFERROR(VLOOKUP($A12,'The List'!$B1:$AS730,18,FALSE)," ")</f>
        <v xml:space="preserve"> </v>
      </c>
      <c r="L12" s="52" t="str">
        <f>IFERROR(VLOOKUP($A12,'The List'!$B1:$AS730,19,FALSE)," ")</f>
        <v xml:space="preserve"> </v>
      </c>
      <c r="M12" s="52" t="str">
        <f>IFERROR(VLOOKUP($A12,'The List'!$B1:$AS730,20,FALSE)," ")</f>
        <v xml:space="preserve"> </v>
      </c>
      <c r="N12" s="52" t="str">
        <f>IFERROR(VLOOKUP($A12,'The List'!$B1:$AS730,21,FALSE)," ")</f>
        <v xml:space="preserve"> </v>
      </c>
      <c r="O12" s="52" t="str">
        <f>IFERROR(VLOOKUP($A12,'The List'!$B1:$AS730,22,FALSE)," ")</f>
        <v xml:space="preserve"> </v>
      </c>
      <c r="P12" s="52" t="str">
        <f>IFERROR(VLOOKUP($A12,'The List'!$B1:$AS730,23,FALSE)," ")</f>
        <v xml:space="preserve"> </v>
      </c>
      <c r="Q12" s="52" t="str">
        <f>IFERROR(VLOOKUP($A12,'The List'!$B1:$AS730,24,FALSE)," ")</f>
        <v xml:space="preserve"> </v>
      </c>
      <c r="R12" s="52" t="str">
        <f>IFERROR(VLOOKUP($A12,'The List'!$B1:$AS730,25,FALSE)," ")</f>
        <v xml:space="preserve"> </v>
      </c>
      <c r="S12" s="52" t="str">
        <f>IFERROR(VLOOKUP($A12,'The List'!$B1:$AS730,26,FALSE)," ")</f>
        <v xml:space="preserve"> </v>
      </c>
      <c r="T12" s="52" t="str">
        <f>IFERROR(VLOOKUP($A12,'The List'!$B1:$AS730,27,FALSE)," ")</f>
        <v xml:space="preserve"> </v>
      </c>
      <c r="U12" s="52" t="str">
        <f>IFERROR(VLOOKUP($A12,'The List'!$B1:$AS730,28,FALSE)," ")</f>
        <v xml:space="preserve"> </v>
      </c>
      <c r="V12" s="52" t="str">
        <f>IFERROR(VLOOKUP($A12,'The List'!$B1:$AS730,29,FALSE)," ")</f>
        <v xml:space="preserve"> </v>
      </c>
      <c r="W12" s="52" t="str">
        <f>IFERROR(VLOOKUP($A12,'The List'!$B1:$AS730,30,FALSE)," ")</f>
        <v xml:space="preserve"> </v>
      </c>
      <c r="X12" s="52" t="str">
        <f>IFERROR(VLOOKUP($A12,'The List'!$B1:$AS730,31,FALSE)," ")</f>
        <v xml:space="preserve"> </v>
      </c>
      <c r="Y12" s="52" t="str">
        <f>IFERROR(VLOOKUP($A12,'The List'!$B1:$AS730,32,FALSE)," ")</f>
        <v xml:space="preserve"> </v>
      </c>
      <c r="Z12" s="52" t="str">
        <f>IFERROR(VLOOKUP($A12,'The List'!$B1:$AS730,33,FALSE)," ")</f>
        <v xml:space="preserve"> </v>
      </c>
      <c r="AA12" s="54"/>
      <c r="AB12" s="59"/>
      <c r="AC12" s="59"/>
      <c r="AD12" s="8" t="s">
        <v>910</v>
      </c>
      <c r="AE12" s="36">
        <f>VLOOKUP(AD12,T1:Y464,2,FALSE)</f>
        <v>97.359660600040414</v>
      </c>
      <c r="AF12" s="36">
        <f>VLOOKUP(AD12,T1:AA464,5,FALSE)</f>
        <v>21.656843811776401</v>
      </c>
    </row>
    <row r="13" spans="1:32" ht="21.2" customHeight="1">
      <c r="A13" s="23"/>
      <c r="B13" s="64" t="str">
        <f>IFERROR(VLOOKUP($A13,'The List'!$B1:$AS730,3,FALSE)," ")</f>
        <v xml:space="preserve"> </v>
      </c>
      <c r="C13" s="66" t="str">
        <f>IFERROR(VLOOKUP($A13,'The List'!$B1:$AS730,4,FALSE)," ")</f>
        <v xml:space="preserve"> </v>
      </c>
      <c r="D13" s="34" t="str">
        <f>IFERROR(VLOOKUP($A13,'The List'!$B1:$AS730,5,FALSE)," ")</f>
        <v xml:space="preserve"> </v>
      </c>
      <c r="E13" s="34" t="str">
        <f>IFERROR(VLOOKUP($A13,'The List'!$B1:$AS730,6,FALSE)," ")</f>
        <v xml:space="preserve"> </v>
      </c>
      <c r="F13" s="49" t="str">
        <f>IFERROR(VLOOKUP($A13,'The List'!$B1:$AS730,8,FALSE)," ")</f>
        <v xml:space="preserve"> </v>
      </c>
      <c r="G13" s="49" t="str">
        <f>IFERROR(VLOOKUP($A13,'The List'!$B1:$AS730,10,FALSE)," ")</f>
        <v xml:space="preserve"> </v>
      </c>
      <c r="H13" s="38"/>
      <c r="I13" s="52" t="str">
        <f>IFERROR(VLOOKUP($A13,'The List'!$B1:$AS730,16,FALSE)," ")</f>
        <v xml:space="preserve"> </v>
      </c>
      <c r="J13" s="52" t="str">
        <f>IFERROR(VLOOKUP($A13,'The List'!$B1:$AS730,17,FALSE)," ")</f>
        <v xml:space="preserve"> </v>
      </c>
      <c r="K13" s="52" t="str">
        <f>IFERROR(VLOOKUP($A13,'The List'!$B1:$AS730,18,FALSE)," ")</f>
        <v xml:space="preserve"> </v>
      </c>
      <c r="L13" s="52" t="str">
        <f>IFERROR(VLOOKUP($A13,'The List'!$B1:$AS730,19,FALSE)," ")</f>
        <v xml:space="preserve"> </v>
      </c>
      <c r="M13" s="52" t="str">
        <f>IFERROR(VLOOKUP($A13,'The List'!$B1:$AS730,20,FALSE)," ")</f>
        <v xml:space="preserve"> </v>
      </c>
      <c r="N13" s="52" t="str">
        <f>IFERROR(VLOOKUP($A13,'The List'!$B1:$AS730,21,FALSE)," ")</f>
        <v xml:space="preserve"> </v>
      </c>
      <c r="O13" s="52" t="str">
        <f>IFERROR(VLOOKUP($A13,'The List'!$B1:$AS730,22,FALSE)," ")</f>
        <v xml:space="preserve"> </v>
      </c>
      <c r="P13" s="52" t="str">
        <f>IFERROR(VLOOKUP($A13,'The List'!$B1:$AS730,23,FALSE)," ")</f>
        <v xml:space="preserve"> </v>
      </c>
      <c r="Q13" s="52" t="str">
        <f>IFERROR(VLOOKUP($A13,'The List'!$B1:$AS730,24,FALSE)," ")</f>
        <v xml:space="preserve"> </v>
      </c>
      <c r="R13" s="52" t="str">
        <f>IFERROR(VLOOKUP($A13,'The List'!$B1:$AS730,25,FALSE)," ")</f>
        <v xml:space="preserve"> </v>
      </c>
      <c r="S13" s="52" t="str">
        <f>IFERROR(VLOOKUP($A13,'The List'!$B1:$AS730,26,FALSE)," ")</f>
        <v xml:space="preserve"> </v>
      </c>
      <c r="T13" s="52" t="str">
        <f>IFERROR(VLOOKUP($A13,'The List'!$B1:$AS730,27,FALSE)," ")</f>
        <v xml:space="preserve"> </v>
      </c>
      <c r="U13" s="52" t="str">
        <f>IFERROR(VLOOKUP($A13,'The List'!$B1:$AS730,28,FALSE)," ")</f>
        <v xml:space="preserve"> </v>
      </c>
      <c r="V13" s="52" t="str">
        <f>IFERROR(VLOOKUP($A13,'The List'!$B1:$AS730,29,FALSE)," ")</f>
        <v xml:space="preserve"> </v>
      </c>
      <c r="W13" s="52" t="str">
        <f>IFERROR(VLOOKUP($A13,'The List'!$B1:$AS730,30,FALSE)," ")</f>
        <v xml:space="preserve"> </v>
      </c>
      <c r="X13" s="52" t="str">
        <f>IFERROR(VLOOKUP($A13,'The List'!$B1:$AS730,31,FALSE)," ")</f>
        <v xml:space="preserve"> </v>
      </c>
      <c r="Y13" s="52" t="str">
        <f>IFERROR(VLOOKUP($A13,'The List'!$B1:$AS730,32,FALSE)," ")</f>
        <v xml:space="preserve"> </v>
      </c>
      <c r="Z13" s="52" t="str">
        <f>IFERROR(VLOOKUP($A13,'The List'!$B1:$AS730,33,FALSE)," ")</f>
        <v xml:space="preserve"> </v>
      </c>
      <c r="AA13" s="54"/>
      <c r="AB13" s="59"/>
      <c r="AC13" s="59"/>
      <c r="AD13" s="8" t="s">
        <v>911</v>
      </c>
      <c r="AE13" s="36">
        <f>VLOOKUP(AD13,T1:Y464,2,FALSE)</f>
        <v>0</v>
      </c>
      <c r="AF13" s="36">
        <f>VLOOKUP(AD13,T1:AA464,5,FALSE)</f>
        <v>0</v>
      </c>
    </row>
    <row r="14" spans="1:32" ht="21.2" customHeight="1">
      <c r="A14" s="8"/>
      <c r="B14" s="67" t="str">
        <f>IFERROR(VLOOKUP($A14,'The List'!$B1:$AS730,3,FALSE)," ")</f>
        <v xml:space="preserve"> </v>
      </c>
      <c r="C14" s="68" t="str">
        <f>IFERROR(VLOOKUP($A14,'The List'!$B1:$AS730,4,FALSE)," ")</f>
        <v xml:space="preserve"> </v>
      </c>
      <c r="D14" s="34" t="str">
        <f>IFERROR(VLOOKUP($A14,'The List'!$B1:$AS730,5,FALSE)," ")</f>
        <v xml:space="preserve"> </v>
      </c>
      <c r="E14" s="58" t="str">
        <f>IFERROR(VLOOKUP($A14,'The List'!$B1:$AS730,6,FALSE)," ")</f>
        <v xml:space="preserve"> </v>
      </c>
      <c r="F14" s="36" t="str">
        <f>IFERROR(VLOOKUP($A14,'The List'!$B1:$AS730,8,FALSE)," ")</f>
        <v xml:space="preserve"> </v>
      </c>
      <c r="G14" s="36" t="str">
        <f>IFERROR(VLOOKUP($A14,'The List'!$B1:$AS730,10,FALSE)," ")</f>
        <v xml:space="preserve"> </v>
      </c>
      <c r="H14" s="38"/>
      <c r="I14" s="40" t="str">
        <f>IFERROR(VLOOKUP($A14,'The List'!$B1:$AS730,16,FALSE)," ")</f>
        <v xml:space="preserve"> </v>
      </c>
      <c r="J14" s="40" t="str">
        <f>IFERROR(VLOOKUP($A14,'The List'!$B1:$AS730,17,FALSE)," ")</f>
        <v xml:space="preserve"> </v>
      </c>
      <c r="K14" s="40" t="str">
        <f>IFERROR(VLOOKUP($A14,'The List'!$B1:$AS730,18,FALSE)," ")</f>
        <v xml:space="preserve"> </v>
      </c>
      <c r="L14" s="40" t="str">
        <f>IFERROR(VLOOKUP($A14,'The List'!$B1:$AS730,19,FALSE)," ")</f>
        <v xml:space="preserve"> </v>
      </c>
      <c r="M14" s="40" t="str">
        <f>IFERROR(VLOOKUP($A14,'The List'!$B1:$AS730,20,FALSE)," ")</f>
        <v xml:space="preserve"> </v>
      </c>
      <c r="N14" s="40" t="str">
        <f>IFERROR(VLOOKUP($A14,'The List'!$B1:$AS730,21,FALSE)," ")</f>
        <v xml:space="preserve"> </v>
      </c>
      <c r="O14" s="40" t="str">
        <f>IFERROR(VLOOKUP($A14,'The List'!$B1:$AS730,22,FALSE)," ")</f>
        <v xml:space="preserve"> </v>
      </c>
      <c r="P14" s="40" t="str">
        <f>IFERROR(VLOOKUP($A14,'The List'!$B1:$AS730,23,FALSE)," ")</f>
        <v xml:space="preserve"> </v>
      </c>
      <c r="Q14" s="40" t="str">
        <f>IFERROR(VLOOKUP($A14,'The List'!$B1:$AS730,24,FALSE)," ")</f>
        <v xml:space="preserve"> </v>
      </c>
      <c r="R14" s="40" t="str">
        <f>IFERROR(VLOOKUP($A14,'The List'!$B1:$AS730,25,FALSE)," ")</f>
        <v xml:space="preserve"> </v>
      </c>
      <c r="S14" s="40" t="str">
        <f>IFERROR(VLOOKUP($A14,'The List'!$B1:$AS730,26,FALSE)," ")</f>
        <v xml:space="preserve"> </v>
      </c>
      <c r="T14" s="40" t="str">
        <f>IFERROR(VLOOKUP($A14,'The List'!$B1:$AS730,27,FALSE)," ")</f>
        <v xml:space="preserve"> </v>
      </c>
      <c r="U14" s="40" t="str">
        <f>IFERROR(VLOOKUP($A14,'The List'!$B1:$AS730,28,FALSE)," ")</f>
        <v xml:space="preserve"> </v>
      </c>
      <c r="V14" s="40" t="str">
        <f>IFERROR(VLOOKUP($A14,'The List'!$B1:$AS730,29,FALSE)," ")</f>
        <v xml:space="preserve"> </v>
      </c>
      <c r="W14" s="40" t="str">
        <f>IFERROR(VLOOKUP($A14,'The List'!$B1:$AS730,30,FALSE)," ")</f>
        <v xml:space="preserve"> </v>
      </c>
      <c r="X14" s="40" t="str">
        <f>IFERROR(VLOOKUP($A14,'The List'!$B1:$AS730,31,FALSE)," ")</f>
        <v xml:space="preserve"> </v>
      </c>
      <c r="Y14" s="40" t="str">
        <f>IFERROR(VLOOKUP($A14,'The List'!$B1:$AS730,32,FALSE)," ")</f>
        <v xml:space="preserve"> </v>
      </c>
      <c r="Z14" s="41" t="str">
        <f>IFERROR(VLOOKUP($A14,'The List'!$B1:$AS730,33,FALSE)," ")</f>
        <v xml:space="preserve"> </v>
      </c>
      <c r="AA14" s="54"/>
      <c r="AB14" s="59"/>
      <c r="AC14" s="59"/>
      <c r="AD14" s="8"/>
      <c r="AE14" s="36"/>
      <c r="AF14" s="36"/>
    </row>
    <row r="15" spans="1:32" ht="21.2" customHeight="1">
      <c r="A15" s="23"/>
      <c r="B15" s="67" t="str">
        <f>IFERROR(VLOOKUP($A15,'The List'!$B1:$AS730,3,FALSE)," ")</f>
        <v xml:space="preserve"> </v>
      </c>
      <c r="C15" s="69" t="str">
        <f>IFERROR(VLOOKUP($A15,'The List'!$B1:$AS730,4,FALSE)," ")</f>
        <v xml:space="preserve"> </v>
      </c>
      <c r="D15" s="34" t="str">
        <f>IFERROR(VLOOKUP($A15,'The List'!$B1:$AS730,5,FALSE)," ")</f>
        <v xml:space="preserve"> </v>
      </c>
      <c r="E15" s="34" t="str">
        <f>IFERROR(VLOOKUP($A15,'The List'!$B1:$AS730,6,FALSE)," ")</f>
        <v xml:space="preserve"> </v>
      </c>
      <c r="F15" s="49" t="str">
        <f>IFERROR(VLOOKUP($A15,'The List'!$B1:$AS730,8,FALSE)," ")</f>
        <v xml:space="preserve"> </v>
      </c>
      <c r="G15" s="49" t="str">
        <f>IFERROR(VLOOKUP($A15,'The List'!$B1:$AS730,10,FALSE)," ")</f>
        <v xml:space="preserve"> </v>
      </c>
      <c r="H15" s="38"/>
      <c r="I15" s="52" t="str">
        <f>IFERROR(VLOOKUP($A15,'The List'!$B1:$AS730,16,FALSE)," ")</f>
        <v xml:space="preserve"> </v>
      </c>
      <c r="J15" s="52" t="str">
        <f>IFERROR(VLOOKUP($A15,'The List'!$B1:$AS730,17,FALSE)," ")</f>
        <v xml:space="preserve"> </v>
      </c>
      <c r="K15" s="52" t="str">
        <f>IFERROR(VLOOKUP($A15,'The List'!$B1:$AS730,18,FALSE)," ")</f>
        <v xml:space="preserve"> </v>
      </c>
      <c r="L15" s="52" t="str">
        <f>IFERROR(VLOOKUP($A15,'The List'!$B1:$AS730,19,FALSE)," ")</f>
        <v xml:space="preserve"> </v>
      </c>
      <c r="M15" s="52" t="str">
        <f>IFERROR(VLOOKUP($A15,'The List'!$B1:$AS730,20,FALSE)," ")</f>
        <v xml:space="preserve"> </v>
      </c>
      <c r="N15" s="52" t="str">
        <f>IFERROR(VLOOKUP($A15,'The List'!$B1:$AS730,21,FALSE)," ")</f>
        <v xml:space="preserve"> </v>
      </c>
      <c r="O15" s="52" t="str">
        <f>IFERROR(VLOOKUP($A15,'The List'!$B1:$AS730,22,FALSE)," ")</f>
        <v xml:space="preserve"> </v>
      </c>
      <c r="P15" s="52" t="str">
        <f>IFERROR(VLOOKUP($A15,'The List'!$B1:$AS730,23,FALSE)," ")</f>
        <v xml:space="preserve"> </v>
      </c>
      <c r="Q15" s="52" t="str">
        <f>IFERROR(VLOOKUP($A15,'The List'!$B1:$AS730,24,FALSE)," ")</f>
        <v xml:space="preserve"> </v>
      </c>
      <c r="R15" s="52" t="str">
        <f>IFERROR(VLOOKUP($A15,'The List'!$B1:$AS730,25,FALSE)," ")</f>
        <v xml:space="preserve"> </v>
      </c>
      <c r="S15" s="52" t="str">
        <f>IFERROR(VLOOKUP($A15,'The List'!$B1:$AS730,26,FALSE)," ")</f>
        <v xml:space="preserve"> </v>
      </c>
      <c r="T15" s="52" t="str">
        <f>IFERROR(VLOOKUP($A15,'The List'!$B1:$AS730,27,FALSE)," ")</f>
        <v xml:space="preserve"> </v>
      </c>
      <c r="U15" s="52" t="str">
        <f>IFERROR(VLOOKUP($A15,'The List'!$B1:$AS730,28,FALSE)," ")</f>
        <v xml:space="preserve"> </v>
      </c>
      <c r="V15" s="52" t="str">
        <f>IFERROR(VLOOKUP($A15,'The List'!$B1:$AS730,29,FALSE)," ")</f>
        <v xml:space="preserve"> </v>
      </c>
      <c r="W15" s="52" t="str">
        <f>IFERROR(VLOOKUP($A15,'The List'!$B1:$AS730,30,FALSE)," ")</f>
        <v xml:space="preserve"> </v>
      </c>
      <c r="X15" s="52" t="str">
        <f>IFERROR(VLOOKUP($A15,'The List'!$B1:$AS730,31,FALSE)," ")</f>
        <v xml:space="preserve"> </v>
      </c>
      <c r="Y15" s="52" t="str">
        <f>IFERROR(VLOOKUP($A15,'The List'!$B1:$AS730,32,FALSE)," ")</f>
        <v xml:space="preserve"> </v>
      </c>
      <c r="Z15" s="52" t="str">
        <f>IFERROR(VLOOKUP($A15,'The List'!$B1:$AS730,33,FALSE)," ")</f>
        <v xml:space="preserve"> </v>
      </c>
      <c r="AA15" s="54"/>
      <c r="AB15" s="59"/>
      <c r="AC15" s="59"/>
      <c r="AD15" s="8"/>
      <c r="AE15" s="36"/>
      <c r="AF15" s="36"/>
    </row>
    <row r="16" spans="1:32" ht="21.2" customHeight="1">
      <c r="A16" s="23"/>
      <c r="B16" s="67" t="str">
        <f>IFERROR(VLOOKUP($A16,'The List'!$B1:$AS730,3,FALSE)," ")</f>
        <v xml:space="preserve"> </v>
      </c>
      <c r="C16" s="69" t="str">
        <f>IFERROR(VLOOKUP($A16,'The List'!$B1:$AS730,4,FALSE)," ")</f>
        <v xml:space="preserve"> </v>
      </c>
      <c r="D16" s="34" t="str">
        <f>IFERROR(VLOOKUP($A16,'The List'!$B1:$AS730,5,FALSE)," ")</f>
        <v xml:space="preserve"> </v>
      </c>
      <c r="E16" s="34" t="str">
        <f>IFERROR(VLOOKUP($A16,'The List'!$B1:$AS730,6,FALSE)," ")</f>
        <v xml:space="preserve"> </v>
      </c>
      <c r="F16" s="49" t="str">
        <f>IFERROR(VLOOKUP($A16,'The List'!$B1:$AS730,8,FALSE)," ")</f>
        <v xml:space="preserve"> </v>
      </c>
      <c r="G16" s="49" t="str">
        <f>IFERROR(VLOOKUP($A16,'The List'!$B1:$AS730,10,FALSE)," ")</f>
        <v xml:space="preserve"> </v>
      </c>
      <c r="H16" s="38"/>
      <c r="I16" s="52" t="str">
        <f>IFERROR(VLOOKUP($A16,'The List'!$B1:$AS730,16,FALSE)," ")</f>
        <v xml:space="preserve"> </v>
      </c>
      <c r="J16" s="52" t="str">
        <f>IFERROR(VLOOKUP($A16,'The List'!$B1:$AS730,17,FALSE)," ")</f>
        <v xml:space="preserve"> </v>
      </c>
      <c r="K16" s="52" t="str">
        <f>IFERROR(VLOOKUP($A16,'The List'!$B1:$AS730,18,FALSE)," ")</f>
        <v xml:space="preserve"> </v>
      </c>
      <c r="L16" s="52" t="str">
        <f>IFERROR(VLOOKUP($A16,'The List'!$B1:$AS730,19,FALSE)," ")</f>
        <v xml:space="preserve"> </v>
      </c>
      <c r="M16" s="52" t="str">
        <f>IFERROR(VLOOKUP($A16,'The List'!$B1:$AS730,20,FALSE)," ")</f>
        <v xml:space="preserve"> </v>
      </c>
      <c r="N16" s="52" t="str">
        <f>IFERROR(VLOOKUP($A16,'The List'!$B1:$AS730,21,FALSE)," ")</f>
        <v xml:space="preserve"> </v>
      </c>
      <c r="O16" s="52" t="str">
        <f>IFERROR(VLOOKUP($A16,'The List'!$B1:$AS730,22,FALSE)," ")</f>
        <v xml:space="preserve"> </v>
      </c>
      <c r="P16" s="52" t="str">
        <f>IFERROR(VLOOKUP($A16,'The List'!$B1:$AS730,23,FALSE)," ")</f>
        <v xml:space="preserve"> </v>
      </c>
      <c r="Q16" s="52" t="str">
        <f>IFERROR(VLOOKUP($A16,'The List'!$B1:$AS730,24,FALSE)," ")</f>
        <v xml:space="preserve"> </v>
      </c>
      <c r="R16" s="52" t="str">
        <f>IFERROR(VLOOKUP($A16,'The List'!$B1:$AS730,25,FALSE)," ")</f>
        <v xml:space="preserve"> </v>
      </c>
      <c r="S16" s="52" t="str">
        <f>IFERROR(VLOOKUP($A16,'The List'!$B1:$AS730,26,FALSE)," ")</f>
        <v xml:space="preserve"> </v>
      </c>
      <c r="T16" s="52" t="str">
        <f>IFERROR(VLOOKUP($A16,'The List'!$B1:$AS730,27,FALSE)," ")</f>
        <v xml:space="preserve"> </v>
      </c>
      <c r="U16" s="52" t="str">
        <f>IFERROR(VLOOKUP($A16,'The List'!$B1:$AS730,28,FALSE)," ")</f>
        <v xml:space="preserve"> </v>
      </c>
      <c r="V16" s="52" t="str">
        <f>IFERROR(VLOOKUP($A16,'The List'!$B1:$AS730,29,FALSE)," ")</f>
        <v xml:space="preserve"> </v>
      </c>
      <c r="W16" s="52" t="str">
        <f>IFERROR(VLOOKUP($A16,'The List'!$B1:$AS730,30,FALSE)," ")</f>
        <v xml:space="preserve"> </v>
      </c>
      <c r="X16" s="52" t="str">
        <f>IFERROR(VLOOKUP($A16,'The List'!$B1:$AS730,31,FALSE)," ")</f>
        <v xml:space="preserve"> </v>
      </c>
      <c r="Y16" s="52" t="str">
        <f>IFERROR(VLOOKUP($A16,'The List'!$B1:$AS730,32,FALSE)," ")</f>
        <v xml:space="preserve"> </v>
      </c>
      <c r="Z16" s="52" t="str">
        <f>IFERROR(VLOOKUP($A16,'The List'!$B1:$AS730,33,FALSE)," ")</f>
        <v xml:space="preserve"> </v>
      </c>
      <c r="AA16" s="54"/>
      <c r="AB16" s="59"/>
      <c r="AC16" s="59"/>
      <c r="AD16" s="8"/>
      <c r="AE16" s="36"/>
      <c r="AF16" s="36"/>
    </row>
    <row r="17" spans="1:32" ht="21.2" customHeight="1">
      <c r="A17" s="23"/>
      <c r="B17" s="67" t="str">
        <f>IFERROR(VLOOKUP($A17,'The List'!$B1:$AS730,3,FALSE)," ")</f>
        <v xml:space="preserve"> </v>
      </c>
      <c r="C17" s="69" t="str">
        <f>IFERROR(VLOOKUP($A17,'The List'!$B1:$AS730,4,FALSE)," ")</f>
        <v xml:space="preserve"> </v>
      </c>
      <c r="D17" s="34" t="str">
        <f>IFERROR(VLOOKUP($A17,'The List'!$B1:$AS730,5,FALSE)," ")</f>
        <v xml:space="preserve"> </v>
      </c>
      <c r="E17" s="34" t="str">
        <f>IFERROR(VLOOKUP($A17,'The List'!$B1:$AS730,6,FALSE)," ")</f>
        <v xml:space="preserve"> </v>
      </c>
      <c r="F17" s="49" t="str">
        <f>IFERROR(VLOOKUP($A17,'The List'!$B1:$AS730,8,FALSE)," ")</f>
        <v xml:space="preserve"> </v>
      </c>
      <c r="G17" s="49" t="str">
        <f>IFERROR(VLOOKUP($A17,'The List'!$B1:$AS730,10,FALSE)," ")</f>
        <v xml:space="preserve"> </v>
      </c>
      <c r="H17" s="38"/>
      <c r="I17" s="52" t="str">
        <f>IFERROR(VLOOKUP($A17,'The List'!$B1:$AS730,16,FALSE)," ")</f>
        <v xml:space="preserve"> </v>
      </c>
      <c r="J17" s="52" t="str">
        <f>IFERROR(VLOOKUP($A17,'The List'!$B1:$AS730,17,FALSE)," ")</f>
        <v xml:space="preserve"> </v>
      </c>
      <c r="K17" s="52" t="str">
        <f>IFERROR(VLOOKUP($A17,'The List'!$B1:$AS730,18,FALSE)," ")</f>
        <v xml:space="preserve"> </v>
      </c>
      <c r="L17" s="52" t="str">
        <f>IFERROR(VLOOKUP($A17,'The List'!$B1:$AS730,19,FALSE)," ")</f>
        <v xml:space="preserve"> </v>
      </c>
      <c r="M17" s="52" t="str">
        <f>IFERROR(VLOOKUP($A17,'The List'!$B1:$AS730,20,FALSE)," ")</f>
        <v xml:space="preserve"> </v>
      </c>
      <c r="N17" s="52" t="str">
        <f>IFERROR(VLOOKUP($A17,'The List'!$B1:$AS730,21,FALSE)," ")</f>
        <v xml:space="preserve"> </v>
      </c>
      <c r="O17" s="52" t="str">
        <f>IFERROR(VLOOKUP($A17,'The List'!$B1:$AS730,22,FALSE)," ")</f>
        <v xml:space="preserve"> </v>
      </c>
      <c r="P17" s="52" t="str">
        <f>IFERROR(VLOOKUP($A17,'The List'!$B1:$AS730,23,FALSE)," ")</f>
        <v xml:space="preserve"> </v>
      </c>
      <c r="Q17" s="52" t="str">
        <f>IFERROR(VLOOKUP($A17,'The List'!$B1:$AS730,24,FALSE)," ")</f>
        <v xml:space="preserve"> </v>
      </c>
      <c r="R17" s="52" t="str">
        <f>IFERROR(VLOOKUP($A17,'The List'!$B1:$AS730,25,FALSE)," ")</f>
        <v xml:space="preserve"> </v>
      </c>
      <c r="S17" s="52" t="str">
        <f>IFERROR(VLOOKUP($A17,'The List'!$B1:$AS730,26,FALSE)," ")</f>
        <v xml:space="preserve"> </v>
      </c>
      <c r="T17" s="52" t="str">
        <f>IFERROR(VLOOKUP($A17,'The List'!$B1:$AS730,27,FALSE)," ")</f>
        <v xml:space="preserve"> </v>
      </c>
      <c r="U17" s="52" t="str">
        <f>IFERROR(VLOOKUP($A17,'The List'!$B1:$AS730,28,FALSE)," ")</f>
        <v xml:space="preserve"> </v>
      </c>
      <c r="V17" s="52" t="str">
        <f>IFERROR(VLOOKUP($A17,'The List'!$B1:$AS730,29,FALSE)," ")</f>
        <v xml:space="preserve"> </v>
      </c>
      <c r="W17" s="52" t="str">
        <f>IFERROR(VLOOKUP($A17,'The List'!$B1:$AS730,30,FALSE)," ")</f>
        <v xml:space="preserve"> </v>
      </c>
      <c r="X17" s="52" t="str">
        <f>IFERROR(VLOOKUP($A17,'The List'!$B1:$AS730,31,FALSE)," ")</f>
        <v xml:space="preserve"> </v>
      </c>
      <c r="Y17" s="52" t="str">
        <f>IFERROR(VLOOKUP($A17,'The List'!$B1:$AS730,32,FALSE)," ")</f>
        <v xml:space="preserve"> </v>
      </c>
      <c r="Z17" s="52" t="str">
        <f>IFERROR(VLOOKUP($A17,'The List'!$B1:$AS730,33,FALSE)," ")</f>
        <v xml:space="preserve"> </v>
      </c>
      <c r="AA17" s="54"/>
      <c r="AB17" s="59"/>
      <c r="AC17" s="59"/>
      <c r="AD17" s="8"/>
      <c r="AE17" s="36"/>
      <c r="AF17" s="36"/>
    </row>
    <row r="18" spans="1:32" ht="21.2" customHeight="1">
      <c r="A18" s="23"/>
      <c r="B18" s="67" t="str">
        <f>IFERROR(VLOOKUP($A18,'The List'!$B1:$AS730,3,FALSE)," ")</f>
        <v xml:space="preserve"> </v>
      </c>
      <c r="C18" s="69" t="str">
        <f>IFERROR(VLOOKUP($A18,'The List'!$B1:$AS730,4,FALSE)," ")</f>
        <v xml:space="preserve"> </v>
      </c>
      <c r="D18" s="34" t="str">
        <f>IFERROR(VLOOKUP($A18,'The List'!$B1:$AS730,5,FALSE)," ")</f>
        <v xml:space="preserve"> </v>
      </c>
      <c r="E18" s="34" t="str">
        <f>IFERROR(VLOOKUP($A18,'The List'!$B1:$AS730,6,FALSE)," ")</f>
        <v xml:space="preserve"> </v>
      </c>
      <c r="F18" s="49" t="str">
        <f>IFERROR(VLOOKUP($A18,'The List'!$B1:$AS730,8,FALSE)," ")</f>
        <v xml:space="preserve"> </v>
      </c>
      <c r="G18" s="49" t="str">
        <f>IFERROR(VLOOKUP($A18,'The List'!$B1:$AS730,10,FALSE)," ")</f>
        <v xml:space="preserve"> </v>
      </c>
      <c r="H18" s="38"/>
      <c r="I18" s="52" t="str">
        <f>IFERROR(VLOOKUP($A18,'The List'!$B1:$AS730,16,FALSE)," ")</f>
        <v xml:space="preserve"> </v>
      </c>
      <c r="J18" s="52" t="str">
        <f>IFERROR(VLOOKUP($A18,'The List'!$B1:$AS730,17,FALSE)," ")</f>
        <v xml:space="preserve"> </v>
      </c>
      <c r="K18" s="52" t="str">
        <f>IFERROR(VLOOKUP($A18,'The List'!$B1:$AS730,18,FALSE)," ")</f>
        <v xml:space="preserve"> </v>
      </c>
      <c r="L18" s="52" t="str">
        <f>IFERROR(VLOOKUP($A18,'The List'!$B1:$AS730,19,FALSE)," ")</f>
        <v xml:space="preserve"> </v>
      </c>
      <c r="M18" s="52" t="str">
        <f>IFERROR(VLOOKUP($A18,'The List'!$B1:$AS730,20,FALSE)," ")</f>
        <v xml:space="preserve"> </v>
      </c>
      <c r="N18" s="52" t="str">
        <f>IFERROR(VLOOKUP($A18,'The List'!$B1:$AS730,21,FALSE)," ")</f>
        <v xml:space="preserve"> </v>
      </c>
      <c r="O18" s="52" t="str">
        <f>IFERROR(VLOOKUP($A18,'The List'!$B1:$AS730,22,FALSE)," ")</f>
        <v xml:space="preserve"> </v>
      </c>
      <c r="P18" s="52" t="str">
        <f>IFERROR(VLOOKUP($A18,'The List'!$B1:$AS730,23,FALSE)," ")</f>
        <v xml:space="preserve"> </v>
      </c>
      <c r="Q18" s="52" t="str">
        <f>IFERROR(VLOOKUP($A18,'The List'!$B1:$AS730,24,FALSE)," ")</f>
        <v xml:space="preserve"> </v>
      </c>
      <c r="R18" s="52" t="str">
        <f>IFERROR(VLOOKUP($A18,'The List'!$B1:$AS730,25,FALSE)," ")</f>
        <v xml:space="preserve"> </v>
      </c>
      <c r="S18" s="52" t="str">
        <f>IFERROR(VLOOKUP($A18,'The List'!$B1:$AS730,26,FALSE)," ")</f>
        <v xml:space="preserve"> </v>
      </c>
      <c r="T18" s="52" t="str">
        <f>IFERROR(VLOOKUP($A18,'The List'!$B1:$AS730,27,FALSE)," ")</f>
        <v xml:space="preserve"> </v>
      </c>
      <c r="U18" s="52" t="str">
        <f>IFERROR(VLOOKUP($A18,'The List'!$B1:$AS730,28,FALSE)," ")</f>
        <v xml:space="preserve"> </v>
      </c>
      <c r="V18" s="52" t="str">
        <f>IFERROR(VLOOKUP($A18,'The List'!$B1:$AS730,29,FALSE)," ")</f>
        <v xml:space="preserve"> </v>
      </c>
      <c r="W18" s="52" t="str">
        <f>IFERROR(VLOOKUP($A18,'The List'!$B1:$AS730,30,FALSE)," ")</f>
        <v xml:space="preserve"> </v>
      </c>
      <c r="X18" s="52" t="str">
        <f>IFERROR(VLOOKUP($A18,'The List'!$B1:$AS730,31,FALSE)," ")</f>
        <v xml:space="preserve"> </v>
      </c>
      <c r="Y18" s="52" t="str">
        <f>IFERROR(VLOOKUP($A18,'The List'!$B1:$AS730,32,FALSE)," ")</f>
        <v xml:space="preserve"> </v>
      </c>
      <c r="Z18" s="52" t="str">
        <f>IFERROR(VLOOKUP($A18,'The List'!$B1:$AS730,33,FALSE)," ")</f>
        <v xml:space="preserve"> </v>
      </c>
      <c r="AA18" s="54"/>
      <c r="AB18" s="59"/>
      <c r="AC18" s="59"/>
      <c r="AD18" s="23"/>
      <c r="AE18" s="36"/>
      <c r="AF18" s="36"/>
    </row>
    <row r="19" spans="1:32" ht="21.2" customHeight="1">
      <c r="A19" s="23"/>
      <c r="B19" s="67" t="str">
        <f>IFERROR(VLOOKUP($A19,'The List'!$B1:$AS730,3,FALSE)," ")</f>
        <v xml:space="preserve"> </v>
      </c>
      <c r="C19" s="69" t="str">
        <f>IFERROR(VLOOKUP($A19,'The List'!$B1:$AS730,4,FALSE)," ")</f>
        <v xml:space="preserve"> </v>
      </c>
      <c r="D19" s="34" t="str">
        <f>IFERROR(VLOOKUP($A19,'The List'!$B1:$AS730,5,FALSE)," ")</f>
        <v xml:space="preserve"> </v>
      </c>
      <c r="E19" s="34" t="str">
        <f>IFERROR(VLOOKUP($A19,'The List'!$B1:$AS730,6,FALSE)," ")</f>
        <v xml:space="preserve"> </v>
      </c>
      <c r="F19" s="49" t="str">
        <f>IFERROR(VLOOKUP($A19,'The List'!$B1:$AS730,8,FALSE)," ")</f>
        <v xml:space="preserve"> </v>
      </c>
      <c r="G19" s="49" t="str">
        <f>IFERROR(VLOOKUP($A19,'The List'!$B1:$AS730,10,FALSE)," ")</f>
        <v xml:space="preserve"> </v>
      </c>
      <c r="H19" s="38"/>
      <c r="I19" s="52" t="str">
        <f>IFERROR(VLOOKUP($A19,'The List'!$B1:$AS730,16,FALSE)," ")</f>
        <v xml:space="preserve"> </v>
      </c>
      <c r="J19" s="52" t="str">
        <f>IFERROR(VLOOKUP($A19,'The List'!$B1:$AS730,17,FALSE)," ")</f>
        <v xml:space="preserve"> </v>
      </c>
      <c r="K19" s="52" t="str">
        <f>IFERROR(VLOOKUP($A19,'The List'!$B1:$AS730,18,FALSE)," ")</f>
        <v xml:space="preserve"> </v>
      </c>
      <c r="L19" s="52" t="str">
        <f>IFERROR(VLOOKUP($A19,'The List'!$B1:$AS730,19,FALSE)," ")</f>
        <v xml:space="preserve"> </v>
      </c>
      <c r="M19" s="52" t="str">
        <f>IFERROR(VLOOKUP($A19,'The List'!$B1:$AS730,20,FALSE)," ")</f>
        <v xml:space="preserve"> </v>
      </c>
      <c r="N19" s="52" t="str">
        <f>IFERROR(VLOOKUP($A19,'The List'!$B1:$AS730,21,FALSE)," ")</f>
        <v xml:space="preserve"> </v>
      </c>
      <c r="O19" s="52" t="str">
        <f>IFERROR(VLOOKUP($A19,'The List'!$B1:$AS730,22,FALSE)," ")</f>
        <v xml:space="preserve"> </v>
      </c>
      <c r="P19" s="52" t="str">
        <f>IFERROR(VLOOKUP($A19,'The List'!$B1:$AS730,23,FALSE)," ")</f>
        <v xml:space="preserve"> </v>
      </c>
      <c r="Q19" s="52" t="str">
        <f>IFERROR(VLOOKUP($A19,'The List'!$B1:$AS730,24,FALSE)," ")</f>
        <v xml:space="preserve"> </v>
      </c>
      <c r="R19" s="52" t="str">
        <f>IFERROR(VLOOKUP($A19,'The List'!$B1:$AS730,25,FALSE)," ")</f>
        <v xml:space="preserve"> </v>
      </c>
      <c r="S19" s="52" t="str">
        <f>IFERROR(VLOOKUP($A19,'The List'!$B1:$AS730,26,FALSE)," ")</f>
        <v xml:space="preserve"> </v>
      </c>
      <c r="T19" s="52" t="str">
        <f>IFERROR(VLOOKUP($A19,'The List'!$B1:$AS730,27,FALSE)," ")</f>
        <v xml:space="preserve"> </v>
      </c>
      <c r="U19" s="52" t="str">
        <f>IFERROR(VLOOKUP($A19,'The List'!$B1:$AS730,28,FALSE)," ")</f>
        <v xml:space="preserve"> </v>
      </c>
      <c r="V19" s="52" t="str">
        <f>IFERROR(VLOOKUP($A19,'The List'!$B1:$AS730,29,FALSE)," ")</f>
        <v xml:space="preserve"> </v>
      </c>
      <c r="W19" s="52" t="str">
        <f>IFERROR(VLOOKUP($A19,'The List'!$B1:$AS730,30,FALSE)," ")</f>
        <v xml:space="preserve"> </v>
      </c>
      <c r="X19" s="52" t="str">
        <f>IFERROR(VLOOKUP($A19,'The List'!$B1:$AS730,31,FALSE)," ")</f>
        <v xml:space="preserve"> </v>
      </c>
      <c r="Y19" s="52" t="str">
        <f>IFERROR(VLOOKUP($A19,'The List'!$B1:$AS730,32,FALSE)," ")</f>
        <v xml:space="preserve"> </v>
      </c>
      <c r="Z19" s="52" t="str">
        <f>IFERROR(VLOOKUP($A19,'The List'!$B1:$AS730,33,FALSE)," ")</f>
        <v xml:space="preserve"> </v>
      </c>
      <c r="AA19" s="54"/>
      <c r="AB19" s="59"/>
      <c r="AC19" s="59"/>
      <c r="AD19" s="23"/>
      <c r="AE19" s="36"/>
      <c r="AF19" s="36"/>
    </row>
    <row r="20" spans="1:32" ht="21.2" customHeight="1">
      <c r="A20" s="23"/>
      <c r="B20" s="67" t="str">
        <f>IFERROR(VLOOKUP($A20,'The List'!$B1:$AS730,3,FALSE)," ")</f>
        <v xml:space="preserve"> </v>
      </c>
      <c r="C20" s="69" t="str">
        <f>IFERROR(VLOOKUP($A20,'The List'!$B1:$AS730,4,FALSE)," ")</f>
        <v xml:space="preserve"> </v>
      </c>
      <c r="D20" s="34" t="str">
        <f>IFERROR(VLOOKUP($A20,'The List'!$B1:$AS730,5,FALSE)," ")</f>
        <v xml:space="preserve"> </v>
      </c>
      <c r="E20" s="34" t="str">
        <f>IFERROR(VLOOKUP($A20,'The List'!$B1:$AS730,6,FALSE)," ")</f>
        <v xml:space="preserve"> </v>
      </c>
      <c r="F20" s="49" t="str">
        <f>IFERROR(VLOOKUP($A20,'The List'!$B1:$AS730,8,FALSE)," ")</f>
        <v xml:space="preserve"> </v>
      </c>
      <c r="G20" s="49" t="str">
        <f>IFERROR(VLOOKUP($A20,'The List'!$B1:$AS730,10,FALSE)," ")</f>
        <v xml:space="preserve"> </v>
      </c>
      <c r="H20" s="38"/>
      <c r="I20" s="52" t="str">
        <f>IFERROR(VLOOKUP($A20,'The List'!$B1:$AS730,16,FALSE)," ")</f>
        <v xml:space="preserve"> </v>
      </c>
      <c r="J20" s="52" t="str">
        <f>IFERROR(VLOOKUP($A20,'The List'!$B1:$AS730,17,FALSE)," ")</f>
        <v xml:space="preserve"> </v>
      </c>
      <c r="K20" s="52" t="str">
        <f>IFERROR(VLOOKUP($A20,'The List'!$B1:$AS730,18,FALSE)," ")</f>
        <v xml:space="preserve"> </v>
      </c>
      <c r="L20" s="52" t="str">
        <f>IFERROR(VLOOKUP($A20,'The List'!$B1:$AS730,19,FALSE)," ")</f>
        <v xml:space="preserve"> </v>
      </c>
      <c r="M20" s="52" t="str">
        <f>IFERROR(VLOOKUP($A20,'The List'!$B1:$AS730,20,FALSE)," ")</f>
        <v xml:space="preserve"> </v>
      </c>
      <c r="N20" s="52" t="str">
        <f>IFERROR(VLOOKUP($A20,'The List'!$B1:$AS730,21,FALSE)," ")</f>
        <v xml:space="preserve"> </v>
      </c>
      <c r="O20" s="52" t="str">
        <f>IFERROR(VLOOKUP($A20,'The List'!$B1:$AS730,22,FALSE)," ")</f>
        <v xml:space="preserve"> </v>
      </c>
      <c r="P20" s="52" t="str">
        <f>IFERROR(VLOOKUP($A20,'The List'!$B1:$AS730,23,FALSE)," ")</f>
        <v xml:space="preserve"> </v>
      </c>
      <c r="Q20" s="52" t="str">
        <f>IFERROR(VLOOKUP($A20,'The List'!$B1:$AS730,24,FALSE)," ")</f>
        <v xml:space="preserve"> </v>
      </c>
      <c r="R20" s="52" t="str">
        <f>IFERROR(VLOOKUP($A20,'The List'!$B1:$AS730,25,FALSE)," ")</f>
        <v xml:space="preserve"> </v>
      </c>
      <c r="S20" s="52" t="str">
        <f>IFERROR(VLOOKUP($A20,'The List'!$B1:$AS730,26,FALSE)," ")</f>
        <v xml:space="preserve"> </v>
      </c>
      <c r="T20" s="52" t="str">
        <f>IFERROR(VLOOKUP($A20,'The List'!$B1:$AS730,27,FALSE)," ")</f>
        <v xml:space="preserve"> </v>
      </c>
      <c r="U20" s="52" t="str">
        <f>IFERROR(VLOOKUP($A20,'The List'!$B1:$AS730,28,FALSE)," ")</f>
        <v xml:space="preserve"> </v>
      </c>
      <c r="V20" s="52" t="str">
        <f>IFERROR(VLOOKUP($A20,'The List'!$B1:$AS730,29,FALSE)," ")</f>
        <v xml:space="preserve"> </v>
      </c>
      <c r="W20" s="52" t="str">
        <f>IFERROR(VLOOKUP($A20,'The List'!$B1:$AS730,30,FALSE)," ")</f>
        <v xml:space="preserve"> </v>
      </c>
      <c r="X20" s="52" t="str">
        <f>IFERROR(VLOOKUP($A20,'The List'!$B1:$AS730,31,FALSE)," ")</f>
        <v xml:space="preserve"> </v>
      </c>
      <c r="Y20" s="52" t="str">
        <f>IFERROR(VLOOKUP($A20,'The List'!$B1:$AS730,32,FALSE)," ")</f>
        <v xml:space="preserve"> </v>
      </c>
      <c r="Z20" s="52" t="str">
        <f>IFERROR(VLOOKUP($A20,'The List'!$B1:$AS730,33,FALSE)," ")</f>
        <v xml:space="preserve"> </v>
      </c>
      <c r="AA20" s="54"/>
      <c r="AB20" s="59"/>
      <c r="AC20" s="59"/>
      <c r="AD20" s="70"/>
      <c r="AE20" s="70"/>
      <c r="AF20" s="70"/>
    </row>
    <row r="21" spans="1:32" ht="21.2" customHeight="1">
      <c r="A21" s="71"/>
      <c r="B21" s="72" t="str">
        <f>IFERROR(VLOOKUP($A21,'The List'!$B1:$AS730,3,FALSE)," ")</f>
        <v xml:space="preserve"> </v>
      </c>
      <c r="C21" s="73" t="str">
        <f>IFERROR(VLOOKUP($A21,'The List'!$B1:$AS730,4,FALSE)," ")</f>
        <v xml:space="preserve"> </v>
      </c>
      <c r="D21" s="74" t="str">
        <f>IFERROR(VLOOKUP($A21,'The List'!$B1:$AS730,5,FALSE)," ")</f>
        <v xml:space="preserve"> </v>
      </c>
      <c r="E21" s="74" t="str">
        <f>IFERROR(VLOOKUP($A21,'The List'!$B1:$AS730,6,FALSE)," ")</f>
        <v xml:space="preserve"> </v>
      </c>
      <c r="F21" s="75" t="str">
        <f>IFERROR(VLOOKUP($A21,'The List'!$B1:$AS730,8,FALSE)," ")</f>
        <v xml:space="preserve"> </v>
      </c>
      <c r="G21" s="75" t="str">
        <f>IFERROR(VLOOKUP($A21,'The List'!$B1:$AS730,10,FALSE)," ")</f>
        <v xml:space="preserve"> </v>
      </c>
      <c r="H21" s="76"/>
      <c r="I21" s="77" t="str">
        <f>IFERROR(VLOOKUP($A21,'The List'!$B1:$AS730,16,FALSE)," ")</f>
        <v xml:space="preserve"> </v>
      </c>
      <c r="J21" s="77" t="str">
        <f>IFERROR(VLOOKUP($A21,'The List'!$B1:$AS730,17,FALSE)," ")</f>
        <v xml:space="preserve"> </v>
      </c>
      <c r="K21" s="77" t="str">
        <f>IFERROR(VLOOKUP($A21,'The List'!$B1:$AS730,18,FALSE)," ")</f>
        <v xml:space="preserve"> </v>
      </c>
      <c r="L21" s="77" t="str">
        <f>IFERROR(VLOOKUP($A21,'The List'!$B1:$AS730,19,FALSE)," ")</f>
        <v xml:space="preserve"> </v>
      </c>
      <c r="M21" s="77" t="str">
        <f>IFERROR(VLOOKUP($A21,'The List'!$B1:$AS730,20,FALSE)," ")</f>
        <v xml:space="preserve"> </v>
      </c>
      <c r="N21" s="77" t="str">
        <f>IFERROR(VLOOKUP($A21,'The List'!$B1:$AS730,21,FALSE)," ")</f>
        <v xml:space="preserve"> </v>
      </c>
      <c r="O21" s="77" t="str">
        <f>IFERROR(VLOOKUP($A21,'The List'!$B1:$AS730,22,FALSE)," ")</f>
        <v xml:space="preserve"> </v>
      </c>
      <c r="P21" s="77" t="str">
        <f>IFERROR(VLOOKUP($A21,'The List'!$B1:$AS730,23,FALSE)," ")</f>
        <v xml:space="preserve"> </v>
      </c>
      <c r="Q21" s="77" t="str">
        <f>IFERROR(VLOOKUP($A21,'The List'!$B1:$AS730,24,FALSE)," ")</f>
        <v xml:space="preserve"> </v>
      </c>
      <c r="R21" s="77" t="str">
        <f>IFERROR(VLOOKUP($A21,'The List'!$B1:$AS730,25,FALSE)," ")</f>
        <v xml:space="preserve"> </v>
      </c>
      <c r="S21" s="77" t="str">
        <f>IFERROR(VLOOKUP($A21,'The List'!$B1:$AS730,26,FALSE)," ")</f>
        <v xml:space="preserve"> </v>
      </c>
      <c r="T21" s="77" t="str">
        <f>IFERROR(VLOOKUP($A21,'The List'!$B1:$AS730,27,FALSE)," ")</f>
        <v xml:space="preserve"> </v>
      </c>
      <c r="U21" s="77" t="str">
        <f>IFERROR(VLOOKUP($A21,'The List'!$B1:$AS730,28,FALSE)," ")</f>
        <v xml:space="preserve"> </v>
      </c>
      <c r="V21" s="77" t="str">
        <f>IFERROR(VLOOKUP($A21,'The List'!$B1:$AS730,29,FALSE)," ")</f>
        <v xml:space="preserve"> </v>
      </c>
      <c r="W21" s="77" t="str">
        <f>IFERROR(VLOOKUP($A21,'The List'!$B1:$AS730,30,FALSE)," ")</f>
        <v xml:space="preserve"> </v>
      </c>
      <c r="X21" s="77" t="str">
        <f>IFERROR(VLOOKUP($A21,'The List'!$B1:$AS730,31,FALSE)," ")</f>
        <v xml:space="preserve"> </v>
      </c>
      <c r="Y21" s="77" t="str">
        <f>IFERROR(VLOOKUP($A21,'The List'!$B1:$AS730,32,FALSE)," ")</f>
        <v xml:space="preserve"> </v>
      </c>
      <c r="Z21" s="77" t="str">
        <f>IFERROR(VLOOKUP($A21,'The List'!$B1:$AS730,33,FALSE)," ")</f>
        <v xml:space="preserve"> </v>
      </c>
      <c r="AA21" s="54"/>
      <c r="AB21" s="59"/>
      <c r="AC21" s="59"/>
      <c r="AD21" s="59"/>
      <c r="AE21" s="59"/>
      <c r="AF21" s="59"/>
    </row>
    <row r="22" spans="1:32" ht="21.2" customHeight="1">
      <c r="A22" s="78"/>
      <c r="B22" s="79"/>
      <c r="C22" s="80"/>
      <c r="D22" s="81"/>
      <c r="E22" s="82">
        <f>IFERROR(AVERAGE(E2:E21)," ")</f>
        <v>26</v>
      </c>
      <c r="F22" s="83">
        <f>SUM(F2:F21)</f>
        <v>21.26693059622556</v>
      </c>
      <c r="G22" s="83">
        <f>SUM(G2:G21)</f>
        <v>14.929879872018958</v>
      </c>
      <c r="H22" s="84"/>
      <c r="I22" s="85">
        <f>SUM(I2:I21)</f>
        <v>82</v>
      </c>
      <c r="J22" s="84">
        <f>AVERAGE(J2:J21)</f>
        <v>22.290784001524401</v>
      </c>
      <c r="K22" s="85">
        <f t="shared" ref="K22:Y22" si="0">SUM(K2:K21)</f>
        <v>54.505642928069591</v>
      </c>
      <c r="L22" s="85">
        <f t="shared" si="0"/>
        <v>87.49715841053613</v>
      </c>
      <c r="M22" s="85">
        <f t="shared" si="0"/>
        <v>142.00280133860571</v>
      </c>
      <c r="N22" s="85">
        <f t="shared" si="0"/>
        <v>334.38161399802379</v>
      </c>
      <c r="O22" s="85">
        <f t="shared" si="0"/>
        <v>16.237603075138008</v>
      </c>
      <c r="P22" s="85">
        <f t="shared" si="0"/>
        <v>59.243254422710805</v>
      </c>
      <c r="Q22" s="85">
        <f t="shared" si="0"/>
        <v>1.9208153563207988</v>
      </c>
      <c r="R22" s="85">
        <f t="shared" si="0"/>
        <v>4.1986695898356041</v>
      </c>
      <c r="S22" s="85">
        <f t="shared" si="0"/>
        <v>36.833005957746629</v>
      </c>
      <c r="T22" s="85">
        <f t="shared" si="0"/>
        <v>83.075500854608379</v>
      </c>
      <c r="U22" s="85">
        <f t="shared" si="0"/>
        <v>11.005057178823307</v>
      </c>
      <c r="V22" s="85">
        <f t="shared" si="0"/>
        <v>36.216017924291862</v>
      </c>
      <c r="W22" s="85">
        <f t="shared" si="0"/>
        <v>8.6276581234828456</v>
      </c>
      <c r="X22" s="85">
        <f t="shared" si="0"/>
        <v>526.80581738492037</v>
      </c>
      <c r="Y22" s="85">
        <f t="shared" si="0"/>
        <v>484.27545583289475</v>
      </c>
      <c r="Z22" s="86">
        <f>IFERROR(X22/(X22+Y22),0)</f>
        <v>0.52103211812867956</v>
      </c>
      <c r="AA22" s="54"/>
      <c r="AB22" s="87"/>
      <c r="AC22" s="87"/>
      <c r="AD22" s="87"/>
      <c r="AE22" s="87"/>
      <c r="AF22" s="87"/>
    </row>
    <row r="23" spans="1:32" ht="21.2" customHeight="1">
      <c r="A23" s="88"/>
      <c r="B23" s="89"/>
      <c r="C23" s="90"/>
      <c r="D23" s="11"/>
      <c r="E23" s="11"/>
      <c r="F23" s="91"/>
      <c r="G23" s="92"/>
      <c r="H23" s="93"/>
      <c r="I23" s="9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9"/>
      <c r="AC23" s="59"/>
      <c r="AD23" s="59"/>
      <c r="AE23" s="59"/>
      <c r="AF23" s="59"/>
    </row>
    <row r="24" spans="1:32" ht="21.2" customHeight="1">
      <c r="A24" s="24"/>
      <c r="B24" s="231" t="s">
        <v>66</v>
      </c>
      <c r="C24" s="223"/>
      <c r="D24" s="95" t="s">
        <v>67</v>
      </c>
      <c r="E24" s="95" t="s">
        <v>68</v>
      </c>
      <c r="F24" s="96" t="s">
        <v>70</v>
      </c>
      <c r="G24" s="96" t="s">
        <v>72</v>
      </c>
      <c r="H24" s="97"/>
      <c r="I24" s="98" t="s">
        <v>77</v>
      </c>
      <c r="J24" s="98" t="s">
        <v>95</v>
      </c>
      <c r="K24" s="98" t="s">
        <v>96</v>
      </c>
      <c r="L24" s="98" t="s">
        <v>97</v>
      </c>
      <c r="M24" s="98" t="s">
        <v>98</v>
      </c>
      <c r="N24" s="98" t="s">
        <v>99</v>
      </c>
      <c r="O24" s="98" t="s">
        <v>100</v>
      </c>
      <c r="P24" s="98" t="s">
        <v>101</v>
      </c>
      <c r="Q24" s="98" t="s">
        <v>102</v>
      </c>
      <c r="R24" s="54"/>
      <c r="S24" s="54"/>
      <c r="T24" s="54"/>
      <c r="U24" s="231" t="s">
        <v>839</v>
      </c>
      <c r="V24" s="232"/>
      <c r="W24" s="232"/>
      <c r="X24" s="231" t="s">
        <v>840</v>
      </c>
      <c r="Y24" s="232"/>
      <c r="Z24" s="232"/>
      <c r="AA24" s="54"/>
      <c r="AB24" s="54"/>
      <c r="AC24" s="54"/>
      <c r="AD24" s="54"/>
      <c r="AE24" s="54"/>
      <c r="AF24" s="54"/>
    </row>
    <row r="25" spans="1:32" ht="21.2" customHeight="1">
      <c r="A25" s="99"/>
      <c r="B25" s="100" t="str">
        <f>IFERROR(VLOOKUP($A25,'The List'!$B1:$AS730,3,FALSE)," ")</f>
        <v xml:space="preserve"> </v>
      </c>
      <c r="C25" s="101" t="str">
        <f>IFERROR(VLOOKUP($A25,'The List'!$B1:$AS730,4,FALSE)," ")</f>
        <v xml:space="preserve"> </v>
      </c>
      <c r="D25" s="102" t="str">
        <f>IFERROR(VLOOKUP($A25,'The List'!$B1:$AS730,5,FALSE)," ")</f>
        <v xml:space="preserve"> </v>
      </c>
      <c r="E25" s="103" t="str">
        <f>IFERROR(VLOOKUP($A25,'The List'!$B1:$AS730,6,FALSE)," ")</f>
        <v xml:space="preserve"> </v>
      </c>
      <c r="F25" s="104" t="str">
        <f>IFERROR(VLOOKUP($A25,'The List'!$B1:$AS730,8,FALSE)," ")</f>
        <v xml:space="preserve"> </v>
      </c>
      <c r="G25" s="104" t="str">
        <f>IFERROR(VLOOKUP($A25,'The List'!$B1:$AS730,10,FALSE)," ")</f>
        <v xml:space="preserve"> </v>
      </c>
      <c r="H25" s="105"/>
      <c r="I25" s="106" t="str">
        <f>IFERROR(VLOOKUP($A25,'The List'!$B1:$AS730,35,FALSE)," ")</f>
        <v xml:space="preserve"> </v>
      </c>
      <c r="J25" s="106" t="str">
        <f>IFERROR(VLOOKUP($A25,'The List'!$B1:$AS730,36,FALSE)," ")</f>
        <v xml:space="preserve"> </v>
      </c>
      <c r="K25" s="106" t="str">
        <f>IFERROR(VLOOKUP($A25,'The List'!$B1:$AS730,37,FALSE)," ")</f>
        <v xml:space="preserve"> </v>
      </c>
      <c r="L25" s="106" t="str">
        <f>IFERROR(VLOOKUP($A25,'The List'!$B1:$AS730,38,FALSE)," ")</f>
        <v xml:space="preserve"> </v>
      </c>
      <c r="M25" s="106" t="str">
        <f>IFERROR(VLOOKUP($A25,'The List'!$B1:$AS730,39,FALSE)," ")</f>
        <v xml:space="preserve"> </v>
      </c>
      <c r="N25" s="106" t="str">
        <f>IFERROR(VLOOKUP($A25,'The List'!$B1:$AS730,40,FALSE)," ")</f>
        <v xml:space="preserve"> </v>
      </c>
      <c r="O25" s="106" t="str">
        <f>IFERROR(VLOOKUP($A25,'The List'!$B1:$AS730,41,FALSE)," ")</f>
        <v xml:space="preserve"> </v>
      </c>
      <c r="P25" s="107" t="str">
        <f>IFERROR(VLOOKUP($A25,'The List'!$B1:$AS730,42,FALSE)," ")</f>
        <v xml:space="preserve"> </v>
      </c>
      <c r="Q25" s="108" t="str">
        <f>IFERROR(VLOOKUP($A25,'The List'!$B1:$AS730,43,FALSE)," ")</f>
        <v xml:space="preserve"> </v>
      </c>
      <c r="R25" s="54"/>
      <c r="S25" s="54"/>
      <c r="T25" s="109" t="str">
        <f>A$1</f>
        <v>BG</v>
      </c>
      <c r="U25" s="230">
        <f>F22+F28</f>
        <v>21.26693059622556</v>
      </c>
      <c r="V25" s="223"/>
      <c r="W25" s="223"/>
      <c r="X25" s="230">
        <f>G28+G22</f>
        <v>14.929879872018958</v>
      </c>
      <c r="Y25" s="223"/>
      <c r="Z25" s="223"/>
      <c r="AA25" s="54"/>
      <c r="AB25" s="54"/>
      <c r="AC25" s="54"/>
      <c r="AD25" s="54"/>
      <c r="AE25" s="54"/>
      <c r="AF25" s="54"/>
    </row>
    <row r="26" spans="1:32" ht="21.2" customHeight="1">
      <c r="A26" s="23"/>
      <c r="B26" s="110" t="str">
        <f>IFERROR(VLOOKUP($A26,'The List'!$B1:$AS730,3,FALSE)," ")</f>
        <v xml:space="preserve"> </v>
      </c>
      <c r="C26" s="111" t="str">
        <f>IFERROR(VLOOKUP($A26,'The List'!$B1:$AS730,4,FALSE)," ")</f>
        <v xml:space="preserve"> </v>
      </c>
      <c r="D26" s="34" t="str">
        <f>IFERROR(VLOOKUP($A26,'The List'!$B1:$AS730,5,FALSE)," ")</f>
        <v xml:space="preserve"> </v>
      </c>
      <c r="E26" s="34" t="str">
        <f>IFERROR(VLOOKUP($A26,'The List'!$B1:$AS730,6,FALSE)," ")</f>
        <v xml:space="preserve"> </v>
      </c>
      <c r="F26" s="49" t="str">
        <f>IFERROR(VLOOKUP($A26,'The List'!$B1:$AS730,8,FALSE)," ")</f>
        <v xml:space="preserve"> </v>
      </c>
      <c r="G26" s="49" t="str">
        <f>IFERROR(VLOOKUP($A26,'The List'!$B1:$AS730,10,FALSE)," ")</f>
        <v xml:space="preserve"> </v>
      </c>
      <c r="H26" s="38"/>
      <c r="I26" s="52" t="str">
        <f>IFERROR(VLOOKUP($A26,'The List'!$B1:$AS730,35,FALSE)," ")</f>
        <v xml:space="preserve"> </v>
      </c>
      <c r="J26" s="52" t="str">
        <f>IFERROR(VLOOKUP($A26,'The List'!$B1:$AS730,36,FALSE)," ")</f>
        <v xml:space="preserve"> </v>
      </c>
      <c r="K26" s="52" t="str">
        <f>IFERROR(VLOOKUP($A26,'The List'!$B1:$AS730,37,FALSE)," ")</f>
        <v xml:space="preserve"> </v>
      </c>
      <c r="L26" s="52" t="str">
        <f>IFERROR(VLOOKUP($A26,'The List'!$B1:$AS730,38,FALSE)," ")</f>
        <v xml:space="preserve"> </v>
      </c>
      <c r="M26" s="52" t="str">
        <f>IFERROR(VLOOKUP($A26,'The List'!$B1:$AS730,39,FALSE)," ")</f>
        <v xml:space="preserve"> </v>
      </c>
      <c r="N26" s="52" t="str">
        <f>IFERROR(VLOOKUP($A26,'The List'!$B1:$AS730,40,FALSE)," ")</f>
        <v xml:space="preserve"> </v>
      </c>
      <c r="O26" s="52" t="str">
        <f>IFERROR(VLOOKUP($A26,'The List'!$B1:$AS730,41,FALSE)," ")</f>
        <v xml:space="preserve"> </v>
      </c>
      <c r="P26" s="52" t="str">
        <f>IFERROR(VLOOKUP($A26,'The List'!$B1:$AS730,42,FALSE)," ")</f>
        <v xml:space="preserve"> </v>
      </c>
      <c r="Q26" s="52" t="str">
        <f>IFERROR(VLOOKUP($A26,'The List'!$B1:$AS730,43,FALSE)," ")</f>
        <v xml:space="preserve"> </v>
      </c>
      <c r="R26" s="54"/>
      <c r="S26" s="54"/>
      <c r="T26" s="54"/>
      <c r="U26" s="223"/>
      <c r="V26" s="223"/>
      <c r="W26" s="223"/>
      <c r="X26" s="223"/>
      <c r="Y26" s="223"/>
      <c r="Z26" s="223"/>
      <c r="AA26" s="54"/>
      <c r="AB26" s="54"/>
      <c r="AC26" s="54"/>
      <c r="AD26" s="54"/>
      <c r="AE26" s="54"/>
      <c r="AF26" s="54"/>
    </row>
    <row r="27" spans="1:32" ht="21.2" customHeight="1">
      <c r="A27" s="71"/>
      <c r="B27" s="112" t="str">
        <f>IFERROR(VLOOKUP($A27,'The List'!$B1:$AS730,3,FALSE)," ")</f>
        <v xml:space="preserve"> </v>
      </c>
      <c r="C27" s="113" t="str">
        <f>IFERROR(VLOOKUP($A27,'The List'!$B1:$AS730,4,FALSE)," ")</f>
        <v xml:space="preserve"> </v>
      </c>
      <c r="D27" s="74" t="str">
        <f>IFERROR(VLOOKUP($A27,'The List'!$B1:$AS730,5,FALSE)," ")</f>
        <v xml:space="preserve"> </v>
      </c>
      <c r="E27" s="74" t="str">
        <f>IFERROR(VLOOKUP($A27,'The List'!$B1:$AS730,6,FALSE)," ")</f>
        <v xml:space="preserve"> </v>
      </c>
      <c r="F27" s="75" t="str">
        <f>IFERROR(VLOOKUP($A27,'The List'!$B1:$AS730,8,FALSE)," ")</f>
        <v xml:space="preserve"> </v>
      </c>
      <c r="G27" s="75" t="str">
        <f>IFERROR(VLOOKUP($A27,'The List'!$B1:$AS730,10,FALSE)," ")</f>
        <v xml:space="preserve"> </v>
      </c>
      <c r="H27" s="76"/>
      <c r="I27" s="77" t="str">
        <f>IFERROR(VLOOKUP($A27,'The List'!$B1:$AS730,35,FALSE)," ")</f>
        <v xml:space="preserve"> </v>
      </c>
      <c r="J27" s="77" t="str">
        <f>IFERROR(VLOOKUP($A27,'The List'!$B1:$AS730,36,FALSE)," ")</f>
        <v xml:space="preserve"> </v>
      </c>
      <c r="K27" s="77" t="str">
        <f>IFERROR(VLOOKUP($A27,'The List'!$B1:$AS730,37,FALSE)," ")</f>
        <v xml:space="preserve"> </v>
      </c>
      <c r="L27" s="77" t="str">
        <f>IFERROR(VLOOKUP($A27,'The List'!$B1:$AS730,38,FALSE)," ")</f>
        <v xml:space="preserve"> </v>
      </c>
      <c r="M27" s="77" t="str">
        <f>IFERROR(VLOOKUP($A27,'The List'!$B1:$AS730,39,FALSE)," ")</f>
        <v xml:space="preserve"> </v>
      </c>
      <c r="N27" s="77" t="str">
        <f>IFERROR(VLOOKUP($A27,'The List'!$B1:$AS730,40,FALSE)," ")</f>
        <v xml:space="preserve"> </v>
      </c>
      <c r="O27" s="77" t="str">
        <f>IFERROR(VLOOKUP($A27,'The List'!$B1:$AS730,41,FALSE)," ")</f>
        <v xml:space="preserve"> </v>
      </c>
      <c r="P27" s="77" t="str">
        <f>IFERROR(VLOOKUP($A27,'The List'!$B1:$AS730,42,FALSE)," ")</f>
        <v xml:space="preserve"> </v>
      </c>
      <c r="Q27" s="77" t="str">
        <f>IFERROR(VLOOKUP($A27,'The List'!$B1:$AS730,43,FALSE)," ")</f>
        <v xml:space="preserve"> </v>
      </c>
      <c r="R27" s="54"/>
      <c r="S27" s="54"/>
      <c r="T27" s="54"/>
      <c r="U27" s="223"/>
      <c r="V27" s="223"/>
      <c r="W27" s="223"/>
      <c r="X27" s="223"/>
      <c r="Y27" s="223"/>
      <c r="Z27" s="223"/>
      <c r="AA27" s="54"/>
      <c r="AB27" s="54"/>
      <c r="AC27" s="54"/>
      <c r="AD27" s="54"/>
      <c r="AE27" s="54"/>
      <c r="AF27" s="54"/>
    </row>
    <row r="28" spans="1:32" ht="21.2" customHeight="1">
      <c r="A28" s="78"/>
      <c r="B28" s="79"/>
      <c r="C28" s="80"/>
      <c r="D28" s="81"/>
      <c r="E28" s="82" t="str">
        <f>IFERROR(AVERAGE(E25:E27)," ")</f>
        <v xml:space="preserve"> </v>
      </c>
      <c r="F28" s="83">
        <f>SUM(F25:F27)</f>
        <v>0</v>
      </c>
      <c r="G28" s="83">
        <f>SUM(G25:G27)</f>
        <v>0</v>
      </c>
      <c r="H28" s="84"/>
      <c r="I28" s="85">
        <f t="shared" ref="I28:O28" si="1">SUM(I25:I27)</f>
        <v>0</v>
      </c>
      <c r="J28" s="84">
        <f t="shared" si="1"/>
        <v>0</v>
      </c>
      <c r="K28" s="85">
        <f t="shared" si="1"/>
        <v>0</v>
      </c>
      <c r="L28" s="85">
        <f t="shared" si="1"/>
        <v>0</v>
      </c>
      <c r="M28" s="85">
        <f t="shared" si="1"/>
        <v>0</v>
      </c>
      <c r="N28" s="85">
        <f t="shared" si="1"/>
        <v>0</v>
      </c>
      <c r="O28" s="85">
        <f t="shared" si="1"/>
        <v>0</v>
      </c>
      <c r="P28" s="114" t="e">
        <f>1-(O28/(N28+O28))</f>
        <v>#DIV/0!</v>
      </c>
      <c r="Q28" s="115" t="e">
        <f>O28/I28</f>
        <v>#DIV/0!</v>
      </c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</row>
    <row r="29" spans="1:32" ht="70.7" customHeight="1">
      <c r="A29" s="88"/>
      <c r="B29" s="89"/>
      <c r="C29" s="90"/>
      <c r="D29" s="11"/>
      <c r="E29" s="11"/>
      <c r="F29" s="91"/>
      <c r="G29" s="92"/>
      <c r="H29" s="93"/>
      <c r="I29" s="9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9"/>
      <c r="AB29" s="59"/>
      <c r="AC29" s="59"/>
      <c r="AD29" s="59"/>
      <c r="AE29" s="59"/>
      <c r="AF29" s="59"/>
    </row>
    <row r="30" spans="1:32" ht="21.2" customHeight="1">
      <c r="A30" s="25" t="s">
        <v>901</v>
      </c>
      <c r="B30" s="229" t="s">
        <v>66</v>
      </c>
      <c r="C30" s="221"/>
      <c r="D30" s="26" t="s">
        <v>67</v>
      </c>
      <c r="E30" s="26" t="s">
        <v>68</v>
      </c>
      <c r="F30" s="27" t="s">
        <v>70</v>
      </c>
      <c r="G30" s="27" t="s">
        <v>72</v>
      </c>
      <c r="H30" s="28"/>
      <c r="I30" s="30" t="s">
        <v>77</v>
      </c>
      <c r="J30" s="30" t="s">
        <v>78</v>
      </c>
      <c r="K30" s="30" t="s">
        <v>79</v>
      </c>
      <c r="L30" s="30" t="s">
        <v>80</v>
      </c>
      <c r="M30" s="30" t="s">
        <v>81</v>
      </c>
      <c r="N30" s="30" t="s">
        <v>82</v>
      </c>
      <c r="O30" s="30" t="s">
        <v>83</v>
      </c>
      <c r="P30" s="30" t="s">
        <v>84</v>
      </c>
      <c r="Q30" s="30" t="s">
        <v>85</v>
      </c>
      <c r="R30" s="30" t="s">
        <v>86</v>
      </c>
      <c r="S30" s="30" t="s">
        <v>87</v>
      </c>
      <c r="T30" s="30" t="s">
        <v>88</v>
      </c>
      <c r="U30" s="30" t="s">
        <v>89</v>
      </c>
      <c r="V30" s="30" t="s">
        <v>90</v>
      </c>
      <c r="W30" s="30" t="s">
        <v>91</v>
      </c>
      <c r="X30" s="30" t="s">
        <v>92</v>
      </c>
      <c r="Y30" s="30" t="s">
        <v>93</v>
      </c>
      <c r="Z30" s="30" t="s">
        <v>94</v>
      </c>
      <c r="AA30" s="54"/>
      <c r="AB30" s="59"/>
      <c r="AC30" s="55"/>
      <c r="AD30" s="55"/>
      <c r="AE30" s="55"/>
      <c r="AF30" s="55"/>
    </row>
    <row r="31" spans="1:32" ht="21.2" customHeight="1">
      <c r="A31" s="23" t="s">
        <v>105</v>
      </c>
      <c r="B31" s="56" t="str">
        <f>IFERROR(VLOOKUP($A31,'The List'!$B1:$AS730,3,FALSE)," ")</f>
        <v>C,LW</v>
      </c>
      <c r="C31" s="60">
        <f>IFERROR(VLOOKUP($A31,'The List'!$B1:$AS730,4,FALSE)," ")</f>
        <v>1</v>
      </c>
      <c r="D31" s="34" t="str">
        <f>IFERROR(VLOOKUP($A31,'The List'!$B1:$AS730,5,FALSE)," ")</f>
        <v>EDM</v>
      </c>
      <c r="E31" s="34">
        <f>IFERROR(VLOOKUP($A31,'The List'!$B1:$AS730,6,FALSE)," ")</f>
        <v>27</v>
      </c>
      <c r="F31" s="49">
        <f>IFERROR(VLOOKUP($A31,'The List'!$B1:$AS730,8,FALSE)," ")</f>
        <v>16.883257255265598</v>
      </c>
      <c r="G31" s="49">
        <f>IFERROR(VLOOKUP($A31,'The List'!$B1:$AS730,10,FALSE)," ")</f>
        <v>10.228588211141197</v>
      </c>
      <c r="H31" s="38"/>
      <c r="I31" s="52">
        <f>IFERROR(VLOOKUP($A31,'The List'!$B1:$AS730,16,FALSE)," ")</f>
        <v>82</v>
      </c>
      <c r="J31" s="52">
        <f>IFERROR(VLOOKUP($A31,'The List'!$B1:$AS730,17,FALSE)," ")</f>
        <v>21.669641814024398</v>
      </c>
      <c r="K31" s="52">
        <f>IFERROR(VLOOKUP($A31,'The List'!$B1:$AS730,18,FALSE)," ")</f>
        <v>51.981084731157395</v>
      </c>
      <c r="L31" s="52">
        <f>IFERROR(VLOOKUP($A31,'The List'!$B1:$AS730,19,FALSE)," ")</f>
        <v>69.378428896977795</v>
      </c>
      <c r="M31" s="52">
        <f>IFERROR(VLOOKUP($A31,'The List'!$B1:$AS730,20,FALSE)," ")</f>
        <v>121.35951362813519</v>
      </c>
      <c r="N31" s="52">
        <f>IFERROR(VLOOKUP($A31,'The List'!$B1:$AS730,21,FALSE)," ")</f>
        <v>257.49083886271075</v>
      </c>
      <c r="O31" s="52">
        <f>IFERROR(VLOOKUP($A31,'The List'!$B1:$AS730,22,FALSE)," ")</f>
        <v>27.671930905616716</v>
      </c>
      <c r="P31" s="52">
        <f>IFERROR(VLOOKUP($A31,'The List'!$B1:$AS730,23,FALSE)," ")</f>
        <v>52.992491695157177</v>
      </c>
      <c r="Q31" s="52">
        <f>IFERROR(VLOOKUP($A31,'The List'!$B1:$AS730,24,FALSE)," ")</f>
        <v>0.66971513581373532</v>
      </c>
      <c r="R31" s="52">
        <f>IFERROR(VLOOKUP($A31,'The List'!$B1:$AS730,25,FALSE)," ")</f>
        <v>1.0532817102722216</v>
      </c>
      <c r="S31" s="52">
        <f>IFERROR(VLOOKUP($A31,'The List'!$B1:$AS730,26,FALSE)," ")</f>
        <v>35.531567872484771</v>
      </c>
      <c r="T31" s="52">
        <f>IFERROR(VLOOKUP($A31,'The List'!$B1:$AS730,27,FALSE)," ")</f>
        <v>62.091642125414133</v>
      </c>
      <c r="U31" s="52">
        <f>IFERROR(VLOOKUP($A31,'The List'!$B1:$AS730,28,FALSE)," ")</f>
        <v>7.0418148526639719</v>
      </c>
      <c r="V31" s="52">
        <f>IFERROR(VLOOKUP($A31,'The List'!$B1:$AS730,29,FALSE)," ")</f>
        <v>32.878843682531915</v>
      </c>
      <c r="W31" s="52">
        <f>IFERROR(VLOOKUP($A31,'The List'!$B1:$AS730,30,FALSE)," ")</f>
        <v>8.2280476636165005</v>
      </c>
      <c r="X31" s="52">
        <f>IFERROR(VLOOKUP($A31,'The List'!$B1:$AS730,31,FALSE)," ")</f>
        <v>829.40627735804071</v>
      </c>
      <c r="Y31" s="52">
        <f>IFERROR(VLOOKUP($A31,'The List'!$B1:$AS730,32,FALSE)," ")</f>
        <v>692.99736939630861</v>
      </c>
      <c r="Z31" s="52">
        <f>IFERROR(VLOOKUP($A31,'The List'!$B1:$AS730,33,FALSE)," ")</f>
        <v>0.54480050617736797</v>
      </c>
      <c r="AA31" s="54"/>
      <c r="AB31" s="59"/>
      <c r="AC31" s="59"/>
      <c r="AD31" s="59"/>
      <c r="AE31" s="59"/>
      <c r="AF31" s="59"/>
    </row>
    <row r="32" spans="1:32" ht="21.2" customHeight="1">
      <c r="A32" s="23"/>
      <c r="B32" s="56" t="str">
        <f>IFERROR(VLOOKUP($A32,'The List'!$B1:$AS730,3,FALSE)," ")</f>
        <v xml:space="preserve"> </v>
      </c>
      <c r="C32" s="60" t="str">
        <f>IFERROR(VLOOKUP($A32,'The List'!$B1:$AS730,4,FALSE)," ")</f>
        <v xml:space="preserve"> </v>
      </c>
      <c r="D32" s="34" t="str">
        <f>IFERROR(VLOOKUP($A32,'The List'!$B1:$AS730,5,FALSE)," ")</f>
        <v xml:space="preserve"> </v>
      </c>
      <c r="E32" s="34" t="str">
        <f>IFERROR(VLOOKUP($A32,'The List'!$B1:$AS730,6,FALSE)," ")</f>
        <v xml:space="preserve"> </v>
      </c>
      <c r="F32" s="49" t="str">
        <f>IFERROR(VLOOKUP($A32,'The List'!$B1:$AS730,8,FALSE)," ")</f>
        <v xml:space="preserve"> </v>
      </c>
      <c r="G32" s="49" t="str">
        <f>IFERROR(VLOOKUP($A32,'The List'!$B1:$AS730,10,FALSE)," ")</f>
        <v xml:space="preserve"> </v>
      </c>
      <c r="H32" s="38"/>
      <c r="I32" s="52" t="str">
        <f>IFERROR(VLOOKUP($A32,'The List'!$B1:$AS730,16,FALSE)," ")</f>
        <v xml:space="preserve"> </v>
      </c>
      <c r="J32" s="52" t="str">
        <f>IFERROR(VLOOKUP($A32,'The List'!$B1:$AS730,17,FALSE)," ")</f>
        <v xml:space="preserve"> </v>
      </c>
      <c r="K32" s="52" t="str">
        <f>IFERROR(VLOOKUP($A32,'The List'!$B1:$AS730,18,FALSE)," ")</f>
        <v xml:space="preserve"> </v>
      </c>
      <c r="L32" s="52" t="str">
        <f>IFERROR(VLOOKUP($A32,'The List'!$B1:$AS730,19,FALSE)," ")</f>
        <v xml:space="preserve"> </v>
      </c>
      <c r="M32" s="52" t="str">
        <f>IFERROR(VLOOKUP($A32,'The List'!$B1:$AS730,20,FALSE)," ")</f>
        <v xml:space="preserve"> </v>
      </c>
      <c r="N32" s="52" t="str">
        <f>IFERROR(VLOOKUP($A32,'The List'!$B1:$AS730,21,FALSE)," ")</f>
        <v xml:space="preserve"> </v>
      </c>
      <c r="O32" s="52" t="str">
        <f>IFERROR(VLOOKUP($A32,'The List'!$B1:$AS730,22,FALSE)," ")</f>
        <v xml:space="preserve"> </v>
      </c>
      <c r="P32" s="52" t="str">
        <f>IFERROR(VLOOKUP($A32,'The List'!$B1:$AS730,23,FALSE)," ")</f>
        <v xml:space="preserve"> </v>
      </c>
      <c r="Q32" s="52" t="str">
        <f>IFERROR(VLOOKUP($A32,'The List'!$B1:$AS730,24,FALSE)," ")</f>
        <v xml:space="preserve"> </v>
      </c>
      <c r="R32" s="52" t="str">
        <f>IFERROR(VLOOKUP($A32,'The List'!$B1:$AS730,25,FALSE)," ")</f>
        <v xml:space="preserve"> </v>
      </c>
      <c r="S32" s="52" t="str">
        <f>IFERROR(VLOOKUP($A32,'The List'!$B1:$AS730,26,FALSE)," ")</f>
        <v xml:space="preserve"> </v>
      </c>
      <c r="T32" s="52" t="str">
        <f>IFERROR(VLOOKUP($A32,'The List'!$B1:$AS730,27,FALSE)," ")</f>
        <v xml:space="preserve"> </v>
      </c>
      <c r="U32" s="52" t="str">
        <f>IFERROR(VLOOKUP($A32,'The List'!$B1:$AS730,28,FALSE)," ")</f>
        <v xml:space="preserve"> </v>
      </c>
      <c r="V32" s="52" t="str">
        <f>IFERROR(VLOOKUP($A32,'The List'!$B1:$AS730,29,FALSE)," ")</f>
        <v xml:space="preserve"> </v>
      </c>
      <c r="W32" s="52" t="str">
        <f>IFERROR(VLOOKUP($A32,'The List'!$B1:$AS730,30,FALSE)," ")</f>
        <v xml:space="preserve"> </v>
      </c>
      <c r="X32" s="52" t="str">
        <f>IFERROR(VLOOKUP($A32,'The List'!$B1:$AS730,31,FALSE)," ")</f>
        <v xml:space="preserve"> </v>
      </c>
      <c r="Y32" s="52" t="str">
        <f>IFERROR(VLOOKUP($A32,'The List'!$B1:$AS730,32,FALSE)," ")</f>
        <v xml:space="preserve"> </v>
      </c>
      <c r="Z32" s="52" t="str">
        <f>IFERROR(VLOOKUP($A32,'The List'!$B1:$AS730,33,FALSE)," ")</f>
        <v xml:space="preserve"> </v>
      </c>
      <c r="AA32" s="54"/>
      <c r="AB32" s="59"/>
      <c r="AC32" s="59"/>
      <c r="AD32" s="59"/>
      <c r="AE32" s="59"/>
      <c r="AF32" s="59"/>
    </row>
    <row r="33" spans="1:32" ht="21.2" customHeight="1">
      <c r="A33" s="23"/>
      <c r="B33" s="56" t="str">
        <f>IFERROR(VLOOKUP($A33,'The List'!$B1:$AS730,3,FALSE)," ")</f>
        <v xml:space="preserve"> </v>
      </c>
      <c r="C33" s="60" t="str">
        <f>IFERROR(VLOOKUP($A33,'The List'!$B1:$AS730,4,FALSE)," ")</f>
        <v xml:space="preserve"> </v>
      </c>
      <c r="D33" s="34" t="str">
        <f>IFERROR(VLOOKUP($A33,'The List'!$B1:$AS730,5,FALSE)," ")</f>
        <v xml:space="preserve"> </v>
      </c>
      <c r="E33" s="34" t="str">
        <f>IFERROR(VLOOKUP($A33,'The List'!$B1:$AS730,6,FALSE)," ")</f>
        <v xml:space="preserve"> </v>
      </c>
      <c r="F33" s="49" t="str">
        <f>IFERROR(VLOOKUP($A33,'The List'!$B1:$AS730,8,FALSE)," ")</f>
        <v xml:space="preserve"> </v>
      </c>
      <c r="G33" s="49" t="str">
        <f>IFERROR(VLOOKUP($A33,'The List'!$B1:$AS730,10,FALSE)," ")</f>
        <v xml:space="preserve"> </v>
      </c>
      <c r="H33" s="38"/>
      <c r="I33" s="52" t="str">
        <f>IFERROR(VLOOKUP($A33,'The List'!$B1:$AS730,16,FALSE)," ")</f>
        <v xml:space="preserve"> </v>
      </c>
      <c r="J33" s="52" t="str">
        <f>IFERROR(VLOOKUP($A33,'The List'!$B1:$AS730,17,FALSE)," ")</f>
        <v xml:space="preserve"> </v>
      </c>
      <c r="K33" s="52" t="str">
        <f>IFERROR(VLOOKUP($A33,'The List'!$B1:$AS730,18,FALSE)," ")</f>
        <v xml:space="preserve"> </v>
      </c>
      <c r="L33" s="52" t="str">
        <f>IFERROR(VLOOKUP($A33,'The List'!$B1:$AS730,19,FALSE)," ")</f>
        <v xml:space="preserve"> </v>
      </c>
      <c r="M33" s="52" t="str">
        <f>IFERROR(VLOOKUP($A33,'The List'!$B1:$AS730,20,FALSE)," ")</f>
        <v xml:space="preserve"> </v>
      </c>
      <c r="N33" s="52" t="str">
        <f>IFERROR(VLOOKUP($A33,'The List'!$B1:$AS730,21,FALSE)," ")</f>
        <v xml:space="preserve"> </v>
      </c>
      <c r="O33" s="52" t="str">
        <f>IFERROR(VLOOKUP($A33,'The List'!$B1:$AS730,22,FALSE)," ")</f>
        <v xml:space="preserve"> </v>
      </c>
      <c r="P33" s="52" t="str">
        <f>IFERROR(VLOOKUP($A33,'The List'!$B1:$AS730,23,FALSE)," ")</f>
        <v xml:space="preserve"> </v>
      </c>
      <c r="Q33" s="52" t="str">
        <f>IFERROR(VLOOKUP($A33,'The List'!$B1:$AS730,24,FALSE)," ")</f>
        <v xml:space="preserve"> </v>
      </c>
      <c r="R33" s="52" t="str">
        <f>IFERROR(VLOOKUP($A33,'The List'!$B1:$AS730,25,FALSE)," ")</f>
        <v xml:space="preserve"> </v>
      </c>
      <c r="S33" s="52" t="str">
        <f>IFERROR(VLOOKUP($A33,'The List'!$B1:$AS730,26,FALSE)," ")</f>
        <v xml:space="preserve"> </v>
      </c>
      <c r="T33" s="52" t="str">
        <f>IFERROR(VLOOKUP($A33,'The List'!$B1:$AS730,27,FALSE)," ")</f>
        <v xml:space="preserve"> </v>
      </c>
      <c r="U33" s="52" t="str">
        <f>IFERROR(VLOOKUP($A33,'The List'!$B1:$AS730,28,FALSE)," ")</f>
        <v xml:space="preserve"> </v>
      </c>
      <c r="V33" s="52" t="str">
        <f>IFERROR(VLOOKUP($A33,'The List'!$B1:$AS730,29,FALSE)," ")</f>
        <v xml:space="preserve"> </v>
      </c>
      <c r="W33" s="52" t="str">
        <f>IFERROR(VLOOKUP($A33,'The List'!$B1:$AS730,30,FALSE)," ")</f>
        <v xml:space="preserve"> </v>
      </c>
      <c r="X33" s="52" t="str">
        <f>IFERROR(VLOOKUP($A33,'The List'!$B1:$AS730,31,FALSE)," ")</f>
        <v xml:space="preserve"> </v>
      </c>
      <c r="Y33" s="52" t="str">
        <f>IFERROR(VLOOKUP($A33,'The List'!$B1:$AS730,32,FALSE)," ")</f>
        <v xml:space="preserve"> </v>
      </c>
      <c r="Z33" s="52" t="str">
        <f>IFERROR(VLOOKUP($A33,'The List'!$B1:$AS730,33,FALSE)," ")</f>
        <v xml:space="preserve"> </v>
      </c>
      <c r="AA33" s="54"/>
      <c r="AB33" s="59"/>
      <c r="AC33" s="59"/>
      <c r="AD33" s="59"/>
      <c r="AE33" s="59"/>
      <c r="AF33" s="59"/>
    </row>
    <row r="34" spans="1:32" ht="21.2" customHeight="1">
      <c r="A34" s="23"/>
      <c r="B34" s="56" t="str">
        <f>IFERROR(VLOOKUP($A34,'The List'!$B1:$AS730,3,FALSE)," ")</f>
        <v xml:space="preserve"> </v>
      </c>
      <c r="C34" s="60" t="str">
        <f>IFERROR(VLOOKUP($A34,'The List'!$B1:$AS730,4,FALSE)," ")</f>
        <v xml:space="preserve"> </v>
      </c>
      <c r="D34" s="34" t="str">
        <f>IFERROR(VLOOKUP($A34,'The List'!$B1:$AS730,5,FALSE)," ")</f>
        <v xml:space="preserve"> </v>
      </c>
      <c r="E34" s="34" t="str">
        <f>IFERROR(VLOOKUP($A34,'The List'!$B1:$AS730,6,FALSE)," ")</f>
        <v xml:space="preserve"> </v>
      </c>
      <c r="F34" s="49" t="str">
        <f>IFERROR(VLOOKUP($A34,'The List'!$B1:$AS730,8,FALSE)," ")</f>
        <v xml:space="preserve"> </v>
      </c>
      <c r="G34" s="49" t="str">
        <f>IFERROR(VLOOKUP($A34,'The List'!$B1:$AS730,10,FALSE)," ")</f>
        <v xml:space="preserve"> </v>
      </c>
      <c r="H34" s="38"/>
      <c r="I34" s="52" t="str">
        <f>IFERROR(VLOOKUP($A34,'The List'!$B1:$AS730,16,FALSE)," ")</f>
        <v xml:space="preserve"> </v>
      </c>
      <c r="J34" s="52" t="str">
        <f>IFERROR(VLOOKUP($A34,'The List'!$B1:$AS730,17,FALSE)," ")</f>
        <v xml:space="preserve"> </v>
      </c>
      <c r="K34" s="52" t="str">
        <f>IFERROR(VLOOKUP($A34,'The List'!$B1:$AS730,18,FALSE)," ")</f>
        <v xml:space="preserve"> </v>
      </c>
      <c r="L34" s="52" t="str">
        <f>IFERROR(VLOOKUP($A34,'The List'!$B1:$AS730,19,FALSE)," ")</f>
        <v xml:space="preserve"> </v>
      </c>
      <c r="M34" s="52" t="str">
        <f>IFERROR(VLOOKUP($A34,'The List'!$B1:$AS730,20,FALSE)," ")</f>
        <v xml:space="preserve"> </v>
      </c>
      <c r="N34" s="52" t="str">
        <f>IFERROR(VLOOKUP($A34,'The List'!$B1:$AS730,21,FALSE)," ")</f>
        <v xml:space="preserve"> </v>
      </c>
      <c r="O34" s="52" t="str">
        <f>IFERROR(VLOOKUP($A34,'The List'!$B1:$AS730,22,FALSE)," ")</f>
        <v xml:space="preserve"> </v>
      </c>
      <c r="P34" s="52" t="str">
        <f>IFERROR(VLOOKUP($A34,'The List'!$B1:$AS730,23,FALSE)," ")</f>
        <v xml:space="preserve"> </v>
      </c>
      <c r="Q34" s="52" t="str">
        <f>IFERROR(VLOOKUP($A34,'The List'!$B1:$AS730,24,FALSE)," ")</f>
        <v xml:space="preserve"> </v>
      </c>
      <c r="R34" s="52" t="str">
        <f>IFERROR(VLOOKUP($A34,'The List'!$B1:$AS730,25,FALSE)," ")</f>
        <v xml:space="preserve"> </v>
      </c>
      <c r="S34" s="52" t="str">
        <f>IFERROR(VLOOKUP($A34,'The List'!$B1:$AS730,26,FALSE)," ")</f>
        <v xml:space="preserve"> </v>
      </c>
      <c r="T34" s="52" t="str">
        <f>IFERROR(VLOOKUP($A34,'The List'!$B1:$AS730,27,FALSE)," ")</f>
        <v xml:space="preserve"> </v>
      </c>
      <c r="U34" s="52" t="str">
        <f>IFERROR(VLOOKUP($A34,'The List'!$B1:$AS730,28,FALSE)," ")</f>
        <v xml:space="preserve"> </v>
      </c>
      <c r="V34" s="52" t="str">
        <f>IFERROR(VLOOKUP($A34,'The List'!$B1:$AS730,29,FALSE)," ")</f>
        <v xml:space="preserve"> </v>
      </c>
      <c r="W34" s="52" t="str">
        <f>IFERROR(VLOOKUP($A34,'The List'!$B1:$AS730,30,FALSE)," ")</f>
        <v xml:space="preserve"> </v>
      </c>
      <c r="X34" s="52" t="str">
        <f>IFERROR(VLOOKUP($A34,'The List'!$B1:$AS730,31,FALSE)," ")</f>
        <v xml:space="preserve"> </v>
      </c>
      <c r="Y34" s="52" t="str">
        <f>IFERROR(VLOOKUP($A34,'The List'!$B1:$AS730,32,FALSE)," ")</f>
        <v xml:space="preserve"> </v>
      </c>
      <c r="Z34" s="52" t="str">
        <f>IFERROR(VLOOKUP($A34,'The List'!$B1:$AS730,33,FALSE)," ")</f>
        <v xml:space="preserve"> </v>
      </c>
      <c r="AA34" s="54"/>
      <c r="AB34" s="59"/>
      <c r="AC34" s="59"/>
      <c r="AD34" s="59"/>
      <c r="AE34" s="59"/>
      <c r="AF34" s="59"/>
    </row>
    <row r="35" spans="1:32" ht="21.2" customHeight="1">
      <c r="A35" s="23"/>
      <c r="B35" s="61" t="str">
        <f>IFERROR(VLOOKUP($A35,'The List'!$B1:$AS730,3,FALSE)," ")</f>
        <v xml:space="preserve"> </v>
      </c>
      <c r="C35" s="63" t="str">
        <f>IFERROR(VLOOKUP($A35,'The List'!$B1:$AS730,4,FALSE)," ")</f>
        <v xml:space="preserve"> </v>
      </c>
      <c r="D35" s="34" t="str">
        <f>IFERROR(VLOOKUP($A35,'The List'!$B1:$AS730,5,FALSE)," ")</f>
        <v xml:space="preserve"> </v>
      </c>
      <c r="E35" s="34" t="str">
        <f>IFERROR(VLOOKUP($A35,'The List'!$B1:$AS730,6,FALSE)," ")</f>
        <v xml:space="preserve"> </v>
      </c>
      <c r="F35" s="49" t="str">
        <f>IFERROR(VLOOKUP($A35,'The List'!$B1:$AS730,8,FALSE)," ")</f>
        <v xml:space="preserve"> </v>
      </c>
      <c r="G35" s="49" t="str">
        <f>IFERROR(VLOOKUP($A35,'The List'!$B1:$AS730,10,FALSE)," ")</f>
        <v xml:space="preserve"> </v>
      </c>
      <c r="H35" s="38"/>
      <c r="I35" s="52" t="str">
        <f>IFERROR(VLOOKUP($A35,'The List'!$B1:$AS730,16,FALSE)," ")</f>
        <v xml:space="preserve"> </v>
      </c>
      <c r="J35" s="52" t="str">
        <f>IFERROR(VLOOKUP($A35,'The List'!$B1:$AS730,17,FALSE)," ")</f>
        <v xml:space="preserve"> </v>
      </c>
      <c r="K35" s="52" t="str">
        <f>IFERROR(VLOOKUP($A35,'The List'!$B1:$AS730,18,FALSE)," ")</f>
        <v xml:space="preserve"> </v>
      </c>
      <c r="L35" s="52" t="str">
        <f>IFERROR(VLOOKUP($A35,'The List'!$B1:$AS730,19,FALSE)," ")</f>
        <v xml:space="preserve"> </v>
      </c>
      <c r="M35" s="52" t="str">
        <f>IFERROR(VLOOKUP($A35,'The List'!$B1:$AS730,20,FALSE)," ")</f>
        <v xml:space="preserve"> </v>
      </c>
      <c r="N35" s="52" t="str">
        <f>IFERROR(VLOOKUP($A35,'The List'!$B1:$AS730,21,FALSE)," ")</f>
        <v xml:space="preserve"> </v>
      </c>
      <c r="O35" s="52" t="str">
        <f>IFERROR(VLOOKUP($A35,'The List'!$B1:$AS730,22,FALSE)," ")</f>
        <v xml:space="preserve"> </v>
      </c>
      <c r="P35" s="52" t="str">
        <f>IFERROR(VLOOKUP($A35,'The List'!$B1:$AS730,23,FALSE)," ")</f>
        <v xml:space="preserve"> </v>
      </c>
      <c r="Q35" s="52" t="str">
        <f>IFERROR(VLOOKUP($A35,'The List'!$B1:$AS730,24,FALSE)," ")</f>
        <v xml:space="preserve"> </v>
      </c>
      <c r="R35" s="52" t="str">
        <f>IFERROR(VLOOKUP($A35,'The List'!$B1:$AS730,25,FALSE)," ")</f>
        <v xml:space="preserve"> </v>
      </c>
      <c r="S35" s="52" t="str">
        <f>IFERROR(VLOOKUP($A35,'The List'!$B1:$AS730,26,FALSE)," ")</f>
        <v xml:space="preserve"> </v>
      </c>
      <c r="T35" s="52" t="str">
        <f>IFERROR(VLOOKUP($A35,'The List'!$B1:$AS730,27,FALSE)," ")</f>
        <v xml:space="preserve"> </v>
      </c>
      <c r="U35" s="52" t="str">
        <f>IFERROR(VLOOKUP($A35,'The List'!$B1:$AS730,28,FALSE)," ")</f>
        <v xml:space="preserve"> </v>
      </c>
      <c r="V35" s="52" t="str">
        <f>IFERROR(VLOOKUP($A35,'The List'!$B1:$AS730,29,FALSE)," ")</f>
        <v xml:space="preserve"> </v>
      </c>
      <c r="W35" s="52" t="str">
        <f>IFERROR(VLOOKUP($A35,'The List'!$B1:$AS730,30,FALSE)," ")</f>
        <v xml:space="preserve"> </v>
      </c>
      <c r="X35" s="52" t="str">
        <f>IFERROR(VLOOKUP($A35,'The List'!$B1:$AS730,31,FALSE)," ")</f>
        <v xml:space="preserve"> </v>
      </c>
      <c r="Y35" s="52" t="str">
        <f>IFERROR(VLOOKUP($A35,'The List'!$B1:$AS730,32,FALSE)," ")</f>
        <v xml:space="preserve"> </v>
      </c>
      <c r="Z35" s="52" t="str">
        <f>IFERROR(VLOOKUP($A35,'The List'!$B1:$AS730,33,FALSE)," ")</f>
        <v xml:space="preserve"> </v>
      </c>
      <c r="AA35" s="54"/>
      <c r="AB35" s="59"/>
      <c r="AC35" s="59"/>
      <c r="AD35" s="59"/>
      <c r="AE35" s="59"/>
      <c r="AF35" s="59"/>
    </row>
    <row r="36" spans="1:32" ht="21.2" customHeight="1">
      <c r="A36" s="23"/>
      <c r="B36" s="61" t="str">
        <f>IFERROR(VLOOKUP($A36,'The List'!$B1:$AS730,3,FALSE)," ")</f>
        <v xml:space="preserve"> </v>
      </c>
      <c r="C36" s="63" t="str">
        <f>IFERROR(VLOOKUP($A36,'The List'!$B1:$AS730,4,FALSE)," ")</f>
        <v xml:space="preserve"> </v>
      </c>
      <c r="D36" s="34" t="str">
        <f>IFERROR(VLOOKUP($A36,'The List'!$B1:$AS730,5,FALSE)," ")</f>
        <v xml:space="preserve"> </v>
      </c>
      <c r="E36" s="34" t="str">
        <f>IFERROR(VLOOKUP($A36,'The List'!$B1:$AS730,6,FALSE)," ")</f>
        <v xml:space="preserve"> </v>
      </c>
      <c r="F36" s="49" t="str">
        <f>IFERROR(VLOOKUP($A36,'The List'!$B1:$AS730,8,FALSE)," ")</f>
        <v xml:space="preserve"> </v>
      </c>
      <c r="G36" s="49" t="str">
        <f>IFERROR(VLOOKUP($A36,'The List'!$B1:$AS730,10,FALSE)," ")</f>
        <v xml:space="preserve"> </v>
      </c>
      <c r="H36" s="38"/>
      <c r="I36" s="52" t="str">
        <f>IFERROR(VLOOKUP($A36,'The List'!$B1:$AS730,16,FALSE)," ")</f>
        <v xml:space="preserve"> </v>
      </c>
      <c r="J36" s="52" t="str">
        <f>IFERROR(VLOOKUP($A36,'The List'!$B1:$AS730,17,FALSE)," ")</f>
        <v xml:space="preserve"> </v>
      </c>
      <c r="K36" s="52" t="str">
        <f>IFERROR(VLOOKUP($A36,'The List'!$B1:$AS730,18,FALSE)," ")</f>
        <v xml:space="preserve"> </v>
      </c>
      <c r="L36" s="52" t="str">
        <f>IFERROR(VLOOKUP($A36,'The List'!$B1:$AS730,19,FALSE)," ")</f>
        <v xml:space="preserve"> </v>
      </c>
      <c r="M36" s="52" t="str">
        <f>IFERROR(VLOOKUP($A36,'The List'!$B1:$AS730,20,FALSE)," ")</f>
        <v xml:space="preserve"> </v>
      </c>
      <c r="N36" s="52" t="str">
        <f>IFERROR(VLOOKUP($A36,'The List'!$B1:$AS730,21,FALSE)," ")</f>
        <v xml:space="preserve"> </v>
      </c>
      <c r="O36" s="52" t="str">
        <f>IFERROR(VLOOKUP($A36,'The List'!$B1:$AS730,22,FALSE)," ")</f>
        <v xml:space="preserve"> </v>
      </c>
      <c r="P36" s="52" t="str">
        <f>IFERROR(VLOOKUP($A36,'The List'!$B1:$AS730,23,FALSE)," ")</f>
        <v xml:space="preserve"> </v>
      </c>
      <c r="Q36" s="52" t="str">
        <f>IFERROR(VLOOKUP($A36,'The List'!$B1:$AS730,24,FALSE)," ")</f>
        <v xml:space="preserve"> </v>
      </c>
      <c r="R36" s="52" t="str">
        <f>IFERROR(VLOOKUP($A36,'The List'!$B1:$AS730,25,FALSE)," ")</f>
        <v xml:space="preserve"> </v>
      </c>
      <c r="S36" s="52" t="str">
        <f>IFERROR(VLOOKUP($A36,'The List'!$B1:$AS730,26,FALSE)," ")</f>
        <v xml:space="preserve"> </v>
      </c>
      <c r="T36" s="52" t="str">
        <f>IFERROR(VLOOKUP($A36,'The List'!$B1:$AS730,27,FALSE)," ")</f>
        <v xml:space="preserve"> </v>
      </c>
      <c r="U36" s="52" t="str">
        <f>IFERROR(VLOOKUP($A36,'The List'!$B1:$AS730,28,FALSE)," ")</f>
        <v xml:space="preserve"> </v>
      </c>
      <c r="V36" s="52" t="str">
        <f>IFERROR(VLOOKUP($A36,'The List'!$B1:$AS730,29,FALSE)," ")</f>
        <v xml:space="preserve"> </v>
      </c>
      <c r="W36" s="52" t="str">
        <f>IFERROR(VLOOKUP($A36,'The List'!$B1:$AS730,30,FALSE)," ")</f>
        <v xml:space="preserve"> </v>
      </c>
      <c r="X36" s="52" t="str">
        <f>IFERROR(VLOOKUP($A36,'The List'!$B1:$AS730,31,FALSE)," ")</f>
        <v xml:space="preserve"> </v>
      </c>
      <c r="Y36" s="52" t="str">
        <f>IFERROR(VLOOKUP($A36,'The List'!$B1:$AS730,32,FALSE)," ")</f>
        <v xml:space="preserve"> </v>
      </c>
      <c r="Z36" s="52" t="str">
        <f>IFERROR(VLOOKUP($A36,'The List'!$B1:$AS730,33,FALSE)," ")</f>
        <v xml:space="preserve"> </v>
      </c>
      <c r="AA36" s="54"/>
      <c r="AB36" s="59"/>
      <c r="AC36" s="59"/>
      <c r="AD36" s="59"/>
      <c r="AE36" s="59"/>
      <c r="AF36" s="59"/>
    </row>
    <row r="37" spans="1:32" ht="21.2" customHeight="1">
      <c r="A37" s="23"/>
      <c r="B37" s="61" t="str">
        <f>IFERROR(VLOOKUP($A37,'The List'!$B1:$AS730,3,FALSE)," ")</f>
        <v xml:space="preserve"> </v>
      </c>
      <c r="C37" s="63" t="str">
        <f>IFERROR(VLOOKUP($A37,'The List'!$B1:$AS730,4,FALSE)," ")</f>
        <v xml:space="preserve"> </v>
      </c>
      <c r="D37" s="34" t="str">
        <f>IFERROR(VLOOKUP($A37,'The List'!$B1:$AS730,5,FALSE)," ")</f>
        <v xml:space="preserve"> </v>
      </c>
      <c r="E37" s="34" t="str">
        <f>IFERROR(VLOOKUP($A37,'The List'!$B1:$AS730,6,FALSE)," ")</f>
        <v xml:space="preserve"> </v>
      </c>
      <c r="F37" s="49" t="str">
        <f>IFERROR(VLOOKUP($A37,'The List'!$B1:$AS730,8,FALSE)," ")</f>
        <v xml:space="preserve"> </v>
      </c>
      <c r="G37" s="49" t="str">
        <f>IFERROR(VLOOKUP($A37,'The List'!$B1:$AS730,10,FALSE)," ")</f>
        <v xml:space="preserve"> </v>
      </c>
      <c r="H37" s="38"/>
      <c r="I37" s="52" t="str">
        <f>IFERROR(VLOOKUP($A37,'The List'!$B1:$AS730,16,FALSE)," ")</f>
        <v xml:space="preserve"> </v>
      </c>
      <c r="J37" s="52" t="str">
        <f>IFERROR(VLOOKUP($A37,'The List'!$B1:$AS730,17,FALSE)," ")</f>
        <v xml:space="preserve"> </v>
      </c>
      <c r="K37" s="52" t="str">
        <f>IFERROR(VLOOKUP($A37,'The List'!$B1:$AS730,18,FALSE)," ")</f>
        <v xml:space="preserve"> </v>
      </c>
      <c r="L37" s="52" t="str">
        <f>IFERROR(VLOOKUP($A37,'The List'!$B1:$AS730,19,FALSE)," ")</f>
        <v xml:space="preserve"> </v>
      </c>
      <c r="M37" s="52" t="str">
        <f>IFERROR(VLOOKUP($A37,'The List'!$B1:$AS730,20,FALSE)," ")</f>
        <v xml:space="preserve"> </v>
      </c>
      <c r="N37" s="52" t="str">
        <f>IFERROR(VLOOKUP($A37,'The List'!$B1:$AS730,21,FALSE)," ")</f>
        <v xml:space="preserve"> </v>
      </c>
      <c r="O37" s="52" t="str">
        <f>IFERROR(VLOOKUP($A37,'The List'!$B1:$AS730,22,FALSE)," ")</f>
        <v xml:space="preserve"> </v>
      </c>
      <c r="P37" s="52" t="str">
        <f>IFERROR(VLOOKUP($A37,'The List'!$B1:$AS730,23,FALSE)," ")</f>
        <v xml:space="preserve"> </v>
      </c>
      <c r="Q37" s="52" t="str">
        <f>IFERROR(VLOOKUP($A37,'The List'!$B1:$AS730,24,FALSE)," ")</f>
        <v xml:space="preserve"> </v>
      </c>
      <c r="R37" s="52" t="str">
        <f>IFERROR(VLOOKUP($A37,'The List'!$B1:$AS730,25,FALSE)," ")</f>
        <v xml:space="preserve"> </v>
      </c>
      <c r="S37" s="52" t="str">
        <f>IFERROR(VLOOKUP($A37,'The List'!$B1:$AS730,26,FALSE)," ")</f>
        <v xml:space="preserve"> </v>
      </c>
      <c r="T37" s="52" t="str">
        <f>IFERROR(VLOOKUP($A37,'The List'!$B1:$AS730,27,FALSE)," ")</f>
        <v xml:space="preserve"> </v>
      </c>
      <c r="U37" s="52" t="str">
        <f>IFERROR(VLOOKUP($A37,'The List'!$B1:$AS730,28,FALSE)," ")</f>
        <v xml:space="preserve"> </v>
      </c>
      <c r="V37" s="52" t="str">
        <f>IFERROR(VLOOKUP($A37,'The List'!$B1:$AS730,29,FALSE)," ")</f>
        <v xml:space="preserve"> </v>
      </c>
      <c r="W37" s="52" t="str">
        <f>IFERROR(VLOOKUP($A37,'The List'!$B1:$AS730,30,FALSE)," ")</f>
        <v xml:space="preserve"> </v>
      </c>
      <c r="X37" s="52" t="str">
        <f>IFERROR(VLOOKUP($A37,'The List'!$B1:$AS730,31,FALSE)," ")</f>
        <v xml:space="preserve"> </v>
      </c>
      <c r="Y37" s="52" t="str">
        <f>IFERROR(VLOOKUP($A37,'The List'!$B1:$AS730,32,FALSE)," ")</f>
        <v xml:space="preserve"> </v>
      </c>
      <c r="Z37" s="52" t="str">
        <f>IFERROR(VLOOKUP($A37,'The List'!$B1:$AS730,33,FALSE)," ")</f>
        <v xml:space="preserve"> </v>
      </c>
      <c r="AA37" s="54"/>
      <c r="AB37" s="59"/>
      <c r="AC37" s="59"/>
      <c r="AD37" s="59"/>
      <c r="AE37" s="59"/>
      <c r="AF37" s="59"/>
    </row>
    <row r="38" spans="1:32" ht="21.2" customHeight="1">
      <c r="A38" s="23"/>
      <c r="B38" s="61" t="str">
        <f>IFERROR(VLOOKUP($A38,'The List'!$B1:$AS730,3,FALSE)," ")</f>
        <v xml:space="preserve"> </v>
      </c>
      <c r="C38" s="63" t="str">
        <f>IFERROR(VLOOKUP($A38,'The List'!$B1:$AS730,4,FALSE)," ")</f>
        <v xml:space="preserve"> </v>
      </c>
      <c r="D38" s="34" t="str">
        <f>IFERROR(VLOOKUP($A38,'The List'!$B1:$AS730,5,FALSE)," ")</f>
        <v xml:space="preserve"> </v>
      </c>
      <c r="E38" s="34" t="str">
        <f>IFERROR(VLOOKUP($A38,'The List'!$B1:$AS730,6,FALSE)," ")</f>
        <v xml:space="preserve"> </v>
      </c>
      <c r="F38" s="49" t="str">
        <f>IFERROR(VLOOKUP($A38,'The List'!$B1:$AS730,8,FALSE)," ")</f>
        <v xml:space="preserve"> </v>
      </c>
      <c r="G38" s="49" t="str">
        <f>IFERROR(VLOOKUP($A38,'The List'!$B1:$AS730,10,FALSE)," ")</f>
        <v xml:space="preserve"> </v>
      </c>
      <c r="H38" s="38"/>
      <c r="I38" s="52" t="str">
        <f>IFERROR(VLOOKUP($A38,'The List'!$B1:$AS730,16,FALSE)," ")</f>
        <v xml:space="preserve"> </v>
      </c>
      <c r="J38" s="52" t="str">
        <f>IFERROR(VLOOKUP($A38,'The List'!$B1:$AS730,17,FALSE)," ")</f>
        <v xml:space="preserve"> </v>
      </c>
      <c r="K38" s="52" t="str">
        <f>IFERROR(VLOOKUP($A38,'The List'!$B1:$AS730,18,FALSE)," ")</f>
        <v xml:space="preserve"> </v>
      </c>
      <c r="L38" s="52" t="str">
        <f>IFERROR(VLOOKUP($A38,'The List'!$B1:$AS730,19,FALSE)," ")</f>
        <v xml:space="preserve"> </v>
      </c>
      <c r="M38" s="52" t="str">
        <f>IFERROR(VLOOKUP($A38,'The List'!$B1:$AS730,20,FALSE)," ")</f>
        <v xml:space="preserve"> </v>
      </c>
      <c r="N38" s="52" t="str">
        <f>IFERROR(VLOOKUP($A38,'The List'!$B1:$AS730,21,FALSE)," ")</f>
        <v xml:space="preserve"> </v>
      </c>
      <c r="O38" s="52" t="str">
        <f>IFERROR(VLOOKUP($A38,'The List'!$B1:$AS730,22,FALSE)," ")</f>
        <v xml:space="preserve"> </v>
      </c>
      <c r="P38" s="52" t="str">
        <f>IFERROR(VLOOKUP($A38,'The List'!$B1:$AS730,23,FALSE)," ")</f>
        <v xml:space="preserve"> </v>
      </c>
      <c r="Q38" s="52" t="str">
        <f>IFERROR(VLOOKUP($A38,'The List'!$B1:$AS730,24,FALSE)," ")</f>
        <v xml:space="preserve"> </v>
      </c>
      <c r="R38" s="52" t="str">
        <f>IFERROR(VLOOKUP($A38,'The List'!$B1:$AS730,25,FALSE)," ")</f>
        <v xml:space="preserve"> </v>
      </c>
      <c r="S38" s="52" t="str">
        <f>IFERROR(VLOOKUP($A38,'The List'!$B1:$AS730,26,FALSE)," ")</f>
        <v xml:space="preserve"> </v>
      </c>
      <c r="T38" s="52" t="str">
        <f>IFERROR(VLOOKUP($A38,'The List'!$B1:$AS730,27,FALSE)," ")</f>
        <v xml:space="preserve"> </v>
      </c>
      <c r="U38" s="52" t="str">
        <f>IFERROR(VLOOKUP($A38,'The List'!$B1:$AS730,28,FALSE)," ")</f>
        <v xml:space="preserve"> </v>
      </c>
      <c r="V38" s="52" t="str">
        <f>IFERROR(VLOOKUP($A38,'The List'!$B1:$AS730,29,FALSE)," ")</f>
        <v xml:space="preserve"> </v>
      </c>
      <c r="W38" s="52" t="str">
        <f>IFERROR(VLOOKUP($A38,'The List'!$B1:$AS730,30,FALSE)," ")</f>
        <v xml:space="preserve"> </v>
      </c>
      <c r="X38" s="52" t="str">
        <f>IFERROR(VLOOKUP($A38,'The List'!$B1:$AS730,31,FALSE)," ")</f>
        <v xml:space="preserve"> </v>
      </c>
      <c r="Y38" s="52" t="str">
        <f>IFERROR(VLOOKUP($A38,'The List'!$B1:$AS730,32,FALSE)," ")</f>
        <v xml:space="preserve"> </v>
      </c>
      <c r="Z38" s="52" t="str">
        <f>IFERROR(VLOOKUP($A38,'The List'!$B1:$AS730,33,FALSE)," ")</f>
        <v xml:space="preserve"> </v>
      </c>
      <c r="AA38" s="54"/>
      <c r="AB38" s="59"/>
      <c r="AC38" s="59"/>
      <c r="AD38" s="59"/>
      <c r="AE38" s="59"/>
      <c r="AF38" s="59"/>
    </row>
    <row r="39" spans="1:32" ht="21.2" customHeight="1">
      <c r="A39" s="23"/>
      <c r="B39" s="64" t="str">
        <f>IFERROR(VLOOKUP($A39,'The List'!$B1:$AS730,3,FALSE)," ")</f>
        <v xml:space="preserve"> </v>
      </c>
      <c r="C39" s="66" t="str">
        <f>IFERROR(VLOOKUP($A39,'The List'!$B1:$AS730,4,FALSE)," ")</f>
        <v xml:space="preserve"> </v>
      </c>
      <c r="D39" s="34" t="str">
        <f>IFERROR(VLOOKUP($A39,'The List'!$B1:$AS730,5,FALSE)," ")</f>
        <v xml:space="preserve"> </v>
      </c>
      <c r="E39" s="34" t="str">
        <f>IFERROR(VLOOKUP($A39,'The List'!$B1:$AS730,6,FALSE)," ")</f>
        <v xml:space="preserve"> </v>
      </c>
      <c r="F39" s="49" t="str">
        <f>IFERROR(VLOOKUP($A39,'The List'!$B1:$AS730,8,FALSE)," ")</f>
        <v xml:space="preserve"> </v>
      </c>
      <c r="G39" s="49" t="str">
        <f>IFERROR(VLOOKUP($A39,'The List'!$B1:$AS730,10,FALSE)," ")</f>
        <v xml:space="preserve"> </v>
      </c>
      <c r="H39" s="38"/>
      <c r="I39" s="52" t="str">
        <f>IFERROR(VLOOKUP($A39,'The List'!$B1:$AS730,16,FALSE)," ")</f>
        <v xml:space="preserve"> </v>
      </c>
      <c r="J39" s="52" t="str">
        <f>IFERROR(VLOOKUP($A39,'The List'!$B1:$AS730,17,FALSE)," ")</f>
        <v xml:space="preserve"> </v>
      </c>
      <c r="K39" s="52" t="str">
        <f>IFERROR(VLOOKUP($A39,'The List'!$B1:$AS730,18,FALSE)," ")</f>
        <v xml:space="preserve"> </v>
      </c>
      <c r="L39" s="52" t="str">
        <f>IFERROR(VLOOKUP($A39,'The List'!$B1:$AS730,19,FALSE)," ")</f>
        <v xml:space="preserve"> </v>
      </c>
      <c r="M39" s="52" t="str">
        <f>IFERROR(VLOOKUP($A39,'The List'!$B1:$AS730,20,FALSE)," ")</f>
        <v xml:space="preserve"> </v>
      </c>
      <c r="N39" s="52" t="str">
        <f>IFERROR(VLOOKUP($A39,'The List'!$B1:$AS730,21,FALSE)," ")</f>
        <v xml:space="preserve"> </v>
      </c>
      <c r="O39" s="52" t="str">
        <f>IFERROR(VLOOKUP($A39,'The List'!$B1:$AS730,22,FALSE)," ")</f>
        <v xml:space="preserve"> </v>
      </c>
      <c r="P39" s="52" t="str">
        <f>IFERROR(VLOOKUP($A39,'The List'!$B1:$AS730,23,FALSE)," ")</f>
        <v xml:space="preserve"> </v>
      </c>
      <c r="Q39" s="52" t="str">
        <f>IFERROR(VLOOKUP($A39,'The List'!$B1:$AS730,24,FALSE)," ")</f>
        <v xml:space="preserve"> </v>
      </c>
      <c r="R39" s="52" t="str">
        <f>IFERROR(VLOOKUP($A39,'The List'!$B1:$AS730,25,FALSE)," ")</f>
        <v xml:space="preserve"> </v>
      </c>
      <c r="S39" s="52" t="str">
        <f>IFERROR(VLOOKUP($A39,'The List'!$B1:$AS730,26,FALSE)," ")</f>
        <v xml:space="preserve"> </v>
      </c>
      <c r="T39" s="52" t="str">
        <f>IFERROR(VLOOKUP($A39,'The List'!$B1:$AS730,27,FALSE)," ")</f>
        <v xml:space="preserve"> </v>
      </c>
      <c r="U39" s="52" t="str">
        <f>IFERROR(VLOOKUP($A39,'The List'!$B1:$AS730,28,FALSE)," ")</f>
        <v xml:space="preserve"> </v>
      </c>
      <c r="V39" s="52" t="str">
        <f>IFERROR(VLOOKUP($A39,'The List'!$B1:$AS730,29,FALSE)," ")</f>
        <v xml:space="preserve"> </v>
      </c>
      <c r="W39" s="52" t="str">
        <f>IFERROR(VLOOKUP($A39,'The List'!$B1:$AS730,30,FALSE)," ")</f>
        <v xml:space="preserve"> </v>
      </c>
      <c r="X39" s="52" t="str">
        <f>IFERROR(VLOOKUP($A39,'The List'!$B1:$AS730,31,FALSE)," ")</f>
        <v xml:space="preserve"> </v>
      </c>
      <c r="Y39" s="52" t="str">
        <f>IFERROR(VLOOKUP($A39,'The List'!$B1:$AS730,32,FALSE)," ")</f>
        <v xml:space="preserve"> </v>
      </c>
      <c r="Z39" s="52" t="str">
        <f>IFERROR(VLOOKUP($A39,'The List'!$B1:$AS730,33,FALSE)," ")</f>
        <v xml:space="preserve"> </v>
      </c>
      <c r="AA39" s="54"/>
      <c r="AB39" s="59"/>
      <c r="AC39" s="59"/>
      <c r="AD39" s="59"/>
      <c r="AE39" s="59"/>
      <c r="AF39" s="59"/>
    </row>
    <row r="40" spans="1:32" ht="21.2" customHeight="1">
      <c r="A40" s="23"/>
      <c r="B40" s="64" t="str">
        <f>IFERROR(VLOOKUP($A40,'The List'!$B1:$AS730,3,FALSE)," ")</f>
        <v xml:space="preserve"> </v>
      </c>
      <c r="C40" s="66" t="str">
        <f>IFERROR(VLOOKUP($A40,'The List'!$B1:$AS730,4,FALSE)," ")</f>
        <v xml:space="preserve"> </v>
      </c>
      <c r="D40" s="34" t="str">
        <f>IFERROR(VLOOKUP($A40,'The List'!$B1:$AS730,5,FALSE)," ")</f>
        <v xml:space="preserve"> </v>
      </c>
      <c r="E40" s="34" t="str">
        <f>IFERROR(VLOOKUP($A40,'The List'!$B1:$AS730,6,FALSE)," ")</f>
        <v xml:space="preserve"> </v>
      </c>
      <c r="F40" s="49" t="str">
        <f>IFERROR(VLOOKUP($A40,'The List'!$B1:$AS730,8,FALSE)," ")</f>
        <v xml:space="preserve"> </v>
      </c>
      <c r="G40" s="49" t="str">
        <f>IFERROR(VLOOKUP($A40,'The List'!$B1:$AS730,10,FALSE)," ")</f>
        <v xml:space="preserve"> </v>
      </c>
      <c r="H40" s="38"/>
      <c r="I40" s="52" t="str">
        <f>IFERROR(VLOOKUP($A40,'The List'!$B1:$AS730,16,FALSE)," ")</f>
        <v xml:space="preserve"> </v>
      </c>
      <c r="J40" s="52" t="str">
        <f>IFERROR(VLOOKUP($A40,'The List'!$B1:$AS730,17,FALSE)," ")</f>
        <v xml:space="preserve"> </v>
      </c>
      <c r="K40" s="52" t="str">
        <f>IFERROR(VLOOKUP($A40,'The List'!$B1:$AS730,18,FALSE)," ")</f>
        <v xml:space="preserve"> </v>
      </c>
      <c r="L40" s="52" t="str">
        <f>IFERROR(VLOOKUP($A40,'The List'!$B1:$AS730,19,FALSE)," ")</f>
        <v xml:space="preserve"> </v>
      </c>
      <c r="M40" s="52" t="str">
        <f>IFERROR(VLOOKUP($A40,'The List'!$B1:$AS730,20,FALSE)," ")</f>
        <v xml:space="preserve"> </v>
      </c>
      <c r="N40" s="52" t="str">
        <f>IFERROR(VLOOKUP($A40,'The List'!$B1:$AS730,21,FALSE)," ")</f>
        <v xml:space="preserve"> </v>
      </c>
      <c r="O40" s="52" t="str">
        <f>IFERROR(VLOOKUP($A40,'The List'!$B1:$AS730,22,FALSE)," ")</f>
        <v xml:space="preserve"> </v>
      </c>
      <c r="P40" s="52" t="str">
        <f>IFERROR(VLOOKUP($A40,'The List'!$B1:$AS730,23,FALSE)," ")</f>
        <v xml:space="preserve"> </v>
      </c>
      <c r="Q40" s="52" t="str">
        <f>IFERROR(VLOOKUP($A40,'The List'!$B1:$AS730,24,FALSE)," ")</f>
        <v xml:space="preserve"> </v>
      </c>
      <c r="R40" s="52" t="str">
        <f>IFERROR(VLOOKUP($A40,'The List'!$B1:$AS730,25,FALSE)," ")</f>
        <v xml:space="preserve"> </v>
      </c>
      <c r="S40" s="52" t="str">
        <f>IFERROR(VLOOKUP($A40,'The List'!$B1:$AS730,26,FALSE)," ")</f>
        <v xml:space="preserve"> </v>
      </c>
      <c r="T40" s="52" t="str">
        <f>IFERROR(VLOOKUP($A40,'The List'!$B1:$AS730,27,FALSE)," ")</f>
        <v xml:space="preserve"> </v>
      </c>
      <c r="U40" s="52" t="str">
        <f>IFERROR(VLOOKUP($A40,'The List'!$B1:$AS730,28,FALSE)," ")</f>
        <v xml:space="preserve"> </v>
      </c>
      <c r="V40" s="52" t="str">
        <f>IFERROR(VLOOKUP($A40,'The List'!$B1:$AS730,29,FALSE)," ")</f>
        <v xml:space="preserve"> </v>
      </c>
      <c r="W40" s="52" t="str">
        <f>IFERROR(VLOOKUP($A40,'The List'!$B1:$AS730,30,FALSE)," ")</f>
        <v xml:space="preserve"> </v>
      </c>
      <c r="X40" s="52" t="str">
        <f>IFERROR(VLOOKUP($A40,'The List'!$B1:$AS730,31,FALSE)," ")</f>
        <v xml:space="preserve"> </v>
      </c>
      <c r="Y40" s="52" t="str">
        <f>IFERROR(VLOOKUP($A40,'The List'!$B1:$AS730,32,FALSE)," ")</f>
        <v xml:space="preserve"> </v>
      </c>
      <c r="Z40" s="52" t="str">
        <f>IFERROR(VLOOKUP($A40,'The List'!$B1:$AS730,33,FALSE)," ")</f>
        <v xml:space="preserve"> </v>
      </c>
      <c r="AA40" s="54"/>
      <c r="AB40" s="59"/>
      <c r="AC40" s="59"/>
      <c r="AD40" s="59"/>
      <c r="AE40" s="59"/>
      <c r="AF40" s="59"/>
    </row>
    <row r="41" spans="1:32" ht="21.2" customHeight="1">
      <c r="A41" s="23"/>
      <c r="B41" s="64" t="str">
        <f>IFERROR(VLOOKUP($A41,'The List'!$B1:$AS730,3,FALSE)," ")</f>
        <v xml:space="preserve"> </v>
      </c>
      <c r="C41" s="66" t="str">
        <f>IFERROR(VLOOKUP($A41,'The List'!$B1:$AS730,4,FALSE)," ")</f>
        <v xml:space="preserve"> </v>
      </c>
      <c r="D41" s="34" t="str">
        <f>IFERROR(VLOOKUP($A41,'The List'!$B1:$AS730,5,FALSE)," ")</f>
        <v xml:space="preserve"> </v>
      </c>
      <c r="E41" s="34" t="str">
        <f>IFERROR(VLOOKUP($A41,'The List'!$B1:$AS730,6,FALSE)," ")</f>
        <v xml:space="preserve"> </v>
      </c>
      <c r="F41" s="49" t="str">
        <f>IFERROR(VLOOKUP($A41,'The List'!$B1:$AS730,8,FALSE)," ")</f>
        <v xml:space="preserve"> </v>
      </c>
      <c r="G41" s="49" t="str">
        <f>IFERROR(VLOOKUP($A41,'The List'!$B1:$AS730,10,FALSE)," ")</f>
        <v xml:space="preserve"> </v>
      </c>
      <c r="H41" s="38"/>
      <c r="I41" s="52" t="str">
        <f>IFERROR(VLOOKUP($A41,'The List'!$B1:$AS730,16,FALSE)," ")</f>
        <v xml:space="preserve"> </v>
      </c>
      <c r="J41" s="52" t="str">
        <f>IFERROR(VLOOKUP($A41,'The List'!$B1:$AS730,17,FALSE)," ")</f>
        <v xml:space="preserve"> </v>
      </c>
      <c r="K41" s="52" t="str">
        <f>IFERROR(VLOOKUP($A41,'The List'!$B1:$AS730,18,FALSE)," ")</f>
        <v xml:space="preserve"> </v>
      </c>
      <c r="L41" s="52" t="str">
        <f>IFERROR(VLOOKUP($A41,'The List'!$B1:$AS730,19,FALSE)," ")</f>
        <v xml:space="preserve"> </v>
      </c>
      <c r="M41" s="52" t="str">
        <f>IFERROR(VLOOKUP($A41,'The List'!$B1:$AS730,20,FALSE)," ")</f>
        <v xml:space="preserve"> </v>
      </c>
      <c r="N41" s="52" t="str">
        <f>IFERROR(VLOOKUP($A41,'The List'!$B1:$AS730,21,FALSE)," ")</f>
        <v xml:space="preserve"> </v>
      </c>
      <c r="O41" s="52" t="str">
        <f>IFERROR(VLOOKUP($A41,'The List'!$B1:$AS730,22,FALSE)," ")</f>
        <v xml:space="preserve"> </v>
      </c>
      <c r="P41" s="52" t="str">
        <f>IFERROR(VLOOKUP($A41,'The List'!$B1:$AS730,23,FALSE)," ")</f>
        <v xml:space="preserve"> </v>
      </c>
      <c r="Q41" s="52" t="str">
        <f>IFERROR(VLOOKUP($A41,'The List'!$B1:$AS730,24,FALSE)," ")</f>
        <v xml:space="preserve"> </v>
      </c>
      <c r="R41" s="52" t="str">
        <f>IFERROR(VLOOKUP($A41,'The List'!$B1:$AS730,25,FALSE)," ")</f>
        <v xml:space="preserve"> </v>
      </c>
      <c r="S41" s="52" t="str">
        <f>IFERROR(VLOOKUP($A41,'The List'!$B1:$AS730,26,FALSE)," ")</f>
        <v xml:space="preserve"> </v>
      </c>
      <c r="T41" s="52" t="str">
        <f>IFERROR(VLOOKUP($A41,'The List'!$B1:$AS730,27,FALSE)," ")</f>
        <v xml:space="preserve"> </v>
      </c>
      <c r="U41" s="52" t="str">
        <f>IFERROR(VLOOKUP($A41,'The List'!$B1:$AS730,28,FALSE)," ")</f>
        <v xml:space="preserve"> </v>
      </c>
      <c r="V41" s="52" t="str">
        <f>IFERROR(VLOOKUP($A41,'The List'!$B1:$AS730,29,FALSE)," ")</f>
        <v xml:space="preserve"> </v>
      </c>
      <c r="W41" s="52" t="str">
        <f>IFERROR(VLOOKUP($A41,'The List'!$B1:$AS730,30,FALSE)," ")</f>
        <v xml:space="preserve"> </v>
      </c>
      <c r="X41" s="52" t="str">
        <f>IFERROR(VLOOKUP($A41,'The List'!$B1:$AS730,31,FALSE)," ")</f>
        <v xml:space="preserve"> </v>
      </c>
      <c r="Y41" s="52" t="str">
        <f>IFERROR(VLOOKUP($A41,'The List'!$B1:$AS730,32,FALSE)," ")</f>
        <v xml:space="preserve"> </v>
      </c>
      <c r="Z41" s="52" t="str">
        <f>IFERROR(VLOOKUP($A41,'The List'!$B1:$AS730,33,FALSE)," ")</f>
        <v xml:space="preserve"> </v>
      </c>
      <c r="AA41" s="54"/>
      <c r="AB41" s="59"/>
      <c r="AC41" s="59"/>
      <c r="AD41" s="59"/>
      <c r="AE41" s="59"/>
      <c r="AF41" s="59"/>
    </row>
    <row r="42" spans="1:32" ht="21.2" customHeight="1">
      <c r="A42" s="23"/>
      <c r="B42" s="64" t="str">
        <f>IFERROR(VLOOKUP($A42,'The List'!$B1:$AS730,3,FALSE)," ")</f>
        <v xml:space="preserve"> </v>
      </c>
      <c r="C42" s="66" t="str">
        <f>IFERROR(VLOOKUP($A42,'The List'!$B1:$AS730,4,FALSE)," ")</f>
        <v xml:space="preserve"> </v>
      </c>
      <c r="D42" s="34" t="str">
        <f>IFERROR(VLOOKUP($A42,'The List'!$B1:$AS730,5,FALSE)," ")</f>
        <v xml:space="preserve"> </v>
      </c>
      <c r="E42" s="34" t="str">
        <f>IFERROR(VLOOKUP($A42,'The List'!$B1:$AS730,6,FALSE)," ")</f>
        <v xml:space="preserve"> </v>
      </c>
      <c r="F42" s="49" t="str">
        <f>IFERROR(VLOOKUP($A42,'The List'!$B1:$AS730,8,FALSE)," ")</f>
        <v xml:space="preserve"> </v>
      </c>
      <c r="G42" s="49" t="str">
        <f>IFERROR(VLOOKUP($A42,'The List'!$B1:$AS730,10,FALSE)," ")</f>
        <v xml:space="preserve"> </v>
      </c>
      <c r="H42" s="38"/>
      <c r="I42" s="52" t="str">
        <f>IFERROR(VLOOKUP($A42,'The List'!$B1:$AS730,16,FALSE)," ")</f>
        <v xml:space="preserve"> </v>
      </c>
      <c r="J42" s="52" t="str">
        <f>IFERROR(VLOOKUP($A42,'The List'!$B1:$AS730,17,FALSE)," ")</f>
        <v xml:space="preserve"> </v>
      </c>
      <c r="K42" s="52" t="str">
        <f>IFERROR(VLOOKUP($A42,'The List'!$B1:$AS730,18,FALSE)," ")</f>
        <v xml:space="preserve"> </v>
      </c>
      <c r="L42" s="52" t="str">
        <f>IFERROR(VLOOKUP($A42,'The List'!$B1:$AS730,19,FALSE)," ")</f>
        <v xml:space="preserve"> </v>
      </c>
      <c r="M42" s="52" t="str">
        <f>IFERROR(VLOOKUP($A42,'The List'!$B1:$AS730,20,FALSE)," ")</f>
        <v xml:space="preserve"> </v>
      </c>
      <c r="N42" s="52" t="str">
        <f>IFERROR(VLOOKUP($A42,'The List'!$B1:$AS730,21,FALSE)," ")</f>
        <v xml:space="preserve"> </v>
      </c>
      <c r="O42" s="52" t="str">
        <f>IFERROR(VLOOKUP($A42,'The List'!$B1:$AS730,22,FALSE)," ")</f>
        <v xml:space="preserve"> </v>
      </c>
      <c r="P42" s="52" t="str">
        <f>IFERROR(VLOOKUP($A42,'The List'!$B1:$AS730,23,FALSE)," ")</f>
        <v xml:space="preserve"> </v>
      </c>
      <c r="Q42" s="52" t="str">
        <f>IFERROR(VLOOKUP($A42,'The List'!$B1:$AS730,24,FALSE)," ")</f>
        <v xml:space="preserve"> </v>
      </c>
      <c r="R42" s="52" t="str">
        <f>IFERROR(VLOOKUP($A42,'The List'!$B1:$AS730,25,FALSE)," ")</f>
        <v xml:space="preserve"> </v>
      </c>
      <c r="S42" s="52" t="str">
        <f>IFERROR(VLOOKUP($A42,'The List'!$B1:$AS730,26,FALSE)," ")</f>
        <v xml:space="preserve"> </v>
      </c>
      <c r="T42" s="52" t="str">
        <f>IFERROR(VLOOKUP($A42,'The List'!$B1:$AS730,27,FALSE)," ")</f>
        <v xml:space="preserve"> </v>
      </c>
      <c r="U42" s="52" t="str">
        <f>IFERROR(VLOOKUP($A42,'The List'!$B1:$AS730,28,FALSE)," ")</f>
        <v xml:space="preserve"> </v>
      </c>
      <c r="V42" s="52" t="str">
        <f>IFERROR(VLOOKUP($A42,'The List'!$B1:$AS730,29,FALSE)," ")</f>
        <v xml:space="preserve"> </v>
      </c>
      <c r="W42" s="52" t="str">
        <f>IFERROR(VLOOKUP($A42,'The List'!$B1:$AS730,30,FALSE)," ")</f>
        <v xml:space="preserve"> </v>
      </c>
      <c r="X42" s="52" t="str">
        <f>IFERROR(VLOOKUP($A42,'The List'!$B1:$AS730,31,FALSE)," ")</f>
        <v xml:space="preserve"> </v>
      </c>
      <c r="Y42" s="52" t="str">
        <f>IFERROR(VLOOKUP($A42,'The List'!$B1:$AS730,32,FALSE)," ")</f>
        <v xml:space="preserve"> </v>
      </c>
      <c r="Z42" s="52" t="str">
        <f>IFERROR(VLOOKUP($A42,'The List'!$B1:$AS730,33,FALSE)," ")</f>
        <v xml:space="preserve"> </v>
      </c>
      <c r="AA42" s="54"/>
      <c r="AB42" s="59"/>
      <c r="AC42" s="59"/>
      <c r="AD42" s="59"/>
      <c r="AE42" s="59"/>
      <c r="AF42" s="59"/>
    </row>
    <row r="43" spans="1:32" ht="21.2" customHeight="1">
      <c r="A43" s="23"/>
      <c r="B43" s="67" t="str">
        <f>IFERROR(VLOOKUP($A43,'The List'!$B1:$AS730,3,FALSE)," ")</f>
        <v xml:space="preserve"> </v>
      </c>
      <c r="C43" s="69" t="str">
        <f>IFERROR(VLOOKUP($A43,'The List'!$B1:$AS730,4,FALSE)," ")</f>
        <v xml:space="preserve"> </v>
      </c>
      <c r="D43" s="34" t="str">
        <f>IFERROR(VLOOKUP($A43,'The List'!$B1:$AS730,5,FALSE)," ")</f>
        <v xml:space="preserve"> </v>
      </c>
      <c r="E43" s="34" t="str">
        <f>IFERROR(VLOOKUP($A43,'The List'!$B1:$AS730,6,FALSE)," ")</f>
        <v xml:space="preserve"> </v>
      </c>
      <c r="F43" s="49" t="str">
        <f>IFERROR(VLOOKUP($A43,'The List'!$B1:$AS730,8,FALSE)," ")</f>
        <v xml:space="preserve"> </v>
      </c>
      <c r="G43" s="49" t="str">
        <f>IFERROR(VLOOKUP($A43,'The List'!$B1:$AS730,10,FALSE)," ")</f>
        <v xml:space="preserve"> </v>
      </c>
      <c r="H43" s="38"/>
      <c r="I43" s="52" t="str">
        <f>IFERROR(VLOOKUP($A43,'The List'!$B1:$AS730,16,FALSE)," ")</f>
        <v xml:space="preserve"> </v>
      </c>
      <c r="J43" s="52" t="str">
        <f>IFERROR(VLOOKUP($A43,'The List'!$B1:$AS730,17,FALSE)," ")</f>
        <v xml:space="preserve"> </v>
      </c>
      <c r="K43" s="52" t="str">
        <f>IFERROR(VLOOKUP($A43,'The List'!$B1:$AS730,18,FALSE)," ")</f>
        <v xml:space="preserve"> </v>
      </c>
      <c r="L43" s="52" t="str">
        <f>IFERROR(VLOOKUP($A43,'The List'!$B1:$AS730,19,FALSE)," ")</f>
        <v xml:space="preserve"> </v>
      </c>
      <c r="M43" s="52" t="str">
        <f>IFERROR(VLOOKUP($A43,'The List'!$B1:$AS730,20,FALSE)," ")</f>
        <v xml:space="preserve"> </v>
      </c>
      <c r="N43" s="52" t="str">
        <f>IFERROR(VLOOKUP($A43,'The List'!$B1:$AS730,21,FALSE)," ")</f>
        <v xml:space="preserve"> </v>
      </c>
      <c r="O43" s="52" t="str">
        <f>IFERROR(VLOOKUP($A43,'The List'!$B1:$AS730,22,FALSE)," ")</f>
        <v xml:space="preserve"> </v>
      </c>
      <c r="P43" s="52" t="str">
        <f>IFERROR(VLOOKUP($A43,'The List'!$B1:$AS730,23,FALSE)," ")</f>
        <v xml:space="preserve"> </v>
      </c>
      <c r="Q43" s="52" t="str">
        <f>IFERROR(VLOOKUP($A43,'The List'!$B1:$AS730,24,FALSE)," ")</f>
        <v xml:space="preserve"> </v>
      </c>
      <c r="R43" s="52" t="str">
        <f>IFERROR(VLOOKUP($A43,'The List'!$B1:$AS730,25,FALSE)," ")</f>
        <v xml:space="preserve"> </v>
      </c>
      <c r="S43" s="52" t="str">
        <f>IFERROR(VLOOKUP($A43,'The List'!$B1:$AS730,26,FALSE)," ")</f>
        <v xml:space="preserve"> </v>
      </c>
      <c r="T43" s="52" t="str">
        <f>IFERROR(VLOOKUP($A43,'The List'!$B1:$AS730,27,FALSE)," ")</f>
        <v xml:space="preserve"> </v>
      </c>
      <c r="U43" s="52" t="str">
        <f>IFERROR(VLOOKUP($A43,'The List'!$B1:$AS730,28,FALSE)," ")</f>
        <v xml:space="preserve"> </v>
      </c>
      <c r="V43" s="52" t="str">
        <f>IFERROR(VLOOKUP($A43,'The List'!$B1:$AS730,29,FALSE)," ")</f>
        <v xml:space="preserve"> </v>
      </c>
      <c r="W43" s="52" t="str">
        <f>IFERROR(VLOOKUP($A43,'The List'!$B1:$AS730,30,FALSE)," ")</f>
        <v xml:space="preserve"> </v>
      </c>
      <c r="X43" s="52" t="str">
        <f>IFERROR(VLOOKUP($A43,'The List'!$B1:$AS730,31,FALSE)," ")</f>
        <v xml:space="preserve"> </v>
      </c>
      <c r="Y43" s="52" t="str">
        <f>IFERROR(VLOOKUP($A43,'The List'!$B1:$AS730,32,FALSE)," ")</f>
        <v xml:space="preserve"> </v>
      </c>
      <c r="Z43" s="52" t="str">
        <f>IFERROR(VLOOKUP($A43,'The List'!$B1:$AS730,33,FALSE)," ")</f>
        <v xml:space="preserve"> </v>
      </c>
      <c r="AA43" s="54"/>
      <c r="AB43" s="59"/>
      <c r="AC43" s="59"/>
      <c r="AD43" s="59"/>
      <c r="AE43" s="59"/>
      <c r="AF43" s="59"/>
    </row>
    <row r="44" spans="1:32" ht="21.2" customHeight="1">
      <c r="A44" s="23"/>
      <c r="B44" s="67" t="str">
        <f>IFERROR(VLOOKUP($A44,'The List'!$B1:$AS730,3,FALSE)," ")</f>
        <v xml:space="preserve"> </v>
      </c>
      <c r="C44" s="69" t="str">
        <f>IFERROR(VLOOKUP($A44,'The List'!$B1:$AS730,4,FALSE)," ")</f>
        <v xml:space="preserve"> </v>
      </c>
      <c r="D44" s="34" t="str">
        <f>IFERROR(VLOOKUP($A44,'The List'!$B1:$AS730,5,FALSE)," ")</f>
        <v xml:space="preserve"> </v>
      </c>
      <c r="E44" s="34" t="str">
        <f>IFERROR(VLOOKUP($A44,'The List'!$B1:$AS730,6,FALSE)," ")</f>
        <v xml:space="preserve"> </v>
      </c>
      <c r="F44" s="49" t="str">
        <f>IFERROR(VLOOKUP($A44,'The List'!$B1:$AS730,8,FALSE)," ")</f>
        <v xml:space="preserve"> </v>
      </c>
      <c r="G44" s="49" t="str">
        <f>IFERROR(VLOOKUP($A44,'The List'!$B1:$AS730,10,FALSE)," ")</f>
        <v xml:space="preserve"> </v>
      </c>
      <c r="H44" s="38"/>
      <c r="I44" s="52" t="str">
        <f>IFERROR(VLOOKUP($A44,'The List'!$B1:$AS730,16,FALSE)," ")</f>
        <v xml:space="preserve"> </v>
      </c>
      <c r="J44" s="52" t="str">
        <f>IFERROR(VLOOKUP($A44,'The List'!$B1:$AS730,17,FALSE)," ")</f>
        <v xml:space="preserve"> </v>
      </c>
      <c r="K44" s="52" t="str">
        <f>IFERROR(VLOOKUP($A44,'The List'!$B1:$AS730,18,FALSE)," ")</f>
        <v xml:space="preserve"> </v>
      </c>
      <c r="L44" s="52" t="str">
        <f>IFERROR(VLOOKUP($A44,'The List'!$B1:$AS730,19,FALSE)," ")</f>
        <v xml:space="preserve"> </v>
      </c>
      <c r="M44" s="52" t="str">
        <f>IFERROR(VLOOKUP($A44,'The List'!$B1:$AS730,20,FALSE)," ")</f>
        <v xml:space="preserve"> </v>
      </c>
      <c r="N44" s="52" t="str">
        <f>IFERROR(VLOOKUP($A44,'The List'!$B1:$AS730,21,FALSE)," ")</f>
        <v xml:space="preserve"> </v>
      </c>
      <c r="O44" s="52" t="str">
        <f>IFERROR(VLOOKUP($A44,'The List'!$B1:$AS730,22,FALSE)," ")</f>
        <v xml:space="preserve"> </v>
      </c>
      <c r="P44" s="52" t="str">
        <f>IFERROR(VLOOKUP($A44,'The List'!$B1:$AS730,23,FALSE)," ")</f>
        <v xml:space="preserve"> </v>
      </c>
      <c r="Q44" s="52" t="str">
        <f>IFERROR(VLOOKUP($A44,'The List'!$B1:$AS730,24,FALSE)," ")</f>
        <v xml:space="preserve"> </v>
      </c>
      <c r="R44" s="52" t="str">
        <f>IFERROR(VLOOKUP($A44,'The List'!$B1:$AS730,25,FALSE)," ")</f>
        <v xml:space="preserve"> </v>
      </c>
      <c r="S44" s="52" t="str">
        <f>IFERROR(VLOOKUP($A44,'The List'!$B1:$AS730,26,FALSE)," ")</f>
        <v xml:space="preserve"> </v>
      </c>
      <c r="T44" s="52" t="str">
        <f>IFERROR(VLOOKUP($A44,'The List'!$B1:$AS730,27,FALSE)," ")</f>
        <v xml:space="preserve"> </v>
      </c>
      <c r="U44" s="52" t="str">
        <f>IFERROR(VLOOKUP($A44,'The List'!$B1:$AS730,28,FALSE)," ")</f>
        <v xml:space="preserve"> </v>
      </c>
      <c r="V44" s="52" t="str">
        <f>IFERROR(VLOOKUP($A44,'The List'!$B1:$AS730,29,FALSE)," ")</f>
        <v xml:space="preserve"> </v>
      </c>
      <c r="W44" s="52" t="str">
        <f>IFERROR(VLOOKUP($A44,'The List'!$B1:$AS730,30,FALSE)," ")</f>
        <v xml:space="preserve"> </v>
      </c>
      <c r="X44" s="52" t="str">
        <f>IFERROR(VLOOKUP($A44,'The List'!$B1:$AS730,31,FALSE)," ")</f>
        <v xml:space="preserve"> </v>
      </c>
      <c r="Y44" s="52" t="str">
        <f>IFERROR(VLOOKUP($A44,'The List'!$B1:$AS730,32,FALSE)," ")</f>
        <v xml:space="preserve"> </v>
      </c>
      <c r="Z44" s="52" t="str">
        <f>IFERROR(VLOOKUP($A44,'The List'!$B1:$AS730,33,FALSE)," ")</f>
        <v xml:space="preserve"> </v>
      </c>
      <c r="AA44" s="54"/>
      <c r="AB44" s="59"/>
      <c r="AC44" s="59"/>
      <c r="AD44" s="59"/>
      <c r="AE44" s="59"/>
      <c r="AF44" s="59"/>
    </row>
    <row r="45" spans="1:32" ht="21.2" customHeight="1">
      <c r="A45" s="23"/>
      <c r="B45" s="67" t="str">
        <f>IFERROR(VLOOKUP($A45,'The List'!$B1:$AS730,3,FALSE)," ")</f>
        <v xml:space="preserve"> </v>
      </c>
      <c r="C45" s="69" t="str">
        <f>IFERROR(VLOOKUP($A45,'The List'!$B1:$AS730,4,FALSE)," ")</f>
        <v xml:space="preserve"> </v>
      </c>
      <c r="D45" s="34" t="str">
        <f>IFERROR(VLOOKUP($A45,'The List'!$B1:$AS730,5,FALSE)," ")</f>
        <v xml:space="preserve"> </v>
      </c>
      <c r="E45" s="34" t="str">
        <f>IFERROR(VLOOKUP($A45,'The List'!$B1:$AS730,6,FALSE)," ")</f>
        <v xml:space="preserve"> </v>
      </c>
      <c r="F45" s="49" t="str">
        <f>IFERROR(VLOOKUP($A45,'The List'!$B1:$AS730,8,FALSE)," ")</f>
        <v xml:space="preserve"> </v>
      </c>
      <c r="G45" s="49" t="str">
        <f>IFERROR(VLOOKUP($A45,'The List'!$B1:$AS730,10,FALSE)," ")</f>
        <v xml:space="preserve"> </v>
      </c>
      <c r="H45" s="38"/>
      <c r="I45" s="52" t="str">
        <f>IFERROR(VLOOKUP($A45,'The List'!$B1:$AS730,16,FALSE)," ")</f>
        <v xml:space="preserve"> </v>
      </c>
      <c r="J45" s="52" t="str">
        <f>IFERROR(VLOOKUP($A45,'The List'!$B1:$AS730,17,FALSE)," ")</f>
        <v xml:space="preserve"> </v>
      </c>
      <c r="K45" s="52" t="str">
        <f>IFERROR(VLOOKUP($A45,'The List'!$B1:$AS730,18,FALSE)," ")</f>
        <v xml:space="preserve"> </v>
      </c>
      <c r="L45" s="52" t="str">
        <f>IFERROR(VLOOKUP($A45,'The List'!$B1:$AS730,19,FALSE)," ")</f>
        <v xml:space="preserve"> </v>
      </c>
      <c r="M45" s="52" t="str">
        <f>IFERROR(VLOOKUP($A45,'The List'!$B1:$AS730,20,FALSE)," ")</f>
        <v xml:space="preserve"> </v>
      </c>
      <c r="N45" s="52" t="str">
        <f>IFERROR(VLOOKUP($A45,'The List'!$B1:$AS730,21,FALSE)," ")</f>
        <v xml:space="preserve"> </v>
      </c>
      <c r="O45" s="52" t="str">
        <f>IFERROR(VLOOKUP($A45,'The List'!$B1:$AS730,22,FALSE)," ")</f>
        <v xml:space="preserve"> </v>
      </c>
      <c r="P45" s="52" t="str">
        <f>IFERROR(VLOOKUP($A45,'The List'!$B1:$AS730,23,FALSE)," ")</f>
        <v xml:space="preserve"> </v>
      </c>
      <c r="Q45" s="52" t="str">
        <f>IFERROR(VLOOKUP($A45,'The List'!$B1:$AS730,24,FALSE)," ")</f>
        <v xml:space="preserve"> </v>
      </c>
      <c r="R45" s="52" t="str">
        <f>IFERROR(VLOOKUP($A45,'The List'!$B1:$AS730,25,FALSE)," ")</f>
        <v xml:space="preserve"> </v>
      </c>
      <c r="S45" s="52" t="str">
        <f>IFERROR(VLOOKUP($A45,'The List'!$B1:$AS730,26,FALSE)," ")</f>
        <v xml:space="preserve"> </v>
      </c>
      <c r="T45" s="52" t="str">
        <f>IFERROR(VLOOKUP($A45,'The List'!$B1:$AS730,27,FALSE)," ")</f>
        <v xml:space="preserve"> </v>
      </c>
      <c r="U45" s="52" t="str">
        <f>IFERROR(VLOOKUP($A45,'The List'!$B1:$AS730,28,FALSE)," ")</f>
        <v xml:space="preserve"> </v>
      </c>
      <c r="V45" s="52" t="str">
        <f>IFERROR(VLOOKUP($A45,'The List'!$B1:$AS730,29,FALSE)," ")</f>
        <v xml:space="preserve"> </v>
      </c>
      <c r="W45" s="52" t="str">
        <f>IFERROR(VLOOKUP($A45,'The List'!$B1:$AS730,30,FALSE)," ")</f>
        <v xml:space="preserve"> </v>
      </c>
      <c r="X45" s="52" t="str">
        <f>IFERROR(VLOOKUP($A45,'The List'!$B1:$AS730,31,FALSE)," ")</f>
        <v xml:space="preserve"> </v>
      </c>
      <c r="Y45" s="52" t="str">
        <f>IFERROR(VLOOKUP($A45,'The List'!$B1:$AS730,32,FALSE)," ")</f>
        <v xml:space="preserve"> </v>
      </c>
      <c r="Z45" s="52" t="str">
        <f>IFERROR(VLOOKUP($A45,'The List'!$B1:$AS730,33,FALSE)," ")</f>
        <v xml:space="preserve"> </v>
      </c>
      <c r="AA45" s="54"/>
      <c r="AB45" s="59"/>
      <c r="AC45" s="59"/>
      <c r="AD45" s="59"/>
      <c r="AE45" s="59"/>
      <c r="AF45" s="59"/>
    </row>
    <row r="46" spans="1:32" ht="21.2" customHeight="1">
      <c r="A46" s="23"/>
      <c r="B46" s="67" t="str">
        <f>IFERROR(VLOOKUP($A46,'The List'!$B1:$AS730,3,FALSE)," ")</f>
        <v xml:space="preserve"> </v>
      </c>
      <c r="C46" s="69" t="str">
        <f>IFERROR(VLOOKUP($A46,'The List'!$B1:$AS730,4,FALSE)," ")</f>
        <v xml:space="preserve"> </v>
      </c>
      <c r="D46" s="34" t="str">
        <f>IFERROR(VLOOKUP($A46,'The List'!$B1:$AS730,5,FALSE)," ")</f>
        <v xml:space="preserve"> </v>
      </c>
      <c r="E46" s="34" t="str">
        <f>IFERROR(VLOOKUP($A46,'The List'!$B1:$AS730,6,FALSE)," ")</f>
        <v xml:space="preserve"> </v>
      </c>
      <c r="F46" s="49" t="str">
        <f>IFERROR(VLOOKUP($A46,'The List'!$B1:$AS730,8,FALSE)," ")</f>
        <v xml:space="preserve"> </v>
      </c>
      <c r="G46" s="49" t="str">
        <f>IFERROR(VLOOKUP($A46,'The List'!$B1:$AS730,10,FALSE)," ")</f>
        <v xml:space="preserve"> </v>
      </c>
      <c r="H46" s="38"/>
      <c r="I46" s="52" t="str">
        <f>IFERROR(VLOOKUP($A46,'The List'!$B1:$AS730,16,FALSE)," ")</f>
        <v xml:space="preserve"> </v>
      </c>
      <c r="J46" s="52" t="str">
        <f>IFERROR(VLOOKUP($A46,'The List'!$B1:$AS730,17,FALSE)," ")</f>
        <v xml:space="preserve"> </v>
      </c>
      <c r="K46" s="52" t="str">
        <f>IFERROR(VLOOKUP($A46,'The List'!$B1:$AS730,18,FALSE)," ")</f>
        <v xml:space="preserve"> </v>
      </c>
      <c r="L46" s="52" t="str">
        <f>IFERROR(VLOOKUP($A46,'The List'!$B1:$AS730,19,FALSE)," ")</f>
        <v xml:space="preserve"> </v>
      </c>
      <c r="M46" s="52" t="str">
        <f>IFERROR(VLOOKUP($A46,'The List'!$B1:$AS730,20,FALSE)," ")</f>
        <v xml:space="preserve"> </v>
      </c>
      <c r="N46" s="52" t="str">
        <f>IFERROR(VLOOKUP($A46,'The List'!$B1:$AS730,21,FALSE)," ")</f>
        <v xml:space="preserve"> </v>
      </c>
      <c r="O46" s="52" t="str">
        <f>IFERROR(VLOOKUP($A46,'The List'!$B1:$AS730,22,FALSE)," ")</f>
        <v xml:space="preserve"> </v>
      </c>
      <c r="P46" s="52" t="str">
        <f>IFERROR(VLOOKUP($A46,'The List'!$B1:$AS730,23,FALSE)," ")</f>
        <v xml:space="preserve"> </v>
      </c>
      <c r="Q46" s="52" t="str">
        <f>IFERROR(VLOOKUP($A46,'The List'!$B1:$AS730,24,FALSE)," ")</f>
        <v xml:space="preserve"> </v>
      </c>
      <c r="R46" s="52" t="str">
        <f>IFERROR(VLOOKUP($A46,'The List'!$B1:$AS730,25,FALSE)," ")</f>
        <v xml:space="preserve"> </v>
      </c>
      <c r="S46" s="52" t="str">
        <f>IFERROR(VLOOKUP($A46,'The List'!$B1:$AS730,26,FALSE)," ")</f>
        <v xml:space="preserve"> </v>
      </c>
      <c r="T46" s="52" t="str">
        <f>IFERROR(VLOOKUP($A46,'The List'!$B1:$AS730,27,FALSE)," ")</f>
        <v xml:space="preserve"> </v>
      </c>
      <c r="U46" s="52" t="str">
        <f>IFERROR(VLOOKUP($A46,'The List'!$B1:$AS730,28,FALSE)," ")</f>
        <v xml:space="preserve"> </v>
      </c>
      <c r="V46" s="52" t="str">
        <f>IFERROR(VLOOKUP($A46,'The List'!$B1:$AS730,29,FALSE)," ")</f>
        <v xml:space="preserve"> </v>
      </c>
      <c r="W46" s="52" t="str">
        <f>IFERROR(VLOOKUP($A46,'The List'!$B1:$AS730,30,FALSE)," ")</f>
        <v xml:space="preserve"> </v>
      </c>
      <c r="X46" s="52" t="str">
        <f>IFERROR(VLOOKUP($A46,'The List'!$B1:$AS730,31,FALSE)," ")</f>
        <v xml:space="preserve"> </v>
      </c>
      <c r="Y46" s="52" t="str">
        <f>IFERROR(VLOOKUP($A46,'The List'!$B1:$AS730,32,FALSE)," ")</f>
        <v xml:space="preserve"> </v>
      </c>
      <c r="Z46" s="52" t="str">
        <f>IFERROR(VLOOKUP($A46,'The List'!$B1:$AS730,33,FALSE)," ")</f>
        <v xml:space="preserve"> </v>
      </c>
      <c r="AA46" s="54"/>
      <c r="AB46" s="59"/>
      <c r="AC46" s="59"/>
      <c r="AD46" s="59"/>
      <c r="AE46" s="59"/>
      <c r="AF46" s="59"/>
    </row>
    <row r="47" spans="1:32" ht="21.2" customHeight="1">
      <c r="A47" s="23"/>
      <c r="B47" s="67" t="str">
        <f>IFERROR(VLOOKUP($A47,'The List'!$B1:$AS730,3,FALSE)," ")</f>
        <v xml:space="preserve"> </v>
      </c>
      <c r="C47" s="69" t="str">
        <f>IFERROR(VLOOKUP($A47,'The List'!$B1:$AS730,4,FALSE)," ")</f>
        <v xml:space="preserve"> </v>
      </c>
      <c r="D47" s="34" t="str">
        <f>IFERROR(VLOOKUP($A47,'The List'!$B1:$AS730,5,FALSE)," ")</f>
        <v xml:space="preserve"> </v>
      </c>
      <c r="E47" s="34" t="str">
        <f>IFERROR(VLOOKUP($A47,'The List'!$B1:$AS730,6,FALSE)," ")</f>
        <v xml:space="preserve"> </v>
      </c>
      <c r="F47" s="49" t="str">
        <f>IFERROR(VLOOKUP($A47,'The List'!$B1:$AS730,8,FALSE)," ")</f>
        <v xml:space="preserve"> </v>
      </c>
      <c r="G47" s="49" t="str">
        <f>IFERROR(VLOOKUP($A47,'The List'!$B1:$AS730,10,FALSE)," ")</f>
        <v xml:space="preserve"> </v>
      </c>
      <c r="H47" s="38"/>
      <c r="I47" s="52" t="str">
        <f>IFERROR(VLOOKUP($A47,'The List'!$B1:$AS730,16,FALSE)," ")</f>
        <v xml:space="preserve"> </v>
      </c>
      <c r="J47" s="52" t="str">
        <f>IFERROR(VLOOKUP($A47,'The List'!$B1:$AS730,17,FALSE)," ")</f>
        <v xml:space="preserve"> </v>
      </c>
      <c r="K47" s="52" t="str">
        <f>IFERROR(VLOOKUP($A47,'The List'!$B1:$AS730,18,FALSE)," ")</f>
        <v xml:space="preserve"> </v>
      </c>
      <c r="L47" s="52" t="str">
        <f>IFERROR(VLOOKUP($A47,'The List'!$B1:$AS730,19,FALSE)," ")</f>
        <v xml:space="preserve"> </v>
      </c>
      <c r="M47" s="52" t="str">
        <f>IFERROR(VLOOKUP($A47,'The List'!$B1:$AS730,20,FALSE)," ")</f>
        <v xml:space="preserve"> </v>
      </c>
      <c r="N47" s="52" t="str">
        <f>IFERROR(VLOOKUP($A47,'The List'!$B1:$AS730,21,FALSE)," ")</f>
        <v xml:space="preserve"> </v>
      </c>
      <c r="O47" s="52" t="str">
        <f>IFERROR(VLOOKUP($A47,'The List'!$B1:$AS730,22,FALSE)," ")</f>
        <v xml:space="preserve"> </v>
      </c>
      <c r="P47" s="52" t="str">
        <f>IFERROR(VLOOKUP($A47,'The List'!$B1:$AS730,23,FALSE)," ")</f>
        <v xml:space="preserve"> </v>
      </c>
      <c r="Q47" s="52" t="str">
        <f>IFERROR(VLOOKUP($A47,'The List'!$B1:$AS730,24,FALSE)," ")</f>
        <v xml:space="preserve"> </v>
      </c>
      <c r="R47" s="52" t="str">
        <f>IFERROR(VLOOKUP($A47,'The List'!$B1:$AS730,25,FALSE)," ")</f>
        <v xml:space="preserve"> </v>
      </c>
      <c r="S47" s="52" t="str">
        <f>IFERROR(VLOOKUP($A47,'The List'!$B1:$AS730,26,FALSE)," ")</f>
        <v xml:space="preserve"> </v>
      </c>
      <c r="T47" s="52" t="str">
        <f>IFERROR(VLOOKUP($A47,'The List'!$B1:$AS730,27,FALSE)," ")</f>
        <v xml:space="preserve"> </v>
      </c>
      <c r="U47" s="52" t="str">
        <f>IFERROR(VLOOKUP($A47,'The List'!$B1:$AS730,28,FALSE)," ")</f>
        <v xml:space="preserve"> </v>
      </c>
      <c r="V47" s="52" t="str">
        <f>IFERROR(VLOOKUP($A47,'The List'!$B1:$AS730,29,FALSE)," ")</f>
        <v xml:space="preserve"> </v>
      </c>
      <c r="W47" s="52" t="str">
        <f>IFERROR(VLOOKUP($A47,'The List'!$B1:$AS730,30,FALSE)," ")</f>
        <v xml:space="preserve"> </v>
      </c>
      <c r="X47" s="52" t="str">
        <f>IFERROR(VLOOKUP($A47,'The List'!$B1:$AS730,31,FALSE)," ")</f>
        <v xml:space="preserve"> </v>
      </c>
      <c r="Y47" s="52" t="str">
        <f>IFERROR(VLOOKUP($A47,'The List'!$B1:$AS730,32,FALSE)," ")</f>
        <v xml:space="preserve"> </v>
      </c>
      <c r="Z47" s="52" t="str">
        <f>IFERROR(VLOOKUP($A47,'The List'!$B1:$AS730,33,FALSE)," ")</f>
        <v xml:space="preserve"> </v>
      </c>
      <c r="AA47" s="54"/>
      <c r="AB47" s="59"/>
      <c r="AC47" s="59"/>
      <c r="AD47" s="59"/>
      <c r="AE47" s="59"/>
      <c r="AF47" s="59"/>
    </row>
    <row r="48" spans="1:32" ht="21.2" customHeight="1">
      <c r="A48" s="23"/>
      <c r="B48" s="67" t="str">
        <f>IFERROR(VLOOKUP($A48,'The List'!$B1:$AS730,3,FALSE)," ")</f>
        <v xml:space="preserve"> </v>
      </c>
      <c r="C48" s="69" t="str">
        <f>IFERROR(VLOOKUP($A48,'The List'!$B1:$AS730,4,FALSE)," ")</f>
        <v xml:space="preserve"> </v>
      </c>
      <c r="D48" s="34" t="str">
        <f>IFERROR(VLOOKUP($A48,'The List'!$B1:$AS730,5,FALSE)," ")</f>
        <v xml:space="preserve"> </v>
      </c>
      <c r="E48" s="34" t="str">
        <f>IFERROR(VLOOKUP($A48,'The List'!$B1:$AS730,6,FALSE)," ")</f>
        <v xml:space="preserve"> </v>
      </c>
      <c r="F48" s="49" t="str">
        <f>IFERROR(VLOOKUP($A48,'The List'!$B1:$AS730,8,FALSE)," ")</f>
        <v xml:space="preserve"> </v>
      </c>
      <c r="G48" s="49" t="str">
        <f>IFERROR(VLOOKUP($A48,'The List'!$B1:$AS730,10,FALSE)," ")</f>
        <v xml:space="preserve"> </v>
      </c>
      <c r="H48" s="38"/>
      <c r="I48" s="52" t="str">
        <f>IFERROR(VLOOKUP($A48,'The List'!$B1:$AS730,16,FALSE)," ")</f>
        <v xml:space="preserve"> </v>
      </c>
      <c r="J48" s="52" t="str">
        <f>IFERROR(VLOOKUP($A48,'The List'!$B1:$AS730,17,FALSE)," ")</f>
        <v xml:space="preserve"> </v>
      </c>
      <c r="K48" s="52" t="str">
        <f>IFERROR(VLOOKUP($A48,'The List'!$B1:$AS730,18,FALSE)," ")</f>
        <v xml:space="preserve"> </v>
      </c>
      <c r="L48" s="52" t="str">
        <f>IFERROR(VLOOKUP($A48,'The List'!$B1:$AS730,19,FALSE)," ")</f>
        <v xml:space="preserve"> </v>
      </c>
      <c r="M48" s="52" t="str">
        <f>IFERROR(VLOOKUP($A48,'The List'!$B1:$AS730,20,FALSE)," ")</f>
        <v xml:space="preserve"> </v>
      </c>
      <c r="N48" s="52" t="str">
        <f>IFERROR(VLOOKUP($A48,'The List'!$B1:$AS730,21,FALSE)," ")</f>
        <v xml:space="preserve"> </v>
      </c>
      <c r="O48" s="52" t="str">
        <f>IFERROR(VLOOKUP($A48,'The List'!$B1:$AS730,22,FALSE)," ")</f>
        <v xml:space="preserve"> </v>
      </c>
      <c r="P48" s="52" t="str">
        <f>IFERROR(VLOOKUP($A48,'The List'!$B1:$AS730,23,FALSE)," ")</f>
        <v xml:space="preserve"> </v>
      </c>
      <c r="Q48" s="52" t="str">
        <f>IFERROR(VLOOKUP($A48,'The List'!$B1:$AS730,24,FALSE)," ")</f>
        <v xml:space="preserve"> </v>
      </c>
      <c r="R48" s="52" t="str">
        <f>IFERROR(VLOOKUP($A48,'The List'!$B1:$AS730,25,FALSE)," ")</f>
        <v xml:space="preserve"> </v>
      </c>
      <c r="S48" s="52" t="str">
        <f>IFERROR(VLOOKUP($A48,'The List'!$B1:$AS730,26,FALSE)," ")</f>
        <v xml:space="preserve"> </v>
      </c>
      <c r="T48" s="52" t="str">
        <f>IFERROR(VLOOKUP($A48,'The List'!$B1:$AS730,27,FALSE)," ")</f>
        <v xml:space="preserve"> </v>
      </c>
      <c r="U48" s="52" t="str">
        <f>IFERROR(VLOOKUP($A48,'The List'!$B1:$AS730,28,FALSE)," ")</f>
        <v xml:space="preserve"> </v>
      </c>
      <c r="V48" s="52" t="str">
        <f>IFERROR(VLOOKUP($A48,'The List'!$B1:$AS730,29,FALSE)," ")</f>
        <v xml:space="preserve"> </v>
      </c>
      <c r="W48" s="52" t="str">
        <f>IFERROR(VLOOKUP($A48,'The List'!$B1:$AS730,30,FALSE)," ")</f>
        <v xml:space="preserve"> </v>
      </c>
      <c r="X48" s="52" t="str">
        <f>IFERROR(VLOOKUP($A48,'The List'!$B1:$AS730,31,FALSE)," ")</f>
        <v xml:space="preserve"> </v>
      </c>
      <c r="Y48" s="52" t="str">
        <f>IFERROR(VLOOKUP($A48,'The List'!$B1:$AS730,32,FALSE)," ")</f>
        <v xml:space="preserve"> </v>
      </c>
      <c r="Z48" s="52" t="str">
        <f>IFERROR(VLOOKUP($A48,'The List'!$B1:$AS730,33,FALSE)," ")</f>
        <v xml:space="preserve"> </v>
      </c>
      <c r="AA48" s="54"/>
      <c r="AB48" s="59"/>
      <c r="AC48" s="59"/>
      <c r="AD48" s="59"/>
      <c r="AE48" s="59"/>
      <c r="AF48" s="59"/>
    </row>
    <row r="49" spans="1:32" ht="21.2" customHeight="1">
      <c r="A49" s="23"/>
      <c r="B49" s="67" t="str">
        <f>IFERROR(VLOOKUP($A49,'The List'!$B1:$AS730,3,FALSE)," ")</f>
        <v xml:space="preserve"> </v>
      </c>
      <c r="C49" s="69" t="str">
        <f>IFERROR(VLOOKUP($A49,'The List'!$B1:$AS730,4,FALSE)," ")</f>
        <v xml:space="preserve"> </v>
      </c>
      <c r="D49" s="34" t="str">
        <f>IFERROR(VLOOKUP($A49,'The List'!$B1:$AS730,5,FALSE)," ")</f>
        <v xml:space="preserve"> </v>
      </c>
      <c r="E49" s="34" t="str">
        <f>IFERROR(VLOOKUP($A49,'The List'!$B1:$AS730,6,FALSE)," ")</f>
        <v xml:space="preserve"> </v>
      </c>
      <c r="F49" s="49" t="str">
        <f>IFERROR(VLOOKUP($A49,'The List'!$B1:$AS730,8,FALSE)," ")</f>
        <v xml:space="preserve"> </v>
      </c>
      <c r="G49" s="49" t="str">
        <f>IFERROR(VLOOKUP($A49,'The List'!$B1:$AS730,10,FALSE)," ")</f>
        <v xml:space="preserve"> </v>
      </c>
      <c r="H49" s="38"/>
      <c r="I49" s="52" t="str">
        <f>IFERROR(VLOOKUP($A49,'The List'!$B1:$AS730,16,FALSE)," ")</f>
        <v xml:space="preserve"> </v>
      </c>
      <c r="J49" s="52" t="str">
        <f>IFERROR(VLOOKUP($A49,'The List'!$B1:$AS730,17,FALSE)," ")</f>
        <v xml:space="preserve"> </v>
      </c>
      <c r="K49" s="52" t="str">
        <f>IFERROR(VLOOKUP($A49,'The List'!$B1:$AS730,18,FALSE)," ")</f>
        <v xml:space="preserve"> </v>
      </c>
      <c r="L49" s="52" t="str">
        <f>IFERROR(VLOOKUP($A49,'The List'!$B1:$AS730,19,FALSE)," ")</f>
        <v xml:space="preserve"> </v>
      </c>
      <c r="M49" s="52" t="str">
        <f>IFERROR(VLOOKUP($A49,'The List'!$B1:$AS730,20,FALSE)," ")</f>
        <v xml:space="preserve"> </v>
      </c>
      <c r="N49" s="52" t="str">
        <f>IFERROR(VLOOKUP($A49,'The List'!$B1:$AS730,21,FALSE)," ")</f>
        <v xml:space="preserve"> </v>
      </c>
      <c r="O49" s="52" t="str">
        <f>IFERROR(VLOOKUP($A49,'The List'!$B1:$AS730,22,FALSE)," ")</f>
        <v xml:space="preserve"> </v>
      </c>
      <c r="P49" s="52" t="str">
        <f>IFERROR(VLOOKUP($A49,'The List'!$B1:$AS730,23,FALSE)," ")</f>
        <v xml:space="preserve"> </v>
      </c>
      <c r="Q49" s="52" t="str">
        <f>IFERROR(VLOOKUP($A49,'The List'!$B1:$AS730,24,FALSE)," ")</f>
        <v xml:space="preserve"> </v>
      </c>
      <c r="R49" s="52" t="str">
        <f>IFERROR(VLOOKUP($A49,'The List'!$B1:$AS730,25,FALSE)," ")</f>
        <v xml:space="preserve"> </v>
      </c>
      <c r="S49" s="52" t="str">
        <f>IFERROR(VLOOKUP($A49,'The List'!$B1:$AS730,26,FALSE)," ")</f>
        <v xml:space="preserve"> </v>
      </c>
      <c r="T49" s="52" t="str">
        <f>IFERROR(VLOOKUP($A49,'The List'!$B1:$AS730,27,FALSE)," ")</f>
        <v xml:space="preserve"> </v>
      </c>
      <c r="U49" s="52" t="str">
        <f>IFERROR(VLOOKUP($A49,'The List'!$B1:$AS730,28,FALSE)," ")</f>
        <v xml:space="preserve"> </v>
      </c>
      <c r="V49" s="52" t="str">
        <f>IFERROR(VLOOKUP($A49,'The List'!$B1:$AS730,29,FALSE)," ")</f>
        <v xml:space="preserve"> </v>
      </c>
      <c r="W49" s="52" t="str">
        <f>IFERROR(VLOOKUP($A49,'The List'!$B1:$AS730,30,FALSE)," ")</f>
        <v xml:space="preserve"> </v>
      </c>
      <c r="X49" s="52" t="str">
        <f>IFERROR(VLOOKUP($A49,'The List'!$B1:$AS730,31,FALSE)," ")</f>
        <v xml:space="preserve"> </v>
      </c>
      <c r="Y49" s="52" t="str">
        <f>IFERROR(VLOOKUP($A49,'The List'!$B1:$AS730,32,FALSE)," ")</f>
        <v xml:space="preserve"> </v>
      </c>
      <c r="Z49" s="52" t="str">
        <f>IFERROR(VLOOKUP($A49,'The List'!$B1:$AS730,33,FALSE)," ")</f>
        <v xml:space="preserve"> </v>
      </c>
      <c r="AA49" s="54"/>
      <c r="AB49" s="59"/>
      <c r="AC49" s="59"/>
      <c r="AD49" s="59"/>
      <c r="AE49" s="59"/>
      <c r="AF49" s="59"/>
    </row>
    <row r="50" spans="1:32" ht="21.2" customHeight="1">
      <c r="A50" s="71"/>
      <c r="B50" s="72" t="str">
        <f>IFERROR(VLOOKUP($A50,'The List'!$B1:$AS730,3,FALSE)," ")</f>
        <v xml:space="preserve"> </v>
      </c>
      <c r="C50" s="73" t="str">
        <f>IFERROR(VLOOKUP($A50,'The List'!$B1:$AS730,4,FALSE)," ")</f>
        <v xml:space="preserve"> </v>
      </c>
      <c r="D50" s="74" t="str">
        <f>IFERROR(VLOOKUP($A50,'The List'!$B1:$AS730,5,FALSE)," ")</f>
        <v xml:space="preserve"> </v>
      </c>
      <c r="E50" s="74" t="str">
        <f>IFERROR(VLOOKUP($A50,'The List'!$B1:$AS730,6,FALSE)," ")</f>
        <v xml:space="preserve"> </v>
      </c>
      <c r="F50" s="75" t="str">
        <f>IFERROR(VLOOKUP($A50,'The List'!$B1:$AS730,8,FALSE)," ")</f>
        <v xml:space="preserve"> </v>
      </c>
      <c r="G50" s="75" t="str">
        <f>IFERROR(VLOOKUP($A50,'The List'!$B1:$AS730,10,FALSE)," ")</f>
        <v xml:space="preserve"> </v>
      </c>
      <c r="H50" s="76"/>
      <c r="I50" s="77" t="str">
        <f>IFERROR(VLOOKUP($A50,'The List'!$B1:$AS730,16,FALSE)," ")</f>
        <v xml:space="preserve"> </v>
      </c>
      <c r="J50" s="77" t="str">
        <f>IFERROR(VLOOKUP($A50,'The List'!$B1:$AS730,17,FALSE)," ")</f>
        <v xml:space="preserve"> </v>
      </c>
      <c r="K50" s="77" t="str">
        <f>IFERROR(VLOOKUP($A50,'The List'!$B1:$AS730,18,FALSE)," ")</f>
        <v xml:space="preserve"> </v>
      </c>
      <c r="L50" s="77" t="str">
        <f>IFERROR(VLOOKUP($A50,'The List'!$B1:$AS730,19,FALSE)," ")</f>
        <v xml:space="preserve"> </v>
      </c>
      <c r="M50" s="77" t="str">
        <f>IFERROR(VLOOKUP($A50,'The List'!$B1:$AS730,20,FALSE)," ")</f>
        <v xml:space="preserve"> </v>
      </c>
      <c r="N50" s="77" t="str">
        <f>IFERROR(VLOOKUP($A50,'The List'!$B1:$AS730,21,FALSE)," ")</f>
        <v xml:space="preserve"> </v>
      </c>
      <c r="O50" s="77" t="str">
        <f>IFERROR(VLOOKUP($A50,'The List'!$B1:$AS730,22,FALSE)," ")</f>
        <v xml:space="preserve"> </v>
      </c>
      <c r="P50" s="77" t="str">
        <f>IFERROR(VLOOKUP($A50,'The List'!$B1:$AS730,23,FALSE)," ")</f>
        <v xml:space="preserve"> </v>
      </c>
      <c r="Q50" s="77" t="str">
        <f>IFERROR(VLOOKUP($A50,'The List'!$B1:$AS730,24,FALSE)," ")</f>
        <v xml:space="preserve"> </v>
      </c>
      <c r="R50" s="77" t="str">
        <f>IFERROR(VLOOKUP($A50,'The List'!$B1:$AS730,25,FALSE)," ")</f>
        <v xml:space="preserve"> </v>
      </c>
      <c r="S50" s="77" t="str">
        <f>IFERROR(VLOOKUP($A50,'The List'!$B1:$AS730,26,FALSE)," ")</f>
        <v xml:space="preserve"> </v>
      </c>
      <c r="T50" s="77" t="str">
        <f>IFERROR(VLOOKUP($A50,'The List'!$B1:$AS730,27,FALSE)," ")</f>
        <v xml:space="preserve"> </v>
      </c>
      <c r="U50" s="77" t="str">
        <f>IFERROR(VLOOKUP($A50,'The List'!$B1:$AS730,28,FALSE)," ")</f>
        <v xml:space="preserve"> </v>
      </c>
      <c r="V50" s="77" t="str">
        <f>IFERROR(VLOOKUP($A50,'The List'!$B1:$AS730,29,FALSE)," ")</f>
        <v xml:space="preserve"> </v>
      </c>
      <c r="W50" s="77" t="str">
        <f>IFERROR(VLOOKUP($A50,'The List'!$B1:$AS730,30,FALSE)," ")</f>
        <v xml:space="preserve"> </v>
      </c>
      <c r="X50" s="77" t="str">
        <f>IFERROR(VLOOKUP($A50,'The List'!$B1:$AS730,31,FALSE)," ")</f>
        <v xml:space="preserve"> </v>
      </c>
      <c r="Y50" s="77" t="str">
        <f>IFERROR(VLOOKUP($A50,'The List'!$B1:$AS730,32,FALSE)," ")</f>
        <v xml:space="preserve"> </v>
      </c>
      <c r="Z50" s="77" t="str">
        <f>IFERROR(VLOOKUP($A50,'The List'!$B1:$AS730,33,FALSE)," ")</f>
        <v xml:space="preserve"> </v>
      </c>
      <c r="AA50" s="54"/>
      <c r="AB50" s="59"/>
      <c r="AC50" s="59"/>
      <c r="AD50" s="59"/>
      <c r="AE50" s="59"/>
      <c r="AF50" s="59"/>
    </row>
    <row r="51" spans="1:32" ht="21.2" customHeight="1">
      <c r="A51" s="78"/>
      <c r="B51" s="79"/>
      <c r="C51" s="80"/>
      <c r="D51" s="81"/>
      <c r="E51" s="116">
        <f>IFERROR(AVERAGE(E31:E50)," ")</f>
        <v>27</v>
      </c>
      <c r="F51" s="83">
        <f>SUM(F31:F50)</f>
        <v>16.883257255265598</v>
      </c>
      <c r="G51" s="83">
        <f>SUM(G31:G50)</f>
        <v>10.228588211141197</v>
      </c>
      <c r="H51" s="84"/>
      <c r="I51" s="85">
        <f>SUM(I31:I50)</f>
        <v>82</v>
      </c>
      <c r="J51" s="84">
        <f>AVERAGE(J31:J50)</f>
        <v>21.669641814024398</v>
      </c>
      <c r="K51" s="85">
        <f t="shared" ref="K51:Y51" si="2">SUM(K31:K50)</f>
        <v>51.981084731157395</v>
      </c>
      <c r="L51" s="85">
        <f t="shared" si="2"/>
        <v>69.378428896977795</v>
      </c>
      <c r="M51" s="85">
        <f t="shared" si="2"/>
        <v>121.35951362813519</v>
      </c>
      <c r="N51" s="85">
        <f t="shared" si="2"/>
        <v>257.49083886271075</v>
      </c>
      <c r="O51" s="85">
        <f t="shared" si="2"/>
        <v>27.671930905616716</v>
      </c>
      <c r="P51" s="85">
        <f t="shared" si="2"/>
        <v>52.992491695157177</v>
      </c>
      <c r="Q51" s="85">
        <f t="shared" si="2"/>
        <v>0.66971513581373532</v>
      </c>
      <c r="R51" s="85">
        <f t="shared" si="2"/>
        <v>1.0532817102722216</v>
      </c>
      <c r="S51" s="85">
        <f t="shared" si="2"/>
        <v>35.531567872484771</v>
      </c>
      <c r="T51" s="85">
        <f t="shared" si="2"/>
        <v>62.091642125414133</v>
      </c>
      <c r="U51" s="85">
        <f t="shared" si="2"/>
        <v>7.0418148526639719</v>
      </c>
      <c r="V51" s="85">
        <f t="shared" si="2"/>
        <v>32.878843682531915</v>
      </c>
      <c r="W51" s="85">
        <f t="shared" si="2"/>
        <v>8.2280476636165005</v>
      </c>
      <c r="X51" s="85">
        <f t="shared" si="2"/>
        <v>829.40627735804071</v>
      </c>
      <c r="Y51" s="85">
        <f t="shared" si="2"/>
        <v>692.99736939630861</v>
      </c>
      <c r="Z51" s="86">
        <f>IFERROR(X51/(X51+Y51),0)</f>
        <v>0.54480050617736819</v>
      </c>
      <c r="AA51" s="54"/>
      <c r="AB51" s="59"/>
      <c r="AC51" s="87"/>
      <c r="AD51" s="87"/>
      <c r="AE51" s="87"/>
      <c r="AF51" s="87"/>
    </row>
    <row r="52" spans="1:32" ht="21.2" customHeight="1">
      <c r="A52" s="88"/>
      <c r="B52" s="89"/>
      <c r="C52" s="90"/>
      <c r="D52" s="11"/>
      <c r="E52" s="11"/>
      <c r="F52" s="91"/>
      <c r="G52" s="92"/>
      <c r="H52" s="93"/>
      <c r="I52" s="9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9"/>
      <c r="AC52" s="59"/>
      <c r="AD52" s="59"/>
      <c r="AE52" s="59"/>
      <c r="AF52" s="59"/>
    </row>
    <row r="53" spans="1:32" ht="21.2" customHeight="1">
      <c r="A53" s="24" t="s">
        <v>64</v>
      </c>
      <c r="B53" s="231" t="s">
        <v>66</v>
      </c>
      <c r="C53" s="223"/>
      <c r="D53" s="95" t="s">
        <v>67</v>
      </c>
      <c r="E53" s="95" t="s">
        <v>68</v>
      </c>
      <c r="F53" s="96" t="s">
        <v>70</v>
      </c>
      <c r="G53" s="96" t="s">
        <v>72</v>
      </c>
      <c r="H53" s="97"/>
      <c r="I53" s="98" t="s">
        <v>77</v>
      </c>
      <c r="J53" s="98" t="s">
        <v>95</v>
      </c>
      <c r="K53" s="98" t="s">
        <v>96</v>
      </c>
      <c r="L53" s="98" t="s">
        <v>97</v>
      </c>
      <c r="M53" s="98" t="s">
        <v>98</v>
      </c>
      <c r="N53" s="98" t="s">
        <v>99</v>
      </c>
      <c r="O53" s="98" t="s">
        <v>100</v>
      </c>
      <c r="P53" s="98" t="s">
        <v>101</v>
      </c>
      <c r="Q53" s="98" t="s">
        <v>102</v>
      </c>
      <c r="R53" s="54"/>
      <c r="S53" s="54"/>
      <c r="T53" s="54"/>
      <c r="U53" s="231" t="s">
        <v>839</v>
      </c>
      <c r="V53" s="232"/>
      <c r="W53" s="232"/>
      <c r="X53" s="231" t="s">
        <v>840</v>
      </c>
      <c r="Y53" s="232"/>
      <c r="Z53" s="232"/>
      <c r="AA53" s="54"/>
      <c r="AB53" s="59"/>
      <c r="AC53" s="54"/>
      <c r="AD53" s="54"/>
      <c r="AE53" s="54"/>
      <c r="AF53" s="54"/>
    </row>
    <row r="54" spans="1:32" ht="21.2" customHeight="1">
      <c r="A54" s="117"/>
      <c r="B54" s="100" t="str">
        <f>IFERROR(VLOOKUP($A54,'The List'!$B1:$AS730,3,FALSE)," ")</f>
        <v xml:space="preserve"> </v>
      </c>
      <c r="C54" s="118" t="str">
        <f>IFERROR(VLOOKUP($A54,'The List'!$B1:$AS730,4,FALSE)," ")</f>
        <v xml:space="preserve"> </v>
      </c>
      <c r="D54" s="102" t="str">
        <f>IFERROR(VLOOKUP($A54,'The List'!$B1:$AS730,5,FALSE)," ")</f>
        <v xml:space="preserve"> </v>
      </c>
      <c r="E54" s="102" t="str">
        <f>IFERROR(VLOOKUP($A54,'The List'!$B1:$AS730,6,FALSE)," ")</f>
        <v xml:space="preserve"> </v>
      </c>
      <c r="F54" s="119" t="str">
        <f>IFERROR(VLOOKUP($A54,'The List'!$B1:$AS730,8,FALSE)," ")</f>
        <v xml:space="preserve"> </v>
      </c>
      <c r="G54" s="119" t="str">
        <f>IFERROR(VLOOKUP($A54,'The List'!$B1:$AS730,10,FALSE)," ")</f>
        <v xml:space="preserve"> </v>
      </c>
      <c r="H54" s="105"/>
      <c r="I54" s="120" t="str">
        <f>IFERROR(VLOOKUP($A54,'The List'!$B1:$AS730,35,FALSE)," ")</f>
        <v xml:space="preserve"> </v>
      </c>
      <c r="J54" s="120" t="str">
        <f>IFERROR(VLOOKUP($A54,'The List'!$B1:$AS730,36,FALSE)," ")</f>
        <v xml:space="preserve"> </v>
      </c>
      <c r="K54" s="120" t="str">
        <f>IFERROR(VLOOKUP($A54,'The List'!$B1:$AS730,37,FALSE)," ")</f>
        <v xml:space="preserve"> </v>
      </c>
      <c r="L54" s="120" t="str">
        <f>IFERROR(VLOOKUP($A54,'The List'!$B1:$AS730,38,FALSE)," ")</f>
        <v xml:space="preserve"> </v>
      </c>
      <c r="M54" s="120" t="str">
        <f>IFERROR(VLOOKUP($A54,'The List'!$B1:$AS730,39,FALSE)," ")</f>
        <v xml:space="preserve"> </v>
      </c>
      <c r="N54" s="120" t="str">
        <f>IFERROR(VLOOKUP($A54,'The List'!$B1:$AS730,40,FALSE)," ")</f>
        <v xml:space="preserve"> </v>
      </c>
      <c r="O54" s="120" t="str">
        <f>IFERROR(VLOOKUP($A54,'The List'!$B1:$AS730,41,FALSE)," ")</f>
        <v xml:space="preserve"> </v>
      </c>
      <c r="P54" s="120" t="str">
        <f>IFERROR(VLOOKUP($A54,'The List'!$B1:$AS730,42,FALSE)," ")</f>
        <v xml:space="preserve"> </v>
      </c>
      <c r="Q54" s="120" t="str">
        <f>IFERROR(VLOOKUP($A54,'The List'!$B1:$AS730,43,FALSE)," ")</f>
        <v xml:space="preserve"> </v>
      </c>
      <c r="R54" s="54"/>
      <c r="S54" s="54"/>
      <c r="T54" s="109" t="str">
        <f>A1</f>
        <v>BG</v>
      </c>
      <c r="U54" s="230">
        <f>F51+F57</f>
        <v>16.883257255265598</v>
      </c>
      <c r="V54" s="223"/>
      <c r="W54" s="223"/>
      <c r="X54" s="230">
        <f>G57+G51</f>
        <v>10.228588211141197</v>
      </c>
      <c r="Y54" s="223"/>
      <c r="Z54" s="223"/>
      <c r="AA54" s="54"/>
      <c r="AB54" s="59"/>
      <c r="AC54" s="54"/>
      <c r="AD54" s="54"/>
      <c r="AE54" s="54"/>
      <c r="AF54" s="54"/>
    </row>
    <row r="55" spans="1:32" ht="21.2" customHeight="1">
      <c r="A55" s="23"/>
      <c r="B55" s="110" t="str">
        <f>IFERROR(VLOOKUP($A55,'The List'!$B1:$AS730,3,FALSE)," ")</f>
        <v xml:space="preserve"> </v>
      </c>
      <c r="C55" s="111" t="str">
        <f>IFERROR(VLOOKUP($A55,'The List'!$B1:$AS730,4,FALSE)," ")</f>
        <v xml:space="preserve"> </v>
      </c>
      <c r="D55" s="34" t="str">
        <f>IFERROR(VLOOKUP($A55,'The List'!$B1:$AS730,5,FALSE)," ")</f>
        <v xml:space="preserve"> </v>
      </c>
      <c r="E55" s="34" t="str">
        <f>IFERROR(VLOOKUP($A55,'The List'!$B1:$AS730,6,FALSE)," ")</f>
        <v xml:space="preserve"> </v>
      </c>
      <c r="F55" s="49" t="str">
        <f>IFERROR(VLOOKUP($A55,'The List'!$B1:$AS730,8,FALSE)," ")</f>
        <v xml:space="preserve"> </v>
      </c>
      <c r="G55" s="49" t="str">
        <f>IFERROR(VLOOKUP($A55,'The List'!$B1:$AS730,10,FALSE)," ")</f>
        <v xml:space="preserve"> </v>
      </c>
      <c r="H55" s="38"/>
      <c r="I55" s="52" t="str">
        <f>IFERROR(VLOOKUP($A55,'The List'!$B1:$AS730,35,FALSE)," ")</f>
        <v xml:space="preserve"> </v>
      </c>
      <c r="J55" s="52" t="str">
        <f>IFERROR(VLOOKUP($A55,'The List'!$B1:$AS730,36,FALSE)," ")</f>
        <v xml:space="preserve"> </v>
      </c>
      <c r="K55" s="52" t="str">
        <f>IFERROR(VLOOKUP($A55,'The List'!$B1:$AS730,37,FALSE)," ")</f>
        <v xml:space="preserve"> </v>
      </c>
      <c r="L55" s="52" t="str">
        <f>IFERROR(VLOOKUP($A55,'The List'!$B1:$AS730,38,FALSE)," ")</f>
        <v xml:space="preserve"> </v>
      </c>
      <c r="M55" s="52" t="str">
        <f>IFERROR(VLOOKUP($A55,'The List'!$B1:$AS730,39,FALSE)," ")</f>
        <v xml:space="preserve"> </v>
      </c>
      <c r="N55" s="52" t="str">
        <f>IFERROR(VLOOKUP($A55,'The List'!$B1:$AS730,40,FALSE)," ")</f>
        <v xml:space="preserve"> </v>
      </c>
      <c r="O55" s="52" t="str">
        <f>IFERROR(VLOOKUP($A55,'The List'!$B1:$AS730,41,FALSE)," ")</f>
        <v xml:space="preserve"> </v>
      </c>
      <c r="P55" s="52" t="str">
        <f>IFERROR(VLOOKUP($A55,'The List'!$B1:$AS730,42,FALSE)," ")</f>
        <v xml:space="preserve"> </v>
      </c>
      <c r="Q55" s="52" t="str">
        <f>IFERROR(VLOOKUP($A55,'The List'!$B1:$AS730,43,FALSE)," ")</f>
        <v xml:space="preserve"> </v>
      </c>
      <c r="R55" s="54"/>
      <c r="S55" s="54"/>
      <c r="T55" s="54"/>
      <c r="U55" s="223"/>
      <c r="V55" s="223"/>
      <c r="W55" s="223"/>
      <c r="X55" s="223"/>
      <c r="Y55" s="223"/>
      <c r="Z55" s="223"/>
      <c r="AA55" s="54"/>
      <c r="AB55" s="59"/>
      <c r="AC55" s="54"/>
      <c r="AD55" s="54"/>
      <c r="AE55" s="54"/>
      <c r="AF55" s="54"/>
    </row>
    <row r="56" spans="1:32" ht="21.2" customHeight="1">
      <c r="A56" s="71"/>
      <c r="B56" s="112" t="str">
        <f>IFERROR(VLOOKUP($A56,'The List'!$B1:$AS730,3,FALSE)," ")</f>
        <v xml:space="preserve"> </v>
      </c>
      <c r="C56" s="113" t="str">
        <f>IFERROR(VLOOKUP($A56,'The List'!$B1:$AS730,4,FALSE)," ")</f>
        <v xml:space="preserve"> </v>
      </c>
      <c r="D56" s="74" t="str">
        <f>IFERROR(VLOOKUP($A56,'The List'!$B1:$AS730,5,FALSE)," ")</f>
        <v xml:space="preserve"> </v>
      </c>
      <c r="E56" s="74" t="str">
        <f>IFERROR(VLOOKUP($A56,'The List'!$B1:$AS730,6,FALSE)," ")</f>
        <v xml:space="preserve"> </v>
      </c>
      <c r="F56" s="75" t="str">
        <f>IFERROR(VLOOKUP($A56,'The List'!$B1:$AS730,8,FALSE)," ")</f>
        <v xml:space="preserve"> </v>
      </c>
      <c r="G56" s="75" t="str">
        <f>IFERROR(VLOOKUP($A56,'The List'!$B1:$AS730,10,FALSE)," ")</f>
        <v xml:space="preserve"> </v>
      </c>
      <c r="H56" s="76"/>
      <c r="I56" s="77" t="str">
        <f>IFERROR(VLOOKUP($A56,'The List'!$B1:$AS730,35,FALSE)," ")</f>
        <v xml:space="preserve"> </v>
      </c>
      <c r="J56" s="77" t="str">
        <f>IFERROR(VLOOKUP($A56,'The List'!$B1:$AS730,36,FALSE)," ")</f>
        <v xml:space="preserve"> </v>
      </c>
      <c r="K56" s="77" t="str">
        <f>IFERROR(VLOOKUP($A56,'The List'!$B1:$AS730,37,FALSE)," ")</f>
        <v xml:space="preserve"> </v>
      </c>
      <c r="L56" s="77" t="str">
        <f>IFERROR(VLOOKUP($A56,'The List'!$B1:$AS730,38,FALSE)," ")</f>
        <v xml:space="preserve"> </v>
      </c>
      <c r="M56" s="77" t="str">
        <f>IFERROR(VLOOKUP($A56,'The List'!$B1:$AS730,39,FALSE)," ")</f>
        <v xml:space="preserve"> </v>
      </c>
      <c r="N56" s="77" t="str">
        <f>IFERROR(VLOOKUP($A56,'The List'!$B1:$AS730,40,FALSE)," ")</f>
        <v xml:space="preserve"> </v>
      </c>
      <c r="O56" s="77" t="str">
        <f>IFERROR(VLOOKUP($A56,'The List'!$B1:$AS730,41,FALSE)," ")</f>
        <v xml:space="preserve"> </v>
      </c>
      <c r="P56" s="77" t="str">
        <f>IFERROR(VLOOKUP($A56,'The List'!$B1:$AS730,42,FALSE)," ")</f>
        <v xml:space="preserve"> </v>
      </c>
      <c r="Q56" s="77" t="str">
        <f>IFERROR(VLOOKUP($A56,'The List'!$B1:$AS730,43,FALSE)," ")</f>
        <v xml:space="preserve"> </v>
      </c>
      <c r="R56" s="54"/>
      <c r="S56" s="54"/>
      <c r="T56" s="54"/>
      <c r="U56" s="223"/>
      <c r="V56" s="223"/>
      <c r="W56" s="223"/>
      <c r="X56" s="223"/>
      <c r="Y56" s="223"/>
      <c r="Z56" s="223"/>
      <c r="AA56" s="54"/>
      <c r="AB56" s="59"/>
      <c r="AC56" s="54"/>
      <c r="AD56" s="54"/>
      <c r="AE56" s="54"/>
      <c r="AF56" s="54"/>
    </row>
    <row r="57" spans="1:32" ht="21.2" customHeight="1">
      <c r="A57" s="78"/>
      <c r="B57" s="79"/>
      <c r="C57" s="80"/>
      <c r="D57" s="81"/>
      <c r="E57" s="116" t="str">
        <f>IFERROR(AVERAGE(E54:E56)," ")</f>
        <v xml:space="preserve"> </v>
      </c>
      <c r="F57" s="83">
        <f>SUM(F54:F56)</f>
        <v>0</v>
      </c>
      <c r="G57" s="83">
        <f>SUM(G54:G56)</f>
        <v>0</v>
      </c>
      <c r="H57" s="84"/>
      <c r="I57" s="85">
        <f t="shared" ref="I57:O57" si="3">SUM(I54:I56)</f>
        <v>0</v>
      </c>
      <c r="J57" s="84">
        <f t="shared" si="3"/>
        <v>0</v>
      </c>
      <c r="K57" s="85">
        <f t="shared" si="3"/>
        <v>0</v>
      </c>
      <c r="L57" s="85">
        <f t="shared" si="3"/>
        <v>0</v>
      </c>
      <c r="M57" s="85">
        <f t="shared" si="3"/>
        <v>0</v>
      </c>
      <c r="N57" s="85">
        <f t="shared" si="3"/>
        <v>0</v>
      </c>
      <c r="O57" s="85">
        <f t="shared" si="3"/>
        <v>0</v>
      </c>
      <c r="P57" s="114" t="e">
        <f>1-(O57/(N57+O57))</f>
        <v>#DIV/0!</v>
      </c>
      <c r="Q57" s="115" t="e">
        <f>O57/I57</f>
        <v>#DIV/0!</v>
      </c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89"/>
      <c r="AC57" s="54"/>
      <c r="AD57" s="54"/>
      <c r="AE57" s="54"/>
      <c r="AF57" s="54"/>
    </row>
    <row r="58" spans="1:32" ht="70.7" customHeight="1">
      <c r="A58" s="88"/>
      <c r="B58" s="89"/>
      <c r="C58" s="90"/>
      <c r="D58" s="11"/>
      <c r="E58" s="11"/>
      <c r="F58" s="91"/>
      <c r="G58" s="92"/>
      <c r="H58" s="93"/>
      <c r="I58" s="9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9"/>
      <c r="AB58" s="59"/>
      <c r="AC58" s="59"/>
      <c r="AD58" s="59"/>
      <c r="AE58" s="59"/>
      <c r="AF58" s="59"/>
    </row>
    <row r="59" spans="1:32" ht="21.2" customHeight="1">
      <c r="A59" s="25" t="s">
        <v>917</v>
      </c>
      <c r="B59" s="229" t="s">
        <v>66</v>
      </c>
      <c r="C59" s="221"/>
      <c r="D59" s="26" t="s">
        <v>67</v>
      </c>
      <c r="E59" s="26" t="s">
        <v>68</v>
      </c>
      <c r="F59" s="27" t="s">
        <v>70</v>
      </c>
      <c r="G59" s="27" t="s">
        <v>72</v>
      </c>
      <c r="H59" s="28"/>
      <c r="I59" s="30" t="s">
        <v>77</v>
      </c>
      <c r="J59" s="30" t="s">
        <v>78</v>
      </c>
      <c r="K59" s="30" t="s">
        <v>79</v>
      </c>
      <c r="L59" s="30" t="s">
        <v>80</v>
      </c>
      <c r="M59" s="30" t="s">
        <v>81</v>
      </c>
      <c r="N59" s="30" t="s">
        <v>82</v>
      </c>
      <c r="O59" s="30" t="s">
        <v>83</v>
      </c>
      <c r="P59" s="30" t="s">
        <v>84</v>
      </c>
      <c r="Q59" s="30" t="s">
        <v>85</v>
      </c>
      <c r="R59" s="30" t="s">
        <v>86</v>
      </c>
      <c r="S59" s="30" t="s">
        <v>87</v>
      </c>
      <c r="T59" s="30" t="s">
        <v>88</v>
      </c>
      <c r="U59" s="30" t="s">
        <v>89</v>
      </c>
      <c r="V59" s="30" t="s">
        <v>90</v>
      </c>
      <c r="W59" s="30" t="s">
        <v>91</v>
      </c>
      <c r="X59" s="30" t="s">
        <v>92</v>
      </c>
      <c r="Y59" s="30" t="s">
        <v>93</v>
      </c>
      <c r="Z59" s="30" t="s">
        <v>94</v>
      </c>
      <c r="AA59" s="54"/>
      <c r="AB59" s="55"/>
      <c r="AC59" s="55"/>
      <c r="AD59" s="55"/>
      <c r="AE59" s="55"/>
      <c r="AF59" s="55"/>
    </row>
    <row r="60" spans="1:32" ht="21.2" customHeight="1">
      <c r="A60" s="23" t="s">
        <v>164</v>
      </c>
      <c r="B60" s="56" t="str">
        <f>IFERROR(VLOOKUP($A60,'The List'!$B1:$AS730,3,FALSE)," ")</f>
        <v>C</v>
      </c>
      <c r="C60" s="60">
        <f>IFERROR(VLOOKUP($A60,'The List'!$B1:$AS730,4,FALSE)," ")</f>
        <v>22</v>
      </c>
      <c r="D60" s="34" t="str">
        <f>IFERROR(VLOOKUP($A60,'The List'!$B1:$AS730,5,FALSE)," ")</f>
        <v>CAR</v>
      </c>
      <c r="E60" s="34">
        <f>IFERROR(VLOOKUP($A60,'The List'!$B1:$AS730,6,FALSE)," ")</f>
        <v>26</v>
      </c>
      <c r="F60" s="49">
        <f>IFERROR(VLOOKUP($A60,'The List'!$B1:$AS730,8,FALSE)," ")</f>
        <v>8.4957451159382327</v>
      </c>
      <c r="G60" s="49">
        <f>IFERROR(VLOOKUP($A60,'The List'!$B1:$AS730,10,FALSE)," ")</f>
        <v>2.1586943917316299</v>
      </c>
      <c r="H60" s="38"/>
      <c r="I60" s="52">
        <f>IFERROR(VLOOKUP($A60,'The List'!$B1:$AS730,16,FALSE)," ")</f>
        <v>82</v>
      </c>
      <c r="J60" s="52">
        <f>IFERROR(VLOOKUP($A60,'The List'!$B1:$AS730,17,FALSE)," ")</f>
        <v>19.979980394414699</v>
      </c>
      <c r="K60" s="52">
        <f>IFERROR(VLOOKUP($A60,'The List'!$B1:$AS730,18,FALSE)," ")</f>
        <v>38.813558687086967</v>
      </c>
      <c r="L60" s="52">
        <f>IFERROR(VLOOKUP($A60,'The List'!$B1:$AS730,19,FALSE)," ")</f>
        <v>42.281935993744497</v>
      </c>
      <c r="M60" s="52">
        <f>IFERROR(VLOOKUP($A60,'The List'!$B1:$AS730,20,FALSE)," ")</f>
        <v>81.095494680831465</v>
      </c>
      <c r="N60" s="52">
        <f>IFERROR(VLOOKUP($A60,'The List'!$B1:$AS730,21,FALSE)," ")</f>
        <v>241.22912159920207</v>
      </c>
      <c r="O60" s="52">
        <f>IFERROR(VLOOKUP($A60,'The List'!$B1:$AS730,22,FALSE)," ")</f>
        <v>9.7938253004583782</v>
      </c>
      <c r="P60" s="52">
        <f>IFERROR(VLOOKUP($A60,'The List'!$B1:$AS730,23,FALSE)," ")</f>
        <v>21.943242740318308</v>
      </c>
      <c r="Q60" s="52">
        <f>IFERROR(VLOOKUP($A60,'The List'!$B1:$AS730,24,FALSE)," ")</f>
        <v>2.2610862537411673</v>
      </c>
      <c r="R60" s="52">
        <f>IFERROR(VLOOKUP($A60,'The List'!$B1:$AS730,25,FALSE)," ")</f>
        <v>3.4908372190466435</v>
      </c>
      <c r="S60" s="52">
        <f>IFERROR(VLOOKUP($A60,'The List'!$B1:$AS730,26,FALSE)," ")</f>
        <v>26.978765474737962</v>
      </c>
      <c r="T60" s="52">
        <f>IFERROR(VLOOKUP($A60,'The List'!$B1:$AS730,27,FALSE)," ")</f>
        <v>72.300137301598213</v>
      </c>
      <c r="U60" s="52">
        <f>IFERROR(VLOOKUP($A60,'The List'!$B1:$AS730,28,FALSE)," ")</f>
        <v>8.7240615151164516</v>
      </c>
      <c r="V60" s="52">
        <f>IFERROR(VLOOKUP($A60,'The List'!$B1:$AS730,29,FALSE)," ")</f>
        <v>44.799881966235361</v>
      </c>
      <c r="W60" s="52">
        <f>IFERROR(VLOOKUP($A60,'The List'!$B1:$AS730,30,FALSE)," ")</f>
        <v>6.9640215297670878</v>
      </c>
      <c r="X60" s="52">
        <f>IFERROR(VLOOKUP($A60,'The List'!$B1:$AS730,31,FALSE)," ")</f>
        <v>596.76641436341572</v>
      </c>
      <c r="Y60" s="52">
        <f>IFERROR(VLOOKUP($A60,'The List'!$B1:$AS730,32,FALSE)," ")</f>
        <v>549.2148238124438</v>
      </c>
      <c r="Z60" s="52">
        <f>IFERROR(VLOOKUP($A60,'The List'!$B1:$AS730,33,FALSE)," ")</f>
        <v>0.52074710691889803</v>
      </c>
      <c r="AA60" s="54"/>
      <c r="AB60" s="59"/>
      <c r="AC60" s="59"/>
      <c r="AD60" s="59"/>
      <c r="AE60" s="59"/>
      <c r="AF60" s="59"/>
    </row>
    <row r="61" spans="1:32" ht="21.2" customHeight="1">
      <c r="A61" s="23" t="s">
        <v>228</v>
      </c>
      <c r="B61" s="56" t="str">
        <f>IFERROR(VLOOKUP($A61,'The List'!$B1:$AS730,3,FALSE)," ")</f>
        <v>C</v>
      </c>
      <c r="C61" s="60">
        <f>IFERROR(VLOOKUP($A61,'The List'!$B1:$AS730,4,FALSE)," ")</f>
        <v>38</v>
      </c>
      <c r="D61" s="34" t="str">
        <f>IFERROR(VLOOKUP($A61,'The List'!$B1:$AS730,5,FALSE)," ")</f>
        <v>SEA</v>
      </c>
      <c r="E61" s="34">
        <f>IFERROR(VLOOKUP($A61,'The List'!$B1:$AS730,6,FALSE)," ")</f>
        <v>20</v>
      </c>
      <c r="F61" s="49">
        <f>IFERROR(VLOOKUP($A61,'The List'!$B1:$AS730,8,FALSE)," ")</f>
        <v>6.0122623371438388</v>
      </c>
      <c r="G61" s="49">
        <f>IFERROR(VLOOKUP($A61,'The List'!$B1:$AS730,10,FALSE)," ")</f>
        <v>-0.32478838706276392</v>
      </c>
      <c r="H61" s="38"/>
      <c r="I61" s="52">
        <f>IFERROR(VLOOKUP($A61,'The List'!$B1:$AS730,16,FALSE)," ")</f>
        <v>82</v>
      </c>
      <c r="J61" s="52">
        <f>IFERROR(VLOOKUP($A61,'The List'!$B1:$AS730,17,FALSE)," ")</f>
        <v>18.6504598814529</v>
      </c>
      <c r="K61" s="52">
        <f>IFERROR(VLOOKUP($A61,'The List'!$B1:$AS730,18,FALSE)," ")</f>
        <v>31.048386705251719</v>
      </c>
      <c r="L61" s="52">
        <f>IFERROR(VLOOKUP($A61,'The List'!$B1:$AS730,19,FALSE)," ")</f>
        <v>43.62505620895282</v>
      </c>
      <c r="M61" s="52">
        <f>IFERROR(VLOOKUP($A61,'The List'!$B1:$AS730,20,FALSE)," ")</f>
        <v>74.673442914204543</v>
      </c>
      <c r="N61" s="52">
        <f>IFERROR(VLOOKUP($A61,'The List'!$B1:$AS730,21,FALSE)," ")</f>
        <v>179.46509174563889</v>
      </c>
      <c r="O61" s="52">
        <f>IFERROR(VLOOKUP($A61,'The List'!$B1:$AS730,22,FALSE)," ")</f>
        <v>6.9665243396988297</v>
      </c>
      <c r="P61" s="52">
        <f>IFERROR(VLOOKUP($A61,'The List'!$B1:$AS730,23,FALSE)," ")</f>
        <v>16.781760644395927</v>
      </c>
      <c r="Q61" s="52">
        <f>IFERROR(VLOOKUP($A61,'The List'!$B1:$AS730,24,FALSE)," ")</f>
        <v>0.13718318054348883</v>
      </c>
      <c r="R61" s="52">
        <f>IFERROR(VLOOKUP($A61,'The List'!$B1:$AS730,25,FALSE)," ")</f>
        <v>0.79123911594839069</v>
      </c>
      <c r="S61" s="52">
        <f>IFERROR(VLOOKUP($A61,'The List'!$B1:$AS730,26,FALSE)," ")</f>
        <v>50.555897920853468</v>
      </c>
      <c r="T61" s="52">
        <f>IFERROR(VLOOKUP($A61,'The List'!$B1:$AS730,27,FALSE)," ")</f>
        <v>85.015924359438003</v>
      </c>
      <c r="U61" s="52">
        <f>IFERROR(VLOOKUP($A61,'The List'!$B1:$AS730,28,FALSE)," ")</f>
        <v>2.306429290283651</v>
      </c>
      <c r="V61" s="52">
        <f>IFERROR(VLOOKUP($A61,'The List'!$B1:$AS730,29,FALSE)," ")</f>
        <v>11.998726198143709</v>
      </c>
      <c r="W61" s="52">
        <f>IFERROR(VLOOKUP($A61,'The List'!$B1:$AS730,30,FALSE)," ")</f>
        <v>4.3641915437050383</v>
      </c>
      <c r="X61" s="52">
        <f>IFERROR(VLOOKUP($A61,'The List'!$B1:$AS730,31,FALSE)," ")</f>
        <v>454.98469899787273</v>
      </c>
      <c r="Y61" s="52">
        <f>IFERROR(VLOOKUP($A61,'The List'!$B1:$AS730,32,FALSE)," ")</f>
        <v>622.52698198646885</v>
      </c>
      <c r="Z61" s="52">
        <f>IFERROR(VLOOKUP($A61,'The List'!$B1:$AS730,33,FALSE)," ")</f>
        <v>0.42225500384574</v>
      </c>
      <c r="AA61" s="54"/>
      <c r="AB61" s="59"/>
      <c r="AC61" s="59"/>
      <c r="AD61" s="59"/>
      <c r="AE61" s="59"/>
      <c r="AF61" s="59"/>
    </row>
    <row r="62" spans="1:32" ht="21.2" customHeight="1">
      <c r="A62" s="23" t="s">
        <v>363</v>
      </c>
      <c r="B62" s="56" t="str">
        <f>IFERROR(VLOOKUP($A62,'The List'!$B1:$AS730,3,FALSE)," ")</f>
        <v>C</v>
      </c>
      <c r="C62" s="60">
        <f>IFERROR(VLOOKUP($A62,'The List'!$B1:$AS730,4,FALSE)," ")</f>
        <v>64</v>
      </c>
      <c r="D62" s="34" t="str">
        <f>IFERROR(VLOOKUP($A62,'The List'!$B1:$AS730,5,FALSE)," ")</f>
        <v>CBJ</v>
      </c>
      <c r="E62" s="34">
        <f>IFERROR(VLOOKUP($A62,'The List'!$B1:$AS730,6,FALSE)," ")</f>
        <v>30</v>
      </c>
      <c r="F62" s="49">
        <f>IFERROR(VLOOKUP($A62,'The List'!$B1:$AS730,8,FALSE)," ")</f>
        <v>2.793472323315016</v>
      </c>
      <c r="G62" s="49">
        <f>IFERROR(VLOOKUP($A62,'The List'!$B1:$AS730,10,FALSE)," ")</f>
        <v>-3.5435784008915867</v>
      </c>
      <c r="H62" s="38"/>
      <c r="I62" s="52">
        <f>IFERROR(VLOOKUP($A62,'The List'!$B1:$AS730,16,FALSE)," ")</f>
        <v>82</v>
      </c>
      <c r="J62" s="52">
        <f>IFERROR(VLOOKUP($A62,'The List'!$B1:$AS730,17,FALSE)," ")</f>
        <v>18.172821028107698</v>
      </c>
      <c r="K62" s="52">
        <f>IFERROR(VLOOKUP($A62,'The List'!$B1:$AS730,18,FALSE)," ")</f>
        <v>25.404713862236175</v>
      </c>
      <c r="L62" s="52">
        <f>IFERROR(VLOOKUP($A62,'The List'!$B1:$AS730,19,FALSE)," ")</f>
        <v>23.788970838305971</v>
      </c>
      <c r="M62" s="52">
        <f>IFERROR(VLOOKUP($A62,'The List'!$B1:$AS730,20,FALSE)," ")</f>
        <v>49.19368470054215</v>
      </c>
      <c r="N62" s="52">
        <f>IFERROR(VLOOKUP($A62,'The List'!$B1:$AS730,21,FALSE)," ")</f>
        <v>217.16081122675035</v>
      </c>
      <c r="O62" s="52">
        <f>IFERROR(VLOOKUP($A62,'The List'!$B1:$AS730,22,FALSE)," ")</f>
        <v>6.0493303766026596</v>
      </c>
      <c r="P62" s="52">
        <f>IFERROR(VLOOKUP($A62,'The List'!$B1:$AS730,23,FALSE)," ")</f>
        <v>9.3214530268796842</v>
      </c>
      <c r="Q62" s="52">
        <f>IFERROR(VLOOKUP($A62,'The List'!$B1:$AS730,24,FALSE)," ")</f>
        <v>0.15875018795103579</v>
      </c>
      <c r="R62" s="52">
        <f>IFERROR(VLOOKUP($A62,'The List'!$B1:$AS730,25,FALSE)," ")</f>
        <v>0.16928100089033138</v>
      </c>
      <c r="S62" s="52">
        <f>IFERROR(VLOOKUP($A62,'The List'!$B1:$AS730,26,FALSE)," ")</f>
        <v>72.170021790111562</v>
      </c>
      <c r="T62" s="52">
        <f>IFERROR(VLOOKUP($A62,'The List'!$B1:$AS730,27,FALSE)," ")</f>
        <v>128.5995436022246</v>
      </c>
      <c r="U62" s="52">
        <f>IFERROR(VLOOKUP($A62,'The List'!$B1:$AS730,28,FALSE)," ")</f>
        <v>-6.3358963723909216</v>
      </c>
      <c r="V62" s="52">
        <f>IFERROR(VLOOKUP($A62,'The List'!$B1:$AS730,29,FALSE)," ")</f>
        <v>34.310090069519184</v>
      </c>
      <c r="W62" s="52">
        <f>IFERROR(VLOOKUP($A62,'The List'!$B1:$AS730,30,FALSE)," ")</f>
        <v>2.722290006550999</v>
      </c>
      <c r="X62" s="52">
        <f>IFERROR(VLOOKUP($A62,'The List'!$B1:$AS730,31,FALSE)," ")</f>
        <v>796.63997198679317</v>
      </c>
      <c r="Y62" s="52">
        <f>IFERROR(VLOOKUP($A62,'The List'!$B1:$AS730,32,FALSE)," ")</f>
        <v>668.7076326559328</v>
      </c>
      <c r="Z62" s="52">
        <f>IFERROR(VLOOKUP($A62,'The List'!$B1:$AS730,33,FALSE)," ")</f>
        <v>0.54365255688326997</v>
      </c>
      <c r="AA62" s="54"/>
      <c r="AB62" s="59"/>
      <c r="AC62" s="59"/>
      <c r="AD62" s="59"/>
      <c r="AE62" s="59"/>
      <c r="AF62" s="59"/>
    </row>
    <row r="63" spans="1:32" ht="21.2" customHeight="1">
      <c r="A63" s="23"/>
      <c r="B63" s="56" t="str">
        <f>IFERROR(VLOOKUP($A63,'The List'!$B1:$AS730,3,FALSE)," ")</f>
        <v xml:space="preserve"> </v>
      </c>
      <c r="C63" s="60" t="str">
        <f>IFERROR(VLOOKUP($A63,'The List'!$B1:$AS730,4,FALSE)," ")</f>
        <v xml:space="preserve"> </v>
      </c>
      <c r="D63" s="34" t="str">
        <f>IFERROR(VLOOKUP($A63,'The List'!$B1:$AS730,5,FALSE)," ")</f>
        <v xml:space="preserve"> </v>
      </c>
      <c r="E63" s="34" t="str">
        <f>IFERROR(VLOOKUP($A63,'The List'!$B1:$AS730,6,FALSE)," ")</f>
        <v xml:space="preserve"> </v>
      </c>
      <c r="F63" s="49" t="str">
        <f>IFERROR(VLOOKUP($A63,'The List'!$B1:$AS730,8,FALSE)," ")</f>
        <v xml:space="preserve"> </v>
      </c>
      <c r="G63" s="49" t="str">
        <f>IFERROR(VLOOKUP($A63,'The List'!$B1:$AS730,10,FALSE)," ")</f>
        <v xml:space="preserve"> </v>
      </c>
      <c r="H63" s="38"/>
      <c r="I63" s="52" t="str">
        <f>IFERROR(VLOOKUP($A63,'The List'!$B1:$AS730,16,FALSE)," ")</f>
        <v xml:space="preserve"> </v>
      </c>
      <c r="J63" s="52" t="str">
        <f>IFERROR(VLOOKUP($A63,'The List'!$B1:$AS730,17,FALSE)," ")</f>
        <v xml:space="preserve"> </v>
      </c>
      <c r="K63" s="52" t="str">
        <f>IFERROR(VLOOKUP($A63,'The List'!$B1:$AS730,18,FALSE)," ")</f>
        <v xml:space="preserve"> </v>
      </c>
      <c r="L63" s="52" t="str">
        <f>IFERROR(VLOOKUP($A63,'The List'!$B1:$AS730,19,FALSE)," ")</f>
        <v xml:space="preserve"> </v>
      </c>
      <c r="M63" s="52" t="str">
        <f>IFERROR(VLOOKUP($A63,'The List'!$B1:$AS730,20,FALSE)," ")</f>
        <v xml:space="preserve"> </v>
      </c>
      <c r="N63" s="52" t="str">
        <f>IFERROR(VLOOKUP($A63,'The List'!$B1:$AS730,21,FALSE)," ")</f>
        <v xml:space="preserve"> </v>
      </c>
      <c r="O63" s="52" t="str">
        <f>IFERROR(VLOOKUP($A63,'The List'!$B1:$AS730,22,FALSE)," ")</f>
        <v xml:space="preserve"> </v>
      </c>
      <c r="P63" s="52" t="str">
        <f>IFERROR(VLOOKUP($A63,'The List'!$B1:$AS730,23,FALSE)," ")</f>
        <v xml:space="preserve"> </v>
      </c>
      <c r="Q63" s="52" t="str">
        <f>IFERROR(VLOOKUP($A63,'The List'!$B1:$AS730,24,FALSE)," ")</f>
        <v xml:space="preserve"> </v>
      </c>
      <c r="R63" s="52" t="str">
        <f>IFERROR(VLOOKUP($A63,'The List'!$B1:$AS730,25,FALSE)," ")</f>
        <v xml:space="preserve"> </v>
      </c>
      <c r="S63" s="52" t="str">
        <f>IFERROR(VLOOKUP($A63,'The List'!$B1:$AS730,26,FALSE)," ")</f>
        <v xml:space="preserve"> </v>
      </c>
      <c r="T63" s="52" t="str">
        <f>IFERROR(VLOOKUP($A63,'The List'!$B1:$AS730,27,FALSE)," ")</f>
        <v xml:space="preserve"> </v>
      </c>
      <c r="U63" s="52" t="str">
        <f>IFERROR(VLOOKUP($A63,'The List'!$B1:$AS730,28,FALSE)," ")</f>
        <v xml:space="preserve"> </v>
      </c>
      <c r="V63" s="52" t="str">
        <f>IFERROR(VLOOKUP($A63,'The List'!$B1:$AS730,29,FALSE)," ")</f>
        <v xml:space="preserve"> </v>
      </c>
      <c r="W63" s="52" t="str">
        <f>IFERROR(VLOOKUP($A63,'The List'!$B1:$AS730,30,FALSE)," ")</f>
        <v xml:space="preserve"> </v>
      </c>
      <c r="X63" s="52" t="str">
        <f>IFERROR(VLOOKUP($A63,'The List'!$B1:$AS730,31,FALSE)," ")</f>
        <v xml:space="preserve"> </v>
      </c>
      <c r="Y63" s="52" t="str">
        <f>IFERROR(VLOOKUP($A63,'The List'!$B1:$AS730,32,FALSE)," ")</f>
        <v xml:space="preserve"> </v>
      </c>
      <c r="Z63" s="52" t="str">
        <f>IFERROR(VLOOKUP($A63,'The List'!$B1:$AS730,33,FALSE)," ")</f>
        <v xml:space="preserve"> </v>
      </c>
      <c r="AA63" s="54"/>
      <c r="AB63" s="59"/>
      <c r="AC63" s="59"/>
      <c r="AD63" s="59"/>
      <c r="AE63" s="59"/>
      <c r="AF63" s="59"/>
    </row>
    <row r="64" spans="1:32" ht="21.2" customHeight="1">
      <c r="A64" s="23" t="s">
        <v>145</v>
      </c>
      <c r="B64" s="61" t="str">
        <f>IFERROR(VLOOKUP($A64,'The List'!$B1:$AS730,3,FALSE)," ")</f>
        <v>C,LW</v>
      </c>
      <c r="C64" s="63">
        <f>IFERROR(VLOOKUP($A64,'The List'!$B1:$AS730,4,FALSE)," ")</f>
        <v>11</v>
      </c>
      <c r="D64" s="34" t="str">
        <f>IFERROR(VLOOKUP($A64,'The List'!$B1:$AS730,5,FALSE)," ")</f>
        <v>TBL</v>
      </c>
      <c r="E64" s="34">
        <f>IFERROR(VLOOKUP($A64,'The List'!$B1:$AS730,6,FALSE)," ")</f>
        <v>33</v>
      </c>
      <c r="F64" s="49">
        <f>IFERROR(VLOOKUP($A64,'The List'!$B1:$AS730,8,FALSE)," ")</f>
        <v>9.7577666144233852</v>
      </c>
      <c r="G64" s="49">
        <f>IFERROR(VLOOKUP($A64,'The List'!$B1:$AS730,10,FALSE)," ")</f>
        <v>3.103097570298984</v>
      </c>
      <c r="H64" s="38"/>
      <c r="I64" s="52">
        <f>IFERROR(VLOOKUP($A64,'The List'!$B1:$AS730,16,FALSE)," ")</f>
        <v>82</v>
      </c>
      <c r="J64" s="52">
        <f>IFERROR(VLOOKUP($A64,'The List'!$B1:$AS730,17,FALSE)," ")</f>
        <v>18.999190690615599</v>
      </c>
      <c r="K64" s="52">
        <f>IFERROR(VLOOKUP($A64,'The List'!$B1:$AS730,18,FALSE)," ")</f>
        <v>33.594396988923286</v>
      </c>
      <c r="L64" s="52">
        <f>IFERROR(VLOOKUP($A64,'The List'!$B1:$AS730,19,FALSE)," ")</f>
        <v>50.915185791085577</v>
      </c>
      <c r="M64" s="52">
        <f>IFERROR(VLOOKUP($A64,'The List'!$B1:$AS730,20,FALSE)," ")</f>
        <v>84.509582780008856</v>
      </c>
      <c r="N64" s="52">
        <f>IFERROR(VLOOKUP($A64,'The List'!$B1:$AS730,21,FALSE)," ")</f>
        <v>236.42541724888449</v>
      </c>
      <c r="O64" s="52">
        <f>IFERROR(VLOOKUP($A64,'The List'!$B1:$AS730,22,FALSE)," ")</f>
        <v>13.503800496181352</v>
      </c>
      <c r="P64" s="52">
        <f>IFERROR(VLOOKUP($A64,'The List'!$B1:$AS730,23,FALSE)," ")</f>
        <v>32.580320034289834</v>
      </c>
      <c r="Q64" s="52">
        <f>IFERROR(VLOOKUP($A64,'The List'!$B1:$AS730,24,FALSE)," ")</f>
        <v>3.1292754290199787E-2</v>
      </c>
      <c r="R64" s="52">
        <f>IFERROR(VLOOKUP($A64,'The List'!$B1:$AS730,25,FALSE)," ")</f>
        <v>0.1422542284155526</v>
      </c>
      <c r="S64" s="52">
        <f>IFERROR(VLOOKUP($A64,'The List'!$B1:$AS730,26,FALSE)," ")</f>
        <v>44.254082249586567</v>
      </c>
      <c r="T64" s="52">
        <f>IFERROR(VLOOKUP($A64,'The List'!$B1:$AS730,27,FALSE)," ")</f>
        <v>92.541543572573659</v>
      </c>
      <c r="U64" s="52">
        <f>IFERROR(VLOOKUP($A64,'The List'!$B1:$AS730,28,FALSE)," ")</f>
        <v>1.2401465863449295</v>
      </c>
      <c r="V64" s="52">
        <f>IFERROR(VLOOKUP($A64,'The List'!$B1:$AS730,29,FALSE)," ")</f>
        <v>41.470544258782766</v>
      </c>
      <c r="W64" s="52">
        <f>IFERROR(VLOOKUP($A64,'The List'!$B1:$AS730,30,FALSE)," ")</f>
        <v>5.2575353319521927</v>
      </c>
      <c r="X64" s="52">
        <f>IFERROR(VLOOKUP($A64,'The List'!$B1:$AS730,31,FALSE)," ")</f>
        <v>514.20084217732528</v>
      </c>
      <c r="Y64" s="52">
        <f>IFERROR(VLOOKUP($A64,'The List'!$B1:$AS730,32,FALSE)," ")</f>
        <v>452.98219164155819</v>
      </c>
      <c r="Z64" s="52">
        <f>IFERROR(VLOOKUP($A64,'The List'!$B1:$AS730,33,FALSE)," ")</f>
        <v>0.53164791378424403</v>
      </c>
      <c r="AA64" s="54"/>
      <c r="AB64" s="59"/>
      <c r="AC64" s="59"/>
      <c r="AD64" s="59"/>
      <c r="AE64" s="59"/>
      <c r="AF64" s="59"/>
    </row>
    <row r="65" spans="1:32" ht="21.2" customHeight="1">
      <c r="A65" s="23" t="s">
        <v>319</v>
      </c>
      <c r="B65" s="61" t="str">
        <f>IFERROR(VLOOKUP($A65,'The List'!$B1:$AS730,3,FALSE)," ")</f>
        <v>LW,RW</v>
      </c>
      <c r="C65" s="63">
        <f>IFERROR(VLOOKUP($A65,'The List'!$B1:$AS730,4,FALSE)," ")</f>
        <v>49</v>
      </c>
      <c r="D65" s="34" t="str">
        <f>IFERROR(VLOOKUP($A65,'The List'!$B1:$AS730,5,FALSE)," ")</f>
        <v>TOR</v>
      </c>
      <c r="E65" s="34">
        <f>IFERROR(VLOOKUP($A65,'The List'!$B1:$AS730,6,FALSE)," ")</f>
        <v>28</v>
      </c>
      <c r="F65" s="49">
        <f>IFERROR(VLOOKUP($A65,'The List'!$B1:$AS730,8,FALSE)," ")</f>
        <v>3.9996377274450081</v>
      </c>
      <c r="G65" s="49">
        <f>IFERROR(VLOOKUP($A65,'The List'!$B1:$AS730,10,FALSE)," ")</f>
        <v>-2.2806209915660727</v>
      </c>
      <c r="H65" s="38"/>
      <c r="I65" s="52">
        <f>IFERROR(VLOOKUP($A65,'The List'!$B1:$AS730,16,FALSE)," ")</f>
        <v>82</v>
      </c>
      <c r="J65" s="52">
        <f>IFERROR(VLOOKUP($A65,'The List'!$B1:$AS730,17,FALSE)," ")</f>
        <v>15.7725961498048</v>
      </c>
      <c r="K65" s="52">
        <f>IFERROR(VLOOKUP($A65,'The List'!$B1:$AS730,18,FALSE)," ")</f>
        <v>23.745955339781897</v>
      </c>
      <c r="L65" s="52">
        <f>IFERROR(VLOOKUP($A65,'The List'!$B1:$AS730,19,FALSE)," ")</f>
        <v>36.106428796732096</v>
      </c>
      <c r="M65" s="52">
        <f>IFERROR(VLOOKUP($A65,'The List'!$B1:$AS730,20,FALSE)," ")</f>
        <v>59.85238413651399</v>
      </c>
      <c r="N65" s="52">
        <f>IFERROR(VLOOKUP($A65,'The List'!$B1:$AS730,21,FALSE)," ")</f>
        <v>192.66970196737091</v>
      </c>
      <c r="O65" s="52">
        <f>IFERROR(VLOOKUP($A65,'The List'!$B1:$AS730,22,FALSE)," ")</f>
        <v>5.651461363806864</v>
      </c>
      <c r="P65" s="52">
        <f>IFERROR(VLOOKUP($A65,'The List'!$B1:$AS730,23,FALSE)," ")</f>
        <v>13.435954843007593</v>
      </c>
      <c r="Q65" s="52">
        <f>IFERROR(VLOOKUP($A65,'The List'!$B1:$AS730,24,FALSE)," ")</f>
        <v>1.3448180472566721E-2</v>
      </c>
      <c r="R65" s="52">
        <f>IFERROR(VLOOKUP($A65,'The List'!$B1:$AS730,25,FALSE)," ")</f>
        <v>2.6664304184477593E-2</v>
      </c>
      <c r="S65" s="52">
        <f>IFERROR(VLOOKUP($A65,'The List'!$B1:$AS730,26,FALSE)," ")</f>
        <v>38.419298573136381</v>
      </c>
      <c r="T65" s="52">
        <f>IFERROR(VLOOKUP($A65,'The List'!$B1:$AS730,27,FALSE)," ")</f>
        <v>81.959474256976037</v>
      </c>
      <c r="U65" s="52">
        <f>IFERROR(VLOOKUP($A65,'The List'!$B1:$AS730,28,FALSE)," ")</f>
        <v>6.0857001708540102</v>
      </c>
      <c r="V65" s="52">
        <f>IFERROR(VLOOKUP($A65,'The List'!$B1:$AS730,29,FALSE)," ")</f>
        <v>32.663739419342185</v>
      </c>
      <c r="W65" s="52">
        <f>IFERROR(VLOOKUP($A65,'The List'!$B1:$AS730,30,FALSE)," ")</f>
        <v>3.8147814137567053</v>
      </c>
      <c r="X65" s="52">
        <f>IFERROR(VLOOKUP($A65,'The List'!$B1:$AS730,31,FALSE)," ")</f>
        <v>6.6073119339673276</v>
      </c>
      <c r="Y65" s="52">
        <f>IFERROR(VLOOKUP($A65,'The List'!$B1:$AS730,32,FALSE)," ")</f>
        <v>18.546310181374409</v>
      </c>
      <c r="Z65" s="52">
        <f>IFERROR(VLOOKUP($A65,'The List'!$B1:$AS730,33,FALSE)," ")</f>
        <v>0.26267834921227501</v>
      </c>
      <c r="AA65" s="54"/>
      <c r="AB65" s="59"/>
      <c r="AC65" s="59"/>
      <c r="AD65" s="59"/>
      <c r="AE65" s="59"/>
      <c r="AF65" s="59"/>
    </row>
    <row r="66" spans="1:32" ht="21.2" customHeight="1">
      <c r="A66" s="23" t="s">
        <v>341</v>
      </c>
      <c r="B66" s="61" t="str">
        <f>IFERROR(VLOOKUP($A66,'The List'!$B1:$AS730,3,FALSE)," ")</f>
        <v>C,LW,RW</v>
      </c>
      <c r="C66" s="63">
        <f>IFERROR(VLOOKUP($A66,'The List'!$B1:$AS730,4,FALSE)," ")</f>
        <v>77</v>
      </c>
      <c r="D66" s="34" t="str">
        <f>IFERROR(VLOOKUP($A66,'The List'!$B1:$AS730,5,FALSE)," ")</f>
        <v>VGK</v>
      </c>
      <c r="E66" s="34">
        <f>IFERROR(VLOOKUP($A66,'The List'!$B1:$AS730,6,FALSE)," ")</f>
        <v>27</v>
      </c>
      <c r="F66" s="49">
        <f>IFERROR(VLOOKUP($A66,'The List'!$B1:$AS730,8,FALSE)," ")</f>
        <v>1.7549357413741777</v>
      </c>
      <c r="G66" s="49">
        <f>IFERROR(VLOOKUP($A66,'The List'!$B1:$AS730,10,FALSE)," ")</f>
        <v>-4.5253229776369031</v>
      </c>
      <c r="H66" s="38"/>
      <c r="I66" s="52">
        <f>IFERROR(VLOOKUP($A66,'The List'!$B1:$AS730,16,FALSE)," ")</f>
        <v>82</v>
      </c>
      <c r="J66" s="52">
        <f>IFERROR(VLOOKUP($A66,'The List'!$B1:$AS730,17,FALSE)," ")</f>
        <v>17.26152693653</v>
      </c>
      <c r="K66" s="52">
        <f>IFERROR(VLOOKUP($A66,'The List'!$B1:$AS730,18,FALSE)," ")</f>
        <v>21.424829661358309</v>
      </c>
      <c r="L66" s="52">
        <f>IFERROR(VLOOKUP($A66,'The List'!$B1:$AS730,19,FALSE)," ")</f>
        <v>33.135244886272908</v>
      </c>
      <c r="M66" s="52">
        <f>IFERROR(VLOOKUP($A66,'The List'!$B1:$AS730,20,FALSE)," ")</f>
        <v>54.560074547631217</v>
      </c>
      <c r="N66" s="52">
        <f>IFERROR(VLOOKUP($A66,'The List'!$B1:$AS730,21,FALSE)," ")</f>
        <v>131.14898115294025</v>
      </c>
      <c r="O66" s="52">
        <f>IFERROR(VLOOKUP($A66,'The List'!$B1:$AS730,22,FALSE)," ")</f>
        <v>3.4898776600307673</v>
      </c>
      <c r="P66" s="52">
        <f>IFERROR(VLOOKUP($A66,'The List'!$B1:$AS730,23,FALSE)," ")</f>
        <v>8.0373846453394311</v>
      </c>
      <c r="Q66" s="52">
        <f>IFERROR(VLOOKUP($A66,'The List'!$B1:$AS730,24,FALSE)," ")</f>
        <v>0.33723350534667262</v>
      </c>
      <c r="R66" s="52">
        <f>IFERROR(VLOOKUP($A66,'The List'!$B1:$AS730,25,FALSE)," ")</f>
        <v>0.69211046639252038</v>
      </c>
      <c r="S66" s="52">
        <f>IFERROR(VLOOKUP($A66,'The List'!$B1:$AS730,26,FALSE)," ")</f>
        <v>40.215918507500142</v>
      </c>
      <c r="T66" s="52">
        <f>IFERROR(VLOOKUP($A66,'The List'!$B1:$AS730,27,FALSE)," ")</f>
        <v>164.94184167917498</v>
      </c>
      <c r="U66" s="52">
        <f>IFERROR(VLOOKUP($A66,'The List'!$B1:$AS730,28,FALSE)," ")</f>
        <v>4.045901276632712</v>
      </c>
      <c r="V66" s="52">
        <f>IFERROR(VLOOKUP($A66,'The List'!$B1:$AS730,29,FALSE)," ")</f>
        <v>39.25563920103999</v>
      </c>
      <c r="W66" s="52">
        <f>IFERROR(VLOOKUP($A66,'The List'!$B1:$AS730,30,FALSE)," ")</f>
        <v>3.5014017379566318</v>
      </c>
      <c r="X66" s="52">
        <f>IFERROR(VLOOKUP($A66,'The List'!$B1:$AS730,31,FALSE)," ")</f>
        <v>80.454963120890497</v>
      </c>
      <c r="Y66" s="52">
        <f>IFERROR(VLOOKUP($A66,'The List'!$B1:$AS730,32,FALSE)," ")</f>
        <v>121.74503782013763</v>
      </c>
      <c r="Z66" s="52">
        <f>IFERROR(VLOOKUP($A66,'The List'!$B1:$AS730,33,FALSE)," ")</f>
        <v>0.39789793643153898</v>
      </c>
      <c r="AA66" s="54"/>
      <c r="AB66" s="59"/>
      <c r="AC66" s="59"/>
      <c r="AD66" s="59"/>
      <c r="AE66" s="59"/>
      <c r="AF66" s="59"/>
    </row>
    <row r="67" spans="1:32" ht="21.2" customHeight="1">
      <c r="A67" s="23" t="s">
        <v>396</v>
      </c>
      <c r="B67" s="61" t="str">
        <f>IFERROR(VLOOKUP($A67,'The List'!$B1:$AS730,3,FALSE)," ")</f>
        <v>LW,RW</v>
      </c>
      <c r="C67" s="63">
        <f>IFERROR(VLOOKUP($A67,'The List'!$B1:$AS730,4,FALSE)," ")</f>
        <v>91</v>
      </c>
      <c r="D67" s="34" t="str">
        <f>IFERROR(VLOOKUP($A67,'The List'!$B1:$AS730,5,FALSE)," ")</f>
        <v>NYR</v>
      </c>
      <c r="E67" s="34">
        <f>IFERROR(VLOOKUP($A67,'The List'!$B1:$AS730,6,FALSE)," ")</f>
        <v>21</v>
      </c>
      <c r="F67" s="49">
        <f>IFERROR(VLOOKUP($A67,'The List'!$B1:$AS730,8,FALSE)," ")</f>
        <v>0.55521426503630367</v>
      </c>
      <c r="G67" s="49">
        <f>IFERROR(VLOOKUP($A67,'The List'!$B1:$AS730,10,FALSE)," ")</f>
        <v>-5.7250444539747773</v>
      </c>
      <c r="H67" s="38"/>
      <c r="I67" s="52">
        <f>IFERROR(VLOOKUP($A67,'The List'!$B1:$AS730,16,FALSE)," ")</f>
        <v>82</v>
      </c>
      <c r="J67" s="52">
        <f>IFERROR(VLOOKUP($A67,'The List'!$B1:$AS730,17,FALSE)," ")</f>
        <v>15.339075122421701</v>
      </c>
      <c r="K67" s="52">
        <f>IFERROR(VLOOKUP($A67,'The List'!$B1:$AS730,18,FALSE)," ")</f>
        <v>21.246683348876225</v>
      </c>
      <c r="L67" s="52">
        <f>IFERROR(VLOOKUP($A67,'The List'!$B1:$AS730,19,FALSE)," ")</f>
        <v>23.378269314655228</v>
      </c>
      <c r="M67" s="52">
        <f>IFERROR(VLOOKUP($A67,'The List'!$B1:$AS730,20,FALSE)," ")</f>
        <v>44.624952663531452</v>
      </c>
      <c r="N67" s="52">
        <f>IFERROR(VLOOKUP($A67,'The List'!$B1:$AS730,21,FALSE)," ")</f>
        <v>144.8871463331358</v>
      </c>
      <c r="O67" s="52">
        <f>IFERROR(VLOOKUP($A67,'The List'!$B1:$AS730,22,FALSE)," ")</f>
        <v>2.7631528587151442</v>
      </c>
      <c r="P67" s="52">
        <f>IFERROR(VLOOKUP($A67,'The List'!$B1:$AS730,23,FALSE)," ")</f>
        <v>5.3721748784634196</v>
      </c>
      <c r="Q67" s="52">
        <f>IFERROR(VLOOKUP($A67,'The List'!$B1:$AS730,24,FALSE)," ")</f>
        <v>1.9201224584595802E-2</v>
      </c>
      <c r="R67" s="52">
        <f>IFERROR(VLOOKUP($A67,'The List'!$B1:$AS730,25,FALSE)," ")</f>
        <v>3.9103876562023583E-2</v>
      </c>
      <c r="S67" s="52">
        <f>IFERROR(VLOOKUP($A67,'The List'!$B1:$AS730,26,FALSE)," ")</f>
        <v>29.728346553983574</v>
      </c>
      <c r="T67" s="52">
        <f>IFERROR(VLOOKUP($A67,'The List'!$B1:$AS730,27,FALSE)," ")</f>
        <v>130.69775424556394</v>
      </c>
      <c r="U67" s="52">
        <f>IFERROR(VLOOKUP($A67,'The List'!$B1:$AS730,28,FALSE)," ")</f>
        <v>4.3947522283921208</v>
      </c>
      <c r="V67" s="52">
        <f>IFERROR(VLOOKUP($A67,'The List'!$B1:$AS730,29,FALSE)," ")</f>
        <v>32.443092834598772</v>
      </c>
      <c r="W67" s="52">
        <f>IFERROR(VLOOKUP($A67,'The List'!$B1:$AS730,30,FALSE)," ")</f>
        <v>3.6203951671557206</v>
      </c>
      <c r="X67" s="52">
        <f>IFERROR(VLOOKUP($A67,'The List'!$B1:$AS730,31,FALSE)," ")</f>
        <v>25.092298563035413</v>
      </c>
      <c r="Y67" s="52">
        <f>IFERROR(VLOOKUP($A67,'The List'!$B1:$AS730,32,FALSE)," ")</f>
        <v>46.525753421905087</v>
      </c>
      <c r="Z67" s="52">
        <f>IFERROR(VLOOKUP($A67,'The List'!$B1:$AS730,33,FALSE)," ")</f>
        <v>0.35036276284520701</v>
      </c>
      <c r="AA67" s="54"/>
      <c r="AB67" s="59"/>
      <c r="AC67" s="59"/>
      <c r="AD67" s="59"/>
      <c r="AE67" s="59"/>
      <c r="AF67" s="59"/>
    </row>
    <row r="68" spans="1:32" ht="21.2" customHeight="1">
      <c r="A68" s="23" t="s">
        <v>185</v>
      </c>
      <c r="B68" s="64" t="str">
        <f>IFERROR(VLOOKUP($A68,'The List'!$B1:$AS730,3,FALSE)," ")</f>
        <v>C,RW</v>
      </c>
      <c r="C68" s="66">
        <f>IFERROR(VLOOKUP($A68,'The List'!$B1:$AS730,4,FALSE)," ")</f>
        <v>33</v>
      </c>
      <c r="D68" s="34" t="str">
        <f>IFERROR(VLOOKUP($A68,'The List'!$B1:$AS730,5,FALSE)," ")</f>
        <v>DAL</v>
      </c>
      <c r="E68" s="34">
        <f>IFERROR(VLOOKUP($A68,'The List'!$B1:$AS730,6,FALSE)," ")</f>
        <v>39</v>
      </c>
      <c r="F68" s="49">
        <f>IFERROR(VLOOKUP($A68,'The List'!$B1:$AS730,8,FALSE)," ")</f>
        <v>6.4454207757164905</v>
      </c>
      <c r="G68" s="49">
        <f>IFERROR(VLOOKUP($A68,'The List'!$B1:$AS730,10,FALSE)," ")</f>
        <v>0.16516205670540973</v>
      </c>
      <c r="H68" s="38"/>
      <c r="I68" s="52">
        <f>IFERROR(VLOOKUP($A68,'The List'!$B1:$AS730,16,FALSE)," ")</f>
        <v>82</v>
      </c>
      <c r="J68" s="52">
        <f>IFERROR(VLOOKUP($A68,'The List'!$B1:$AS730,17,FALSE)," ")</f>
        <v>17.418828209239699</v>
      </c>
      <c r="K68" s="52">
        <f>IFERROR(VLOOKUP($A68,'The List'!$B1:$AS730,18,FALSE)," ")</f>
        <v>25.511973609838794</v>
      </c>
      <c r="L68" s="52">
        <f>IFERROR(VLOOKUP($A68,'The List'!$B1:$AS730,19,FALSE)," ")</f>
        <v>44.25955353328672</v>
      </c>
      <c r="M68" s="52">
        <f>IFERROR(VLOOKUP($A68,'The List'!$B1:$AS730,20,FALSE)," ")</f>
        <v>69.77152714312551</v>
      </c>
      <c r="N68" s="52">
        <f>IFERROR(VLOOKUP($A68,'The List'!$B1:$AS730,21,FALSE)," ")</f>
        <v>189.63028648751671</v>
      </c>
      <c r="O68" s="52">
        <f>IFERROR(VLOOKUP($A68,'The List'!$B1:$AS730,22,FALSE)," ")</f>
        <v>12.453801706952296</v>
      </c>
      <c r="P68" s="52">
        <f>IFERROR(VLOOKUP($A68,'The List'!$B1:$AS730,23,FALSE)," ")</f>
        <v>26.39594567063963</v>
      </c>
      <c r="Q68" s="52">
        <f>IFERROR(VLOOKUP($A68,'The List'!$B1:$AS730,24,FALSE)," ")</f>
        <v>1.8610732307434614E-2</v>
      </c>
      <c r="R68" s="52">
        <f>IFERROR(VLOOKUP($A68,'The List'!$B1:$AS730,25,FALSE)," ")</f>
        <v>0.27563775282031572</v>
      </c>
      <c r="S68" s="52">
        <f>IFERROR(VLOOKUP($A68,'The List'!$B1:$AS730,26,FALSE)," ")</f>
        <v>59.682121274410285</v>
      </c>
      <c r="T68" s="52">
        <f>IFERROR(VLOOKUP($A68,'The List'!$B1:$AS730,27,FALSE)," ")</f>
        <v>90.602113767924195</v>
      </c>
      <c r="U68" s="52">
        <f>IFERROR(VLOOKUP($A68,'The List'!$B1:$AS730,28,FALSE)," ")</f>
        <v>9.4796648273042834</v>
      </c>
      <c r="V68" s="52">
        <f>IFERROR(VLOOKUP($A68,'The List'!$B1:$AS730,29,FALSE)," ")</f>
        <v>15.911181749437702</v>
      </c>
      <c r="W68" s="52">
        <f>IFERROR(VLOOKUP($A68,'The List'!$B1:$AS730,30,FALSE)," ")</f>
        <v>4.0817349218039496</v>
      </c>
      <c r="X68" s="52">
        <f>IFERROR(VLOOKUP($A68,'The List'!$B1:$AS730,31,FALSE)," ")</f>
        <v>374.99755555561916</v>
      </c>
      <c r="Y68" s="52">
        <f>IFERROR(VLOOKUP($A68,'The List'!$B1:$AS730,32,FALSE)," ")</f>
        <v>335.34392185589616</v>
      </c>
      <c r="Z68" s="52">
        <f>IFERROR(VLOOKUP($A68,'The List'!$B1:$AS730,33,FALSE)," ")</f>
        <v>0.52791166992262695</v>
      </c>
      <c r="AA68" s="54"/>
      <c r="AB68" s="59"/>
      <c r="AC68" s="59"/>
      <c r="AD68" s="59"/>
      <c r="AE68" s="59"/>
      <c r="AF68" s="59"/>
    </row>
    <row r="69" spans="1:32" ht="21.2" customHeight="1">
      <c r="A69" s="23" t="s">
        <v>362</v>
      </c>
      <c r="B69" s="64" t="str">
        <f>IFERROR(VLOOKUP($A69,'The List'!$B1:$AS730,3,FALSE)," ")</f>
        <v>C,RW</v>
      </c>
      <c r="C69" s="66">
        <f>IFERROR(VLOOKUP($A69,'The List'!$B1:$AS730,4,FALSE)," ")</f>
        <v>59</v>
      </c>
      <c r="D69" s="34" t="str">
        <f>IFERROR(VLOOKUP($A69,'The List'!$B1:$AS730,5,FALSE)," ")</f>
        <v>WPG</v>
      </c>
      <c r="E69" s="34">
        <f>IFERROR(VLOOKUP($A69,'The List'!$B1:$AS730,6,FALSE)," ")</f>
        <v>24</v>
      </c>
      <c r="F69" s="49">
        <f>IFERROR(VLOOKUP($A69,'The List'!$B1:$AS730,8,FALSE)," ")</f>
        <v>2.7758076656657602</v>
      </c>
      <c r="G69" s="49">
        <f>IFERROR(VLOOKUP($A69,'The List'!$B1:$AS730,10,FALSE)," ")</f>
        <v>-3.5044510533453206</v>
      </c>
      <c r="H69" s="38"/>
      <c r="I69" s="52">
        <f>IFERROR(VLOOKUP($A69,'The List'!$B1:$AS730,16,FALSE)," ")</f>
        <v>82</v>
      </c>
      <c r="J69" s="52">
        <f>IFERROR(VLOOKUP($A69,'The List'!$B1:$AS730,17,FALSE)," ")</f>
        <v>16.4654352775596</v>
      </c>
      <c r="K69" s="52">
        <f>IFERROR(VLOOKUP($A69,'The List'!$B1:$AS730,18,FALSE)," ")</f>
        <v>27.536446013107067</v>
      </c>
      <c r="L69" s="52">
        <f>IFERROR(VLOOKUP($A69,'The List'!$B1:$AS730,19,FALSE)," ")</f>
        <v>25.444023138801388</v>
      </c>
      <c r="M69" s="52">
        <f>IFERROR(VLOOKUP($A69,'The List'!$B1:$AS730,20,FALSE)," ")</f>
        <v>52.980469151908451</v>
      </c>
      <c r="N69" s="52">
        <f>IFERROR(VLOOKUP($A69,'The List'!$B1:$AS730,21,FALSE)," ")</f>
        <v>165.96441726305775</v>
      </c>
      <c r="O69" s="52">
        <f>IFERROR(VLOOKUP($A69,'The List'!$B1:$AS730,22,FALSE)," ")</f>
        <v>7.0579688623333796</v>
      </c>
      <c r="P69" s="52">
        <f>IFERROR(VLOOKUP($A69,'The List'!$B1:$AS730,23,FALSE)," ")</f>
        <v>12.815610749367391</v>
      </c>
      <c r="Q69" s="52">
        <f>IFERROR(VLOOKUP($A69,'The List'!$B1:$AS730,24,FALSE)," ")</f>
        <v>1.3874860604832938E-2</v>
      </c>
      <c r="R69" s="52">
        <f>IFERROR(VLOOKUP($A69,'The List'!$B1:$AS730,25,FALSE)," ")</f>
        <v>2.7482541716244889E-2</v>
      </c>
      <c r="S69" s="52">
        <f>IFERROR(VLOOKUP($A69,'The List'!$B1:$AS730,26,FALSE)," ")</f>
        <v>43.148229342187122</v>
      </c>
      <c r="T69" s="52">
        <f>IFERROR(VLOOKUP($A69,'The List'!$B1:$AS730,27,FALSE)," ")</f>
        <v>57.000189529865878</v>
      </c>
      <c r="U69" s="52">
        <f>IFERROR(VLOOKUP($A69,'The List'!$B1:$AS730,28,FALSE)," ")</f>
        <v>2.7777310837392175</v>
      </c>
      <c r="V69" s="52">
        <f>IFERROR(VLOOKUP($A69,'The List'!$B1:$AS730,29,FALSE)," ")</f>
        <v>24.820729784873517</v>
      </c>
      <c r="W69" s="52">
        <f>IFERROR(VLOOKUP($A69,'The List'!$B1:$AS730,30,FALSE)," ")</f>
        <v>4.2957777475416679</v>
      </c>
      <c r="X69" s="52">
        <f>IFERROR(VLOOKUP($A69,'The List'!$B1:$AS730,31,FALSE)," ")</f>
        <v>139.45404959381599</v>
      </c>
      <c r="Y69" s="52">
        <f>IFERROR(VLOOKUP($A69,'The List'!$B1:$AS730,32,FALSE)," ")</f>
        <v>160.75096227713675</v>
      </c>
      <c r="Z69" s="52">
        <f>IFERROR(VLOOKUP($A69,'The List'!$B1:$AS730,33,FALSE)," ")</f>
        <v>0.46452938518482201</v>
      </c>
      <c r="AA69" s="54"/>
      <c r="AB69" s="59"/>
      <c r="AC69" s="59"/>
      <c r="AD69" s="59"/>
      <c r="AE69" s="59"/>
      <c r="AF69" s="59"/>
    </row>
    <row r="70" spans="1:32" ht="21.2" customHeight="1">
      <c r="A70" s="23" t="s">
        <v>262</v>
      </c>
      <c r="B70" s="64" t="str">
        <f>IFERROR(VLOOKUP($A70,'The List'!$B1:$AS730,3,FALSE)," ")</f>
        <v>RW</v>
      </c>
      <c r="C70" s="66">
        <f>IFERROR(VLOOKUP($A70,'The List'!$B1:$AS730,4,FALSE)," ")</f>
        <v>41</v>
      </c>
      <c r="D70" s="34" t="str">
        <f>IFERROR(VLOOKUP($A70,'The List'!$B1:$AS730,5,FALSE)," ")</f>
        <v>UFA</v>
      </c>
      <c r="E70" s="34">
        <f>IFERROR(VLOOKUP($A70,'The List'!$B1:$AS730,6,FALSE)," ")</f>
        <v>31</v>
      </c>
      <c r="F70" s="49">
        <f>IFERROR(VLOOKUP($A70,'The List'!$B1:$AS730,8,FALSE)," ")</f>
        <v>5.0930817875009531</v>
      </c>
      <c r="G70" s="49">
        <f>IFERROR(VLOOKUP($A70,'The List'!$B1:$AS730,10,FALSE)," ")</f>
        <v>-1.1871769315101277</v>
      </c>
      <c r="H70" s="38"/>
      <c r="I70" s="52">
        <f>IFERROR(VLOOKUP($A70,'The List'!$B1:$AS730,16,FALSE)," ")</f>
        <v>82</v>
      </c>
      <c r="J70" s="52">
        <f>IFERROR(VLOOKUP($A70,'The List'!$B1:$AS730,17,FALSE)," ")</f>
        <v>16.141911793723299</v>
      </c>
      <c r="K70" s="52">
        <f>IFERROR(VLOOKUP($A70,'The List'!$B1:$AS730,18,FALSE)," ")</f>
        <v>23.563125068135992</v>
      </c>
      <c r="L70" s="52">
        <f>IFERROR(VLOOKUP($A70,'The List'!$B1:$AS730,19,FALSE)," ")</f>
        <v>37.492330773633441</v>
      </c>
      <c r="M70" s="52">
        <f>IFERROR(VLOOKUP($A70,'The List'!$B1:$AS730,20,FALSE)," ")</f>
        <v>61.05545584176943</v>
      </c>
      <c r="N70" s="52">
        <f>IFERROR(VLOOKUP($A70,'The List'!$B1:$AS730,21,FALSE)," ")</f>
        <v>216.53903915547298</v>
      </c>
      <c r="O70" s="52">
        <f>IFERROR(VLOOKUP($A70,'The List'!$B1:$AS730,22,FALSE)," ")</f>
        <v>5.0056169236126573</v>
      </c>
      <c r="P70" s="52">
        <f>IFERROR(VLOOKUP($A70,'The List'!$B1:$AS730,23,FALSE)," ")</f>
        <v>18.993191856562827</v>
      </c>
      <c r="Q70" s="52">
        <f>IFERROR(VLOOKUP($A70,'The List'!$B1:$AS730,24,FALSE)," ")</f>
        <v>7.6112459245534312E-3</v>
      </c>
      <c r="R70" s="52">
        <f>IFERROR(VLOOKUP($A70,'The List'!$B1:$AS730,25,FALSE)," ")</f>
        <v>1.2991004571964719E-2</v>
      </c>
      <c r="S70" s="52">
        <f>IFERROR(VLOOKUP($A70,'The List'!$B1:$AS730,26,FALSE)," ")</f>
        <v>43.051303926304513</v>
      </c>
      <c r="T70" s="52">
        <f>IFERROR(VLOOKUP($A70,'The List'!$B1:$AS730,27,FALSE)," ")</f>
        <v>86.358720928577881</v>
      </c>
      <c r="U70" s="52">
        <f>IFERROR(VLOOKUP($A70,'The List'!$B1:$AS730,28,FALSE)," ")</f>
        <v>0.24697104109435378</v>
      </c>
      <c r="V70" s="52">
        <f>IFERROR(VLOOKUP($A70,'The List'!$B1:$AS730,29,FALSE)," ")</f>
        <v>17.470517698011498</v>
      </c>
      <c r="W70" s="52">
        <f>IFERROR(VLOOKUP($A70,'The List'!$B1:$AS730,30,FALSE)," ")</f>
        <v>0</v>
      </c>
      <c r="X70" s="52">
        <f>IFERROR(VLOOKUP($A70,'The List'!$B1:$AS730,31,FALSE)," ")</f>
        <v>0.58408231736322691</v>
      </c>
      <c r="Y70" s="52">
        <f>IFERROR(VLOOKUP($A70,'The List'!$B1:$AS730,32,FALSE)," ")</f>
        <v>3.1659713942125487</v>
      </c>
      <c r="Z70" s="52">
        <f>IFERROR(VLOOKUP($A70,'The List'!$B1:$AS730,33,FALSE)," ")</f>
        <v>0.155753053765674</v>
      </c>
      <c r="AA70" s="54"/>
      <c r="AB70" s="59"/>
      <c r="AC70" s="59"/>
      <c r="AD70" s="59"/>
      <c r="AE70" s="59"/>
      <c r="AF70" s="59"/>
    </row>
    <row r="71" spans="1:32" ht="21.2" customHeight="1">
      <c r="A71" s="23" t="s">
        <v>123</v>
      </c>
      <c r="B71" s="64" t="str">
        <f>IFERROR(VLOOKUP($A71,'The List'!$B1:$AS730,3,FALSE)," ")</f>
        <v>D</v>
      </c>
      <c r="C71" s="66">
        <f>IFERROR(VLOOKUP($A71,'The List'!$B1:$AS730,4,FALSE)," ")</f>
        <v>8</v>
      </c>
      <c r="D71" s="34" t="str">
        <f>IFERROR(VLOOKUP($A71,'The List'!$B1:$AS730,5,FALSE)," ")</f>
        <v>NYR</v>
      </c>
      <c r="E71" s="34">
        <f>IFERROR(VLOOKUP($A71,'The List'!$B1:$AS730,6,FALSE)," ")</f>
        <v>25</v>
      </c>
      <c r="F71" s="49">
        <f>IFERROR(VLOOKUP($A71,'The List'!$B1:$AS730,8,FALSE)," ")</f>
        <v>6.757821943977536</v>
      </c>
      <c r="G71" s="49">
        <f>IFERROR(VLOOKUP($A71,'The List'!$B1:$AS730,10,FALSE)," ")</f>
        <v>4.8160814003432257</v>
      </c>
      <c r="H71" s="38"/>
      <c r="I71" s="52">
        <f>IFERROR(VLOOKUP($A71,'The List'!$B1:$AS730,16,FALSE)," ")</f>
        <v>82</v>
      </c>
      <c r="J71" s="52">
        <f>IFERROR(VLOOKUP($A71,'The List'!$B1:$AS730,17,FALSE)," ")</f>
        <v>24.462845880335401</v>
      </c>
      <c r="K71" s="52">
        <f>IFERROR(VLOOKUP($A71,'The List'!$B1:$AS730,18,FALSE)," ")</f>
        <v>11.171349475718396</v>
      </c>
      <c r="L71" s="52">
        <f>IFERROR(VLOOKUP($A71,'The List'!$B1:$AS730,19,FALSE)," ")</f>
        <v>63.274581648909205</v>
      </c>
      <c r="M71" s="52">
        <f>IFERROR(VLOOKUP($A71,'The List'!$B1:$AS730,20,FALSE)," ")</f>
        <v>74.445931124627606</v>
      </c>
      <c r="N71" s="52">
        <f>IFERROR(VLOOKUP($A71,'The List'!$B1:$AS730,21,FALSE)," ")</f>
        <v>165.11205437730894</v>
      </c>
      <c r="O71" s="52">
        <f>IFERROR(VLOOKUP($A71,'The List'!$B1:$AS730,22,FALSE)," ")</f>
        <v>1.2869300977111897</v>
      </c>
      <c r="P71" s="52">
        <f>IFERROR(VLOOKUP($A71,'The List'!$B1:$AS730,23,FALSE)," ")</f>
        <v>31.507362608222167</v>
      </c>
      <c r="Q71" s="52">
        <f>IFERROR(VLOOKUP($A71,'The List'!$B1:$AS730,24,FALSE)," ")</f>
        <v>0.46740981663705938</v>
      </c>
      <c r="R71" s="52">
        <f>IFERROR(VLOOKUP($A71,'The List'!$B1:$AS730,25,FALSE)," ")</f>
        <v>2.5301423764658999</v>
      </c>
      <c r="S71" s="52">
        <f>IFERROR(VLOOKUP($A71,'The List'!$B1:$AS730,26,FALSE)," ")</f>
        <v>130.35614263865062</v>
      </c>
      <c r="T71" s="52">
        <f>IFERROR(VLOOKUP($A71,'The List'!$B1:$AS730,27,FALSE)," ")</f>
        <v>39.735295126386276</v>
      </c>
      <c r="U71" s="52">
        <f>IFERROR(VLOOKUP($A71,'The List'!$B1:$AS730,28,FALSE)," ")</f>
        <v>7.9822594342717936</v>
      </c>
      <c r="V71" s="52">
        <f>IFERROR(VLOOKUP($A71,'The List'!$B1:$AS730,29,FALSE)," ")</f>
        <v>32.047414210842376</v>
      </c>
      <c r="W71" s="52">
        <f>IFERROR(VLOOKUP($A71,'The List'!$B1:$AS730,30,FALSE)," ")</f>
        <v>1.9035770895807864</v>
      </c>
      <c r="X71" s="52">
        <f>IFERROR(VLOOKUP($A71,'The List'!$B1:$AS730,31,FALSE)," ")</f>
        <v>0</v>
      </c>
      <c r="Y71" s="52">
        <f>IFERROR(VLOOKUP($A71,'The List'!$B1:$AS730,32,FALSE)," ")</f>
        <v>0.155135979441789</v>
      </c>
      <c r="Z71" s="52">
        <f>IFERROR(VLOOKUP($A71,'The List'!$B1:$AS730,33,FALSE)," ")</f>
        <v>0</v>
      </c>
      <c r="AA71" s="54"/>
      <c r="AB71" s="59"/>
      <c r="AC71" s="59"/>
      <c r="AD71" s="59"/>
      <c r="AE71" s="59"/>
      <c r="AF71" s="59"/>
    </row>
    <row r="72" spans="1:32" ht="21.2" customHeight="1">
      <c r="A72" s="23" t="s">
        <v>137</v>
      </c>
      <c r="B72" s="67" t="str">
        <f>IFERROR(VLOOKUP($A72,'The List'!$B1:$AS730,3,FALSE)," ")</f>
        <v>D</v>
      </c>
      <c r="C72" s="69">
        <f>IFERROR(VLOOKUP($A72,'The List'!$B1:$AS730,4,FALSE)," ")</f>
        <v>11</v>
      </c>
      <c r="D72" s="34" t="str">
        <f>IFERROR(VLOOKUP($A72,'The List'!$B1:$AS730,5,FALSE)," ")</f>
        <v>TBL</v>
      </c>
      <c r="E72" s="34">
        <f>IFERROR(VLOOKUP($A72,'The List'!$B1:$AS730,6,FALSE)," ")</f>
        <v>32</v>
      </c>
      <c r="F72" s="49">
        <f>IFERROR(VLOOKUP($A72,'The List'!$B1:$AS730,8,FALSE)," ")</f>
        <v>5.2490957276978873</v>
      </c>
      <c r="G72" s="49">
        <f>IFERROR(VLOOKUP($A72,'The List'!$B1:$AS730,10,FALSE)," ")</f>
        <v>3.3073551840635766</v>
      </c>
      <c r="H72" s="38"/>
      <c r="I72" s="52">
        <f>IFERROR(VLOOKUP($A72,'The List'!$B1:$AS730,16,FALSE)," ")</f>
        <v>82</v>
      </c>
      <c r="J72" s="52">
        <f>IFERROR(VLOOKUP($A72,'The List'!$B1:$AS730,17,FALSE)," ")</f>
        <v>23.9259320894176</v>
      </c>
      <c r="K72" s="52">
        <f>IFERROR(VLOOKUP($A72,'The List'!$B1:$AS730,18,FALSE)," ")</f>
        <v>13.09252790431821</v>
      </c>
      <c r="L72" s="52">
        <f>IFERROR(VLOOKUP($A72,'The List'!$B1:$AS730,19,FALSE)," ")</f>
        <v>49.461481740957673</v>
      </c>
      <c r="M72" s="52">
        <f>IFERROR(VLOOKUP($A72,'The List'!$B1:$AS730,20,FALSE)," ")</f>
        <v>62.554009645275883</v>
      </c>
      <c r="N72" s="52">
        <f>IFERROR(VLOOKUP($A72,'The List'!$B1:$AS730,21,FALSE)," ")</f>
        <v>201.43415995336304</v>
      </c>
      <c r="O72" s="52">
        <f>IFERROR(VLOOKUP($A72,'The List'!$B1:$AS730,22,FALSE)," ")</f>
        <v>2.6396022633921814</v>
      </c>
      <c r="P72" s="52">
        <f>IFERROR(VLOOKUP($A72,'The List'!$B1:$AS730,23,FALSE)," ")</f>
        <v>23.766526898795007</v>
      </c>
      <c r="Q72" s="52">
        <f>IFERROR(VLOOKUP($A72,'The List'!$B1:$AS730,24,FALSE)," ")</f>
        <v>0.40569070693020381</v>
      </c>
      <c r="R72" s="52">
        <f>IFERROR(VLOOKUP($A72,'The List'!$B1:$AS730,25,FALSE)," ")</f>
        <v>0.77930255983104391</v>
      </c>
      <c r="S72" s="52">
        <f>IFERROR(VLOOKUP($A72,'The List'!$B1:$AS730,26,FALSE)," ")</f>
        <v>137.19648870702579</v>
      </c>
      <c r="T72" s="52">
        <f>IFERROR(VLOOKUP($A72,'The List'!$B1:$AS730,27,FALSE)," ")</f>
        <v>97.69686269447412</v>
      </c>
      <c r="U72" s="52">
        <f>IFERROR(VLOOKUP($A72,'The List'!$B1:$AS730,28,FALSE)," ")</f>
        <v>-1.8475416536444477E-2</v>
      </c>
      <c r="V72" s="52">
        <f>IFERROR(VLOOKUP($A72,'The List'!$B1:$AS730,29,FALSE)," ")</f>
        <v>37.429126340413816</v>
      </c>
      <c r="W72" s="52">
        <f>IFERROR(VLOOKUP($A72,'The List'!$B1:$AS730,30,FALSE)," ")</f>
        <v>2.0489853728947365</v>
      </c>
      <c r="X72" s="52">
        <f>IFERROR(VLOOKUP($A72,'The List'!$B1:$AS730,31,FALSE)," ")</f>
        <v>0</v>
      </c>
      <c r="Y72" s="52">
        <f>IFERROR(VLOOKUP($A72,'The List'!$B1:$AS730,32,FALSE)," ")</f>
        <v>0</v>
      </c>
      <c r="Z72" s="52">
        <f>IFERROR(VLOOKUP($A72,'The List'!$B1:$AS730,33,FALSE)," ")</f>
        <v>0</v>
      </c>
      <c r="AA72" s="54"/>
      <c r="AB72" s="59"/>
      <c r="AC72" s="59"/>
      <c r="AD72" s="59"/>
      <c r="AE72" s="59"/>
      <c r="AF72" s="59"/>
    </row>
    <row r="73" spans="1:32" ht="21.2" customHeight="1">
      <c r="A73" s="23" t="s">
        <v>124</v>
      </c>
      <c r="B73" s="67" t="str">
        <f>IFERROR(VLOOKUP($A73,'The List'!$B1:$AS730,3,FALSE)," ")</f>
        <v>D</v>
      </c>
      <c r="C73" s="69">
        <f>IFERROR(VLOOKUP($A73,'The List'!$B1:$AS730,4,FALSE)," ")</f>
        <v>6</v>
      </c>
      <c r="D73" s="34" t="str">
        <f>IFERROR(VLOOKUP($A73,'The List'!$B1:$AS730,5,FALSE)," ")</f>
        <v>DAL</v>
      </c>
      <c r="E73" s="34">
        <f>IFERROR(VLOOKUP($A73,'The List'!$B1:$AS730,6,FALSE)," ")</f>
        <v>24</v>
      </c>
      <c r="F73" s="49">
        <f>IFERROR(VLOOKUP($A73,'The List'!$B1:$AS730,8,FALSE)," ")</f>
        <v>7.0602215458269182</v>
      </c>
      <c r="G73" s="49">
        <f>IFERROR(VLOOKUP($A73,'The List'!$B1:$AS730,10,FALSE)," ")</f>
        <v>5.1184810021926079</v>
      </c>
      <c r="H73" s="38"/>
      <c r="I73" s="52">
        <f>IFERROR(VLOOKUP($A73,'The List'!$B1:$AS730,16,FALSE)," ")</f>
        <v>82</v>
      </c>
      <c r="J73" s="52">
        <f>IFERROR(VLOOKUP($A73,'The List'!$B1:$AS730,17,FALSE)," ")</f>
        <v>25.602225706960098</v>
      </c>
      <c r="K73" s="52">
        <f>IFERROR(VLOOKUP($A73,'The List'!$B1:$AS730,18,FALSE)," ")</f>
        <v>11.812147048249694</v>
      </c>
      <c r="L73" s="52">
        <f>IFERROR(VLOOKUP($A73,'The List'!$B1:$AS730,19,FALSE)," ")</f>
        <v>58.614896408358476</v>
      </c>
      <c r="M73" s="52">
        <f>IFERROR(VLOOKUP($A73,'The List'!$B1:$AS730,20,FALSE)," ")</f>
        <v>70.427043456608175</v>
      </c>
      <c r="N73" s="52">
        <f>IFERROR(VLOOKUP($A73,'The List'!$B1:$AS730,21,FALSE)," ")</f>
        <v>214.77262047150231</v>
      </c>
      <c r="O73" s="52">
        <f>IFERROR(VLOOKUP($A73,'The List'!$B1:$AS730,22,FALSE)," ")</f>
        <v>3.7742123419452622</v>
      </c>
      <c r="P73" s="52">
        <f>IFERROR(VLOOKUP($A73,'The List'!$B1:$AS730,23,FALSE)," ")</f>
        <v>30.738848136492397</v>
      </c>
      <c r="Q73" s="52">
        <f>IFERROR(VLOOKUP($A73,'The List'!$B1:$AS730,24,FALSE)," ")</f>
        <v>4.6221892564810872E-2</v>
      </c>
      <c r="R73" s="52">
        <f>IFERROR(VLOOKUP($A73,'The List'!$B1:$AS730,25,FALSE)," ")</f>
        <v>0.75304909489134519</v>
      </c>
      <c r="S73" s="52">
        <f>IFERROR(VLOOKUP($A73,'The List'!$B1:$AS730,26,FALSE)," ")</f>
        <v>107.5705730075677</v>
      </c>
      <c r="T73" s="52">
        <f>IFERROR(VLOOKUP($A73,'The List'!$B1:$AS730,27,FALSE)," ")</f>
        <v>64.707914789285809</v>
      </c>
      <c r="U73" s="52">
        <f>IFERROR(VLOOKUP($A73,'The List'!$B1:$AS730,28,FALSE)," ")</f>
        <v>8.0420337349235531</v>
      </c>
      <c r="V73" s="52">
        <f>IFERROR(VLOOKUP($A73,'The List'!$B1:$AS730,29,FALSE)," ")</f>
        <v>31.920044306919877</v>
      </c>
      <c r="W73" s="52">
        <f>IFERROR(VLOOKUP($A73,'The List'!$B1:$AS730,30,FALSE)," ")</f>
        <v>1.8898597907662544</v>
      </c>
      <c r="X73" s="52">
        <f>IFERROR(VLOOKUP($A73,'The List'!$B1:$AS730,31,FALSE)," ")</f>
        <v>0</v>
      </c>
      <c r="Y73" s="52">
        <f>IFERROR(VLOOKUP($A73,'The List'!$B1:$AS730,32,FALSE)," ")</f>
        <v>0</v>
      </c>
      <c r="Z73" s="52">
        <f>IFERROR(VLOOKUP($A73,'The List'!$B1:$AS730,33,FALSE)," ")</f>
        <v>0</v>
      </c>
      <c r="AA73" s="54"/>
      <c r="AB73" s="59"/>
      <c r="AC73" s="59"/>
      <c r="AD73" s="59"/>
      <c r="AE73" s="59"/>
      <c r="AF73" s="59"/>
    </row>
    <row r="74" spans="1:32" ht="21.2" customHeight="1">
      <c r="A74" s="23" t="s">
        <v>284</v>
      </c>
      <c r="B74" s="67" t="str">
        <f>IFERROR(VLOOKUP($A74,'The List'!$B1:$AS730,3,FALSE)," ")</f>
        <v>D</v>
      </c>
      <c r="C74" s="69">
        <f>IFERROR(VLOOKUP($A74,'The List'!$B1:$AS730,4,FALSE)," ")</f>
        <v>66</v>
      </c>
      <c r="D74" s="34" t="str">
        <f>IFERROR(VLOOKUP($A74,'The List'!$B1:$AS730,5,FALSE)," ")</f>
        <v>NYR</v>
      </c>
      <c r="E74" s="34">
        <f>IFERROR(VLOOKUP($A74,'The List'!$B1:$AS730,6,FALSE)," ")</f>
        <v>29</v>
      </c>
      <c r="F74" s="49">
        <f>IFERROR(VLOOKUP($A74,'The List'!$B1:$AS730,8,FALSE)," ")</f>
        <v>-1.3285820349354824</v>
      </c>
      <c r="G74" s="49">
        <f>IFERROR(VLOOKUP($A74,'The List'!$B1:$AS730,10,FALSE)," ")</f>
        <v>-3.2703225785697931</v>
      </c>
      <c r="H74" s="38"/>
      <c r="I74" s="52">
        <f>IFERROR(VLOOKUP($A74,'The List'!$B1:$AS730,16,FALSE)," ")</f>
        <v>82</v>
      </c>
      <c r="J74" s="52">
        <f>IFERROR(VLOOKUP($A74,'The List'!$B1:$AS730,17,FALSE)," ")</f>
        <v>20.673119645579199</v>
      </c>
      <c r="K74" s="52">
        <f>IFERROR(VLOOKUP($A74,'The List'!$B1:$AS730,18,FALSE)," ")</f>
        <v>7.4474521874814492</v>
      </c>
      <c r="L74" s="52">
        <f>IFERROR(VLOOKUP($A74,'The List'!$B1:$AS730,19,FALSE)," ")</f>
        <v>22.454547499402199</v>
      </c>
      <c r="M74" s="52">
        <f>IFERROR(VLOOKUP($A74,'The List'!$B1:$AS730,20,FALSE)," ")</f>
        <v>29.901999686883649</v>
      </c>
      <c r="N74" s="52">
        <f>IFERROR(VLOOKUP($A74,'The List'!$B1:$AS730,21,FALSE)," ")</f>
        <v>176.44906964529028</v>
      </c>
      <c r="O74" s="52">
        <f>IFERROR(VLOOKUP($A74,'The List'!$B1:$AS730,22,FALSE)," ")</f>
        <v>0.52887817851762409</v>
      </c>
      <c r="P74" s="52">
        <f>IFERROR(VLOOKUP($A74,'The List'!$B1:$AS730,23,FALSE)," ")</f>
        <v>1.631813766530402</v>
      </c>
      <c r="Q74" s="52">
        <f>IFERROR(VLOOKUP($A74,'The List'!$B1:$AS730,24,FALSE)," ")</f>
        <v>5.5965365207642512E-3</v>
      </c>
      <c r="R74" s="52">
        <f>IFERROR(VLOOKUP($A74,'The List'!$B1:$AS730,25,FALSE)," ")</f>
        <v>0.88040259804252619</v>
      </c>
      <c r="S74" s="52">
        <f>IFERROR(VLOOKUP($A74,'The List'!$B1:$AS730,26,FALSE)," ")</f>
        <v>177.97028924116526</v>
      </c>
      <c r="T74" s="52">
        <f>IFERROR(VLOOKUP($A74,'The List'!$B1:$AS730,27,FALSE)," ")</f>
        <v>196.77424663734513</v>
      </c>
      <c r="U74" s="52">
        <f>IFERROR(VLOOKUP($A74,'The List'!$B1:$AS730,28,FALSE)," ")</f>
        <v>3.5872239426933024</v>
      </c>
      <c r="V74" s="52">
        <f>IFERROR(VLOOKUP($A74,'The List'!$B1:$AS730,29,FALSE)," ")</f>
        <v>63.69182851748802</v>
      </c>
      <c r="W74" s="52">
        <f>IFERROR(VLOOKUP($A74,'The List'!$B1:$AS730,30,FALSE)," ")</f>
        <v>1.269031945572213</v>
      </c>
      <c r="X74" s="52">
        <f>IFERROR(VLOOKUP($A74,'The List'!$B1:$AS730,31,FALSE)," ")</f>
        <v>0</v>
      </c>
      <c r="Y74" s="52">
        <f>IFERROR(VLOOKUP($A74,'The List'!$B1:$AS730,32,FALSE)," ")</f>
        <v>0.74318744210805399</v>
      </c>
      <c r="Z74" s="52">
        <f>IFERROR(VLOOKUP($A74,'The List'!$B1:$AS730,33,FALSE)," ")</f>
        <v>0</v>
      </c>
      <c r="AA74" s="54"/>
      <c r="AB74" s="59"/>
      <c r="AC74" s="59"/>
      <c r="AD74" s="59"/>
      <c r="AE74" s="59"/>
      <c r="AF74" s="59"/>
    </row>
    <row r="75" spans="1:32" ht="21.2" customHeight="1">
      <c r="A75" s="23"/>
      <c r="B75" s="67" t="str">
        <f>IFERROR(VLOOKUP($A75,'The List'!$B1:$AS730,3,FALSE)," ")</f>
        <v xml:space="preserve"> </v>
      </c>
      <c r="C75" s="69" t="str">
        <f>IFERROR(VLOOKUP($A75,'The List'!$B1:$AS730,4,FALSE)," ")</f>
        <v xml:space="preserve"> </v>
      </c>
      <c r="D75" s="34" t="str">
        <f>IFERROR(VLOOKUP($A75,'The List'!$B1:$AS730,5,FALSE)," ")</f>
        <v xml:space="preserve"> </v>
      </c>
      <c r="E75" s="34" t="str">
        <f>IFERROR(VLOOKUP($A75,'The List'!$B1:$AS730,6,FALSE)," ")</f>
        <v xml:space="preserve"> </v>
      </c>
      <c r="F75" s="49" t="str">
        <f>IFERROR(VLOOKUP($A75,'The List'!$B1:$AS730,8,FALSE)," ")</f>
        <v xml:space="preserve"> </v>
      </c>
      <c r="G75" s="49" t="str">
        <f>IFERROR(VLOOKUP($A75,'The List'!$B1:$AS730,10,FALSE)," ")</f>
        <v xml:space="preserve"> </v>
      </c>
      <c r="H75" s="38"/>
      <c r="I75" s="52" t="str">
        <f>IFERROR(VLOOKUP($A75,'The List'!$B1:$AS730,16,FALSE)," ")</f>
        <v xml:space="preserve"> </v>
      </c>
      <c r="J75" s="52" t="str">
        <f>IFERROR(VLOOKUP($A75,'The List'!$B1:$AS730,17,FALSE)," ")</f>
        <v xml:space="preserve"> </v>
      </c>
      <c r="K75" s="52" t="str">
        <f>IFERROR(VLOOKUP($A75,'The List'!$B1:$AS730,18,FALSE)," ")</f>
        <v xml:space="preserve"> </v>
      </c>
      <c r="L75" s="52" t="str">
        <f>IFERROR(VLOOKUP($A75,'The List'!$B1:$AS730,19,FALSE)," ")</f>
        <v xml:space="preserve"> </v>
      </c>
      <c r="M75" s="52" t="str">
        <f>IFERROR(VLOOKUP($A75,'The List'!$B1:$AS730,20,FALSE)," ")</f>
        <v xml:space="preserve"> </v>
      </c>
      <c r="N75" s="52" t="str">
        <f>IFERROR(VLOOKUP($A75,'The List'!$B1:$AS730,21,FALSE)," ")</f>
        <v xml:space="preserve"> </v>
      </c>
      <c r="O75" s="52" t="str">
        <f>IFERROR(VLOOKUP($A75,'The List'!$B1:$AS730,22,FALSE)," ")</f>
        <v xml:space="preserve"> </v>
      </c>
      <c r="P75" s="52" t="str">
        <f>IFERROR(VLOOKUP($A75,'The List'!$B1:$AS730,23,FALSE)," ")</f>
        <v xml:space="preserve"> </v>
      </c>
      <c r="Q75" s="52" t="str">
        <f>IFERROR(VLOOKUP($A75,'The List'!$B1:$AS730,24,FALSE)," ")</f>
        <v xml:space="preserve"> </v>
      </c>
      <c r="R75" s="52" t="str">
        <f>IFERROR(VLOOKUP($A75,'The List'!$B1:$AS730,25,FALSE)," ")</f>
        <v xml:space="preserve"> </v>
      </c>
      <c r="S75" s="52" t="str">
        <f>IFERROR(VLOOKUP($A75,'The List'!$B1:$AS730,26,FALSE)," ")</f>
        <v xml:space="preserve"> </v>
      </c>
      <c r="T75" s="52" t="str">
        <f>IFERROR(VLOOKUP($A75,'The List'!$B1:$AS730,27,FALSE)," ")</f>
        <v xml:space="preserve"> </v>
      </c>
      <c r="U75" s="52" t="str">
        <f>IFERROR(VLOOKUP($A75,'The List'!$B1:$AS730,28,FALSE)," ")</f>
        <v xml:space="preserve"> </v>
      </c>
      <c r="V75" s="52" t="str">
        <f>IFERROR(VLOOKUP($A75,'The List'!$B1:$AS730,29,FALSE)," ")</f>
        <v xml:space="preserve"> </v>
      </c>
      <c r="W75" s="52" t="str">
        <f>IFERROR(VLOOKUP($A75,'The List'!$B1:$AS730,30,FALSE)," ")</f>
        <v xml:space="preserve"> </v>
      </c>
      <c r="X75" s="52" t="str">
        <f>IFERROR(VLOOKUP($A75,'The List'!$B1:$AS730,31,FALSE)," ")</f>
        <v xml:space="preserve"> </v>
      </c>
      <c r="Y75" s="52" t="str">
        <f>IFERROR(VLOOKUP($A75,'The List'!$B1:$AS730,32,FALSE)," ")</f>
        <v xml:space="preserve"> </v>
      </c>
      <c r="Z75" s="52" t="str">
        <f>IFERROR(VLOOKUP($A75,'The List'!$B1:$AS730,33,FALSE)," ")</f>
        <v xml:space="preserve"> </v>
      </c>
      <c r="AA75" s="54"/>
      <c r="AB75" s="59"/>
      <c r="AC75" s="59"/>
      <c r="AD75" s="59"/>
      <c r="AE75" s="59"/>
      <c r="AF75" s="59"/>
    </row>
    <row r="76" spans="1:32" ht="21.2" customHeight="1">
      <c r="A76" s="23"/>
      <c r="B76" s="67" t="str">
        <f>IFERROR(VLOOKUP($A76,'The List'!$B1:$AS730,3,FALSE)," ")</f>
        <v xml:space="preserve"> </v>
      </c>
      <c r="C76" s="69" t="str">
        <f>IFERROR(VLOOKUP($A76,'The List'!$B1:$AS730,4,FALSE)," ")</f>
        <v xml:space="preserve"> </v>
      </c>
      <c r="D76" s="34" t="str">
        <f>IFERROR(VLOOKUP($A76,'The List'!$B1:$AS730,5,FALSE)," ")</f>
        <v xml:space="preserve"> </v>
      </c>
      <c r="E76" s="34" t="str">
        <f>IFERROR(VLOOKUP($A76,'The List'!$B1:$AS730,6,FALSE)," ")</f>
        <v xml:space="preserve"> </v>
      </c>
      <c r="F76" s="49" t="str">
        <f>IFERROR(VLOOKUP($A76,'The List'!$B1:$AS730,8,FALSE)," ")</f>
        <v xml:space="preserve"> </v>
      </c>
      <c r="G76" s="49" t="str">
        <f>IFERROR(VLOOKUP($A76,'The List'!$B1:$AS730,10,FALSE)," ")</f>
        <v xml:space="preserve"> </v>
      </c>
      <c r="H76" s="38"/>
      <c r="I76" s="52" t="str">
        <f>IFERROR(VLOOKUP($A76,'The List'!$B1:$AS730,16,FALSE)," ")</f>
        <v xml:space="preserve"> </v>
      </c>
      <c r="J76" s="52" t="str">
        <f>IFERROR(VLOOKUP($A76,'The List'!$B1:$AS730,17,FALSE)," ")</f>
        <v xml:space="preserve"> </v>
      </c>
      <c r="K76" s="52" t="str">
        <f>IFERROR(VLOOKUP($A76,'The List'!$B1:$AS730,18,FALSE)," ")</f>
        <v xml:space="preserve"> </v>
      </c>
      <c r="L76" s="52" t="str">
        <f>IFERROR(VLOOKUP($A76,'The List'!$B1:$AS730,19,FALSE)," ")</f>
        <v xml:space="preserve"> </v>
      </c>
      <c r="M76" s="52" t="str">
        <f>IFERROR(VLOOKUP($A76,'The List'!$B1:$AS730,20,FALSE)," ")</f>
        <v xml:space="preserve"> </v>
      </c>
      <c r="N76" s="52" t="str">
        <f>IFERROR(VLOOKUP($A76,'The List'!$B1:$AS730,21,FALSE)," ")</f>
        <v xml:space="preserve"> </v>
      </c>
      <c r="O76" s="52" t="str">
        <f>IFERROR(VLOOKUP($A76,'The List'!$B1:$AS730,22,FALSE)," ")</f>
        <v xml:space="preserve"> </v>
      </c>
      <c r="P76" s="52" t="str">
        <f>IFERROR(VLOOKUP($A76,'The List'!$B1:$AS730,23,FALSE)," ")</f>
        <v xml:space="preserve"> </v>
      </c>
      <c r="Q76" s="52" t="str">
        <f>IFERROR(VLOOKUP($A76,'The List'!$B1:$AS730,24,FALSE)," ")</f>
        <v xml:space="preserve"> </v>
      </c>
      <c r="R76" s="52" t="str">
        <f>IFERROR(VLOOKUP($A76,'The List'!$B1:$AS730,25,FALSE)," ")</f>
        <v xml:space="preserve"> </v>
      </c>
      <c r="S76" s="52" t="str">
        <f>IFERROR(VLOOKUP($A76,'The List'!$B1:$AS730,26,FALSE)," ")</f>
        <v xml:space="preserve"> </v>
      </c>
      <c r="T76" s="52" t="str">
        <f>IFERROR(VLOOKUP($A76,'The List'!$B1:$AS730,27,FALSE)," ")</f>
        <v xml:space="preserve"> </v>
      </c>
      <c r="U76" s="52" t="str">
        <f>IFERROR(VLOOKUP($A76,'The List'!$B1:$AS730,28,FALSE)," ")</f>
        <v xml:space="preserve"> </v>
      </c>
      <c r="V76" s="52" t="str">
        <f>IFERROR(VLOOKUP($A76,'The List'!$B1:$AS730,29,FALSE)," ")</f>
        <v xml:space="preserve"> </v>
      </c>
      <c r="W76" s="52" t="str">
        <f>IFERROR(VLOOKUP($A76,'The List'!$B1:$AS730,30,FALSE)," ")</f>
        <v xml:space="preserve"> </v>
      </c>
      <c r="X76" s="52" t="str">
        <f>IFERROR(VLOOKUP($A76,'The List'!$B1:$AS730,31,FALSE)," ")</f>
        <v xml:space="preserve"> </v>
      </c>
      <c r="Y76" s="52" t="str">
        <f>IFERROR(VLOOKUP($A76,'The List'!$B1:$AS730,32,FALSE)," ")</f>
        <v xml:space="preserve"> </v>
      </c>
      <c r="Z76" s="52" t="str">
        <f>IFERROR(VLOOKUP($A76,'The List'!$B1:$AS730,33,FALSE)," ")</f>
        <v xml:space="preserve"> </v>
      </c>
      <c r="AA76" s="54"/>
      <c r="AB76" s="59"/>
      <c r="AC76" s="59"/>
      <c r="AD76" s="59"/>
      <c r="AE76" s="59"/>
      <c r="AF76" s="59"/>
    </row>
    <row r="77" spans="1:32" ht="21.2" customHeight="1">
      <c r="A77" s="23"/>
      <c r="B77" s="67" t="str">
        <f>IFERROR(VLOOKUP($A77,'The List'!$B1:$AS730,3,FALSE)," ")</f>
        <v xml:space="preserve"> </v>
      </c>
      <c r="C77" s="69" t="str">
        <f>IFERROR(VLOOKUP($A77,'The List'!$B1:$AS730,4,FALSE)," ")</f>
        <v xml:space="preserve"> </v>
      </c>
      <c r="D77" s="34" t="str">
        <f>IFERROR(VLOOKUP($A77,'The List'!$B1:$AS730,5,FALSE)," ")</f>
        <v xml:space="preserve"> </v>
      </c>
      <c r="E77" s="34" t="str">
        <f>IFERROR(VLOOKUP($A77,'The List'!$B1:$AS730,6,FALSE)," ")</f>
        <v xml:space="preserve"> </v>
      </c>
      <c r="F77" s="49" t="str">
        <f>IFERROR(VLOOKUP($A77,'The List'!$B1:$AS730,8,FALSE)," ")</f>
        <v xml:space="preserve"> </v>
      </c>
      <c r="G77" s="49" t="str">
        <f>IFERROR(VLOOKUP($A77,'The List'!$B1:$AS730,10,FALSE)," ")</f>
        <v xml:space="preserve"> </v>
      </c>
      <c r="H77" s="38"/>
      <c r="I77" s="52" t="str">
        <f>IFERROR(VLOOKUP($A77,'The List'!$B1:$AS730,16,FALSE)," ")</f>
        <v xml:space="preserve"> </v>
      </c>
      <c r="J77" s="52" t="str">
        <f>IFERROR(VLOOKUP($A77,'The List'!$B1:$AS730,17,FALSE)," ")</f>
        <v xml:space="preserve"> </v>
      </c>
      <c r="K77" s="52" t="str">
        <f>IFERROR(VLOOKUP($A77,'The List'!$B1:$AS730,18,FALSE)," ")</f>
        <v xml:space="preserve"> </v>
      </c>
      <c r="L77" s="52" t="str">
        <f>IFERROR(VLOOKUP($A77,'The List'!$B1:$AS730,19,FALSE)," ")</f>
        <v xml:space="preserve"> </v>
      </c>
      <c r="M77" s="52" t="str">
        <f>IFERROR(VLOOKUP($A77,'The List'!$B1:$AS730,20,FALSE)," ")</f>
        <v xml:space="preserve"> </v>
      </c>
      <c r="N77" s="52" t="str">
        <f>IFERROR(VLOOKUP($A77,'The List'!$B1:$AS730,21,FALSE)," ")</f>
        <v xml:space="preserve"> </v>
      </c>
      <c r="O77" s="52" t="str">
        <f>IFERROR(VLOOKUP($A77,'The List'!$B1:$AS730,22,FALSE)," ")</f>
        <v xml:space="preserve"> </v>
      </c>
      <c r="P77" s="52" t="str">
        <f>IFERROR(VLOOKUP($A77,'The List'!$B1:$AS730,23,FALSE)," ")</f>
        <v xml:space="preserve"> </v>
      </c>
      <c r="Q77" s="52" t="str">
        <f>IFERROR(VLOOKUP($A77,'The List'!$B1:$AS730,24,FALSE)," ")</f>
        <v xml:space="preserve"> </v>
      </c>
      <c r="R77" s="52" t="str">
        <f>IFERROR(VLOOKUP($A77,'The List'!$B1:$AS730,25,FALSE)," ")</f>
        <v xml:space="preserve"> </v>
      </c>
      <c r="S77" s="52" t="str">
        <f>IFERROR(VLOOKUP($A77,'The List'!$B1:$AS730,26,FALSE)," ")</f>
        <v xml:space="preserve"> </v>
      </c>
      <c r="T77" s="52" t="str">
        <f>IFERROR(VLOOKUP($A77,'The List'!$B1:$AS730,27,FALSE)," ")</f>
        <v xml:space="preserve"> </v>
      </c>
      <c r="U77" s="52" t="str">
        <f>IFERROR(VLOOKUP($A77,'The List'!$B1:$AS730,28,FALSE)," ")</f>
        <v xml:space="preserve"> </v>
      </c>
      <c r="V77" s="52" t="str">
        <f>IFERROR(VLOOKUP($A77,'The List'!$B1:$AS730,29,FALSE)," ")</f>
        <v xml:space="preserve"> </v>
      </c>
      <c r="W77" s="52" t="str">
        <f>IFERROR(VLOOKUP($A77,'The List'!$B1:$AS730,30,FALSE)," ")</f>
        <v xml:space="preserve"> </v>
      </c>
      <c r="X77" s="52" t="str">
        <f>IFERROR(VLOOKUP($A77,'The List'!$B1:$AS730,31,FALSE)," ")</f>
        <v xml:space="preserve"> </v>
      </c>
      <c r="Y77" s="52" t="str">
        <f>IFERROR(VLOOKUP($A77,'The List'!$B1:$AS730,32,FALSE)," ")</f>
        <v xml:space="preserve"> </v>
      </c>
      <c r="Z77" s="52" t="str">
        <f>IFERROR(VLOOKUP($A77,'The List'!$B1:$AS730,33,FALSE)," ")</f>
        <v xml:space="preserve"> </v>
      </c>
      <c r="AA77" s="54"/>
      <c r="AB77" s="59"/>
      <c r="AC77" s="59"/>
      <c r="AD77" s="59"/>
      <c r="AE77" s="59"/>
      <c r="AF77" s="59"/>
    </row>
    <row r="78" spans="1:32" ht="21.2" customHeight="1">
      <c r="A78" s="23"/>
      <c r="B78" s="67" t="str">
        <f>IFERROR(VLOOKUP($A78,'The List'!$B1:$AS730,3,FALSE)," ")</f>
        <v xml:space="preserve"> </v>
      </c>
      <c r="C78" s="69" t="str">
        <f>IFERROR(VLOOKUP($A78,'The List'!$B1:$AS730,4,FALSE)," ")</f>
        <v xml:space="preserve"> </v>
      </c>
      <c r="D78" s="34" t="str">
        <f>IFERROR(VLOOKUP($A78,'The List'!$B1:$AS730,5,FALSE)," ")</f>
        <v xml:space="preserve"> </v>
      </c>
      <c r="E78" s="34" t="str">
        <f>IFERROR(VLOOKUP($A78,'The List'!$B1:$AS730,6,FALSE)," ")</f>
        <v xml:space="preserve"> </v>
      </c>
      <c r="F78" s="49" t="str">
        <f>IFERROR(VLOOKUP($A78,'The List'!$B1:$AS730,8,FALSE)," ")</f>
        <v xml:space="preserve"> </v>
      </c>
      <c r="G78" s="49" t="str">
        <f>IFERROR(VLOOKUP($A78,'The List'!$B1:$AS730,10,FALSE)," ")</f>
        <v xml:space="preserve"> </v>
      </c>
      <c r="H78" s="38"/>
      <c r="I78" s="52" t="str">
        <f>IFERROR(VLOOKUP($A78,'The List'!$B1:$AS730,16,FALSE)," ")</f>
        <v xml:space="preserve"> </v>
      </c>
      <c r="J78" s="52" t="str">
        <f>IFERROR(VLOOKUP($A78,'The List'!$B1:$AS730,17,FALSE)," ")</f>
        <v xml:space="preserve"> </v>
      </c>
      <c r="K78" s="52" t="str">
        <f>IFERROR(VLOOKUP($A78,'The List'!$B1:$AS730,18,FALSE)," ")</f>
        <v xml:space="preserve"> </v>
      </c>
      <c r="L78" s="52" t="str">
        <f>IFERROR(VLOOKUP($A78,'The List'!$B1:$AS730,19,FALSE)," ")</f>
        <v xml:space="preserve"> </v>
      </c>
      <c r="M78" s="52" t="str">
        <f>IFERROR(VLOOKUP($A78,'The List'!$B1:$AS730,20,FALSE)," ")</f>
        <v xml:space="preserve"> </v>
      </c>
      <c r="N78" s="52" t="str">
        <f>IFERROR(VLOOKUP($A78,'The List'!$B1:$AS730,21,FALSE)," ")</f>
        <v xml:space="preserve"> </v>
      </c>
      <c r="O78" s="52" t="str">
        <f>IFERROR(VLOOKUP($A78,'The List'!$B1:$AS730,22,FALSE)," ")</f>
        <v xml:space="preserve"> </v>
      </c>
      <c r="P78" s="52" t="str">
        <f>IFERROR(VLOOKUP($A78,'The List'!$B1:$AS730,23,FALSE)," ")</f>
        <v xml:space="preserve"> </v>
      </c>
      <c r="Q78" s="52" t="str">
        <f>IFERROR(VLOOKUP($A78,'The List'!$B1:$AS730,24,FALSE)," ")</f>
        <v xml:space="preserve"> </v>
      </c>
      <c r="R78" s="52" t="str">
        <f>IFERROR(VLOOKUP($A78,'The List'!$B1:$AS730,25,FALSE)," ")</f>
        <v xml:space="preserve"> </v>
      </c>
      <c r="S78" s="52" t="str">
        <f>IFERROR(VLOOKUP($A78,'The List'!$B1:$AS730,26,FALSE)," ")</f>
        <v xml:space="preserve"> </v>
      </c>
      <c r="T78" s="52" t="str">
        <f>IFERROR(VLOOKUP($A78,'The List'!$B1:$AS730,27,FALSE)," ")</f>
        <v xml:space="preserve"> </v>
      </c>
      <c r="U78" s="52" t="str">
        <f>IFERROR(VLOOKUP($A78,'The List'!$B1:$AS730,28,FALSE)," ")</f>
        <v xml:space="preserve"> </v>
      </c>
      <c r="V78" s="52" t="str">
        <f>IFERROR(VLOOKUP($A78,'The List'!$B1:$AS730,29,FALSE)," ")</f>
        <v xml:space="preserve"> </v>
      </c>
      <c r="W78" s="52" t="str">
        <f>IFERROR(VLOOKUP($A78,'The List'!$B1:$AS730,30,FALSE)," ")</f>
        <v xml:space="preserve"> </v>
      </c>
      <c r="X78" s="52" t="str">
        <f>IFERROR(VLOOKUP($A78,'The List'!$B1:$AS730,31,FALSE)," ")</f>
        <v xml:space="preserve"> </v>
      </c>
      <c r="Y78" s="52" t="str">
        <f>IFERROR(VLOOKUP($A78,'The List'!$B1:$AS730,32,FALSE)," ")</f>
        <v xml:space="preserve"> </v>
      </c>
      <c r="Z78" s="52" t="str">
        <f>IFERROR(VLOOKUP($A78,'The List'!$B1:$AS730,33,FALSE)," ")</f>
        <v xml:space="preserve"> </v>
      </c>
      <c r="AA78" s="54"/>
      <c r="AB78" s="59"/>
      <c r="AC78" s="59"/>
      <c r="AD78" s="59"/>
      <c r="AE78" s="59"/>
      <c r="AF78" s="59"/>
    </row>
    <row r="79" spans="1:32" ht="21.2" customHeight="1">
      <c r="A79" s="71"/>
      <c r="B79" s="72" t="str">
        <f>IFERROR(VLOOKUP($A79,'The List'!$B1:$AS730,3,FALSE)," ")</f>
        <v xml:space="preserve"> </v>
      </c>
      <c r="C79" s="73" t="str">
        <f>IFERROR(VLOOKUP($A79,'The List'!$B1:$AS730,4,FALSE)," ")</f>
        <v xml:space="preserve"> </v>
      </c>
      <c r="D79" s="74" t="str">
        <f>IFERROR(VLOOKUP($A79,'The List'!$B1:$AS730,5,FALSE)," ")</f>
        <v xml:space="preserve"> </v>
      </c>
      <c r="E79" s="74" t="str">
        <f>IFERROR(VLOOKUP($A79,'The List'!$B1:$AS730,6,FALSE)," ")</f>
        <v xml:space="preserve"> </v>
      </c>
      <c r="F79" s="75" t="str">
        <f>IFERROR(VLOOKUP($A79,'The List'!$B1:$AS730,8,FALSE)," ")</f>
        <v xml:space="preserve"> </v>
      </c>
      <c r="G79" s="75" t="str">
        <f>IFERROR(VLOOKUP($A79,'The List'!$B1:$AS730,10,FALSE)," ")</f>
        <v xml:space="preserve"> </v>
      </c>
      <c r="H79" s="76"/>
      <c r="I79" s="77" t="str">
        <f>IFERROR(VLOOKUP($A79,'The List'!$B1:$AS730,16,FALSE)," ")</f>
        <v xml:space="preserve"> </v>
      </c>
      <c r="J79" s="77" t="str">
        <f>IFERROR(VLOOKUP($A79,'The List'!$B1:$AS730,17,FALSE)," ")</f>
        <v xml:space="preserve"> </v>
      </c>
      <c r="K79" s="77" t="str">
        <f>IFERROR(VLOOKUP($A79,'The List'!$B1:$AS730,18,FALSE)," ")</f>
        <v xml:space="preserve"> </v>
      </c>
      <c r="L79" s="77" t="str">
        <f>IFERROR(VLOOKUP($A79,'The List'!$B1:$AS730,19,FALSE)," ")</f>
        <v xml:space="preserve"> </v>
      </c>
      <c r="M79" s="77" t="str">
        <f>IFERROR(VLOOKUP($A79,'The List'!$B1:$AS730,20,FALSE)," ")</f>
        <v xml:space="preserve"> </v>
      </c>
      <c r="N79" s="77" t="str">
        <f>IFERROR(VLOOKUP($A79,'The List'!$B1:$AS730,21,FALSE)," ")</f>
        <v xml:space="preserve"> </v>
      </c>
      <c r="O79" s="77" t="str">
        <f>IFERROR(VLOOKUP($A79,'The List'!$B1:$AS730,22,FALSE)," ")</f>
        <v xml:space="preserve"> </v>
      </c>
      <c r="P79" s="77" t="str">
        <f>IFERROR(VLOOKUP($A79,'The List'!$B1:$AS730,23,FALSE)," ")</f>
        <v xml:space="preserve"> </v>
      </c>
      <c r="Q79" s="77" t="str">
        <f>IFERROR(VLOOKUP($A79,'The List'!$B1:$AS730,24,FALSE)," ")</f>
        <v xml:space="preserve"> </v>
      </c>
      <c r="R79" s="77" t="str">
        <f>IFERROR(VLOOKUP($A79,'The List'!$B1:$AS730,25,FALSE)," ")</f>
        <v xml:space="preserve"> </v>
      </c>
      <c r="S79" s="77" t="str">
        <f>IFERROR(VLOOKUP($A79,'The List'!$B1:$AS730,26,FALSE)," ")</f>
        <v xml:space="preserve"> </v>
      </c>
      <c r="T79" s="77" t="str">
        <f>IFERROR(VLOOKUP($A79,'The List'!$B1:$AS730,27,FALSE)," ")</f>
        <v xml:space="preserve"> </v>
      </c>
      <c r="U79" s="77" t="str">
        <f>IFERROR(VLOOKUP($A79,'The List'!$B1:$AS730,28,FALSE)," ")</f>
        <v xml:space="preserve"> </v>
      </c>
      <c r="V79" s="77" t="str">
        <f>IFERROR(VLOOKUP($A79,'The List'!$B1:$AS730,29,FALSE)," ")</f>
        <v xml:space="preserve"> </v>
      </c>
      <c r="W79" s="77" t="str">
        <f>IFERROR(VLOOKUP($A79,'The List'!$B1:$AS730,30,FALSE)," ")</f>
        <v xml:space="preserve"> </v>
      </c>
      <c r="X79" s="77" t="str">
        <f>IFERROR(VLOOKUP($A79,'The List'!$B1:$AS730,31,FALSE)," ")</f>
        <v xml:space="preserve"> </v>
      </c>
      <c r="Y79" s="77" t="str">
        <f>IFERROR(VLOOKUP($A79,'The List'!$B1:$AS730,32,FALSE)," ")</f>
        <v xml:space="preserve"> </v>
      </c>
      <c r="Z79" s="77" t="str">
        <f>IFERROR(VLOOKUP($A79,'The List'!$B1:$AS730,33,FALSE)," ")</f>
        <v xml:space="preserve"> </v>
      </c>
      <c r="AA79" s="54"/>
      <c r="AB79" s="59"/>
      <c r="AC79" s="59"/>
      <c r="AD79" s="59"/>
      <c r="AE79" s="59"/>
      <c r="AF79" s="59"/>
    </row>
    <row r="80" spans="1:32" ht="21.2" customHeight="1">
      <c r="A80" s="78"/>
      <c r="B80" s="79"/>
      <c r="C80" s="80"/>
      <c r="D80" s="81"/>
      <c r="E80" s="116">
        <f>IFERROR(AVERAGE(E60:E79)," ")</f>
        <v>27.785714285714285</v>
      </c>
      <c r="F80" s="83">
        <f>SUM(F60:F79)</f>
        <v>65.421901536126015</v>
      </c>
      <c r="G80" s="83">
        <f>SUM(G60:G79)</f>
        <v>-5.6924341692219116</v>
      </c>
      <c r="H80" s="84"/>
      <c r="I80" s="85">
        <f>SUM(I60:I79)</f>
        <v>1148</v>
      </c>
      <c r="J80" s="84">
        <f>AVERAGE(J60:J79)</f>
        <v>19.204710629011597</v>
      </c>
      <c r="K80" s="85">
        <f t="shared" ref="K80:Y80" si="4">SUM(K60:K79)</f>
        <v>315.41354590036423</v>
      </c>
      <c r="L80" s="85">
        <f t="shared" si="4"/>
        <v>554.23250657309825</v>
      </c>
      <c r="M80" s="85">
        <f t="shared" si="4"/>
        <v>869.64605247346242</v>
      </c>
      <c r="N80" s="85">
        <f t="shared" si="4"/>
        <v>2672.8879186274348</v>
      </c>
      <c r="O80" s="85">
        <f t="shared" si="4"/>
        <v>80.964982769958596</v>
      </c>
      <c r="P80" s="85">
        <f t="shared" si="4"/>
        <v>253.32159049930402</v>
      </c>
      <c r="Q80" s="85">
        <f t="shared" si="4"/>
        <v>3.9232110784193863</v>
      </c>
      <c r="R80" s="85">
        <f t="shared" si="4"/>
        <v>10.610498139779279</v>
      </c>
      <c r="S80" s="85">
        <f t="shared" si="4"/>
        <v>1001.2974792072208</v>
      </c>
      <c r="T80" s="85">
        <f t="shared" si="4"/>
        <v>1388.9315624914086</v>
      </c>
      <c r="U80" s="85">
        <f t="shared" si="4"/>
        <v>52.558503342723014</v>
      </c>
      <c r="V80" s="85">
        <f t="shared" si="4"/>
        <v>460.23255655564878</v>
      </c>
      <c r="W80" s="85">
        <f t="shared" si="4"/>
        <v>45.733583599003985</v>
      </c>
      <c r="X80" s="85">
        <f t="shared" si="4"/>
        <v>2989.7821886100983</v>
      </c>
      <c r="Y80" s="85">
        <f t="shared" si="4"/>
        <v>2980.4079104686152</v>
      </c>
      <c r="Z80" s="86">
        <f>IFERROR(X80/(X80+Y80),0)</f>
        <v>0.50078509042307795</v>
      </c>
      <c r="AA80" s="54"/>
      <c r="AB80" s="87"/>
      <c r="AC80" s="87"/>
      <c r="AD80" s="87"/>
      <c r="AE80" s="87"/>
      <c r="AF80" s="87"/>
    </row>
    <row r="81" spans="1:32" ht="21.2" customHeight="1">
      <c r="A81" s="88"/>
      <c r="B81" s="89"/>
      <c r="C81" s="90"/>
      <c r="D81" s="11"/>
      <c r="E81" s="11"/>
      <c r="F81" s="91"/>
      <c r="G81" s="92"/>
      <c r="H81" s="93"/>
      <c r="I81" s="9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9"/>
      <c r="AC81" s="59"/>
      <c r="AD81" s="59"/>
      <c r="AE81" s="59"/>
      <c r="AF81" s="59"/>
    </row>
    <row r="82" spans="1:32" ht="21.2" customHeight="1">
      <c r="A82" s="24" t="s">
        <v>64</v>
      </c>
      <c r="B82" s="231" t="s">
        <v>66</v>
      </c>
      <c r="C82" s="223"/>
      <c r="D82" s="95" t="s">
        <v>67</v>
      </c>
      <c r="E82" s="95" t="s">
        <v>68</v>
      </c>
      <c r="F82" s="96" t="s">
        <v>70</v>
      </c>
      <c r="G82" s="96" t="s">
        <v>72</v>
      </c>
      <c r="H82" s="97"/>
      <c r="I82" s="98" t="s">
        <v>77</v>
      </c>
      <c r="J82" s="98" t="s">
        <v>95</v>
      </c>
      <c r="K82" s="98" t="s">
        <v>96</v>
      </c>
      <c r="L82" s="98" t="s">
        <v>97</v>
      </c>
      <c r="M82" s="98" t="s">
        <v>98</v>
      </c>
      <c r="N82" s="98" t="s">
        <v>99</v>
      </c>
      <c r="O82" s="98" t="s">
        <v>100</v>
      </c>
      <c r="P82" s="98" t="s">
        <v>101</v>
      </c>
      <c r="Q82" s="98" t="s">
        <v>102</v>
      </c>
      <c r="R82" s="54"/>
      <c r="S82" s="54"/>
      <c r="T82" s="54"/>
      <c r="U82" s="231" t="s">
        <v>839</v>
      </c>
      <c r="V82" s="232"/>
      <c r="W82" s="232"/>
      <c r="X82" s="231" t="s">
        <v>840</v>
      </c>
      <c r="Y82" s="232"/>
      <c r="Z82" s="232"/>
      <c r="AA82" s="54"/>
      <c r="AB82" s="54"/>
      <c r="AC82" s="54"/>
      <c r="AD82" s="54"/>
      <c r="AE82" s="54"/>
      <c r="AF82" s="54"/>
    </row>
    <row r="83" spans="1:32" ht="21.2" customHeight="1">
      <c r="A83" s="117" t="s">
        <v>181</v>
      </c>
      <c r="B83" s="100" t="str">
        <f>IFERROR(VLOOKUP($A83,'The List'!$B1:$AS730,3,FALSE)," ")</f>
        <v>G</v>
      </c>
      <c r="C83" s="118">
        <f>IFERROR(VLOOKUP($A83,'The List'!$B1:$AS730,4,FALSE)," ")</f>
        <v>5</v>
      </c>
      <c r="D83" s="102" t="str">
        <f>IFERROR(VLOOKUP($A83,'The List'!$B1:$AS730,5,FALSE)," ")</f>
        <v>COL</v>
      </c>
      <c r="E83" s="102">
        <f>IFERROR(VLOOKUP($A83,'The List'!$B1:$AS730,6,FALSE)," ")</f>
        <v>27</v>
      </c>
      <c r="F83" s="119">
        <f>IFERROR(VLOOKUP($A83,'The List'!$B1:$AS730,8,FALSE)," ")</f>
        <v>3.025853558987643</v>
      </c>
      <c r="G83" s="119">
        <f>IFERROR(VLOOKUP($A83,'The List'!$B1:$AS730,10,FALSE)," ")</f>
        <v>1.3216245077973514</v>
      </c>
      <c r="H83" s="105"/>
      <c r="I83" s="120">
        <f>IFERROR(VLOOKUP($A83,'The List'!$B1:$AS730,35,FALSE)," ")</f>
        <v>56</v>
      </c>
      <c r="J83" s="120">
        <f>IFERROR(VLOOKUP($A83,'The List'!$B1:$AS730,36,FALSE)," ")</f>
        <v>33.00466042460608</v>
      </c>
      <c r="K83" s="120">
        <f>IFERROR(VLOOKUP($A83,'The List'!$B1:$AS730,37,FALSE)," ")</f>
        <v>15.99533957539392</v>
      </c>
      <c r="L83" s="120">
        <f>IFERROR(VLOOKUP($A83,'The List'!$B1:$AS730,38,FALSE)," ")</f>
        <v>7</v>
      </c>
      <c r="M83" s="120">
        <f>IFERROR(VLOOKUP($A83,'The List'!$B1:$AS730,39,FALSE)," ")</f>
        <v>3.9740870240115633</v>
      </c>
      <c r="N83" s="120">
        <f>IFERROR(VLOOKUP($A83,'The List'!$B1:$AS730,40,FALSE)," ")</f>
        <v>1556.0486374171649</v>
      </c>
      <c r="O83" s="120">
        <f>IFERROR(VLOOKUP($A83,'The List'!$B1:$AS730,41,FALSE)," ")</f>
        <v>146.47530073283298</v>
      </c>
      <c r="P83" s="120">
        <f>IFERROR(VLOOKUP($A83,'The List'!$B1:$AS730,42,FALSE)," ")</f>
        <v>0.91396579075886797</v>
      </c>
      <c r="Q83" s="120">
        <f>IFERROR(VLOOKUP($A83,'The List'!$B1:$AS730,43,FALSE)," ")</f>
        <v>2.6156303702291601</v>
      </c>
      <c r="R83" s="54"/>
      <c r="S83" s="54"/>
      <c r="T83" s="109" t="str">
        <f>A30</f>
        <v>Shmitty Jagger</v>
      </c>
      <c r="U83" s="230">
        <f>F80+F86</f>
        <v>71.241087309930364</v>
      </c>
      <c r="V83" s="223"/>
      <c r="W83" s="223"/>
      <c r="X83" s="230">
        <f>G86+G80</f>
        <v>-3.2817064977981394</v>
      </c>
      <c r="Y83" s="223"/>
      <c r="Z83" s="223"/>
      <c r="AA83" s="54"/>
      <c r="AB83" s="54"/>
      <c r="AC83" s="54"/>
      <c r="AD83" s="54"/>
      <c r="AE83" s="54"/>
      <c r="AF83" s="54"/>
    </row>
    <row r="84" spans="1:32" ht="21.2" customHeight="1">
      <c r="A84" s="23" t="s">
        <v>178</v>
      </c>
      <c r="B84" s="110" t="str">
        <f>IFERROR(VLOOKUP($A84,'The List'!$B1:$AS730,3,FALSE)," ")</f>
        <v>G</v>
      </c>
      <c r="C84" s="111">
        <f>IFERROR(VLOOKUP($A84,'The List'!$B1:$AS730,4,FALSE)," ")</f>
        <v>7</v>
      </c>
      <c r="D84" s="34" t="str">
        <f>IFERROR(VLOOKUP($A84,'The List'!$B1:$AS730,5,FALSE)," ")</f>
        <v>VAN</v>
      </c>
      <c r="E84" s="34">
        <f>IFERROR(VLOOKUP($A84,'The List'!$B1:$AS730,6,FALSE)," ")</f>
        <v>27</v>
      </c>
      <c r="F84" s="49">
        <f>IFERROR(VLOOKUP($A84,'The List'!$B1:$AS730,8,FALSE)," ")</f>
        <v>2.7933322148167123</v>
      </c>
      <c r="G84" s="49">
        <f>IFERROR(VLOOKUP($A84,'The List'!$B1:$AS730,10,FALSE)," ")</f>
        <v>1.0891031636264208</v>
      </c>
      <c r="H84" s="38"/>
      <c r="I84" s="52">
        <f>IFERROR(VLOOKUP($A84,'The List'!$B1:$AS730,35,FALSE)," ")</f>
        <v>56</v>
      </c>
      <c r="J84" s="52">
        <f>IFERROR(VLOOKUP($A84,'The List'!$B1:$AS730,36,FALSE)," ")</f>
        <v>30.245820095442806</v>
      </c>
      <c r="K84" s="52">
        <f>IFERROR(VLOOKUP($A84,'The List'!$B1:$AS730,37,FALSE)," ")</f>
        <v>18.754179904557194</v>
      </c>
      <c r="L84" s="52">
        <f>IFERROR(VLOOKUP($A84,'The List'!$B1:$AS730,38,FALSE)," ")</f>
        <v>7</v>
      </c>
      <c r="M84" s="52">
        <f>IFERROR(VLOOKUP($A84,'The List'!$B1:$AS730,39,FALSE)," ")</f>
        <v>3.7248481834810794</v>
      </c>
      <c r="N84" s="52">
        <f>IFERROR(VLOOKUP($A84,'The List'!$B1:$AS730,40,FALSE)," ")</f>
        <v>1587.0996769001572</v>
      </c>
      <c r="O84" s="52">
        <f>IFERROR(VLOOKUP($A84,'The List'!$B1:$AS730,41,FALSE)," ")</f>
        <v>147.86586935618368</v>
      </c>
      <c r="P84" s="52">
        <f>IFERROR(VLOOKUP($A84,'The List'!$B1:$AS730,42,FALSE)," ")</f>
        <v>0.91477302262558213</v>
      </c>
      <c r="Q84" s="52">
        <f>IFERROR(VLOOKUP($A84,'The List'!$B1:$AS730,43,FALSE)," ")</f>
        <v>2.6404619527889941</v>
      </c>
      <c r="R84" s="54"/>
      <c r="S84" s="54"/>
      <c r="T84" s="54"/>
      <c r="U84" s="223"/>
      <c r="V84" s="223"/>
      <c r="W84" s="223"/>
      <c r="X84" s="223"/>
      <c r="Y84" s="223"/>
      <c r="Z84" s="223"/>
      <c r="AA84" s="54"/>
      <c r="AB84" s="54"/>
      <c r="AC84" s="54"/>
      <c r="AD84" s="54"/>
      <c r="AE84" s="54"/>
      <c r="AF84" s="54"/>
    </row>
    <row r="85" spans="1:32" ht="21.2" customHeight="1">
      <c r="A85" s="71"/>
      <c r="B85" s="112" t="str">
        <f>IFERROR(VLOOKUP($A85,'The List'!$B1:$AS730,3,FALSE)," ")</f>
        <v xml:space="preserve"> </v>
      </c>
      <c r="C85" s="113" t="str">
        <f>IFERROR(VLOOKUP($A85,'The List'!$B1:$AS730,4,FALSE)," ")</f>
        <v xml:space="preserve"> </v>
      </c>
      <c r="D85" s="74" t="str">
        <f>IFERROR(VLOOKUP($A85,'The List'!$B1:$AS730,5,FALSE)," ")</f>
        <v xml:space="preserve"> </v>
      </c>
      <c r="E85" s="74" t="str">
        <f>IFERROR(VLOOKUP($A85,'The List'!$B1:$AS730,6,FALSE)," ")</f>
        <v xml:space="preserve"> </v>
      </c>
      <c r="F85" s="75" t="str">
        <f>IFERROR(VLOOKUP($A85,'The List'!$B1:$AS730,8,FALSE)," ")</f>
        <v xml:space="preserve"> </v>
      </c>
      <c r="G85" s="75" t="str">
        <f>IFERROR(VLOOKUP($A85,'The List'!$B1:$AS730,10,FALSE)," ")</f>
        <v xml:space="preserve"> </v>
      </c>
      <c r="H85" s="76"/>
      <c r="I85" s="77" t="str">
        <f>IFERROR(VLOOKUP($A85,'The List'!$B1:$AS730,35,FALSE)," ")</f>
        <v xml:space="preserve"> </v>
      </c>
      <c r="J85" s="77" t="str">
        <f>IFERROR(VLOOKUP($A85,'The List'!$B1:$AS730,36,FALSE)," ")</f>
        <v xml:space="preserve"> </v>
      </c>
      <c r="K85" s="77" t="str">
        <f>IFERROR(VLOOKUP($A85,'The List'!$B1:$AS730,37,FALSE)," ")</f>
        <v xml:space="preserve"> </v>
      </c>
      <c r="L85" s="77" t="str">
        <f>IFERROR(VLOOKUP($A85,'The List'!$B1:$AS730,38,FALSE)," ")</f>
        <v xml:space="preserve"> </v>
      </c>
      <c r="M85" s="77" t="str">
        <f>IFERROR(VLOOKUP($A85,'The List'!$B1:$AS730,39,FALSE)," ")</f>
        <v xml:space="preserve"> </v>
      </c>
      <c r="N85" s="77" t="str">
        <f>IFERROR(VLOOKUP($A85,'The List'!$B1:$AS730,40,FALSE)," ")</f>
        <v xml:space="preserve"> </v>
      </c>
      <c r="O85" s="77" t="str">
        <f>IFERROR(VLOOKUP($A85,'The List'!$B1:$AS730,41,FALSE)," ")</f>
        <v xml:space="preserve"> </v>
      </c>
      <c r="P85" s="77" t="str">
        <f>IFERROR(VLOOKUP($A85,'The List'!$B1:$AS730,42,FALSE)," ")</f>
        <v xml:space="preserve"> </v>
      </c>
      <c r="Q85" s="77" t="str">
        <f>IFERROR(VLOOKUP($A85,'The List'!$B1:$AS730,43,FALSE)," ")</f>
        <v xml:space="preserve"> </v>
      </c>
      <c r="R85" s="54"/>
      <c r="S85" s="54"/>
      <c r="T85" s="54"/>
      <c r="U85" s="223"/>
      <c r="V85" s="223"/>
      <c r="W85" s="223"/>
      <c r="X85" s="223"/>
      <c r="Y85" s="223"/>
      <c r="Z85" s="223"/>
      <c r="AA85" s="54"/>
      <c r="AB85" s="54"/>
      <c r="AC85" s="54"/>
      <c r="AD85" s="54"/>
      <c r="AE85" s="54"/>
      <c r="AF85" s="54"/>
    </row>
    <row r="86" spans="1:32" ht="21.2" customHeight="1">
      <c r="A86" s="78"/>
      <c r="B86" s="79"/>
      <c r="C86" s="80"/>
      <c r="D86" s="81"/>
      <c r="E86" s="116">
        <f>IFERROR(AVERAGE(E83:E85)," ")</f>
        <v>27</v>
      </c>
      <c r="F86" s="83">
        <f>SUM(F83:F85)</f>
        <v>5.8191857738043549</v>
      </c>
      <c r="G86" s="83">
        <f>SUM(G83:G85)</f>
        <v>2.4107276714237722</v>
      </c>
      <c r="H86" s="84"/>
      <c r="I86" s="85">
        <f t="shared" ref="I86:O86" si="5">SUM(I83:I85)</f>
        <v>112</v>
      </c>
      <c r="J86" s="84">
        <f t="shared" si="5"/>
        <v>63.250480520048882</v>
      </c>
      <c r="K86" s="85">
        <f t="shared" si="5"/>
        <v>34.749519479951118</v>
      </c>
      <c r="L86" s="85">
        <f t="shared" si="5"/>
        <v>14</v>
      </c>
      <c r="M86" s="85">
        <f t="shared" si="5"/>
        <v>7.6989352074926423</v>
      </c>
      <c r="N86" s="85">
        <f t="shared" si="5"/>
        <v>3143.1483143173218</v>
      </c>
      <c r="O86" s="85">
        <f t="shared" si="5"/>
        <v>294.34117008901666</v>
      </c>
      <c r="P86" s="114">
        <f>1-(O86/(N86+O86))</f>
        <v>0.91437321585294973</v>
      </c>
      <c r="Q86" s="115">
        <f>O86/I86</f>
        <v>2.6280461615090771</v>
      </c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</row>
    <row r="87" spans="1:32" ht="70.7" customHeight="1">
      <c r="A87" s="88"/>
      <c r="B87" s="89"/>
      <c r="C87" s="90"/>
      <c r="D87" s="11"/>
      <c r="E87" s="11"/>
      <c r="F87" s="91"/>
      <c r="G87" s="92"/>
      <c r="H87" s="93"/>
      <c r="I87" s="9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9"/>
      <c r="AB87" s="59"/>
      <c r="AC87" s="59"/>
      <c r="AD87" s="59"/>
      <c r="AE87" s="59"/>
      <c r="AF87" s="59"/>
    </row>
    <row r="88" spans="1:32" ht="21.2" customHeight="1">
      <c r="A88" s="25" t="s">
        <v>903</v>
      </c>
      <c r="B88" s="229" t="s">
        <v>66</v>
      </c>
      <c r="C88" s="221"/>
      <c r="D88" s="26" t="s">
        <v>67</v>
      </c>
      <c r="E88" s="26" t="s">
        <v>68</v>
      </c>
      <c r="F88" s="27" t="s">
        <v>70</v>
      </c>
      <c r="G88" s="27" t="s">
        <v>72</v>
      </c>
      <c r="H88" s="28"/>
      <c r="I88" s="30" t="s">
        <v>77</v>
      </c>
      <c r="J88" s="30" t="s">
        <v>78</v>
      </c>
      <c r="K88" s="30" t="s">
        <v>79</v>
      </c>
      <c r="L88" s="30" t="s">
        <v>80</v>
      </c>
      <c r="M88" s="30" t="s">
        <v>81</v>
      </c>
      <c r="N88" s="30" t="s">
        <v>82</v>
      </c>
      <c r="O88" s="30" t="s">
        <v>83</v>
      </c>
      <c r="P88" s="30" t="s">
        <v>84</v>
      </c>
      <c r="Q88" s="30" t="s">
        <v>85</v>
      </c>
      <c r="R88" s="30" t="s">
        <v>86</v>
      </c>
      <c r="S88" s="30" t="s">
        <v>87</v>
      </c>
      <c r="T88" s="30" t="s">
        <v>88</v>
      </c>
      <c r="U88" s="30" t="s">
        <v>89</v>
      </c>
      <c r="V88" s="30" t="s">
        <v>90</v>
      </c>
      <c r="W88" s="30" t="s">
        <v>91</v>
      </c>
      <c r="X88" s="30" t="s">
        <v>92</v>
      </c>
      <c r="Y88" s="30" t="s">
        <v>93</v>
      </c>
      <c r="Z88" s="30" t="s">
        <v>94</v>
      </c>
      <c r="AA88" s="54"/>
      <c r="AB88" s="55"/>
      <c r="AC88" s="55"/>
      <c r="AD88" s="55"/>
      <c r="AE88" s="55"/>
      <c r="AF88" s="55"/>
    </row>
    <row r="89" spans="1:32" ht="21.2" customHeight="1">
      <c r="A89" s="23" t="s">
        <v>204</v>
      </c>
      <c r="B89" s="56" t="str">
        <f>IFERROR(VLOOKUP($A89,'The List'!$B1:$AS730,3,FALSE)," ")</f>
        <v>C</v>
      </c>
      <c r="C89" s="60">
        <f>IFERROR(VLOOKUP($A89,'The List'!$B1:$AS730,4,FALSE)," ")</f>
        <v>26</v>
      </c>
      <c r="D89" s="34" t="str">
        <f>IFERROR(VLOOKUP($A89,'The List'!$B1:$AS730,5,FALSE)," ")</f>
        <v>CHI</v>
      </c>
      <c r="E89" s="34">
        <f>IFERROR(VLOOKUP($A89,'The List'!$B1:$AS730,6,FALSE)," ")</f>
        <v>18</v>
      </c>
      <c r="F89" s="49">
        <f>IFERROR(VLOOKUP($A89,'The List'!$B1:$AS730,8,FALSE)," ")</f>
        <v>7.8748236583444715</v>
      </c>
      <c r="G89" s="49">
        <f>IFERROR(VLOOKUP($A89,'The List'!$B1:$AS730,10,FALSE)," ")</f>
        <v>1.5377729341378688</v>
      </c>
      <c r="H89" s="38"/>
      <c r="I89" s="52">
        <f>IFERROR(VLOOKUP($A89,'The List'!$B1:$AS730,16,FALSE)," ")</f>
        <v>82</v>
      </c>
      <c r="J89" s="52">
        <f>IFERROR(VLOOKUP($A89,'The List'!$B1:$AS730,17,FALSE)," ")</f>
        <v>19</v>
      </c>
      <c r="K89" s="52">
        <f>IFERROR(VLOOKUP($A89,'The List'!$B1:$AS730,18,FALSE)," ")</f>
        <v>32.870134199153632</v>
      </c>
      <c r="L89" s="52">
        <f>IFERROR(VLOOKUP($A89,'The List'!$B1:$AS730,19,FALSE)," ")</f>
        <v>44.963280023981909</v>
      </c>
      <c r="M89" s="52">
        <f>IFERROR(VLOOKUP($A89,'The List'!$B1:$AS730,20,FALSE)," ")</f>
        <v>77.833414223135549</v>
      </c>
      <c r="N89" s="52">
        <f>IFERROR(VLOOKUP($A89,'The List'!$B1:$AS730,21,FALSE)," ")</f>
        <v>219.98014733433854</v>
      </c>
      <c r="O89" s="52">
        <f>IFERROR(VLOOKUP($A89,'The List'!$B1:$AS730,22,FALSE)," ")</f>
        <v>10.339666117505642</v>
      </c>
      <c r="P89" s="52">
        <f>IFERROR(VLOOKUP($A89,'The List'!$B1:$AS730,23,FALSE)," ")</f>
        <v>24.483365689254242</v>
      </c>
      <c r="Q89" s="52">
        <f>IFERROR(VLOOKUP($A89,'The List'!$B1:$AS730,24,FALSE)," ")</f>
        <v>0</v>
      </c>
      <c r="R89" s="52">
        <f>IFERROR(VLOOKUP($A89,'The List'!$B1:$AS730,25,FALSE)," ")</f>
        <v>0</v>
      </c>
      <c r="S89" s="52">
        <f>IFERROR(VLOOKUP($A89,'The List'!$B1:$AS730,26,FALSE)," ")</f>
        <v>37.40000000000002</v>
      </c>
      <c r="T89" s="52">
        <f>IFERROR(VLOOKUP($A89,'The List'!$B1:$AS730,27,FALSE)," ")</f>
        <v>44.999999999999993</v>
      </c>
      <c r="U89" s="52">
        <f>IFERROR(VLOOKUP($A89,'The List'!$B1:$AS730,28,FALSE)," ")</f>
        <v>0.61749999999999972</v>
      </c>
      <c r="V89" s="52">
        <f>IFERROR(VLOOKUP($A89,'The List'!$B1:$AS730,29,FALSE)," ")</f>
        <v>23.999999999999975</v>
      </c>
      <c r="W89" s="52">
        <f>IFERROR(VLOOKUP($A89,'The List'!$B1:$AS730,30,FALSE)," ")</f>
        <v>3.851773338326963</v>
      </c>
      <c r="X89" s="52">
        <f>IFERROR(VLOOKUP($A89,'The List'!$B1:$AS730,31,FALSE)," ")</f>
        <v>269.84079370615939</v>
      </c>
      <c r="Y89" s="52">
        <f>IFERROR(VLOOKUP($A89,'The List'!$B1:$AS730,32,FALSE)," ")</f>
        <v>388.30748362593573</v>
      </c>
      <c r="Z89" s="52">
        <f>IFERROR(VLOOKUP($A89,'The List'!$B1:$AS730,33,FALSE)," ")</f>
        <v>0.41</v>
      </c>
      <c r="AA89" s="54"/>
      <c r="AB89" s="59"/>
      <c r="AC89" s="59"/>
      <c r="AD89" s="59"/>
      <c r="AE89" s="59"/>
      <c r="AF89" s="59"/>
    </row>
    <row r="90" spans="1:32" ht="21.2" customHeight="1">
      <c r="A90" s="23" t="s">
        <v>139</v>
      </c>
      <c r="B90" s="56" t="str">
        <f>IFERROR(VLOOKUP($A90,'The List'!$B1:$AS730,3,FALSE)," ")</f>
        <v>C</v>
      </c>
      <c r="C90" s="60">
        <f>IFERROR(VLOOKUP($A90,'The List'!$B1:$AS730,4,FALSE)," ")</f>
        <v>12</v>
      </c>
      <c r="D90" s="34" t="str">
        <f>IFERROR(VLOOKUP($A90,'The List'!$B1:$AS730,5,FALSE)," ")</f>
        <v>PIT</v>
      </c>
      <c r="E90" s="34">
        <f>IFERROR(VLOOKUP($A90,'The List'!$B1:$AS730,6,FALSE)," ")</f>
        <v>36</v>
      </c>
      <c r="F90" s="49">
        <f>IFERROR(VLOOKUP($A90,'The List'!$B1:$AS730,8,FALSE)," ")</f>
        <v>10.322588449458125</v>
      </c>
      <c r="G90" s="49">
        <f>IFERROR(VLOOKUP($A90,'The List'!$B1:$AS730,10,FALSE)," ")</f>
        <v>3.9855377252515227</v>
      </c>
      <c r="H90" s="38"/>
      <c r="I90" s="52">
        <f>IFERROR(VLOOKUP($A90,'The List'!$B1:$AS730,16,FALSE)," ")</f>
        <v>82</v>
      </c>
      <c r="J90" s="52">
        <f>IFERROR(VLOOKUP($A90,'The List'!$B1:$AS730,17,FALSE)," ")</f>
        <v>20.013263798018301</v>
      </c>
      <c r="K90" s="52">
        <f>IFERROR(VLOOKUP($A90,'The List'!$B1:$AS730,18,FALSE)," ")</f>
        <v>31.944714623605712</v>
      </c>
      <c r="L90" s="52">
        <f>IFERROR(VLOOKUP($A90,'The List'!$B1:$AS730,19,FALSE)," ")</f>
        <v>57.399941238342521</v>
      </c>
      <c r="M90" s="52">
        <f>IFERROR(VLOOKUP($A90,'The List'!$B1:$AS730,20,FALSE)," ")</f>
        <v>89.34465586194824</v>
      </c>
      <c r="N90" s="52">
        <f>IFERROR(VLOOKUP($A90,'The List'!$B1:$AS730,21,FALSE)," ")</f>
        <v>250.90204845263904</v>
      </c>
      <c r="O90" s="52">
        <f>IFERROR(VLOOKUP($A90,'The List'!$B1:$AS730,22,FALSE)," ")</f>
        <v>8.9502368668302719</v>
      </c>
      <c r="P90" s="52">
        <f>IFERROR(VLOOKUP($A90,'The List'!$B1:$AS730,23,FALSE)," ")</f>
        <v>30.546018274671685</v>
      </c>
      <c r="Q90" s="52">
        <f>IFERROR(VLOOKUP($A90,'The List'!$B1:$AS730,24,FALSE)," ")</f>
        <v>1.5455893659926489E-2</v>
      </c>
      <c r="R90" s="52">
        <f>IFERROR(VLOOKUP($A90,'The List'!$B1:$AS730,25,FALSE)," ")</f>
        <v>2.1447137708054977E-2</v>
      </c>
      <c r="S90" s="52">
        <f>IFERROR(VLOOKUP($A90,'The List'!$B1:$AS730,26,FALSE)," ")</f>
        <v>44.983373623634257</v>
      </c>
      <c r="T90" s="52">
        <f>IFERROR(VLOOKUP($A90,'The List'!$B1:$AS730,27,FALSE)," ")</f>
        <v>66.500231339385678</v>
      </c>
      <c r="U90" s="52">
        <f>IFERROR(VLOOKUP($A90,'The List'!$B1:$AS730,28,FALSE)," ")</f>
        <v>5.3782998476469279</v>
      </c>
      <c r="V90" s="52">
        <f>IFERROR(VLOOKUP($A90,'The List'!$B1:$AS730,29,FALSE)," ")</f>
        <v>36.490333676652128</v>
      </c>
      <c r="W90" s="52">
        <f>IFERROR(VLOOKUP($A90,'The List'!$B1:$AS730,30,FALSE)," ")</f>
        <v>5.1277663398241806</v>
      </c>
      <c r="X90" s="52">
        <f>IFERROR(VLOOKUP($A90,'The List'!$B1:$AS730,31,FALSE)," ")</f>
        <v>962.98883184913325</v>
      </c>
      <c r="Y90" s="52">
        <f>IFERROR(VLOOKUP($A90,'The List'!$B1:$AS730,32,FALSE)," ")</f>
        <v>857.68256629000302</v>
      </c>
      <c r="Z90" s="52">
        <f>IFERROR(VLOOKUP($A90,'The List'!$B1:$AS730,33,FALSE)," ")</f>
        <v>0.52891962428441397</v>
      </c>
      <c r="AA90" s="54"/>
      <c r="AB90" s="59"/>
      <c r="AC90" s="59"/>
      <c r="AD90" s="59"/>
      <c r="AE90" s="59"/>
      <c r="AF90" s="59"/>
    </row>
    <row r="91" spans="1:32" ht="21.2" customHeight="1">
      <c r="A91" s="23" t="s">
        <v>258</v>
      </c>
      <c r="B91" s="56" t="str">
        <f>IFERROR(VLOOKUP($A91,'The List'!$B1:$AS730,3,FALSE)," ")</f>
        <v>C,LW</v>
      </c>
      <c r="C91" s="60">
        <f>IFERROR(VLOOKUP($A91,'The List'!$B1:$AS730,4,FALSE)," ")</f>
        <v>50</v>
      </c>
      <c r="D91" s="34" t="str">
        <f>IFERROR(VLOOKUP($A91,'The List'!$B1:$AS730,5,FALSE)," ")</f>
        <v>BOS</v>
      </c>
      <c r="E91" s="34">
        <f>IFERROR(VLOOKUP($A91,'The List'!$B1:$AS730,6,FALSE)," ")</f>
        <v>26</v>
      </c>
      <c r="F91" s="49">
        <f>IFERROR(VLOOKUP($A91,'The List'!$B1:$AS730,8,FALSE)," ")</f>
        <v>4.9802623630289942</v>
      </c>
      <c r="G91" s="49">
        <f>IFERROR(VLOOKUP($A91,'The List'!$B1:$AS730,10,FALSE)," ")</f>
        <v>-1.674406681095407</v>
      </c>
      <c r="H91" s="38"/>
      <c r="I91" s="52">
        <f>IFERROR(VLOOKUP($A91,'The List'!$B1:$AS730,16,FALSE)," ")</f>
        <v>82</v>
      </c>
      <c r="J91" s="52">
        <f>IFERROR(VLOOKUP($A91,'The List'!$B1:$AS730,17,FALSE)," ")</f>
        <v>20.023978405119401</v>
      </c>
      <c r="K91" s="52">
        <f>IFERROR(VLOOKUP($A91,'The List'!$B1:$AS730,18,FALSE)," ")</f>
        <v>26.63296422995268</v>
      </c>
      <c r="L91" s="52">
        <f>IFERROR(VLOOKUP($A91,'The List'!$B1:$AS730,19,FALSE)," ")</f>
        <v>40.191886016810805</v>
      </c>
      <c r="M91" s="52">
        <f>IFERROR(VLOOKUP($A91,'The List'!$B1:$AS730,20,FALSE)," ")</f>
        <v>66.824850246763489</v>
      </c>
      <c r="N91" s="52">
        <f>IFERROR(VLOOKUP($A91,'The List'!$B1:$AS730,21,FALSE)," ")</f>
        <v>179.30946506677367</v>
      </c>
      <c r="O91" s="52">
        <f>IFERROR(VLOOKUP($A91,'The List'!$B1:$AS730,22,FALSE)," ")</f>
        <v>6.8575419648377069</v>
      </c>
      <c r="P91" s="52">
        <f>IFERROR(VLOOKUP($A91,'The List'!$B1:$AS730,23,FALSE)," ")</f>
        <v>16.671893929657866</v>
      </c>
      <c r="Q91" s="52">
        <f>IFERROR(VLOOKUP($A91,'The List'!$B1:$AS730,24,FALSE)," ")</f>
        <v>0.22039988814261177</v>
      </c>
      <c r="R91" s="52">
        <f>IFERROR(VLOOKUP($A91,'The List'!$B1:$AS730,25,FALSE)," ")</f>
        <v>1.2568660889556613</v>
      </c>
      <c r="S91" s="52">
        <f>IFERROR(VLOOKUP($A91,'The List'!$B1:$AS730,26,FALSE)," ")</f>
        <v>27.425497714774824</v>
      </c>
      <c r="T91" s="52">
        <f>IFERROR(VLOOKUP($A91,'The List'!$B1:$AS730,27,FALSE)," ")</f>
        <v>84.528559735695495</v>
      </c>
      <c r="U91" s="52">
        <f>IFERROR(VLOOKUP($A91,'The List'!$B1:$AS730,28,FALSE)," ")</f>
        <v>3.9028755372852171</v>
      </c>
      <c r="V91" s="52">
        <f>IFERROR(VLOOKUP($A91,'The List'!$B1:$AS730,29,FALSE)," ")</f>
        <v>26.358299459475905</v>
      </c>
      <c r="W91" s="52">
        <f>IFERROR(VLOOKUP($A91,'The List'!$B1:$AS730,30,FALSE)," ")</f>
        <v>4.4711505739747093</v>
      </c>
      <c r="X91" s="52">
        <f>IFERROR(VLOOKUP($A91,'The List'!$B1:$AS730,31,FALSE)," ")</f>
        <v>226.67349526229535</v>
      </c>
      <c r="Y91" s="52">
        <f>IFERROR(VLOOKUP($A91,'The List'!$B1:$AS730,32,FALSE)," ")</f>
        <v>244.68579798324384</v>
      </c>
      <c r="Z91" s="52">
        <f>IFERROR(VLOOKUP($A91,'The List'!$B1:$AS730,33,FALSE)," ")</f>
        <v>0.48089323475843099</v>
      </c>
      <c r="AA91" s="54"/>
      <c r="AB91" s="59"/>
      <c r="AC91" s="59"/>
      <c r="AD91" s="59"/>
      <c r="AE91" s="59"/>
      <c r="AF91" s="59"/>
    </row>
    <row r="92" spans="1:32" ht="21.2" customHeight="1">
      <c r="A92" s="23"/>
      <c r="B92" s="56" t="str">
        <f>IFERROR(VLOOKUP($A92,'The List'!$B1:$AS730,3,FALSE)," ")</f>
        <v xml:space="preserve"> </v>
      </c>
      <c r="C92" s="60" t="str">
        <f>IFERROR(VLOOKUP($A92,'The List'!$B1:$AS730,4,FALSE)," ")</f>
        <v xml:space="preserve"> </v>
      </c>
      <c r="D92" s="34" t="str">
        <f>IFERROR(VLOOKUP($A92,'The List'!$B1:$AS730,5,FALSE)," ")</f>
        <v xml:space="preserve"> </v>
      </c>
      <c r="E92" s="34" t="str">
        <f>IFERROR(VLOOKUP($A92,'The List'!$B1:$AS730,6,FALSE)," ")</f>
        <v xml:space="preserve"> </v>
      </c>
      <c r="F92" s="49" t="str">
        <f>IFERROR(VLOOKUP($A92,'The List'!$B1:$AS730,8,FALSE)," ")</f>
        <v xml:space="preserve"> </v>
      </c>
      <c r="G92" s="49" t="str">
        <f>IFERROR(VLOOKUP($A92,'The List'!$B1:$AS730,10,FALSE)," ")</f>
        <v xml:space="preserve"> </v>
      </c>
      <c r="H92" s="38"/>
      <c r="I92" s="52" t="str">
        <f>IFERROR(VLOOKUP($A92,'The List'!$B1:$AS730,16,FALSE)," ")</f>
        <v xml:space="preserve"> </v>
      </c>
      <c r="J92" s="52" t="str">
        <f>IFERROR(VLOOKUP($A92,'The List'!$B1:$AS730,17,FALSE)," ")</f>
        <v xml:space="preserve"> </v>
      </c>
      <c r="K92" s="52" t="str">
        <f>IFERROR(VLOOKUP($A92,'The List'!$B1:$AS730,18,FALSE)," ")</f>
        <v xml:space="preserve"> </v>
      </c>
      <c r="L92" s="52" t="str">
        <f>IFERROR(VLOOKUP($A92,'The List'!$B1:$AS730,19,FALSE)," ")</f>
        <v xml:space="preserve"> </v>
      </c>
      <c r="M92" s="52" t="str">
        <f>IFERROR(VLOOKUP($A92,'The List'!$B1:$AS730,20,FALSE)," ")</f>
        <v xml:space="preserve"> </v>
      </c>
      <c r="N92" s="52" t="str">
        <f>IFERROR(VLOOKUP($A92,'The List'!$B1:$AS730,21,FALSE)," ")</f>
        <v xml:space="preserve"> </v>
      </c>
      <c r="O92" s="52" t="str">
        <f>IFERROR(VLOOKUP($A92,'The List'!$B1:$AS730,22,FALSE)," ")</f>
        <v xml:space="preserve"> </v>
      </c>
      <c r="P92" s="52" t="str">
        <f>IFERROR(VLOOKUP($A92,'The List'!$B1:$AS730,23,FALSE)," ")</f>
        <v xml:space="preserve"> </v>
      </c>
      <c r="Q92" s="52" t="str">
        <f>IFERROR(VLOOKUP($A92,'The List'!$B1:$AS730,24,FALSE)," ")</f>
        <v xml:space="preserve"> </v>
      </c>
      <c r="R92" s="52" t="str">
        <f>IFERROR(VLOOKUP($A92,'The List'!$B1:$AS730,25,FALSE)," ")</f>
        <v xml:space="preserve"> </v>
      </c>
      <c r="S92" s="52" t="str">
        <f>IFERROR(VLOOKUP($A92,'The List'!$B1:$AS730,26,FALSE)," ")</f>
        <v xml:space="preserve"> </v>
      </c>
      <c r="T92" s="52" t="str">
        <f>IFERROR(VLOOKUP($A92,'The List'!$B1:$AS730,27,FALSE)," ")</f>
        <v xml:space="preserve"> </v>
      </c>
      <c r="U92" s="52" t="str">
        <f>IFERROR(VLOOKUP($A92,'The List'!$B1:$AS730,28,FALSE)," ")</f>
        <v xml:space="preserve"> </v>
      </c>
      <c r="V92" s="52" t="str">
        <f>IFERROR(VLOOKUP($A92,'The List'!$B1:$AS730,29,FALSE)," ")</f>
        <v xml:space="preserve"> </v>
      </c>
      <c r="W92" s="52" t="str">
        <f>IFERROR(VLOOKUP($A92,'The List'!$B1:$AS730,30,FALSE)," ")</f>
        <v xml:space="preserve"> </v>
      </c>
      <c r="X92" s="52" t="str">
        <f>IFERROR(VLOOKUP($A92,'The List'!$B1:$AS730,31,FALSE)," ")</f>
        <v xml:space="preserve"> </v>
      </c>
      <c r="Y92" s="52" t="str">
        <f>IFERROR(VLOOKUP($A92,'The List'!$B1:$AS730,32,FALSE)," ")</f>
        <v xml:space="preserve"> </v>
      </c>
      <c r="Z92" s="52" t="str">
        <f>IFERROR(VLOOKUP($A92,'The List'!$B1:$AS730,33,FALSE)," ")</f>
        <v xml:space="preserve"> </v>
      </c>
      <c r="AA92" s="54"/>
      <c r="AB92" s="59"/>
      <c r="AC92" s="59"/>
      <c r="AD92" s="59"/>
      <c r="AE92" s="59"/>
      <c r="AF92" s="59"/>
    </row>
    <row r="93" spans="1:32" ht="21.2" customHeight="1">
      <c r="A93" s="23" t="s">
        <v>133</v>
      </c>
      <c r="B93" s="61" t="str">
        <f>IFERROR(VLOOKUP($A93,'The List'!$B1:$AS730,3,FALSE)," ")</f>
        <v>LW</v>
      </c>
      <c r="C93" s="63">
        <f>IFERROR(VLOOKUP($A93,'The List'!$B1:$AS730,4,FALSE)," ")</f>
        <v>9</v>
      </c>
      <c r="D93" s="34" t="str">
        <f>IFERROR(VLOOKUP($A93,'The List'!$B1:$AS730,5,FALSE)," ")</f>
        <v>WPG</v>
      </c>
      <c r="E93" s="34">
        <f>IFERROR(VLOOKUP($A93,'The List'!$B1:$AS730,6,FALSE)," ")</f>
        <v>26</v>
      </c>
      <c r="F93" s="49">
        <f>IFERROR(VLOOKUP($A93,'The List'!$B1:$AS730,8,FALSE)," ")</f>
        <v>10.06630112250282</v>
      </c>
      <c r="G93" s="49">
        <f>IFERROR(VLOOKUP($A93,'The List'!$B1:$AS730,10,FALSE)," ")</f>
        <v>3.4116320783784184</v>
      </c>
      <c r="H93" s="38"/>
      <c r="I93" s="52">
        <f>IFERROR(VLOOKUP($A93,'The List'!$B1:$AS730,16,FALSE)," ")</f>
        <v>82</v>
      </c>
      <c r="J93" s="52">
        <f>IFERROR(VLOOKUP($A93,'The List'!$B1:$AS730,17,FALSE)," ")</f>
        <v>20.319192130335299</v>
      </c>
      <c r="K93" s="52">
        <f>IFERROR(VLOOKUP($A93,'The List'!$B1:$AS730,18,FALSE)," ")</f>
        <v>37.876643743265888</v>
      </c>
      <c r="L93" s="52">
        <f>IFERROR(VLOOKUP($A93,'The List'!$B1:$AS730,19,FALSE)," ")</f>
        <v>47.866183995547793</v>
      </c>
      <c r="M93" s="52">
        <f>IFERROR(VLOOKUP($A93,'The List'!$B1:$AS730,20,FALSE)," ")</f>
        <v>85.742827738813673</v>
      </c>
      <c r="N93" s="52">
        <f>IFERROR(VLOOKUP($A93,'The List'!$B1:$AS730,21,FALSE)," ")</f>
        <v>276.47164064752292</v>
      </c>
      <c r="O93" s="52">
        <f>IFERROR(VLOOKUP($A93,'The List'!$B1:$AS730,22,FALSE)," ")</f>
        <v>8.9848531758664265</v>
      </c>
      <c r="P93" s="52">
        <f>IFERROR(VLOOKUP($A93,'The List'!$B1:$AS730,23,FALSE)," ")</f>
        <v>26.522095774863814</v>
      </c>
      <c r="Q93" s="52">
        <f>IFERROR(VLOOKUP($A93,'The List'!$B1:$AS730,24,FALSE)," ")</f>
        <v>0.30807764808329163</v>
      </c>
      <c r="R93" s="52">
        <f>IFERROR(VLOOKUP($A93,'The List'!$B1:$AS730,25,FALSE)," ")</f>
        <v>0.36584866795493037</v>
      </c>
      <c r="S93" s="52">
        <f>IFERROR(VLOOKUP($A93,'The List'!$B1:$AS730,26,FALSE)," ")</f>
        <v>24.374699391248217</v>
      </c>
      <c r="T93" s="52">
        <f>IFERROR(VLOOKUP($A93,'The List'!$B1:$AS730,27,FALSE)," ")</f>
        <v>41.361860503438891</v>
      </c>
      <c r="U93" s="52">
        <f>IFERROR(VLOOKUP($A93,'The List'!$B1:$AS730,28,FALSE)," ")</f>
        <v>1.007708018540691</v>
      </c>
      <c r="V93" s="52">
        <f>IFERROR(VLOOKUP($A93,'The List'!$B1:$AS730,29,FALSE)," ")</f>
        <v>17.881726408433334</v>
      </c>
      <c r="W93" s="52">
        <f>IFERROR(VLOOKUP($A93,'The List'!$B1:$AS730,30,FALSE)," ")</f>
        <v>5.9088832039703592</v>
      </c>
      <c r="X93" s="52">
        <f>IFERROR(VLOOKUP($A93,'The List'!$B1:$AS730,31,FALSE)," ")</f>
        <v>2.2696622501798123</v>
      </c>
      <c r="Y93" s="52">
        <f>IFERROR(VLOOKUP($A93,'The List'!$B1:$AS730,32,FALSE)," ")</f>
        <v>6.2326462577470592</v>
      </c>
      <c r="Z93" s="52">
        <f>IFERROR(VLOOKUP($A93,'The List'!$B1:$AS730,33,FALSE)," ")</f>
        <v>0.26694658845462499</v>
      </c>
      <c r="AA93" s="54"/>
      <c r="AB93" s="59"/>
      <c r="AC93" s="59"/>
      <c r="AD93" s="59"/>
      <c r="AE93" s="59"/>
      <c r="AF93" s="59"/>
    </row>
    <row r="94" spans="1:32" ht="21.2" customHeight="1">
      <c r="A94" s="23" t="s">
        <v>205</v>
      </c>
      <c r="B94" s="61" t="str">
        <f>IFERROR(VLOOKUP($A94,'The List'!$B1:$AS730,3,FALSE)," ")</f>
        <v>LW</v>
      </c>
      <c r="C94" s="63">
        <f>IFERROR(VLOOKUP($A94,'The List'!$B1:$AS730,4,FALSE)," ")</f>
        <v>21</v>
      </c>
      <c r="D94" s="34" t="str">
        <f>IFERROR(VLOOKUP($A94,'The List'!$B1:$AS730,5,FALSE)," ")</f>
        <v>NSH</v>
      </c>
      <c r="E94" s="34">
        <f>IFERROR(VLOOKUP($A94,'The List'!$B1:$AS730,6,FALSE)," ")</f>
        <v>29</v>
      </c>
      <c r="F94" s="49">
        <f>IFERROR(VLOOKUP($A94,'The List'!$B1:$AS730,8,FALSE)," ")</f>
        <v>8.4953956584473396</v>
      </c>
      <c r="G94" s="49">
        <f>IFERROR(VLOOKUP($A94,'The List'!$B1:$AS730,10,FALSE)," ")</f>
        <v>1.8407266143229384</v>
      </c>
      <c r="H94" s="38"/>
      <c r="I94" s="52">
        <f>IFERROR(VLOOKUP($A94,'The List'!$B1:$AS730,16,FALSE)," ")</f>
        <v>82</v>
      </c>
      <c r="J94" s="52">
        <f>IFERROR(VLOOKUP($A94,'The List'!$B1:$AS730,17,FALSE)," ")</f>
        <v>17.382366269817101</v>
      </c>
      <c r="K94" s="52">
        <f>IFERROR(VLOOKUP($A94,'The List'!$B1:$AS730,18,FALSE)," ")</f>
        <v>35.776409490961782</v>
      </c>
      <c r="L94" s="52">
        <f>IFERROR(VLOOKUP($A94,'The List'!$B1:$AS730,19,FALSE)," ")</f>
        <v>42.596768735169846</v>
      </c>
      <c r="M94" s="52">
        <f>IFERROR(VLOOKUP($A94,'The List'!$B1:$AS730,20,FALSE)," ")</f>
        <v>78.373178226131628</v>
      </c>
      <c r="N94" s="52">
        <f>IFERROR(VLOOKUP($A94,'The List'!$B1:$AS730,21,FALSE)," ")</f>
        <v>256.09813965186783</v>
      </c>
      <c r="O94" s="52">
        <f>IFERROR(VLOOKUP($A94,'The List'!$B1:$AS730,22,FALSE)," ")</f>
        <v>7.8130001036708769</v>
      </c>
      <c r="P94" s="52">
        <f>IFERROR(VLOOKUP($A94,'The List'!$B1:$AS730,23,FALSE)," ")</f>
        <v>23.324492522494086</v>
      </c>
      <c r="Q94" s="52">
        <f>IFERROR(VLOOKUP($A94,'The List'!$B1:$AS730,24,FALSE)," ")</f>
        <v>1.0474529185508487E-2</v>
      </c>
      <c r="R94" s="52">
        <f>IFERROR(VLOOKUP($A94,'The List'!$B1:$AS730,25,FALSE)," ")</f>
        <v>1.9147315608714896E-2</v>
      </c>
      <c r="S94" s="52">
        <f>IFERROR(VLOOKUP($A94,'The List'!$B1:$AS730,26,FALSE)," ")</f>
        <v>39.762840344000885</v>
      </c>
      <c r="T94" s="52">
        <f>IFERROR(VLOOKUP($A94,'The List'!$B1:$AS730,27,FALSE)," ")</f>
        <v>126.0823690333651</v>
      </c>
      <c r="U94" s="52">
        <f>IFERROR(VLOOKUP($A94,'The List'!$B1:$AS730,28,FALSE)," ")</f>
        <v>0.27561653691209753</v>
      </c>
      <c r="V94" s="52">
        <f>IFERROR(VLOOKUP($A94,'The List'!$B1:$AS730,29,FALSE)," ")</f>
        <v>30.751407670220821</v>
      </c>
      <c r="W94" s="52">
        <f>IFERROR(VLOOKUP($A94,'The List'!$B1:$AS730,30,FALSE)," ")</f>
        <v>5.2242914846601796</v>
      </c>
      <c r="X94" s="52">
        <f>IFERROR(VLOOKUP($A94,'The List'!$B1:$AS730,31,FALSE)," ")</f>
        <v>1.6320075551270603</v>
      </c>
      <c r="Y94" s="52">
        <f>IFERROR(VLOOKUP($A94,'The List'!$B1:$AS730,32,FALSE)," ")</f>
        <v>1.5526919847937866</v>
      </c>
      <c r="Z94" s="52">
        <f>IFERROR(VLOOKUP($A94,'The List'!$B1:$AS730,33,FALSE)," ")</f>
        <v>0.51245259864220005</v>
      </c>
      <c r="AA94" s="54"/>
      <c r="AB94" s="59"/>
      <c r="AC94" s="59"/>
      <c r="AD94" s="59"/>
      <c r="AE94" s="59"/>
      <c r="AF94" s="59"/>
    </row>
    <row r="95" spans="1:32" ht="21.2" customHeight="1">
      <c r="A95" s="23" t="s">
        <v>191</v>
      </c>
      <c r="B95" s="61" t="str">
        <f>IFERROR(VLOOKUP($A95,'The List'!$B1:$AS730,3,FALSE)," ")</f>
        <v>LW</v>
      </c>
      <c r="C95" s="63">
        <f>IFERROR(VLOOKUP($A95,'The List'!$B1:$AS730,4,FALSE)," ")</f>
        <v>33</v>
      </c>
      <c r="D95" s="34" t="str">
        <f>IFERROR(VLOOKUP($A95,'The List'!$B1:$AS730,5,FALSE)," ")</f>
        <v>BUF</v>
      </c>
      <c r="E95" s="34">
        <f>IFERROR(VLOOKUP($A95,'The List'!$B1:$AS730,6,FALSE)," ")</f>
        <v>31</v>
      </c>
      <c r="F95" s="49">
        <f>IFERROR(VLOOKUP($A95,'The List'!$B1:$AS730,8,FALSE)," ")</f>
        <v>7.2723688109085423</v>
      </c>
      <c r="G95" s="49">
        <f>IFERROR(VLOOKUP($A95,'The List'!$B1:$AS730,10,FALSE)," ")</f>
        <v>0.61769976678414107</v>
      </c>
      <c r="H95" s="38"/>
      <c r="I95" s="52">
        <f>IFERROR(VLOOKUP($A95,'The List'!$B1:$AS730,16,FALSE)," ")</f>
        <v>82</v>
      </c>
      <c r="J95" s="52">
        <f>IFERROR(VLOOKUP($A95,'The List'!$B1:$AS730,17,FALSE)," ")</f>
        <v>18.052546359164801</v>
      </c>
      <c r="K95" s="52">
        <f>IFERROR(VLOOKUP($A95,'The List'!$B1:$AS730,18,FALSE)," ")</f>
        <v>32.076168187318189</v>
      </c>
      <c r="L95" s="52">
        <f>IFERROR(VLOOKUP($A95,'The List'!$B1:$AS730,19,FALSE)," ")</f>
        <v>39.607224136645925</v>
      </c>
      <c r="M95" s="52">
        <f>IFERROR(VLOOKUP($A95,'The List'!$B1:$AS730,20,FALSE)," ")</f>
        <v>71.683392323964114</v>
      </c>
      <c r="N95" s="52">
        <f>IFERROR(VLOOKUP($A95,'The List'!$B1:$AS730,21,FALSE)," ")</f>
        <v>256.96355885686978</v>
      </c>
      <c r="O95" s="52">
        <f>IFERROR(VLOOKUP($A95,'The List'!$B1:$AS730,22,FALSE)," ")</f>
        <v>7.789783847228076</v>
      </c>
      <c r="P95" s="52">
        <f>IFERROR(VLOOKUP($A95,'The List'!$B1:$AS730,23,FALSE)," ")</f>
        <v>19.621586776229265</v>
      </c>
      <c r="Q95" s="52">
        <f>IFERROR(VLOOKUP($A95,'The List'!$B1:$AS730,24,FALSE)," ")</f>
        <v>1.2598012718927305E-2</v>
      </c>
      <c r="R95" s="52">
        <f>IFERROR(VLOOKUP($A95,'The List'!$B1:$AS730,25,FALSE)," ")</f>
        <v>2.2064078116882182E-2</v>
      </c>
      <c r="S95" s="52">
        <f>IFERROR(VLOOKUP($A95,'The List'!$B1:$AS730,26,FALSE)," ")</f>
        <v>19.060442111572698</v>
      </c>
      <c r="T95" s="52">
        <f>IFERROR(VLOOKUP($A95,'The List'!$B1:$AS730,27,FALSE)," ")</f>
        <v>31.715158143308685</v>
      </c>
      <c r="U95" s="52">
        <f>IFERROR(VLOOKUP($A95,'The List'!$B1:$AS730,28,FALSE)," ")</f>
        <v>0.95427976048923757</v>
      </c>
      <c r="V95" s="52">
        <f>IFERROR(VLOOKUP($A95,'The List'!$B1:$AS730,29,FALSE)," ")</f>
        <v>32.696429905436027</v>
      </c>
      <c r="W95" s="52">
        <f>IFERROR(VLOOKUP($A95,'The List'!$B1:$AS730,30,FALSE)," ")</f>
        <v>4.1063607877104538</v>
      </c>
      <c r="X95" s="52">
        <f>IFERROR(VLOOKUP($A95,'The List'!$B1:$AS730,31,FALSE)," ")</f>
        <v>130.67621820076664</v>
      </c>
      <c r="Y95" s="52">
        <f>IFERROR(VLOOKUP($A95,'The List'!$B1:$AS730,32,FALSE)," ")</f>
        <v>161.90890079386867</v>
      </c>
      <c r="Z95" s="52">
        <f>IFERROR(VLOOKUP($A95,'The List'!$B1:$AS730,33,FALSE)," ")</f>
        <v>0.44662633099656301</v>
      </c>
      <c r="AA95" s="54"/>
      <c r="AB95" s="59"/>
      <c r="AC95" s="59"/>
      <c r="AD95" s="59"/>
      <c r="AE95" s="59"/>
      <c r="AF95" s="59"/>
    </row>
    <row r="96" spans="1:32" ht="21.2" customHeight="1">
      <c r="A96" s="23" t="s">
        <v>240</v>
      </c>
      <c r="B96" s="61" t="str">
        <f>IFERROR(VLOOKUP($A96,'The List'!$B1:$AS730,3,FALSE)," ")</f>
        <v>LW,RW</v>
      </c>
      <c r="C96" s="63">
        <f>IFERROR(VLOOKUP($A96,'The List'!$B1:$AS730,4,FALSE)," ")</f>
        <v>42</v>
      </c>
      <c r="D96" s="34" t="str">
        <f>IFERROR(VLOOKUP($A96,'The List'!$B1:$AS730,5,FALSE)," ")</f>
        <v>DET</v>
      </c>
      <c r="E96" s="34">
        <f>IFERROR(VLOOKUP($A96,'The List'!$B1:$AS730,6,FALSE)," ")</f>
        <v>21</v>
      </c>
      <c r="F96" s="49">
        <f>IFERROR(VLOOKUP($A96,'The List'!$B1:$AS730,8,FALSE)," ")</f>
        <v>5.036515804325699</v>
      </c>
      <c r="G96" s="49">
        <f>IFERROR(VLOOKUP($A96,'The List'!$B1:$AS730,10,FALSE)," ")</f>
        <v>-1.2437429146853818</v>
      </c>
      <c r="H96" s="38"/>
      <c r="I96" s="52">
        <f>IFERROR(VLOOKUP($A96,'The List'!$B1:$AS730,16,FALSE)," ")</f>
        <v>82</v>
      </c>
      <c r="J96" s="52">
        <f>IFERROR(VLOOKUP($A96,'The List'!$B1:$AS730,17,FALSE)," ")</f>
        <v>17.9453802520324</v>
      </c>
      <c r="K96" s="52">
        <f>IFERROR(VLOOKUP($A96,'The List'!$B1:$AS730,18,FALSE)," ")</f>
        <v>25.22205481607196</v>
      </c>
      <c r="L96" s="52">
        <f>IFERROR(VLOOKUP($A96,'The List'!$B1:$AS730,19,FALSE)," ")</f>
        <v>38.713908632520855</v>
      </c>
      <c r="M96" s="52">
        <f>IFERROR(VLOOKUP($A96,'The List'!$B1:$AS730,20,FALSE)," ")</f>
        <v>63.935963448592815</v>
      </c>
      <c r="N96" s="52">
        <f>IFERROR(VLOOKUP($A96,'The List'!$B1:$AS730,21,FALSE)," ")</f>
        <v>171.57346346058259</v>
      </c>
      <c r="O96" s="52">
        <f>IFERROR(VLOOKUP($A96,'The List'!$B1:$AS730,22,FALSE)," ")</f>
        <v>6.7553065572581277</v>
      </c>
      <c r="P96" s="52">
        <f>IFERROR(VLOOKUP($A96,'The List'!$B1:$AS730,23,FALSE)," ")</f>
        <v>22.22055586155863</v>
      </c>
      <c r="Q96" s="52">
        <f>IFERROR(VLOOKUP($A96,'The List'!$B1:$AS730,24,FALSE)," ")</f>
        <v>2.0054907219716062E-2</v>
      </c>
      <c r="R96" s="52">
        <f>IFERROR(VLOOKUP($A96,'The List'!$B1:$AS730,25,FALSE)," ")</f>
        <v>4.0875375748996259E-2</v>
      </c>
      <c r="S96" s="52">
        <f>IFERROR(VLOOKUP($A96,'The List'!$B1:$AS730,26,FALSE)," ")</f>
        <v>24.648383029910903</v>
      </c>
      <c r="T96" s="52">
        <f>IFERROR(VLOOKUP($A96,'The List'!$B1:$AS730,27,FALSE)," ")</f>
        <v>55.822714451052576</v>
      </c>
      <c r="U96" s="52">
        <f>IFERROR(VLOOKUP($A96,'The List'!$B1:$AS730,28,FALSE)," ")</f>
        <v>-5.0866022129755866</v>
      </c>
      <c r="V96" s="52">
        <f>IFERROR(VLOOKUP($A96,'The List'!$B1:$AS730,29,FALSE)," ")</f>
        <v>25.020155861792233</v>
      </c>
      <c r="W96" s="52">
        <f>IFERROR(VLOOKUP($A96,'The List'!$B1:$AS730,30,FALSE)," ")</f>
        <v>3.3377823096943189</v>
      </c>
      <c r="X96" s="52">
        <f>IFERROR(VLOOKUP($A96,'The List'!$B1:$AS730,31,FALSE)," ")</f>
        <v>7.3398042163078596</v>
      </c>
      <c r="Y96" s="52">
        <f>IFERROR(VLOOKUP($A96,'The List'!$B1:$AS730,32,FALSE)," ")</f>
        <v>14.268892638677869</v>
      </c>
      <c r="Z96" s="52">
        <f>IFERROR(VLOOKUP($A96,'The List'!$B1:$AS730,33,FALSE)," ")</f>
        <v>0.33966898909104498</v>
      </c>
      <c r="AA96" s="54"/>
      <c r="AB96" s="59"/>
      <c r="AC96" s="59"/>
      <c r="AD96" s="59"/>
      <c r="AE96" s="59"/>
      <c r="AF96" s="59"/>
    </row>
    <row r="97" spans="1:32" ht="21.2" customHeight="1">
      <c r="A97" s="23" t="s">
        <v>175</v>
      </c>
      <c r="B97" s="64" t="str">
        <f>IFERROR(VLOOKUP($A97,'The List'!$B1:$AS730,3,FALSE)," ")</f>
        <v>RW</v>
      </c>
      <c r="C97" s="66">
        <f>IFERROR(VLOOKUP($A97,'The List'!$B1:$AS730,4,FALSE)," ")</f>
        <v>27</v>
      </c>
      <c r="D97" s="34" t="str">
        <f>IFERROR(VLOOKUP($A97,'The List'!$B1:$AS730,5,FALSE)," ")</f>
        <v>FLA</v>
      </c>
      <c r="E97" s="34">
        <f>IFERROR(VLOOKUP($A97,'The List'!$B1:$AS730,6,FALSE)," ")</f>
        <v>27</v>
      </c>
      <c r="F97" s="49">
        <f>IFERROR(VLOOKUP($A97,'The List'!$B1:$AS730,8,FALSE)," ")</f>
        <v>6.8556134373671789</v>
      </c>
      <c r="G97" s="49">
        <f>IFERROR(VLOOKUP($A97,'The List'!$B1:$AS730,10,FALSE)," ")</f>
        <v>0.57535471835609808</v>
      </c>
      <c r="H97" s="38"/>
      <c r="I97" s="52">
        <f>IFERROR(VLOOKUP($A97,'The List'!$B1:$AS730,16,FALSE)," ")</f>
        <v>82</v>
      </c>
      <c r="J97" s="52">
        <f>IFERROR(VLOOKUP($A97,'The List'!$B1:$AS730,17,FALSE)," ")</f>
        <v>19.4591950002287</v>
      </c>
      <c r="K97" s="52">
        <f>IFERROR(VLOOKUP($A97,'The List'!$B1:$AS730,18,FALSE)," ")</f>
        <v>31.050504865209756</v>
      </c>
      <c r="L97" s="52">
        <f>IFERROR(VLOOKUP($A97,'The List'!$B1:$AS730,19,FALSE)," ")</f>
        <v>38.292778007497667</v>
      </c>
      <c r="M97" s="52">
        <f>IFERROR(VLOOKUP($A97,'The List'!$B1:$AS730,20,FALSE)," ")</f>
        <v>69.34328287270742</v>
      </c>
      <c r="N97" s="52">
        <f>IFERROR(VLOOKUP($A97,'The List'!$B1:$AS730,21,FALSE)," ")</f>
        <v>212.4765082324713</v>
      </c>
      <c r="O97" s="52">
        <f>IFERROR(VLOOKUP($A97,'The List'!$B1:$AS730,22,FALSE)," ")</f>
        <v>13.621040916225144</v>
      </c>
      <c r="P97" s="52">
        <f>IFERROR(VLOOKUP($A97,'The List'!$B1:$AS730,23,FALSE)," ")</f>
        <v>25.876163861025429</v>
      </c>
      <c r="Q97" s="52">
        <f>IFERROR(VLOOKUP($A97,'The List'!$B1:$AS730,24,FALSE)," ")</f>
        <v>0.11302051719049189</v>
      </c>
      <c r="R97" s="52">
        <f>IFERROR(VLOOKUP($A97,'The List'!$B1:$AS730,25,FALSE)," ")</f>
        <v>2.8221164123281928</v>
      </c>
      <c r="S97" s="52">
        <f>IFERROR(VLOOKUP($A97,'The List'!$B1:$AS730,26,FALSE)," ")</f>
        <v>44.787745948735825</v>
      </c>
      <c r="T97" s="52">
        <f>IFERROR(VLOOKUP($A97,'The List'!$B1:$AS730,27,FALSE)," ")</f>
        <v>58.642627015263315</v>
      </c>
      <c r="U97" s="52">
        <f>IFERROR(VLOOKUP($A97,'The List'!$B1:$AS730,28,FALSE)," ")</f>
        <v>3.5875266106672905</v>
      </c>
      <c r="V97" s="52">
        <f>IFERROR(VLOOKUP($A97,'The List'!$B1:$AS730,29,FALSE)," ")</f>
        <v>17.35712174981602</v>
      </c>
      <c r="W97" s="52">
        <f>IFERROR(VLOOKUP($A97,'The List'!$B1:$AS730,30,FALSE)," ")</f>
        <v>4.4542657485806476</v>
      </c>
      <c r="X97" s="52">
        <f>IFERROR(VLOOKUP($A97,'The List'!$B1:$AS730,31,FALSE)," ")</f>
        <v>219.58387214987667</v>
      </c>
      <c r="Y97" s="52">
        <f>IFERROR(VLOOKUP($A97,'The List'!$B1:$AS730,32,FALSE)," ")</f>
        <v>228.60784749237129</v>
      </c>
      <c r="Z97" s="52">
        <f>IFERROR(VLOOKUP($A97,'The List'!$B1:$AS730,33,FALSE)," ")</f>
        <v>0.48993290711651599</v>
      </c>
      <c r="AA97" s="54"/>
      <c r="AB97" s="59"/>
      <c r="AC97" s="59"/>
      <c r="AD97" s="59"/>
      <c r="AE97" s="59"/>
      <c r="AF97" s="59"/>
    </row>
    <row r="98" spans="1:32" ht="21.2" customHeight="1">
      <c r="A98" s="23" t="s">
        <v>174</v>
      </c>
      <c r="B98" s="64" t="str">
        <f>IFERROR(VLOOKUP($A98,'The List'!$B1:$AS730,3,FALSE)," ")</f>
        <v>LW,RW</v>
      </c>
      <c r="C98" s="66">
        <f>IFERROR(VLOOKUP($A98,'The List'!$B1:$AS730,4,FALSE)," ")</f>
        <v>15</v>
      </c>
      <c r="D98" s="34" t="str">
        <f>IFERROR(VLOOKUP($A98,'The List'!$B1:$AS730,5,FALSE)," ")</f>
        <v>CBJ</v>
      </c>
      <c r="E98" s="34">
        <f>IFERROR(VLOOKUP($A98,'The List'!$B1:$AS730,6,FALSE)," ")</f>
        <v>25</v>
      </c>
      <c r="F98" s="49">
        <f>IFERROR(VLOOKUP($A98,'The List'!$B1:$AS730,8,FALSE)," ")</f>
        <v>8.4488457205773173</v>
      </c>
      <c r="G98" s="49">
        <f>IFERROR(VLOOKUP($A98,'The List'!$B1:$AS730,10,FALSE)," ")</f>
        <v>2.1685870015662365</v>
      </c>
      <c r="H98" s="38"/>
      <c r="I98" s="52">
        <f>IFERROR(VLOOKUP($A98,'The List'!$B1:$AS730,16,FALSE)," ")</f>
        <v>82</v>
      </c>
      <c r="J98" s="52">
        <f>IFERROR(VLOOKUP($A98,'The List'!$B1:$AS730,17,FALSE)," ")</f>
        <v>19.1773035172879</v>
      </c>
      <c r="K98" s="52">
        <f>IFERROR(VLOOKUP($A98,'The List'!$B1:$AS730,18,FALSE)," ")</f>
        <v>34.799383901161214</v>
      </c>
      <c r="L98" s="52">
        <f>IFERROR(VLOOKUP($A98,'The List'!$B1:$AS730,19,FALSE)," ")</f>
        <v>44.044906105455361</v>
      </c>
      <c r="M98" s="52">
        <f>IFERROR(VLOOKUP($A98,'The List'!$B1:$AS730,20,FALSE)," ")</f>
        <v>78.844290006616575</v>
      </c>
      <c r="N98" s="52">
        <f>IFERROR(VLOOKUP($A98,'The List'!$B1:$AS730,21,FALSE)," ")</f>
        <v>255.53624603140935</v>
      </c>
      <c r="O98" s="52">
        <f>IFERROR(VLOOKUP($A98,'The List'!$B1:$AS730,22,FALSE)," ")</f>
        <v>10.417503752129575</v>
      </c>
      <c r="P98" s="52">
        <f>IFERROR(VLOOKUP($A98,'The List'!$B1:$AS730,23,FALSE)," ")</f>
        <v>22.632279700254465</v>
      </c>
      <c r="Q98" s="52">
        <f>IFERROR(VLOOKUP($A98,'The List'!$B1:$AS730,24,FALSE)," ")</f>
        <v>3.8700961773999866E-3</v>
      </c>
      <c r="R98" s="52">
        <f>IFERROR(VLOOKUP($A98,'The List'!$B1:$AS730,25,FALSE)," ")</f>
        <v>7.5324486988978569E-3</v>
      </c>
      <c r="S98" s="52">
        <f>IFERROR(VLOOKUP($A98,'The List'!$B1:$AS730,26,FALSE)," ")</f>
        <v>34.693941837213309</v>
      </c>
      <c r="T98" s="52">
        <f>IFERROR(VLOOKUP($A98,'The List'!$B1:$AS730,27,FALSE)," ")</f>
        <v>50.225450362684683</v>
      </c>
      <c r="U98" s="52">
        <f>IFERROR(VLOOKUP($A98,'The List'!$B1:$AS730,28,FALSE)," ")</f>
        <v>-4.6698850816005262</v>
      </c>
      <c r="V98" s="52">
        <f>IFERROR(VLOOKUP($A98,'The List'!$B1:$AS730,29,FALSE)," ")</f>
        <v>31.108610071509425</v>
      </c>
      <c r="W98" s="52">
        <f>IFERROR(VLOOKUP($A98,'The List'!$B1:$AS730,30,FALSE)," ")</f>
        <v>3.7289935852843397</v>
      </c>
      <c r="X98" s="52">
        <f>IFERROR(VLOOKUP($A98,'The List'!$B1:$AS730,31,FALSE)," ")</f>
        <v>34.163787755188366</v>
      </c>
      <c r="Y98" s="52">
        <f>IFERROR(VLOOKUP($A98,'The List'!$B1:$AS730,32,FALSE)," ")</f>
        <v>67.794966916722572</v>
      </c>
      <c r="Z98" s="52">
        <f>IFERROR(VLOOKUP($A98,'The List'!$B1:$AS730,33,FALSE)," ")</f>
        <v>0.335074588397266</v>
      </c>
      <c r="AA98" s="54"/>
      <c r="AB98" s="59"/>
      <c r="AC98" s="59"/>
      <c r="AD98" s="59"/>
      <c r="AE98" s="59"/>
      <c r="AF98" s="59"/>
    </row>
    <row r="99" spans="1:32" ht="21.2" customHeight="1">
      <c r="A99" s="23" t="s">
        <v>187</v>
      </c>
      <c r="B99" s="64" t="str">
        <f>IFERROR(VLOOKUP($A99,'The List'!$B1:$AS730,3,FALSE)," ")</f>
        <v>RW</v>
      </c>
      <c r="C99" s="66">
        <f>IFERROR(VLOOKUP($A99,'The List'!$B1:$AS730,4,FALSE)," ")</f>
        <v>25</v>
      </c>
      <c r="D99" s="34" t="str">
        <f>IFERROR(VLOOKUP($A99,'The List'!$B1:$AS730,5,FALSE)," ")</f>
        <v>ANA</v>
      </c>
      <c r="E99" s="34">
        <f>IFERROR(VLOOKUP($A99,'The List'!$B1:$AS730,6,FALSE)," ")</f>
        <v>25</v>
      </c>
      <c r="F99" s="49">
        <f>IFERROR(VLOOKUP($A99,'The List'!$B1:$AS730,8,FALSE)," ")</f>
        <v>7.1688647251580715</v>
      </c>
      <c r="G99" s="49">
        <f>IFERROR(VLOOKUP($A99,'The List'!$B1:$AS730,10,FALSE)," ")</f>
        <v>0.8886060061469907</v>
      </c>
      <c r="H99" s="38"/>
      <c r="I99" s="52">
        <f>IFERROR(VLOOKUP($A99,'The List'!$B1:$AS730,16,FALSE)," ")</f>
        <v>82</v>
      </c>
      <c r="J99" s="52">
        <f>IFERROR(VLOOKUP($A99,'The List'!$B1:$AS730,17,FALSE)," ")</f>
        <v>19.746723321483</v>
      </c>
      <c r="K99" s="52">
        <f>IFERROR(VLOOKUP($A99,'The List'!$B1:$AS730,18,FALSE)," ")</f>
        <v>34.021690742100134</v>
      </c>
      <c r="L99" s="52">
        <f>IFERROR(VLOOKUP($A99,'The List'!$B1:$AS730,19,FALSE)," ")</f>
        <v>42.750511698253192</v>
      </c>
      <c r="M99" s="52">
        <f>IFERROR(VLOOKUP($A99,'The List'!$B1:$AS730,20,FALSE)," ")</f>
        <v>76.772202440353325</v>
      </c>
      <c r="N99" s="52">
        <f>IFERROR(VLOOKUP($A99,'The List'!$B1:$AS730,21,FALSE)," ")</f>
        <v>224.14706019015412</v>
      </c>
      <c r="O99" s="52">
        <f>IFERROR(VLOOKUP($A99,'The List'!$B1:$AS730,22,FALSE)," ")</f>
        <v>8.0307232616445496</v>
      </c>
      <c r="P99" s="52">
        <f>IFERROR(VLOOKUP($A99,'The List'!$B1:$AS730,23,FALSE)," ")</f>
        <v>17.707669672764304</v>
      </c>
      <c r="Q99" s="52">
        <f>IFERROR(VLOOKUP($A99,'The List'!$B1:$AS730,24,FALSE)," ")</f>
        <v>7.6577157147622477E-2</v>
      </c>
      <c r="R99" s="52">
        <f>IFERROR(VLOOKUP($A99,'The List'!$B1:$AS730,25,FALSE)," ")</f>
        <v>0.14835075523614707</v>
      </c>
      <c r="S99" s="52">
        <f>IFERROR(VLOOKUP($A99,'The List'!$B1:$AS730,26,FALSE)," ")</f>
        <v>29.461087800449331</v>
      </c>
      <c r="T99" s="52">
        <f>IFERROR(VLOOKUP($A99,'The List'!$B1:$AS730,27,FALSE)," ")</f>
        <v>17.784720523746735</v>
      </c>
      <c r="U99" s="52">
        <f>IFERROR(VLOOKUP($A99,'The List'!$B1:$AS730,28,FALSE)," ")</f>
        <v>-6.9286139592212175</v>
      </c>
      <c r="V99" s="52">
        <f>IFERROR(VLOOKUP($A99,'The List'!$B1:$AS730,29,FALSE)," ")</f>
        <v>31.940006965831675</v>
      </c>
      <c r="W99" s="52">
        <f>IFERROR(VLOOKUP($A99,'The List'!$B1:$AS730,30,FALSE)," ")</f>
        <v>3.261422212880221</v>
      </c>
      <c r="X99" s="52">
        <f>IFERROR(VLOOKUP($A99,'The List'!$B1:$AS730,31,FALSE)," ")</f>
        <v>2.4699319598178504</v>
      </c>
      <c r="Y99" s="52">
        <f>IFERROR(VLOOKUP($A99,'The List'!$B1:$AS730,32,FALSE)," ")</f>
        <v>1.7773607226203088</v>
      </c>
      <c r="Z99" s="52">
        <f>IFERROR(VLOOKUP($A99,'The List'!$B1:$AS730,33,FALSE)," ")</f>
        <v>0.58153090556499798</v>
      </c>
      <c r="AA99" s="54"/>
      <c r="AB99" s="59"/>
      <c r="AC99" s="59"/>
      <c r="AD99" s="59"/>
      <c r="AE99" s="59"/>
      <c r="AF99" s="59"/>
    </row>
    <row r="100" spans="1:32" ht="21.2" customHeight="1">
      <c r="A100" s="23"/>
      <c r="B100" s="64" t="str">
        <f>IFERROR(VLOOKUP($A100,'The List'!$B1:$AS730,3,FALSE)," ")</f>
        <v xml:space="preserve"> </v>
      </c>
      <c r="C100" s="66" t="str">
        <f>IFERROR(VLOOKUP($A100,'The List'!$B1:$AS730,4,FALSE)," ")</f>
        <v xml:space="preserve"> </v>
      </c>
      <c r="D100" s="34" t="str">
        <f>IFERROR(VLOOKUP($A100,'The List'!$B1:$AS730,5,FALSE)," ")</f>
        <v xml:space="preserve"> </v>
      </c>
      <c r="E100" s="34" t="str">
        <f>IFERROR(VLOOKUP($A100,'The List'!$B1:$AS730,6,FALSE)," ")</f>
        <v xml:space="preserve"> </v>
      </c>
      <c r="F100" s="49" t="str">
        <f>IFERROR(VLOOKUP($A100,'The List'!$B1:$AS730,8,FALSE)," ")</f>
        <v xml:space="preserve"> </v>
      </c>
      <c r="G100" s="49" t="str">
        <f>IFERROR(VLOOKUP($A100,'The List'!$B1:$AS730,10,FALSE)," ")</f>
        <v xml:space="preserve"> </v>
      </c>
      <c r="H100" s="38"/>
      <c r="I100" s="52" t="str">
        <f>IFERROR(VLOOKUP($A100,'The List'!$B1:$AS730,16,FALSE)," ")</f>
        <v xml:space="preserve"> </v>
      </c>
      <c r="J100" s="52" t="str">
        <f>IFERROR(VLOOKUP($A100,'The List'!$B1:$AS730,17,FALSE)," ")</f>
        <v xml:space="preserve"> </v>
      </c>
      <c r="K100" s="52" t="str">
        <f>IFERROR(VLOOKUP($A100,'The List'!$B1:$AS730,18,FALSE)," ")</f>
        <v xml:space="preserve"> </v>
      </c>
      <c r="L100" s="52" t="str">
        <f>IFERROR(VLOOKUP($A100,'The List'!$B1:$AS730,19,FALSE)," ")</f>
        <v xml:space="preserve"> </v>
      </c>
      <c r="M100" s="52" t="str">
        <f>IFERROR(VLOOKUP($A100,'The List'!$B1:$AS730,20,FALSE)," ")</f>
        <v xml:space="preserve"> </v>
      </c>
      <c r="N100" s="52" t="str">
        <f>IFERROR(VLOOKUP($A100,'The List'!$B1:$AS730,21,FALSE)," ")</f>
        <v xml:space="preserve"> </v>
      </c>
      <c r="O100" s="52" t="str">
        <f>IFERROR(VLOOKUP($A100,'The List'!$B1:$AS730,22,FALSE)," ")</f>
        <v xml:space="preserve"> </v>
      </c>
      <c r="P100" s="52" t="str">
        <f>IFERROR(VLOOKUP($A100,'The List'!$B1:$AS730,23,FALSE)," ")</f>
        <v xml:space="preserve"> </v>
      </c>
      <c r="Q100" s="52" t="str">
        <f>IFERROR(VLOOKUP($A100,'The List'!$B1:$AS730,24,FALSE)," ")</f>
        <v xml:space="preserve"> </v>
      </c>
      <c r="R100" s="52" t="str">
        <f>IFERROR(VLOOKUP($A100,'The List'!$B1:$AS730,25,FALSE)," ")</f>
        <v xml:space="preserve"> </v>
      </c>
      <c r="S100" s="52" t="str">
        <f>IFERROR(VLOOKUP($A100,'The List'!$B1:$AS730,26,FALSE)," ")</f>
        <v xml:space="preserve"> </v>
      </c>
      <c r="T100" s="52" t="str">
        <f>IFERROR(VLOOKUP($A100,'The List'!$B1:$AS730,27,FALSE)," ")</f>
        <v xml:space="preserve"> </v>
      </c>
      <c r="U100" s="52" t="str">
        <f>IFERROR(VLOOKUP($A100,'The List'!$B1:$AS730,28,FALSE)," ")</f>
        <v xml:space="preserve"> </v>
      </c>
      <c r="V100" s="52" t="str">
        <f>IFERROR(VLOOKUP($A100,'The List'!$B1:$AS730,29,FALSE)," ")</f>
        <v xml:space="preserve"> </v>
      </c>
      <c r="W100" s="52" t="str">
        <f>IFERROR(VLOOKUP($A100,'The List'!$B1:$AS730,30,FALSE)," ")</f>
        <v xml:space="preserve"> </v>
      </c>
      <c r="X100" s="52" t="str">
        <f>IFERROR(VLOOKUP($A100,'The List'!$B1:$AS730,31,FALSE)," ")</f>
        <v xml:space="preserve"> </v>
      </c>
      <c r="Y100" s="52" t="str">
        <f>IFERROR(VLOOKUP($A100,'The List'!$B1:$AS730,32,FALSE)," ")</f>
        <v xml:space="preserve"> </v>
      </c>
      <c r="Z100" s="52" t="str">
        <f>IFERROR(VLOOKUP($A100,'The List'!$B1:$AS730,33,FALSE)," ")</f>
        <v xml:space="preserve"> </v>
      </c>
      <c r="AA100" s="54"/>
      <c r="AB100" s="59"/>
      <c r="AC100" s="59"/>
      <c r="AD100" s="59"/>
      <c r="AE100" s="59"/>
      <c r="AF100" s="59"/>
    </row>
    <row r="101" spans="1:32" ht="21.2" customHeight="1">
      <c r="A101" s="23" t="s">
        <v>161</v>
      </c>
      <c r="B101" s="67" t="str">
        <f>IFERROR(VLOOKUP($A101,'The List'!$B1:$AS730,3,FALSE)," ")</f>
        <v>D</v>
      </c>
      <c r="C101" s="69">
        <f>IFERROR(VLOOKUP($A101,'The List'!$B1:$AS730,4,FALSE)," ")</f>
        <v>10</v>
      </c>
      <c r="D101" s="34" t="str">
        <f>IFERROR(VLOOKUP($A101,'The List'!$B1:$AS730,5,FALSE)," ")</f>
        <v>FLA</v>
      </c>
      <c r="E101" s="34">
        <f>IFERROR(VLOOKUP($A101,'The List'!$B1:$AS730,6,FALSE)," ")</f>
        <v>29</v>
      </c>
      <c r="F101" s="49">
        <f>IFERROR(VLOOKUP($A101,'The List'!$B1:$AS730,8,FALSE)," ")</f>
        <v>6.256987505803548</v>
      </c>
      <c r="G101" s="49">
        <f>IFERROR(VLOOKUP($A101,'The List'!$B1:$AS730,10,FALSE)," ")</f>
        <v>4.3152469621692369</v>
      </c>
      <c r="H101" s="38"/>
      <c r="I101" s="52">
        <f>IFERROR(VLOOKUP($A101,'The List'!$B1:$AS730,16,FALSE)," ")</f>
        <v>82</v>
      </c>
      <c r="J101" s="52">
        <f>IFERROR(VLOOKUP($A101,'The List'!$B1:$AS730,17,FALSE)," ")</f>
        <v>23.813428477400901</v>
      </c>
      <c r="K101" s="52">
        <f>IFERROR(VLOOKUP($A101,'The List'!$B1:$AS730,18,FALSE)," ")</f>
        <v>14.413745919202986</v>
      </c>
      <c r="L101" s="52">
        <f>IFERROR(VLOOKUP($A101,'The List'!$B1:$AS730,19,FALSE)," ")</f>
        <v>49.504324618221624</v>
      </c>
      <c r="M101" s="52">
        <f>IFERROR(VLOOKUP($A101,'The List'!$B1:$AS730,20,FALSE)," ")</f>
        <v>63.918070537424612</v>
      </c>
      <c r="N101" s="52">
        <f>IFERROR(VLOOKUP($A101,'The List'!$B1:$AS730,21,FALSE)," ")</f>
        <v>229.80012729354507</v>
      </c>
      <c r="O101" s="52">
        <f>IFERROR(VLOOKUP($A101,'The List'!$B1:$AS730,22,FALSE)," ")</f>
        <v>2.8611797546595223</v>
      </c>
      <c r="P101" s="52">
        <f>IFERROR(VLOOKUP($A101,'The List'!$B1:$AS730,23,FALSE)," ")</f>
        <v>27.180044024102163</v>
      </c>
      <c r="Q101" s="52">
        <f>IFERROR(VLOOKUP($A101,'The List'!$B1:$AS730,24,FALSE)," ")</f>
        <v>0.13637633172129593</v>
      </c>
      <c r="R101" s="52">
        <f>IFERROR(VLOOKUP($A101,'The List'!$B1:$AS730,25,FALSE)," ")</f>
        <v>0.19331655153271085</v>
      </c>
      <c r="S101" s="52">
        <f>IFERROR(VLOOKUP($A101,'The List'!$B1:$AS730,26,FALSE)," ")</f>
        <v>97.883498560276379</v>
      </c>
      <c r="T101" s="52">
        <f>IFERROR(VLOOKUP($A101,'The List'!$B1:$AS730,27,FALSE)," ")</f>
        <v>89.932438589161976</v>
      </c>
      <c r="U101" s="52">
        <f>IFERROR(VLOOKUP($A101,'The List'!$B1:$AS730,28,FALSE)," ")</f>
        <v>5.0467454803598937</v>
      </c>
      <c r="V101" s="52">
        <f>IFERROR(VLOOKUP($A101,'The List'!$B1:$AS730,29,FALSE)," ")</f>
        <v>59.185299282394034</v>
      </c>
      <c r="W101" s="52">
        <f>IFERROR(VLOOKUP($A101,'The List'!$B1:$AS730,30,FALSE)," ")</f>
        <v>2.067684729615634</v>
      </c>
      <c r="X101" s="52">
        <f>IFERROR(VLOOKUP($A101,'The List'!$B1:$AS730,31,FALSE)," ")</f>
        <v>0</v>
      </c>
      <c r="Y101" s="52">
        <f>IFERROR(VLOOKUP($A101,'The List'!$B1:$AS730,32,FALSE)," ")</f>
        <v>0</v>
      </c>
      <c r="Z101" s="52">
        <f>IFERROR(VLOOKUP($A101,'The List'!$B1:$AS730,33,FALSE)," ")</f>
        <v>0</v>
      </c>
      <c r="AA101" s="54"/>
      <c r="AB101" s="59"/>
      <c r="AC101" s="59"/>
      <c r="AD101" s="59"/>
      <c r="AE101" s="59"/>
      <c r="AF101" s="59"/>
    </row>
    <row r="102" spans="1:32" ht="21.2" customHeight="1">
      <c r="A102" s="23" t="s">
        <v>253</v>
      </c>
      <c r="B102" s="67" t="str">
        <f>IFERROR(VLOOKUP($A102,'The List'!$B1:$AS730,3,FALSE)," ")</f>
        <v>D</v>
      </c>
      <c r="C102" s="69">
        <f>IFERROR(VLOOKUP($A102,'The List'!$B1:$AS730,4,FALSE)," ")</f>
        <v>49</v>
      </c>
      <c r="D102" s="34" t="str">
        <f>IFERROR(VLOOKUP($A102,'The List'!$B1:$AS730,5,FALSE)," ")</f>
        <v>EDM</v>
      </c>
      <c r="E102" s="34">
        <f>IFERROR(VLOOKUP($A102,'The List'!$B1:$AS730,6,FALSE)," ")</f>
        <v>28</v>
      </c>
      <c r="F102" s="49">
        <f>IFERROR(VLOOKUP($A102,'The List'!$B1:$AS730,8,FALSE)," ")</f>
        <v>-7.309199880531142E-2</v>
      </c>
      <c r="G102" s="49">
        <f>IFERROR(VLOOKUP($A102,'The List'!$B1:$AS730,10,FALSE)," ")</f>
        <v>-2.0148325424396223</v>
      </c>
      <c r="H102" s="38"/>
      <c r="I102" s="52">
        <f>IFERROR(VLOOKUP($A102,'The List'!$B1:$AS730,16,FALSE)," ")</f>
        <v>82</v>
      </c>
      <c r="J102" s="52">
        <f>IFERROR(VLOOKUP($A102,'The List'!$B1:$AS730,17,FALSE)," ")</f>
        <v>21.811385729283899</v>
      </c>
      <c r="K102" s="52">
        <f>IFERROR(VLOOKUP($A102,'The List'!$B1:$AS730,18,FALSE)," ")</f>
        <v>11.468034829037164</v>
      </c>
      <c r="L102" s="52">
        <f>IFERROR(VLOOKUP($A102,'The List'!$B1:$AS730,19,FALSE)," ")</f>
        <v>25.778336200931719</v>
      </c>
      <c r="M102" s="52">
        <f>IFERROR(VLOOKUP($A102,'The List'!$B1:$AS730,20,FALSE)," ")</f>
        <v>37.246371029968884</v>
      </c>
      <c r="N102" s="52">
        <f>IFERROR(VLOOKUP($A102,'The List'!$B1:$AS730,21,FALSE)," ")</f>
        <v>185.65395114777289</v>
      </c>
      <c r="O102" s="52">
        <f>IFERROR(VLOOKUP($A102,'The List'!$B1:$AS730,22,FALSE)," ")</f>
        <v>0.26259971898608986</v>
      </c>
      <c r="P102" s="52">
        <f>IFERROR(VLOOKUP($A102,'The List'!$B1:$AS730,23,FALSE)," ")</f>
        <v>3.1354601982081585</v>
      </c>
      <c r="Q102" s="52">
        <f>IFERROR(VLOOKUP($A102,'The List'!$B1:$AS730,24,FALSE)," ")</f>
        <v>1.4874636636129186</v>
      </c>
      <c r="R102" s="52">
        <f>IFERROR(VLOOKUP($A102,'The List'!$B1:$AS730,25,FALSE)," ")</f>
        <v>1.8864991552493078</v>
      </c>
      <c r="S102" s="52">
        <f>IFERROR(VLOOKUP($A102,'The List'!$B1:$AS730,26,FALSE)," ")</f>
        <v>146.89437024075767</v>
      </c>
      <c r="T102" s="52">
        <f>IFERROR(VLOOKUP($A102,'The List'!$B1:$AS730,27,FALSE)," ")</f>
        <v>148.9352088634441</v>
      </c>
      <c r="U102" s="52">
        <f>IFERROR(VLOOKUP($A102,'The List'!$B1:$AS730,28,FALSE)," ")</f>
        <v>6.4356723681359185</v>
      </c>
      <c r="V102" s="52">
        <f>IFERROR(VLOOKUP($A102,'The List'!$B1:$AS730,29,FALSE)," ")</f>
        <v>56.113197652513612</v>
      </c>
      <c r="W102" s="52">
        <f>IFERROR(VLOOKUP($A102,'The List'!$B1:$AS730,30,FALSE)," ")</f>
        <v>1.8152667969388008</v>
      </c>
      <c r="X102" s="52">
        <f>IFERROR(VLOOKUP($A102,'The List'!$B1:$AS730,31,FALSE)," ")</f>
        <v>0</v>
      </c>
      <c r="Y102" s="52">
        <f>IFERROR(VLOOKUP($A102,'The List'!$B1:$AS730,32,FALSE)," ")</f>
        <v>0</v>
      </c>
      <c r="Z102" s="52">
        <f>IFERROR(VLOOKUP($A102,'The List'!$B1:$AS730,33,FALSE)," ")</f>
        <v>0</v>
      </c>
      <c r="AA102" s="54"/>
      <c r="AB102" s="59"/>
      <c r="AC102" s="59"/>
      <c r="AD102" s="59"/>
      <c r="AE102" s="59"/>
      <c r="AF102" s="59"/>
    </row>
    <row r="103" spans="1:32" ht="21.2" customHeight="1">
      <c r="A103" s="23" t="s">
        <v>183</v>
      </c>
      <c r="B103" s="67" t="str">
        <f>IFERROR(VLOOKUP($A103,'The List'!$B1:$AS730,3,FALSE)," ")</f>
        <v>D</v>
      </c>
      <c r="C103" s="69">
        <f>IFERROR(VLOOKUP($A103,'The List'!$B1:$AS730,4,FALSE)," ")</f>
        <v>28</v>
      </c>
      <c r="D103" s="34" t="str">
        <f>IFERROR(VLOOKUP($A103,'The List'!$B1:$AS730,5,FALSE)," ")</f>
        <v>VGK</v>
      </c>
      <c r="E103" s="34">
        <f>IFERROR(VLOOKUP($A103,'The List'!$B1:$AS730,6,FALSE)," ")</f>
        <v>33</v>
      </c>
      <c r="F103" s="49">
        <f>IFERROR(VLOOKUP($A103,'The List'!$B1:$AS730,8,FALSE)," ")</f>
        <v>2.6590856762594255</v>
      </c>
      <c r="G103" s="49">
        <f>IFERROR(VLOOKUP($A103,'The List'!$B1:$AS730,10,FALSE)," ")</f>
        <v>0.71734513262511479</v>
      </c>
      <c r="H103" s="38"/>
      <c r="I103" s="52">
        <f>IFERROR(VLOOKUP($A103,'The List'!$B1:$AS730,16,FALSE)," ")</f>
        <v>82</v>
      </c>
      <c r="J103" s="52">
        <f>IFERROR(VLOOKUP($A103,'The List'!$B1:$AS730,17,FALSE)," ")</f>
        <v>24.516015218530701</v>
      </c>
      <c r="K103" s="52">
        <f>IFERROR(VLOOKUP($A103,'The List'!$B1:$AS730,18,FALSE)," ")</f>
        <v>11.606239203331791</v>
      </c>
      <c r="L103" s="52">
        <f>IFERROR(VLOOKUP($A103,'The List'!$B1:$AS730,19,FALSE)," ")</f>
        <v>37.747166443134574</v>
      </c>
      <c r="M103" s="52">
        <f>IFERROR(VLOOKUP($A103,'The List'!$B1:$AS730,20,FALSE)," ")</f>
        <v>49.353405646466364</v>
      </c>
      <c r="N103" s="52">
        <f>IFERROR(VLOOKUP($A103,'The List'!$B1:$AS730,21,FALSE)," ")</f>
        <v>205.5524823627423</v>
      </c>
      <c r="O103" s="52">
        <f>IFERROR(VLOOKUP($A103,'The List'!$B1:$AS730,22,FALSE)," ")</f>
        <v>1.7313207435088038</v>
      </c>
      <c r="P103" s="52">
        <f>IFERROR(VLOOKUP($A103,'The List'!$B1:$AS730,23,FALSE)," ")</f>
        <v>12.942383477973468</v>
      </c>
      <c r="Q103" s="52">
        <f>IFERROR(VLOOKUP($A103,'The List'!$B1:$AS730,24,FALSE)," ")</f>
        <v>0.29294320160825715</v>
      </c>
      <c r="R103" s="52">
        <f>IFERROR(VLOOKUP($A103,'The List'!$B1:$AS730,25,FALSE)," ")</f>
        <v>2.3114199559326338</v>
      </c>
      <c r="S103" s="52">
        <f>IFERROR(VLOOKUP($A103,'The List'!$B1:$AS730,26,FALSE)," ")</f>
        <v>182.71120566020426</v>
      </c>
      <c r="T103" s="52">
        <f>IFERROR(VLOOKUP($A103,'The List'!$B1:$AS730,27,FALSE)," ")</f>
        <v>76.461864378592523</v>
      </c>
      <c r="U103" s="52">
        <f>IFERROR(VLOOKUP($A103,'The List'!$B1:$AS730,28,FALSE)," ")</f>
        <v>5.7222743628130432</v>
      </c>
      <c r="V103" s="52">
        <f>IFERROR(VLOOKUP($A103,'The List'!$B1:$AS730,29,FALSE)," ")</f>
        <v>29.112478635594371</v>
      </c>
      <c r="W103" s="52">
        <f>IFERROR(VLOOKUP($A103,'The List'!$B1:$AS730,30,FALSE)," ")</f>
        <v>1.8967761592513932</v>
      </c>
      <c r="X103" s="52">
        <f>IFERROR(VLOOKUP($A103,'The List'!$B1:$AS730,31,FALSE)," ")</f>
        <v>0.37464454870908009</v>
      </c>
      <c r="Y103" s="52">
        <f>IFERROR(VLOOKUP($A103,'The List'!$B1:$AS730,32,FALSE)," ")</f>
        <v>0.47612506692494616</v>
      </c>
      <c r="Z103" s="52">
        <f>IFERROR(VLOOKUP($A103,'The List'!$B1:$AS730,33,FALSE)," ")</f>
        <v>0.44035957775699403</v>
      </c>
      <c r="AA103" s="54"/>
      <c r="AB103" s="59"/>
      <c r="AC103" s="59"/>
      <c r="AD103" s="59"/>
      <c r="AE103" s="59"/>
      <c r="AF103" s="59"/>
    </row>
    <row r="104" spans="1:32" ht="21.2" customHeight="1">
      <c r="A104" s="23" t="s">
        <v>274</v>
      </c>
      <c r="B104" s="67" t="str">
        <f>IFERROR(VLOOKUP($A104,'The List'!$B1:$AS730,3,FALSE)," ")</f>
        <v>D</v>
      </c>
      <c r="C104" s="69">
        <f>IFERROR(VLOOKUP($A104,'The List'!$B1:$AS730,4,FALSE)," ")</f>
        <v>56</v>
      </c>
      <c r="D104" s="34" t="str">
        <f>IFERROR(VLOOKUP($A104,'The List'!$B1:$AS730,5,FALSE)," ")</f>
        <v>OTT</v>
      </c>
      <c r="E104" s="34">
        <f>IFERROR(VLOOKUP($A104,'The List'!$B1:$AS730,6,FALSE)," ")</f>
        <v>21</v>
      </c>
      <c r="F104" s="49">
        <f>IFERROR(VLOOKUP($A104,'The List'!$B1:$AS730,8,FALSE)," ")</f>
        <v>-0.54638343972319769</v>
      </c>
      <c r="G104" s="49">
        <f>IFERROR(VLOOKUP($A104,'The List'!$B1:$AS730,10,FALSE)," ")</f>
        <v>-2.4881239833575082</v>
      </c>
      <c r="H104" s="38"/>
      <c r="I104" s="52">
        <f>IFERROR(VLOOKUP($A104,'The List'!$B1:$AS730,16,FALSE)," ")</f>
        <v>82</v>
      </c>
      <c r="J104" s="52">
        <f>IFERROR(VLOOKUP($A104,'The List'!$B1:$AS730,17,FALSE)," ")</f>
        <v>21.968369312902801</v>
      </c>
      <c r="K104" s="52">
        <f>IFERROR(VLOOKUP($A104,'The List'!$B1:$AS730,18,FALSE)," ")</f>
        <v>5.2233040411543179</v>
      </c>
      <c r="L104" s="52">
        <f>IFERROR(VLOOKUP($A104,'The List'!$B1:$AS730,19,FALSE)," ")</f>
        <v>28.476345826903501</v>
      </c>
      <c r="M104" s="52">
        <f>IFERROR(VLOOKUP($A104,'The List'!$B1:$AS730,20,FALSE)," ")</f>
        <v>33.699649868057818</v>
      </c>
      <c r="N104" s="52">
        <f>IFERROR(VLOOKUP($A104,'The List'!$B1:$AS730,21,FALSE)," ")</f>
        <v>138.56485876484805</v>
      </c>
      <c r="O104" s="52">
        <f>IFERROR(VLOOKUP($A104,'The List'!$B1:$AS730,22,FALSE)," ")</f>
        <v>1.6606237259152909</v>
      </c>
      <c r="P104" s="52">
        <f>IFERROR(VLOOKUP($A104,'The List'!$B1:$AS730,23,FALSE)," ")</f>
        <v>11.878423417978375</v>
      </c>
      <c r="Q104" s="52">
        <f>IFERROR(VLOOKUP($A104,'The List'!$B1:$AS730,24,FALSE)," ")</f>
        <v>8.9202040005220043E-2</v>
      </c>
      <c r="R104" s="52">
        <f>IFERROR(VLOOKUP($A104,'The List'!$B1:$AS730,25,FALSE)," ")</f>
        <v>0.60125101330983799</v>
      </c>
      <c r="S104" s="52">
        <f>IFERROR(VLOOKUP($A104,'The List'!$B1:$AS730,26,FALSE)," ")</f>
        <v>155.22206473996391</v>
      </c>
      <c r="T104" s="52">
        <f>IFERROR(VLOOKUP($A104,'The List'!$B1:$AS730,27,FALSE)," ")</f>
        <v>71.351775486222891</v>
      </c>
      <c r="U104" s="52">
        <f>IFERROR(VLOOKUP($A104,'The List'!$B1:$AS730,28,FALSE)," ")</f>
        <v>0.22472607721505433</v>
      </c>
      <c r="V104" s="52">
        <f>IFERROR(VLOOKUP($A104,'The List'!$B1:$AS730,29,FALSE)," ")</f>
        <v>20.911021073166371</v>
      </c>
      <c r="W104" s="52">
        <f>IFERROR(VLOOKUP($A104,'The List'!$B1:$AS730,30,FALSE)," ")</f>
        <v>0.78551132170736093</v>
      </c>
      <c r="X104" s="52">
        <f>IFERROR(VLOOKUP($A104,'The List'!$B1:$AS730,31,FALSE)," ")</f>
        <v>0</v>
      </c>
      <c r="Y104" s="52">
        <f>IFERROR(VLOOKUP($A104,'The List'!$B1:$AS730,32,FALSE)," ")</f>
        <v>0</v>
      </c>
      <c r="Z104" s="52">
        <f>IFERROR(VLOOKUP($A104,'The List'!$B1:$AS730,33,FALSE)," ")</f>
        <v>0</v>
      </c>
      <c r="AA104" s="54"/>
      <c r="AB104" s="59"/>
      <c r="AC104" s="59"/>
      <c r="AD104" s="59"/>
      <c r="AE104" s="59"/>
      <c r="AF104" s="59"/>
    </row>
    <row r="105" spans="1:32" ht="21.2" customHeight="1">
      <c r="A105" s="23"/>
      <c r="B105" s="67" t="str">
        <f>IFERROR(VLOOKUP($A105,'The List'!$B1:$AS730,3,FALSE)," ")</f>
        <v xml:space="preserve"> </v>
      </c>
      <c r="C105" s="69" t="str">
        <f>IFERROR(VLOOKUP($A105,'The List'!$B1:$AS730,4,FALSE)," ")</f>
        <v xml:space="preserve"> </v>
      </c>
      <c r="D105" s="34" t="str">
        <f>IFERROR(VLOOKUP($A105,'The List'!$B1:$AS730,5,FALSE)," ")</f>
        <v xml:space="preserve"> </v>
      </c>
      <c r="E105" s="34" t="str">
        <f>IFERROR(VLOOKUP($A105,'The List'!$B1:$AS730,6,FALSE)," ")</f>
        <v xml:space="preserve"> </v>
      </c>
      <c r="F105" s="49" t="str">
        <f>IFERROR(VLOOKUP($A105,'The List'!$B1:$AS730,8,FALSE)," ")</f>
        <v xml:space="preserve"> </v>
      </c>
      <c r="G105" s="49" t="str">
        <f>IFERROR(VLOOKUP($A105,'The List'!$B1:$AS730,10,FALSE)," ")</f>
        <v xml:space="preserve"> </v>
      </c>
      <c r="H105" s="38"/>
      <c r="I105" s="52" t="str">
        <f>IFERROR(VLOOKUP($A105,'The List'!$B1:$AS730,16,FALSE)," ")</f>
        <v xml:space="preserve"> </v>
      </c>
      <c r="J105" s="52" t="str">
        <f>IFERROR(VLOOKUP($A105,'The List'!$B1:$AS730,17,FALSE)," ")</f>
        <v xml:space="preserve"> </v>
      </c>
      <c r="K105" s="52" t="str">
        <f>IFERROR(VLOOKUP($A105,'The List'!$B1:$AS730,18,FALSE)," ")</f>
        <v xml:space="preserve"> </v>
      </c>
      <c r="L105" s="52" t="str">
        <f>IFERROR(VLOOKUP($A105,'The List'!$B1:$AS730,19,FALSE)," ")</f>
        <v xml:space="preserve"> </v>
      </c>
      <c r="M105" s="52" t="str">
        <f>IFERROR(VLOOKUP($A105,'The List'!$B1:$AS730,20,FALSE)," ")</f>
        <v xml:space="preserve"> </v>
      </c>
      <c r="N105" s="52" t="str">
        <f>IFERROR(VLOOKUP($A105,'The List'!$B1:$AS730,21,FALSE)," ")</f>
        <v xml:space="preserve"> </v>
      </c>
      <c r="O105" s="52" t="str">
        <f>IFERROR(VLOOKUP($A105,'The List'!$B1:$AS730,22,FALSE)," ")</f>
        <v xml:space="preserve"> </v>
      </c>
      <c r="P105" s="52" t="str">
        <f>IFERROR(VLOOKUP($A105,'The List'!$B1:$AS730,23,FALSE)," ")</f>
        <v xml:space="preserve"> </v>
      </c>
      <c r="Q105" s="52" t="str">
        <f>IFERROR(VLOOKUP($A105,'The List'!$B1:$AS730,24,FALSE)," ")</f>
        <v xml:space="preserve"> </v>
      </c>
      <c r="R105" s="52" t="str">
        <f>IFERROR(VLOOKUP($A105,'The List'!$B1:$AS730,25,FALSE)," ")</f>
        <v xml:space="preserve"> </v>
      </c>
      <c r="S105" s="52" t="str">
        <f>IFERROR(VLOOKUP($A105,'The List'!$B1:$AS730,26,FALSE)," ")</f>
        <v xml:space="preserve"> </v>
      </c>
      <c r="T105" s="52" t="str">
        <f>IFERROR(VLOOKUP($A105,'The List'!$B1:$AS730,27,FALSE)," ")</f>
        <v xml:space="preserve"> </v>
      </c>
      <c r="U105" s="52" t="str">
        <f>IFERROR(VLOOKUP($A105,'The List'!$B1:$AS730,28,FALSE)," ")</f>
        <v xml:space="preserve"> </v>
      </c>
      <c r="V105" s="52" t="str">
        <f>IFERROR(VLOOKUP($A105,'The List'!$B1:$AS730,29,FALSE)," ")</f>
        <v xml:space="preserve"> </v>
      </c>
      <c r="W105" s="52" t="str">
        <f>IFERROR(VLOOKUP($A105,'The List'!$B1:$AS730,30,FALSE)," ")</f>
        <v xml:space="preserve"> </v>
      </c>
      <c r="X105" s="52" t="str">
        <f>IFERROR(VLOOKUP($A105,'The List'!$B1:$AS730,31,FALSE)," ")</f>
        <v xml:space="preserve"> </v>
      </c>
      <c r="Y105" s="52" t="str">
        <f>IFERROR(VLOOKUP($A105,'The List'!$B1:$AS730,32,FALSE)," ")</f>
        <v xml:space="preserve"> </v>
      </c>
      <c r="Z105" s="52" t="str">
        <f>IFERROR(VLOOKUP($A105,'The List'!$B1:$AS730,33,FALSE)," ")</f>
        <v xml:space="preserve"> </v>
      </c>
      <c r="AA105" s="54"/>
      <c r="AB105" s="59"/>
      <c r="AC105" s="59"/>
      <c r="AD105" s="59"/>
      <c r="AE105" s="59"/>
      <c r="AF105" s="59"/>
    </row>
    <row r="106" spans="1:32" ht="21.2" customHeight="1">
      <c r="A106" s="23"/>
      <c r="B106" s="67" t="str">
        <f>IFERROR(VLOOKUP($A106,'The List'!$B1:$AS730,3,FALSE)," ")</f>
        <v xml:space="preserve"> </v>
      </c>
      <c r="C106" s="69" t="str">
        <f>IFERROR(VLOOKUP($A106,'The List'!$B1:$AS730,4,FALSE)," ")</f>
        <v xml:space="preserve"> </v>
      </c>
      <c r="D106" s="34" t="str">
        <f>IFERROR(VLOOKUP($A106,'The List'!$B1:$AS730,5,FALSE)," ")</f>
        <v xml:space="preserve"> </v>
      </c>
      <c r="E106" s="34" t="str">
        <f>IFERROR(VLOOKUP($A106,'The List'!$B1:$AS730,6,FALSE)," ")</f>
        <v xml:space="preserve"> </v>
      </c>
      <c r="F106" s="49" t="str">
        <f>IFERROR(VLOOKUP($A106,'The List'!$B1:$AS730,8,FALSE)," ")</f>
        <v xml:space="preserve"> </v>
      </c>
      <c r="G106" s="49" t="str">
        <f>IFERROR(VLOOKUP($A106,'The List'!$B1:$AS730,10,FALSE)," ")</f>
        <v xml:space="preserve"> </v>
      </c>
      <c r="H106" s="38"/>
      <c r="I106" s="52" t="str">
        <f>IFERROR(VLOOKUP($A106,'The List'!$B1:$AS730,16,FALSE)," ")</f>
        <v xml:space="preserve"> </v>
      </c>
      <c r="J106" s="52" t="str">
        <f>IFERROR(VLOOKUP($A106,'The List'!$B1:$AS730,17,FALSE)," ")</f>
        <v xml:space="preserve"> </v>
      </c>
      <c r="K106" s="52" t="str">
        <f>IFERROR(VLOOKUP($A106,'The List'!$B1:$AS730,18,FALSE)," ")</f>
        <v xml:space="preserve"> </v>
      </c>
      <c r="L106" s="52" t="str">
        <f>IFERROR(VLOOKUP($A106,'The List'!$B1:$AS730,19,FALSE)," ")</f>
        <v xml:space="preserve"> </v>
      </c>
      <c r="M106" s="52" t="str">
        <f>IFERROR(VLOOKUP($A106,'The List'!$B1:$AS730,20,FALSE)," ")</f>
        <v xml:space="preserve"> </v>
      </c>
      <c r="N106" s="52" t="str">
        <f>IFERROR(VLOOKUP($A106,'The List'!$B1:$AS730,21,FALSE)," ")</f>
        <v xml:space="preserve"> </v>
      </c>
      <c r="O106" s="52" t="str">
        <f>IFERROR(VLOOKUP($A106,'The List'!$B1:$AS730,22,FALSE)," ")</f>
        <v xml:space="preserve"> </v>
      </c>
      <c r="P106" s="52" t="str">
        <f>IFERROR(VLOOKUP($A106,'The List'!$B1:$AS730,23,FALSE)," ")</f>
        <v xml:space="preserve"> </v>
      </c>
      <c r="Q106" s="52" t="str">
        <f>IFERROR(VLOOKUP($A106,'The List'!$B1:$AS730,24,FALSE)," ")</f>
        <v xml:space="preserve"> </v>
      </c>
      <c r="R106" s="52" t="str">
        <f>IFERROR(VLOOKUP($A106,'The List'!$B1:$AS730,25,FALSE)," ")</f>
        <v xml:space="preserve"> </v>
      </c>
      <c r="S106" s="52" t="str">
        <f>IFERROR(VLOOKUP($A106,'The List'!$B1:$AS730,26,FALSE)," ")</f>
        <v xml:space="preserve"> </v>
      </c>
      <c r="T106" s="52" t="str">
        <f>IFERROR(VLOOKUP($A106,'The List'!$B1:$AS730,27,FALSE)," ")</f>
        <v xml:space="preserve"> </v>
      </c>
      <c r="U106" s="52" t="str">
        <f>IFERROR(VLOOKUP($A106,'The List'!$B1:$AS730,28,FALSE)," ")</f>
        <v xml:space="preserve"> </v>
      </c>
      <c r="V106" s="52" t="str">
        <f>IFERROR(VLOOKUP($A106,'The List'!$B1:$AS730,29,FALSE)," ")</f>
        <v xml:space="preserve"> </v>
      </c>
      <c r="W106" s="52" t="str">
        <f>IFERROR(VLOOKUP($A106,'The List'!$B1:$AS730,30,FALSE)," ")</f>
        <v xml:space="preserve"> </v>
      </c>
      <c r="X106" s="52" t="str">
        <f>IFERROR(VLOOKUP($A106,'The List'!$B1:$AS730,31,FALSE)," ")</f>
        <v xml:space="preserve"> </v>
      </c>
      <c r="Y106" s="52" t="str">
        <f>IFERROR(VLOOKUP($A106,'The List'!$B1:$AS730,32,FALSE)," ")</f>
        <v xml:space="preserve"> </v>
      </c>
      <c r="Z106" s="52" t="str">
        <f>IFERROR(VLOOKUP($A106,'The List'!$B1:$AS730,33,FALSE)," ")</f>
        <v xml:space="preserve"> </v>
      </c>
      <c r="AA106" s="54"/>
      <c r="AB106" s="59"/>
      <c r="AC106" s="59"/>
      <c r="AD106" s="59"/>
      <c r="AE106" s="59"/>
      <c r="AF106" s="59"/>
    </row>
    <row r="107" spans="1:32" ht="21.2" customHeight="1">
      <c r="A107" s="23"/>
      <c r="B107" s="67" t="str">
        <f>IFERROR(VLOOKUP($A107,'The List'!$B1:$AS730,3,FALSE)," ")</f>
        <v xml:space="preserve"> </v>
      </c>
      <c r="C107" s="69" t="str">
        <f>IFERROR(VLOOKUP($A107,'The List'!$B1:$AS730,4,FALSE)," ")</f>
        <v xml:space="preserve"> </v>
      </c>
      <c r="D107" s="34" t="str">
        <f>IFERROR(VLOOKUP($A107,'The List'!$B1:$AS730,5,FALSE)," ")</f>
        <v xml:space="preserve"> </v>
      </c>
      <c r="E107" s="34" t="str">
        <f>IFERROR(VLOOKUP($A107,'The List'!$B1:$AS730,6,FALSE)," ")</f>
        <v xml:space="preserve"> </v>
      </c>
      <c r="F107" s="49" t="str">
        <f>IFERROR(VLOOKUP($A107,'The List'!$B1:$AS730,8,FALSE)," ")</f>
        <v xml:space="preserve"> </v>
      </c>
      <c r="G107" s="49" t="str">
        <f>IFERROR(VLOOKUP($A107,'The List'!$B1:$AS730,10,FALSE)," ")</f>
        <v xml:space="preserve"> </v>
      </c>
      <c r="H107" s="38"/>
      <c r="I107" s="52" t="str">
        <f>IFERROR(VLOOKUP($A107,'The List'!$B1:$AS730,16,FALSE)," ")</f>
        <v xml:space="preserve"> </v>
      </c>
      <c r="J107" s="52" t="str">
        <f>IFERROR(VLOOKUP($A107,'The List'!$B1:$AS730,17,FALSE)," ")</f>
        <v xml:space="preserve"> </v>
      </c>
      <c r="K107" s="52" t="str">
        <f>IFERROR(VLOOKUP($A107,'The List'!$B1:$AS730,18,FALSE)," ")</f>
        <v xml:space="preserve"> </v>
      </c>
      <c r="L107" s="52" t="str">
        <f>IFERROR(VLOOKUP($A107,'The List'!$B1:$AS730,19,FALSE)," ")</f>
        <v xml:space="preserve"> </v>
      </c>
      <c r="M107" s="52" t="str">
        <f>IFERROR(VLOOKUP($A107,'The List'!$B1:$AS730,20,FALSE)," ")</f>
        <v xml:space="preserve"> </v>
      </c>
      <c r="N107" s="52" t="str">
        <f>IFERROR(VLOOKUP($A107,'The List'!$B1:$AS730,21,FALSE)," ")</f>
        <v xml:space="preserve"> </v>
      </c>
      <c r="O107" s="52" t="str">
        <f>IFERROR(VLOOKUP($A107,'The List'!$B1:$AS730,22,FALSE)," ")</f>
        <v xml:space="preserve"> </v>
      </c>
      <c r="P107" s="52" t="str">
        <f>IFERROR(VLOOKUP($A107,'The List'!$B1:$AS730,23,FALSE)," ")</f>
        <v xml:space="preserve"> </v>
      </c>
      <c r="Q107" s="52" t="str">
        <f>IFERROR(VLOOKUP($A107,'The List'!$B1:$AS730,24,FALSE)," ")</f>
        <v xml:space="preserve"> </v>
      </c>
      <c r="R107" s="52" t="str">
        <f>IFERROR(VLOOKUP($A107,'The List'!$B1:$AS730,25,FALSE)," ")</f>
        <v xml:space="preserve"> </v>
      </c>
      <c r="S107" s="52" t="str">
        <f>IFERROR(VLOOKUP($A107,'The List'!$B1:$AS730,26,FALSE)," ")</f>
        <v xml:space="preserve"> </v>
      </c>
      <c r="T107" s="52" t="str">
        <f>IFERROR(VLOOKUP($A107,'The List'!$B1:$AS730,27,FALSE)," ")</f>
        <v xml:space="preserve"> </v>
      </c>
      <c r="U107" s="52" t="str">
        <f>IFERROR(VLOOKUP($A107,'The List'!$B1:$AS730,28,FALSE)," ")</f>
        <v xml:space="preserve"> </v>
      </c>
      <c r="V107" s="52" t="str">
        <f>IFERROR(VLOOKUP($A107,'The List'!$B1:$AS730,29,FALSE)," ")</f>
        <v xml:space="preserve"> </v>
      </c>
      <c r="W107" s="52" t="str">
        <f>IFERROR(VLOOKUP($A107,'The List'!$B1:$AS730,30,FALSE)," ")</f>
        <v xml:space="preserve"> </v>
      </c>
      <c r="X107" s="52" t="str">
        <f>IFERROR(VLOOKUP($A107,'The List'!$B1:$AS730,31,FALSE)," ")</f>
        <v xml:space="preserve"> </v>
      </c>
      <c r="Y107" s="52" t="str">
        <f>IFERROR(VLOOKUP($A107,'The List'!$B1:$AS730,32,FALSE)," ")</f>
        <v xml:space="preserve"> </v>
      </c>
      <c r="Z107" s="52" t="str">
        <f>IFERROR(VLOOKUP($A107,'The List'!$B1:$AS730,33,FALSE)," ")</f>
        <v xml:space="preserve"> </v>
      </c>
      <c r="AA107" s="54"/>
      <c r="AB107" s="59"/>
      <c r="AC107" s="59"/>
      <c r="AD107" s="59"/>
      <c r="AE107" s="59"/>
      <c r="AF107" s="59"/>
    </row>
    <row r="108" spans="1:32" ht="21.2" customHeight="1">
      <c r="A108" s="71"/>
      <c r="B108" s="72" t="str">
        <f>IFERROR(VLOOKUP($A108,'The List'!$B1:$AS730,3,FALSE)," ")</f>
        <v xml:space="preserve"> </v>
      </c>
      <c r="C108" s="73" t="str">
        <f>IFERROR(VLOOKUP($A108,'The List'!$B1:$AS730,4,FALSE)," ")</f>
        <v xml:space="preserve"> </v>
      </c>
      <c r="D108" s="74" t="str">
        <f>IFERROR(VLOOKUP($A108,'The List'!$B1:$AS730,5,FALSE)," ")</f>
        <v xml:space="preserve"> </v>
      </c>
      <c r="E108" s="74" t="str">
        <f>IFERROR(VLOOKUP($A108,'The List'!$B1:$AS730,6,FALSE)," ")</f>
        <v xml:space="preserve"> </v>
      </c>
      <c r="F108" s="75" t="str">
        <f>IFERROR(VLOOKUP($A108,'The List'!$B1:$AS730,8,FALSE)," ")</f>
        <v xml:space="preserve"> </v>
      </c>
      <c r="G108" s="75" t="str">
        <f>IFERROR(VLOOKUP($A108,'The List'!$B1:$AS730,10,FALSE)," ")</f>
        <v xml:space="preserve"> </v>
      </c>
      <c r="H108" s="76"/>
      <c r="I108" s="77" t="str">
        <f>IFERROR(VLOOKUP($A108,'The List'!$B1:$AS730,16,FALSE)," ")</f>
        <v xml:space="preserve"> </v>
      </c>
      <c r="J108" s="77" t="str">
        <f>IFERROR(VLOOKUP($A108,'The List'!$B1:$AS730,17,FALSE)," ")</f>
        <v xml:space="preserve"> </v>
      </c>
      <c r="K108" s="77" t="str">
        <f>IFERROR(VLOOKUP($A108,'The List'!$B1:$AS730,18,FALSE)," ")</f>
        <v xml:space="preserve"> </v>
      </c>
      <c r="L108" s="77" t="str">
        <f>IFERROR(VLOOKUP($A108,'The List'!$B1:$AS730,19,FALSE)," ")</f>
        <v xml:space="preserve"> </v>
      </c>
      <c r="M108" s="77" t="str">
        <f>IFERROR(VLOOKUP($A108,'The List'!$B1:$AS730,20,FALSE)," ")</f>
        <v xml:space="preserve"> </v>
      </c>
      <c r="N108" s="77" t="str">
        <f>IFERROR(VLOOKUP($A108,'The List'!$B1:$AS730,21,FALSE)," ")</f>
        <v xml:space="preserve"> </v>
      </c>
      <c r="O108" s="77" t="str">
        <f>IFERROR(VLOOKUP($A108,'The List'!$B1:$AS730,22,FALSE)," ")</f>
        <v xml:space="preserve"> </v>
      </c>
      <c r="P108" s="77" t="str">
        <f>IFERROR(VLOOKUP($A108,'The List'!$B1:$AS730,23,FALSE)," ")</f>
        <v xml:space="preserve"> </v>
      </c>
      <c r="Q108" s="77" t="str">
        <f>IFERROR(VLOOKUP($A108,'The List'!$B1:$AS730,24,FALSE)," ")</f>
        <v xml:space="preserve"> </v>
      </c>
      <c r="R108" s="77" t="str">
        <f>IFERROR(VLOOKUP($A108,'The List'!$B1:$AS730,25,FALSE)," ")</f>
        <v xml:space="preserve"> </v>
      </c>
      <c r="S108" s="77" t="str">
        <f>IFERROR(VLOOKUP($A108,'The List'!$B1:$AS730,26,FALSE)," ")</f>
        <v xml:space="preserve"> </v>
      </c>
      <c r="T108" s="77" t="str">
        <f>IFERROR(VLOOKUP($A108,'The List'!$B1:$AS730,27,FALSE)," ")</f>
        <v xml:space="preserve"> </v>
      </c>
      <c r="U108" s="77" t="str">
        <f>IFERROR(VLOOKUP($A108,'The List'!$B1:$AS730,28,FALSE)," ")</f>
        <v xml:space="preserve"> </v>
      </c>
      <c r="V108" s="77" t="str">
        <f>IFERROR(VLOOKUP($A108,'The List'!$B1:$AS730,29,FALSE)," ")</f>
        <v xml:space="preserve"> </v>
      </c>
      <c r="W108" s="77" t="str">
        <f>IFERROR(VLOOKUP($A108,'The List'!$B1:$AS730,30,FALSE)," ")</f>
        <v xml:space="preserve"> </v>
      </c>
      <c r="X108" s="77" t="str">
        <f>IFERROR(VLOOKUP($A108,'The List'!$B1:$AS730,31,FALSE)," ")</f>
        <v xml:space="preserve"> </v>
      </c>
      <c r="Y108" s="77" t="str">
        <f>IFERROR(VLOOKUP($A108,'The List'!$B1:$AS730,32,FALSE)," ")</f>
        <v xml:space="preserve"> </v>
      </c>
      <c r="Z108" s="77" t="str">
        <f>IFERROR(VLOOKUP($A108,'The List'!$B1:$AS730,33,FALSE)," ")</f>
        <v xml:space="preserve"> </v>
      </c>
      <c r="AA108" s="54"/>
      <c r="AB108" s="59"/>
      <c r="AC108" s="59"/>
      <c r="AD108" s="59"/>
      <c r="AE108" s="59"/>
      <c r="AF108" s="59"/>
    </row>
    <row r="109" spans="1:32" ht="21.2" customHeight="1">
      <c r="A109" s="78"/>
      <c r="B109" s="79"/>
      <c r="C109" s="80"/>
      <c r="D109" s="81"/>
      <c r="E109" s="116">
        <f>IFERROR(AVERAGE(E89:E108)," ")</f>
        <v>26.785714285714285</v>
      </c>
      <c r="F109" s="83">
        <f>SUM(F89:F108)</f>
        <v>84.818177493653039</v>
      </c>
      <c r="G109" s="83">
        <f>SUM(G89:G108)</f>
        <v>12.637402818160648</v>
      </c>
      <c r="H109" s="84"/>
      <c r="I109" s="85">
        <f>SUM(I89:I108)</f>
        <v>1148</v>
      </c>
      <c r="J109" s="84">
        <f>AVERAGE(J89:J108)</f>
        <v>20.230653413686081</v>
      </c>
      <c r="K109" s="85">
        <f t="shared" ref="K109:Y109" si="6">SUM(K89:K108)</f>
        <v>364.9819927915272</v>
      </c>
      <c r="L109" s="85">
        <f t="shared" si="6"/>
        <v>577.93356167941738</v>
      </c>
      <c r="M109" s="85">
        <f t="shared" si="6"/>
        <v>942.91555447094447</v>
      </c>
      <c r="N109" s="85">
        <f t="shared" si="6"/>
        <v>3063.0296974935382</v>
      </c>
      <c r="O109" s="85">
        <f t="shared" si="6"/>
        <v>96.075380506266114</v>
      </c>
      <c r="P109" s="85">
        <f t="shared" si="6"/>
        <v>284.74243318103589</v>
      </c>
      <c r="Q109" s="85">
        <f t="shared" si="6"/>
        <v>2.786513886473188</v>
      </c>
      <c r="R109" s="85">
        <f t="shared" si="6"/>
        <v>9.6967349563809684</v>
      </c>
      <c r="S109" s="85">
        <f t="shared" si="6"/>
        <v>909.30915100274262</v>
      </c>
      <c r="T109" s="85">
        <f t="shared" si="6"/>
        <v>964.34497842536257</v>
      </c>
      <c r="U109" s="85">
        <f t="shared" si="6"/>
        <v>16.468123346268037</v>
      </c>
      <c r="V109" s="85">
        <f t="shared" si="6"/>
        <v>438.92608841283595</v>
      </c>
      <c r="W109" s="85">
        <f t="shared" si="6"/>
        <v>50.037928592419561</v>
      </c>
      <c r="X109" s="85">
        <f t="shared" si="6"/>
        <v>1858.0130494535615</v>
      </c>
      <c r="Y109" s="85">
        <f t="shared" si="6"/>
        <v>1973.2952797729092</v>
      </c>
      <c r="Z109" s="86">
        <f>IFERROR(X109/(X109+Y109),0)</f>
        <v>0.48495523977541333</v>
      </c>
      <c r="AA109" s="54"/>
      <c r="AB109" s="87"/>
      <c r="AC109" s="87"/>
      <c r="AD109" s="87"/>
      <c r="AE109" s="87"/>
      <c r="AF109" s="87"/>
    </row>
    <row r="110" spans="1:32" ht="21.2" customHeight="1">
      <c r="A110" s="88"/>
      <c r="B110" s="89"/>
      <c r="C110" s="90"/>
      <c r="D110" s="11"/>
      <c r="E110" s="11"/>
      <c r="F110" s="91"/>
      <c r="G110" s="92"/>
      <c r="H110" s="93"/>
      <c r="I110" s="9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9"/>
      <c r="AC110" s="59"/>
      <c r="AD110" s="59"/>
      <c r="AE110" s="59"/>
      <c r="AF110" s="59"/>
    </row>
    <row r="111" spans="1:32" ht="21.2" customHeight="1">
      <c r="A111" s="24" t="s">
        <v>64</v>
      </c>
      <c r="B111" s="231" t="s">
        <v>66</v>
      </c>
      <c r="C111" s="223"/>
      <c r="D111" s="95" t="s">
        <v>67</v>
      </c>
      <c r="E111" s="95" t="s">
        <v>68</v>
      </c>
      <c r="F111" s="96" t="s">
        <v>70</v>
      </c>
      <c r="G111" s="96" t="s">
        <v>72</v>
      </c>
      <c r="H111" s="97"/>
      <c r="I111" s="98" t="s">
        <v>77</v>
      </c>
      <c r="J111" s="98" t="s">
        <v>95</v>
      </c>
      <c r="K111" s="98" t="s">
        <v>96</v>
      </c>
      <c r="L111" s="98" t="s">
        <v>97</v>
      </c>
      <c r="M111" s="98" t="s">
        <v>98</v>
      </c>
      <c r="N111" s="98" t="s">
        <v>99</v>
      </c>
      <c r="O111" s="98" t="s">
        <v>100</v>
      </c>
      <c r="P111" s="98" t="s">
        <v>101</v>
      </c>
      <c r="Q111" s="98" t="s">
        <v>102</v>
      </c>
      <c r="R111" s="54"/>
      <c r="S111" s="54"/>
      <c r="T111" s="54"/>
      <c r="U111" s="231" t="s">
        <v>839</v>
      </c>
      <c r="V111" s="232"/>
      <c r="W111" s="232"/>
      <c r="X111" s="231" t="s">
        <v>840</v>
      </c>
      <c r="Y111" s="232"/>
      <c r="Z111" s="232"/>
      <c r="AA111" s="54"/>
      <c r="AB111" s="54"/>
      <c r="AC111" s="54"/>
      <c r="AD111" s="54"/>
      <c r="AE111" s="54"/>
      <c r="AF111" s="54"/>
    </row>
    <row r="112" spans="1:32" ht="21.2" customHeight="1">
      <c r="A112" s="117" t="s">
        <v>142</v>
      </c>
      <c r="B112" s="100" t="str">
        <f>IFERROR(VLOOKUP($A112,'The List'!$B1:$AS730,3,FALSE)," ")</f>
        <v>G</v>
      </c>
      <c r="C112" s="118">
        <f>IFERROR(VLOOKUP($A112,'The List'!$B1:$AS730,4,FALSE)," ")</f>
        <v>3</v>
      </c>
      <c r="D112" s="102" t="str">
        <f>IFERROR(VLOOKUP($A112,'The List'!$B1:$AS730,5,FALSE)," ")</f>
        <v>WPG</v>
      </c>
      <c r="E112" s="102">
        <f>IFERROR(VLOOKUP($A112,'The List'!$B1:$AS730,6,FALSE)," ")</f>
        <v>30</v>
      </c>
      <c r="F112" s="119">
        <f>IFERROR(VLOOKUP($A112,'The List'!$B1:$AS730,8,FALSE)," ")</f>
        <v>3.3844555754589498</v>
      </c>
      <c r="G112" s="119">
        <f>IFERROR(VLOOKUP($A112,'The List'!$B1:$AS730,10,FALSE)," ")</f>
        <v>1.6802265242686583</v>
      </c>
      <c r="H112" s="105"/>
      <c r="I112" s="120">
        <f>IFERROR(VLOOKUP($A112,'The List'!$B1:$AS730,35,FALSE)," ")</f>
        <v>62</v>
      </c>
      <c r="J112" s="120">
        <f>IFERROR(VLOOKUP($A112,'The List'!$B1:$AS730,36,FALSE)," ")</f>
        <v>33.535639160088564</v>
      </c>
      <c r="K112" s="120">
        <f>IFERROR(VLOOKUP($A112,'The List'!$B1:$AS730,37,FALSE)," ")</f>
        <v>20.714360839911436</v>
      </c>
      <c r="L112" s="120">
        <f>IFERROR(VLOOKUP($A112,'The List'!$B1:$AS730,38,FALSE)," ")</f>
        <v>7.75</v>
      </c>
      <c r="M112" s="120">
        <f>IFERROR(VLOOKUP($A112,'The List'!$B1:$AS730,39,FALSE)," ")</f>
        <v>4.9462610634239139</v>
      </c>
      <c r="N112" s="120">
        <f>IFERROR(VLOOKUP($A112,'The List'!$B1:$AS730,40,FALSE)," ")</f>
        <v>1690.5869166896441</v>
      </c>
      <c r="O112" s="120">
        <f>IFERROR(VLOOKUP($A112,'The List'!$B1:$AS730,41,FALSE)," ")</f>
        <v>155.01752534785456</v>
      </c>
      <c r="P112" s="120">
        <f>IFERROR(VLOOKUP($A112,'The List'!$B1:$AS730,42,FALSE)," ")</f>
        <v>0.91600717801875287</v>
      </c>
      <c r="Q112" s="120">
        <f>IFERROR(VLOOKUP($A112,'The List'!$B1:$AS730,43,FALSE)," ")</f>
        <v>2.5002826669008802</v>
      </c>
      <c r="R112" s="54"/>
      <c r="S112" s="54"/>
      <c r="T112" s="109" t="str">
        <f>A59</f>
        <v>Mighty Schmucks</v>
      </c>
      <c r="U112" s="230">
        <f>F109+F115</f>
        <v>90.784944590212689</v>
      </c>
      <c r="V112" s="223"/>
      <c r="W112" s="223"/>
      <c r="X112" s="230">
        <f>G115+G109</f>
        <v>15.195711812339709</v>
      </c>
      <c r="Y112" s="223"/>
      <c r="Z112" s="223"/>
      <c r="AA112" s="54"/>
      <c r="AB112" s="54"/>
      <c r="AC112" s="54"/>
      <c r="AD112" s="54"/>
      <c r="AE112" s="54"/>
      <c r="AF112" s="54"/>
    </row>
    <row r="113" spans="1:32" ht="21.2" customHeight="1">
      <c r="A113" s="23" t="s">
        <v>250</v>
      </c>
      <c r="B113" s="110" t="str">
        <f>IFERROR(VLOOKUP($A113,'The List'!$B1:$AS730,3,FALSE)," ")</f>
        <v>G</v>
      </c>
      <c r="C113" s="111">
        <f>IFERROR(VLOOKUP($A113,'The List'!$B1:$AS730,4,FALSE)," ")</f>
        <v>9</v>
      </c>
      <c r="D113" s="34" t="str">
        <f>IFERROR(VLOOKUP($A113,'The List'!$B1:$AS730,5,FALSE)," ")</f>
        <v>FLA</v>
      </c>
      <c r="E113" s="34">
        <f>IFERROR(VLOOKUP($A113,'The List'!$B1:$AS730,6,FALSE)," ")</f>
        <v>34</v>
      </c>
      <c r="F113" s="49">
        <f>IFERROR(VLOOKUP($A113,'The List'!$B1:$AS730,8,FALSE)," ")</f>
        <v>2.5823115211006948</v>
      </c>
      <c r="G113" s="49">
        <f>IFERROR(VLOOKUP($A113,'The List'!$B1:$AS730,10,FALSE)," ")</f>
        <v>0.87808246991040328</v>
      </c>
      <c r="H113" s="38"/>
      <c r="I113" s="52">
        <f>IFERROR(VLOOKUP($A113,'The List'!$B1:$AS730,35,FALSE)," ")</f>
        <v>52</v>
      </c>
      <c r="J113" s="52">
        <f>IFERROR(VLOOKUP($A113,'The List'!$B1:$AS730,36,FALSE)," ")</f>
        <v>30.284836564871458</v>
      </c>
      <c r="K113" s="52">
        <f>IFERROR(VLOOKUP($A113,'The List'!$B1:$AS730,37,FALSE)," ")</f>
        <v>15.215163435128542</v>
      </c>
      <c r="L113" s="52">
        <f>IFERROR(VLOOKUP($A113,'The List'!$B1:$AS730,38,FALSE)," ")</f>
        <v>6.5</v>
      </c>
      <c r="M113" s="52">
        <f>IFERROR(VLOOKUP($A113,'The List'!$B1:$AS730,39,FALSE)," ")</f>
        <v>2.4424155597255077</v>
      </c>
      <c r="N113" s="52">
        <f>IFERROR(VLOOKUP($A113,'The List'!$B1:$AS730,40,FALSE)," ")</f>
        <v>1490.7117049481071</v>
      </c>
      <c r="O113" s="52">
        <f>IFERROR(VLOOKUP($A113,'The List'!$B1:$AS730,41,FALSE)," ")</f>
        <v>152.34534607689125</v>
      </c>
      <c r="P113" s="52">
        <f>IFERROR(VLOOKUP($A113,'The List'!$B1:$AS730,42,FALSE)," ")</f>
        <v>0.90727933276458494</v>
      </c>
      <c r="Q113" s="52">
        <f>IFERROR(VLOOKUP($A113,'The List'!$B1:$AS730,43,FALSE)," ")</f>
        <v>2.9297181937863703</v>
      </c>
      <c r="R113" s="54"/>
      <c r="S113" s="54"/>
      <c r="T113" s="54"/>
      <c r="U113" s="223"/>
      <c r="V113" s="223"/>
      <c r="W113" s="223"/>
      <c r="X113" s="223"/>
      <c r="Y113" s="223"/>
      <c r="Z113" s="223"/>
      <c r="AA113" s="54"/>
      <c r="AB113" s="54"/>
      <c r="AC113" s="54"/>
      <c r="AD113" s="54"/>
      <c r="AE113" s="54"/>
      <c r="AF113" s="54"/>
    </row>
    <row r="114" spans="1:32" ht="21.2" customHeight="1">
      <c r="A114" s="71"/>
      <c r="B114" s="112" t="str">
        <f>IFERROR(VLOOKUP($A114,'The List'!$B1:$AS730,3,FALSE)," ")</f>
        <v xml:space="preserve"> </v>
      </c>
      <c r="C114" s="113" t="str">
        <f>IFERROR(VLOOKUP($A114,'The List'!$B1:$AS730,4,FALSE)," ")</f>
        <v xml:space="preserve"> </v>
      </c>
      <c r="D114" s="74" t="str">
        <f>IFERROR(VLOOKUP($A114,'The List'!$B1:$AS730,5,FALSE)," ")</f>
        <v xml:space="preserve"> </v>
      </c>
      <c r="E114" s="74" t="str">
        <f>IFERROR(VLOOKUP($A114,'The List'!$B1:$AS730,6,FALSE)," ")</f>
        <v xml:space="preserve"> </v>
      </c>
      <c r="F114" s="75" t="str">
        <f>IFERROR(VLOOKUP($A114,'The List'!$B1:$AS730,8,FALSE)," ")</f>
        <v xml:space="preserve"> </v>
      </c>
      <c r="G114" s="75" t="str">
        <f>IFERROR(VLOOKUP($A114,'The List'!$B1:$AS730,10,FALSE)," ")</f>
        <v xml:space="preserve"> </v>
      </c>
      <c r="H114" s="76"/>
      <c r="I114" s="77" t="str">
        <f>IFERROR(VLOOKUP($A114,'The List'!$B1:$AS730,35,FALSE)," ")</f>
        <v xml:space="preserve"> </v>
      </c>
      <c r="J114" s="77" t="str">
        <f>IFERROR(VLOOKUP($A114,'The List'!$B1:$AS730,36,FALSE)," ")</f>
        <v xml:space="preserve"> </v>
      </c>
      <c r="K114" s="77" t="str">
        <f>IFERROR(VLOOKUP($A114,'The List'!$B1:$AS730,37,FALSE)," ")</f>
        <v xml:space="preserve"> </v>
      </c>
      <c r="L114" s="77" t="str">
        <f>IFERROR(VLOOKUP($A114,'The List'!$B1:$AS730,38,FALSE)," ")</f>
        <v xml:space="preserve"> </v>
      </c>
      <c r="M114" s="77" t="str">
        <f>IFERROR(VLOOKUP($A114,'The List'!$B1:$AS730,39,FALSE)," ")</f>
        <v xml:space="preserve"> </v>
      </c>
      <c r="N114" s="77" t="str">
        <f>IFERROR(VLOOKUP($A114,'The List'!$B1:$AS730,40,FALSE)," ")</f>
        <v xml:space="preserve"> </v>
      </c>
      <c r="O114" s="77" t="str">
        <f>IFERROR(VLOOKUP($A114,'The List'!$B1:$AS730,41,FALSE)," ")</f>
        <v xml:space="preserve"> </v>
      </c>
      <c r="P114" s="77" t="str">
        <f>IFERROR(VLOOKUP($A114,'The List'!$B1:$AS730,42,FALSE)," ")</f>
        <v xml:space="preserve"> </v>
      </c>
      <c r="Q114" s="77" t="str">
        <f>IFERROR(VLOOKUP($A114,'The List'!$B1:$AS730,43,FALSE)," ")</f>
        <v xml:space="preserve"> </v>
      </c>
      <c r="R114" s="54"/>
      <c r="S114" s="54"/>
      <c r="T114" s="54"/>
      <c r="U114" s="223"/>
      <c r="V114" s="223"/>
      <c r="W114" s="223"/>
      <c r="X114" s="223"/>
      <c r="Y114" s="223"/>
      <c r="Z114" s="223"/>
      <c r="AA114" s="54"/>
      <c r="AB114" s="54"/>
      <c r="AC114" s="54"/>
      <c r="AD114" s="54"/>
      <c r="AE114" s="54"/>
      <c r="AF114" s="54"/>
    </row>
    <row r="115" spans="1:32" ht="21.2" customHeight="1">
      <c r="A115" s="78"/>
      <c r="B115" s="79"/>
      <c r="C115" s="80"/>
      <c r="D115" s="81"/>
      <c r="E115" s="116">
        <f>IFERROR(AVERAGE(E112:E114)," ")</f>
        <v>32</v>
      </c>
      <c r="F115" s="83">
        <f>SUM(F112:F114)</f>
        <v>5.9667670965596447</v>
      </c>
      <c r="G115" s="83">
        <f>SUM(G112:G114)</f>
        <v>2.5583089941790615</v>
      </c>
      <c r="H115" s="84"/>
      <c r="I115" s="85">
        <f t="shared" ref="I115:O115" si="7">SUM(I112:I114)</f>
        <v>114</v>
      </c>
      <c r="J115" s="84">
        <f t="shared" si="7"/>
        <v>63.820475724960019</v>
      </c>
      <c r="K115" s="85">
        <f t="shared" si="7"/>
        <v>35.929524275039981</v>
      </c>
      <c r="L115" s="85">
        <f t="shared" si="7"/>
        <v>14.25</v>
      </c>
      <c r="M115" s="85">
        <f t="shared" si="7"/>
        <v>7.3886766231494221</v>
      </c>
      <c r="N115" s="85">
        <f t="shared" si="7"/>
        <v>3181.2986216377512</v>
      </c>
      <c r="O115" s="85">
        <f t="shared" si="7"/>
        <v>307.36287142474578</v>
      </c>
      <c r="P115" s="114">
        <f>1-(O115/(N115+O115))</f>
        <v>0.91189661936649247</v>
      </c>
      <c r="Q115" s="115">
        <f>O115/I115</f>
        <v>2.6961655388135592</v>
      </c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</row>
    <row r="116" spans="1:32" ht="70.7" customHeight="1">
      <c r="A116" s="88"/>
      <c r="B116" s="89"/>
      <c r="C116" s="90"/>
      <c r="D116" s="11"/>
      <c r="E116" s="11"/>
      <c r="F116" s="91"/>
      <c r="G116" s="92"/>
      <c r="H116" s="93"/>
      <c r="I116" s="9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9"/>
      <c r="AB116" s="59"/>
      <c r="AC116" s="59"/>
      <c r="AD116" s="59"/>
      <c r="AE116" s="59"/>
      <c r="AF116" s="59"/>
    </row>
    <row r="117" spans="1:32" ht="21.2" customHeight="1">
      <c r="A117" s="25" t="s">
        <v>904</v>
      </c>
      <c r="B117" s="229" t="s">
        <v>66</v>
      </c>
      <c r="C117" s="221"/>
      <c r="D117" s="26" t="s">
        <v>67</v>
      </c>
      <c r="E117" s="26" t="s">
        <v>68</v>
      </c>
      <c r="F117" s="27" t="s">
        <v>70</v>
      </c>
      <c r="G117" s="27" t="s">
        <v>72</v>
      </c>
      <c r="H117" s="28"/>
      <c r="I117" s="30" t="s">
        <v>77</v>
      </c>
      <c r="J117" s="30" t="s">
        <v>78</v>
      </c>
      <c r="K117" s="30" t="s">
        <v>79</v>
      </c>
      <c r="L117" s="30" t="s">
        <v>80</v>
      </c>
      <c r="M117" s="30" t="s">
        <v>81</v>
      </c>
      <c r="N117" s="30" t="s">
        <v>82</v>
      </c>
      <c r="O117" s="30" t="s">
        <v>83</v>
      </c>
      <c r="P117" s="30" t="s">
        <v>84</v>
      </c>
      <c r="Q117" s="30" t="s">
        <v>85</v>
      </c>
      <c r="R117" s="30" t="s">
        <v>86</v>
      </c>
      <c r="S117" s="30" t="s">
        <v>87</v>
      </c>
      <c r="T117" s="30" t="s">
        <v>88</v>
      </c>
      <c r="U117" s="30" t="s">
        <v>89</v>
      </c>
      <c r="V117" s="30" t="s">
        <v>90</v>
      </c>
      <c r="W117" s="30" t="s">
        <v>91</v>
      </c>
      <c r="X117" s="30" t="s">
        <v>92</v>
      </c>
      <c r="Y117" s="30" t="s">
        <v>93</v>
      </c>
      <c r="Z117" s="30" t="s">
        <v>94</v>
      </c>
      <c r="AA117" s="54"/>
      <c r="AB117" s="55"/>
      <c r="AC117" s="55"/>
      <c r="AD117" s="55"/>
      <c r="AE117" s="55"/>
      <c r="AF117" s="55"/>
    </row>
    <row r="118" spans="1:32" ht="21.2" customHeight="1">
      <c r="A118" s="23" t="s">
        <v>914</v>
      </c>
      <c r="B118" s="56" t="str">
        <f>IFERROR(VLOOKUP($A118,'The List'!$B1:$AS730,3,FALSE)," ")</f>
        <v>C</v>
      </c>
      <c r="C118" s="60">
        <f>IFERROR(VLOOKUP($A118,'The List'!$B1:$AS730,4,FALSE)," ")</f>
        <v>2</v>
      </c>
      <c r="D118" s="34" t="str">
        <f>IFERROR(VLOOKUP($A118,'The List'!$B1:$AS730,5,FALSE)," ")</f>
        <v>COL</v>
      </c>
      <c r="E118" s="34">
        <f>IFERROR(VLOOKUP($A118,'The List'!$B1:$AS730,6,FALSE)," ")</f>
        <v>27</v>
      </c>
      <c r="F118" s="49">
        <f>IFERROR(VLOOKUP($A118,'The List'!$B1:$AS730,8,FALSE)," ")</f>
        <v>17.302036611371435</v>
      </c>
      <c r="G118" s="49">
        <f>IFERROR(VLOOKUP($A118,'The List'!$B1:$AS730,10,FALSE)," ")</f>
        <v>10.964985887164833</v>
      </c>
      <c r="H118" s="38"/>
      <c r="I118" s="52">
        <f>IFERROR(VLOOKUP($A118,'The List'!$B1:$AS730,16,FALSE)," ")</f>
        <v>82</v>
      </c>
      <c r="J118" s="52">
        <f>IFERROR(VLOOKUP($A118,'The List'!$B1:$AS730,17,FALSE)," ")</f>
        <v>22.202629980880701</v>
      </c>
      <c r="K118" s="52">
        <f>IFERROR(VLOOKUP($A118,'The List'!$B1:$AS730,18,FALSE)," ")</f>
        <v>44.276898492921411</v>
      </c>
      <c r="L118" s="52">
        <f>IFERROR(VLOOKUP($A118,'The List'!$B1:$AS730,19,FALSE)," ")</f>
        <v>75.707402600389329</v>
      </c>
      <c r="M118" s="52">
        <f>IFERROR(VLOOKUP($A118,'The List'!$B1:$AS730,20,FALSE)," ")</f>
        <v>119.98430109331073</v>
      </c>
      <c r="N118" s="52">
        <f>IFERROR(VLOOKUP($A118,'The List'!$B1:$AS730,21,FALSE)," ")</f>
        <v>399.08699882141474</v>
      </c>
      <c r="O118" s="52">
        <f>IFERROR(VLOOKUP($A118,'The List'!$B1:$AS730,22,FALSE)," ")</f>
        <v>12.169665989434483</v>
      </c>
      <c r="P118" s="52">
        <f>IFERROR(VLOOKUP($A118,'The List'!$B1:$AS730,23,FALSE)," ")</f>
        <v>36.846573051553626</v>
      </c>
      <c r="Q118" s="52">
        <f>IFERROR(VLOOKUP($A118,'The List'!$B1:$AS730,24,FALSE)," ")</f>
        <v>3.481077357288722E-2</v>
      </c>
      <c r="R118" s="52">
        <f>IFERROR(VLOOKUP($A118,'The List'!$B1:$AS730,25,FALSE)," ")</f>
        <v>6.4917175355180406E-2</v>
      </c>
      <c r="S118" s="52">
        <f>IFERROR(VLOOKUP($A118,'The List'!$B1:$AS730,26,FALSE)," ")</f>
        <v>46.480349956227585</v>
      </c>
      <c r="T118" s="52">
        <f>IFERROR(VLOOKUP($A118,'The List'!$B1:$AS730,27,FALSE)," ")</f>
        <v>68.357910290665998</v>
      </c>
      <c r="U118" s="52">
        <f>IFERROR(VLOOKUP($A118,'The List'!$B1:$AS730,28,FALSE)," ")</f>
        <v>9.6694304425996336</v>
      </c>
      <c r="V118" s="52">
        <f>IFERROR(VLOOKUP($A118,'The List'!$B1:$AS730,29,FALSE)," ")</f>
        <v>44.356672224204736</v>
      </c>
      <c r="W118" s="52">
        <f>IFERROR(VLOOKUP($A118,'The List'!$B1:$AS730,30,FALSE)," ")</f>
        <v>7.0052724500926766</v>
      </c>
      <c r="X118" s="52">
        <f>IFERROR(VLOOKUP($A118,'The List'!$B1:$AS730,31,FALSE)," ")</f>
        <v>577.9082422906672</v>
      </c>
      <c r="Y118" s="52">
        <f>IFERROR(VLOOKUP($A118,'The List'!$B1:$AS730,32,FALSE)," ")</f>
        <v>693.16719249414507</v>
      </c>
      <c r="Z118" s="52">
        <f>IFERROR(VLOOKUP($A118,'The List'!$B1:$AS730,33,FALSE)," ")</f>
        <v>0.45466085369552001</v>
      </c>
      <c r="AA118" s="54"/>
      <c r="AB118" s="59"/>
      <c r="AC118" s="59"/>
      <c r="AD118" s="59"/>
      <c r="AE118" s="59"/>
      <c r="AF118" s="59"/>
    </row>
    <row r="119" spans="1:32" ht="21.2" customHeight="1">
      <c r="A119" s="23" t="s">
        <v>132</v>
      </c>
      <c r="B119" s="56" t="str">
        <f>IFERROR(VLOOKUP($A119,'The List'!$B1:$AS730,3,FALSE)," ")</f>
        <v>C</v>
      </c>
      <c r="C119" s="60">
        <f>IFERROR(VLOOKUP($A119,'The List'!$B1:$AS730,4,FALSE)," ")</f>
        <v>8</v>
      </c>
      <c r="D119" s="34" t="str">
        <f>IFERROR(VLOOKUP($A119,'The List'!$B1:$AS730,5,FALSE)," ")</f>
        <v>FLA</v>
      </c>
      <c r="E119" s="34">
        <f>IFERROR(VLOOKUP($A119,'The List'!$B1:$AS730,6,FALSE)," ")</f>
        <v>27</v>
      </c>
      <c r="F119" s="49">
        <f>IFERROR(VLOOKUP($A119,'The List'!$B1:$AS730,8,FALSE)," ")</f>
        <v>11.334952203384766</v>
      </c>
      <c r="G119" s="49">
        <f>IFERROR(VLOOKUP($A119,'The List'!$B1:$AS730,10,FALSE)," ")</f>
        <v>4.9979014791781635</v>
      </c>
      <c r="H119" s="38"/>
      <c r="I119" s="52">
        <f>IFERROR(VLOOKUP($A119,'The List'!$B1:$AS730,16,FALSE)," ")</f>
        <v>82</v>
      </c>
      <c r="J119" s="52">
        <f>IFERROR(VLOOKUP($A119,'The List'!$B1:$AS730,17,FALSE)," ")</f>
        <v>20.775562191900601</v>
      </c>
      <c r="K119" s="52">
        <f>IFERROR(VLOOKUP($A119,'The List'!$B1:$AS730,18,FALSE)," ")</f>
        <v>35.503356306975121</v>
      </c>
      <c r="L119" s="52">
        <f>IFERROR(VLOOKUP($A119,'The List'!$B1:$AS730,19,FALSE)," ")</f>
        <v>59.974565270951572</v>
      </c>
      <c r="M119" s="52">
        <f>IFERROR(VLOOKUP($A119,'The List'!$B1:$AS730,20,FALSE)," ")</f>
        <v>95.477921577926693</v>
      </c>
      <c r="N119" s="52">
        <f>IFERROR(VLOOKUP($A119,'The List'!$B1:$AS730,21,FALSE)," ")</f>
        <v>255.79404921146903</v>
      </c>
      <c r="O119" s="52">
        <f>IFERROR(VLOOKUP($A119,'The List'!$B1:$AS730,22,FALSE)," ")</f>
        <v>11.01322704264382</v>
      </c>
      <c r="P119" s="52">
        <f>IFERROR(VLOOKUP($A119,'The List'!$B1:$AS730,23,FALSE)," ")</f>
        <v>31.862915198380186</v>
      </c>
      <c r="Q119" s="52">
        <f>IFERROR(VLOOKUP($A119,'The List'!$B1:$AS730,24,FALSE)," ")</f>
        <v>2.197113812280671</v>
      </c>
      <c r="R119" s="52">
        <f>IFERROR(VLOOKUP($A119,'The List'!$B1:$AS730,25,FALSE)," ")</f>
        <v>3.1836534336269589</v>
      </c>
      <c r="S119" s="52">
        <f>IFERROR(VLOOKUP($A119,'The List'!$B1:$AS730,26,FALSE)," ")</f>
        <v>54.756929899770071</v>
      </c>
      <c r="T119" s="52">
        <f>IFERROR(VLOOKUP($A119,'The List'!$B1:$AS730,27,FALSE)," ")</f>
        <v>64.591274437542964</v>
      </c>
      <c r="U119" s="52">
        <f>IFERROR(VLOOKUP($A119,'The List'!$B1:$AS730,28,FALSE)," ")</f>
        <v>6.1497400477880024</v>
      </c>
      <c r="V119" s="52">
        <f>IFERROR(VLOOKUP($A119,'The List'!$B1:$AS730,29,FALSE)," ")</f>
        <v>20.492806837458382</v>
      </c>
      <c r="W119" s="52">
        <f>IFERROR(VLOOKUP($A119,'The List'!$B1:$AS730,30,FALSE)," ")</f>
        <v>5.0930374447792612</v>
      </c>
      <c r="X119" s="52">
        <f>IFERROR(VLOOKUP($A119,'The List'!$B1:$AS730,31,FALSE)," ")</f>
        <v>880.01599528639474</v>
      </c>
      <c r="Y119" s="52">
        <f>IFERROR(VLOOKUP($A119,'The List'!$B1:$AS730,32,FALSE)," ")</f>
        <v>702.43313150398171</v>
      </c>
      <c r="Z119" s="52">
        <f>IFERROR(VLOOKUP($A119,'The List'!$B1:$AS730,33,FALSE)," ")</f>
        <v>0.55611013358217598</v>
      </c>
      <c r="AA119" s="54"/>
      <c r="AB119" s="59"/>
      <c r="AC119" s="59"/>
      <c r="AD119" s="59"/>
      <c r="AE119" s="59"/>
      <c r="AF119" s="59"/>
    </row>
    <row r="120" spans="1:32" ht="21.2" customHeight="1">
      <c r="A120" s="23" t="s">
        <v>212</v>
      </c>
      <c r="B120" s="56" t="str">
        <f>IFERROR(VLOOKUP($A120,'The List'!$B1:$AS730,3,FALSE)," ")</f>
        <v>C</v>
      </c>
      <c r="C120" s="60">
        <f>IFERROR(VLOOKUP($A120,'The List'!$B1:$AS730,4,FALSE)," ")</f>
        <v>32</v>
      </c>
      <c r="D120" s="34" t="str">
        <f>IFERROR(VLOOKUP($A120,'The List'!$B1:$AS730,5,FALSE)," ")</f>
        <v>CGY</v>
      </c>
      <c r="E120" s="34">
        <f>IFERROR(VLOOKUP($A120,'The List'!$B1:$AS730,6,FALSE)," ")</f>
        <v>28</v>
      </c>
      <c r="F120" s="49">
        <f>IFERROR(VLOOKUP($A120,'The List'!$B1:$AS730,8,FALSE)," ")</f>
        <v>6.5910859387786429</v>
      </c>
      <c r="G120" s="49">
        <f>IFERROR(VLOOKUP($A120,'The List'!$B1:$AS730,10,FALSE)," ")</f>
        <v>0.25403521457204015</v>
      </c>
      <c r="H120" s="38"/>
      <c r="I120" s="52">
        <f>IFERROR(VLOOKUP($A120,'The List'!$B1:$AS730,16,FALSE)," ")</f>
        <v>82</v>
      </c>
      <c r="J120" s="52">
        <f>IFERROR(VLOOKUP($A120,'The List'!$B1:$AS730,17,FALSE)," ")</f>
        <v>19.3996199273993</v>
      </c>
      <c r="K120" s="52">
        <f>IFERROR(VLOOKUP($A120,'The List'!$B1:$AS730,18,FALSE)," ")</f>
        <v>30.053491452215319</v>
      </c>
      <c r="L120" s="52">
        <f>IFERROR(VLOOKUP($A120,'The List'!$B1:$AS730,19,FALSE)," ")</f>
        <v>41.272389883103699</v>
      </c>
      <c r="M120" s="52">
        <f>IFERROR(VLOOKUP($A120,'The List'!$B1:$AS730,20,FALSE)," ")</f>
        <v>71.325881335319025</v>
      </c>
      <c r="N120" s="52">
        <f>IFERROR(VLOOKUP($A120,'The List'!$B1:$AS730,21,FALSE)," ")</f>
        <v>207.13703391460419</v>
      </c>
      <c r="O120" s="52">
        <f>IFERROR(VLOOKUP($A120,'The List'!$B1:$AS730,22,FALSE)," ")</f>
        <v>10.738432886084617</v>
      </c>
      <c r="P120" s="52">
        <f>IFERROR(VLOOKUP($A120,'The List'!$B1:$AS730,23,FALSE)," ")</f>
        <v>22.05316386017418</v>
      </c>
      <c r="Q120" s="52">
        <f>IFERROR(VLOOKUP($A120,'The List'!$B1:$AS730,24,FALSE)," ")</f>
        <v>0.77617498252412764</v>
      </c>
      <c r="R120" s="52">
        <f>IFERROR(VLOOKUP($A120,'The List'!$B1:$AS730,25,FALSE)," ")</f>
        <v>2.2543822041080905</v>
      </c>
      <c r="S120" s="52">
        <f>IFERROR(VLOOKUP($A120,'The List'!$B1:$AS730,26,FALSE)," ")</f>
        <v>51.177788070257066</v>
      </c>
      <c r="T120" s="52">
        <f>IFERROR(VLOOKUP($A120,'The List'!$B1:$AS730,27,FALSE)," ")</f>
        <v>90.326777405552349</v>
      </c>
      <c r="U120" s="52">
        <f>IFERROR(VLOOKUP($A120,'The List'!$B1:$AS730,28,FALSE)," ")</f>
        <v>4.8988932287533897</v>
      </c>
      <c r="V120" s="52">
        <f>IFERROR(VLOOKUP($A120,'The List'!$B1:$AS730,29,FALSE)," ")</f>
        <v>23.276925938552218</v>
      </c>
      <c r="W120" s="52">
        <f>IFERROR(VLOOKUP($A120,'The List'!$B1:$AS730,30,FALSE)," ")</f>
        <v>5.0218858298772773</v>
      </c>
      <c r="X120" s="52">
        <f>IFERROR(VLOOKUP($A120,'The List'!$B1:$AS730,31,FALSE)," ")</f>
        <v>860.66443823449492</v>
      </c>
      <c r="Y120" s="52">
        <f>IFERROR(VLOOKUP($A120,'The List'!$B1:$AS730,32,FALSE)," ")</f>
        <v>738.78386423082497</v>
      </c>
      <c r="Z120" s="52">
        <f>IFERROR(VLOOKUP($A120,'The List'!$B1:$AS730,33,FALSE)," ")</f>
        <v>0.53810081695538603</v>
      </c>
      <c r="AA120" s="54"/>
      <c r="AB120" s="59"/>
      <c r="AC120" s="59"/>
      <c r="AD120" s="59"/>
      <c r="AE120" s="59"/>
      <c r="AF120" s="59"/>
    </row>
    <row r="121" spans="1:32" ht="21.2" customHeight="1">
      <c r="A121" s="23"/>
      <c r="B121" s="56" t="str">
        <f>IFERROR(VLOOKUP($A121,'The List'!$B1:$AS730,3,FALSE)," ")</f>
        <v xml:space="preserve"> </v>
      </c>
      <c r="C121" s="60" t="str">
        <f>IFERROR(VLOOKUP($A121,'The List'!$B1:$AS730,4,FALSE)," ")</f>
        <v xml:space="preserve"> </v>
      </c>
      <c r="D121" s="34" t="str">
        <f>IFERROR(VLOOKUP($A121,'The List'!$B1:$AS730,5,FALSE)," ")</f>
        <v xml:space="preserve"> </v>
      </c>
      <c r="E121" s="34" t="str">
        <f>IFERROR(VLOOKUP($A121,'The List'!$B1:$AS730,6,FALSE)," ")</f>
        <v xml:space="preserve"> </v>
      </c>
      <c r="F121" s="49" t="str">
        <f>IFERROR(VLOOKUP($A121,'The List'!$B1:$AS730,8,FALSE)," ")</f>
        <v xml:space="preserve"> </v>
      </c>
      <c r="G121" s="49" t="str">
        <f>IFERROR(VLOOKUP($A121,'The List'!$B1:$AS730,10,FALSE)," ")</f>
        <v xml:space="preserve"> </v>
      </c>
      <c r="H121" s="38"/>
      <c r="I121" s="52" t="str">
        <f>IFERROR(VLOOKUP($A121,'The List'!$B1:$AS730,16,FALSE)," ")</f>
        <v xml:space="preserve"> </v>
      </c>
      <c r="J121" s="52" t="str">
        <f>IFERROR(VLOOKUP($A121,'The List'!$B1:$AS730,17,FALSE)," ")</f>
        <v xml:space="preserve"> </v>
      </c>
      <c r="K121" s="52" t="str">
        <f>IFERROR(VLOOKUP($A121,'The List'!$B1:$AS730,18,FALSE)," ")</f>
        <v xml:space="preserve"> </v>
      </c>
      <c r="L121" s="52" t="str">
        <f>IFERROR(VLOOKUP($A121,'The List'!$B1:$AS730,19,FALSE)," ")</f>
        <v xml:space="preserve"> </v>
      </c>
      <c r="M121" s="52" t="str">
        <f>IFERROR(VLOOKUP($A121,'The List'!$B1:$AS730,20,FALSE)," ")</f>
        <v xml:space="preserve"> </v>
      </c>
      <c r="N121" s="52" t="str">
        <f>IFERROR(VLOOKUP($A121,'The List'!$B1:$AS730,21,FALSE)," ")</f>
        <v xml:space="preserve"> </v>
      </c>
      <c r="O121" s="52" t="str">
        <f>IFERROR(VLOOKUP($A121,'The List'!$B1:$AS730,22,FALSE)," ")</f>
        <v xml:space="preserve"> </v>
      </c>
      <c r="P121" s="52" t="str">
        <f>IFERROR(VLOOKUP($A121,'The List'!$B1:$AS730,23,FALSE)," ")</f>
        <v xml:space="preserve"> </v>
      </c>
      <c r="Q121" s="52" t="str">
        <f>IFERROR(VLOOKUP($A121,'The List'!$B1:$AS730,24,FALSE)," ")</f>
        <v xml:space="preserve"> </v>
      </c>
      <c r="R121" s="52" t="str">
        <f>IFERROR(VLOOKUP($A121,'The List'!$B1:$AS730,25,FALSE)," ")</f>
        <v xml:space="preserve"> </v>
      </c>
      <c r="S121" s="52" t="str">
        <f>IFERROR(VLOOKUP($A121,'The List'!$B1:$AS730,26,FALSE)," ")</f>
        <v xml:space="preserve"> </v>
      </c>
      <c r="T121" s="52" t="str">
        <f>IFERROR(VLOOKUP($A121,'The List'!$B1:$AS730,27,FALSE)," ")</f>
        <v xml:space="preserve"> </v>
      </c>
      <c r="U121" s="52" t="str">
        <f>IFERROR(VLOOKUP($A121,'The List'!$B1:$AS730,28,FALSE)," ")</f>
        <v xml:space="preserve"> </v>
      </c>
      <c r="V121" s="52" t="str">
        <f>IFERROR(VLOOKUP($A121,'The List'!$B1:$AS730,29,FALSE)," ")</f>
        <v xml:space="preserve"> </v>
      </c>
      <c r="W121" s="52" t="str">
        <f>IFERROR(VLOOKUP($A121,'The List'!$B1:$AS730,30,FALSE)," ")</f>
        <v xml:space="preserve"> </v>
      </c>
      <c r="X121" s="52" t="str">
        <f>IFERROR(VLOOKUP($A121,'The List'!$B1:$AS730,31,FALSE)," ")</f>
        <v xml:space="preserve"> </v>
      </c>
      <c r="Y121" s="52" t="str">
        <f>IFERROR(VLOOKUP($A121,'The List'!$B1:$AS730,32,FALSE)," ")</f>
        <v xml:space="preserve"> </v>
      </c>
      <c r="Z121" s="52" t="str">
        <f>IFERROR(VLOOKUP($A121,'The List'!$B1:$AS730,33,FALSE)," ")</f>
        <v xml:space="preserve"> </v>
      </c>
      <c r="AA121" s="54"/>
      <c r="AB121" s="59"/>
      <c r="AC121" s="59"/>
      <c r="AD121" s="59"/>
      <c r="AE121" s="59"/>
      <c r="AF121" s="59"/>
    </row>
    <row r="122" spans="1:32" ht="21.2" customHeight="1">
      <c r="A122" s="23" t="s">
        <v>135</v>
      </c>
      <c r="B122" s="61" t="str">
        <f>IFERROR(VLOOKUP($A122,'The List'!$B1:$AS730,3,FALSE)," ")</f>
        <v>C,LW</v>
      </c>
      <c r="C122" s="63">
        <f>IFERROR(VLOOKUP($A122,'The List'!$B1:$AS730,4,FALSE)," ")</f>
        <v>10</v>
      </c>
      <c r="D122" s="34" t="str">
        <f>IFERROR(VLOOKUP($A122,'The List'!$B1:$AS730,5,FALSE)," ")</f>
        <v>OTT</v>
      </c>
      <c r="E122" s="34">
        <f>IFERROR(VLOOKUP($A122,'The List'!$B1:$AS730,6,FALSE)," ")</f>
        <v>21</v>
      </c>
      <c r="F122" s="49">
        <f>IFERROR(VLOOKUP($A122,'The List'!$B1:$AS730,8,FALSE)," ")</f>
        <v>9.837350072092196</v>
      </c>
      <c r="G122" s="49">
        <f>IFERROR(VLOOKUP($A122,'The List'!$B1:$AS730,10,FALSE)," ")</f>
        <v>3.1826810279677948</v>
      </c>
      <c r="H122" s="38"/>
      <c r="I122" s="52">
        <f>IFERROR(VLOOKUP($A122,'The List'!$B1:$AS730,16,FALSE)," ")</f>
        <v>82</v>
      </c>
      <c r="J122" s="52">
        <f>IFERROR(VLOOKUP($A122,'The List'!$B1:$AS730,17,FALSE)," ")</f>
        <v>20.7365697379221</v>
      </c>
      <c r="K122" s="52">
        <f>IFERROR(VLOOKUP($A122,'The List'!$B1:$AS730,18,FALSE)," ")</f>
        <v>37.583706964693562</v>
      </c>
      <c r="L122" s="52">
        <f>IFERROR(VLOOKUP($A122,'The List'!$B1:$AS730,19,FALSE)," ")</f>
        <v>51.093129642403802</v>
      </c>
      <c r="M122" s="52">
        <f>IFERROR(VLOOKUP($A122,'The List'!$B1:$AS730,20,FALSE)," ")</f>
        <v>88.676836607097357</v>
      </c>
      <c r="N122" s="52">
        <f>IFERROR(VLOOKUP($A122,'The List'!$B1:$AS730,21,FALSE)," ")</f>
        <v>233.69050011316318</v>
      </c>
      <c r="O122" s="52">
        <f>IFERROR(VLOOKUP($A122,'The List'!$B1:$AS730,22,FALSE)," ")</f>
        <v>9.6117219871162298</v>
      </c>
      <c r="P122" s="52">
        <f>IFERROR(VLOOKUP($A122,'The List'!$B1:$AS730,23,FALSE)," ")</f>
        <v>28.053948052216626</v>
      </c>
      <c r="Q122" s="52">
        <f>IFERROR(VLOOKUP($A122,'The List'!$B1:$AS730,24,FALSE)," ")</f>
        <v>2.6608425694534175</v>
      </c>
      <c r="R122" s="52">
        <f>IFERROR(VLOOKUP($A122,'The List'!$B1:$AS730,25,FALSE)," ")</f>
        <v>2.9503067869820989</v>
      </c>
      <c r="S122" s="52">
        <f>IFERROR(VLOOKUP($A122,'The List'!$B1:$AS730,26,FALSE)," ")</f>
        <v>51.529260762253585</v>
      </c>
      <c r="T122" s="52">
        <f>IFERROR(VLOOKUP($A122,'The List'!$B1:$AS730,27,FALSE)," ")</f>
        <v>117.28599307225282</v>
      </c>
      <c r="U122" s="52">
        <f>IFERROR(VLOOKUP($A122,'The List'!$B1:$AS730,28,FALSE)," ")</f>
        <v>1.4002822809600426</v>
      </c>
      <c r="V122" s="52">
        <f>IFERROR(VLOOKUP($A122,'The List'!$B1:$AS730,29,FALSE)," ")</f>
        <v>46.65148277175448</v>
      </c>
      <c r="W122" s="52">
        <f>IFERROR(VLOOKUP($A122,'The List'!$B1:$AS730,30,FALSE)," ")</f>
        <v>5.6520599030598131</v>
      </c>
      <c r="X122" s="52">
        <f>IFERROR(VLOOKUP($A122,'The List'!$B1:$AS730,31,FALSE)," ")</f>
        <v>181.30298116180614</v>
      </c>
      <c r="Y122" s="52">
        <f>IFERROR(VLOOKUP($A122,'The List'!$B1:$AS730,32,FALSE)," ")</f>
        <v>288.90858302826507</v>
      </c>
      <c r="Z122" s="52">
        <f>IFERROR(VLOOKUP($A122,'The List'!$B1:$AS730,33,FALSE)," ")</f>
        <v>0.385577461230875</v>
      </c>
      <c r="AA122" s="54"/>
      <c r="AB122" s="59"/>
      <c r="AC122" s="59"/>
      <c r="AD122" s="59"/>
      <c r="AE122" s="59"/>
      <c r="AF122" s="59"/>
    </row>
    <row r="123" spans="1:32" ht="21.2" customHeight="1">
      <c r="A123" s="23" t="s">
        <v>186</v>
      </c>
      <c r="B123" s="61" t="str">
        <f>IFERROR(VLOOKUP($A123,'The List'!$B1:$AS730,3,FALSE)," ")</f>
        <v>C,LW</v>
      </c>
      <c r="C123" s="63">
        <f>IFERROR(VLOOKUP($A123,'The List'!$B1:$AS730,4,FALSE)," ")</f>
        <v>34</v>
      </c>
      <c r="D123" s="34" t="str">
        <f>IFERROR(VLOOKUP($A123,'The List'!$B1:$AS730,5,FALSE)," ")</f>
        <v>ANA</v>
      </c>
      <c r="E123" s="34">
        <f>IFERROR(VLOOKUP($A123,'The List'!$B1:$AS730,6,FALSE)," ")</f>
        <v>22</v>
      </c>
      <c r="F123" s="49">
        <f>IFERROR(VLOOKUP($A123,'The List'!$B1:$AS730,8,FALSE)," ")</f>
        <v>7.2104285715631136</v>
      </c>
      <c r="G123" s="49">
        <f>IFERROR(VLOOKUP($A123,'The List'!$B1:$AS730,10,FALSE)," ")</f>
        <v>0.55575952743871238</v>
      </c>
      <c r="H123" s="38"/>
      <c r="I123" s="52">
        <f>IFERROR(VLOOKUP($A123,'The List'!$B1:$AS730,16,FALSE)," ")</f>
        <v>82</v>
      </c>
      <c r="J123" s="52">
        <f>IFERROR(VLOOKUP($A123,'The List'!$B1:$AS730,17,FALSE)," ")</f>
        <v>19.251722162930999</v>
      </c>
      <c r="K123" s="52">
        <f>IFERROR(VLOOKUP($A123,'The List'!$B1:$AS730,18,FALSE)," ")</f>
        <v>28.385362497562845</v>
      </c>
      <c r="L123" s="52">
        <f>IFERROR(VLOOKUP($A123,'The List'!$B1:$AS730,19,FALSE)," ")</f>
        <v>49.122430002500629</v>
      </c>
      <c r="M123" s="52">
        <f>IFERROR(VLOOKUP($A123,'The List'!$B1:$AS730,20,FALSE)," ")</f>
        <v>77.507792500063474</v>
      </c>
      <c r="N123" s="52">
        <f>IFERROR(VLOOKUP($A123,'The List'!$B1:$AS730,21,FALSE)," ")</f>
        <v>207.05367925651672</v>
      </c>
      <c r="O123" s="52">
        <f>IFERROR(VLOOKUP($A123,'The List'!$B1:$AS730,22,FALSE)," ")</f>
        <v>7.3674990575824699</v>
      </c>
      <c r="P123" s="52">
        <f>IFERROR(VLOOKUP($A123,'The List'!$B1:$AS730,23,FALSE)," ")</f>
        <v>21.437667277240219</v>
      </c>
      <c r="Q123" s="52">
        <f>IFERROR(VLOOKUP($A123,'The List'!$B1:$AS730,24,FALSE)," ")</f>
        <v>2.7016717312142894E-2</v>
      </c>
      <c r="R123" s="52">
        <f>IFERROR(VLOOKUP($A123,'The List'!$B1:$AS730,25,FALSE)," ")</f>
        <v>5.485062694392441E-2</v>
      </c>
      <c r="S123" s="52">
        <f>IFERROR(VLOOKUP($A123,'The List'!$B1:$AS730,26,FALSE)," ")</f>
        <v>30.73681095917922</v>
      </c>
      <c r="T123" s="52">
        <f>IFERROR(VLOOKUP($A123,'The List'!$B1:$AS730,27,FALSE)," ")</f>
        <v>55.250877737076905</v>
      </c>
      <c r="U123" s="52">
        <f>IFERROR(VLOOKUP($A123,'The List'!$B1:$AS730,28,FALSE)," ")</f>
        <v>-9.8459708981910357</v>
      </c>
      <c r="V123" s="52">
        <f>IFERROR(VLOOKUP($A123,'The List'!$B1:$AS730,29,FALSE)," ")</f>
        <v>52.146151576212333</v>
      </c>
      <c r="W123" s="52">
        <f>IFERROR(VLOOKUP($A123,'The List'!$B1:$AS730,30,FALSE)," ")</f>
        <v>2.7211067337006187</v>
      </c>
      <c r="X123" s="52">
        <f>IFERROR(VLOOKUP($A123,'The List'!$B1:$AS730,31,FALSE)," ")</f>
        <v>243.35183236200024</v>
      </c>
      <c r="Y123" s="52">
        <f>IFERROR(VLOOKUP($A123,'The List'!$B1:$AS730,32,FALSE)," ")</f>
        <v>349.84515027196994</v>
      </c>
      <c r="Z123" s="52">
        <f>IFERROR(VLOOKUP($A123,'The List'!$B1:$AS730,33,FALSE)," ")</f>
        <v>0.41023781220438099</v>
      </c>
      <c r="AA123" s="54"/>
      <c r="AB123" s="59"/>
      <c r="AC123" s="59"/>
      <c r="AD123" s="59"/>
      <c r="AE123" s="59"/>
      <c r="AF123" s="59"/>
    </row>
    <row r="124" spans="1:32" ht="21.2" customHeight="1">
      <c r="A124" s="23" t="s">
        <v>236</v>
      </c>
      <c r="B124" s="61" t="str">
        <f>IFERROR(VLOOKUP($A124,'The List'!$B1:$AS730,3,FALSE)," ")</f>
        <v>LW,RW</v>
      </c>
      <c r="C124" s="63">
        <f>IFERROR(VLOOKUP($A124,'The List'!$B1:$AS730,4,FALSE)," ")</f>
        <v>43</v>
      </c>
      <c r="D124" s="34" t="str">
        <f>IFERROR(VLOOKUP($A124,'The List'!$B1:$AS730,5,FALSE)," ")</f>
        <v>VAN</v>
      </c>
      <c r="E124" s="34">
        <f>IFERROR(VLOOKUP($A124,'The List'!$B1:$AS730,6,FALSE)," ")</f>
        <v>27</v>
      </c>
      <c r="F124" s="49">
        <f>IFERROR(VLOOKUP($A124,'The List'!$B1:$AS730,8,FALSE)," ")</f>
        <v>5.0042319918234188</v>
      </c>
      <c r="G124" s="49">
        <f>IFERROR(VLOOKUP($A124,'The List'!$B1:$AS730,10,FALSE)," ")</f>
        <v>-1.276026727187662</v>
      </c>
      <c r="H124" s="38"/>
      <c r="I124" s="52">
        <f>IFERROR(VLOOKUP($A124,'The List'!$B1:$AS730,16,FALSE)," ")</f>
        <v>82</v>
      </c>
      <c r="J124" s="52">
        <f>IFERROR(VLOOKUP($A124,'The List'!$B1:$AS730,17,FALSE)," ")</f>
        <v>16.791718638704001</v>
      </c>
      <c r="K124" s="52">
        <f>IFERROR(VLOOKUP($A124,'The List'!$B1:$AS730,18,FALSE)," ")</f>
        <v>34.375296472887165</v>
      </c>
      <c r="L124" s="52">
        <f>IFERROR(VLOOKUP($A124,'The List'!$B1:$AS730,19,FALSE)," ")</f>
        <v>34.570373851695443</v>
      </c>
      <c r="M124" s="52">
        <f>IFERROR(VLOOKUP($A124,'The List'!$B1:$AS730,20,FALSE)," ")</f>
        <v>68.945670324582608</v>
      </c>
      <c r="N124" s="52">
        <f>IFERROR(VLOOKUP($A124,'The List'!$B1:$AS730,21,FALSE)," ")</f>
        <v>154.76528742880646</v>
      </c>
      <c r="O124" s="52">
        <f>IFERROR(VLOOKUP($A124,'The List'!$B1:$AS730,22,FALSE)," ")</f>
        <v>10.274472754502828</v>
      </c>
      <c r="P124" s="52">
        <f>IFERROR(VLOOKUP($A124,'The List'!$B1:$AS730,23,FALSE)," ")</f>
        <v>16.754763864812634</v>
      </c>
      <c r="Q124" s="52">
        <f>IFERROR(VLOOKUP($A124,'The List'!$B1:$AS730,24,FALSE)," ")</f>
        <v>1.0557747699390385E-3</v>
      </c>
      <c r="R124" s="52">
        <f>IFERROR(VLOOKUP($A124,'The List'!$B1:$AS730,25,FALSE)," ")</f>
        <v>1.9932708363023695E-3</v>
      </c>
      <c r="S124" s="52">
        <f>IFERROR(VLOOKUP($A124,'The List'!$B1:$AS730,26,FALSE)," ")</f>
        <v>22.119744733183474</v>
      </c>
      <c r="T124" s="52">
        <f>IFERROR(VLOOKUP($A124,'The List'!$B1:$AS730,27,FALSE)," ")</f>
        <v>24.645939730861237</v>
      </c>
      <c r="U124" s="52">
        <f>IFERROR(VLOOKUP($A124,'The List'!$B1:$AS730,28,FALSE)," ")</f>
        <v>2.8624740236518118</v>
      </c>
      <c r="V124" s="52">
        <f>IFERROR(VLOOKUP($A124,'The List'!$B1:$AS730,29,FALSE)," ")</f>
        <v>16.220043638567834</v>
      </c>
      <c r="W124" s="52">
        <f>IFERROR(VLOOKUP($A124,'The List'!$B1:$AS730,30,FALSE)," ")</f>
        <v>4.866154901391269</v>
      </c>
      <c r="X124" s="52">
        <f>IFERROR(VLOOKUP($A124,'The List'!$B1:$AS730,31,FALSE)," ")</f>
        <v>0</v>
      </c>
      <c r="Y124" s="52">
        <f>IFERROR(VLOOKUP($A124,'The List'!$B1:$AS730,32,FALSE)," ")</f>
        <v>1.0466265285073697</v>
      </c>
      <c r="Z124" s="52">
        <f>IFERROR(VLOOKUP($A124,'The List'!$B1:$AS730,33,FALSE)," ")</f>
        <v>0</v>
      </c>
      <c r="AA124" s="54"/>
      <c r="AB124" s="59"/>
      <c r="AC124" s="59"/>
      <c r="AD124" s="59"/>
      <c r="AE124" s="59"/>
      <c r="AF124" s="59"/>
    </row>
    <row r="125" spans="1:32" ht="21.2" customHeight="1">
      <c r="A125" s="23" t="s">
        <v>197</v>
      </c>
      <c r="B125" s="61" t="str">
        <f>IFERROR(VLOOKUP($A125,'The List'!$B1:$AS730,3,FALSE)," ")</f>
        <v>LW</v>
      </c>
      <c r="C125" s="63">
        <f>IFERROR(VLOOKUP($A125,'The List'!$B1:$AS730,4,FALSE)," ")</f>
        <v>32</v>
      </c>
      <c r="D125" s="34" t="str">
        <f>IFERROR(VLOOKUP($A125,'The List'!$B1:$AS730,5,FALSE)," ")</f>
        <v>FLA</v>
      </c>
      <c r="E125" s="34">
        <f>IFERROR(VLOOKUP($A125,'The List'!$B1:$AS730,6,FALSE)," ")</f>
        <v>28</v>
      </c>
      <c r="F125" s="49">
        <f>IFERROR(VLOOKUP($A125,'The List'!$B1:$AS730,8,FALSE)," ")</f>
        <v>7.311458974838196</v>
      </c>
      <c r="G125" s="49">
        <f>IFERROR(VLOOKUP($A125,'The List'!$B1:$AS730,10,FALSE)," ")</f>
        <v>0.65678993071379477</v>
      </c>
      <c r="H125" s="38"/>
      <c r="I125" s="52">
        <f>IFERROR(VLOOKUP($A125,'The List'!$B1:$AS730,16,FALSE)," ")</f>
        <v>82</v>
      </c>
      <c r="J125" s="52">
        <f>IFERROR(VLOOKUP($A125,'The List'!$B1:$AS730,17,FALSE)," ")</f>
        <v>18.2777310597683</v>
      </c>
      <c r="K125" s="52">
        <f>IFERROR(VLOOKUP($A125,'The List'!$B1:$AS730,18,FALSE)," ")</f>
        <v>37.441533082712432</v>
      </c>
      <c r="L125" s="52">
        <f>IFERROR(VLOOKUP($A125,'The List'!$B1:$AS730,19,FALSE)," ")</f>
        <v>36.523572420926229</v>
      </c>
      <c r="M125" s="52">
        <f>IFERROR(VLOOKUP($A125,'The List'!$B1:$AS730,20,FALSE)," ")</f>
        <v>73.965105503638654</v>
      </c>
      <c r="N125" s="52">
        <f>IFERROR(VLOOKUP($A125,'The List'!$B1:$AS730,21,FALSE)," ")</f>
        <v>267.22740159981288</v>
      </c>
      <c r="O125" s="52">
        <f>IFERROR(VLOOKUP($A125,'The List'!$B1:$AS730,22,FALSE)," ")</f>
        <v>6.8349640845084521</v>
      </c>
      <c r="P125" s="52">
        <f>IFERROR(VLOOKUP($A125,'The List'!$B1:$AS730,23,FALSE)," ")</f>
        <v>14.38995566340739</v>
      </c>
      <c r="Q125" s="52">
        <f>IFERROR(VLOOKUP($A125,'The List'!$B1:$AS730,24,FALSE)," ")</f>
        <v>1.8755533407960583E-2</v>
      </c>
      <c r="R125" s="52">
        <f>IFERROR(VLOOKUP($A125,'The List'!$B1:$AS730,25,FALSE)," ")</f>
        <v>2.4624182401188906E-2</v>
      </c>
      <c r="S125" s="52">
        <f>IFERROR(VLOOKUP($A125,'The List'!$B1:$AS730,26,FALSE)," ")</f>
        <v>29.567164663885993</v>
      </c>
      <c r="T125" s="52">
        <f>IFERROR(VLOOKUP($A125,'The List'!$B1:$AS730,27,FALSE)," ")</f>
        <v>42.384159616255666</v>
      </c>
      <c r="U125" s="52">
        <f>IFERROR(VLOOKUP($A125,'The List'!$B1:$AS730,28,FALSE)," ")</f>
        <v>7.7092619787750598</v>
      </c>
      <c r="V125" s="52">
        <f>IFERROR(VLOOKUP($A125,'The List'!$B1:$AS730,29,FALSE)," ")</f>
        <v>50.87651631657792</v>
      </c>
      <c r="W125" s="52">
        <f>IFERROR(VLOOKUP($A125,'The List'!$B1:$AS730,30,FALSE)," ")</f>
        <v>5.371073324206586</v>
      </c>
      <c r="X125" s="52">
        <f>IFERROR(VLOOKUP($A125,'The List'!$B1:$AS730,31,FALSE)," ")</f>
        <v>25.43001180590251</v>
      </c>
      <c r="Y125" s="52">
        <f>IFERROR(VLOOKUP($A125,'The List'!$B1:$AS730,32,FALSE)," ")</f>
        <v>21.247032652298078</v>
      </c>
      <c r="Z125" s="52">
        <f>IFERROR(VLOOKUP($A125,'The List'!$B1:$AS730,33,FALSE)," ")</f>
        <v>0.54480766940321501</v>
      </c>
      <c r="AA125" s="54"/>
      <c r="AB125" s="59"/>
      <c r="AC125" s="59"/>
      <c r="AD125" s="59"/>
      <c r="AE125" s="59"/>
      <c r="AF125" s="59"/>
    </row>
    <row r="126" spans="1:32" ht="21.2" customHeight="1">
      <c r="A126" s="23" t="s">
        <v>208</v>
      </c>
      <c r="B126" s="64" t="str">
        <f>IFERROR(VLOOKUP($A126,'The List'!$B1:$AS730,3,FALSE)," ")</f>
        <v>LW,RW</v>
      </c>
      <c r="C126" s="66">
        <f>IFERROR(VLOOKUP($A126,'The List'!$B1:$AS730,4,FALSE)," ")</f>
        <v>20</v>
      </c>
      <c r="D126" s="34" t="str">
        <f>IFERROR(VLOOKUP($A126,'The List'!$B1:$AS730,5,FALSE)," ")</f>
        <v>MTL</v>
      </c>
      <c r="E126" s="34">
        <f>IFERROR(VLOOKUP($A126,'The List'!$B1:$AS730,6,FALSE)," ")</f>
        <v>22</v>
      </c>
      <c r="F126" s="49">
        <f>IFERROR(VLOOKUP($A126,'The List'!$B1:$AS730,8,FALSE)," ")</f>
        <v>7.6906294626593015</v>
      </c>
      <c r="G126" s="49">
        <f>IFERROR(VLOOKUP($A126,'The List'!$B1:$AS730,10,FALSE)," ")</f>
        <v>1.4103707436482207</v>
      </c>
      <c r="H126" s="38"/>
      <c r="I126" s="52">
        <f>IFERROR(VLOOKUP($A126,'The List'!$B1:$AS730,16,FALSE)," ")</f>
        <v>82</v>
      </c>
      <c r="J126" s="52">
        <f>IFERROR(VLOOKUP($A126,'The List'!$B1:$AS730,17,FALSE)," ")</f>
        <v>18.109720833755301</v>
      </c>
      <c r="K126" s="52">
        <f>IFERROR(VLOOKUP($A126,'The List'!$B1:$AS730,18,FALSE)," ")</f>
        <v>40.847832066670442</v>
      </c>
      <c r="L126" s="52">
        <f>IFERROR(VLOOKUP($A126,'The List'!$B1:$AS730,19,FALSE)," ")</f>
        <v>29.078162746888189</v>
      </c>
      <c r="M126" s="52">
        <f>IFERROR(VLOOKUP($A126,'The List'!$B1:$AS730,20,FALSE)," ")</f>
        <v>69.925994813558631</v>
      </c>
      <c r="N126" s="52">
        <f>IFERROR(VLOOKUP($A126,'The List'!$B1:$AS730,21,FALSE)," ")</f>
        <v>276.36757868999689</v>
      </c>
      <c r="O126" s="52">
        <f>IFERROR(VLOOKUP($A126,'The List'!$B1:$AS730,22,FALSE)," ")</f>
        <v>10.844829417057609</v>
      </c>
      <c r="P126" s="52">
        <f>IFERROR(VLOOKUP($A126,'The List'!$B1:$AS730,23,FALSE)," ")</f>
        <v>20.555848351137961</v>
      </c>
      <c r="Q126" s="52">
        <f>IFERROR(VLOOKUP($A126,'The List'!$B1:$AS730,24,FALSE)," ")</f>
        <v>3.9891181222436005E-3</v>
      </c>
      <c r="R126" s="52">
        <f>IFERROR(VLOOKUP($A126,'The List'!$B1:$AS730,25,FALSE)," ")</f>
        <v>7.9786856607268926E-3</v>
      </c>
      <c r="S126" s="52">
        <f>IFERROR(VLOOKUP($A126,'The List'!$B1:$AS730,26,FALSE)," ")</f>
        <v>20.102996417195659</v>
      </c>
      <c r="T126" s="52">
        <f>IFERROR(VLOOKUP($A126,'The List'!$B1:$AS730,27,FALSE)," ")</f>
        <v>37.346204765925187</v>
      </c>
      <c r="U126" s="52">
        <f>IFERROR(VLOOKUP($A126,'The List'!$B1:$AS730,28,FALSE)," ")</f>
        <v>-8.2801206958852909</v>
      </c>
      <c r="V126" s="52">
        <f>IFERROR(VLOOKUP($A126,'The List'!$B1:$AS730,29,FALSE)," ")</f>
        <v>15.951969003602409</v>
      </c>
      <c r="W126" s="52">
        <f>IFERROR(VLOOKUP($A126,'The List'!$B1:$AS730,30,FALSE)," ")</f>
        <v>4.1845382930554154</v>
      </c>
      <c r="X126" s="52">
        <f>IFERROR(VLOOKUP($A126,'The List'!$B1:$AS730,31,FALSE)," ")</f>
        <v>0.70747649362351273</v>
      </c>
      <c r="Y126" s="52">
        <f>IFERROR(VLOOKUP($A126,'The List'!$B1:$AS730,32,FALSE)," ")</f>
        <v>2.1001925190003359</v>
      </c>
      <c r="Z126" s="52">
        <f>IFERROR(VLOOKUP($A126,'The List'!$B1:$AS730,33,FALSE)," ")</f>
        <v>0.251980019882171</v>
      </c>
      <c r="AA126" s="54"/>
      <c r="AB126" s="59"/>
      <c r="AC126" s="59"/>
      <c r="AD126" s="59"/>
      <c r="AE126" s="59"/>
      <c r="AF126" s="59"/>
    </row>
    <row r="127" spans="1:32" ht="21.2" customHeight="1">
      <c r="A127" s="23" t="s">
        <v>324</v>
      </c>
      <c r="B127" s="64" t="str">
        <f>IFERROR(VLOOKUP($A127,'The List'!$B1:$AS730,3,FALSE)," ")</f>
        <v>RW</v>
      </c>
      <c r="C127" s="66">
        <f>IFERROR(VLOOKUP($A127,'The List'!$B1:$AS730,4,FALSE)," ")</f>
        <v>57</v>
      </c>
      <c r="D127" s="34" t="str">
        <f>IFERROR(VLOOKUP($A127,'The List'!$B1:$AS730,5,FALSE)," ")</f>
        <v>WSH</v>
      </c>
      <c r="E127" s="34">
        <f>IFERROR(VLOOKUP($A127,'The List'!$B1:$AS730,6,FALSE)," ")</f>
        <v>29</v>
      </c>
      <c r="F127" s="49">
        <f>IFERROR(VLOOKUP($A127,'The List'!$B1:$AS730,8,FALSE)," ")</f>
        <v>3.0788320137153238</v>
      </c>
      <c r="G127" s="49">
        <f>IFERROR(VLOOKUP($A127,'The List'!$B1:$AS730,10,FALSE)," ")</f>
        <v>-3.201426705295757</v>
      </c>
      <c r="H127" s="38"/>
      <c r="I127" s="52">
        <f>IFERROR(VLOOKUP($A127,'The List'!$B1:$AS730,16,FALSE)," ")</f>
        <v>82</v>
      </c>
      <c r="J127" s="52">
        <f>IFERROR(VLOOKUP($A127,'The List'!$B1:$AS730,17,FALSE)," ")</f>
        <v>18.257264103560502</v>
      </c>
      <c r="K127" s="52">
        <f>IFERROR(VLOOKUP($A127,'The List'!$B1:$AS730,18,FALSE)," ")</f>
        <v>25.200246598347793</v>
      </c>
      <c r="L127" s="52">
        <f>IFERROR(VLOOKUP($A127,'The List'!$B1:$AS730,19,FALSE)," ")</f>
        <v>27.87924901541103</v>
      </c>
      <c r="M127" s="52">
        <f>IFERROR(VLOOKUP($A127,'The List'!$B1:$AS730,20,FALSE)," ")</f>
        <v>53.079495613758823</v>
      </c>
      <c r="N127" s="52">
        <f>IFERROR(VLOOKUP($A127,'The List'!$B1:$AS730,21,FALSE)," ")</f>
        <v>193.23318695684708</v>
      </c>
      <c r="O127" s="52">
        <f>IFERROR(VLOOKUP($A127,'The List'!$B1:$AS730,22,FALSE)," ")</f>
        <v>5.7758037093726013</v>
      </c>
      <c r="P127" s="52">
        <f>IFERROR(VLOOKUP($A127,'The List'!$B1:$AS730,23,FALSE)," ")</f>
        <v>11.699966422641698</v>
      </c>
      <c r="Q127" s="52">
        <f>IFERROR(VLOOKUP($A127,'The List'!$B1:$AS730,24,FALSE)," ")</f>
        <v>1.324361694461442</v>
      </c>
      <c r="R127" s="52">
        <f>IFERROR(VLOOKUP($A127,'The List'!$B1:$AS730,25,FALSE)," ")</f>
        <v>1.8669089741991292</v>
      </c>
      <c r="S127" s="52">
        <f>IFERROR(VLOOKUP($A127,'The List'!$B1:$AS730,26,FALSE)," ")</f>
        <v>65.603156710234217</v>
      </c>
      <c r="T127" s="52">
        <f>IFERROR(VLOOKUP($A127,'The List'!$B1:$AS730,27,FALSE)," ")</f>
        <v>221.79834792661538</v>
      </c>
      <c r="U127" s="52">
        <f>IFERROR(VLOOKUP($A127,'The List'!$B1:$AS730,28,FALSE)," ")</f>
        <v>-3.2553375470203543</v>
      </c>
      <c r="V127" s="52">
        <f>IFERROR(VLOOKUP($A127,'The List'!$B1:$AS730,29,FALSE)," ")</f>
        <v>91.389430528166997</v>
      </c>
      <c r="W127" s="52">
        <f>IFERROR(VLOOKUP($A127,'The List'!$B1:$AS730,30,FALSE)," ")</f>
        <v>3.0997786776971905</v>
      </c>
      <c r="X127" s="52">
        <f>IFERROR(VLOOKUP($A127,'The List'!$B1:$AS730,31,FALSE)," ")</f>
        <v>17.877136957221623</v>
      </c>
      <c r="Y127" s="52">
        <f>IFERROR(VLOOKUP($A127,'The List'!$B1:$AS730,32,FALSE)," ")</f>
        <v>26.838978412935063</v>
      </c>
      <c r="Z127" s="52">
        <f>IFERROR(VLOOKUP($A127,'The List'!$B1:$AS730,33,FALSE)," ")</f>
        <v>0.39979181575223999</v>
      </c>
      <c r="AA127" s="54"/>
      <c r="AB127" s="59"/>
      <c r="AC127" s="59"/>
      <c r="AD127" s="59"/>
      <c r="AE127" s="59"/>
      <c r="AF127" s="59"/>
    </row>
    <row r="128" spans="1:32" ht="21.2" customHeight="1">
      <c r="A128" s="23" t="s">
        <v>215</v>
      </c>
      <c r="B128" s="64" t="str">
        <f>IFERROR(VLOOKUP($A128,'The List'!$B1:$AS730,3,FALSE)," ")</f>
        <v>C,RW</v>
      </c>
      <c r="C128" s="66">
        <f>IFERROR(VLOOKUP($A128,'The List'!$B1:$AS730,4,FALSE)," ")</f>
        <v>31</v>
      </c>
      <c r="D128" s="34" t="str">
        <f>IFERROR(VLOOKUP($A128,'The List'!$B1:$AS730,5,FALSE)," ")</f>
        <v>STL</v>
      </c>
      <c r="E128" s="34">
        <f>IFERROR(VLOOKUP($A128,'The List'!$B1:$AS730,6,FALSE)," ")</f>
        <v>24</v>
      </c>
      <c r="F128" s="49">
        <f>IFERROR(VLOOKUP($A128,'The List'!$B1:$AS730,8,FALSE)," ")</f>
        <v>6.6371557313535909</v>
      </c>
      <c r="G128" s="49">
        <f>IFERROR(VLOOKUP($A128,'The List'!$B1:$AS730,10,FALSE)," ")</f>
        <v>0.35689701234251014</v>
      </c>
      <c r="H128" s="38"/>
      <c r="I128" s="52">
        <f>IFERROR(VLOOKUP($A128,'The List'!$B1:$AS730,16,FALSE)," ")</f>
        <v>82</v>
      </c>
      <c r="J128" s="52">
        <f>IFERROR(VLOOKUP($A128,'The List'!$B1:$AS730,17,FALSE)," ")</f>
        <v>19.425171168090099</v>
      </c>
      <c r="K128" s="52">
        <f>IFERROR(VLOOKUP($A128,'The List'!$B1:$AS730,18,FALSE)," ")</f>
        <v>23.673382507620026</v>
      </c>
      <c r="L128" s="52">
        <f>IFERROR(VLOOKUP($A128,'The List'!$B1:$AS730,19,FALSE)," ")</f>
        <v>58.400540155826469</v>
      </c>
      <c r="M128" s="52">
        <f>IFERROR(VLOOKUP($A128,'The List'!$B1:$AS730,20,FALSE)," ")</f>
        <v>82.073922663446496</v>
      </c>
      <c r="N128" s="52">
        <f>IFERROR(VLOOKUP($A128,'The List'!$B1:$AS730,21,FALSE)," ")</f>
        <v>133.18016168211381</v>
      </c>
      <c r="O128" s="52">
        <f>IFERROR(VLOOKUP($A128,'The List'!$B1:$AS730,22,FALSE)," ")</f>
        <v>6.0093229426428536</v>
      </c>
      <c r="P128" s="52">
        <f>IFERROR(VLOOKUP($A128,'The List'!$B1:$AS730,23,FALSE)," ")</f>
        <v>23.866133053103987</v>
      </c>
      <c r="Q128" s="52">
        <f>IFERROR(VLOOKUP($A128,'The List'!$B1:$AS730,24,FALSE)," ")</f>
        <v>1.2812666770540559</v>
      </c>
      <c r="R128" s="52">
        <f>IFERROR(VLOOKUP($A128,'The List'!$B1:$AS730,25,FALSE)," ")</f>
        <v>1.5042958015316521</v>
      </c>
      <c r="S128" s="52">
        <f>IFERROR(VLOOKUP($A128,'The List'!$B1:$AS730,26,FALSE)," ")</f>
        <v>32.513677066169571</v>
      </c>
      <c r="T128" s="52">
        <f>IFERROR(VLOOKUP($A128,'The List'!$B1:$AS730,27,FALSE)," ")</f>
        <v>24.407038813824105</v>
      </c>
      <c r="U128" s="52">
        <f>IFERROR(VLOOKUP($A128,'The List'!$B1:$AS730,28,FALSE)," ")</f>
        <v>-2.8830278112281373</v>
      </c>
      <c r="V128" s="52">
        <f>IFERROR(VLOOKUP($A128,'The List'!$B1:$AS730,29,FALSE)," ")</f>
        <v>26.546242029713078</v>
      </c>
      <c r="W128" s="52">
        <f>IFERROR(VLOOKUP($A128,'The List'!$B1:$AS730,30,FALSE)," ")</f>
        <v>2.7241607928801033</v>
      </c>
      <c r="X128" s="52">
        <f>IFERROR(VLOOKUP($A128,'The List'!$B1:$AS730,31,FALSE)," ")</f>
        <v>681.50053057158084</v>
      </c>
      <c r="Y128" s="52">
        <f>IFERROR(VLOOKUP($A128,'The List'!$B1:$AS730,32,FALSE)," ")</f>
        <v>663.33373587600465</v>
      </c>
      <c r="Z128" s="52">
        <f>IFERROR(VLOOKUP($A128,'The List'!$B1:$AS730,33,FALSE)," ")</f>
        <v>0.50675428755379803</v>
      </c>
      <c r="AA128" s="54"/>
      <c r="AB128" s="59"/>
      <c r="AC128" s="59"/>
      <c r="AD128" s="59"/>
      <c r="AE128" s="59"/>
      <c r="AF128" s="59"/>
    </row>
    <row r="129" spans="1:32" ht="21.2" customHeight="1">
      <c r="A129" s="23"/>
      <c r="B129" s="64" t="str">
        <f>IFERROR(VLOOKUP($A129,'The List'!$B1:$AS730,3,FALSE)," ")</f>
        <v xml:space="preserve"> </v>
      </c>
      <c r="C129" s="66" t="str">
        <f>IFERROR(VLOOKUP($A129,'The List'!$B1:$AS730,4,FALSE)," ")</f>
        <v xml:space="preserve"> </v>
      </c>
      <c r="D129" s="34" t="str">
        <f>IFERROR(VLOOKUP($A129,'The List'!$B1:$AS730,5,FALSE)," ")</f>
        <v xml:space="preserve"> </v>
      </c>
      <c r="E129" s="34" t="str">
        <f>IFERROR(VLOOKUP($A129,'The List'!$B1:$AS730,6,FALSE)," ")</f>
        <v xml:space="preserve"> </v>
      </c>
      <c r="F129" s="49" t="str">
        <f>IFERROR(VLOOKUP($A129,'The List'!$B1:$AS730,8,FALSE)," ")</f>
        <v xml:space="preserve"> </v>
      </c>
      <c r="G129" s="49" t="str">
        <f>IFERROR(VLOOKUP($A129,'The List'!$B1:$AS730,10,FALSE)," ")</f>
        <v xml:space="preserve"> </v>
      </c>
      <c r="H129" s="38"/>
      <c r="I129" s="52" t="str">
        <f>IFERROR(VLOOKUP($A129,'The List'!$B1:$AS730,16,FALSE)," ")</f>
        <v xml:space="preserve"> </v>
      </c>
      <c r="J129" s="52" t="str">
        <f>IFERROR(VLOOKUP($A129,'The List'!$B1:$AS730,17,FALSE)," ")</f>
        <v xml:space="preserve"> </v>
      </c>
      <c r="K129" s="52" t="str">
        <f>IFERROR(VLOOKUP($A129,'The List'!$B1:$AS730,18,FALSE)," ")</f>
        <v xml:space="preserve"> </v>
      </c>
      <c r="L129" s="52" t="str">
        <f>IFERROR(VLOOKUP($A129,'The List'!$B1:$AS730,19,FALSE)," ")</f>
        <v xml:space="preserve"> </v>
      </c>
      <c r="M129" s="52" t="str">
        <f>IFERROR(VLOOKUP($A129,'The List'!$B1:$AS730,20,FALSE)," ")</f>
        <v xml:space="preserve"> </v>
      </c>
      <c r="N129" s="52" t="str">
        <f>IFERROR(VLOOKUP($A129,'The List'!$B1:$AS730,21,FALSE)," ")</f>
        <v xml:space="preserve"> </v>
      </c>
      <c r="O129" s="52" t="str">
        <f>IFERROR(VLOOKUP($A129,'The List'!$B1:$AS730,22,FALSE)," ")</f>
        <v xml:space="preserve"> </v>
      </c>
      <c r="P129" s="52" t="str">
        <f>IFERROR(VLOOKUP($A129,'The List'!$B1:$AS730,23,FALSE)," ")</f>
        <v xml:space="preserve"> </v>
      </c>
      <c r="Q129" s="52" t="str">
        <f>IFERROR(VLOOKUP($A129,'The List'!$B1:$AS730,24,FALSE)," ")</f>
        <v xml:space="preserve"> </v>
      </c>
      <c r="R129" s="52" t="str">
        <f>IFERROR(VLOOKUP($A129,'The List'!$B1:$AS730,25,FALSE)," ")</f>
        <v xml:space="preserve"> </v>
      </c>
      <c r="S129" s="52" t="str">
        <f>IFERROR(VLOOKUP($A129,'The List'!$B1:$AS730,26,FALSE)," ")</f>
        <v xml:space="preserve"> </v>
      </c>
      <c r="T129" s="52" t="str">
        <f>IFERROR(VLOOKUP($A129,'The List'!$B1:$AS730,27,FALSE)," ")</f>
        <v xml:space="preserve"> </v>
      </c>
      <c r="U129" s="52" t="str">
        <f>IFERROR(VLOOKUP($A129,'The List'!$B1:$AS730,28,FALSE)," ")</f>
        <v xml:space="preserve"> </v>
      </c>
      <c r="V129" s="52" t="str">
        <f>IFERROR(VLOOKUP($A129,'The List'!$B1:$AS730,29,FALSE)," ")</f>
        <v xml:space="preserve"> </v>
      </c>
      <c r="W129" s="52" t="str">
        <f>IFERROR(VLOOKUP($A129,'The List'!$B1:$AS730,30,FALSE)," ")</f>
        <v xml:space="preserve"> </v>
      </c>
      <c r="X129" s="52" t="str">
        <f>IFERROR(VLOOKUP($A129,'The List'!$B1:$AS730,31,FALSE)," ")</f>
        <v xml:space="preserve"> </v>
      </c>
      <c r="Y129" s="52" t="str">
        <f>IFERROR(VLOOKUP($A129,'The List'!$B1:$AS730,32,FALSE)," ")</f>
        <v xml:space="preserve"> </v>
      </c>
      <c r="Z129" s="52" t="str">
        <f>IFERROR(VLOOKUP($A129,'The List'!$B1:$AS730,33,FALSE)," ")</f>
        <v xml:space="preserve"> </v>
      </c>
      <c r="AA129" s="54"/>
      <c r="AB129" s="59"/>
      <c r="AC129" s="59"/>
      <c r="AD129" s="59"/>
      <c r="AE129" s="59"/>
      <c r="AF129" s="59"/>
    </row>
    <row r="130" spans="1:32" ht="21.2" customHeight="1">
      <c r="A130" s="23" t="s">
        <v>112</v>
      </c>
      <c r="B130" s="67" t="str">
        <f>IFERROR(VLOOKUP($A130,'The List'!$B1:$AS730,3,FALSE)," ")</f>
        <v>D</v>
      </c>
      <c r="C130" s="69">
        <f>IFERROR(VLOOKUP($A130,'The List'!$B1:$AS730,4,FALSE)," ")</f>
        <v>1</v>
      </c>
      <c r="D130" s="34" t="str">
        <f>IFERROR(VLOOKUP($A130,'The List'!$B1:$AS730,5,FALSE)," ")</f>
        <v>COL</v>
      </c>
      <c r="E130" s="34">
        <f>IFERROR(VLOOKUP($A130,'The List'!$B1:$AS730,6,FALSE)," ")</f>
        <v>24</v>
      </c>
      <c r="F130" s="49">
        <f>IFERROR(VLOOKUP($A130,'The List'!$B1:$AS730,8,FALSE)," ")</f>
        <v>10.908265501872471</v>
      </c>
      <c r="G130" s="49">
        <f>IFERROR(VLOOKUP($A130,'The List'!$B1:$AS730,10,FALSE)," ")</f>
        <v>8.9665249582381605</v>
      </c>
      <c r="H130" s="38"/>
      <c r="I130" s="52">
        <f>IFERROR(VLOOKUP($A130,'The List'!$B1:$AS730,16,FALSE)," ")</f>
        <v>82</v>
      </c>
      <c r="J130" s="52">
        <f>IFERROR(VLOOKUP($A130,'The List'!$B1:$AS730,17,FALSE)," ")</f>
        <v>26.22436151969</v>
      </c>
      <c r="K130" s="52">
        <f>IFERROR(VLOOKUP($A130,'The List'!$B1:$AS730,18,FALSE)," ")</f>
        <v>24.111258952426372</v>
      </c>
      <c r="L130" s="52">
        <f>IFERROR(VLOOKUP($A130,'The List'!$B1:$AS730,19,FALSE)," ")</f>
        <v>67.045702762329128</v>
      </c>
      <c r="M130" s="52">
        <f>IFERROR(VLOOKUP($A130,'The List'!$B1:$AS730,20,FALSE)," ")</f>
        <v>91.156961714755496</v>
      </c>
      <c r="N130" s="52">
        <f>IFERROR(VLOOKUP($A130,'The List'!$B1:$AS730,21,FALSE)," ")</f>
        <v>237.16849375023608</v>
      </c>
      <c r="O130" s="52">
        <f>IFERROR(VLOOKUP($A130,'The List'!$B1:$AS730,22,FALSE)," ")</f>
        <v>7.7742601317584121</v>
      </c>
      <c r="P130" s="52">
        <f>IFERROR(VLOOKUP($A130,'The List'!$B1:$AS730,23,FALSE)," ")</f>
        <v>38.400418441419056</v>
      </c>
      <c r="Q130" s="52">
        <f>IFERROR(VLOOKUP($A130,'The List'!$B1:$AS730,24,FALSE)," ")</f>
        <v>6.5556615447245517E-2</v>
      </c>
      <c r="R130" s="52">
        <f>IFERROR(VLOOKUP($A130,'The List'!$B1:$AS730,25,FALSE)," ")</f>
        <v>0.46624422708008828</v>
      </c>
      <c r="S130" s="52">
        <f>IFERROR(VLOOKUP($A130,'The List'!$B1:$AS730,26,FALSE)," ")</f>
        <v>117.17205834418468</v>
      </c>
      <c r="T130" s="52">
        <f>IFERROR(VLOOKUP($A130,'The List'!$B1:$AS730,27,FALSE)," ")</f>
        <v>97.06343726333462</v>
      </c>
      <c r="U130" s="52">
        <f>IFERROR(VLOOKUP($A130,'The List'!$B1:$AS730,28,FALSE)," ")</f>
        <v>10.018787217020911</v>
      </c>
      <c r="V130" s="52">
        <f>IFERROR(VLOOKUP($A130,'The List'!$B1:$AS730,29,FALSE)," ")</f>
        <v>35.833437871654631</v>
      </c>
      <c r="W130" s="52">
        <f>IFERROR(VLOOKUP($A130,'The List'!$B1:$AS730,30,FALSE)," ")</f>
        <v>3.8147644443407964</v>
      </c>
      <c r="X130" s="52">
        <f>IFERROR(VLOOKUP($A130,'The List'!$B1:$AS730,31,FALSE)," ")</f>
        <v>0</v>
      </c>
      <c r="Y130" s="52">
        <f>IFERROR(VLOOKUP($A130,'The List'!$B1:$AS730,32,FALSE)," ")</f>
        <v>0</v>
      </c>
      <c r="Z130" s="52">
        <f>IFERROR(VLOOKUP($A130,'The List'!$B1:$AS730,33,FALSE)," ")</f>
        <v>0</v>
      </c>
      <c r="AA130" s="54"/>
      <c r="AB130" s="59"/>
      <c r="AC130" s="59"/>
      <c r="AD130" s="59"/>
      <c r="AE130" s="59"/>
      <c r="AF130" s="59"/>
    </row>
    <row r="131" spans="1:32" ht="21.2" customHeight="1">
      <c r="A131" s="23" t="s">
        <v>213</v>
      </c>
      <c r="B131" s="67" t="str">
        <f>IFERROR(VLOOKUP($A131,'The List'!$B1:$AS730,3,FALSE)," ")</f>
        <v>D</v>
      </c>
      <c r="C131" s="69">
        <f>IFERROR(VLOOKUP($A131,'The List'!$B1:$AS730,4,FALSE)," ")</f>
        <v>27</v>
      </c>
      <c r="D131" s="34" t="str">
        <f>IFERROR(VLOOKUP($A131,'The List'!$B1:$AS730,5,FALSE)," ")</f>
        <v>OTT</v>
      </c>
      <c r="E131" s="34">
        <f>IFERROR(VLOOKUP($A131,'The List'!$B1:$AS730,6,FALSE)," ")</f>
        <v>26</v>
      </c>
      <c r="F131" s="49">
        <f>IFERROR(VLOOKUP($A131,'The List'!$B1:$AS730,8,FALSE)," ")</f>
        <v>2.7360670159639824</v>
      </c>
      <c r="G131" s="49">
        <f>IFERROR(VLOOKUP($A131,'The List'!$B1:$AS730,10,FALSE)," ")</f>
        <v>0.79432647232967168</v>
      </c>
      <c r="H131" s="38"/>
      <c r="I131" s="52">
        <f>IFERROR(VLOOKUP($A131,'The List'!$B1:$AS730,16,FALSE)," ")</f>
        <v>82</v>
      </c>
      <c r="J131" s="52">
        <f>IFERROR(VLOOKUP($A131,'The List'!$B1:$AS730,17,FALSE)," ")</f>
        <v>23.191991085681899</v>
      </c>
      <c r="K131" s="52">
        <f>IFERROR(VLOOKUP($A131,'The List'!$B1:$AS730,18,FALSE)," ")</f>
        <v>10.821501849504672</v>
      </c>
      <c r="L131" s="52">
        <f>IFERROR(VLOOKUP($A131,'The List'!$B1:$AS730,19,FALSE)," ")</f>
        <v>38.097285969885519</v>
      </c>
      <c r="M131" s="52">
        <f>IFERROR(VLOOKUP($A131,'The List'!$B1:$AS730,20,FALSE)," ")</f>
        <v>48.918787819390189</v>
      </c>
      <c r="N131" s="52">
        <f>IFERROR(VLOOKUP($A131,'The List'!$B1:$AS730,21,FALSE)," ")</f>
        <v>186.97255133602863</v>
      </c>
      <c r="O131" s="52">
        <f>IFERROR(VLOOKUP($A131,'The List'!$B1:$AS730,22,FALSE)," ")</f>
        <v>3.4210636219170381</v>
      </c>
      <c r="P131" s="52">
        <f>IFERROR(VLOOKUP($A131,'The List'!$B1:$AS730,23,FALSE)," ")</f>
        <v>17.510967235254927</v>
      </c>
      <c r="Q131" s="52">
        <f>IFERROR(VLOOKUP($A131,'The List'!$B1:$AS730,24,FALSE)," ")</f>
        <v>1.1506365956418324E-2</v>
      </c>
      <c r="R131" s="52">
        <f>IFERROR(VLOOKUP($A131,'The List'!$B1:$AS730,25,FALSE)," ")</f>
        <v>4.9760812392815067E-2</v>
      </c>
      <c r="S131" s="52">
        <f>IFERROR(VLOOKUP($A131,'The List'!$B1:$AS730,26,FALSE)," ")</f>
        <v>126.40209308636402</v>
      </c>
      <c r="T131" s="52">
        <f>IFERROR(VLOOKUP($A131,'The List'!$B1:$AS730,27,FALSE)," ")</f>
        <v>91.243608937683263</v>
      </c>
      <c r="U131" s="52">
        <f>IFERROR(VLOOKUP($A131,'The List'!$B1:$AS730,28,FALSE)," ")</f>
        <v>1.2821651886995016</v>
      </c>
      <c r="V131" s="52">
        <f>IFERROR(VLOOKUP($A131,'The List'!$B1:$AS730,29,FALSE)," ")</f>
        <v>48.832162253504045</v>
      </c>
      <c r="W131" s="52">
        <f>IFERROR(VLOOKUP($A131,'The List'!$B1:$AS730,30,FALSE)," ")</f>
        <v>1.6274013830496024</v>
      </c>
      <c r="X131" s="52">
        <f>IFERROR(VLOOKUP($A131,'The List'!$B1:$AS730,31,FALSE)," ")</f>
        <v>0</v>
      </c>
      <c r="Y131" s="52">
        <f>IFERROR(VLOOKUP($A131,'The List'!$B1:$AS730,32,FALSE)," ")</f>
        <v>0</v>
      </c>
      <c r="Z131" s="52">
        <f>IFERROR(VLOOKUP($A131,'The List'!$B1:$AS730,33,FALSE)," ")</f>
        <v>0</v>
      </c>
      <c r="AA131" s="54"/>
      <c r="AB131" s="59"/>
      <c r="AC131" s="59"/>
      <c r="AD131" s="59"/>
      <c r="AE131" s="59"/>
      <c r="AF131" s="59"/>
    </row>
    <row r="132" spans="1:32" ht="21.2" customHeight="1">
      <c r="A132" s="23" t="s">
        <v>915</v>
      </c>
      <c r="B132" s="67" t="str">
        <f>IFERROR(VLOOKUP($A132,'The List'!$B1:$AS730,3,FALSE)," ")</f>
        <v>D</v>
      </c>
      <c r="C132" s="69">
        <f>IFERROR(VLOOKUP($A132,'The List'!$B1:$AS730,4,FALSE)," ")</f>
        <v>50</v>
      </c>
      <c r="D132" s="34" t="str">
        <f>IFERROR(VLOOKUP($A132,'The List'!$B1:$AS730,5,FALSE)," ")</f>
        <v>CGY</v>
      </c>
      <c r="E132" s="34">
        <f>IFERROR(VLOOKUP($A132,'The List'!$B1:$AS730,6,FALSE)," ")</f>
        <v>29</v>
      </c>
      <c r="F132" s="49">
        <f>IFERROR(VLOOKUP($A132,'The List'!$B1:$AS730,8,FALSE)," ")</f>
        <v>-0.1837765459868389</v>
      </c>
      <c r="G132" s="49">
        <f>IFERROR(VLOOKUP($A132,'The List'!$B1:$AS730,10,FALSE)," ")</f>
        <v>-2.1255170896211495</v>
      </c>
      <c r="H132" s="38"/>
      <c r="I132" s="52">
        <f>IFERROR(VLOOKUP($A132,'The List'!$B1:$AS730,16,FALSE)," ")</f>
        <v>82</v>
      </c>
      <c r="J132" s="52">
        <f>IFERROR(VLOOKUP($A132,'The List'!$B1:$AS730,17,FALSE)," ")</f>
        <v>20.613531413824902</v>
      </c>
      <c r="K132" s="52">
        <f>IFERROR(VLOOKUP($A132,'The List'!$B1:$AS730,18,FALSE)," ")</f>
        <v>5.996897360779661</v>
      </c>
      <c r="L132" s="52">
        <f>IFERROR(VLOOKUP($A132,'The List'!$B1:$AS730,19,FALSE)," ")</f>
        <v>30.707530616796888</v>
      </c>
      <c r="M132" s="52">
        <f>IFERROR(VLOOKUP($A132,'The List'!$B1:$AS730,20,FALSE)," ")</f>
        <v>36.70442797757655</v>
      </c>
      <c r="N132" s="52">
        <f>IFERROR(VLOOKUP($A132,'The List'!$B1:$AS730,21,FALSE)," ")</f>
        <v>171.46105495151127</v>
      </c>
      <c r="O132" s="52">
        <f>IFERROR(VLOOKUP($A132,'The List'!$B1:$AS730,22,FALSE)," ")</f>
        <v>0.80367770502777669</v>
      </c>
      <c r="P132" s="52">
        <f>IFERROR(VLOOKUP($A132,'The List'!$B1:$AS730,23,FALSE)," ")</f>
        <v>6.3093182780547599</v>
      </c>
      <c r="Q132" s="52">
        <f>IFERROR(VLOOKUP($A132,'The List'!$B1:$AS730,24,FALSE)," ")</f>
        <v>0.18646360344221199</v>
      </c>
      <c r="R132" s="52">
        <f>IFERROR(VLOOKUP($A132,'The List'!$B1:$AS730,25,FALSE)," ")</f>
        <v>0.92230070456776714</v>
      </c>
      <c r="S132" s="52">
        <f>IFERROR(VLOOKUP($A132,'The List'!$B1:$AS730,26,FALSE)," ")</f>
        <v>124.57242395518909</v>
      </c>
      <c r="T132" s="52">
        <f>IFERROR(VLOOKUP($A132,'The List'!$B1:$AS730,27,FALSE)," ")</f>
        <v>172.23123070072882</v>
      </c>
      <c r="U132" s="52">
        <f>IFERROR(VLOOKUP($A132,'The List'!$B1:$AS730,28,FALSE)," ")</f>
        <v>5.3833414583018619</v>
      </c>
      <c r="V132" s="52">
        <f>IFERROR(VLOOKUP($A132,'The List'!$B1:$AS730,29,FALSE)," ")</f>
        <v>45.258998606809108</v>
      </c>
      <c r="W132" s="52">
        <f>IFERROR(VLOOKUP($A132,'The List'!$B1:$AS730,30,FALSE)," ")</f>
        <v>1.002071054779486</v>
      </c>
      <c r="X132" s="52">
        <f>IFERROR(VLOOKUP($A132,'The List'!$B1:$AS730,31,FALSE)," ")</f>
        <v>0</v>
      </c>
      <c r="Y132" s="52">
        <f>IFERROR(VLOOKUP($A132,'The List'!$B1:$AS730,32,FALSE)," ")</f>
        <v>0</v>
      </c>
      <c r="Z132" s="52">
        <f>IFERROR(VLOOKUP($A132,'The List'!$B1:$AS730,33,FALSE)," ")</f>
        <v>0</v>
      </c>
      <c r="AA132" s="54"/>
      <c r="AB132" s="59"/>
      <c r="AC132" s="59"/>
      <c r="AD132" s="59"/>
      <c r="AE132" s="59"/>
      <c r="AF132" s="59"/>
    </row>
    <row r="133" spans="1:32" ht="21.2" customHeight="1">
      <c r="A133" s="23" t="s">
        <v>266</v>
      </c>
      <c r="B133" s="67" t="str">
        <f>IFERROR(VLOOKUP($A133,'The List'!$B1:$AS730,3,FALSE)," ")</f>
        <v>D</v>
      </c>
      <c r="C133" s="69">
        <f>IFERROR(VLOOKUP($A133,'The List'!$B1:$AS730,4,FALSE)," ")</f>
        <v>47</v>
      </c>
      <c r="D133" s="34" t="str">
        <f>IFERROR(VLOOKUP($A133,'The List'!$B1:$AS730,5,FALSE)," ")</f>
        <v>BUF</v>
      </c>
      <c r="E133" s="34">
        <f>IFERROR(VLOOKUP($A133,'The List'!$B1:$AS730,6,FALSE)," ")</f>
        <v>20</v>
      </c>
      <c r="F133" s="49">
        <f>IFERROR(VLOOKUP($A133,'The List'!$B1:$AS730,8,FALSE)," ")</f>
        <v>0.14169014419685741</v>
      </c>
      <c r="G133" s="49">
        <f>IFERROR(VLOOKUP($A133,'The List'!$B1:$AS730,10,FALSE)," ")</f>
        <v>-1.8000503994374533</v>
      </c>
      <c r="H133" s="38"/>
      <c r="I133" s="52">
        <f>IFERROR(VLOOKUP($A133,'The List'!$B1:$AS730,16,FALSE)," ")</f>
        <v>82</v>
      </c>
      <c r="J133" s="52">
        <f>IFERROR(VLOOKUP($A133,'The List'!$B1:$AS730,17,FALSE)," ")</f>
        <v>23.520805503724201</v>
      </c>
      <c r="K133" s="52">
        <f>IFERROR(VLOOKUP($A133,'The List'!$B1:$AS730,18,FALSE)," ")</f>
        <v>7.0873468266235919</v>
      </c>
      <c r="L133" s="52">
        <f>IFERROR(VLOOKUP($A133,'The List'!$B1:$AS730,19,FALSE)," ")</f>
        <v>34.746913101598111</v>
      </c>
      <c r="M133" s="52">
        <f>IFERROR(VLOOKUP($A133,'The List'!$B1:$AS730,20,FALSE)," ")</f>
        <v>41.834259928221705</v>
      </c>
      <c r="N133" s="52">
        <f>IFERROR(VLOOKUP($A133,'The List'!$B1:$AS730,21,FALSE)," ")</f>
        <v>140.8881113941093</v>
      </c>
      <c r="O133" s="52">
        <f>IFERROR(VLOOKUP($A133,'The List'!$B1:$AS730,22,FALSE)," ")</f>
        <v>0.42747935885352067</v>
      </c>
      <c r="P133" s="52">
        <f>IFERROR(VLOOKUP($A133,'The List'!$B1:$AS730,23,FALSE)," ")</f>
        <v>8.4519149115434296</v>
      </c>
      <c r="Q133" s="52">
        <f>IFERROR(VLOOKUP($A133,'The List'!$B1:$AS730,24,FALSE)," ")</f>
        <v>4.6887886781188E-2</v>
      </c>
      <c r="R133" s="52">
        <f>IFERROR(VLOOKUP($A133,'The List'!$B1:$AS730,25,FALSE)," ")</f>
        <v>0.70237323278383024</v>
      </c>
      <c r="S133" s="52">
        <f>IFERROR(VLOOKUP($A133,'The List'!$B1:$AS730,26,FALSE)," ")</f>
        <v>96.444388167187199</v>
      </c>
      <c r="T133" s="52">
        <f>IFERROR(VLOOKUP($A133,'The List'!$B1:$AS730,27,FALSE)," ")</f>
        <v>46.010700594334637</v>
      </c>
      <c r="U133" s="52">
        <f>IFERROR(VLOOKUP($A133,'The List'!$B1:$AS730,28,FALSE)," ")</f>
        <v>0.24732595944724195</v>
      </c>
      <c r="V133" s="52">
        <f>IFERROR(VLOOKUP($A133,'The List'!$B1:$AS730,29,FALSE)," ")</f>
        <v>31.203015776407675</v>
      </c>
      <c r="W133" s="52">
        <f>IFERROR(VLOOKUP($A133,'The List'!$B1:$AS730,30,FALSE)," ")</f>
        <v>0.90731545388447044</v>
      </c>
      <c r="X133" s="52">
        <f>IFERROR(VLOOKUP($A133,'The List'!$B1:$AS730,31,FALSE)," ")</f>
        <v>0</v>
      </c>
      <c r="Y133" s="52">
        <f>IFERROR(VLOOKUP($A133,'The List'!$B1:$AS730,32,FALSE)," ")</f>
        <v>0</v>
      </c>
      <c r="Z133" s="52">
        <f>IFERROR(VLOOKUP($A133,'The List'!$B1:$AS730,33,FALSE)," ")</f>
        <v>0</v>
      </c>
      <c r="AA133" s="54"/>
      <c r="AB133" s="59"/>
      <c r="AC133" s="59"/>
      <c r="AD133" s="59"/>
      <c r="AE133" s="59"/>
      <c r="AF133" s="59"/>
    </row>
    <row r="134" spans="1:32" ht="21.2" customHeight="1">
      <c r="A134" s="23"/>
      <c r="B134" s="67" t="str">
        <f>IFERROR(VLOOKUP($A134,'The List'!$B1:$AS730,3,FALSE)," ")</f>
        <v xml:space="preserve"> </v>
      </c>
      <c r="C134" s="69" t="str">
        <f>IFERROR(VLOOKUP($A134,'The List'!$B1:$AS730,4,FALSE)," ")</f>
        <v xml:space="preserve"> </v>
      </c>
      <c r="D134" s="34" t="str">
        <f>IFERROR(VLOOKUP($A134,'The List'!$B1:$AS730,5,FALSE)," ")</f>
        <v xml:space="preserve"> </v>
      </c>
      <c r="E134" s="34" t="str">
        <f>IFERROR(VLOOKUP($A134,'The List'!$B1:$AS730,6,FALSE)," ")</f>
        <v xml:space="preserve"> </v>
      </c>
      <c r="F134" s="49" t="str">
        <f>IFERROR(VLOOKUP($A134,'The List'!$B1:$AS730,8,FALSE)," ")</f>
        <v xml:space="preserve"> </v>
      </c>
      <c r="G134" s="49" t="str">
        <f>IFERROR(VLOOKUP($A134,'The List'!$B1:$AS730,10,FALSE)," ")</f>
        <v xml:space="preserve"> </v>
      </c>
      <c r="H134" s="38"/>
      <c r="I134" s="52" t="str">
        <f>IFERROR(VLOOKUP($A134,'The List'!$B1:$AS730,16,FALSE)," ")</f>
        <v xml:space="preserve"> </v>
      </c>
      <c r="J134" s="52" t="str">
        <f>IFERROR(VLOOKUP($A134,'The List'!$B1:$AS730,17,FALSE)," ")</f>
        <v xml:space="preserve"> </v>
      </c>
      <c r="K134" s="52" t="str">
        <f>IFERROR(VLOOKUP($A134,'The List'!$B1:$AS730,18,FALSE)," ")</f>
        <v xml:space="preserve"> </v>
      </c>
      <c r="L134" s="52" t="str">
        <f>IFERROR(VLOOKUP($A134,'The List'!$B1:$AS730,19,FALSE)," ")</f>
        <v xml:space="preserve"> </v>
      </c>
      <c r="M134" s="52" t="str">
        <f>IFERROR(VLOOKUP($A134,'The List'!$B1:$AS730,20,FALSE)," ")</f>
        <v xml:space="preserve"> </v>
      </c>
      <c r="N134" s="52" t="str">
        <f>IFERROR(VLOOKUP($A134,'The List'!$B1:$AS730,21,FALSE)," ")</f>
        <v xml:space="preserve"> </v>
      </c>
      <c r="O134" s="52" t="str">
        <f>IFERROR(VLOOKUP($A134,'The List'!$B1:$AS730,22,FALSE)," ")</f>
        <v xml:space="preserve"> </v>
      </c>
      <c r="P134" s="52" t="str">
        <f>IFERROR(VLOOKUP($A134,'The List'!$B1:$AS730,23,FALSE)," ")</f>
        <v xml:space="preserve"> </v>
      </c>
      <c r="Q134" s="52" t="str">
        <f>IFERROR(VLOOKUP($A134,'The List'!$B1:$AS730,24,FALSE)," ")</f>
        <v xml:space="preserve"> </v>
      </c>
      <c r="R134" s="52" t="str">
        <f>IFERROR(VLOOKUP($A134,'The List'!$B1:$AS730,25,FALSE)," ")</f>
        <v xml:space="preserve"> </v>
      </c>
      <c r="S134" s="52" t="str">
        <f>IFERROR(VLOOKUP($A134,'The List'!$B1:$AS730,26,FALSE)," ")</f>
        <v xml:space="preserve"> </v>
      </c>
      <c r="T134" s="52" t="str">
        <f>IFERROR(VLOOKUP($A134,'The List'!$B1:$AS730,27,FALSE)," ")</f>
        <v xml:space="preserve"> </v>
      </c>
      <c r="U134" s="52" t="str">
        <f>IFERROR(VLOOKUP($A134,'The List'!$B1:$AS730,28,FALSE)," ")</f>
        <v xml:space="preserve"> </v>
      </c>
      <c r="V134" s="52" t="str">
        <f>IFERROR(VLOOKUP($A134,'The List'!$B1:$AS730,29,FALSE)," ")</f>
        <v xml:space="preserve"> </v>
      </c>
      <c r="W134" s="52" t="str">
        <f>IFERROR(VLOOKUP($A134,'The List'!$B1:$AS730,30,FALSE)," ")</f>
        <v xml:space="preserve"> </v>
      </c>
      <c r="X134" s="52" t="str">
        <f>IFERROR(VLOOKUP($A134,'The List'!$B1:$AS730,31,FALSE)," ")</f>
        <v xml:space="preserve"> </v>
      </c>
      <c r="Y134" s="52" t="str">
        <f>IFERROR(VLOOKUP($A134,'The List'!$B1:$AS730,32,FALSE)," ")</f>
        <v xml:space="preserve"> </v>
      </c>
      <c r="Z134" s="52" t="str">
        <f>IFERROR(VLOOKUP($A134,'The List'!$B1:$AS730,33,FALSE)," ")</f>
        <v xml:space="preserve"> </v>
      </c>
      <c r="AA134" s="54"/>
      <c r="AB134" s="59"/>
      <c r="AC134" s="59"/>
      <c r="AD134" s="59"/>
      <c r="AE134" s="59"/>
      <c r="AF134" s="59"/>
    </row>
    <row r="135" spans="1:32" ht="21.2" customHeight="1">
      <c r="A135" s="23"/>
      <c r="B135" s="67" t="str">
        <f>IFERROR(VLOOKUP($A135,'The List'!$B1:$AS730,3,FALSE)," ")</f>
        <v xml:space="preserve"> </v>
      </c>
      <c r="C135" s="69" t="str">
        <f>IFERROR(VLOOKUP($A135,'The List'!$B1:$AS730,4,FALSE)," ")</f>
        <v xml:space="preserve"> </v>
      </c>
      <c r="D135" s="34" t="str">
        <f>IFERROR(VLOOKUP($A135,'The List'!$B1:$AS730,5,FALSE)," ")</f>
        <v xml:space="preserve"> </v>
      </c>
      <c r="E135" s="34" t="str">
        <f>IFERROR(VLOOKUP($A135,'The List'!$B1:$AS730,6,FALSE)," ")</f>
        <v xml:space="preserve"> </v>
      </c>
      <c r="F135" s="49" t="str">
        <f>IFERROR(VLOOKUP($A135,'The List'!$B1:$AS730,8,FALSE)," ")</f>
        <v xml:space="preserve"> </v>
      </c>
      <c r="G135" s="49" t="str">
        <f>IFERROR(VLOOKUP($A135,'The List'!$B1:$AS730,10,FALSE)," ")</f>
        <v xml:space="preserve"> </v>
      </c>
      <c r="H135" s="38"/>
      <c r="I135" s="52" t="str">
        <f>IFERROR(VLOOKUP($A135,'The List'!$B1:$AS730,16,FALSE)," ")</f>
        <v xml:space="preserve"> </v>
      </c>
      <c r="J135" s="52" t="str">
        <f>IFERROR(VLOOKUP($A135,'The List'!$B1:$AS730,17,FALSE)," ")</f>
        <v xml:space="preserve"> </v>
      </c>
      <c r="K135" s="52" t="str">
        <f>IFERROR(VLOOKUP($A135,'The List'!$B1:$AS730,18,FALSE)," ")</f>
        <v xml:space="preserve"> </v>
      </c>
      <c r="L135" s="52" t="str">
        <f>IFERROR(VLOOKUP($A135,'The List'!$B1:$AS730,19,FALSE)," ")</f>
        <v xml:space="preserve"> </v>
      </c>
      <c r="M135" s="52" t="str">
        <f>IFERROR(VLOOKUP($A135,'The List'!$B1:$AS730,20,FALSE)," ")</f>
        <v xml:space="preserve"> </v>
      </c>
      <c r="N135" s="52" t="str">
        <f>IFERROR(VLOOKUP($A135,'The List'!$B1:$AS730,21,FALSE)," ")</f>
        <v xml:space="preserve"> </v>
      </c>
      <c r="O135" s="52" t="str">
        <f>IFERROR(VLOOKUP($A135,'The List'!$B1:$AS730,22,FALSE)," ")</f>
        <v xml:space="preserve"> </v>
      </c>
      <c r="P135" s="52" t="str">
        <f>IFERROR(VLOOKUP($A135,'The List'!$B1:$AS730,23,FALSE)," ")</f>
        <v xml:space="preserve"> </v>
      </c>
      <c r="Q135" s="52" t="str">
        <f>IFERROR(VLOOKUP($A135,'The List'!$B1:$AS730,24,FALSE)," ")</f>
        <v xml:space="preserve"> </v>
      </c>
      <c r="R135" s="52" t="str">
        <f>IFERROR(VLOOKUP($A135,'The List'!$B1:$AS730,25,FALSE)," ")</f>
        <v xml:space="preserve"> </v>
      </c>
      <c r="S135" s="52" t="str">
        <f>IFERROR(VLOOKUP($A135,'The List'!$B1:$AS730,26,FALSE)," ")</f>
        <v xml:space="preserve"> </v>
      </c>
      <c r="T135" s="52" t="str">
        <f>IFERROR(VLOOKUP($A135,'The List'!$B1:$AS730,27,FALSE)," ")</f>
        <v xml:space="preserve"> </v>
      </c>
      <c r="U135" s="52" t="str">
        <f>IFERROR(VLOOKUP($A135,'The List'!$B1:$AS730,28,FALSE)," ")</f>
        <v xml:space="preserve"> </v>
      </c>
      <c r="V135" s="52" t="str">
        <f>IFERROR(VLOOKUP($A135,'The List'!$B1:$AS730,29,FALSE)," ")</f>
        <v xml:space="preserve"> </v>
      </c>
      <c r="W135" s="52" t="str">
        <f>IFERROR(VLOOKUP($A135,'The List'!$B1:$AS730,30,FALSE)," ")</f>
        <v xml:space="preserve"> </v>
      </c>
      <c r="X135" s="52" t="str">
        <f>IFERROR(VLOOKUP($A135,'The List'!$B1:$AS730,31,FALSE)," ")</f>
        <v xml:space="preserve"> </v>
      </c>
      <c r="Y135" s="52" t="str">
        <f>IFERROR(VLOOKUP($A135,'The List'!$B1:$AS730,32,FALSE)," ")</f>
        <v xml:space="preserve"> </v>
      </c>
      <c r="Z135" s="52" t="str">
        <f>IFERROR(VLOOKUP($A135,'The List'!$B1:$AS730,33,FALSE)," ")</f>
        <v xml:space="preserve"> </v>
      </c>
      <c r="AA135" s="54"/>
      <c r="AB135" s="59"/>
      <c r="AC135" s="59"/>
      <c r="AD135" s="59"/>
      <c r="AE135" s="59"/>
      <c r="AF135" s="59"/>
    </row>
    <row r="136" spans="1:32" ht="21.2" customHeight="1">
      <c r="A136" s="23"/>
      <c r="B136" s="67" t="str">
        <f>IFERROR(VLOOKUP($A136,'The List'!$B1:$AS730,3,FALSE)," ")</f>
        <v xml:space="preserve"> </v>
      </c>
      <c r="C136" s="69" t="str">
        <f>IFERROR(VLOOKUP($A136,'The List'!$B1:$AS730,4,FALSE)," ")</f>
        <v xml:space="preserve"> </v>
      </c>
      <c r="D136" s="34" t="str">
        <f>IFERROR(VLOOKUP($A136,'The List'!$B1:$AS730,5,FALSE)," ")</f>
        <v xml:space="preserve"> </v>
      </c>
      <c r="E136" s="34" t="str">
        <f>IFERROR(VLOOKUP($A136,'The List'!$B1:$AS730,6,FALSE)," ")</f>
        <v xml:space="preserve"> </v>
      </c>
      <c r="F136" s="49" t="str">
        <f>IFERROR(VLOOKUP($A136,'The List'!$B1:$AS730,8,FALSE)," ")</f>
        <v xml:space="preserve"> </v>
      </c>
      <c r="G136" s="49" t="str">
        <f>IFERROR(VLOOKUP($A136,'The List'!$B1:$AS730,10,FALSE)," ")</f>
        <v xml:space="preserve"> </v>
      </c>
      <c r="H136" s="38"/>
      <c r="I136" s="52" t="str">
        <f>IFERROR(VLOOKUP($A136,'The List'!$B1:$AS730,16,FALSE)," ")</f>
        <v xml:space="preserve"> </v>
      </c>
      <c r="J136" s="52" t="str">
        <f>IFERROR(VLOOKUP($A136,'The List'!$B1:$AS730,17,FALSE)," ")</f>
        <v xml:space="preserve"> </v>
      </c>
      <c r="K136" s="52" t="str">
        <f>IFERROR(VLOOKUP($A136,'The List'!$B1:$AS730,18,FALSE)," ")</f>
        <v xml:space="preserve"> </v>
      </c>
      <c r="L136" s="52" t="str">
        <f>IFERROR(VLOOKUP($A136,'The List'!$B1:$AS730,19,FALSE)," ")</f>
        <v xml:space="preserve"> </v>
      </c>
      <c r="M136" s="52" t="str">
        <f>IFERROR(VLOOKUP($A136,'The List'!$B1:$AS730,20,FALSE)," ")</f>
        <v xml:space="preserve"> </v>
      </c>
      <c r="N136" s="52" t="str">
        <f>IFERROR(VLOOKUP($A136,'The List'!$B1:$AS730,21,FALSE)," ")</f>
        <v xml:space="preserve"> </v>
      </c>
      <c r="O136" s="52" t="str">
        <f>IFERROR(VLOOKUP($A136,'The List'!$B1:$AS730,22,FALSE)," ")</f>
        <v xml:space="preserve"> </v>
      </c>
      <c r="P136" s="52" t="str">
        <f>IFERROR(VLOOKUP($A136,'The List'!$B1:$AS730,23,FALSE)," ")</f>
        <v xml:space="preserve"> </v>
      </c>
      <c r="Q136" s="52" t="str">
        <f>IFERROR(VLOOKUP($A136,'The List'!$B1:$AS730,24,FALSE)," ")</f>
        <v xml:space="preserve"> </v>
      </c>
      <c r="R136" s="52" t="str">
        <f>IFERROR(VLOOKUP($A136,'The List'!$B1:$AS730,25,FALSE)," ")</f>
        <v xml:space="preserve"> </v>
      </c>
      <c r="S136" s="52" t="str">
        <f>IFERROR(VLOOKUP($A136,'The List'!$B1:$AS730,26,FALSE)," ")</f>
        <v xml:space="preserve"> </v>
      </c>
      <c r="T136" s="52" t="str">
        <f>IFERROR(VLOOKUP($A136,'The List'!$B1:$AS730,27,FALSE)," ")</f>
        <v xml:space="preserve"> </v>
      </c>
      <c r="U136" s="52" t="str">
        <f>IFERROR(VLOOKUP($A136,'The List'!$B1:$AS730,28,FALSE)," ")</f>
        <v xml:space="preserve"> </v>
      </c>
      <c r="V136" s="52" t="str">
        <f>IFERROR(VLOOKUP($A136,'The List'!$B1:$AS730,29,FALSE)," ")</f>
        <v xml:space="preserve"> </v>
      </c>
      <c r="W136" s="52" t="str">
        <f>IFERROR(VLOOKUP($A136,'The List'!$B1:$AS730,30,FALSE)," ")</f>
        <v xml:space="preserve"> </v>
      </c>
      <c r="X136" s="52" t="str">
        <f>IFERROR(VLOOKUP($A136,'The List'!$B1:$AS730,31,FALSE)," ")</f>
        <v xml:space="preserve"> </v>
      </c>
      <c r="Y136" s="52" t="str">
        <f>IFERROR(VLOOKUP($A136,'The List'!$B1:$AS730,32,FALSE)," ")</f>
        <v xml:space="preserve"> </v>
      </c>
      <c r="Z136" s="52" t="str">
        <f>IFERROR(VLOOKUP($A136,'The List'!$B1:$AS730,33,FALSE)," ")</f>
        <v xml:space="preserve"> </v>
      </c>
      <c r="AA136" s="54"/>
      <c r="AB136" s="59"/>
      <c r="AC136" s="59"/>
      <c r="AD136" s="59"/>
      <c r="AE136" s="59"/>
      <c r="AF136" s="59"/>
    </row>
    <row r="137" spans="1:32" ht="21.2" customHeight="1">
      <c r="A137" s="71"/>
      <c r="B137" s="72" t="str">
        <f>IFERROR(VLOOKUP($A137,'The List'!$B1:$AS730,3,FALSE)," ")</f>
        <v xml:space="preserve"> </v>
      </c>
      <c r="C137" s="73" t="str">
        <f>IFERROR(VLOOKUP($A137,'The List'!$B1:$AS730,4,FALSE)," ")</f>
        <v xml:space="preserve"> </v>
      </c>
      <c r="D137" s="74" t="str">
        <f>IFERROR(VLOOKUP($A137,'The List'!$B1:$AS730,5,FALSE)," ")</f>
        <v xml:space="preserve"> </v>
      </c>
      <c r="E137" s="74" t="str">
        <f>IFERROR(VLOOKUP($A137,'The List'!$B1:$AS730,6,FALSE)," ")</f>
        <v xml:space="preserve"> </v>
      </c>
      <c r="F137" s="75" t="str">
        <f>IFERROR(VLOOKUP($A137,'The List'!$B1:$AS730,8,FALSE)," ")</f>
        <v xml:space="preserve"> </v>
      </c>
      <c r="G137" s="75" t="str">
        <f>IFERROR(VLOOKUP($A137,'The List'!$B1:$AS730,10,FALSE)," ")</f>
        <v xml:space="preserve"> </v>
      </c>
      <c r="H137" s="76"/>
      <c r="I137" s="77" t="str">
        <f>IFERROR(VLOOKUP($A137,'The List'!$B1:$AS730,16,FALSE)," ")</f>
        <v xml:space="preserve"> </v>
      </c>
      <c r="J137" s="77" t="str">
        <f>IFERROR(VLOOKUP($A137,'The List'!$B1:$AS730,17,FALSE)," ")</f>
        <v xml:space="preserve"> </v>
      </c>
      <c r="K137" s="77" t="str">
        <f>IFERROR(VLOOKUP($A137,'The List'!$B1:$AS730,18,FALSE)," ")</f>
        <v xml:space="preserve"> </v>
      </c>
      <c r="L137" s="77" t="str">
        <f>IFERROR(VLOOKUP($A137,'The List'!$B1:$AS730,19,FALSE)," ")</f>
        <v xml:space="preserve"> </v>
      </c>
      <c r="M137" s="77" t="str">
        <f>IFERROR(VLOOKUP($A137,'The List'!$B1:$AS730,20,FALSE)," ")</f>
        <v xml:space="preserve"> </v>
      </c>
      <c r="N137" s="77" t="str">
        <f>IFERROR(VLOOKUP($A137,'The List'!$B1:$AS730,21,FALSE)," ")</f>
        <v xml:space="preserve"> </v>
      </c>
      <c r="O137" s="77" t="str">
        <f>IFERROR(VLOOKUP($A137,'The List'!$B1:$AS730,22,FALSE)," ")</f>
        <v xml:space="preserve"> </v>
      </c>
      <c r="P137" s="77" t="str">
        <f>IFERROR(VLOOKUP($A137,'The List'!$B1:$AS730,23,FALSE)," ")</f>
        <v xml:space="preserve"> </v>
      </c>
      <c r="Q137" s="77" t="str">
        <f>IFERROR(VLOOKUP($A137,'The List'!$B1:$AS730,24,FALSE)," ")</f>
        <v xml:space="preserve"> </v>
      </c>
      <c r="R137" s="77" t="str">
        <f>IFERROR(VLOOKUP($A137,'The List'!$B1:$AS730,25,FALSE)," ")</f>
        <v xml:space="preserve"> </v>
      </c>
      <c r="S137" s="77" t="str">
        <f>IFERROR(VLOOKUP($A137,'The List'!$B1:$AS730,26,FALSE)," ")</f>
        <v xml:space="preserve"> </v>
      </c>
      <c r="T137" s="77" t="str">
        <f>IFERROR(VLOOKUP($A137,'The List'!$B1:$AS730,27,FALSE)," ")</f>
        <v xml:space="preserve"> </v>
      </c>
      <c r="U137" s="77" t="str">
        <f>IFERROR(VLOOKUP($A137,'The List'!$B1:$AS730,28,FALSE)," ")</f>
        <v xml:space="preserve"> </v>
      </c>
      <c r="V137" s="77" t="str">
        <f>IFERROR(VLOOKUP($A137,'The List'!$B1:$AS730,29,FALSE)," ")</f>
        <v xml:space="preserve"> </v>
      </c>
      <c r="W137" s="77" t="str">
        <f>IFERROR(VLOOKUP($A137,'The List'!$B1:$AS730,30,FALSE)," ")</f>
        <v xml:space="preserve"> </v>
      </c>
      <c r="X137" s="77" t="str">
        <f>IFERROR(VLOOKUP($A137,'The List'!$B1:$AS730,31,FALSE)," ")</f>
        <v xml:space="preserve"> </v>
      </c>
      <c r="Y137" s="77" t="str">
        <f>IFERROR(VLOOKUP($A137,'The List'!$B1:$AS730,32,FALSE)," ")</f>
        <v xml:space="preserve"> </v>
      </c>
      <c r="Z137" s="77" t="str">
        <f>IFERROR(VLOOKUP($A137,'The List'!$B1:$AS730,33,FALSE)," ")</f>
        <v xml:space="preserve"> </v>
      </c>
      <c r="AA137" s="54"/>
      <c r="AB137" s="59"/>
      <c r="AC137" s="59"/>
      <c r="AD137" s="59"/>
      <c r="AE137" s="59"/>
      <c r="AF137" s="59"/>
    </row>
    <row r="138" spans="1:32" ht="21.2" customHeight="1">
      <c r="A138" s="78"/>
      <c r="B138" s="79"/>
      <c r="C138" s="80"/>
      <c r="D138" s="81"/>
      <c r="E138" s="116">
        <f>IFERROR(AVERAGE(E118:E137)," ")</f>
        <v>25.285714285714285</v>
      </c>
      <c r="F138" s="83">
        <f>SUM(F118:F137)</f>
        <v>95.600407687626443</v>
      </c>
      <c r="G138" s="83">
        <f>SUM(G118:G137)</f>
        <v>23.737251332051891</v>
      </c>
      <c r="H138" s="84"/>
      <c r="I138" s="85">
        <f>SUM(I118:I137)</f>
        <v>1148</v>
      </c>
      <c r="J138" s="84">
        <f>AVERAGE(J118:J137)</f>
        <v>20.484171380559495</v>
      </c>
      <c r="K138" s="85">
        <f t="shared" ref="K138:Y138" si="8">SUM(K118:K137)</f>
        <v>385.35811143194047</v>
      </c>
      <c r="L138" s="85">
        <f t="shared" si="8"/>
        <v>634.21924804070602</v>
      </c>
      <c r="M138" s="85">
        <f t="shared" si="8"/>
        <v>1019.5773594726465</v>
      </c>
      <c r="N138" s="85">
        <f t="shared" si="8"/>
        <v>3064.0260891066305</v>
      </c>
      <c r="O138" s="85">
        <f t="shared" si="8"/>
        <v>103.06642068850272</v>
      </c>
      <c r="P138" s="85">
        <f t="shared" si="8"/>
        <v>298.19355366094078</v>
      </c>
      <c r="Q138" s="85">
        <f t="shared" si="8"/>
        <v>8.6358021245859522</v>
      </c>
      <c r="R138" s="85">
        <f t="shared" si="8"/>
        <v>14.054590118469752</v>
      </c>
      <c r="S138" s="85">
        <f t="shared" si="8"/>
        <v>869.17884279128145</v>
      </c>
      <c r="T138" s="85">
        <f t="shared" si="8"/>
        <v>1152.9435012926538</v>
      </c>
      <c r="U138" s="85">
        <f t="shared" si="8"/>
        <v>25.357244873672638</v>
      </c>
      <c r="V138" s="85">
        <f t="shared" si="8"/>
        <v>549.03585537318588</v>
      </c>
      <c r="W138" s="85">
        <f t="shared" si="8"/>
        <v>53.090620686794573</v>
      </c>
      <c r="X138" s="85">
        <f t="shared" si="8"/>
        <v>3468.7586451636912</v>
      </c>
      <c r="Y138" s="85">
        <f t="shared" si="8"/>
        <v>3487.7044875179317</v>
      </c>
      <c r="Z138" s="86">
        <f>IFERROR(X138/(X138+Y138),0)</f>
        <v>0.49863825610853646</v>
      </c>
      <c r="AA138" s="54"/>
      <c r="AB138" s="87"/>
      <c r="AC138" s="87"/>
      <c r="AD138" s="87"/>
      <c r="AE138" s="87"/>
      <c r="AF138" s="87"/>
    </row>
    <row r="139" spans="1:32" ht="21.2" customHeight="1">
      <c r="A139" s="88"/>
      <c r="B139" s="89"/>
      <c r="C139" s="90"/>
      <c r="D139" s="11"/>
      <c r="E139" s="11"/>
      <c r="F139" s="91"/>
      <c r="G139" s="92"/>
      <c r="H139" s="93"/>
      <c r="I139" s="9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9"/>
      <c r="AC139" s="59"/>
      <c r="AD139" s="59"/>
      <c r="AE139" s="59"/>
      <c r="AF139" s="59"/>
    </row>
    <row r="140" spans="1:32" ht="21.2" customHeight="1">
      <c r="A140" s="24" t="s">
        <v>64</v>
      </c>
      <c r="B140" s="231" t="s">
        <v>66</v>
      </c>
      <c r="C140" s="223"/>
      <c r="D140" s="95" t="s">
        <v>67</v>
      </c>
      <c r="E140" s="95" t="s">
        <v>68</v>
      </c>
      <c r="F140" s="96" t="s">
        <v>70</v>
      </c>
      <c r="G140" s="96" t="s">
        <v>72</v>
      </c>
      <c r="H140" s="97"/>
      <c r="I140" s="98" t="s">
        <v>77</v>
      </c>
      <c r="J140" s="98" t="s">
        <v>95</v>
      </c>
      <c r="K140" s="98" t="s">
        <v>96</v>
      </c>
      <c r="L140" s="98" t="s">
        <v>97</v>
      </c>
      <c r="M140" s="98" t="s">
        <v>98</v>
      </c>
      <c r="N140" s="98" t="s">
        <v>99</v>
      </c>
      <c r="O140" s="98" t="s">
        <v>100</v>
      </c>
      <c r="P140" s="98" t="s">
        <v>101</v>
      </c>
      <c r="Q140" s="98" t="s">
        <v>102</v>
      </c>
      <c r="R140" s="54"/>
      <c r="S140" s="54"/>
      <c r="T140" s="54"/>
      <c r="U140" s="231" t="s">
        <v>839</v>
      </c>
      <c r="V140" s="232"/>
      <c r="W140" s="232"/>
      <c r="X140" s="231" t="s">
        <v>840</v>
      </c>
      <c r="Y140" s="232"/>
      <c r="Z140" s="232"/>
      <c r="AA140" s="54"/>
      <c r="AB140" s="54"/>
      <c r="AC140" s="54"/>
      <c r="AD140" s="54"/>
      <c r="AE140" s="54"/>
      <c r="AF140" s="54"/>
    </row>
    <row r="141" spans="1:32" ht="21.2" customHeight="1">
      <c r="A141" s="117" t="s">
        <v>200</v>
      </c>
      <c r="B141" s="100" t="str">
        <f>IFERROR(VLOOKUP($A141,'The List'!$B1:$AS730,3,FALSE)," ")</f>
        <v>G</v>
      </c>
      <c r="C141" s="118">
        <f>IFERROR(VLOOKUP($A141,'The List'!$B1:$AS730,4,FALSE)," ")</f>
        <v>10</v>
      </c>
      <c r="D141" s="102" t="str">
        <f>IFERROR(VLOOKUP($A141,'The List'!$B1:$AS730,5,FALSE)," ")</f>
        <v>PIT</v>
      </c>
      <c r="E141" s="102">
        <f>IFERROR(VLOOKUP($A141,'The List'!$B1:$AS730,6,FALSE)," ")</f>
        <v>28</v>
      </c>
      <c r="F141" s="119">
        <f>IFERROR(VLOOKUP($A141,'The List'!$B1:$AS730,8,FALSE)," ")</f>
        <v>2.5292196067867474</v>
      </c>
      <c r="G141" s="119">
        <f>IFERROR(VLOOKUP($A141,'The List'!$B1:$AS730,10,FALSE)," ")</f>
        <v>0.82499055559645584</v>
      </c>
      <c r="H141" s="105"/>
      <c r="I141" s="120">
        <f>IFERROR(VLOOKUP($A141,'The List'!$B1:$AS730,35,FALSE)," ")</f>
        <v>54</v>
      </c>
      <c r="J141" s="120">
        <f>IFERROR(VLOOKUP($A141,'The List'!$B1:$AS730,36,FALSE)," ")</f>
        <v>29.303443465175935</v>
      </c>
      <c r="K141" s="120">
        <f>IFERROR(VLOOKUP($A141,'The List'!$B1:$AS730,37,FALSE)," ")</f>
        <v>17.946556534824065</v>
      </c>
      <c r="L141" s="120">
        <f>IFERROR(VLOOKUP($A141,'The List'!$B1:$AS730,38,FALSE)," ")</f>
        <v>6.75</v>
      </c>
      <c r="M141" s="120">
        <f>IFERROR(VLOOKUP($A141,'The List'!$B1:$AS730,39,FALSE)," ")</f>
        <v>3.7961549302784472</v>
      </c>
      <c r="N141" s="120">
        <f>IFERROR(VLOOKUP($A141,'The List'!$B1:$AS730,40,FALSE)," ")</f>
        <v>1515.0195831838157</v>
      </c>
      <c r="O141" s="120">
        <f>IFERROR(VLOOKUP($A141,'The List'!$B1:$AS730,41,FALSE)," ")</f>
        <v>141.71524960368529</v>
      </c>
      <c r="P141" s="120">
        <f>IFERROR(VLOOKUP($A141,'The List'!$B1:$AS730,42,FALSE)," ")</f>
        <v>0.91446111544281017</v>
      </c>
      <c r="Q141" s="120">
        <f>IFERROR(VLOOKUP($A141,'The List'!$B1:$AS730,43,FALSE)," ")</f>
        <v>2.6243564741423202</v>
      </c>
      <c r="R141" s="54"/>
      <c r="S141" s="54"/>
      <c r="T141" s="109" t="str">
        <f>A88</f>
        <v>Black Knights</v>
      </c>
      <c r="U141" s="230">
        <f>F138+F144</f>
        <v>100.82239838939545</v>
      </c>
      <c r="V141" s="223"/>
      <c r="W141" s="223"/>
      <c r="X141" s="230">
        <f>G144+G138</f>
        <v>25.550783931440307</v>
      </c>
      <c r="Y141" s="223"/>
      <c r="Z141" s="223"/>
      <c r="AA141" s="54"/>
      <c r="AB141" s="54"/>
      <c r="AC141" s="54"/>
      <c r="AD141" s="54"/>
      <c r="AE141" s="54"/>
      <c r="AF141" s="54"/>
    </row>
    <row r="142" spans="1:32" ht="21.2" customHeight="1">
      <c r="A142" s="23" t="s">
        <v>233</v>
      </c>
      <c r="B142" s="110" t="str">
        <f>IFERROR(VLOOKUP($A142,'The List'!$B1:$AS730,3,FALSE)," ")</f>
        <v>G</v>
      </c>
      <c r="C142" s="111">
        <f>IFERROR(VLOOKUP($A142,'The List'!$B1:$AS730,4,FALSE)," ")</f>
        <v>8</v>
      </c>
      <c r="D142" s="34" t="str">
        <f>IFERROR(VLOOKUP($A142,'The List'!$B1:$AS730,5,FALSE)," ")</f>
        <v>CGY</v>
      </c>
      <c r="E142" s="34">
        <f>IFERROR(VLOOKUP($A142,'The List'!$B1:$AS730,6,FALSE)," ")</f>
        <v>33</v>
      </c>
      <c r="F142" s="49">
        <f>IFERROR(VLOOKUP($A142,'The List'!$B1:$AS730,8,FALSE)," ")</f>
        <v>2.6927710949822523</v>
      </c>
      <c r="G142" s="49">
        <f>IFERROR(VLOOKUP($A142,'The List'!$B1:$AS730,10,FALSE)," ")</f>
        <v>0.98854204379196076</v>
      </c>
      <c r="H142" s="38"/>
      <c r="I142" s="52">
        <f>IFERROR(VLOOKUP($A142,'The List'!$B1:$AS730,35,FALSE)," ")</f>
        <v>56</v>
      </c>
      <c r="J142" s="52">
        <f>IFERROR(VLOOKUP($A142,'The List'!$B1:$AS730,36,FALSE)," ")</f>
        <v>30.888589727949125</v>
      </c>
      <c r="K142" s="52">
        <f>IFERROR(VLOOKUP($A142,'The List'!$B1:$AS730,37,FALSE)," ")</f>
        <v>18.111410272050875</v>
      </c>
      <c r="L142" s="52">
        <f>IFERROR(VLOOKUP($A142,'The List'!$B1:$AS730,38,FALSE)," ")</f>
        <v>7</v>
      </c>
      <c r="M142" s="52">
        <f>IFERROR(VLOOKUP($A142,'The List'!$B1:$AS730,39,FALSE)," ")</f>
        <v>3.5094499050566927</v>
      </c>
      <c r="N142" s="52">
        <f>IFERROR(VLOOKUP($A142,'The List'!$B1:$AS730,40,FALSE)," ")</f>
        <v>1510.5883653345129</v>
      </c>
      <c r="O142" s="52">
        <f>IFERROR(VLOOKUP($A142,'The List'!$B1:$AS730,41,FALSE)," ")</f>
        <v>152.55693841548833</v>
      </c>
      <c r="P142" s="52">
        <f>IFERROR(VLOOKUP($A142,'The List'!$B1:$AS730,42,FALSE)," ")</f>
        <v>0.90827203247274402</v>
      </c>
      <c r="Q142" s="52">
        <f>IFERROR(VLOOKUP($A142,'The List'!$B1:$AS730,43,FALSE)," ")</f>
        <v>2.7242310431337202</v>
      </c>
      <c r="R142" s="54"/>
      <c r="S142" s="54"/>
      <c r="T142" s="54"/>
      <c r="U142" s="223"/>
      <c r="V142" s="223"/>
      <c r="W142" s="223"/>
      <c r="X142" s="223"/>
      <c r="Y142" s="223"/>
      <c r="Z142" s="223"/>
      <c r="AA142" s="54"/>
      <c r="AB142" s="54"/>
      <c r="AC142" s="54"/>
      <c r="AD142" s="54"/>
      <c r="AE142" s="54"/>
      <c r="AF142" s="54"/>
    </row>
    <row r="143" spans="1:32" ht="21.2" customHeight="1">
      <c r="A143" s="71"/>
      <c r="B143" s="112" t="str">
        <f>IFERROR(VLOOKUP($A143,'The List'!$B1:$AS730,3,FALSE)," ")</f>
        <v xml:space="preserve"> </v>
      </c>
      <c r="C143" s="113" t="str">
        <f>IFERROR(VLOOKUP($A143,'The List'!$B1:$AS730,4,FALSE)," ")</f>
        <v xml:space="preserve"> </v>
      </c>
      <c r="D143" s="74" t="str">
        <f>IFERROR(VLOOKUP($A143,'The List'!$B1:$AS730,5,FALSE)," ")</f>
        <v xml:space="preserve"> </v>
      </c>
      <c r="E143" s="74" t="str">
        <f>IFERROR(VLOOKUP($A143,'The List'!$B1:$AS730,6,FALSE)," ")</f>
        <v xml:space="preserve"> </v>
      </c>
      <c r="F143" s="75" t="str">
        <f>IFERROR(VLOOKUP($A143,'The List'!$B1:$AS730,8,FALSE)," ")</f>
        <v xml:space="preserve"> </v>
      </c>
      <c r="G143" s="75" t="str">
        <f>IFERROR(VLOOKUP($A143,'The List'!$B1:$AS730,10,FALSE)," ")</f>
        <v xml:space="preserve"> </v>
      </c>
      <c r="H143" s="76"/>
      <c r="I143" s="77" t="str">
        <f>IFERROR(VLOOKUP($A143,'The List'!$B1:$AS730,35,FALSE)," ")</f>
        <v xml:space="preserve"> </v>
      </c>
      <c r="J143" s="77" t="str">
        <f>IFERROR(VLOOKUP($A143,'The List'!$B1:$AS730,36,FALSE)," ")</f>
        <v xml:space="preserve"> </v>
      </c>
      <c r="K143" s="77" t="str">
        <f>IFERROR(VLOOKUP($A143,'The List'!$B1:$AS730,37,FALSE)," ")</f>
        <v xml:space="preserve"> </v>
      </c>
      <c r="L143" s="77" t="str">
        <f>IFERROR(VLOOKUP($A143,'The List'!$B1:$AS730,38,FALSE)," ")</f>
        <v xml:space="preserve"> </v>
      </c>
      <c r="M143" s="77" t="str">
        <f>IFERROR(VLOOKUP($A143,'The List'!$B1:$AS730,39,FALSE)," ")</f>
        <v xml:space="preserve"> </v>
      </c>
      <c r="N143" s="77" t="str">
        <f>IFERROR(VLOOKUP($A143,'The List'!$B1:$AS730,40,FALSE)," ")</f>
        <v xml:space="preserve"> </v>
      </c>
      <c r="O143" s="77" t="str">
        <f>IFERROR(VLOOKUP($A143,'The List'!$B1:$AS730,41,FALSE)," ")</f>
        <v xml:space="preserve"> </v>
      </c>
      <c r="P143" s="77" t="str">
        <f>IFERROR(VLOOKUP($A143,'The List'!$B1:$AS730,42,FALSE)," ")</f>
        <v xml:space="preserve"> </v>
      </c>
      <c r="Q143" s="77" t="str">
        <f>IFERROR(VLOOKUP($A143,'The List'!$B1:$AS730,43,FALSE)," ")</f>
        <v xml:space="preserve"> </v>
      </c>
      <c r="R143" s="54"/>
      <c r="S143" s="54"/>
      <c r="T143" s="54"/>
      <c r="U143" s="223"/>
      <c r="V143" s="223"/>
      <c r="W143" s="223"/>
      <c r="X143" s="223"/>
      <c r="Y143" s="223"/>
      <c r="Z143" s="223"/>
      <c r="AA143" s="54"/>
      <c r="AB143" s="54"/>
      <c r="AC143" s="54"/>
      <c r="AD143" s="54"/>
      <c r="AE143" s="54"/>
      <c r="AF143" s="54"/>
    </row>
    <row r="144" spans="1:32" ht="21.2" customHeight="1">
      <c r="A144" s="78"/>
      <c r="B144" s="79"/>
      <c r="C144" s="80"/>
      <c r="D144" s="81"/>
      <c r="E144" s="116">
        <f>IFERROR(AVERAGE(E141:E143)," ")</f>
        <v>30.5</v>
      </c>
      <c r="F144" s="83">
        <f>SUM(F141:F143)</f>
        <v>5.2219907017690002</v>
      </c>
      <c r="G144" s="83">
        <f>SUM(G141:G143)</f>
        <v>1.8135325993884166</v>
      </c>
      <c r="H144" s="84"/>
      <c r="I144" s="85">
        <f t="shared" ref="I144:O144" si="9">SUM(I141:I143)</f>
        <v>110</v>
      </c>
      <c r="J144" s="84">
        <f t="shared" si="9"/>
        <v>60.192033193125056</v>
      </c>
      <c r="K144" s="85">
        <f t="shared" si="9"/>
        <v>36.057966806874944</v>
      </c>
      <c r="L144" s="85">
        <f t="shared" si="9"/>
        <v>13.75</v>
      </c>
      <c r="M144" s="85">
        <f t="shared" si="9"/>
        <v>7.3056048353351404</v>
      </c>
      <c r="N144" s="85">
        <f t="shared" si="9"/>
        <v>3025.6079485183286</v>
      </c>
      <c r="O144" s="85">
        <f t="shared" si="9"/>
        <v>294.27218801917365</v>
      </c>
      <c r="P144" s="114">
        <f>1-(O144/(N144+O144))</f>
        <v>0.91136059860098217</v>
      </c>
      <c r="Q144" s="115">
        <f>O144/I144</f>
        <v>2.6752017092652149</v>
      </c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</row>
    <row r="145" spans="1:32" ht="70.7" customHeight="1">
      <c r="A145" s="88"/>
      <c r="B145" s="89"/>
      <c r="C145" s="90"/>
      <c r="D145" s="11"/>
      <c r="E145" s="11"/>
      <c r="F145" s="91"/>
      <c r="G145" s="92"/>
      <c r="H145" s="93"/>
      <c r="I145" s="9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9"/>
      <c r="AB145" s="59"/>
      <c r="AC145" s="59"/>
      <c r="AD145" s="59"/>
      <c r="AE145" s="59"/>
      <c r="AF145" s="59"/>
    </row>
    <row r="146" spans="1:32" ht="21.2" customHeight="1">
      <c r="A146" s="25" t="s">
        <v>905</v>
      </c>
      <c r="B146" s="229" t="s">
        <v>66</v>
      </c>
      <c r="C146" s="221"/>
      <c r="D146" s="26" t="s">
        <v>67</v>
      </c>
      <c r="E146" s="26" t="s">
        <v>68</v>
      </c>
      <c r="F146" s="27" t="s">
        <v>70</v>
      </c>
      <c r="G146" s="27" t="s">
        <v>72</v>
      </c>
      <c r="H146" s="28"/>
      <c r="I146" s="30" t="s">
        <v>77</v>
      </c>
      <c r="J146" s="30" t="s">
        <v>78</v>
      </c>
      <c r="K146" s="30" t="s">
        <v>79</v>
      </c>
      <c r="L146" s="30" t="s">
        <v>80</v>
      </c>
      <c r="M146" s="30" t="s">
        <v>81</v>
      </c>
      <c r="N146" s="30" t="s">
        <v>82</v>
      </c>
      <c r="O146" s="30" t="s">
        <v>83</v>
      </c>
      <c r="P146" s="30" t="s">
        <v>84</v>
      </c>
      <c r="Q146" s="30" t="s">
        <v>85</v>
      </c>
      <c r="R146" s="30" t="s">
        <v>86</v>
      </c>
      <c r="S146" s="30" t="s">
        <v>87</v>
      </c>
      <c r="T146" s="30" t="s">
        <v>88</v>
      </c>
      <c r="U146" s="30" t="s">
        <v>89</v>
      </c>
      <c r="V146" s="30" t="s">
        <v>90</v>
      </c>
      <c r="W146" s="30" t="s">
        <v>91</v>
      </c>
      <c r="X146" s="30" t="s">
        <v>92</v>
      </c>
      <c r="Y146" s="30" t="s">
        <v>93</v>
      </c>
      <c r="Z146" s="30" t="s">
        <v>94</v>
      </c>
      <c r="AA146" s="54"/>
      <c r="AB146" s="55"/>
      <c r="AC146" s="55"/>
      <c r="AD146" s="55"/>
      <c r="AE146" s="55"/>
      <c r="AF146" s="55"/>
    </row>
    <row r="147" spans="1:32" ht="21.2" customHeight="1">
      <c r="A147" s="23" t="s">
        <v>146</v>
      </c>
      <c r="B147" s="56" t="str">
        <f>IFERROR(VLOOKUP($A147,'The List'!$B1:$AS730,3,FALSE)," ")</f>
        <v>C,LW,RW</v>
      </c>
      <c r="C147" s="60">
        <f>IFERROR(VLOOKUP($A147,'The List'!$B1:$AS730,4,FALSE)," ")</f>
        <v>13</v>
      </c>
      <c r="D147" s="34" t="str">
        <f>IFERROR(VLOOKUP($A147,'The List'!$B1:$AS730,5,FALSE)," ")</f>
        <v>VAN</v>
      </c>
      <c r="E147" s="34">
        <f>IFERROR(VLOOKUP($A147,'The List'!$B1:$AS730,6,FALSE)," ")</f>
        <v>30</v>
      </c>
      <c r="F147" s="49">
        <f>IFERROR(VLOOKUP($A147,'The List'!$B1:$AS730,8,FALSE)," ")</f>
        <v>8.466166617614391</v>
      </c>
      <c r="G147" s="49">
        <f>IFERROR(VLOOKUP($A147,'The List'!$B1:$AS730,10,FALSE)," ")</f>
        <v>2.1859078986033103</v>
      </c>
      <c r="H147" s="38"/>
      <c r="I147" s="52">
        <f>IFERROR(VLOOKUP($A147,'The List'!$B1:$AS730,16,FALSE)," ")</f>
        <v>82</v>
      </c>
      <c r="J147" s="52">
        <f>IFERROR(VLOOKUP($A147,'The List'!$B1:$AS730,17,FALSE)," ")</f>
        <v>20.0875351690473</v>
      </c>
      <c r="K147" s="52">
        <f>IFERROR(VLOOKUP($A147,'The List'!$B1:$AS730,18,FALSE)," ")</f>
        <v>28.268853723777628</v>
      </c>
      <c r="L147" s="52">
        <f>IFERROR(VLOOKUP($A147,'The List'!$B1:$AS730,19,FALSE)," ")</f>
        <v>51.730029322038554</v>
      </c>
      <c r="M147" s="52">
        <f>IFERROR(VLOOKUP($A147,'The List'!$B1:$AS730,20,FALSE)," ")</f>
        <v>79.998883045816186</v>
      </c>
      <c r="N147" s="52">
        <f>IFERROR(VLOOKUP($A147,'The List'!$B1:$AS730,21,FALSE)," ")</f>
        <v>209.36903300270893</v>
      </c>
      <c r="O147" s="52">
        <f>IFERROR(VLOOKUP($A147,'The List'!$B1:$AS730,22,FALSE)," ")</f>
        <v>9.0884398467582876</v>
      </c>
      <c r="P147" s="52">
        <f>IFERROR(VLOOKUP($A147,'The List'!$B1:$AS730,23,FALSE)," ")</f>
        <v>30.709613004637333</v>
      </c>
      <c r="Q147" s="52">
        <f>IFERROR(VLOOKUP($A147,'The List'!$B1:$AS730,24,FALSE)," ")</f>
        <v>1.4653636461207566</v>
      </c>
      <c r="R147" s="52">
        <f>IFERROR(VLOOKUP($A147,'The List'!$B1:$AS730,25,FALSE)," ")</f>
        <v>2.5183135301236481</v>
      </c>
      <c r="S147" s="52">
        <f>IFERROR(VLOOKUP($A147,'The List'!$B1:$AS730,26,FALSE)," ")</f>
        <v>48.575019723319308</v>
      </c>
      <c r="T147" s="52">
        <f>IFERROR(VLOOKUP($A147,'The List'!$B1:$AS730,27,FALSE)," ")</f>
        <v>176.90060096344405</v>
      </c>
      <c r="U147" s="52">
        <f>IFERROR(VLOOKUP($A147,'The List'!$B1:$AS730,28,FALSE)," ")</f>
        <v>-0.57679538991203838</v>
      </c>
      <c r="V147" s="52">
        <f>IFERROR(VLOOKUP($A147,'The List'!$B1:$AS730,29,FALSE)," ")</f>
        <v>53.51143215207906</v>
      </c>
      <c r="W147" s="52">
        <f>IFERROR(VLOOKUP($A147,'The List'!$B1:$AS730,30,FALSE)," ")</f>
        <v>4.0017290094696758</v>
      </c>
      <c r="X147" s="52">
        <f>IFERROR(VLOOKUP($A147,'The List'!$B1:$AS730,31,FALSE)," ")</f>
        <v>494.97905408521211</v>
      </c>
      <c r="Y147" s="52">
        <f>IFERROR(VLOOKUP($A147,'The List'!$B1:$AS730,32,FALSE)," ")</f>
        <v>417.78708039647222</v>
      </c>
      <c r="Z147" s="52">
        <f>IFERROR(VLOOKUP($A147,'The List'!$B1:$AS730,33,FALSE)," ")</f>
        <v>0.54228463939044702</v>
      </c>
      <c r="AA147" s="54"/>
      <c r="AB147" s="59"/>
      <c r="AC147" s="59"/>
      <c r="AD147" s="59"/>
      <c r="AE147" s="59"/>
      <c r="AF147" s="59"/>
    </row>
    <row r="148" spans="1:32" ht="21.2" customHeight="1">
      <c r="A148" s="23" t="s">
        <v>149</v>
      </c>
      <c r="B148" s="56" t="str">
        <f>IFERROR(VLOOKUP($A148,'The List'!$B1:$AS730,3,FALSE)," ")</f>
        <v>C,LW</v>
      </c>
      <c r="C148" s="60">
        <f>IFERROR(VLOOKUP($A148,'The List'!$B1:$AS730,4,FALSE)," ")</f>
        <v>15</v>
      </c>
      <c r="D148" s="34" t="str">
        <f>IFERROR(VLOOKUP($A148,'The List'!$B1:$AS730,5,FALSE)," ")</f>
        <v>TOR</v>
      </c>
      <c r="E148" s="34">
        <f>IFERROR(VLOOKUP($A148,'The List'!$B1:$AS730,6,FALSE)," ")</f>
        <v>32</v>
      </c>
      <c r="F148" s="49">
        <f>IFERROR(VLOOKUP($A148,'The List'!$B1:$AS730,8,FALSE)," ")</f>
        <v>9.0998103631039911</v>
      </c>
      <c r="G148" s="49">
        <f>IFERROR(VLOOKUP($A148,'The List'!$B1:$AS730,10,FALSE)," ")</f>
        <v>2.4451413189795899</v>
      </c>
      <c r="H148" s="38"/>
      <c r="I148" s="52">
        <f>IFERROR(VLOOKUP($A148,'The List'!$B1:$AS730,16,FALSE)," ")</f>
        <v>82</v>
      </c>
      <c r="J148" s="52">
        <f>IFERROR(VLOOKUP($A148,'The List'!$B1:$AS730,17,FALSE)," ")</f>
        <v>17.589665453734799</v>
      </c>
      <c r="K148" s="52">
        <f>IFERROR(VLOOKUP($A148,'The List'!$B1:$AS730,18,FALSE)," ")</f>
        <v>30.81466014072431</v>
      </c>
      <c r="L148" s="52">
        <f>IFERROR(VLOOKUP($A148,'The List'!$B1:$AS730,19,FALSE)," ")</f>
        <v>44.903747053898492</v>
      </c>
      <c r="M148" s="52">
        <f>IFERROR(VLOOKUP($A148,'The List'!$B1:$AS730,20,FALSE)," ")</f>
        <v>75.718407194622799</v>
      </c>
      <c r="N148" s="52">
        <f>IFERROR(VLOOKUP($A148,'The List'!$B1:$AS730,21,FALSE)," ")</f>
        <v>256.5348654851789</v>
      </c>
      <c r="O148" s="52">
        <f>IFERROR(VLOOKUP($A148,'The List'!$B1:$AS730,22,FALSE)," ")</f>
        <v>14.457305454030998</v>
      </c>
      <c r="P148" s="52">
        <f>IFERROR(VLOOKUP($A148,'The List'!$B1:$AS730,23,FALSE)," ")</f>
        <v>33.527318846663931</v>
      </c>
      <c r="Q148" s="52">
        <f>IFERROR(VLOOKUP($A148,'The List'!$B1:$AS730,24,FALSE)," ")</f>
        <v>4.9766792672976739E-3</v>
      </c>
      <c r="R148" s="52">
        <f>IFERROR(VLOOKUP($A148,'The List'!$B1:$AS730,25,FALSE)," ")</f>
        <v>8.2823928406033295E-3</v>
      </c>
      <c r="S148" s="52">
        <f>IFERROR(VLOOKUP($A148,'The List'!$B1:$AS730,26,FALSE)," ")</f>
        <v>37.441952027731965</v>
      </c>
      <c r="T148" s="52">
        <f>IFERROR(VLOOKUP($A148,'The List'!$B1:$AS730,27,FALSE)," ")</f>
        <v>99.686499716560121</v>
      </c>
      <c r="U148" s="52">
        <f>IFERROR(VLOOKUP($A148,'The List'!$B1:$AS730,28,FALSE)," ")</f>
        <v>5.2437168209815495</v>
      </c>
      <c r="V148" s="52">
        <f>IFERROR(VLOOKUP($A148,'The List'!$B1:$AS730,29,FALSE)," ")</f>
        <v>31.830475185898766</v>
      </c>
      <c r="W148" s="52">
        <f>IFERROR(VLOOKUP($A148,'The List'!$B1:$AS730,30,FALSE)," ")</f>
        <v>4.9503669611948462</v>
      </c>
      <c r="X148" s="52">
        <f>IFERROR(VLOOKUP($A148,'The List'!$B1:$AS730,31,FALSE)," ")</f>
        <v>748.63090009617213</v>
      </c>
      <c r="Y148" s="52">
        <f>IFERROR(VLOOKUP($A148,'The List'!$B1:$AS730,32,FALSE)," ")</f>
        <v>528.44813525709685</v>
      </c>
      <c r="Z148" s="52">
        <f>IFERROR(VLOOKUP($A148,'The List'!$B1:$AS730,33,FALSE)," ")</f>
        <v>0.58620561403945004</v>
      </c>
      <c r="AA148" s="54"/>
      <c r="AB148" s="59"/>
      <c r="AC148" s="59"/>
      <c r="AD148" s="59"/>
      <c r="AE148" s="59"/>
      <c r="AF148" s="59"/>
    </row>
    <row r="149" spans="1:32" ht="21.2" customHeight="1">
      <c r="A149" s="23" t="s">
        <v>203</v>
      </c>
      <c r="B149" s="56" t="str">
        <f>IFERROR(VLOOKUP($A149,'The List'!$B1:$AS730,3,FALSE)," ")</f>
        <v>C</v>
      </c>
      <c r="C149" s="60">
        <f>IFERROR(VLOOKUP($A149,'The List'!$B1:$AS730,4,FALSE)," ")</f>
        <v>17</v>
      </c>
      <c r="D149" s="34" t="str">
        <f>IFERROR(VLOOKUP($A149,'The List'!$B1:$AS730,5,FALSE)," ")</f>
        <v>PIT</v>
      </c>
      <c r="E149" s="34">
        <f>IFERROR(VLOOKUP($A149,'The List'!$B1:$AS730,6,FALSE)," ")</f>
        <v>37</v>
      </c>
      <c r="F149" s="49">
        <f>IFERROR(VLOOKUP($A149,'The List'!$B1:$AS730,8,FALSE)," ")</f>
        <v>9.1129813337351067</v>
      </c>
      <c r="G149" s="49">
        <f>IFERROR(VLOOKUP($A149,'The List'!$B1:$AS730,10,FALSE)," ")</f>
        <v>2.7759306095285039</v>
      </c>
      <c r="H149" s="38"/>
      <c r="I149" s="52">
        <f>IFERROR(VLOOKUP($A149,'The List'!$B1:$AS730,16,FALSE)," ")</f>
        <v>82</v>
      </c>
      <c r="J149" s="52">
        <f>IFERROR(VLOOKUP($A149,'The List'!$B1:$AS730,17,FALSE)," ")</f>
        <v>18.329727075647899</v>
      </c>
      <c r="K149" s="52">
        <f>IFERROR(VLOOKUP($A149,'The List'!$B1:$AS730,18,FALSE)," ")</f>
        <v>27.659750898539322</v>
      </c>
      <c r="L149" s="52">
        <f>IFERROR(VLOOKUP($A149,'The List'!$B1:$AS730,19,FALSE)," ")</f>
        <v>50.318924854128383</v>
      </c>
      <c r="M149" s="52">
        <f>IFERROR(VLOOKUP($A149,'The List'!$B1:$AS730,20,FALSE)," ")</f>
        <v>77.978675752667698</v>
      </c>
      <c r="N149" s="52">
        <f>IFERROR(VLOOKUP($A149,'The List'!$B1:$AS730,21,FALSE)," ")</f>
        <v>238.41170410798611</v>
      </c>
      <c r="O149" s="52">
        <f>IFERROR(VLOOKUP($A149,'The List'!$B1:$AS730,22,FALSE)," ")</f>
        <v>11.928918317826994</v>
      </c>
      <c r="P149" s="52">
        <f>IFERROR(VLOOKUP($A149,'The List'!$B1:$AS730,23,FALSE)," ")</f>
        <v>34.794859858849307</v>
      </c>
      <c r="Q149" s="52">
        <f>IFERROR(VLOOKUP($A149,'The List'!$B1:$AS730,24,FALSE)," ")</f>
        <v>5.5103505758541966E-3</v>
      </c>
      <c r="R149" s="52">
        <f>IFERROR(VLOOKUP($A149,'The List'!$B1:$AS730,25,FALSE)," ")</f>
        <v>8.289837821491685E-3</v>
      </c>
      <c r="S149" s="52">
        <f>IFERROR(VLOOKUP($A149,'The List'!$B1:$AS730,26,FALSE)," ")</f>
        <v>33.778285889019998</v>
      </c>
      <c r="T149" s="52">
        <f>IFERROR(VLOOKUP($A149,'The List'!$B1:$AS730,27,FALSE)," ")</f>
        <v>54.573701653456908</v>
      </c>
      <c r="U149" s="52">
        <f>IFERROR(VLOOKUP($A149,'The List'!$B1:$AS730,28,FALSE)," ")</f>
        <v>3.1505190200054902</v>
      </c>
      <c r="V149" s="52">
        <f>IFERROR(VLOOKUP($A149,'The List'!$B1:$AS730,29,FALSE)," ")</f>
        <v>51.488753010111296</v>
      </c>
      <c r="W149" s="52">
        <f>IFERROR(VLOOKUP($A149,'The List'!$B1:$AS730,30,FALSE)," ")</f>
        <v>4.439943862282739</v>
      </c>
      <c r="X149" s="52">
        <f>IFERROR(VLOOKUP($A149,'The List'!$B1:$AS730,31,FALSE)," ")</f>
        <v>394.92889320578377</v>
      </c>
      <c r="Y149" s="52">
        <f>IFERROR(VLOOKUP($A149,'The List'!$B1:$AS730,32,FALSE)," ")</f>
        <v>446.56737758778831</v>
      </c>
      <c r="Z149" s="52">
        <f>IFERROR(VLOOKUP($A149,'The List'!$B1:$AS730,33,FALSE)," ")</f>
        <v>0.46931746094768401</v>
      </c>
      <c r="AA149" s="54"/>
      <c r="AB149" s="59"/>
      <c r="AC149" s="59"/>
      <c r="AD149" s="59"/>
      <c r="AE149" s="59"/>
      <c r="AF149" s="59"/>
    </row>
    <row r="150" spans="1:32" ht="21.2" customHeight="1">
      <c r="A150" s="23" t="s">
        <v>261</v>
      </c>
      <c r="B150" s="56" t="str">
        <f>IFERROR(VLOOKUP($A150,'The List'!$B1:$AS730,3,FALSE)," ")</f>
        <v>C</v>
      </c>
      <c r="C150" s="60">
        <f>IFERROR(VLOOKUP($A150,'The List'!$B1:$AS730,4,FALSE)," ")</f>
        <v>46</v>
      </c>
      <c r="D150" s="34" t="str">
        <f>IFERROR(VLOOKUP($A150,'The List'!$B1:$AS730,5,FALSE)," ")</f>
        <v>SJS</v>
      </c>
      <c r="E150" s="34">
        <f>IFERROR(VLOOKUP($A150,'The List'!$B1:$AS730,6,FALSE)," ")</f>
        <v>34</v>
      </c>
      <c r="F150" s="49">
        <f>IFERROR(VLOOKUP($A150,'The List'!$B1:$AS730,8,FALSE)," ")</f>
        <v>4.9497396664926105</v>
      </c>
      <c r="G150" s="49">
        <f>IFERROR(VLOOKUP($A150,'The List'!$B1:$AS730,10,FALSE)," ")</f>
        <v>-1.3873110577139922</v>
      </c>
      <c r="H150" s="38"/>
      <c r="I150" s="52">
        <f>IFERROR(VLOOKUP($A150,'The List'!$B1:$AS730,16,FALSE)," ")</f>
        <v>82</v>
      </c>
      <c r="J150" s="52">
        <f>IFERROR(VLOOKUP($A150,'The List'!$B1:$AS730,17,FALSE)," ")</f>
        <v>19.238690600038101</v>
      </c>
      <c r="K150" s="52">
        <f>IFERROR(VLOOKUP($A150,'The List'!$B1:$AS730,18,FALSE)," ")</f>
        <v>23.981068262304078</v>
      </c>
      <c r="L150" s="52">
        <f>IFERROR(VLOOKUP($A150,'The List'!$B1:$AS730,19,FALSE)," ")</f>
        <v>35.995108464846268</v>
      </c>
      <c r="M150" s="52">
        <f>IFERROR(VLOOKUP($A150,'The List'!$B1:$AS730,20,FALSE)," ")</f>
        <v>59.976176727150346</v>
      </c>
      <c r="N150" s="52">
        <f>IFERROR(VLOOKUP($A150,'The List'!$B1:$AS730,21,FALSE)," ")</f>
        <v>203.70833511733068</v>
      </c>
      <c r="O150" s="52">
        <f>IFERROR(VLOOKUP($A150,'The List'!$B1:$AS730,22,FALSE)," ")</f>
        <v>5.6822141432518167</v>
      </c>
      <c r="P150" s="52">
        <f>IFERROR(VLOOKUP($A150,'The List'!$B1:$AS730,23,FALSE)," ")</f>
        <v>20.871218819827487</v>
      </c>
      <c r="Q150" s="52">
        <f>IFERROR(VLOOKUP($A150,'The List'!$B1:$AS730,24,FALSE)," ")</f>
        <v>1.1416030288872265</v>
      </c>
      <c r="R150" s="52">
        <f>IFERROR(VLOOKUP($A150,'The List'!$B1:$AS730,25,FALSE)," ")</f>
        <v>1.1055822555300423</v>
      </c>
      <c r="S150" s="52">
        <f>IFERROR(VLOOKUP($A150,'The List'!$B1:$AS730,26,FALSE)," ")</f>
        <v>64.648764488900426</v>
      </c>
      <c r="T150" s="52">
        <f>IFERROR(VLOOKUP($A150,'The List'!$B1:$AS730,27,FALSE)," ")</f>
        <v>112.71950257164811</v>
      </c>
      <c r="U150" s="52">
        <f>IFERROR(VLOOKUP($A150,'The List'!$B1:$AS730,28,FALSE)," ")</f>
        <v>0.38376798101024323</v>
      </c>
      <c r="V150" s="52">
        <f>IFERROR(VLOOKUP($A150,'The List'!$B1:$AS730,29,FALSE)," ")</f>
        <v>25.348426824420997</v>
      </c>
      <c r="W150" s="52">
        <f>IFERROR(VLOOKUP($A150,'The List'!$B1:$AS730,30,FALSE)," ")</f>
        <v>2.9773876219845374</v>
      </c>
      <c r="X150" s="52">
        <f>IFERROR(VLOOKUP($A150,'The List'!$B1:$AS730,31,FALSE)," ")</f>
        <v>657.55947586779473</v>
      </c>
      <c r="Y150" s="52">
        <f>IFERROR(VLOOKUP($A150,'The List'!$B1:$AS730,32,FALSE)," ")</f>
        <v>705.80074913806391</v>
      </c>
      <c r="Z150" s="52">
        <f>IFERROR(VLOOKUP($A150,'The List'!$B1:$AS730,33,FALSE)," ")</f>
        <v>0.48230795046479302</v>
      </c>
      <c r="AA150" s="54"/>
      <c r="AB150" s="59"/>
      <c r="AC150" s="59"/>
      <c r="AD150" s="59"/>
      <c r="AE150" s="59"/>
      <c r="AF150" s="59"/>
    </row>
    <row r="151" spans="1:32" ht="21.2" customHeight="1">
      <c r="A151" s="23" t="s">
        <v>152</v>
      </c>
      <c r="B151" s="61" t="str">
        <f>IFERROR(VLOOKUP($A151,'The List'!$B1:$AS730,3,FALSE)," ")</f>
        <v>LW</v>
      </c>
      <c r="C151" s="63">
        <f>IFERROR(VLOOKUP($A151,'The List'!$B1:$AS730,4,FALSE)," ")</f>
        <v>16</v>
      </c>
      <c r="D151" s="34" t="str">
        <f>IFERROR(VLOOKUP($A151,'The List'!$B1:$AS730,5,FALSE)," ")</f>
        <v>PIT</v>
      </c>
      <c r="E151" s="34">
        <f>IFERROR(VLOOKUP($A151,'The List'!$B1:$AS730,6,FALSE)," ")</f>
        <v>28</v>
      </c>
      <c r="F151" s="49">
        <f>IFERROR(VLOOKUP($A151,'The List'!$B1:$AS730,8,FALSE)," ")</f>
        <v>9.0538933501089804</v>
      </c>
      <c r="G151" s="49">
        <f>IFERROR(VLOOKUP($A151,'The List'!$B1:$AS730,10,FALSE)," ")</f>
        <v>2.3992243059845793</v>
      </c>
      <c r="H151" s="38"/>
      <c r="I151" s="52">
        <f>IFERROR(VLOOKUP($A151,'The List'!$B1:$AS730,16,FALSE)," ")</f>
        <v>82</v>
      </c>
      <c r="J151" s="52">
        <f>IFERROR(VLOOKUP($A151,'The List'!$B1:$AS730,17,FALSE)," ")</f>
        <v>19.958875669915798</v>
      </c>
      <c r="K151" s="52">
        <f>IFERROR(VLOOKUP($A151,'The List'!$B1:$AS730,18,FALSE)," ")</f>
        <v>38.034445343426313</v>
      </c>
      <c r="L151" s="52">
        <f>IFERROR(VLOOKUP($A151,'The List'!$B1:$AS730,19,FALSE)," ")</f>
        <v>43.887678058629781</v>
      </c>
      <c r="M151" s="52">
        <f>IFERROR(VLOOKUP($A151,'The List'!$B1:$AS730,20,FALSE)," ")</f>
        <v>81.922123402056087</v>
      </c>
      <c r="N151" s="52">
        <f>IFERROR(VLOOKUP($A151,'The List'!$B1:$AS730,21,FALSE)," ")</f>
        <v>253.41602254308296</v>
      </c>
      <c r="O151" s="52">
        <f>IFERROR(VLOOKUP($A151,'The List'!$B1:$AS730,22,FALSE)," ")</f>
        <v>10.100206926196394</v>
      </c>
      <c r="P151" s="52">
        <f>IFERROR(VLOOKUP($A151,'The List'!$B1:$AS730,23,FALSE)," ")</f>
        <v>24.69123455805407</v>
      </c>
      <c r="Q151" s="52">
        <f>IFERROR(VLOOKUP($A151,'The List'!$B1:$AS730,24,FALSE)," ")</f>
        <v>1.6643604826219627E-2</v>
      </c>
      <c r="R151" s="52">
        <f>IFERROR(VLOOKUP($A151,'The List'!$B1:$AS730,25,FALSE)," ")</f>
        <v>3.1063741951749518E-2</v>
      </c>
      <c r="S151" s="52">
        <f>IFERROR(VLOOKUP($A151,'The List'!$B1:$AS730,26,FALSE)," ")</f>
        <v>44.972418524845715</v>
      </c>
      <c r="T151" s="52">
        <f>IFERROR(VLOOKUP($A151,'The List'!$B1:$AS730,27,FALSE)," ")</f>
        <v>80.369740526574731</v>
      </c>
      <c r="U151" s="52">
        <f>IFERROR(VLOOKUP($A151,'The List'!$B1:$AS730,28,FALSE)," ")</f>
        <v>3.8422986883777304</v>
      </c>
      <c r="V151" s="52">
        <f>IFERROR(VLOOKUP($A151,'The List'!$B1:$AS730,29,FALSE)," ")</f>
        <v>45.497743277953525</v>
      </c>
      <c r="W151" s="52">
        <f>IFERROR(VLOOKUP($A151,'The List'!$B1:$AS730,30,FALSE)," ")</f>
        <v>6.1052900576480438</v>
      </c>
      <c r="X151" s="52">
        <f>IFERROR(VLOOKUP($A151,'The List'!$B1:$AS730,31,FALSE)," ")</f>
        <v>8.3908765180740339</v>
      </c>
      <c r="Y151" s="52">
        <f>IFERROR(VLOOKUP($A151,'The List'!$B1:$AS730,32,FALSE)," ")</f>
        <v>9.8663247661242046</v>
      </c>
      <c r="Z151" s="52">
        <f>IFERROR(VLOOKUP($A151,'The List'!$B1:$AS730,33,FALSE)," ")</f>
        <v>0.45959270467902602</v>
      </c>
      <c r="AA151" s="54"/>
      <c r="AB151" s="59"/>
      <c r="AC151" s="59"/>
      <c r="AD151" s="59"/>
      <c r="AE151" s="59"/>
      <c r="AF151" s="59"/>
    </row>
    <row r="152" spans="1:32" ht="21.2" customHeight="1">
      <c r="A152" s="23" t="s">
        <v>131</v>
      </c>
      <c r="B152" s="61" t="str">
        <f>IFERROR(VLOOKUP($A152,'The List'!$B1:$AS730,3,FALSE)," ")</f>
        <v>LW</v>
      </c>
      <c r="C152" s="63">
        <f>IFERROR(VLOOKUP($A152,'The List'!$B1:$AS730,4,FALSE)," ")</f>
        <v>7</v>
      </c>
      <c r="D152" s="34" t="str">
        <f>IFERROR(VLOOKUP($A152,'The List'!$B1:$AS730,5,FALSE)," ")</f>
        <v>WSH</v>
      </c>
      <c r="E152" s="34">
        <f>IFERROR(VLOOKUP($A152,'The List'!$B1:$AS730,6,FALSE)," ")</f>
        <v>37</v>
      </c>
      <c r="F152" s="49">
        <f>IFERROR(VLOOKUP($A152,'The List'!$B1:$AS730,8,FALSE)," ")</f>
        <v>10.835142614339283</v>
      </c>
      <c r="G152" s="49">
        <f>IFERROR(VLOOKUP($A152,'The List'!$B1:$AS730,10,FALSE)," ")</f>
        <v>4.1804735702148816</v>
      </c>
      <c r="H152" s="38"/>
      <c r="I152" s="52">
        <f>IFERROR(VLOOKUP($A152,'The List'!$B1:$AS730,16,FALSE)," ")</f>
        <v>82</v>
      </c>
      <c r="J152" s="52">
        <f>IFERROR(VLOOKUP($A152,'The List'!$B1:$AS730,17,FALSE)," ")</f>
        <v>20.248997503357899</v>
      </c>
      <c r="K152" s="52">
        <f>IFERROR(VLOOKUP($A152,'The List'!$B1:$AS730,18,FALSE)," ")</f>
        <v>44.359915546693287</v>
      </c>
      <c r="L152" s="52">
        <f>IFERROR(VLOOKUP($A152,'The List'!$B1:$AS730,19,FALSE)," ")</f>
        <v>37.299244581593719</v>
      </c>
      <c r="M152" s="52">
        <f>IFERROR(VLOOKUP($A152,'The List'!$B1:$AS730,20,FALSE)," ")</f>
        <v>81.659160128286999</v>
      </c>
      <c r="N152" s="52">
        <f>IFERROR(VLOOKUP($A152,'The List'!$B1:$AS730,21,FALSE)," ")</f>
        <v>331.71895022222589</v>
      </c>
      <c r="O152" s="52">
        <f>IFERROR(VLOOKUP($A152,'The List'!$B1:$AS730,22,FALSE)," ")</f>
        <v>15.601686677805427</v>
      </c>
      <c r="P152" s="52">
        <f>IFERROR(VLOOKUP($A152,'The List'!$B1:$AS730,23,FALSE)," ")</f>
        <v>28.192202286329024</v>
      </c>
      <c r="Q152" s="52">
        <f>IFERROR(VLOOKUP($A152,'The List'!$B1:$AS730,24,FALSE)," ")</f>
        <v>7.4917018952180611E-3</v>
      </c>
      <c r="R152" s="52">
        <f>IFERROR(VLOOKUP($A152,'The List'!$B1:$AS730,25,FALSE)," ")</f>
        <v>8.4753714179144537E-3</v>
      </c>
      <c r="S152" s="52">
        <f>IFERROR(VLOOKUP($A152,'The List'!$B1:$AS730,26,FALSE)," ")</f>
        <v>27.9009338054742</v>
      </c>
      <c r="T152" s="52">
        <f>IFERROR(VLOOKUP($A152,'The List'!$B1:$AS730,27,FALSE)," ")</f>
        <v>183.33125498162281</v>
      </c>
      <c r="U152" s="52">
        <f>IFERROR(VLOOKUP($A152,'The List'!$B1:$AS730,28,FALSE)," ")</f>
        <v>-2.6185878319986786</v>
      </c>
      <c r="V152" s="52">
        <f>IFERROR(VLOOKUP($A152,'The List'!$B1:$AS730,29,FALSE)," ")</f>
        <v>32.444989619562101</v>
      </c>
      <c r="W152" s="52">
        <f>IFERROR(VLOOKUP($A152,'The List'!$B1:$AS730,30,FALSE)," ")</f>
        <v>5.4565307454214906</v>
      </c>
      <c r="X152" s="52">
        <f>IFERROR(VLOOKUP($A152,'The List'!$B1:$AS730,31,FALSE)," ")</f>
        <v>3.2478195297464363</v>
      </c>
      <c r="Y152" s="52">
        <f>IFERROR(VLOOKUP($A152,'The List'!$B1:$AS730,32,FALSE)," ")</f>
        <v>6.8807289998833232</v>
      </c>
      <c r="Z152" s="52">
        <f>IFERROR(VLOOKUP($A152,'The List'!$B1:$AS730,33,FALSE)," ")</f>
        <v>0.320659916891879</v>
      </c>
      <c r="AA152" s="54"/>
      <c r="AB152" s="59"/>
      <c r="AC152" s="59"/>
      <c r="AD152" s="59"/>
      <c r="AE152" s="59"/>
      <c r="AF152" s="59"/>
    </row>
    <row r="153" spans="1:32" ht="21.2" customHeight="1">
      <c r="A153" s="23" t="s">
        <v>117</v>
      </c>
      <c r="B153" s="61" t="str">
        <f>IFERROR(VLOOKUP($A153,'The List'!$B1:$AS730,3,FALSE)," ")</f>
        <v>LW</v>
      </c>
      <c r="C153" s="63">
        <f>IFERROR(VLOOKUP($A153,'The List'!$B1:$AS730,4,FALSE)," ")</f>
        <v>4</v>
      </c>
      <c r="D153" s="34" t="str">
        <f>IFERROR(VLOOKUP($A153,'The List'!$B1:$AS730,5,FALSE)," ")</f>
        <v>DAL</v>
      </c>
      <c r="E153" s="34">
        <f>IFERROR(VLOOKUP($A153,'The List'!$B1:$AS730,6,FALSE)," ")</f>
        <v>24</v>
      </c>
      <c r="F153" s="49">
        <f>IFERROR(VLOOKUP($A153,'The List'!$B1:$AS730,8,FALSE)," ")</f>
        <v>12.964649656239818</v>
      </c>
      <c r="G153" s="49">
        <f>IFERROR(VLOOKUP($A153,'The List'!$B1:$AS730,10,FALSE)," ")</f>
        <v>6.3099806121154165</v>
      </c>
      <c r="H153" s="38"/>
      <c r="I153" s="52">
        <f>IFERROR(VLOOKUP($A153,'The List'!$B1:$AS730,16,FALSE)," ")</f>
        <v>82</v>
      </c>
      <c r="J153" s="52">
        <f>IFERROR(VLOOKUP($A153,'The List'!$B1:$AS730,17,FALSE)," ")</f>
        <v>18.8333642730564</v>
      </c>
      <c r="K153" s="52">
        <f>IFERROR(VLOOKUP($A153,'The List'!$B1:$AS730,18,FALSE)," ")</f>
        <v>44.309028052016785</v>
      </c>
      <c r="L153" s="52">
        <f>IFERROR(VLOOKUP($A153,'The List'!$B1:$AS730,19,FALSE)," ")</f>
        <v>56.528462020841772</v>
      </c>
      <c r="M153" s="52">
        <f>IFERROR(VLOOKUP($A153,'The List'!$B1:$AS730,20,FALSE)," ")</f>
        <v>100.83749007285856</v>
      </c>
      <c r="N153" s="52">
        <f>IFERROR(VLOOKUP($A153,'The List'!$B1:$AS730,21,FALSE)," ")</f>
        <v>290.10716873831757</v>
      </c>
      <c r="O153" s="52">
        <f>IFERROR(VLOOKUP($A153,'The List'!$B1:$AS730,22,FALSE)," ")</f>
        <v>12.975288289263437</v>
      </c>
      <c r="P153" s="52">
        <f>IFERROR(VLOOKUP($A153,'The List'!$B1:$AS730,23,FALSE)," ")</f>
        <v>34.096193222416218</v>
      </c>
      <c r="Q153" s="52">
        <f>IFERROR(VLOOKUP($A153,'The List'!$B1:$AS730,24,FALSE)," ")</f>
        <v>4.5915984499422073E-3</v>
      </c>
      <c r="R153" s="52">
        <f>IFERROR(VLOOKUP($A153,'The List'!$B1:$AS730,25,FALSE)," ")</f>
        <v>9.0647010843949351E-3</v>
      </c>
      <c r="S153" s="52">
        <f>IFERROR(VLOOKUP($A153,'The List'!$B1:$AS730,26,FALSE)," ")</f>
        <v>22.961236757817868</v>
      </c>
      <c r="T153" s="52">
        <f>IFERROR(VLOOKUP($A153,'The List'!$B1:$AS730,27,FALSE)," ")</f>
        <v>59.128564555264823</v>
      </c>
      <c r="U153" s="52">
        <f>IFERROR(VLOOKUP($A153,'The List'!$B1:$AS730,28,FALSE)," ")</f>
        <v>11.330716658011367</v>
      </c>
      <c r="V153" s="52">
        <f>IFERROR(VLOOKUP($A153,'The List'!$B1:$AS730,29,FALSE)," ")</f>
        <v>25.62997925926193</v>
      </c>
      <c r="W153" s="52">
        <f>IFERROR(VLOOKUP($A153,'The List'!$B1:$AS730,30,FALSE)," ")</f>
        <v>7.0891303792098297</v>
      </c>
      <c r="X153" s="52">
        <f>IFERROR(VLOOKUP($A153,'The List'!$B1:$AS730,31,FALSE)," ")</f>
        <v>0.21585805454071236</v>
      </c>
      <c r="Y153" s="52">
        <f>IFERROR(VLOOKUP($A153,'The List'!$B1:$AS730,32,FALSE)," ")</f>
        <v>1.6709584125101959</v>
      </c>
      <c r="Z153" s="52">
        <f>IFERROR(VLOOKUP($A153,'The List'!$B1:$AS730,33,FALSE)," ")</f>
        <v>0.11440331283418199</v>
      </c>
      <c r="AA153" s="54"/>
      <c r="AB153" s="59"/>
      <c r="AC153" s="59"/>
      <c r="AD153" s="59"/>
      <c r="AE153" s="59"/>
      <c r="AF153" s="59"/>
    </row>
    <row r="154" spans="1:32" ht="21.2" customHeight="1">
      <c r="A154" s="23"/>
      <c r="B154" s="61" t="str">
        <f>IFERROR(VLOOKUP($A154,'The List'!$B1:$AS730,3,FALSE)," ")</f>
        <v xml:space="preserve"> </v>
      </c>
      <c r="C154" s="63" t="str">
        <f>IFERROR(VLOOKUP($A154,'The List'!$B1:$AS730,4,FALSE)," ")</f>
        <v xml:space="preserve"> </v>
      </c>
      <c r="D154" s="34" t="str">
        <f>IFERROR(VLOOKUP($A154,'The List'!$B1:$AS730,5,FALSE)," ")</f>
        <v xml:space="preserve"> </v>
      </c>
      <c r="E154" s="34" t="str">
        <f>IFERROR(VLOOKUP($A154,'The List'!$B1:$AS730,6,FALSE)," ")</f>
        <v xml:space="preserve"> </v>
      </c>
      <c r="F154" s="49" t="str">
        <f>IFERROR(VLOOKUP($A154,'The List'!$B1:$AS730,8,FALSE)," ")</f>
        <v xml:space="preserve"> </v>
      </c>
      <c r="G154" s="49" t="str">
        <f>IFERROR(VLOOKUP($A154,'The List'!$B1:$AS730,10,FALSE)," ")</f>
        <v xml:space="preserve"> </v>
      </c>
      <c r="H154" s="38"/>
      <c r="I154" s="52" t="str">
        <f>IFERROR(VLOOKUP($A154,'The List'!$B1:$AS730,16,FALSE)," ")</f>
        <v xml:space="preserve"> </v>
      </c>
      <c r="J154" s="52" t="str">
        <f>IFERROR(VLOOKUP($A154,'The List'!$B1:$AS730,17,FALSE)," ")</f>
        <v xml:space="preserve"> </v>
      </c>
      <c r="K154" s="52" t="str">
        <f>IFERROR(VLOOKUP($A154,'The List'!$B1:$AS730,18,FALSE)," ")</f>
        <v xml:space="preserve"> </v>
      </c>
      <c r="L154" s="52" t="str">
        <f>IFERROR(VLOOKUP($A154,'The List'!$B1:$AS730,19,FALSE)," ")</f>
        <v xml:space="preserve"> </v>
      </c>
      <c r="M154" s="52" t="str">
        <f>IFERROR(VLOOKUP($A154,'The List'!$B1:$AS730,20,FALSE)," ")</f>
        <v xml:space="preserve"> </v>
      </c>
      <c r="N154" s="52" t="str">
        <f>IFERROR(VLOOKUP($A154,'The List'!$B1:$AS730,21,FALSE)," ")</f>
        <v xml:space="preserve"> </v>
      </c>
      <c r="O154" s="52" t="str">
        <f>IFERROR(VLOOKUP($A154,'The List'!$B1:$AS730,22,FALSE)," ")</f>
        <v xml:space="preserve"> </v>
      </c>
      <c r="P154" s="52" t="str">
        <f>IFERROR(VLOOKUP($A154,'The List'!$B1:$AS730,23,FALSE)," ")</f>
        <v xml:space="preserve"> </v>
      </c>
      <c r="Q154" s="52" t="str">
        <f>IFERROR(VLOOKUP($A154,'The List'!$B1:$AS730,24,FALSE)," ")</f>
        <v xml:space="preserve"> </v>
      </c>
      <c r="R154" s="52" t="str">
        <f>IFERROR(VLOOKUP($A154,'The List'!$B1:$AS730,25,FALSE)," ")</f>
        <v xml:space="preserve"> </v>
      </c>
      <c r="S154" s="52" t="str">
        <f>IFERROR(VLOOKUP($A154,'The List'!$B1:$AS730,26,FALSE)," ")</f>
        <v xml:space="preserve"> </v>
      </c>
      <c r="T154" s="52" t="str">
        <f>IFERROR(VLOOKUP($A154,'The List'!$B1:$AS730,27,FALSE)," ")</f>
        <v xml:space="preserve"> </v>
      </c>
      <c r="U154" s="52" t="str">
        <f>IFERROR(VLOOKUP($A154,'The List'!$B1:$AS730,28,FALSE)," ")</f>
        <v xml:space="preserve"> </v>
      </c>
      <c r="V154" s="52" t="str">
        <f>IFERROR(VLOOKUP($A154,'The List'!$B1:$AS730,29,FALSE)," ")</f>
        <v xml:space="preserve"> </v>
      </c>
      <c r="W154" s="52" t="str">
        <f>IFERROR(VLOOKUP($A154,'The List'!$B1:$AS730,30,FALSE)," ")</f>
        <v xml:space="preserve"> </v>
      </c>
      <c r="X154" s="52" t="str">
        <f>IFERROR(VLOOKUP($A154,'The List'!$B1:$AS730,31,FALSE)," ")</f>
        <v xml:space="preserve"> </v>
      </c>
      <c r="Y154" s="52" t="str">
        <f>IFERROR(VLOOKUP($A154,'The List'!$B1:$AS730,32,FALSE)," ")</f>
        <v xml:space="preserve"> </v>
      </c>
      <c r="Z154" s="52" t="str">
        <f>IFERROR(VLOOKUP($A154,'The List'!$B1:$AS730,33,FALSE)," ")</f>
        <v xml:space="preserve"> </v>
      </c>
      <c r="AA154" s="54"/>
      <c r="AB154" s="59"/>
      <c r="AC154" s="59"/>
      <c r="AD154" s="59"/>
      <c r="AE154" s="59"/>
      <c r="AF154" s="59"/>
    </row>
    <row r="155" spans="1:32" ht="21.2" customHeight="1">
      <c r="A155" s="23" t="s">
        <v>154</v>
      </c>
      <c r="B155" s="64" t="str">
        <f>IFERROR(VLOOKUP($A155,'The List'!$B1:$AS730,3,FALSE)," ")</f>
        <v>RW</v>
      </c>
      <c r="C155" s="66">
        <f>IFERROR(VLOOKUP($A155,'The List'!$B1:$AS730,4,FALSE)," ")</f>
        <v>16</v>
      </c>
      <c r="D155" s="34" t="str">
        <f>IFERROR(VLOOKUP($A155,'The List'!$B1:$AS730,5,FALSE)," ")</f>
        <v>STL</v>
      </c>
      <c r="E155" s="34">
        <f>IFERROR(VLOOKUP($A155,'The List'!$B1:$AS730,6,FALSE)," ")</f>
        <v>25</v>
      </c>
      <c r="F155" s="49">
        <f>IFERROR(VLOOKUP($A155,'The List'!$B1:$AS730,8,FALSE)," ")</f>
        <v>8.3735546652097597</v>
      </c>
      <c r="G155" s="49">
        <f>IFERROR(VLOOKUP($A155,'The List'!$B1:$AS730,10,FALSE)," ")</f>
        <v>2.0932959461986789</v>
      </c>
      <c r="H155" s="38"/>
      <c r="I155" s="52">
        <f>IFERROR(VLOOKUP($A155,'The List'!$B1:$AS730,16,FALSE)," ")</f>
        <v>82</v>
      </c>
      <c r="J155" s="52">
        <f>IFERROR(VLOOKUP($A155,'The List'!$B1:$AS730,17,FALSE)," ")</f>
        <v>18.080849106690401</v>
      </c>
      <c r="K155" s="52">
        <f>IFERROR(VLOOKUP($A155,'The List'!$B1:$AS730,18,FALSE)," ")</f>
        <v>34.077718772488154</v>
      </c>
      <c r="L155" s="52">
        <f>IFERROR(VLOOKUP($A155,'The List'!$B1:$AS730,19,FALSE)," ")</f>
        <v>43.541877051951957</v>
      </c>
      <c r="M155" s="52">
        <f>IFERROR(VLOOKUP($A155,'The List'!$B1:$AS730,20,FALSE)," ")</f>
        <v>77.619595824440111</v>
      </c>
      <c r="N155" s="52">
        <f>IFERROR(VLOOKUP($A155,'The List'!$B1:$AS730,21,FALSE)," ")</f>
        <v>254.79983093246696</v>
      </c>
      <c r="O155" s="52">
        <f>IFERROR(VLOOKUP($A155,'The List'!$B1:$AS730,22,FALSE)," ")</f>
        <v>9.5149328485751905</v>
      </c>
      <c r="P155" s="52">
        <f>IFERROR(VLOOKUP($A155,'The List'!$B1:$AS730,23,FALSE)," ")</f>
        <v>23.597782869291617</v>
      </c>
      <c r="Q155" s="52">
        <f>IFERROR(VLOOKUP($A155,'The List'!$B1:$AS730,24,FALSE)," ")</f>
        <v>1.6232023958020925E-2</v>
      </c>
      <c r="R155" s="52">
        <f>IFERROR(VLOOKUP($A155,'The List'!$B1:$AS730,25,FALSE)," ")</f>
        <v>3.1782597425473694E-2</v>
      </c>
      <c r="S155" s="52">
        <f>IFERROR(VLOOKUP($A155,'The List'!$B1:$AS730,26,FALSE)," ")</f>
        <v>33.667566798375724</v>
      </c>
      <c r="T155" s="52">
        <f>IFERROR(VLOOKUP($A155,'The List'!$B1:$AS730,27,FALSE)," ")</f>
        <v>20.086475639195168</v>
      </c>
      <c r="U155" s="52">
        <f>IFERROR(VLOOKUP($A155,'The List'!$B1:$AS730,28,FALSE)," ")</f>
        <v>-5.3278601779364205</v>
      </c>
      <c r="V155" s="52">
        <f>IFERROR(VLOOKUP($A155,'The List'!$B1:$AS730,29,FALSE)," ")</f>
        <v>26.510131528582423</v>
      </c>
      <c r="W155" s="52">
        <f>IFERROR(VLOOKUP($A155,'The List'!$B1:$AS730,30,FALSE)," ")</f>
        <v>3.9214161880299603</v>
      </c>
      <c r="X155" s="52">
        <f>IFERROR(VLOOKUP($A155,'The List'!$B1:$AS730,31,FALSE)," ")</f>
        <v>6.2327716419680375</v>
      </c>
      <c r="Y155" s="52">
        <f>IFERROR(VLOOKUP($A155,'The List'!$B1:$AS730,32,FALSE)," ")</f>
        <v>9.5430726135683379</v>
      </c>
      <c r="Z155" s="52">
        <f>IFERROR(VLOOKUP($A155,'The List'!$B1:$AS730,33,FALSE)," ")</f>
        <v>0.39508323871673001</v>
      </c>
      <c r="AA155" s="54"/>
      <c r="AB155" s="59"/>
      <c r="AC155" s="59"/>
      <c r="AD155" s="59"/>
      <c r="AE155" s="59"/>
      <c r="AF155" s="59"/>
    </row>
    <row r="156" spans="1:32" ht="21.2" customHeight="1">
      <c r="A156" s="23" t="s">
        <v>257</v>
      </c>
      <c r="B156" s="64" t="str">
        <f>IFERROR(VLOOKUP($A156,'The List'!$B1:$AS730,3,FALSE)," ")</f>
        <v>RW</v>
      </c>
      <c r="C156" s="66">
        <f>IFERROR(VLOOKUP($A156,'The List'!$B1:$AS730,4,FALSE)," ")</f>
        <v>47</v>
      </c>
      <c r="D156" s="34" t="str">
        <f>IFERROR(VLOOKUP($A156,'The List'!$B1:$AS730,5,FALSE)," ")</f>
        <v>NJD</v>
      </c>
      <c r="E156" s="34">
        <f>IFERROR(VLOOKUP($A156,'The List'!$B1:$AS730,6,FALSE)," ")</f>
        <v>31</v>
      </c>
      <c r="F156" s="49">
        <f>IFERROR(VLOOKUP($A156,'The List'!$B1:$AS730,8,FALSE)," ")</f>
        <v>4.1338270871323903</v>
      </c>
      <c r="G156" s="49">
        <f>IFERROR(VLOOKUP($A156,'The List'!$B1:$AS730,10,FALSE)," ")</f>
        <v>-2.1464316318786905</v>
      </c>
      <c r="H156" s="38"/>
      <c r="I156" s="52">
        <f>IFERROR(VLOOKUP($A156,'The List'!$B1:$AS730,16,FALSE)," ")</f>
        <v>82</v>
      </c>
      <c r="J156" s="52">
        <f>IFERROR(VLOOKUP($A156,'The List'!$B1:$AS730,17,FALSE)," ")</f>
        <v>16.3001630333052</v>
      </c>
      <c r="K156" s="52">
        <f>IFERROR(VLOOKUP($A156,'The List'!$B1:$AS730,18,FALSE)," ")</f>
        <v>25.415664630105855</v>
      </c>
      <c r="L156" s="52">
        <f>IFERROR(VLOOKUP($A156,'The List'!$B1:$AS730,19,FALSE)," ")</f>
        <v>29.638879966262223</v>
      </c>
      <c r="M156" s="52">
        <f>IFERROR(VLOOKUP($A156,'The List'!$B1:$AS730,20,FALSE)," ")</f>
        <v>55.054544596368075</v>
      </c>
      <c r="N156" s="52">
        <f>IFERROR(VLOOKUP($A156,'The List'!$B1:$AS730,21,FALSE)," ")</f>
        <v>234.61511003555273</v>
      </c>
      <c r="O156" s="52">
        <f>IFERROR(VLOOKUP($A156,'The List'!$B1:$AS730,22,FALSE)," ")</f>
        <v>5.5988159061867488</v>
      </c>
      <c r="P156" s="52">
        <f>IFERROR(VLOOKUP($A156,'The List'!$B1:$AS730,23,FALSE)," ")</f>
        <v>12.948886884355209</v>
      </c>
      <c r="Q156" s="52">
        <f>IFERROR(VLOOKUP($A156,'The List'!$B1:$AS730,24,FALSE)," ")</f>
        <v>0.42357443988382881</v>
      </c>
      <c r="R156" s="52">
        <f>IFERROR(VLOOKUP($A156,'The List'!$B1:$AS730,25,FALSE)," ")</f>
        <v>0.72092862498600419</v>
      </c>
      <c r="S156" s="52">
        <f>IFERROR(VLOOKUP($A156,'The List'!$B1:$AS730,26,FALSE)," ")</f>
        <v>20.708625875120795</v>
      </c>
      <c r="T156" s="52">
        <f>IFERROR(VLOOKUP($A156,'The List'!$B1:$AS730,27,FALSE)," ")</f>
        <v>73.743033026799907</v>
      </c>
      <c r="U156" s="52">
        <f>IFERROR(VLOOKUP($A156,'The List'!$B1:$AS730,28,FALSE)," ")</f>
        <v>1.2695604966571321</v>
      </c>
      <c r="V156" s="52">
        <f>IFERROR(VLOOKUP($A156,'The List'!$B1:$AS730,29,FALSE)," ")</f>
        <v>26.635091685127115</v>
      </c>
      <c r="W156" s="52">
        <f>IFERROR(VLOOKUP($A156,'The List'!$B1:$AS730,30,FALSE)," ")</f>
        <v>3.7355430730089902</v>
      </c>
      <c r="X156" s="52">
        <f>IFERROR(VLOOKUP($A156,'The List'!$B1:$AS730,31,FALSE)," ")</f>
        <v>11.844749369219565</v>
      </c>
      <c r="Y156" s="52">
        <f>IFERROR(VLOOKUP($A156,'The List'!$B1:$AS730,32,FALSE)," ")</f>
        <v>10.555715806480981</v>
      </c>
      <c r="Z156" s="52">
        <f>IFERROR(VLOOKUP($A156,'The List'!$B1:$AS730,33,FALSE)," ")</f>
        <v>0.52877247308544495</v>
      </c>
      <c r="AA156" s="54"/>
      <c r="AB156" s="59"/>
      <c r="AC156" s="59"/>
      <c r="AD156" s="59"/>
      <c r="AE156" s="59"/>
      <c r="AF156" s="59"/>
    </row>
    <row r="157" spans="1:32" ht="21.2" customHeight="1">
      <c r="A157" s="23" t="s">
        <v>189</v>
      </c>
      <c r="B157" s="64" t="str">
        <f>IFERROR(VLOOKUP($A157,'The List'!$B1:$AS730,3,FALSE)," ")</f>
        <v>LW,RW</v>
      </c>
      <c r="C157" s="66">
        <f>IFERROR(VLOOKUP($A157,'The List'!$B1:$AS730,4,FALSE)," ")</f>
        <v>28</v>
      </c>
      <c r="D157" s="34" t="str">
        <f>IFERROR(VLOOKUP($A157,'The List'!$B1:$AS730,5,FALSE)," ")</f>
        <v>VGK</v>
      </c>
      <c r="E157" s="34">
        <f>IFERROR(VLOOKUP($A157,'The List'!$B1:$AS730,6,FALSE)," ")</f>
        <v>32</v>
      </c>
      <c r="F157" s="49">
        <f>IFERROR(VLOOKUP($A157,'The List'!$B1:$AS730,8,FALSE)," ")</f>
        <v>6.8198689629503599</v>
      </c>
      <c r="G157" s="49">
        <f>IFERROR(VLOOKUP($A157,'The List'!$B1:$AS730,10,FALSE)," ")</f>
        <v>0.53961024393927914</v>
      </c>
      <c r="H157" s="38"/>
      <c r="I157" s="52">
        <f>IFERROR(VLOOKUP($A157,'The List'!$B1:$AS730,16,FALSE)," ")</f>
        <v>82</v>
      </c>
      <c r="J157" s="52">
        <f>IFERROR(VLOOKUP($A157,'The List'!$B1:$AS730,17,FALSE)," ")</f>
        <v>17.643185033847399</v>
      </c>
      <c r="K157" s="52">
        <f>IFERROR(VLOOKUP($A157,'The List'!$B1:$AS730,18,FALSE)," ")</f>
        <v>30.07318001134178</v>
      </c>
      <c r="L157" s="52">
        <f>IFERROR(VLOOKUP($A157,'The List'!$B1:$AS730,19,FALSE)," ")</f>
        <v>35.388664160974223</v>
      </c>
      <c r="M157" s="52">
        <f>IFERROR(VLOOKUP($A157,'The List'!$B1:$AS730,20,FALSE)," ")</f>
        <v>65.461844172316006</v>
      </c>
      <c r="N157" s="52">
        <f>IFERROR(VLOOKUP($A157,'The List'!$B1:$AS730,21,FALSE)," ")</f>
        <v>267.11075431366186</v>
      </c>
      <c r="O157" s="52">
        <f>IFERROR(VLOOKUP($A157,'The List'!$B1:$AS730,22,FALSE)," ")</f>
        <v>8.9238668921770188</v>
      </c>
      <c r="P157" s="52">
        <f>IFERROR(VLOOKUP($A157,'The List'!$B1:$AS730,23,FALSE)," ")</f>
        <v>21.115300729406698</v>
      </c>
      <c r="Q157" s="52">
        <f>IFERROR(VLOOKUP($A157,'The List'!$B1:$AS730,24,FALSE)," ")</f>
        <v>6.2202599832691398E-4</v>
      </c>
      <c r="R157" s="52">
        <f>IFERROR(VLOOKUP($A157,'The List'!$B1:$AS730,25,FALSE)," ")</f>
        <v>1.0731496823202231E-3</v>
      </c>
      <c r="S157" s="52">
        <f>IFERROR(VLOOKUP($A157,'The List'!$B1:$AS730,26,FALSE)," ")</f>
        <v>20.368515655265206</v>
      </c>
      <c r="T157" s="52">
        <f>IFERROR(VLOOKUP($A157,'The List'!$B1:$AS730,27,FALSE)," ")</f>
        <v>77.295579693684587</v>
      </c>
      <c r="U157" s="52">
        <f>IFERROR(VLOOKUP($A157,'The List'!$B1:$AS730,28,FALSE)," ")</f>
        <v>5.1163759772122672</v>
      </c>
      <c r="V157" s="52">
        <f>IFERROR(VLOOKUP($A157,'The List'!$B1:$AS730,29,FALSE)," ")</f>
        <v>30.261440983775223</v>
      </c>
      <c r="W157" s="52">
        <f>IFERROR(VLOOKUP($A157,'The List'!$B1:$AS730,30,FALSE)," ")</f>
        <v>4.9147781532895998</v>
      </c>
      <c r="X157" s="52">
        <f>IFERROR(VLOOKUP($A157,'The List'!$B1:$AS730,31,FALSE)," ")</f>
        <v>31.862189118284764</v>
      </c>
      <c r="Y157" s="52">
        <f>IFERROR(VLOOKUP($A157,'The List'!$B1:$AS730,32,FALSE)," ")</f>
        <v>45.339689194368141</v>
      </c>
      <c r="Z157" s="52">
        <f>IFERROR(VLOOKUP($A157,'The List'!$B1:$AS730,33,FALSE)," ")</f>
        <v>0.41271261547871901</v>
      </c>
      <c r="AA157" s="54"/>
      <c r="AB157" s="59"/>
      <c r="AC157" s="59"/>
      <c r="AD157" s="59"/>
      <c r="AE157" s="59"/>
      <c r="AF157" s="59"/>
    </row>
    <row r="158" spans="1:32" ht="21.2" customHeight="1">
      <c r="A158" s="23"/>
      <c r="B158" s="64" t="str">
        <f>IFERROR(VLOOKUP($A158,'The List'!$B1:$AS730,3,FALSE)," ")</f>
        <v xml:space="preserve"> </v>
      </c>
      <c r="C158" s="66" t="str">
        <f>IFERROR(VLOOKUP($A158,'The List'!$B1:$AS730,4,FALSE)," ")</f>
        <v xml:space="preserve"> </v>
      </c>
      <c r="D158" s="34" t="str">
        <f>IFERROR(VLOOKUP($A158,'The List'!$B1:$AS730,5,FALSE)," ")</f>
        <v xml:space="preserve"> </v>
      </c>
      <c r="E158" s="34" t="str">
        <f>IFERROR(VLOOKUP($A158,'The List'!$B1:$AS730,6,FALSE)," ")</f>
        <v xml:space="preserve"> </v>
      </c>
      <c r="F158" s="49" t="str">
        <f>IFERROR(VLOOKUP($A158,'The List'!$B1:$AS730,8,FALSE)," ")</f>
        <v xml:space="preserve"> </v>
      </c>
      <c r="G158" s="49" t="str">
        <f>IFERROR(VLOOKUP($A158,'The List'!$B1:$AS730,10,FALSE)," ")</f>
        <v xml:space="preserve"> </v>
      </c>
      <c r="H158" s="38"/>
      <c r="I158" s="52" t="str">
        <f>IFERROR(VLOOKUP($A158,'The List'!$B1:$AS730,16,FALSE)," ")</f>
        <v xml:space="preserve"> </v>
      </c>
      <c r="J158" s="52" t="str">
        <f>IFERROR(VLOOKUP($A158,'The List'!$B1:$AS730,17,FALSE)," ")</f>
        <v xml:space="preserve"> </v>
      </c>
      <c r="K158" s="52" t="str">
        <f>IFERROR(VLOOKUP($A158,'The List'!$B1:$AS730,18,FALSE)," ")</f>
        <v xml:space="preserve"> </v>
      </c>
      <c r="L158" s="52" t="str">
        <f>IFERROR(VLOOKUP($A158,'The List'!$B1:$AS730,19,FALSE)," ")</f>
        <v xml:space="preserve"> </v>
      </c>
      <c r="M158" s="52" t="str">
        <f>IFERROR(VLOOKUP($A158,'The List'!$B1:$AS730,20,FALSE)," ")</f>
        <v xml:space="preserve"> </v>
      </c>
      <c r="N158" s="52" t="str">
        <f>IFERROR(VLOOKUP($A158,'The List'!$B1:$AS730,21,FALSE)," ")</f>
        <v xml:space="preserve"> </v>
      </c>
      <c r="O158" s="52" t="str">
        <f>IFERROR(VLOOKUP($A158,'The List'!$B1:$AS730,22,FALSE)," ")</f>
        <v xml:space="preserve"> </v>
      </c>
      <c r="P158" s="52" t="str">
        <f>IFERROR(VLOOKUP($A158,'The List'!$B1:$AS730,23,FALSE)," ")</f>
        <v xml:space="preserve"> </v>
      </c>
      <c r="Q158" s="52" t="str">
        <f>IFERROR(VLOOKUP($A158,'The List'!$B1:$AS730,24,FALSE)," ")</f>
        <v xml:space="preserve"> </v>
      </c>
      <c r="R158" s="52" t="str">
        <f>IFERROR(VLOOKUP($A158,'The List'!$B1:$AS730,25,FALSE)," ")</f>
        <v xml:space="preserve"> </v>
      </c>
      <c r="S158" s="52" t="str">
        <f>IFERROR(VLOOKUP($A158,'The List'!$B1:$AS730,26,FALSE)," ")</f>
        <v xml:space="preserve"> </v>
      </c>
      <c r="T158" s="52" t="str">
        <f>IFERROR(VLOOKUP($A158,'The List'!$B1:$AS730,27,FALSE)," ")</f>
        <v xml:space="preserve"> </v>
      </c>
      <c r="U158" s="52" t="str">
        <f>IFERROR(VLOOKUP($A158,'The List'!$B1:$AS730,28,FALSE)," ")</f>
        <v xml:space="preserve"> </v>
      </c>
      <c r="V158" s="52" t="str">
        <f>IFERROR(VLOOKUP($A158,'The List'!$B1:$AS730,29,FALSE)," ")</f>
        <v xml:space="preserve"> </v>
      </c>
      <c r="W158" s="52" t="str">
        <f>IFERROR(VLOOKUP($A158,'The List'!$B1:$AS730,30,FALSE)," ")</f>
        <v xml:space="preserve"> </v>
      </c>
      <c r="X158" s="52" t="str">
        <f>IFERROR(VLOOKUP($A158,'The List'!$B1:$AS730,31,FALSE)," ")</f>
        <v xml:space="preserve"> </v>
      </c>
      <c r="Y158" s="52" t="str">
        <f>IFERROR(VLOOKUP($A158,'The List'!$B1:$AS730,32,FALSE)," ")</f>
        <v xml:space="preserve"> </v>
      </c>
      <c r="Z158" s="52" t="str">
        <f>IFERROR(VLOOKUP($A158,'The List'!$B1:$AS730,33,FALSE)," ")</f>
        <v xml:space="preserve"> </v>
      </c>
      <c r="AA158" s="54"/>
      <c r="AB158" s="59"/>
      <c r="AC158" s="59"/>
      <c r="AD158" s="59"/>
      <c r="AE158" s="59"/>
      <c r="AF158" s="59"/>
    </row>
    <row r="159" spans="1:32" ht="21.2" customHeight="1">
      <c r="A159" s="23" t="s">
        <v>226</v>
      </c>
      <c r="B159" s="67" t="str">
        <f>IFERROR(VLOOKUP($A159,'The List'!$B1:$AS730,3,FALSE)," ")</f>
        <v>D</v>
      </c>
      <c r="C159" s="69">
        <f>IFERROR(VLOOKUP($A159,'The List'!$B1:$AS730,4,FALSE)," ")</f>
        <v>29</v>
      </c>
      <c r="D159" s="34" t="str">
        <f>IFERROR(VLOOKUP($A159,'The List'!$B1:$AS730,5,FALSE)," ")</f>
        <v>OTT</v>
      </c>
      <c r="E159" s="34">
        <f>IFERROR(VLOOKUP($A159,'The List'!$B1:$AS730,6,FALSE)," ")</f>
        <v>25</v>
      </c>
      <c r="F159" s="49">
        <f>IFERROR(VLOOKUP($A159,'The List'!$B1:$AS730,8,FALSE)," ")</f>
        <v>2.5990839610045353</v>
      </c>
      <c r="G159" s="49">
        <f>IFERROR(VLOOKUP($A159,'The List'!$B1:$AS730,10,FALSE)," ")</f>
        <v>0.65734341737022461</v>
      </c>
      <c r="H159" s="38"/>
      <c r="I159" s="52">
        <f>IFERROR(VLOOKUP($A159,'The List'!$B1:$AS730,16,FALSE)," ")</f>
        <v>82</v>
      </c>
      <c r="J159" s="52">
        <f>IFERROR(VLOOKUP($A159,'The List'!$B1:$AS730,17,FALSE)," ")</f>
        <v>22.2429457520326</v>
      </c>
      <c r="K159" s="52">
        <f>IFERROR(VLOOKUP($A159,'The List'!$B1:$AS730,18,FALSE)," ")</f>
        <v>15.238180322567569</v>
      </c>
      <c r="L159" s="52">
        <f>IFERROR(VLOOKUP($A159,'The List'!$B1:$AS730,19,FALSE)," ")</f>
        <v>33.762905815874007</v>
      </c>
      <c r="M159" s="52">
        <f>IFERROR(VLOOKUP($A159,'The List'!$B1:$AS730,20,FALSE)," ")</f>
        <v>49.001086138441579</v>
      </c>
      <c r="N159" s="52">
        <f>IFERROR(VLOOKUP($A159,'The List'!$B1:$AS730,21,FALSE)," ")</f>
        <v>222.12006951911962</v>
      </c>
      <c r="O159" s="52">
        <f>IFERROR(VLOOKUP($A159,'The List'!$B1:$AS730,22,FALSE)," ")</f>
        <v>3.753396076445803</v>
      </c>
      <c r="P159" s="52">
        <f>IFERROR(VLOOKUP($A159,'The List'!$B1:$AS730,23,FALSE)," ")</f>
        <v>9.1355428309890812</v>
      </c>
      <c r="Q159" s="52">
        <f>IFERROR(VLOOKUP($A159,'The List'!$B1:$AS730,24,FALSE)," ")</f>
        <v>4.380141739433533E-2</v>
      </c>
      <c r="R159" s="52">
        <f>IFERROR(VLOOKUP($A159,'The List'!$B1:$AS730,25,FALSE)," ")</f>
        <v>0.21891871389801199</v>
      </c>
      <c r="S159" s="52">
        <f>IFERROR(VLOOKUP($A159,'The List'!$B1:$AS730,26,FALSE)," ")</f>
        <v>128.86391809648273</v>
      </c>
      <c r="T159" s="52">
        <f>IFERROR(VLOOKUP($A159,'The List'!$B1:$AS730,27,FALSE)," ")</f>
        <v>90.453582771370378</v>
      </c>
      <c r="U159" s="52">
        <f>IFERROR(VLOOKUP($A159,'The List'!$B1:$AS730,28,FALSE)," ")</f>
        <v>1.6286740147700212</v>
      </c>
      <c r="V159" s="52">
        <f>IFERROR(VLOOKUP($A159,'The List'!$B1:$AS730,29,FALSE)," ")</f>
        <v>54.45853556639252</v>
      </c>
      <c r="W159" s="52">
        <f>IFERROR(VLOOKUP($A159,'The List'!$B1:$AS730,30,FALSE)," ")</f>
        <v>2.2916075861725891</v>
      </c>
      <c r="X159" s="52">
        <f>IFERROR(VLOOKUP($A159,'The List'!$B1:$AS730,31,FALSE)," ")</f>
        <v>0</v>
      </c>
      <c r="Y159" s="52">
        <f>IFERROR(VLOOKUP($A159,'The List'!$B1:$AS730,32,FALSE)," ")</f>
        <v>0</v>
      </c>
      <c r="Z159" s="52">
        <f>IFERROR(VLOOKUP($A159,'The List'!$B1:$AS730,33,FALSE)," ")</f>
        <v>0</v>
      </c>
      <c r="AA159" s="54"/>
      <c r="AB159" s="59"/>
      <c r="AC159" s="59"/>
      <c r="AD159" s="59"/>
      <c r="AE159" s="59"/>
      <c r="AF159" s="59"/>
    </row>
    <row r="160" spans="1:32" ht="21.2" customHeight="1">
      <c r="A160" s="23" t="s">
        <v>210</v>
      </c>
      <c r="B160" s="67" t="str">
        <f>IFERROR(VLOOKUP($A160,'The List'!$B1:$AS730,3,FALSE)," ")</f>
        <v>D</v>
      </c>
      <c r="C160" s="69">
        <f>IFERROR(VLOOKUP($A160,'The List'!$B1:$AS730,4,FALSE)," ")</f>
        <v>37</v>
      </c>
      <c r="D160" s="34" t="str">
        <f>IFERROR(VLOOKUP($A160,'The List'!$B1:$AS730,5,FALSE)," ")</f>
        <v>STL</v>
      </c>
      <c r="E160" s="34">
        <f>IFERROR(VLOOKUP($A160,'The List'!$B1:$AS730,6,FALSE)," ")</f>
        <v>31</v>
      </c>
      <c r="F160" s="49">
        <f>IFERROR(VLOOKUP($A160,'The List'!$B1:$AS730,8,FALSE)," ")</f>
        <v>1.8653500083398147</v>
      </c>
      <c r="G160" s="49">
        <f>IFERROR(VLOOKUP($A160,'The List'!$B1:$AS730,10,FALSE)," ")</f>
        <v>-7.639053529449602E-2</v>
      </c>
      <c r="H160" s="38"/>
      <c r="I160" s="52">
        <f>IFERROR(VLOOKUP($A160,'The List'!$B1:$AS730,16,FALSE)," ")</f>
        <v>82</v>
      </c>
      <c r="J160" s="52">
        <f>IFERROR(VLOOKUP($A160,'The List'!$B1:$AS730,17,FALSE)," ")</f>
        <v>23.5112300495427</v>
      </c>
      <c r="K160" s="52">
        <f>IFERROR(VLOOKUP($A160,'The List'!$B1:$AS730,18,FALSE)," ")</f>
        <v>12.345763244201112</v>
      </c>
      <c r="L160" s="52">
        <f>IFERROR(VLOOKUP($A160,'The List'!$B1:$AS730,19,FALSE)," ")</f>
        <v>34.460234933529904</v>
      </c>
      <c r="M160" s="52">
        <f>IFERROR(VLOOKUP($A160,'The List'!$B1:$AS730,20,FALSE)," ")</f>
        <v>46.805998177731013</v>
      </c>
      <c r="N160" s="52">
        <f>IFERROR(VLOOKUP($A160,'The List'!$B1:$AS730,21,FALSE)," ")</f>
        <v>187.63255083911315</v>
      </c>
      <c r="O160" s="52">
        <f>IFERROR(VLOOKUP($A160,'The List'!$B1:$AS730,22,FALSE)," ")</f>
        <v>1.9334752506293225</v>
      </c>
      <c r="P160" s="52">
        <f>IFERROR(VLOOKUP($A160,'The List'!$B1:$AS730,23,FALSE)," ")</f>
        <v>10.81615598910879</v>
      </c>
      <c r="Q160" s="52">
        <f>IFERROR(VLOOKUP($A160,'The List'!$B1:$AS730,24,FALSE)," ")</f>
        <v>-1.4657213465828798E-2</v>
      </c>
      <c r="R160" s="52">
        <f>IFERROR(VLOOKUP($A160,'The List'!$B1:$AS730,25,FALSE)," ")</f>
        <v>0.15988208766584674</v>
      </c>
      <c r="S160" s="52">
        <f>IFERROR(VLOOKUP($A160,'The List'!$B1:$AS730,26,FALSE)," ")</f>
        <v>132.89113632796412</v>
      </c>
      <c r="T160" s="52">
        <f>IFERROR(VLOOKUP($A160,'The List'!$B1:$AS730,27,FALSE)," ")</f>
        <v>121.14705301075072</v>
      </c>
      <c r="U160" s="52">
        <f>IFERROR(VLOOKUP($A160,'The List'!$B1:$AS730,28,FALSE)," ")</f>
        <v>-4.2064971100464001</v>
      </c>
      <c r="V160" s="52">
        <f>IFERROR(VLOOKUP($A160,'The List'!$B1:$AS730,29,FALSE)," ")</f>
        <v>39.205138849724896</v>
      </c>
      <c r="W160" s="52">
        <f>IFERROR(VLOOKUP($A160,'The List'!$B1:$AS730,30,FALSE)," ")</f>
        <v>1.4206607009880114</v>
      </c>
      <c r="X160" s="52">
        <f>IFERROR(VLOOKUP($A160,'The List'!$B1:$AS730,31,FALSE)," ")</f>
        <v>0</v>
      </c>
      <c r="Y160" s="52">
        <f>IFERROR(VLOOKUP($A160,'The List'!$B1:$AS730,32,FALSE)," ")</f>
        <v>0</v>
      </c>
      <c r="Z160" s="52">
        <f>IFERROR(VLOOKUP($A160,'The List'!$B1:$AS730,33,FALSE)," ")</f>
        <v>0</v>
      </c>
      <c r="AA160" s="54"/>
      <c r="AB160" s="59"/>
      <c r="AC160" s="59"/>
      <c r="AD160" s="59"/>
      <c r="AE160" s="59"/>
      <c r="AF160" s="59"/>
    </row>
    <row r="161" spans="1:32" ht="21.2" customHeight="1">
      <c r="A161" s="23" t="s">
        <v>273</v>
      </c>
      <c r="B161" s="67" t="str">
        <f>IFERROR(VLOOKUP($A161,'The List'!$B1:$AS730,3,FALSE)," ")</f>
        <v>D</v>
      </c>
      <c r="C161" s="69">
        <f>IFERROR(VLOOKUP($A161,'The List'!$B1:$AS730,4,FALSE)," ")</f>
        <v>33</v>
      </c>
      <c r="D161" s="34" t="str">
        <f>IFERROR(VLOOKUP($A161,'The List'!$B1:$AS730,5,FALSE)," ")</f>
        <v>FLA</v>
      </c>
      <c r="E161" s="34">
        <f>IFERROR(VLOOKUP($A161,'The List'!$B1:$AS730,6,FALSE)," ")</f>
        <v>27</v>
      </c>
      <c r="F161" s="49">
        <f>IFERROR(VLOOKUP($A161,'The List'!$B1:$AS730,8,FALSE)," ")</f>
        <v>1.9666695015994498</v>
      </c>
      <c r="G161" s="49">
        <f>IFERROR(VLOOKUP($A161,'The List'!$B1:$AS730,10,FALSE)," ")</f>
        <v>2.4928957965139054E-2</v>
      </c>
      <c r="H161" s="38"/>
      <c r="I161" s="52">
        <f>IFERROR(VLOOKUP($A161,'The List'!$B1:$AS730,16,FALSE)," ")</f>
        <v>82</v>
      </c>
      <c r="J161" s="52">
        <f>IFERROR(VLOOKUP($A161,'The List'!$B1:$AS730,17,FALSE)," ")</f>
        <v>21.598563653759399</v>
      </c>
      <c r="K161" s="52">
        <f>IFERROR(VLOOKUP($A161,'The List'!$B1:$AS730,18,FALSE)," ")</f>
        <v>14.130641032273523</v>
      </c>
      <c r="L161" s="52">
        <f>IFERROR(VLOOKUP($A161,'The List'!$B1:$AS730,19,FALSE)," ")</f>
        <v>29.47182169372277</v>
      </c>
      <c r="M161" s="52">
        <f>IFERROR(VLOOKUP($A161,'The List'!$B1:$AS730,20,FALSE)," ")</f>
        <v>43.60246272599629</v>
      </c>
      <c r="N161" s="52">
        <f>IFERROR(VLOOKUP($A161,'The List'!$B1:$AS730,21,FALSE)," ")</f>
        <v>203.37869466996409</v>
      </c>
      <c r="O161" s="52">
        <f>IFERROR(VLOOKUP($A161,'The List'!$B1:$AS730,22,FALSE)," ")</f>
        <v>4.2561646284993371</v>
      </c>
      <c r="P161" s="52">
        <f>IFERROR(VLOOKUP($A161,'The List'!$B1:$AS730,23,FALSE)," ")</f>
        <v>12.50593667348754</v>
      </c>
      <c r="Q161" s="52">
        <f>IFERROR(VLOOKUP($A161,'The List'!$B1:$AS730,24,FALSE)," ")</f>
        <v>0.5362316943881934</v>
      </c>
      <c r="R161" s="52">
        <f>IFERROR(VLOOKUP($A161,'The List'!$B1:$AS730,25,FALSE)," ")</f>
        <v>1.5912656668542566</v>
      </c>
      <c r="S161" s="52">
        <f>IFERROR(VLOOKUP($A161,'The List'!$B1:$AS730,26,FALSE)," ")</f>
        <v>97.996258298846485</v>
      </c>
      <c r="T161" s="52">
        <f>IFERROR(VLOOKUP($A161,'The List'!$B1:$AS730,27,FALSE)," ")</f>
        <v>91.415420321816271</v>
      </c>
      <c r="U161" s="52">
        <f>IFERROR(VLOOKUP($A161,'The List'!$B1:$AS730,28,FALSE)," ")</f>
        <v>2.6197738979397132</v>
      </c>
      <c r="V161" s="52">
        <f>IFERROR(VLOOKUP($A161,'The List'!$B1:$AS730,29,FALSE)," ")</f>
        <v>50.933504351348695</v>
      </c>
      <c r="W161" s="52">
        <f>IFERROR(VLOOKUP($A161,'The List'!$B1:$AS730,30,FALSE)," ")</f>
        <v>2.0270726878282312</v>
      </c>
      <c r="X161" s="52">
        <f>IFERROR(VLOOKUP($A161,'The List'!$B1:$AS730,31,FALSE)," ")</f>
        <v>0</v>
      </c>
      <c r="Y161" s="52">
        <f>IFERROR(VLOOKUP($A161,'The List'!$B1:$AS730,32,FALSE)," ")</f>
        <v>0</v>
      </c>
      <c r="Z161" s="52">
        <f>IFERROR(VLOOKUP($A161,'The List'!$B1:$AS730,33,FALSE)," ")</f>
        <v>0</v>
      </c>
      <c r="AA161" s="54"/>
      <c r="AB161" s="59"/>
      <c r="AC161" s="59"/>
      <c r="AD161" s="59"/>
      <c r="AE161" s="59"/>
      <c r="AF161" s="59"/>
    </row>
    <row r="162" spans="1:32" ht="21.2" customHeight="1">
      <c r="A162" s="23" t="s">
        <v>270</v>
      </c>
      <c r="B162" s="67" t="str">
        <f>IFERROR(VLOOKUP($A162,'The List'!$B1:$AS730,3,FALSE)," ")</f>
        <v>D</v>
      </c>
      <c r="C162" s="69">
        <f>IFERROR(VLOOKUP($A162,'The List'!$B1:$AS730,4,FALSE)," ")</f>
        <v>46</v>
      </c>
      <c r="D162" s="34" t="str">
        <f>IFERROR(VLOOKUP($A162,'The List'!$B1:$AS730,5,FALSE)," ")</f>
        <v>NSH</v>
      </c>
      <c r="E162" s="34">
        <f>IFERROR(VLOOKUP($A162,'The List'!$B1:$AS730,6,FALSE)," ")</f>
        <v>32</v>
      </c>
      <c r="F162" s="49">
        <f>IFERROR(VLOOKUP($A162,'The List'!$B1:$AS730,8,FALSE)," ")</f>
        <v>0.21062205227623376</v>
      </c>
      <c r="G162" s="49">
        <f>IFERROR(VLOOKUP($A162,'The List'!$B1:$AS730,10,FALSE)," ")</f>
        <v>-1.7311184913580768</v>
      </c>
      <c r="H162" s="38"/>
      <c r="I162" s="52">
        <f>IFERROR(VLOOKUP($A162,'The List'!$B1:$AS730,16,FALSE)," ")</f>
        <v>82</v>
      </c>
      <c r="J162" s="52">
        <f>IFERROR(VLOOKUP($A162,'The List'!$B1:$AS730,17,FALSE)," ")</f>
        <v>18.225764967494701</v>
      </c>
      <c r="K162" s="52">
        <f>IFERROR(VLOOKUP($A162,'The List'!$B1:$AS730,18,FALSE)," ")</f>
        <v>7.5629945977648836</v>
      </c>
      <c r="L162" s="52">
        <f>IFERROR(VLOOKUP($A162,'The List'!$B1:$AS730,19,FALSE)," ")</f>
        <v>28.921896044269371</v>
      </c>
      <c r="M162" s="52">
        <f>IFERROR(VLOOKUP($A162,'The List'!$B1:$AS730,20,FALSE)," ")</f>
        <v>36.484890642034252</v>
      </c>
      <c r="N162" s="52">
        <f>IFERROR(VLOOKUP($A162,'The List'!$B1:$AS730,21,FALSE)," ")</f>
        <v>141.73763615270127</v>
      </c>
      <c r="O162" s="52">
        <f>IFERROR(VLOOKUP($A162,'The List'!$B1:$AS730,22,FALSE)," ")</f>
        <v>2.1092497189382908</v>
      </c>
      <c r="P162" s="52">
        <f>IFERROR(VLOOKUP($A162,'The List'!$B1:$AS730,23,FALSE)," ")</f>
        <v>15.116132093338722</v>
      </c>
      <c r="Q162" s="52">
        <f>IFERROR(VLOOKUP($A162,'The List'!$B1:$AS730,24,FALSE)," ")</f>
        <v>6.1008406636791409E-3</v>
      </c>
      <c r="R162" s="52">
        <f>IFERROR(VLOOKUP($A162,'The List'!$B1:$AS730,25,FALSE)," ")</f>
        <v>0.38450630659164176</v>
      </c>
      <c r="S162" s="52">
        <f>IFERROR(VLOOKUP($A162,'The List'!$B1:$AS730,26,FALSE)," ")</f>
        <v>84.74092304969345</v>
      </c>
      <c r="T162" s="52">
        <f>IFERROR(VLOOKUP($A162,'The List'!$B1:$AS730,27,FALSE)," ")</f>
        <v>60.009785872465287</v>
      </c>
      <c r="U162" s="52">
        <f>IFERROR(VLOOKUP($A162,'The List'!$B1:$AS730,28,FALSE)," ")</f>
        <v>-1.7249603910377427</v>
      </c>
      <c r="V162" s="52">
        <f>IFERROR(VLOOKUP($A162,'The List'!$B1:$AS730,29,FALSE)," ")</f>
        <v>26.154063360320706</v>
      </c>
      <c r="W162" s="52">
        <f>IFERROR(VLOOKUP($A162,'The List'!$B1:$AS730,30,FALSE)," ")</f>
        <v>1.1043950144190888</v>
      </c>
      <c r="X162" s="52">
        <f>IFERROR(VLOOKUP($A162,'The List'!$B1:$AS730,31,FALSE)," ")</f>
        <v>0</v>
      </c>
      <c r="Y162" s="52">
        <f>IFERROR(VLOOKUP($A162,'The List'!$B1:$AS730,32,FALSE)," ")</f>
        <v>0</v>
      </c>
      <c r="Z162" s="52">
        <f>IFERROR(VLOOKUP($A162,'The List'!$B1:$AS730,33,FALSE)," ")</f>
        <v>0</v>
      </c>
      <c r="AA162" s="54"/>
      <c r="AB162" s="59"/>
      <c r="AC162" s="59"/>
      <c r="AD162" s="59"/>
      <c r="AE162" s="59"/>
      <c r="AF162" s="59"/>
    </row>
    <row r="163" spans="1:32" ht="21.2" customHeight="1">
      <c r="A163" s="23"/>
      <c r="B163" s="67" t="str">
        <f>IFERROR(VLOOKUP($A163,'The List'!$B1:$AS730,3,FALSE)," ")</f>
        <v xml:space="preserve"> </v>
      </c>
      <c r="C163" s="69" t="str">
        <f>IFERROR(VLOOKUP($A163,'The List'!$B1:$AS730,4,FALSE)," ")</f>
        <v xml:space="preserve"> </v>
      </c>
      <c r="D163" s="34" t="str">
        <f>IFERROR(VLOOKUP($A163,'The List'!$B1:$AS730,5,FALSE)," ")</f>
        <v xml:space="preserve"> </v>
      </c>
      <c r="E163" s="34" t="str">
        <f>IFERROR(VLOOKUP($A163,'The List'!$B1:$AS730,6,FALSE)," ")</f>
        <v xml:space="preserve"> </v>
      </c>
      <c r="F163" s="49" t="str">
        <f>IFERROR(VLOOKUP($A163,'The List'!$B1:$AS730,8,FALSE)," ")</f>
        <v xml:space="preserve"> </v>
      </c>
      <c r="G163" s="49" t="str">
        <f>IFERROR(VLOOKUP($A163,'The List'!$B1:$AS730,10,FALSE)," ")</f>
        <v xml:space="preserve"> </v>
      </c>
      <c r="H163" s="38"/>
      <c r="I163" s="52" t="str">
        <f>IFERROR(VLOOKUP($A163,'The List'!$B1:$AS730,16,FALSE)," ")</f>
        <v xml:space="preserve"> </v>
      </c>
      <c r="J163" s="52" t="str">
        <f>IFERROR(VLOOKUP($A163,'The List'!$B1:$AS730,17,FALSE)," ")</f>
        <v xml:space="preserve"> </v>
      </c>
      <c r="K163" s="52" t="str">
        <f>IFERROR(VLOOKUP($A163,'The List'!$B1:$AS730,18,FALSE)," ")</f>
        <v xml:space="preserve"> </v>
      </c>
      <c r="L163" s="52" t="str">
        <f>IFERROR(VLOOKUP($A163,'The List'!$B1:$AS730,19,FALSE)," ")</f>
        <v xml:space="preserve"> </v>
      </c>
      <c r="M163" s="52" t="str">
        <f>IFERROR(VLOOKUP($A163,'The List'!$B1:$AS730,20,FALSE)," ")</f>
        <v xml:space="preserve"> </v>
      </c>
      <c r="N163" s="52" t="str">
        <f>IFERROR(VLOOKUP($A163,'The List'!$B1:$AS730,21,FALSE)," ")</f>
        <v xml:space="preserve"> </v>
      </c>
      <c r="O163" s="52" t="str">
        <f>IFERROR(VLOOKUP($A163,'The List'!$B1:$AS730,22,FALSE)," ")</f>
        <v xml:space="preserve"> </v>
      </c>
      <c r="P163" s="52" t="str">
        <f>IFERROR(VLOOKUP($A163,'The List'!$B1:$AS730,23,FALSE)," ")</f>
        <v xml:space="preserve"> </v>
      </c>
      <c r="Q163" s="52" t="str">
        <f>IFERROR(VLOOKUP($A163,'The List'!$B1:$AS730,24,FALSE)," ")</f>
        <v xml:space="preserve"> </v>
      </c>
      <c r="R163" s="52" t="str">
        <f>IFERROR(VLOOKUP($A163,'The List'!$B1:$AS730,25,FALSE)," ")</f>
        <v xml:space="preserve"> </v>
      </c>
      <c r="S163" s="52" t="str">
        <f>IFERROR(VLOOKUP($A163,'The List'!$B1:$AS730,26,FALSE)," ")</f>
        <v xml:space="preserve"> </v>
      </c>
      <c r="T163" s="52" t="str">
        <f>IFERROR(VLOOKUP($A163,'The List'!$B1:$AS730,27,FALSE)," ")</f>
        <v xml:space="preserve"> </v>
      </c>
      <c r="U163" s="52" t="str">
        <f>IFERROR(VLOOKUP($A163,'The List'!$B1:$AS730,28,FALSE)," ")</f>
        <v xml:space="preserve"> </v>
      </c>
      <c r="V163" s="52" t="str">
        <f>IFERROR(VLOOKUP($A163,'The List'!$B1:$AS730,29,FALSE)," ")</f>
        <v xml:space="preserve"> </v>
      </c>
      <c r="W163" s="52" t="str">
        <f>IFERROR(VLOOKUP($A163,'The List'!$B1:$AS730,30,FALSE)," ")</f>
        <v xml:space="preserve"> </v>
      </c>
      <c r="X163" s="52" t="str">
        <f>IFERROR(VLOOKUP($A163,'The List'!$B1:$AS730,31,FALSE)," ")</f>
        <v xml:space="preserve"> </v>
      </c>
      <c r="Y163" s="52" t="str">
        <f>IFERROR(VLOOKUP($A163,'The List'!$B1:$AS730,32,FALSE)," ")</f>
        <v xml:space="preserve"> </v>
      </c>
      <c r="Z163" s="52" t="str">
        <f>IFERROR(VLOOKUP($A163,'The List'!$B1:$AS730,33,FALSE)," ")</f>
        <v xml:space="preserve"> </v>
      </c>
      <c r="AA163" s="54"/>
      <c r="AB163" s="59"/>
      <c r="AC163" s="59"/>
      <c r="AD163" s="59"/>
      <c r="AE163" s="59"/>
      <c r="AF163" s="59"/>
    </row>
    <row r="164" spans="1:32" ht="21.2" customHeight="1">
      <c r="A164" s="23"/>
      <c r="B164" s="67" t="str">
        <f>IFERROR(VLOOKUP($A164,'The List'!$B1:$AS730,3,FALSE)," ")</f>
        <v xml:space="preserve"> </v>
      </c>
      <c r="C164" s="69" t="str">
        <f>IFERROR(VLOOKUP($A164,'The List'!$B1:$AS730,4,FALSE)," ")</f>
        <v xml:space="preserve"> </v>
      </c>
      <c r="D164" s="34" t="str">
        <f>IFERROR(VLOOKUP($A164,'The List'!$B1:$AS730,5,FALSE)," ")</f>
        <v xml:space="preserve"> </v>
      </c>
      <c r="E164" s="34" t="str">
        <f>IFERROR(VLOOKUP($A164,'The List'!$B1:$AS730,6,FALSE)," ")</f>
        <v xml:space="preserve"> </v>
      </c>
      <c r="F164" s="49" t="str">
        <f>IFERROR(VLOOKUP($A164,'The List'!$B1:$AS730,8,FALSE)," ")</f>
        <v xml:space="preserve"> </v>
      </c>
      <c r="G164" s="49" t="str">
        <f>IFERROR(VLOOKUP($A164,'The List'!$B1:$AS730,10,FALSE)," ")</f>
        <v xml:space="preserve"> </v>
      </c>
      <c r="H164" s="38"/>
      <c r="I164" s="52" t="str">
        <f>IFERROR(VLOOKUP($A164,'The List'!$B1:$AS730,16,FALSE)," ")</f>
        <v xml:space="preserve"> </v>
      </c>
      <c r="J164" s="52" t="str">
        <f>IFERROR(VLOOKUP($A164,'The List'!$B1:$AS730,17,FALSE)," ")</f>
        <v xml:space="preserve"> </v>
      </c>
      <c r="K164" s="52" t="str">
        <f>IFERROR(VLOOKUP($A164,'The List'!$B1:$AS730,18,FALSE)," ")</f>
        <v xml:space="preserve"> </v>
      </c>
      <c r="L164" s="52" t="str">
        <f>IFERROR(VLOOKUP($A164,'The List'!$B1:$AS730,19,FALSE)," ")</f>
        <v xml:space="preserve"> </v>
      </c>
      <c r="M164" s="52" t="str">
        <f>IFERROR(VLOOKUP($A164,'The List'!$B1:$AS730,20,FALSE)," ")</f>
        <v xml:space="preserve"> </v>
      </c>
      <c r="N164" s="52" t="str">
        <f>IFERROR(VLOOKUP($A164,'The List'!$B1:$AS730,21,FALSE)," ")</f>
        <v xml:space="preserve"> </v>
      </c>
      <c r="O164" s="52" t="str">
        <f>IFERROR(VLOOKUP($A164,'The List'!$B1:$AS730,22,FALSE)," ")</f>
        <v xml:space="preserve"> </v>
      </c>
      <c r="P164" s="52" t="str">
        <f>IFERROR(VLOOKUP($A164,'The List'!$B1:$AS730,23,FALSE)," ")</f>
        <v xml:space="preserve"> </v>
      </c>
      <c r="Q164" s="52" t="str">
        <f>IFERROR(VLOOKUP($A164,'The List'!$B1:$AS730,24,FALSE)," ")</f>
        <v xml:space="preserve"> </v>
      </c>
      <c r="R164" s="52" t="str">
        <f>IFERROR(VLOOKUP($A164,'The List'!$B1:$AS730,25,FALSE)," ")</f>
        <v xml:space="preserve"> </v>
      </c>
      <c r="S164" s="52" t="str">
        <f>IFERROR(VLOOKUP($A164,'The List'!$B1:$AS730,26,FALSE)," ")</f>
        <v xml:space="preserve"> </v>
      </c>
      <c r="T164" s="52" t="str">
        <f>IFERROR(VLOOKUP($A164,'The List'!$B1:$AS730,27,FALSE)," ")</f>
        <v xml:space="preserve"> </v>
      </c>
      <c r="U164" s="52" t="str">
        <f>IFERROR(VLOOKUP($A164,'The List'!$B1:$AS730,28,FALSE)," ")</f>
        <v xml:space="preserve"> </v>
      </c>
      <c r="V164" s="52" t="str">
        <f>IFERROR(VLOOKUP($A164,'The List'!$B1:$AS730,29,FALSE)," ")</f>
        <v xml:space="preserve"> </v>
      </c>
      <c r="W164" s="52" t="str">
        <f>IFERROR(VLOOKUP($A164,'The List'!$B1:$AS730,30,FALSE)," ")</f>
        <v xml:space="preserve"> </v>
      </c>
      <c r="X164" s="52" t="str">
        <f>IFERROR(VLOOKUP($A164,'The List'!$B1:$AS730,31,FALSE)," ")</f>
        <v xml:space="preserve"> </v>
      </c>
      <c r="Y164" s="52" t="str">
        <f>IFERROR(VLOOKUP($A164,'The List'!$B1:$AS730,32,FALSE)," ")</f>
        <v xml:space="preserve"> </v>
      </c>
      <c r="Z164" s="52" t="str">
        <f>IFERROR(VLOOKUP($A164,'The List'!$B1:$AS730,33,FALSE)," ")</f>
        <v xml:space="preserve"> </v>
      </c>
      <c r="AA164" s="54"/>
      <c r="AB164" s="59"/>
      <c r="AC164" s="59"/>
      <c r="AD164" s="59"/>
      <c r="AE164" s="59"/>
      <c r="AF164" s="59"/>
    </row>
    <row r="165" spans="1:32" ht="21.2" customHeight="1">
      <c r="A165" s="23"/>
      <c r="B165" s="67" t="str">
        <f>IFERROR(VLOOKUP($A165,'The List'!$B1:$AS730,3,FALSE)," ")</f>
        <v xml:space="preserve"> </v>
      </c>
      <c r="C165" s="69" t="str">
        <f>IFERROR(VLOOKUP($A165,'The List'!$B1:$AS730,4,FALSE)," ")</f>
        <v xml:space="preserve"> </v>
      </c>
      <c r="D165" s="34" t="str">
        <f>IFERROR(VLOOKUP($A165,'The List'!$B1:$AS730,5,FALSE)," ")</f>
        <v xml:space="preserve"> </v>
      </c>
      <c r="E165" s="34" t="str">
        <f>IFERROR(VLOOKUP($A165,'The List'!$B1:$AS730,6,FALSE)," ")</f>
        <v xml:space="preserve"> </v>
      </c>
      <c r="F165" s="49" t="str">
        <f>IFERROR(VLOOKUP($A165,'The List'!$B1:$AS730,8,FALSE)," ")</f>
        <v xml:space="preserve"> </v>
      </c>
      <c r="G165" s="49" t="str">
        <f>IFERROR(VLOOKUP($A165,'The List'!$B1:$AS730,10,FALSE)," ")</f>
        <v xml:space="preserve"> </v>
      </c>
      <c r="H165" s="38"/>
      <c r="I165" s="52" t="str">
        <f>IFERROR(VLOOKUP($A165,'The List'!$B1:$AS730,16,FALSE)," ")</f>
        <v xml:space="preserve"> </v>
      </c>
      <c r="J165" s="52" t="str">
        <f>IFERROR(VLOOKUP($A165,'The List'!$B1:$AS730,17,FALSE)," ")</f>
        <v xml:space="preserve"> </v>
      </c>
      <c r="K165" s="52" t="str">
        <f>IFERROR(VLOOKUP($A165,'The List'!$B1:$AS730,18,FALSE)," ")</f>
        <v xml:space="preserve"> </v>
      </c>
      <c r="L165" s="52" t="str">
        <f>IFERROR(VLOOKUP($A165,'The List'!$B1:$AS730,19,FALSE)," ")</f>
        <v xml:space="preserve"> </v>
      </c>
      <c r="M165" s="52" t="str">
        <f>IFERROR(VLOOKUP($A165,'The List'!$B1:$AS730,20,FALSE)," ")</f>
        <v xml:space="preserve"> </v>
      </c>
      <c r="N165" s="52" t="str">
        <f>IFERROR(VLOOKUP($A165,'The List'!$B1:$AS730,21,FALSE)," ")</f>
        <v xml:space="preserve"> </v>
      </c>
      <c r="O165" s="52" t="str">
        <f>IFERROR(VLOOKUP($A165,'The List'!$B1:$AS730,22,FALSE)," ")</f>
        <v xml:space="preserve"> </v>
      </c>
      <c r="P165" s="52" t="str">
        <f>IFERROR(VLOOKUP($A165,'The List'!$B1:$AS730,23,FALSE)," ")</f>
        <v xml:space="preserve"> </v>
      </c>
      <c r="Q165" s="52" t="str">
        <f>IFERROR(VLOOKUP($A165,'The List'!$B1:$AS730,24,FALSE)," ")</f>
        <v xml:space="preserve"> </v>
      </c>
      <c r="R165" s="52" t="str">
        <f>IFERROR(VLOOKUP($A165,'The List'!$B1:$AS730,25,FALSE)," ")</f>
        <v xml:space="preserve"> </v>
      </c>
      <c r="S165" s="52" t="str">
        <f>IFERROR(VLOOKUP($A165,'The List'!$B1:$AS730,26,FALSE)," ")</f>
        <v xml:space="preserve"> </v>
      </c>
      <c r="T165" s="52" t="str">
        <f>IFERROR(VLOOKUP($A165,'The List'!$B1:$AS730,27,FALSE)," ")</f>
        <v xml:space="preserve"> </v>
      </c>
      <c r="U165" s="52" t="str">
        <f>IFERROR(VLOOKUP($A165,'The List'!$B1:$AS730,28,FALSE)," ")</f>
        <v xml:space="preserve"> </v>
      </c>
      <c r="V165" s="52" t="str">
        <f>IFERROR(VLOOKUP($A165,'The List'!$B1:$AS730,29,FALSE)," ")</f>
        <v xml:space="preserve"> </v>
      </c>
      <c r="W165" s="52" t="str">
        <f>IFERROR(VLOOKUP($A165,'The List'!$B1:$AS730,30,FALSE)," ")</f>
        <v xml:space="preserve"> </v>
      </c>
      <c r="X165" s="52" t="str">
        <f>IFERROR(VLOOKUP($A165,'The List'!$B1:$AS730,31,FALSE)," ")</f>
        <v xml:space="preserve"> </v>
      </c>
      <c r="Y165" s="52" t="str">
        <f>IFERROR(VLOOKUP($A165,'The List'!$B1:$AS730,32,FALSE)," ")</f>
        <v xml:space="preserve"> </v>
      </c>
      <c r="Z165" s="52" t="str">
        <f>IFERROR(VLOOKUP($A165,'The List'!$B1:$AS730,33,FALSE)," ")</f>
        <v xml:space="preserve"> </v>
      </c>
      <c r="AA165" s="54"/>
      <c r="AB165" s="59"/>
      <c r="AC165" s="59"/>
      <c r="AD165" s="59"/>
      <c r="AE165" s="59"/>
      <c r="AF165" s="59"/>
    </row>
    <row r="166" spans="1:32" ht="21.2" customHeight="1">
      <c r="A166" s="71"/>
      <c r="B166" s="72" t="str">
        <f>IFERROR(VLOOKUP($A166,'The List'!$B1:$AS730,3,FALSE)," ")</f>
        <v xml:space="preserve"> </v>
      </c>
      <c r="C166" s="73" t="str">
        <f>IFERROR(VLOOKUP($A166,'The List'!$B1:$AS730,4,FALSE)," ")</f>
        <v xml:space="preserve"> </v>
      </c>
      <c r="D166" s="74" t="str">
        <f>IFERROR(VLOOKUP($A166,'The List'!$B1:$AS730,5,FALSE)," ")</f>
        <v xml:space="preserve"> </v>
      </c>
      <c r="E166" s="74" t="str">
        <f>IFERROR(VLOOKUP($A166,'The List'!$B1:$AS730,6,FALSE)," ")</f>
        <v xml:space="preserve"> </v>
      </c>
      <c r="F166" s="75" t="str">
        <f>IFERROR(VLOOKUP($A166,'The List'!$B1:$AS730,8,FALSE)," ")</f>
        <v xml:space="preserve"> </v>
      </c>
      <c r="G166" s="75" t="str">
        <f>IFERROR(VLOOKUP($A166,'The List'!$B1:$AS730,10,FALSE)," ")</f>
        <v xml:space="preserve"> </v>
      </c>
      <c r="H166" s="76"/>
      <c r="I166" s="77" t="str">
        <f>IFERROR(VLOOKUP($A166,'The List'!$B1:$AS730,16,FALSE)," ")</f>
        <v xml:space="preserve"> </v>
      </c>
      <c r="J166" s="77" t="str">
        <f>IFERROR(VLOOKUP($A166,'The List'!$B1:$AS730,17,FALSE)," ")</f>
        <v xml:space="preserve"> </v>
      </c>
      <c r="K166" s="77" t="str">
        <f>IFERROR(VLOOKUP($A166,'The List'!$B1:$AS730,18,FALSE)," ")</f>
        <v xml:space="preserve"> </v>
      </c>
      <c r="L166" s="77" t="str">
        <f>IFERROR(VLOOKUP($A166,'The List'!$B1:$AS730,19,FALSE)," ")</f>
        <v xml:space="preserve"> </v>
      </c>
      <c r="M166" s="77" t="str">
        <f>IFERROR(VLOOKUP($A166,'The List'!$B1:$AS730,20,FALSE)," ")</f>
        <v xml:space="preserve"> </v>
      </c>
      <c r="N166" s="77" t="str">
        <f>IFERROR(VLOOKUP($A166,'The List'!$B1:$AS730,21,FALSE)," ")</f>
        <v xml:space="preserve"> </v>
      </c>
      <c r="O166" s="77" t="str">
        <f>IFERROR(VLOOKUP($A166,'The List'!$B1:$AS730,22,FALSE)," ")</f>
        <v xml:space="preserve"> </v>
      </c>
      <c r="P166" s="77" t="str">
        <f>IFERROR(VLOOKUP($A166,'The List'!$B1:$AS730,23,FALSE)," ")</f>
        <v xml:space="preserve"> </v>
      </c>
      <c r="Q166" s="77" t="str">
        <f>IFERROR(VLOOKUP($A166,'The List'!$B1:$AS730,24,FALSE)," ")</f>
        <v xml:space="preserve"> </v>
      </c>
      <c r="R166" s="77" t="str">
        <f>IFERROR(VLOOKUP($A166,'The List'!$B1:$AS730,25,FALSE)," ")</f>
        <v xml:space="preserve"> </v>
      </c>
      <c r="S166" s="77" t="str">
        <f>IFERROR(VLOOKUP($A166,'The List'!$B1:$AS730,26,FALSE)," ")</f>
        <v xml:space="preserve"> </v>
      </c>
      <c r="T166" s="77" t="str">
        <f>IFERROR(VLOOKUP($A166,'The List'!$B1:$AS730,27,FALSE)," ")</f>
        <v xml:space="preserve"> </v>
      </c>
      <c r="U166" s="77" t="str">
        <f>IFERROR(VLOOKUP($A166,'The List'!$B1:$AS730,28,FALSE)," ")</f>
        <v xml:space="preserve"> </v>
      </c>
      <c r="V166" s="77" t="str">
        <f>IFERROR(VLOOKUP($A166,'The List'!$B1:$AS730,29,FALSE)," ")</f>
        <v xml:space="preserve"> </v>
      </c>
      <c r="W166" s="77" t="str">
        <f>IFERROR(VLOOKUP($A166,'The List'!$B1:$AS730,30,FALSE)," ")</f>
        <v xml:space="preserve"> </v>
      </c>
      <c r="X166" s="77" t="str">
        <f>IFERROR(VLOOKUP($A166,'The List'!$B1:$AS730,31,FALSE)," ")</f>
        <v xml:space="preserve"> </v>
      </c>
      <c r="Y166" s="77" t="str">
        <f>IFERROR(VLOOKUP($A166,'The List'!$B1:$AS730,32,FALSE)," ")</f>
        <v xml:space="preserve"> </v>
      </c>
      <c r="Z166" s="77" t="str">
        <f>IFERROR(VLOOKUP($A166,'The List'!$B1:$AS730,33,FALSE)," ")</f>
        <v xml:space="preserve"> </v>
      </c>
      <c r="AA166" s="54"/>
      <c r="AB166" s="59"/>
      <c r="AC166" s="59"/>
      <c r="AD166" s="59"/>
      <c r="AE166" s="59"/>
      <c r="AF166" s="59"/>
    </row>
    <row r="167" spans="1:32" ht="21.2" customHeight="1">
      <c r="A167" s="78"/>
      <c r="B167" s="79"/>
      <c r="C167" s="80"/>
      <c r="D167" s="81"/>
      <c r="E167" s="116">
        <f>IFERROR(AVERAGE(E147:E166)," ")</f>
        <v>30.357142857142858</v>
      </c>
      <c r="F167" s="83">
        <f>SUM(F147:F166)</f>
        <v>90.451359840146736</v>
      </c>
      <c r="G167" s="83">
        <f>SUM(G147:G166)</f>
        <v>18.270585164654346</v>
      </c>
      <c r="H167" s="84"/>
      <c r="I167" s="85">
        <f>SUM(I147:I166)</f>
        <v>1148</v>
      </c>
      <c r="J167" s="84">
        <f>AVERAGE(J147:J166)</f>
        <v>19.420682667247895</v>
      </c>
      <c r="K167" s="85">
        <f t="shared" ref="K167:Y167" si="10">SUM(K147:K166)</f>
        <v>376.27186457822461</v>
      </c>
      <c r="L167" s="85">
        <f t="shared" si="10"/>
        <v>555.84947402256137</v>
      </c>
      <c r="M167" s="85">
        <f t="shared" si="10"/>
        <v>932.12133860078586</v>
      </c>
      <c r="N167" s="85">
        <f t="shared" si="10"/>
        <v>3294.6607256794109</v>
      </c>
      <c r="O167" s="85">
        <f t="shared" si="10"/>
        <v>115.92396097658505</v>
      </c>
      <c r="P167" s="85">
        <f t="shared" si="10"/>
        <v>312.11837866675506</v>
      </c>
      <c r="Q167" s="85">
        <f t="shared" si="10"/>
        <v>3.6580858388430704</v>
      </c>
      <c r="R167" s="85">
        <f t="shared" si="10"/>
        <v>6.7974289778734009</v>
      </c>
      <c r="S167" s="85">
        <f t="shared" si="10"/>
        <v>799.51555531885799</v>
      </c>
      <c r="T167" s="85">
        <f t="shared" si="10"/>
        <v>1300.8607953046539</v>
      </c>
      <c r="U167" s="85">
        <f t="shared" si="10"/>
        <v>20.130702654034234</v>
      </c>
      <c r="V167" s="85">
        <f t="shared" si="10"/>
        <v>519.90970565455927</v>
      </c>
      <c r="W167" s="85">
        <f t="shared" si="10"/>
        <v>54.435852040947623</v>
      </c>
      <c r="X167" s="85">
        <f t="shared" si="10"/>
        <v>2357.8925874867964</v>
      </c>
      <c r="Y167" s="85">
        <f t="shared" si="10"/>
        <v>2182.4598321723565</v>
      </c>
      <c r="Z167" s="86">
        <f>IFERROR(X167/(X167+Y167),0)</f>
        <v>0.51931928836127761</v>
      </c>
      <c r="AA167" s="54"/>
      <c r="AB167" s="87"/>
      <c r="AC167" s="87"/>
      <c r="AD167" s="87"/>
      <c r="AE167" s="87"/>
      <c r="AF167" s="87"/>
    </row>
    <row r="168" spans="1:32" ht="21.2" customHeight="1">
      <c r="A168" s="88"/>
      <c r="B168" s="89"/>
      <c r="C168" s="90"/>
      <c r="D168" s="11"/>
      <c r="E168" s="11"/>
      <c r="F168" s="91"/>
      <c r="G168" s="92"/>
      <c r="H168" s="93"/>
      <c r="I168" s="9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9"/>
      <c r="AC168" s="59"/>
      <c r="AD168" s="59"/>
      <c r="AE168" s="59"/>
      <c r="AF168" s="59"/>
    </row>
    <row r="169" spans="1:32" ht="21.2" customHeight="1">
      <c r="A169" s="24" t="s">
        <v>64</v>
      </c>
      <c r="B169" s="231" t="s">
        <v>66</v>
      </c>
      <c r="C169" s="223"/>
      <c r="D169" s="95" t="s">
        <v>67</v>
      </c>
      <c r="E169" s="95" t="s">
        <v>68</v>
      </c>
      <c r="F169" s="96" t="s">
        <v>70</v>
      </c>
      <c r="G169" s="96" t="s">
        <v>72</v>
      </c>
      <c r="H169" s="97"/>
      <c r="I169" s="98" t="s">
        <v>77</v>
      </c>
      <c r="J169" s="98" t="s">
        <v>95</v>
      </c>
      <c r="K169" s="98" t="s">
        <v>96</v>
      </c>
      <c r="L169" s="98" t="s">
        <v>97</v>
      </c>
      <c r="M169" s="98" t="s">
        <v>98</v>
      </c>
      <c r="N169" s="98" t="s">
        <v>99</v>
      </c>
      <c r="O169" s="98" t="s">
        <v>100</v>
      </c>
      <c r="P169" s="98" t="s">
        <v>101</v>
      </c>
      <c r="Q169" s="98" t="s">
        <v>102</v>
      </c>
      <c r="R169" s="54"/>
      <c r="S169" s="54"/>
      <c r="T169" s="54"/>
      <c r="U169" s="231" t="s">
        <v>839</v>
      </c>
      <c r="V169" s="232"/>
      <c r="W169" s="232"/>
      <c r="X169" s="231" t="s">
        <v>840</v>
      </c>
      <c r="Y169" s="232"/>
      <c r="Z169" s="232"/>
      <c r="AA169" s="54"/>
      <c r="AB169" s="54"/>
      <c r="AC169" s="54"/>
      <c r="AD169" s="54"/>
      <c r="AE169" s="54"/>
      <c r="AF169" s="54"/>
    </row>
    <row r="170" spans="1:32" ht="21.2" customHeight="1">
      <c r="A170" s="117" t="s">
        <v>265</v>
      </c>
      <c r="B170" s="100" t="str">
        <f>IFERROR(VLOOKUP($A170,'The List'!$B1:$AS730,3,FALSE)," ")</f>
        <v>G</v>
      </c>
      <c r="C170" s="118">
        <f>IFERROR(VLOOKUP($A170,'The List'!$B1:$AS730,4,FALSE)," ")</f>
        <v>19</v>
      </c>
      <c r="D170" s="102" t="str">
        <f>IFERROR(VLOOKUP($A170,'The List'!$B1:$AS730,5,FALSE)," ")</f>
        <v>BOS</v>
      </c>
      <c r="E170" s="102">
        <f>IFERROR(VLOOKUP($A170,'The List'!$B1:$AS730,6,FALSE)," ")</f>
        <v>30</v>
      </c>
      <c r="F170" s="119">
        <f>IFERROR(VLOOKUP($A170,'The List'!$B1:$AS730,8,FALSE)," ")</f>
        <v>1.5914839465715365</v>
      </c>
      <c r="G170" s="119">
        <f>IFERROR(VLOOKUP($A170,'The List'!$B1:$AS730,10,FALSE)," ")</f>
        <v>-0.11274510461875509</v>
      </c>
      <c r="H170" s="105"/>
      <c r="I170" s="120">
        <f>IFERROR(VLOOKUP($A170,'The List'!$B1:$AS730,35,FALSE)," ")</f>
        <v>44</v>
      </c>
      <c r="J170" s="120">
        <f>IFERROR(VLOOKUP($A170,'The List'!$B1:$AS730,36,FALSE)," ")</f>
        <v>25.959763604660822</v>
      </c>
      <c r="K170" s="120">
        <f>IFERROR(VLOOKUP($A170,'The List'!$B1:$AS730,37,FALSE)," ")</f>
        <v>12.540236395339178</v>
      </c>
      <c r="L170" s="120">
        <f>IFERROR(VLOOKUP($A170,'The List'!$B1:$AS730,38,FALSE)," ")</f>
        <v>5.5</v>
      </c>
      <c r="M170" s="120">
        <f>IFERROR(VLOOKUP($A170,'The List'!$B1:$AS730,39,FALSE)," ")</f>
        <v>3.2373825162504319</v>
      </c>
      <c r="N170" s="120">
        <f>IFERROR(VLOOKUP($A170,'The List'!$B1:$AS730,40,FALSE)," ")</f>
        <v>1258.9883226966012</v>
      </c>
      <c r="O170" s="120">
        <f>IFERROR(VLOOKUP($A170,'The List'!$B1:$AS730,41,FALSE)," ")</f>
        <v>113.58399847839748</v>
      </c>
      <c r="P170" s="120">
        <f>IFERROR(VLOOKUP($A170,'The List'!$B1:$AS730,42,FALSE)," ")</f>
        <v>0.91724734884558712</v>
      </c>
      <c r="Q170" s="120">
        <f>IFERROR(VLOOKUP($A170,'The List'!$B1:$AS730,43,FALSE)," ")</f>
        <v>2.5814545108726699</v>
      </c>
      <c r="R170" s="54"/>
      <c r="S170" s="54"/>
      <c r="T170" s="109" t="str">
        <f>A117</f>
        <v>Zach Hyman's</v>
      </c>
      <c r="U170" s="230">
        <f>F167+F173</f>
        <v>94.24311288573837</v>
      </c>
      <c r="V170" s="223"/>
      <c r="W170" s="223"/>
      <c r="X170" s="230">
        <f>G173+G167</f>
        <v>18.65388010786539</v>
      </c>
      <c r="Y170" s="223"/>
      <c r="Z170" s="223"/>
      <c r="AA170" s="54"/>
      <c r="AB170" s="54"/>
      <c r="AC170" s="54"/>
      <c r="AD170" s="54"/>
      <c r="AE170" s="54"/>
      <c r="AF170" s="54"/>
    </row>
    <row r="171" spans="1:32" ht="21.2" customHeight="1">
      <c r="A171" s="23" t="s">
        <v>255</v>
      </c>
      <c r="B171" s="110" t="str">
        <f>IFERROR(VLOOKUP($A171,'The List'!$B1:$AS730,3,FALSE)," ")</f>
        <v>G</v>
      </c>
      <c r="C171" s="111">
        <f>IFERROR(VLOOKUP($A171,'The List'!$B1:$AS730,4,FALSE)," ")</f>
        <v>15</v>
      </c>
      <c r="D171" s="34" t="str">
        <f>IFERROR(VLOOKUP($A171,'The List'!$B1:$AS730,5,FALSE)," ")</f>
        <v>EDM</v>
      </c>
      <c r="E171" s="34">
        <f>IFERROR(VLOOKUP($A171,'The List'!$B1:$AS730,6,FALSE)," ")</f>
        <v>24</v>
      </c>
      <c r="F171" s="49">
        <f>IFERROR(VLOOKUP($A171,'The List'!$B1:$AS730,8,FALSE)," ")</f>
        <v>2.2002690990200922</v>
      </c>
      <c r="G171" s="49">
        <f>IFERROR(VLOOKUP($A171,'The List'!$B1:$AS730,10,FALSE)," ")</f>
        <v>0.4960400478298006</v>
      </c>
      <c r="H171" s="38"/>
      <c r="I171" s="52">
        <f>IFERROR(VLOOKUP($A171,'The List'!$B1:$AS730,35,FALSE)," ")</f>
        <v>48</v>
      </c>
      <c r="J171" s="52">
        <f>IFERROR(VLOOKUP($A171,'The List'!$B1:$AS730,36,FALSE)," ")</f>
        <v>29.786288337262754</v>
      </c>
      <c r="K171" s="52">
        <f>IFERROR(VLOOKUP($A171,'The List'!$B1:$AS730,37,FALSE)," ")</f>
        <v>12.213711662737246</v>
      </c>
      <c r="L171" s="52">
        <f>IFERROR(VLOOKUP($A171,'The List'!$B1:$AS730,38,FALSE)," ")</f>
        <v>6</v>
      </c>
      <c r="M171" s="52">
        <f>IFERROR(VLOOKUP($A171,'The List'!$B1:$AS730,39,FALSE)," ")</f>
        <v>3.1200969130670835</v>
      </c>
      <c r="N171" s="52">
        <f>IFERROR(VLOOKUP($A171,'The List'!$B1:$AS730,40,FALSE)," ")</f>
        <v>1344.0901166762687</v>
      </c>
      <c r="O171" s="52">
        <f>IFERROR(VLOOKUP($A171,'The List'!$B1:$AS730,41,FALSE)," ")</f>
        <v>129.29716082372929</v>
      </c>
      <c r="P171" s="52">
        <f>IFERROR(VLOOKUP($A171,'The List'!$B1:$AS730,42,FALSE)," ")</f>
        <v>0.91224495908291192</v>
      </c>
      <c r="Q171" s="52">
        <f>IFERROR(VLOOKUP($A171,'The List'!$B1:$AS730,43,FALSE)," ")</f>
        <v>2.69369085049436</v>
      </c>
      <c r="R171" s="54"/>
      <c r="S171" s="54"/>
      <c r="T171" s="54"/>
      <c r="U171" s="223"/>
      <c r="V171" s="223"/>
      <c r="W171" s="223"/>
      <c r="X171" s="223"/>
      <c r="Y171" s="223"/>
      <c r="Z171" s="223"/>
      <c r="AA171" s="54"/>
      <c r="AB171" s="54"/>
      <c r="AC171" s="54"/>
      <c r="AD171" s="54"/>
      <c r="AE171" s="54"/>
      <c r="AF171" s="54"/>
    </row>
    <row r="172" spans="1:32" ht="21.2" customHeight="1">
      <c r="A172" s="71"/>
      <c r="B172" s="112" t="str">
        <f>IFERROR(VLOOKUP($A172,'The List'!$B1:$AS730,3,FALSE)," ")</f>
        <v xml:space="preserve"> </v>
      </c>
      <c r="C172" s="113" t="str">
        <f>IFERROR(VLOOKUP($A172,'The List'!$B1:$AS730,4,FALSE)," ")</f>
        <v xml:space="preserve"> </v>
      </c>
      <c r="D172" s="74" t="str">
        <f>IFERROR(VLOOKUP($A172,'The List'!$B1:$AS730,5,FALSE)," ")</f>
        <v xml:space="preserve"> </v>
      </c>
      <c r="E172" s="74" t="str">
        <f>IFERROR(VLOOKUP($A172,'The List'!$B1:$AS730,6,FALSE)," ")</f>
        <v xml:space="preserve"> </v>
      </c>
      <c r="F172" s="75" t="str">
        <f>IFERROR(VLOOKUP($A172,'The List'!$B1:$AS730,8,FALSE)," ")</f>
        <v xml:space="preserve"> </v>
      </c>
      <c r="G172" s="75" t="str">
        <f>IFERROR(VLOOKUP($A172,'The List'!$B1:$AS730,10,FALSE)," ")</f>
        <v xml:space="preserve"> </v>
      </c>
      <c r="H172" s="76"/>
      <c r="I172" s="77" t="str">
        <f>IFERROR(VLOOKUP($A172,'The List'!$B1:$AS730,35,FALSE)," ")</f>
        <v xml:space="preserve"> </v>
      </c>
      <c r="J172" s="77" t="str">
        <f>IFERROR(VLOOKUP($A172,'The List'!$B1:$AS730,36,FALSE)," ")</f>
        <v xml:space="preserve"> </v>
      </c>
      <c r="K172" s="77" t="str">
        <f>IFERROR(VLOOKUP($A172,'The List'!$B1:$AS730,37,FALSE)," ")</f>
        <v xml:space="preserve"> </v>
      </c>
      <c r="L172" s="77" t="str">
        <f>IFERROR(VLOOKUP($A172,'The List'!$B1:$AS730,38,FALSE)," ")</f>
        <v xml:space="preserve"> </v>
      </c>
      <c r="M172" s="77" t="str">
        <f>IFERROR(VLOOKUP($A172,'The List'!$B1:$AS730,39,FALSE)," ")</f>
        <v xml:space="preserve"> </v>
      </c>
      <c r="N172" s="77" t="str">
        <f>IFERROR(VLOOKUP($A172,'The List'!$B1:$AS730,40,FALSE)," ")</f>
        <v xml:space="preserve"> </v>
      </c>
      <c r="O172" s="77" t="str">
        <f>IFERROR(VLOOKUP($A172,'The List'!$B1:$AS730,41,FALSE)," ")</f>
        <v xml:space="preserve"> </v>
      </c>
      <c r="P172" s="77" t="str">
        <f>IFERROR(VLOOKUP($A172,'The List'!$B1:$AS730,42,FALSE)," ")</f>
        <v xml:space="preserve"> </v>
      </c>
      <c r="Q172" s="77" t="str">
        <f>IFERROR(VLOOKUP($A172,'The List'!$B1:$AS730,43,FALSE)," ")</f>
        <v xml:space="preserve"> </v>
      </c>
      <c r="R172" s="54"/>
      <c r="S172" s="54"/>
      <c r="T172" s="54"/>
      <c r="U172" s="223"/>
      <c r="V172" s="223"/>
      <c r="W172" s="223"/>
      <c r="X172" s="223"/>
      <c r="Y172" s="223"/>
      <c r="Z172" s="223"/>
      <c r="AA172" s="54"/>
      <c r="AB172" s="54"/>
      <c r="AC172" s="54"/>
      <c r="AD172" s="54"/>
      <c r="AE172" s="54"/>
      <c r="AF172" s="54"/>
    </row>
    <row r="173" spans="1:32" ht="21.2" customHeight="1">
      <c r="A173" s="78"/>
      <c r="B173" s="79"/>
      <c r="C173" s="80"/>
      <c r="D173" s="81"/>
      <c r="E173" s="116">
        <f>IFERROR(AVERAGE(E170:E172)," ")</f>
        <v>27</v>
      </c>
      <c r="F173" s="83">
        <f>SUM(F170:F172)</f>
        <v>3.7917530455916286</v>
      </c>
      <c r="G173" s="83">
        <f>SUM(G170:G172)</f>
        <v>0.38329494321104551</v>
      </c>
      <c r="H173" s="84"/>
      <c r="I173" s="85">
        <f t="shared" ref="I173:O173" si="11">SUM(I170:I172)</f>
        <v>92</v>
      </c>
      <c r="J173" s="84">
        <f t="shared" si="11"/>
        <v>55.746051941923575</v>
      </c>
      <c r="K173" s="85">
        <f t="shared" si="11"/>
        <v>24.753948058076425</v>
      </c>
      <c r="L173" s="85">
        <f t="shared" si="11"/>
        <v>11.5</v>
      </c>
      <c r="M173" s="85">
        <f t="shared" si="11"/>
        <v>6.3574794293175154</v>
      </c>
      <c r="N173" s="85">
        <f t="shared" si="11"/>
        <v>2603.07843937287</v>
      </c>
      <c r="O173" s="85">
        <f t="shared" si="11"/>
        <v>242.88115930212678</v>
      </c>
      <c r="P173" s="114">
        <f>1-(O173/(N173+O173))</f>
        <v>0.91465755191493026</v>
      </c>
      <c r="Q173" s="115">
        <f>O173/I173</f>
        <v>2.6400126011100737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</row>
    <row r="174" spans="1:32" ht="70.7" customHeight="1">
      <c r="A174" s="88"/>
      <c r="B174" s="89"/>
      <c r="C174" s="90"/>
      <c r="D174" s="11"/>
      <c r="E174" s="11"/>
      <c r="F174" s="91"/>
      <c r="G174" s="92"/>
      <c r="H174" s="93"/>
      <c r="I174" s="9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9"/>
      <c r="AB174" s="59"/>
      <c r="AC174" s="59"/>
      <c r="AD174" s="59"/>
      <c r="AE174" s="59"/>
      <c r="AF174" s="59"/>
    </row>
    <row r="175" spans="1:32" ht="21.2" customHeight="1">
      <c r="A175" s="25" t="s">
        <v>906</v>
      </c>
      <c r="B175" s="229" t="s">
        <v>66</v>
      </c>
      <c r="C175" s="221"/>
      <c r="D175" s="26" t="s">
        <v>67</v>
      </c>
      <c r="E175" s="26" t="s">
        <v>68</v>
      </c>
      <c r="F175" s="27" t="s">
        <v>70</v>
      </c>
      <c r="G175" s="27" t="s">
        <v>72</v>
      </c>
      <c r="H175" s="28"/>
      <c r="I175" s="30" t="s">
        <v>77</v>
      </c>
      <c r="J175" s="30" t="s">
        <v>78</v>
      </c>
      <c r="K175" s="30" t="s">
        <v>79</v>
      </c>
      <c r="L175" s="30" t="s">
        <v>80</v>
      </c>
      <c r="M175" s="30" t="s">
        <v>81</v>
      </c>
      <c r="N175" s="30" t="s">
        <v>82</v>
      </c>
      <c r="O175" s="30" t="s">
        <v>83</v>
      </c>
      <c r="P175" s="30" t="s">
        <v>84</v>
      </c>
      <c r="Q175" s="30" t="s">
        <v>85</v>
      </c>
      <c r="R175" s="30" t="s">
        <v>86</v>
      </c>
      <c r="S175" s="30" t="s">
        <v>87</v>
      </c>
      <c r="T175" s="30" t="s">
        <v>88</v>
      </c>
      <c r="U175" s="30" t="s">
        <v>89</v>
      </c>
      <c r="V175" s="30" t="s">
        <v>90</v>
      </c>
      <c r="W175" s="30" t="s">
        <v>91</v>
      </c>
      <c r="X175" s="30" t="s">
        <v>92</v>
      </c>
      <c r="Y175" s="30" t="s">
        <v>93</v>
      </c>
      <c r="Z175" s="30" t="s">
        <v>94</v>
      </c>
      <c r="AA175" s="54"/>
      <c r="AB175" s="55"/>
      <c r="AC175" s="55"/>
      <c r="AD175" s="55"/>
      <c r="AE175" s="55"/>
      <c r="AF175" s="55"/>
    </row>
    <row r="176" spans="1:32" ht="21.2" customHeight="1">
      <c r="A176" s="23" t="s">
        <v>108</v>
      </c>
      <c r="B176" s="56" t="str">
        <f>IFERROR(VLOOKUP($A176,'The List'!$B1:$AS730,3,FALSE)," ")</f>
        <v>C</v>
      </c>
      <c r="C176" s="60">
        <f>IFERROR(VLOOKUP($A176,'The List'!$B1:$AS730,4,FALSE)," ")</f>
        <v>4</v>
      </c>
      <c r="D176" s="34" t="str">
        <f>IFERROR(VLOOKUP($A176,'The List'!$B1:$AS730,5,FALSE)," ")</f>
        <v>TOR</v>
      </c>
      <c r="E176" s="34">
        <f>IFERROR(VLOOKUP($A176,'The List'!$B1:$AS730,6,FALSE)," ")</f>
        <v>25</v>
      </c>
      <c r="F176" s="49">
        <f>IFERROR(VLOOKUP($A176,'The List'!$B1:$AS730,8,FALSE)," ")</f>
        <v>15.483290898810141</v>
      </c>
      <c r="G176" s="49">
        <f>IFERROR(VLOOKUP($A176,'The List'!$B1:$AS730,10,FALSE)," ")</f>
        <v>9.1462401746035376</v>
      </c>
      <c r="H176" s="38"/>
      <c r="I176" s="52">
        <f>IFERROR(VLOOKUP($A176,'The List'!$B1:$AS730,16,FALSE)," ")</f>
        <v>82</v>
      </c>
      <c r="J176" s="52">
        <f>IFERROR(VLOOKUP($A176,'The List'!$B1:$AS730,17,FALSE)," ")</f>
        <v>20.3388111305526</v>
      </c>
      <c r="K176" s="52">
        <f>IFERROR(VLOOKUP($A176,'The List'!$B1:$AS730,18,FALSE)," ")</f>
        <v>56.262038775534471</v>
      </c>
      <c r="L176" s="52">
        <f>IFERROR(VLOOKUP($A176,'The List'!$B1:$AS730,19,FALSE)," ")</f>
        <v>53.286113340645983</v>
      </c>
      <c r="M176" s="52">
        <f>IFERROR(VLOOKUP($A176,'The List'!$B1:$AS730,20,FALSE)," ")</f>
        <v>109.54815211618046</v>
      </c>
      <c r="N176" s="52">
        <f>IFERROR(VLOOKUP($A176,'The List'!$B1:$AS730,21,FALSE)," ")</f>
        <v>365.54704304572618</v>
      </c>
      <c r="O176" s="52">
        <f>IFERROR(VLOOKUP($A176,'The List'!$B1:$AS730,22,FALSE)," ")</f>
        <v>16.980970460658718</v>
      </c>
      <c r="P176" s="52">
        <f>IFERROR(VLOOKUP($A176,'The List'!$B1:$AS730,23,FALSE)," ")</f>
        <v>33.68071117627408</v>
      </c>
      <c r="Q176" s="52">
        <f>IFERROR(VLOOKUP($A176,'The List'!$B1:$AS730,24,FALSE)," ")</f>
        <v>1.8915333754143601E-2</v>
      </c>
      <c r="R176" s="52">
        <f>IFERROR(VLOOKUP($A176,'The List'!$B1:$AS730,25,FALSE)," ")</f>
        <v>3.6790013856060878E-2</v>
      </c>
      <c r="S176" s="52">
        <f>IFERROR(VLOOKUP($A176,'The List'!$B1:$AS730,26,FALSE)," ")</f>
        <v>85.016865093450008</v>
      </c>
      <c r="T176" s="52">
        <f>IFERROR(VLOOKUP($A176,'The List'!$B1:$AS730,27,FALSE)," ")</f>
        <v>79.789934998983938</v>
      </c>
      <c r="U176" s="52">
        <f>IFERROR(VLOOKUP($A176,'The List'!$B1:$AS730,28,FALSE)," ")</f>
        <v>12.930476613517339</v>
      </c>
      <c r="V176" s="52">
        <f>IFERROR(VLOOKUP($A176,'The List'!$B1:$AS730,29,FALSE)," ")</f>
        <v>23.226742073659764</v>
      </c>
      <c r="W176" s="52">
        <f>IFERROR(VLOOKUP($A176,'The List'!$B1:$AS730,30,FALSE)," ")</f>
        <v>9.0384815750663705</v>
      </c>
      <c r="X176" s="52">
        <f>IFERROR(VLOOKUP($A176,'The List'!$B1:$AS730,31,FALSE)," ")</f>
        <v>649.68111536772665</v>
      </c>
      <c r="Y176" s="52">
        <f>IFERROR(VLOOKUP($A176,'The List'!$B1:$AS730,32,FALSE)," ")</f>
        <v>559.25271685066616</v>
      </c>
      <c r="Z176" s="52">
        <f>IFERROR(VLOOKUP($A176,'The List'!$B1:$AS730,33,FALSE)," ")</f>
        <v>0.53740006115600403</v>
      </c>
      <c r="AA176" s="54"/>
      <c r="AB176" s="59"/>
      <c r="AC176" s="59"/>
      <c r="AD176" s="59"/>
      <c r="AE176" s="59"/>
      <c r="AF176" s="59"/>
    </row>
    <row r="177" spans="1:32" ht="21.2" customHeight="1">
      <c r="A177" s="23" t="s">
        <v>245</v>
      </c>
      <c r="B177" s="56" t="str">
        <f>IFERROR(VLOOKUP($A177,'The List'!$B1:$AS730,3,FALSE)," ")</f>
        <v>C</v>
      </c>
      <c r="C177" s="60">
        <f>IFERROR(VLOOKUP($A177,'The List'!$B1:$AS730,4,FALSE)," ")</f>
        <v>41</v>
      </c>
      <c r="D177" s="34" t="str">
        <f>IFERROR(VLOOKUP($A177,'The List'!$B1:$AS730,5,FALSE)," ")</f>
        <v>SJS</v>
      </c>
      <c r="E177" s="34">
        <f>IFERROR(VLOOKUP($A177,'The List'!$B1:$AS730,6,FALSE)," ")</f>
        <v>29</v>
      </c>
      <c r="F177" s="49">
        <f>IFERROR(VLOOKUP($A177,'The List'!$B1:$AS730,8,FALSE)," ")</f>
        <v>5.7253304720063483</v>
      </c>
      <c r="G177" s="49">
        <f>IFERROR(VLOOKUP($A177,'The List'!$B1:$AS730,10,FALSE)," ")</f>
        <v>-0.6117202522002545</v>
      </c>
      <c r="H177" s="38"/>
      <c r="I177" s="52">
        <f>IFERROR(VLOOKUP($A177,'The List'!$B1:$AS730,16,FALSE)," ")</f>
        <v>82</v>
      </c>
      <c r="J177" s="52">
        <f>IFERROR(VLOOKUP($A177,'The List'!$B1:$AS730,17,FALSE)," ")</f>
        <v>19.537001479372499</v>
      </c>
      <c r="K177" s="52">
        <f>IFERROR(VLOOKUP($A177,'The List'!$B1:$AS730,18,FALSE)," ")</f>
        <v>26.276509474514022</v>
      </c>
      <c r="L177" s="52">
        <f>IFERROR(VLOOKUP($A177,'The List'!$B1:$AS730,19,FALSE)," ")</f>
        <v>40.106449222791177</v>
      </c>
      <c r="M177" s="52">
        <f>IFERROR(VLOOKUP($A177,'The List'!$B1:$AS730,20,FALSE)," ")</f>
        <v>66.382958697305199</v>
      </c>
      <c r="N177" s="52">
        <f>IFERROR(VLOOKUP($A177,'The List'!$B1:$AS730,21,FALSE)," ")</f>
        <v>196.24547720294436</v>
      </c>
      <c r="O177" s="52">
        <f>IFERROR(VLOOKUP($A177,'The List'!$B1:$AS730,22,FALSE)," ")</f>
        <v>6.8282297088093618</v>
      </c>
      <c r="P177" s="52">
        <f>IFERROR(VLOOKUP($A177,'The List'!$B1:$AS730,23,FALSE)," ")</f>
        <v>21.869043448858271</v>
      </c>
      <c r="Q177" s="52">
        <f>IFERROR(VLOOKUP($A177,'The List'!$B1:$AS730,24,FALSE)," ")</f>
        <v>5.4746074008799023E-2</v>
      </c>
      <c r="R177" s="52">
        <f>IFERROR(VLOOKUP($A177,'The List'!$B1:$AS730,25,FALSE)," ")</f>
        <v>0.13283180205255593</v>
      </c>
      <c r="S177" s="52">
        <f>IFERROR(VLOOKUP($A177,'The List'!$B1:$AS730,26,FALSE)," ")</f>
        <v>55.166782028737032</v>
      </c>
      <c r="T177" s="52">
        <f>IFERROR(VLOOKUP($A177,'The List'!$B1:$AS730,27,FALSE)," ")</f>
        <v>92.125014118527318</v>
      </c>
      <c r="U177" s="52">
        <f>IFERROR(VLOOKUP($A177,'The List'!$B1:$AS730,28,FALSE)," ")</f>
        <v>0.50818723140737598</v>
      </c>
      <c r="V177" s="52">
        <f>IFERROR(VLOOKUP($A177,'The List'!$B1:$AS730,29,FALSE)," ")</f>
        <v>39.22196067898102</v>
      </c>
      <c r="W177" s="52">
        <f>IFERROR(VLOOKUP($A177,'The List'!$B1:$AS730,30,FALSE)," ")</f>
        <v>3.2623798574209464</v>
      </c>
      <c r="X177" s="52">
        <f>IFERROR(VLOOKUP($A177,'The List'!$B1:$AS730,31,FALSE)," ")</f>
        <v>810.1337967295392</v>
      </c>
      <c r="Y177" s="52">
        <f>IFERROR(VLOOKUP($A177,'The List'!$B1:$AS730,32,FALSE)," ")</f>
        <v>691.03385750245627</v>
      </c>
      <c r="Z177" s="52">
        <f>IFERROR(VLOOKUP($A177,'The List'!$B1:$AS730,33,FALSE)," ")</f>
        <v>0.53966909988079104</v>
      </c>
      <c r="AA177" s="54"/>
      <c r="AB177" s="59"/>
      <c r="AC177" s="59"/>
      <c r="AD177" s="59"/>
      <c r="AE177" s="59"/>
      <c r="AF177" s="59"/>
    </row>
    <row r="178" spans="1:32" ht="21.2" customHeight="1">
      <c r="A178" s="23" t="s">
        <v>224</v>
      </c>
      <c r="B178" s="56" t="str">
        <f>IFERROR(VLOOKUP($A178,'The List'!$B1:$AS730,3,FALSE)," ")</f>
        <v>C</v>
      </c>
      <c r="C178" s="60">
        <f>IFERROR(VLOOKUP($A178,'The List'!$B1:$AS730,4,FALSE)," ")</f>
        <v>33</v>
      </c>
      <c r="D178" s="34" t="str">
        <f>IFERROR(VLOOKUP($A178,'The List'!$B1:$AS730,5,FALSE)," ")</f>
        <v>NYI</v>
      </c>
      <c r="E178" s="34">
        <f>IFERROR(VLOOKUP($A178,'The List'!$B1:$AS730,6,FALSE)," ")</f>
        <v>31</v>
      </c>
      <c r="F178" s="49">
        <f>IFERROR(VLOOKUP($A178,'The List'!$B1:$AS730,8,FALSE)," ")</f>
        <v>6.547987422203728</v>
      </c>
      <c r="G178" s="49">
        <f>IFERROR(VLOOKUP($A178,'The List'!$B1:$AS730,10,FALSE)," ")</f>
        <v>0.21093669799712522</v>
      </c>
      <c r="H178" s="38"/>
      <c r="I178" s="52">
        <f>IFERROR(VLOOKUP($A178,'The List'!$B1:$AS730,16,FALSE)," ")</f>
        <v>82</v>
      </c>
      <c r="J178" s="52">
        <f>IFERROR(VLOOKUP($A178,'The List'!$B1:$AS730,17,FALSE)," ")</f>
        <v>18.674372043902402</v>
      </c>
      <c r="K178" s="52">
        <f>IFERROR(VLOOKUP($A178,'The List'!$B1:$AS730,18,FALSE)," ")</f>
        <v>35.704649279514236</v>
      </c>
      <c r="L178" s="52">
        <f>IFERROR(VLOOKUP($A178,'The List'!$B1:$AS730,19,FALSE)," ")</f>
        <v>34.226132146445472</v>
      </c>
      <c r="M178" s="52">
        <f>IFERROR(VLOOKUP($A178,'The List'!$B1:$AS730,20,FALSE)," ")</f>
        <v>69.930781425959708</v>
      </c>
      <c r="N178" s="52">
        <f>IFERROR(VLOOKUP($A178,'The List'!$B1:$AS730,21,FALSE)," ")</f>
        <v>221.25245764646084</v>
      </c>
      <c r="O178" s="52">
        <f>IFERROR(VLOOKUP($A178,'The List'!$B1:$AS730,22,FALSE)," ")</f>
        <v>9.7384204788213591</v>
      </c>
      <c r="P178" s="52">
        <f>IFERROR(VLOOKUP($A178,'The List'!$B1:$AS730,23,FALSE)," ")</f>
        <v>19.57113351148832</v>
      </c>
      <c r="Q178" s="52">
        <f>IFERROR(VLOOKUP($A178,'The List'!$B1:$AS730,24,FALSE)," ")</f>
        <v>3.3099103162980363E-2</v>
      </c>
      <c r="R178" s="52">
        <f>IFERROR(VLOOKUP($A178,'The List'!$B1:$AS730,25,FALSE)," ")</f>
        <v>2.9344821802562839E-2</v>
      </c>
      <c r="S178" s="52">
        <f>IFERROR(VLOOKUP($A178,'The List'!$B1:$AS730,26,FALSE)," ")</f>
        <v>43.999597985238587</v>
      </c>
      <c r="T178" s="52">
        <f>IFERROR(VLOOKUP($A178,'The List'!$B1:$AS730,27,FALSE)," ")</f>
        <v>50.877805618742819</v>
      </c>
      <c r="U178" s="52">
        <f>IFERROR(VLOOKUP($A178,'The List'!$B1:$AS730,28,FALSE)," ")</f>
        <v>2.2321205542836497</v>
      </c>
      <c r="V178" s="52">
        <f>IFERROR(VLOOKUP($A178,'The List'!$B1:$AS730,29,FALSE)," ")</f>
        <v>30.047434346159761</v>
      </c>
      <c r="W178" s="52">
        <f>IFERROR(VLOOKUP($A178,'The List'!$B1:$AS730,30,FALSE)," ")</f>
        <v>5.5171487224362421</v>
      </c>
      <c r="X178" s="52">
        <f>IFERROR(VLOOKUP($A178,'The List'!$B1:$AS730,31,FALSE)," ")</f>
        <v>516.64193247503931</v>
      </c>
      <c r="Y178" s="52">
        <f>IFERROR(VLOOKUP($A178,'The List'!$B1:$AS730,32,FALSE)," ")</f>
        <v>551.76459776293973</v>
      </c>
      <c r="Z178" s="52">
        <f>IFERROR(VLOOKUP($A178,'The List'!$B1:$AS730,33,FALSE)," ")</f>
        <v>0.48356306130023502</v>
      </c>
      <c r="AA178" s="54"/>
      <c r="AB178" s="59"/>
      <c r="AC178" s="59"/>
      <c r="AD178" s="59"/>
      <c r="AE178" s="59"/>
      <c r="AF178" s="59"/>
    </row>
    <row r="179" spans="1:32" ht="21.2" customHeight="1">
      <c r="A179" s="23" t="s">
        <v>229</v>
      </c>
      <c r="B179" s="56" t="str">
        <f>IFERROR(VLOOKUP($A179,'The List'!$B1:$AS730,3,FALSE)," ")</f>
        <v>C</v>
      </c>
      <c r="C179" s="60">
        <f>IFERROR(VLOOKUP($A179,'The List'!$B1:$AS730,4,FALSE)," ")</f>
        <v>42</v>
      </c>
      <c r="D179" s="34" t="str">
        <f>IFERROR(VLOOKUP($A179,'The List'!$B1:$AS730,5,FALSE)," ")</f>
        <v>MTL</v>
      </c>
      <c r="E179" s="34">
        <f>IFERROR(VLOOKUP($A179,'The List'!$B1:$AS730,6,FALSE)," ")</f>
        <v>24</v>
      </c>
      <c r="F179" s="49">
        <f>IFERROR(VLOOKUP($A179,'The List'!$B1:$AS730,8,FALSE)," ")</f>
        <v>5.6526972314709631</v>
      </c>
      <c r="G179" s="49">
        <f>IFERROR(VLOOKUP($A179,'The List'!$B1:$AS730,10,FALSE)," ")</f>
        <v>-0.68435349273563961</v>
      </c>
      <c r="H179" s="38"/>
      <c r="I179" s="52">
        <f>IFERROR(VLOOKUP($A179,'The List'!$B1:$AS730,16,FALSE)," ")</f>
        <v>82</v>
      </c>
      <c r="J179" s="52">
        <f>IFERROR(VLOOKUP($A179,'The List'!$B1:$AS730,17,FALSE)," ")</f>
        <v>20.9974186128049</v>
      </c>
      <c r="K179" s="52">
        <f>IFERROR(VLOOKUP($A179,'The List'!$B1:$AS730,18,FALSE)," ")</f>
        <v>26.669724278361066</v>
      </c>
      <c r="L179" s="52">
        <f>IFERROR(VLOOKUP($A179,'The List'!$B1:$AS730,19,FALSE)," ")</f>
        <v>43.174737002538535</v>
      </c>
      <c r="M179" s="52">
        <f>IFERROR(VLOOKUP($A179,'The List'!$B1:$AS730,20,FALSE)," ")</f>
        <v>69.844461280899594</v>
      </c>
      <c r="N179" s="52">
        <f>IFERROR(VLOOKUP($A179,'The List'!$B1:$AS730,21,FALSE)," ")</f>
        <v>177.05159194460398</v>
      </c>
      <c r="O179" s="52">
        <f>IFERROR(VLOOKUP($A179,'The List'!$B1:$AS730,22,FALSE)," ")</f>
        <v>8.0919118374949921</v>
      </c>
      <c r="P179" s="52">
        <f>IFERROR(VLOOKUP($A179,'The List'!$B1:$AS730,23,FALSE)," ")</f>
        <v>20.236913059634539</v>
      </c>
      <c r="Q179" s="52">
        <f>IFERROR(VLOOKUP($A179,'The List'!$B1:$AS730,24,FALSE)," ")</f>
        <v>1.6827334162193668</v>
      </c>
      <c r="R179" s="52">
        <f>IFERROR(VLOOKUP($A179,'The List'!$B1:$AS730,25,FALSE)," ")</f>
        <v>2.6830482980628076</v>
      </c>
      <c r="S179" s="52">
        <f>IFERROR(VLOOKUP($A179,'The List'!$B1:$AS730,26,FALSE)," ")</f>
        <v>56.588812223668683</v>
      </c>
      <c r="T179" s="52">
        <f>IFERROR(VLOOKUP($A179,'The List'!$B1:$AS730,27,FALSE)," ")</f>
        <v>63.149578826773705</v>
      </c>
      <c r="U179" s="52">
        <f>IFERROR(VLOOKUP($A179,'The List'!$B1:$AS730,28,FALSE)," ")</f>
        <v>-9.0018227829479116</v>
      </c>
      <c r="V179" s="52">
        <f>IFERROR(VLOOKUP($A179,'The List'!$B1:$AS730,29,FALSE)," ")</f>
        <v>31.066890931105167</v>
      </c>
      <c r="W179" s="52">
        <f>IFERROR(VLOOKUP($A179,'The List'!$B1:$AS730,30,FALSE)," ")</f>
        <v>2.7321029504302961</v>
      </c>
      <c r="X179" s="52">
        <f>IFERROR(VLOOKUP($A179,'The List'!$B1:$AS730,31,FALSE)," ")</f>
        <v>665.5851804993398</v>
      </c>
      <c r="Y179" s="52">
        <f>IFERROR(VLOOKUP($A179,'The List'!$B1:$AS730,32,FALSE)," ")</f>
        <v>731.90059449321609</v>
      </c>
      <c r="Z179" s="52">
        <f>IFERROR(VLOOKUP($A179,'The List'!$B1:$AS730,33,FALSE)," ")</f>
        <v>0.47627331341021001</v>
      </c>
      <c r="AA179" s="54"/>
      <c r="AB179" s="59"/>
      <c r="AC179" s="59"/>
      <c r="AD179" s="59"/>
      <c r="AE179" s="59"/>
      <c r="AF179" s="59"/>
    </row>
    <row r="180" spans="1:32" ht="21.2" customHeight="1">
      <c r="A180" s="23" t="s">
        <v>179</v>
      </c>
      <c r="B180" s="61" t="str">
        <f>IFERROR(VLOOKUP($A180,'The List'!$B1:$AS730,3,FALSE)," ")</f>
        <v>LW</v>
      </c>
      <c r="C180" s="63">
        <f>IFERROR(VLOOKUP($A180,'The List'!$B1:$AS730,4,FALSE)," ")</f>
        <v>27</v>
      </c>
      <c r="D180" s="34" t="str">
        <f>IFERROR(VLOOKUP($A180,'The List'!$B1:$AS730,5,FALSE)," ")</f>
        <v>BOS</v>
      </c>
      <c r="E180" s="34">
        <f>IFERROR(VLOOKUP($A180,'The List'!$B1:$AS730,6,FALSE)," ")</f>
        <v>35</v>
      </c>
      <c r="F180" s="49">
        <f>IFERROR(VLOOKUP($A180,'The List'!$B1:$AS730,8,FALSE)," ")</f>
        <v>8.1381961935848466</v>
      </c>
      <c r="G180" s="49">
        <f>IFERROR(VLOOKUP($A180,'The List'!$B1:$AS730,10,FALSE)," ")</f>
        <v>1.4835271494604454</v>
      </c>
      <c r="H180" s="38"/>
      <c r="I180" s="52">
        <f>IFERROR(VLOOKUP($A180,'The List'!$B1:$AS730,16,FALSE)," ")</f>
        <v>82</v>
      </c>
      <c r="J180" s="52">
        <f>IFERROR(VLOOKUP($A180,'The List'!$B1:$AS730,17,FALSE)," ")</f>
        <v>18.701640587913499</v>
      </c>
      <c r="K180" s="52">
        <f>IFERROR(VLOOKUP($A180,'The List'!$B1:$AS730,18,FALSE)," ")</f>
        <v>27.36042731536601</v>
      </c>
      <c r="L180" s="52">
        <f>IFERROR(VLOOKUP($A180,'The List'!$B1:$AS730,19,FALSE)," ")</f>
        <v>49.687482900299699</v>
      </c>
      <c r="M180" s="52">
        <f>IFERROR(VLOOKUP($A180,'The List'!$B1:$AS730,20,FALSE)," ")</f>
        <v>77.047910215665709</v>
      </c>
      <c r="N180" s="52">
        <f>IFERROR(VLOOKUP($A180,'The List'!$B1:$AS730,21,FALSE)," ")</f>
        <v>221.81683147333936</v>
      </c>
      <c r="O180" s="52">
        <f>IFERROR(VLOOKUP($A180,'The List'!$B1:$AS730,22,FALSE)," ")</f>
        <v>7.8711032555043943</v>
      </c>
      <c r="P180" s="52">
        <f>IFERROR(VLOOKUP($A180,'The List'!$B1:$AS730,23,FALSE)," ")</f>
        <v>28.998418862808098</v>
      </c>
      <c r="Q180" s="52">
        <f>IFERROR(VLOOKUP($A180,'The List'!$B1:$AS730,24,FALSE)," ")</f>
        <v>1.0032876292932091</v>
      </c>
      <c r="R180" s="52">
        <f>IFERROR(VLOOKUP($A180,'The List'!$B1:$AS730,25,FALSE)," ")</f>
        <v>1.8320042580557998</v>
      </c>
      <c r="S180" s="52">
        <f>IFERROR(VLOOKUP($A180,'The List'!$B1:$AS730,26,FALSE)," ")</f>
        <v>25.988073195497996</v>
      </c>
      <c r="T180" s="52">
        <f>IFERROR(VLOOKUP($A180,'The List'!$B1:$AS730,27,FALSE)," ")</f>
        <v>90.565769442556814</v>
      </c>
      <c r="U180" s="52">
        <f>IFERROR(VLOOKUP($A180,'The List'!$B1:$AS730,28,FALSE)," ")</f>
        <v>7.7548674721299067</v>
      </c>
      <c r="V180" s="52">
        <f>IFERROR(VLOOKUP($A180,'The List'!$B1:$AS730,29,FALSE)," ")</f>
        <v>72.212825082771033</v>
      </c>
      <c r="W180" s="52">
        <f>IFERROR(VLOOKUP($A180,'The List'!$B1:$AS730,30,FALSE)," ")</f>
        <v>4.5932773099928239</v>
      </c>
      <c r="X180" s="52">
        <f>IFERROR(VLOOKUP($A180,'The List'!$B1:$AS730,31,FALSE)," ")</f>
        <v>21.587151269771127</v>
      </c>
      <c r="Y180" s="52">
        <f>IFERROR(VLOOKUP($A180,'The List'!$B1:$AS730,32,FALSE)," ")</f>
        <v>39.067437060218225</v>
      </c>
      <c r="Z180" s="52">
        <f>IFERROR(VLOOKUP($A180,'The List'!$B1:$AS730,33,FALSE)," ")</f>
        <v>0.355903021752071</v>
      </c>
      <c r="AA180" s="54"/>
      <c r="AB180" s="59"/>
      <c r="AC180" s="59"/>
      <c r="AD180" s="59"/>
      <c r="AE180" s="59"/>
      <c r="AF180" s="59"/>
    </row>
    <row r="181" spans="1:32" ht="21.2" customHeight="1">
      <c r="A181" s="23" t="s">
        <v>156</v>
      </c>
      <c r="B181" s="61" t="str">
        <f>IFERROR(VLOOKUP($A181,'The List'!$B1:$AS730,3,FALSE)," ")</f>
        <v>LW</v>
      </c>
      <c r="C181" s="63">
        <f>IFERROR(VLOOKUP($A181,'The List'!$B1:$AS730,4,FALSE)," ")</f>
        <v>19</v>
      </c>
      <c r="D181" s="34" t="str">
        <f>IFERROR(VLOOKUP($A181,'The List'!$B1:$AS730,5,FALSE)," ")</f>
        <v>CBJ</v>
      </c>
      <c r="E181" s="34">
        <f>IFERROR(VLOOKUP($A181,'The List'!$B1:$AS730,6,FALSE)," ")</f>
        <v>30</v>
      </c>
      <c r="F181" s="49">
        <f>IFERROR(VLOOKUP($A181,'The List'!$B1:$AS730,8,FALSE)," ")</f>
        <v>8.6351776949320627</v>
      </c>
      <c r="G181" s="49">
        <f>IFERROR(VLOOKUP($A181,'The List'!$B1:$AS730,10,FALSE)," ")</f>
        <v>1.9805086508076615</v>
      </c>
      <c r="H181" s="38"/>
      <c r="I181" s="52">
        <f>IFERROR(VLOOKUP($A181,'The List'!$B1:$AS730,16,FALSE)," ")</f>
        <v>82</v>
      </c>
      <c r="J181" s="52">
        <f>IFERROR(VLOOKUP($A181,'The List'!$B1:$AS730,17,FALSE)," ")</f>
        <v>19.5911503528963</v>
      </c>
      <c r="K181" s="52">
        <f>IFERROR(VLOOKUP($A181,'The List'!$B1:$AS730,18,FALSE)," ")</f>
        <v>27.577981453855767</v>
      </c>
      <c r="L181" s="52">
        <f>IFERROR(VLOOKUP($A181,'The List'!$B1:$AS730,19,FALSE)," ")</f>
        <v>56.990544694345417</v>
      </c>
      <c r="M181" s="52">
        <f>IFERROR(VLOOKUP($A181,'The List'!$B1:$AS730,20,FALSE)," ")</f>
        <v>84.568526148201187</v>
      </c>
      <c r="N181" s="52">
        <f>IFERROR(VLOOKUP($A181,'The List'!$B1:$AS730,21,FALSE)," ")</f>
        <v>227.27366854916497</v>
      </c>
      <c r="O181" s="52">
        <f>IFERROR(VLOOKUP($A181,'The List'!$B1:$AS730,22,FALSE)," ")</f>
        <v>5.2911498134409554</v>
      </c>
      <c r="P181" s="52">
        <f>IFERROR(VLOOKUP($A181,'The List'!$B1:$AS730,23,FALSE)," ")</f>
        <v>24.237055018045353</v>
      </c>
      <c r="Q181" s="52">
        <f>IFERROR(VLOOKUP($A181,'The List'!$B1:$AS730,24,FALSE)," ")</f>
        <v>5.9006893592951437E-3</v>
      </c>
      <c r="R181" s="52">
        <f>IFERROR(VLOOKUP($A181,'The List'!$B1:$AS730,25,FALSE)," ")</f>
        <v>1.0538052038366432E-2</v>
      </c>
      <c r="S181" s="52">
        <f>IFERROR(VLOOKUP($A181,'The List'!$B1:$AS730,26,FALSE)," ")</f>
        <v>18.100832749489875</v>
      </c>
      <c r="T181" s="52">
        <f>IFERROR(VLOOKUP($A181,'The List'!$B1:$AS730,27,FALSE)," ")</f>
        <v>12.092088414037267</v>
      </c>
      <c r="U181" s="52">
        <f>IFERROR(VLOOKUP($A181,'The List'!$B1:$AS730,28,FALSE)," ")</f>
        <v>-2.5375592642186029</v>
      </c>
      <c r="V181" s="52">
        <f>IFERROR(VLOOKUP($A181,'The List'!$B1:$AS730,29,FALSE)," ")</f>
        <v>21.541242696871283</v>
      </c>
      <c r="W181" s="52">
        <f>IFERROR(VLOOKUP($A181,'The List'!$B1:$AS730,30,FALSE)," ")</f>
        <v>2.9551705923473843</v>
      </c>
      <c r="X181" s="52">
        <f>IFERROR(VLOOKUP($A181,'The List'!$B1:$AS730,31,FALSE)," ")</f>
        <v>0.11741031706647237</v>
      </c>
      <c r="Y181" s="52">
        <f>IFERROR(VLOOKUP($A181,'The List'!$B1:$AS730,32,FALSE)," ")</f>
        <v>0.20074197395452306</v>
      </c>
      <c r="Z181" s="52">
        <f>IFERROR(VLOOKUP($A181,'The List'!$B1:$AS730,33,FALSE)," ")</f>
        <v>0.36903810024339501</v>
      </c>
      <c r="AA181" s="54"/>
      <c r="AB181" s="59"/>
      <c r="AC181" s="59"/>
      <c r="AD181" s="59"/>
      <c r="AE181" s="59"/>
      <c r="AF181" s="59"/>
    </row>
    <row r="182" spans="1:32" ht="21.2" customHeight="1">
      <c r="A182" s="23" t="s">
        <v>206</v>
      </c>
      <c r="B182" s="61" t="str">
        <f>IFERROR(VLOOKUP($A182,'The List'!$B1:$AS730,3,FALSE)," ")</f>
        <v>LW,RW</v>
      </c>
      <c r="C182" s="63">
        <f>IFERROR(VLOOKUP($A182,'The List'!$B1:$AS730,4,FALSE)," ")</f>
        <v>37</v>
      </c>
      <c r="D182" s="34" t="str">
        <f>IFERROR(VLOOKUP($A182,'The List'!$B1:$AS730,5,FALSE)," ")</f>
        <v>LAK</v>
      </c>
      <c r="E182" s="34">
        <f>IFERROR(VLOOKUP($A182,'The List'!$B1:$AS730,6,FALSE)," ")</f>
        <v>26</v>
      </c>
      <c r="F182" s="49">
        <f>IFERROR(VLOOKUP($A182,'The List'!$B1:$AS730,8,FALSE)," ")</f>
        <v>5.8516478790792794</v>
      </c>
      <c r="G182" s="49">
        <f>IFERROR(VLOOKUP($A182,'The List'!$B1:$AS730,10,FALSE)," ")</f>
        <v>-0.42861083993180138</v>
      </c>
      <c r="H182" s="38"/>
      <c r="I182" s="52">
        <f>IFERROR(VLOOKUP($A182,'The List'!$B1:$AS730,16,FALSE)," ")</f>
        <v>82</v>
      </c>
      <c r="J182" s="52">
        <f>IFERROR(VLOOKUP($A182,'The List'!$B1:$AS730,17,FALSE)," ")</f>
        <v>18.7638607183689</v>
      </c>
      <c r="K182" s="52">
        <f>IFERROR(VLOOKUP($A182,'The List'!$B1:$AS730,18,FALSE)," ")</f>
        <v>36.166377872865525</v>
      </c>
      <c r="L182" s="52">
        <f>IFERROR(VLOOKUP($A182,'The List'!$B1:$AS730,19,FALSE)," ")</f>
        <v>26.178338134857533</v>
      </c>
      <c r="M182" s="52">
        <f>IFERROR(VLOOKUP($A182,'The List'!$B1:$AS730,20,FALSE)," ")</f>
        <v>62.344716007723058</v>
      </c>
      <c r="N182" s="52">
        <f>IFERROR(VLOOKUP($A182,'The List'!$B1:$AS730,21,FALSE)," ")</f>
        <v>232.84089849014572</v>
      </c>
      <c r="O182" s="52">
        <f>IFERROR(VLOOKUP($A182,'The List'!$B1:$AS730,22,FALSE)," ")</f>
        <v>8.91521291515439</v>
      </c>
      <c r="P182" s="52">
        <f>IFERROR(VLOOKUP($A182,'The List'!$B1:$AS730,23,FALSE)," ")</f>
        <v>19.406301541116918</v>
      </c>
      <c r="Q182" s="52">
        <f>IFERROR(VLOOKUP($A182,'The List'!$B1:$AS730,24,FALSE)," ")</f>
        <v>2.9062874063566659</v>
      </c>
      <c r="R182" s="52">
        <f>IFERROR(VLOOKUP($A182,'The List'!$B1:$AS730,25,FALSE)," ")</f>
        <v>3.0412031962894819</v>
      </c>
      <c r="S182" s="52">
        <f>IFERROR(VLOOKUP($A182,'The List'!$B1:$AS730,26,FALSE)," ")</f>
        <v>31.655887951490573</v>
      </c>
      <c r="T182" s="52">
        <f>IFERROR(VLOOKUP($A182,'The List'!$B1:$AS730,27,FALSE)," ")</f>
        <v>108.00172179604489</v>
      </c>
      <c r="U182" s="52">
        <f>IFERROR(VLOOKUP($A182,'The List'!$B1:$AS730,28,FALSE)," ")</f>
        <v>8.0627565709944019E-2</v>
      </c>
      <c r="V182" s="52">
        <f>IFERROR(VLOOKUP($A182,'The List'!$B1:$AS730,29,FALSE)," ")</f>
        <v>45.228845718830783</v>
      </c>
      <c r="W182" s="52">
        <f>IFERROR(VLOOKUP($A182,'The List'!$B1:$AS730,30,FALSE)," ")</f>
        <v>5.3548320890038594</v>
      </c>
      <c r="X182" s="52">
        <f>IFERROR(VLOOKUP($A182,'The List'!$B1:$AS730,31,FALSE)," ")</f>
        <v>22.563575983958934</v>
      </c>
      <c r="Y182" s="52">
        <f>IFERROR(VLOOKUP($A182,'The List'!$B1:$AS730,32,FALSE)," ")</f>
        <v>34.455284196766264</v>
      </c>
      <c r="Z182" s="52">
        <f>IFERROR(VLOOKUP($A182,'The List'!$B1:$AS730,33,FALSE)," ")</f>
        <v>0.39572127384591899</v>
      </c>
      <c r="AA182" s="54"/>
      <c r="AB182" s="59"/>
      <c r="AC182" s="59"/>
      <c r="AD182" s="59"/>
      <c r="AE182" s="59"/>
      <c r="AF182" s="59"/>
    </row>
    <row r="183" spans="1:32" ht="21.2" customHeight="1">
      <c r="A183" s="23"/>
      <c r="B183" s="61" t="str">
        <f>IFERROR(VLOOKUP($A183,'The List'!$B1:$AS730,3,FALSE)," ")</f>
        <v xml:space="preserve"> </v>
      </c>
      <c r="C183" s="63" t="str">
        <f>IFERROR(VLOOKUP($A183,'The List'!$B1:$AS730,4,FALSE)," ")</f>
        <v xml:space="preserve"> </v>
      </c>
      <c r="D183" s="34" t="str">
        <f>IFERROR(VLOOKUP($A183,'The List'!$B1:$AS730,5,FALSE)," ")</f>
        <v xml:space="preserve"> </v>
      </c>
      <c r="E183" s="34" t="str">
        <f>IFERROR(VLOOKUP($A183,'The List'!$B1:$AS730,6,FALSE)," ")</f>
        <v xml:space="preserve"> </v>
      </c>
      <c r="F183" s="49" t="str">
        <f>IFERROR(VLOOKUP($A183,'The List'!$B1:$AS730,8,FALSE)," ")</f>
        <v xml:space="preserve"> </v>
      </c>
      <c r="G183" s="49" t="str">
        <f>IFERROR(VLOOKUP($A183,'The List'!$B1:$AS730,10,FALSE)," ")</f>
        <v xml:space="preserve"> </v>
      </c>
      <c r="H183" s="38"/>
      <c r="I183" s="52" t="str">
        <f>IFERROR(VLOOKUP($A183,'The List'!$B1:$AS730,16,FALSE)," ")</f>
        <v xml:space="preserve"> </v>
      </c>
      <c r="J183" s="52" t="str">
        <f>IFERROR(VLOOKUP($A183,'The List'!$B1:$AS730,17,FALSE)," ")</f>
        <v xml:space="preserve"> </v>
      </c>
      <c r="K183" s="52" t="str">
        <f>IFERROR(VLOOKUP($A183,'The List'!$B1:$AS730,18,FALSE)," ")</f>
        <v xml:space="preserve"> </v>
      </c>
      <c r="L183" s="52" t="str">
        <f>IFERROR(VLOOKUP($A183,'The List'!$B1:$AS730,19,FALSE)," ")</f>
        <v xml:space="preserve"> </v>
      </c>
      <c r="M183" s="52" t="str">
        <f>IFERROR(VLOOKUP($A183,'The List'!$B1:$AS730,20,FALSE)," ")</f>
        <v xml:space="preserve"> </v>
      </c>
      <c r="N183" s="52" t="str">
        <f>IFERROR(VLOOKUP($A183,'The List'!$B1:$AS730,21,FALSE)," ")</f>
        <v xml:space="preserve"> </v>
      </c>
      <c r="O183" s="52" t="str">
        <f>IFERROR(VLOOKUP($A183,'The List'!$B1:$AS730,22,FALSE)," ")</f>
        <v xml:space="preserve"> </v>
      </c>
      <c r="P183" s="52" t="str">
        <f>IFERROR(VLOOKUP($A183,'The List'!$B1:$AS730,23,FALSE)," ")</f>
        <v xml:space="preserve"> </v>
      </c>
      <c r="Q183" s="52" t="str">
        <f>IFERROR(VLOOKUP($A183,'The List'!$B1:$AS730,24,FALSE)," ")</f>
        <v xml:space="preserve"> </v>
      </c>
      <c r="R183" s="52" t="str">
        <f>IFERROR(VLOOKUP($A183,'The List'!$B1:$AS730,25,FALSE)," ")</f>
        <v xml:space="preserve"> </v>
      </c>
      <c r="S183" s="52" t="str">
        <f>IFERROR(VLOOKUP($A183,'The List'!$B1:$AS730,26,FALSE)," ")</f>
        <v xml:space="preserve"> </v>
      </c>
      <c r="T183" s="52" t="str">
        <f>IFERROR(VLOOKUP($A183,'The List'!$B1:$AS730,27,FALSE)," ")</f>
        <v xml:space="preserve"> </v>
      </c>
      <c r="U183" s="52" t="str">
        <f>IFERROR(VLOOKUP($A183,'The List'!$B1:$AS730,28,FALSE)," ")</f>
        <v xml:space="preserve"> </v>
      </c>
      <c r="V183" s="52" t="str">
        <f>IFERROR(VLOOKUP($A183,'The List'!$B1:$AS730,29,FALSE)," ")</f>
        <v xml:space="preserve"> </v>
      </c>
      <c r="W183" s="52" t="str">
        <f>IFERROR(VLOOKUP($A183,'The List'!$B1:$AS730,30,FALSE)," ")</f>
        <v xml:space="preserve"> </v>
      </c>
      <c r="X183" s="52" t="str">
        <f>IFERROR(VLOOKUP($A183,'The List'!$B1:$AS730,31,FALSE)," ")</f>
        <v xml:space="preserve"> </v>
      </c>
      <c r="Y183" s="52" t="str">
        <f>IFERROR(VLOOKUP($A183,'The List'!$B1:$AS730,32,FALSE)," ")</f>
        <v xml:space="preserve"> </v>
      </c>
      <c r="Z183" s="52" t="str">
        <f>IFERROR(VLOOKUP($A183,'The List'!$B1:$AS730,33,FALSE)," ")</f>
        <v xml:space="preserve"> </v>
      </c>
      <c r="AA183" s="54"/>
      <c r="AB183" s="59"/>
      <c r="AC183" s="59"/>
      <c r="AD183" s="59"/>
      <c r="AE183" s="59"/>
      <c r="AF183" s="59"/>
    </row>
    <row r="184" spans="1:32" ht="21.2" customHeight="1">
      <c r="A184" s="23" t="s">
        <v>916</v>
      </c>
      <c r="B184" s="64" t="str">
        <f>IFERROR(VLOOKUP($A184,'The List'!$B1:$AS730,3,FALSE)," ")</f>
        <v>LW,RW</v>
      </c>
      <c r="C184" s="66">
        <f>IFERROR(VLOOKUP($A184,'The List'!$B1:$AS730,4,FALSE)," ")</f>
        <v>22</v>
      </c>
      <c r="D184" s="34" t="str">
        <f>IFERROR(VLOOKUP($A184,'The List'!$B1:$AS730,5,FALSE)," ")</f>
        <v>DET</v>
      </c>
      <c r="E184" s="34">
        <f>IFERROR(VLOOKUP($A184,'The List'!$B1:$AS730,6,FALSE)," ")</f>
        <v>25</v>
      </c>
      <c r="F184" s="49">
        <f>IFERROR(VLOOKUP($A184,'The List'!$B1:$AS730,8,FALSE)," ")</f>
        <v>7.3446174527156405</v>
      </c>
      <c r="G184" s="49">
        <f>IFERROR(VLOOKUP($A184,'The List'!$B1:$AS730,10,FALSE)," ")</f>
        <v>1.0643587337045597</v>
      </c>
      <c r="H184" s="38"/>
      <c r="I184" s="52">
        <f>IFERROR(VLOOKUP($A184,'The List'!$B1:$AS730,16,FALSE)," ")</f>
        <v>82</v>
      </c>
      <c r="J184" s="52">
        <f>IFERROR(VLOOKUP($A184,'The List'!$B1:$AS730,17,FALSE)," ")</f>
        <v>18.349452822980201</v>
      </c>
      <c r="K184" s="52">
        <f>IFERROR(VLOOKUP($A184,'The List'!$B1:$AS730,18,FALSE)," ")</f>
        <v>32.074759610487078</v>
      </c>
      <c r="L184" s="52">
        <f>IFERROR(VLOOKUP($A184,'The List'!$B1:$AS730,19,FALSE)," ")</f>
        <v>36.96463186704559</v>
      </c>
      <c r="M184" s="52">
        <f>IFERROR(VLOOKUP($A184,'The List'!$B1:$AS730,20,FALSE)," ")</f>
        <v>69.039391477532661</v>
      </c>
      <c r="N184" s="52">
        <f>IFERROR(VLOOKUP($A184,'The List'!$B1:$AS730,21,FALSE)," ")</f>
        <v>243.38937876644468</v>
      </c>
      <c r="O184" s="52">
        <f>IFERROR(VLOOKUP($A184,'The List'!$B1:$AS730,22,FALSE)," ")</f>
        <v>10.745519593413963</v>
      </c>
      <c r="P184" s="52">
        <f>IFERROR(VLOOKUP($A184,'The List'!$B1:$AS730,23,FALSE)," ")</f>
        <v>25.695300012892883</v>
      </c>
      <c r="Q184" s="52">
        <f>IFERROR(VLOOKUP($A184,'The List'!$B1:$AS730,24,FALSE)," ")</f>
        <v>2.1371326906020026E-2</v>
      </c>
      <c r="R184" s="52">
        <f>IFERROR(VLOOKUP($A184,'The List'!$B1:$AS730,25,FALSE)," ")</f>
        <v>3.0541322599015378E-2</v>
      </c>
      <c r="S184" s="52">
        <f>IFERROR(VLOOKUP($A184,'The List'!$B1:$AS730,26,FALSE)," ")</f>
        <v>35.35285141075984</v>
      </c>
      <c r="T184" s="52">
        <f>IFERROR(VLOOKUP($A184,'The List'!$B1:$AS730,27,FALSE)," ")</f>
        <v>100.03375156011603</v>
      </c>
      <c r="U184" s="52">
        <f>IFERROR(VLOOKUP($A184,'The List'!$B1:$AS730,28,FALSE)," ")</f>
        <v>-2.4766595779919185</v>
      </c>
      <c r="V184" s="52">
        <f>IFERROR(VLOOKUP($A184,'The List'!$B1:$AS730,29,FALSE)," ")</f>
        <v>23.397408624998011</v>
      </c>
      <c r="W184" s="52">
        <f>IFERROR(VLOOKUP($A184,'The List'!$B1:$AS730,30,FALSE)," ")</f>
        <v>4.2446408905337032</v>
      </c>
      <c r="X184" s="52">
        <f>IFERROR(VLOOKUP($A184,'The List'!$B1:$AS730,31,FALSE)," ")</f>
        <v>12.695694479190465</v>
      </c>
      <c r="Y184" s="52">
        <f>IFERROR(VLOOKUP($A184,'The List'!$B1:$AS730,32,FALSE)," ")</f>
        <v>15.848377125090963</v>
      </c>
      <c r="Z184" s="52">
        <f>IFERROR(VLOOKUP($A184,'The List'!$B1:$AS730,33,FALSE)," ")</f>
        <v>0.44477517626764101</v>
      </c>
      <c r="AA184" s="54"/>
      <c r="AB184" s="59"/>
      <c r="AC184" s="59"/>
      <c r="AD184" s="59"/>
      <c r="AE184" s="59"/>
      <c r="AF184" s="59"/>
    </row>
    <row r="185" spans="1:32" ht="21.2" customHeight="1">
      <c r="A185" s="23" t="s">
        <v>153</v>
      </c>
      <c r="B185" s="64" t="str">
        <f>IFERROR(VLOOKUP($A185,'The List'!$B1:$AS730,3,FALSE)," ")</f>
        <v>LW,RW</v>
      </c>
      <c r="C185" s="66">
        <f>IFERROR(VLOOKUP($A185,'The List'!$B1:$AS730,4,FALSE)," ")</f>
        <v>14</v>
      </c>
      <c r="D185" s="34" t="str">
        <f>IFERROR(VLOOKUP($A185,'The List'!$B1:$AS730,5,FALSE)," ")</f>
        <v>ARI</v>
      </c>
      <c r="E185" s="34">
        <f>IFERROR(VLOOKUP($A185,'The List'!$B1:$AS730,6,FALSE)," ")</f>
        <v>25</v>
      </c>
      <c r="F185" s="49">
        <f>IFERROR(VLOOKUP($A185,'The List'!$B1:$AS730,8,FALSE)," ")</f>
        <v>8.4498309474357942</v>
      </c>
      <c r="G185" s="49">
        <f>IFERROR(VLOOKUP($A185,'The List'!$B1:$AS730,10,FALSE)," ")</f>
        <v>2.1695722284247134</v>
      </c>
      <c r="H185" s="38"/>
      <c r="I185" s="52">
        <f>IFERROR(VLOOKUP($A185,'The List'!$B1:$AS730,16,FALSE)," ")</f>
        <v>82</v>
      </c>
      <c r="J185" s="52">
        <f>IFERROR(VLOOKUP($A185,'The List'!$B1:$AS730,17,FALSE)," ")</f>
        <v>20.752997566882598</v>
      </c>
      <c r="K185" s="52">
        <f>IFERROR(VLOOKUP($A185,'The List'!$B1:$AS730,18,FALSE)," ")</f>
        <v>36.223519948145579</v>
      </c>
      <c r="L185" s="52">
        <f>IFERROR(VLOOKUP($A185,'The List'!$B1:$AS730,19,FALSE)," ")</f>
        <v>48.680374401920083</v>
      </c>
      <c r="M185" s="52">
        <f>IFERROR(VLOOKUP($A185,'The List'!$B1:$AS730,20,FALSE)," ")</f>
        <v>84.903894350065656</v>
      </c>
      <c r="N185" s="52">
        <f>IFERROR(VLOOKUP($A185,'The List'!$B1:$AS730,21,FALSE)," ")</f>
        <v>227.33729202192188</v>
      </c>
      <c r="O185" s="52">
        <f>IFERROR(VLOOKUP($A185,'The List'!$B1:$AS730,22,FALSE)," ")</f>
        <v>7.2734982630040186</v>
      </c>
      <c r="P185" s="52">
        <f>IFERROR(VLOOKUP($A185,'The List'!$B1:$AS730,23,FALSE)," ")</f>
        <v>19.978512260992517</v>
      </c>
      <c r="Q185" s="52">
        <f>IFERROR(VLOOKUP($A185,'The List'!$B1:$AS730,24,FALSE)," ")</f>
        <v>0.62946868319857308</v>
      </c>
      <c r="R185" s="52">
        <f>IFERROR(VLOOKUP($A185,'The List'!$B1:$AS730,25,FALSE)," ")</f>
        <v>0.92686264257586859</v>
      </c>
      <c r="S185" s="52">
        <f>IFERROR(VLOOKUP($A185,'The List'!$B1:$AS730,26,FALSE)," ")</f>
        <v>35.028060496969026</v>
      </c>
      <c r="T185" s="52">
        <f>IFERROR(VLOOKUP($A185,'The List'!$B1:$AS730,27,FALSE)," ")</f>
        <v>23.985041786161879</v>
      </c>
      <c r="U185" s="52">
        <f>IFERROR(VLOOKUP($A185,'The List'!$B1:$AS730,28,FALSE)," ")</f>
        <v>-2.6427020540413366</v>
      </c>
      <c r="V185" s="52">
        <f>IFERROR(VLOOKUP($A185,'The List'!$B1:$AS730,29,FALSE)," ")</f>
        <v>38.648767517232933</v>
      </c>
      <c r="W185" s="52">
        <f>IFERROR(VLOOKUP($A185,'The List'!$B1:$AS730,30,FALSE)," ")</f>
        <v>4.5712849812302414</v>
      </c>
      <c r="X185" s="52">
        <f>IFERROR(VLOOKUP($A185,'The List'!$B1:$AS730,31,FALSE)," ")</f>
        <v>26.347606276852996</v>
      </c>
      <c r="Y185" s="52">
        <f>IFERROR(VLOOKUP($A185,'The List'!$B1:$AS730,32,FALSE)," ")</f>
        <v>40.614593262894516</v>
      </c>
      <c r="Z185" s="52">
        <f>IFERROR(VLOOKUP($A185,'The List'!$B1:$AS730,33,FALSE)," ")</f>
        <v>0.39346984504613702</v>
      </c>
      <c r="AA185" s="54"/>
      <c r="AB185" s="59"/>
      <c r="AC185" s="59"/>
      <c r="AD185" s="59"/>
      <c r="AE185" s="59"/>
      <c r="AF185" s="59"/>
    </row>
    <row r="186" spans="1:32" ht="21.2" customHeight="1">
      <c r="A186" s="23" t="s">
        <v>259</v>
      </c>
      <c r="B186" s="64" t="str">
        <f>IFERROR(VLOOKUP($A186,'The List'!$B1:$AS730,3,FALSE)," ")</f>
        <v>RW</v>
      </c>
      <c r="C186" s="66">
        <f>IFERROR(VLOOKUP($A186,'The List'!$B1:$AS730,4,FALSE)," ")</f>
        <v>45</v>
      </c>
      <c r="D186" s="34" t="str">
        <f>IFERROR(VLOOKUP($A186,'The List'!$B1:$AS730,5,FALSE)," ")</f>
        <v>PHI</v>
      </c>
      <c r="E186" s="34">
        <f>IFERROR(VLOOKUP($A186,'The List'!$B1:$AS730,6,FALSE)," ")</f>
        <v>24</v>
      </c>
      <c r="F186" s="49">
        <f>IFERROR(VLOOKUP($A186,'The List'!$B1:$AS730,8,FALSE)," ")</f>
        <v>4.4518812384863455</v>
      </c>
      <c r="G186" s="49">
        <f>IFERROR(VLOOKUP($A186,'The List'!$B1:$AS730,10,FALSE)," ")</f>
        <v>-1.8283774805247353</v>
      </c>
      <c r="H186" s="38"/>
      <c r="I186" s="52">
        <f>IFERROR(VLOOKUP($A186,'The List'!$B1:$AS730,16,FALSE)," ")</f>
        <v>82</v>
      </c>
      <c r="J186" s="52">
        <f>IFERROR(VLOOKUP($A186,'The List'!$B1:$AS730,17,FALSE)," ")</f>
        <v>17.771215631879599</v>
      </c>
      <c r="K186" s="52">
        <f>IFERROR(VLOOKUP($A186,'The List'!$B1:$AS730,18,FALSE)," ")</f>
        <v>27.250679315680927</v>
      </c>
      <c r="L186" s="52">
        <f>IFERROR(VLOOKUP($A186,'The List'!$B1:$AS730,19,FALSE)," ")</f>
        <v>26.905883234875972</v>
      </c>
      <c r="M186" s="52">
        <f>IFERROR(VLOOKUP($A186,'The List'!$B1:$AS730,20,FALSE)," ")</f>
        <v>54.156562550556899</v>
      </c>
      <c r="N186" s="52">
        <f>IFERROR(VLOOKUP($A186,'The List'!$B1:$AS730,21,FALSE)," ")</f>
        <v>244.95657680450441</v>
      </c>
      <c r="O186" s="52">
        <f>IFERROR(VLOOKUP($A186,'The List'!$B1:$AS730,22,FALSE)," ")</f>
        <v>8.5284586324716045</v>
      </c>
      <c r="P186" s="52">
        <f>IFERROR(VLOOKUP($A186,'The List'!$B1:$AS730,23,FALSE)," ")</f>
        <v>15.010812414318837</v>
      </c>
      <c r="Q186" s="52">
        <f>IFERROR(VLOOKUP($A186,'The List'!$B1:$AS730,24,FALSE)," ")</f>
        <v>7.9209633712605462E-2</v>
      </c>
      <c r="R186" s="52">
        <f>IFERROR(VLOOKUP($A186,'The List'!$B1:$AS730,25,FALSE)," ")</f>
        <v>0.16577469097634123</v>
      </c>
      <c r="S186" s="52">
        <f>IFERROR(VLOOKUP($A186,'The List'!$B1:$AS730,26,FALSE)," ")</f>
        <v>59.161946401442286</v>
      </c>
      <c r="T186" s="52">
        <f>IFERROR(VLOOKUP($A186,'The List'!$B1:$AS730,27,FALSE)," ")</f>
        <v>132.58304291576627</v>
      </c>
      <c r="U186" s="52">
        <f>IFERROR(VLOOKUP($A186,'The List'!$B1:$AS730,28,FALSE)," ")</f>
        <v>-6.1343733153621933</v>
      </c>
      <c r="V186" s="52">
        <f>IFERROR(VLOOKUP($A186,'The List'!$B1:$AS730,29,FALSE)," ")</f>
        <v>21.890435811611077</v>
      </c>
      <c r="W186" s="52">
        <f>IFERROR(VLOOKUP($A186,'The List'!$B1:$AS730,30,FALSE)," ")</f>
        <v>3.2031986060731485</v>
      </c>
      <c r="X186" s="52">
        <f>IFERROR(VLOOKUP($A186,'The List'!$B1:$AS730,31,FALSE)," ")</f>
        <v>21.191050170071016</v>
      </c>
      <c r="Y186" s="52">
        <f>IFERROR(VLOOKUP($A186,'The List'!$B1:$AS730,32,FALSE)," ")</f>
        <v>16.482538018049695</v>
      </c>
      <c r="Z186" s="52">
        <f>IFERROR(VLOOKUP($A186,'The List'!$B1:$AS730,33,FALSE)," ")</f>
        <v>0.56249089054790302</v>
      </c>
      <c r="AA186" s="54"/>
      <c r="AB186" s="59"/>
      <c r="AC186" s="59"/>
      <c r="AD186" s="59"/>
      <c r="AE186" s="59"/>
      <c r="AF186" s="59"/>
    </row>
    <row r="187" spans="1:32" ht="21.2" customHeight="1">
      <c r="A187" s="23"/>
      <c r="B187" s="64" t="str">
        <f>IFERROR(VLOOKUP($A187,'The List'!$B1:$AS730,3,FALSE)," ")</f>
        <v xml:space="preserve"> </v>
      </c>
      <c r="C187" s="66" t="str">
        <f>IFERROR(VLOOKUP($A187,'The List'!$B1:$AS730,4,FALSE)," ")</f>
        <v xml:space="preserve"> </v>
      </c>
      <c r="D187" s="34" t="str">
        <f>IFERROR(VLOOKUP($A187,'The List'!$B1:$AS730,5,FALSE)," ")</f>
        <v xml:space="preserve"> </v>
      </c>
      <c r="E187" s="34" t="str">
        <f>IFERROR(VLOOKUP($A187,'The List'!$B1:$AS730,6,FALSE)," ")</f>
        <v xml:space="preserve"> </v>
      </c>
      <c r="F187" s="49" t="str">
        <f>IFERROR(VLOOKUP($A187,'The List'!$B1:$AS730,8,FALSE)," ")</f>
        <v xml:space="preserve"> </v>
      </c>
      <c r="G187" s="49" t="str">
        <f>IFERROR(VLOOKUP($A187,'The List'!$B1:$AS730,10,FALSE)," ")</f>
        <v xml:space="preserve"> </v>
      </c>
      <c r="H187" s="38"/>
      <c r="I187" s="52" t="str">
        <f>IFERROR(VLOOKUP($A187,'The List'!$B1:$AS730,16,FALSE)," ")</f>
        <v xml:space="preserve"> </v>
      </c>
      <c r="J187" s="52" t="str">
        <f>IFERROR(VLOOKUP($A187,'The List'!$B1:$AS730,17,FALSE)," ")</f>
        <v xml:space="preserve"> </v>
      </c>
      <c r="K187" s="52" t="str">
        <f>IFERROR(VLOOKUP($A187,'The List'!$B1:$AS730,18,FALSE)," ")</f>
        <v xml:space="preserve"> </v>
      </c>
      <c r="L187" s="52" t="str">
        <f>IFERROR(VLOOKUP($A187,'The List'!$B1:$AS730,19,FALSE)," ")</f>
        <v xml:space="preserve"> </v>
      </c>
      <c r="M187" s="52" t="str">
        <f>IFERROR(VLOOKUP($A187,'The List'!$B1:$AS730,20,FALSE)," ")</f>
        <v xml:space="preserve"> </v>
      </c>
      <c r="N187" s="52" t="str">
        <f>IFERROR(VLOOKUP($A187,'The List'!$B1:$AS730,21,FALSE)," ")</f>
        <v xml:space="preserve"> </v>
      </c>
      <c r="O187" s="52" t="str">
        <f>IFERROR(VLOOKUP($A187,'The List'!$B1:$AS730,22,FALSE)," ")</f>
        <v xml:space="preserve"> </v>
      </c>
      <c r="P187" s="52" t="str">
        <f>IFERROR(VLOOKUP($A187,'The List'!$B1:$AS730,23,FALSE)," ")</f>
        <v xml:space="preserve"> </v>
      </c>
      <c r="Q187" s="52" t="str">
        <f>IFERROR(VLOOKUP($A187,'The List'!$B1:$AS730,24,FALSE)," ")</f>
        <v xml:space="preserve"> </v>
      </c>
      <c r="R187" s="52" t="str">
        <f>IFERROR(VLOOKUP($A187,'The List'!$B1:$AS730,25,FALSE)," ")</f>
        <v xml:space="preserve"> </v>
      </c>
      <c r="S187" s="52" t="str">
        <f>IFERROR(VLOOKUP($A187,'The List'!$B1:$AS730,26,FALSE)," ")</f>
        <v xml:space="preserve"> </v>
      </c>
      <c r="T187" s="52" t="str">
        <f>IFERROR(VLOOKUP($A187,'The List'!$B1:$AS730,27,FALSE)," ")</f>
        <v xml:space="preserve"> </v>
      </c>
      <c r="U187" s="52" t="str">
        <f>IFERROR(VLOOKUP($A187,'The List'!$B1:$AS730,28,FALSE)," ")</f>
        <v xml:space="preserve"> </v>
      </c>
      <c r="V187" s="52" t="str">
        <f>IFERROR(VLOOKUP($A187,'The List'!$B1:$AS730,29,FALSE)," ")</f>
        <v xml:space="preserve"> </v>
      </c>
      <c r="W187" s="52" t="str">
        <f>IFERROR(VLOOKUP($A187,'The List'!$B1:$AS730,30,FALSE)," ")</f>
        <v xml:space="preserve"> </v>
      </c>
      <c r="X187" s="52" t="str">
        <f>IFERROR(VLOOKUP($A187,'The List'!$B1:$AS730,31,FALSE)," ")</f>
        <v xml:space="preserve"> </v>
      </c>
      <c r="Y187" s="52" t="str">
        <f>IFERROR(VLOOKUP($A187,'The List'!$B1:$AS730,32,FALSE)," ")</f>
        <v xml:space="preserve"> </v>
      </c>
      <c r="Z187" s="52" t="str">
        <f>IFERROR(VLOOKUP($A187,'The List'!$B1:$AS730,33,FALSE)," ")</f>
        <v xml:space="preserve"> </v>
      </c>
      <c r="AA187" s="54"/>
      <c r="AB187" s="59"/>
      <c r="AC187" s="59"/>
      <c r="AD187" s="59"/>
      <c r="AE187" s="59"/>
      <c r="AF187" s="59"/>
    </row>
    <row r="188" spans="1:32" ht="21.2" customHeight="1">
      <c r="A188" s="23" t="s">
        <v>180</v>
      </c>
      <c r="B188" s="67" t="str">
        <f>IFERROR(VLOOKUP($A188,'The List'!$B1:$AS730,3,FALSE)," ")</f>
        <v>D</v>
      </c>
      <c r="C188" s="69">
        <f>IFERROR(VLOOKUP($A188,'The List'!$B1:$AS730,4,FALSE)," ")</f>
        <v>14</v>
      </c>
      <c r="D188" s="34" t="str">
        <f>IFERROR(VLOOKUP($A188,'The List'!$B1:$AS730,5,FALSE)," ")</f>
        <v>CBJ</v>
      </c>
      <c r="E188" s="34">
        <f>IFERROR(VLOOKUP($A188,'The List'!$B1:$AS730,6,FALSE)," ")</f>
        <v>26</v>
      </c>
      <c r="F188" s="49">
        <f>IFERROR(VLOOKUP($A188,'The List'!$B1:$AS730,8,FALSE)," ")</f>
        <v>4.5400515332521438</v>
      </c>
      <c r="G188" s="49">
        <f>IFERROR(VLOOKUP($A188,'The List'!$B1:$AS730,10,FALSE)," ")</f>
        <v>2.5983109896178331</v>
      </c>
      <c r="H188" s="38"/>
      <c r="I188" s="52">
        <f>IFERROR(VLOOKUP($A188,'The List'!$B1:$AS730,16,FALSE)," ")</f>
        <v>82</v>
      </c>
      <c r="J188" s="52">
        <f>IFERROR(VLOOKUP($A188,'The List'!$B1:$AS730,17,FALSE)," ")</f>
        <v>23.705320885905302</v>
      </c>
      <c r="K188" s="52">
        <f>IFERROR(VLOOKUP($A188,'The List'!$B1:$AS730,18,FALSE)," ")</f>
        <v>14.353826528135203</v>
      </c>
      <c r="L188" s="52">
        <f>IFERROR(VLOOKUP($A188,'The List'!$B1:$AS730,19,FALSE)," ")</f>
        <v>42.735162859935706</v>
      </c>
      <c r="M188" s="52">
        <f>IFERROR(VLOOKUP($A188,'The List'!$B1:$AS730,20,FALSE)," ")</f>
        <v>57.088989388070907</v>
      </c>
      <c r="N188" s="52">
        <f>IFERROR(VLOOKUP($A188,'The List'!$B1:$AS730,21,FALSE)," ")</f>
        <v>232.26192829178564</v>
      </c>
      <c r="O188" s="52">
        <f>IFERROR(VLOOKUP($A188,'The List'!$B1:$AS730,22,FALSE)," ")</f>
        <v>3.3997233034032734</v>
      </c>
      <c r="P188" s="52">
        <f>IFERROR(VLOOKUP($A188,'The List'!$B1:$AS730,23,FALSE)," ")</f>
        <v>17.597043403621853</v>
      </c>
      <c r="Q188" s="52">
        <f>IFERROR(VLOOKUP($A188,'The List'!$B1:$AS730,24,FALSE)," ")</f>
        <v>3.6893205681476214E-2</v>
      </c>
      <c r="R188" s="52">
        <f>IFERROR(VLOOKUP($A188,'The List'!$B1:$AS730,25,FALSE)," ")</f>
        <v>0.46115738911185572</v>
      </c>
      <c r="S188" s="52">
        <f>IFERROR(VLOOKUP($A188,'The List'!$B1:$AS730,26,FALSE)," ")</f>
        <v>116.59434534140939</v>
      </c>
      <c r="T188" s="52">
        <f>IFERROR(VLOOKUP($A188,'The List'!$B1:$AS730,27,FALSE)," ")</f>
        <v>59.642742505668906</v>
      </c>
      <c r="U188" s="52">
        <f>IFERROR(VLOOKUP($A188,'The List'!$B1:$AS730,28,FALSE)," ")</f>
        <v>-5.9851101333287149</v>
      </c>
      <c r="V188" s="52">
        <f>IFERROR(VLOOKUP($A188,'The List'!$B1:$AS730,29,FALSE)," ")</f>
        <v>27.835023536425219</v>
      </c>
      <c r="W188" s="52">
        <f>IFERROR(VLOOKUP($A188,'The List'!$B1:$AS730,30,FALSE)," ")</f>
        <v>1.5381113412733232</v>
      </c>
      <c r="X188" s="52">
        <f>IFERROR(VLOOKUP($A188,'The List'!$B1:$AS730,31,FALSE)," ")</f>
        <v>0</v>
      </c>
      <c r="Y188" s="52">
        <f>IFERROR(VLOOKUP($A188,'The List'!$B1:$AS730,32,FALSE)," ")</f>
        <v>0</v>
      </c>
      <c r="Z188" s="52">
        <f>IFERROR(VLOOKUP($A188,'The List'!$B1:$AS730,33,FALSE)," ")</f>
        <v>0</v>
      </c>
      <c r="AA188" s="54"/>
      <c r="AB188" s="59"/>
      <c r="AC188" s="59"/>
      <c r="AD188" s="59"/>
      <c r="AE188" s="59"/>
      <c r="AF188" s="59"/>
    </row>
    <row r="189" spans="1:32" ht="21.2" customHeight="1">
      <c r="A189" s="23" t="s">
        <v>364</v>
      </c>
      <c r="B189" s="67" t="str">
        <f>IFERROR(VLOOKUP($A189,'The List'!$B1:$AS730,3,FALSE)," ")</f>
        <v>D</v>
      </c>
      <c r="C189" s="69">
        <f>IFERROR(VLOOKUP($A189,'The List'!$B1:$AS730,4,FALSE)," ")</f>
        <v>72</v>
      </c>
      <c r="D189" s="34" t="str">
        <f>IFERROR(VLOOKUP($A189,'The List'!$B1:$AS730,5,FALSE)," ")</f>
        <v>WSH</v>
      </c>
      <c r="E189" s="34">
        <f>IFERROR(VLOOKUP($A189,'The List'!$B1:$AS730,6,FALSE)," ")</f>
        <v>23</v>
      </c>
      <c r="F189" s="49">
        <f>IFERROR(VLOOKUP($A189,'The List'!$B1:$AS730,8,FALSE)," ")</f>
        <v>-1.5256708090529725</v>
      </c>
      <c r="G189" s="49">
        <f>IFERROR(VLOOKUP($A189,'The List'!$B1:$AS730,10,FALSE)," ")</f>
        <v>-3.4674113526872832</v>
      </c>
      <c r="H189" s="38"/>
      <c r="I189" s="52">
        <f>IFERROR(VLOOKUP($A189,'The List'!$B1:$AS730,16,FALSE)," ")</f>
        <v>82</v>
      </c>
      <c r="J189" s="52">
        <f>IFERROR(VLOOKUP($A189,'The List'!$B1:$AS730,17,FALSE)," ")</f>
        <v>18.639695703996701</v>
      </c>
      <c r="K189" s="52">
        <f>IFERROR(VLOOKUP($A189,'The List'!$B1:$AS730,18,FALSE)," ")</f>
        <v>7.9592988846245314</v>
      </c>
      <c r="L189" s="52">
        <f>IFERROR(VLOOKUP($A189,'The List'!$B1:$AS730,19,FALSE)," ")</f>
        <v>26.460145766238405</v>
      </c>
      <c r="M189" s="52">
        <f>IFERROR(VLOOKUP($A189,'The List'!$B1:$AS730,20,FALSE)," ")</f>
        <v>34.419444650862935</v>
      </c>
      <c r="N189" s="52">
        <f>IFERROR(VLOOKUP($A189,'The List'!$B1:$AS730,21,FALSE)," ")</f>
        <v>99.760638178229996</v>
      </c>
      <c r="O189" s="52">
        <f>IFERROR(VLOOKUP($A189,'The List'!$B1:$AS730,22,FALSE)," ")</f>
        <v>0.26798403709975205</v>
      </c>
      <c r="P189" s="52">
        <f>IFERROR(VLOOKUP($A189,'The List'!$B1:$AS730,23,FALSE)," ")</f>
        <v>7.1301449021630159</v>
      </c>
      <c r="Q189" s="52">
        <f>IFERROR(VLOOKUP($A189,'The List'!$B1:$AS730,24,FALSE)," ")</f>
        <v>1.0764994299928584E-2</v>
      </c>
      <c r="R189" s="52">
        <f>IFERROR(VLOOKUP($A189,'The List'!$B1:$AS730,25,FALSE)," ")</f>
        <v>4.5877938935800909E-2</v>
      </c>
      <c r="S189" s="52">
        <f>IFERROR(VLOOKUP($A189,'The List'!$B1:$AS730,26,FALSE)," ")</f>
        <v>102.68314995095533</v>
      </c>
      <c r="T189" s="52">
        <f>IFERROR(VLOOKUP($A189,'The List'!$B1:$AS730,27,FALSE)," ")</f>
        <v>154.36298854948905</v>
      </c>
      <c r="U189" s="52">
        <f>IFERROR(VLOOKUP($A189,'The List'!$B1:$AS730,28,FALSE)," ")</f>
        <v>-1.4069249606053376</v>
      </c>
      <c r="V189" s="52">
        <f>IFERROR(VLOOKUP($A189,'The List'!$B1:$AS730,29,FALSE)," ")</f>
        <v>32.506076825734361</v>
      </c>
      <c r="W189" s="52">
        <f>IFERROR(VLOOKUP($A189,'The List'!$B1:$AS730,30,FALSE)," ")</f>
        <v>0.97904061675316389</v>
      </c>
      <c r="X189" s="52">
        <f>IFERROR(VLOOKUP($A189,'The List'!$B1:$AS730,31,FALSE)," ")</f>
        <v>0</v>
      </c>
      <c r="Y189" s="52">
        <f>IFERROR(VLOOKUP($A189,'The List'!$B1:$AS730,32,FALSE)," ")</f>
        <v>0</v>
      </c>
      <c r="Z189" s="52">
        <f>IFERROR(VLOOKUP($A189,'The List'!$B1:$AS730,33,FALSE)," ")</f>
        <v>0</v>
      </c>
      <c r="AA189" s="54"/>
      <c r="AB189" s="59"/>
      <c r="AC189" s="59"/>
      <c r="AD189" s="59"/>
      <c r="AE189" s="59"/>
      <c r="AF189" s="59"/>
    </row>
    <row r="190" spans="1:32" ht="21.2" customHeight="1">
      <c r="A190" s="23" t="s">
        <v>390</v>
      </c>
      <c r="B190" s="67" t="str">
        <f>IFERROR(VLOOKUP($A190,'The List'!$B1:$AS730,3,FALSE)," ")</f>
        <v>D</v>
      </c>
      <c r="C190" s="69">
        <f>IFERROR(VLOOKUP($A190,'The List'!$B1:$AS730,4,FALSE)," ")</f>
        <v>114</v>
      </c>
      <c r="D190" s="34" t="str">
        <f>IFERROR(VLOOKUP($A190,'The List'!$B1:$AS730,5,FALSE)," ")</f>
        <v>ANA</v>
      </c>
      <c r="E190" s="34">
        <f>IFERROR(VLOOKUP($A190,'The List'!$B1:$AS730,6,FALSE)," ")</f>
        <v>33</v>
      </c>
      <c r="F190" s="49">
        <f>IFERROR(VLOOKUP($A190,'The List'!$B1:$AS730,8,FALSE)," ")</f>
        <v>-3.3781292291857046</v>
      </c>
      <c r="G190" s="49">
        <f>IFERROR(VLOOKUP($A190,'The List'!$B1:$AS730,10,FALSE)," ")</f>
        <v>-5.3198697728200148</v>
      </c>
      <c r="H190" s="38"/>
      <c r="I190" s="52">
        <f>IFERROR(VLOOKUP($A190,'The List'!$B1:$AS730,16,FALSE)," ")</f>
        <v>82</v>
      </c>
      <c r="J190" s="52">
        <f>IFERROR(VLOOKUP($A190,'The List'!$B1:$AS730,17,FALSE)," ")</f>
        <v>20.005505301360301</v>
      </c>
      <c r="K190" s="52">
        <f>IFERROR(VLOOKUP($A190,'The List'!$B1:$AS730,18,FALSE)," ")</f>
        <v>3.0791700895377114</v>
      </c>
      <c r="L190" s="52">
        <f>IFERROR(VLOOKUP($A190,'The List'!$B1:$AS730,19,FALSE)," ")</f>
        <v>17.073855461574716</v>
      </c>
      <c r="M190" s="52">
        <f>IFERROR(VLOOKUP($A190,'The List'!$B1:$AS730,20,FALSE)," ")</f>
        <v>20.153025551112428</v>
      </c>
      <c r="N190" s="52">
        <f>IFERROR(VLOOKUP($A190,'The List'!$B1:$AS730,21,FALSE)," ")</f>
        <v>135.42991586254138</v>
      </c>
      <c r="O190" s="52">
        <f>IFERROR(VLOOKUP($A190,'The List'!$B1:$AS730,22,FALSE)," ")</f>
        <v>6.1184061449055478E-2</v>
      </c>
      <c r="P190" s="52">
        <f>IFERROR(VLOOKUP($A190,'The List'!$B1:$AS730,23,FALSE)," ")</f>
        <v>0.4120538913135941</v>
      </c>
      <c r="Q190" s="52">
        <f>IFERROR(VLOOKUP($A190,'The List'!$B1:$AS730,24,FALSE)," ")</f>
        <v>0.25038275632665774</v>
      </c>
      <c r="R190" s="52">
        <f>IFERROR(VLOOKUP($A190,'The List'!$B1:$AS730,25,FALSE)," ")</f>
        <v>0.13622028645159284</v>
      </c>
      <c r="S190" s="52">
        <f>IFERROR(VLOOKUP($A190,'The List'!$B1:$AS730,26,FALSE)," ")</f>
        <v>150.95636381080689</v>
      </c>
      <c r="T190" s="52">
        <f>IFERROR(VLOOKUP($A190,'The List'!$B1:$AS730,27,FALSE)," ")</f>
        <v>347.19847044250895</v>
      </c>
      <c r="U190" s="52">
        <f>IFERROR(VLOOKUP($A190,'The List'!$B1:$AS730,28,FALSE)," ")</f>
        <v>-4.5203993083811698</v>
      </c>
      <c r="V190" s="52">
        <f>IFERROR(VLOOKUP($A190,'The List'!$B1:$AS730,29,FALSE)," ")</f>
        <v>90.259271492171308</v>
      </c>
      <c r="W190" s="52">
        <f>IFERROR(VLOOKUP($A190,'The List'!$B1:$AS730,30,FALSE)," ")</f>
        <v>0.29517856132962789</v>
      </c>
      <c r="X190" s="52">
        <f>IFERROR(VLOOKUP($A190,'The List'!$B1:$AS730,31,FALSE)," ")</f>
        <v>0</v>
      </c>
      <c r="Y190" s="52">
        <f>IFERROR(VLOOKUP($A190,'The List'!$B1:$AS730,32,FALSE)," ")</f>
        <v>0</v>
      </c>
      <c r="Z190" s="52">
        <f>IFERROR(VLOOKUP($A190,'The List'!$B1:$AS730,33,FALSE)," ")</f>
        <v>0</v>
      </c>
      <c r="AA190" s="54"/>
      <c r="AB190" s="59"/>
      <c r="AC190" s="59"/>
      <c r="AD190" s="59"/>
      <c r="AE190" s="59"/>
      <c r="AF190" s="59"/>
    </row>
    <row r="191" spans="1:32" ht="21.2" customHeight="1">
      <c r="A191" s="23" t="s">
        <v>438</v>
      </c>
      <c r="B191" s="67" t="str">
        <f>IFERROR(VLOOKUP($A191,'The List'!$B1:$AS730,3,FALSE)," ")</f>
        <v>D</v>
      </c>
      <c r="C191" s="69">
        <f>IFERROR(VLOOKUP($A191,'The List'!$B1:$AS730,4,FALSE)," ")</f>
        <v>149</v>
      </c>
      <c r="D191" s="34" t="str">
        <f>IFERROR(VLOOKUP($A191,'The List'!$B1:$AS730,5,FALSE)," ")</f>
        <v>VGK</v>
      </c>
      <c r="E191" s="34">
        <f>IFERROR(VLOOKUP($A191,'The List'!$B1:$AS730,6,FALSE)," ")</f>
        <v>36</v>
      </c>
      <c r="F191" s="49">
        <f>IFERROR(VLOOKUP($A191,'The List'!$B1:$AS730,8,FALSE)," ")</f>
        <v>-4.0472795879918957</v>
      </c>
      <c r="G191" s="49">
        <f>IFERROR(VLOOKUP($A191,'The List'!$B1:$AS730,10,FALSE)," ")</f>
        <v>-5.9890201316262068</v>
      </c>
      <c r="H191" s="38"/>
      <c r="I191" s="52">
        <f>IFERROR(VLOOKUP($A191,'The List'!$B1:$AS730,16,FALSE)," ")</f>
        <v>82</v>
      </c>
      <c r="J191" s="52">
        <f>IFERROR(VLOOKUP($A191,'The List'!$B1:$AS730,17,FALSE)," ")</f>
        <v>19.539667494803201</v>
      </c>
      <c r="K191" s="52">
        <f>IFERROR(VLOOKUP($A191,'The List'!$B1:$AS730,18,FALSE)," ")</f>
        <v>5.0126422976419782</v>
      </c>
      <c r="L191" s="52">
        <f>IFERROR(VLOOKUP($A191,'The List'!$B1:$AS730,19,FALSE)," ")</f>
        <v>15.287981430982502</v>
      </c>
      <c r="M191" s="52">
        <f>IFERROR(VLOOKUP($A191,'The List'!$B1:$AS730,20,FALSE)," ")</f>
        <v>20.30062372862448</v>
      </c>
      <c r="N191" s="52">
        <f>IFERROR(VLOOKUP($A191,'The List'!$B1:$AS730,21,FALSE)," ")</f>
        <v>91.248890066920637</v>
      </c>
      <c r="O191" s="52">
        <f>IFERROR(VLOOKUP($A191,'The List'!$B1:$AS730,22,FALSE)," ")</f>
        <v>0.13494797303008924</v>
      </c>
      <c r="P191" s="52">
        <f>IFERROR(VLOOKUP($A191,'The List'!$B1:$AS730,23,FALSE)," ")</f>
        <v>0.51240084932878438</v>
      </c>
      <c r="Q191" s="52">
        <f>IFERROR(VLOOKUP($A191,'The List'!$B1:$AS730,24,FALSE)," ")</f>
        <v>-5.3465672432916583E-2</v>
      </c>
      <c r="R191" s="52">
        <f>IFERROR(VLOOKUP($A191,'The List'!$B1:$AS730,25,FALSE)," ")</f>
        <v>-0.28186771509823227</v>
      </c>
      <c r="S191" s="52">
        <f>IFERROR(VLOOKUP($A191,'The List'!$B1:$AS730,26,FALSE)," ")</f>
        <v>226.83815159797629</v>
      </c>
      <c r="T191" s="52">
        <f>IFERROR(VLOOKUP($A191,'The List'!$B1:$AS730,27,FALSE)," ")</f>
        <v>73.676453111209</v>
      </c>
      <c r="U191" s="52">
        <f>IFERROR(VLOOKUP($A191,'The List'!$B1:$AS730,28,FALSE)," ")</f>
        <v>6.5353023645471966</v>
      </c>
      <c r="V191" s="52">
        <f>IFERROR(VLOOKUP($A191,'The List'!$B1:$AS730,29,FALSE)," ")</f>
        <v>27.348719537222497</v>
      </c>
      <c r="W191" s="52">
        <f>IFERROR(VLOOKUP($A191,'The List'!$B1:$AS730,30,FALSE)," ")</f>
        <v>0.81920252016630579</v>
      </c>
      <c r="X191" s="52">
        <f>IFERROR(VLOOKUP($A191,'The List'!$B1:$AS730,31,FALSE)," ")</f>
        <v>0</v>
      </c>
      <c r="Y191" s="52">
        <f>IFERROR(VLOOKUP($A191,'The List'!$B1:$AS730,32,FALSE)," ")</f>
        <v>0</v>
      </c>
      <c r="Z191" s="52">
        <f>IFERROR(VLOOKUP($A191,'The List'!$B1:$AS730,33,FALSE)," ")</f>
        <v>0</v>
      </c>
      <c r="AA191" s="54"/>
      <c r="AB191" s="59"/>
      <c r="AC191" s="59"/>
      <c r="AD191" s="59"/>
      <c r="AE191" s="59"/>
      <c r="AF191" s="59"/>
    </row>
    <row r="192" spans="1:32" ht="21.2" customHeight="1">
      <c r="A192" s="23"/>
      <c r="B192" s="67" t="str">
        <f>IFERROR(VLOOKUP($A192,'The List'!$B1:$AS730,3,FALSE)," ")</f>
        <v xml:space="preserve"> </v>
      </c>
      <c r="C192" s="69" t="str">
        <f>IFERROR(VLOOKUP($A192,'The List'!$B1:$AS730,4,FALSE)," ")</f>
        <v xml:space="preserve"> </v>
      </c>
      <c r="D192" s="34" t="str">
        <f>IFERROR(VLOOKUP($A192,'The List'!$B1:$AS730,5,FALSE)," ")</f>
        <v xml:space="preserve"> </v>
      </c>
      <c r="E192" s="34" t="str">
        <f>IFERROR(VLOOKUP($A192,'The List'!$B1:$AS730,6,FALSE)," ")</f>
        <v xml:space="preserve"> </v>
      </c>
      <c r="F192" s="49" t="str">
        <f>IFERROR(VLOOKUP($A192,'The List'!$B1:$AS730,8,FALSE)," ")</f>
        <v xml:space="preserve"> </v>
      </c>
      <c r="G192" s="49" t="str">
        <f>IFERROR(VLOOKUP($A192,'The List'!$B1:$AS730,10,FALSE)," ")</f>
        <v xml:space="preserve"> </v>
      </c>
      <c r="H192" s="38"/>
      <c r="I192" s="52" t="str">
        <f>IFERROR(VLOOKUP($A192,'The List'!$B1:$AS730,16,FALSE)," ")</f>
        <v xml:space="preserve"> </v>
      </c>
      <c r="J192" s="52" t="str">
        <f>IFERROR(VLOOKUP($A192,'The List'!$B1:$AS730,17,FALSE)," ")</f>
        <v xml:space="preserve"> </v>
      </c>
      <c r="K192" s="52" t="str">
        <f>IFERROR(VLOOKUP($A192,'The List'!$B1:$AS730,18,FALSE)," ")</f>
        <v xml:space="preserve"> </v>
      </c>
      <c r="L192" s="52" t="str">
        <f>IFERROR(VLOOKUP($A192,'The List'!$B1:$AS730,19,FALSE)," ")</f>
        <v xml:space="preserve"> </v>
      </c>
      <c r="M192" s="52" t="str">
        <f>IFERROR(VLOOKUP($A192,'The List'!$B1:$AS730,20,FALSE)," ")</f>
        <v xml:space="preserve"> </v>
      </c>
      <c r="N192" s="52" t="str">
        <f>IFERROR(VLOOKUP($A192,'The List'!$B1:$AS730,21,FALSE)," ")</f>
        <v xml:space="preserve"> </v>
      </c>
      <c r="O192" s="52" t="str">
        <f>IFERROR(VLOOKUP($A192,'The List'!$B1:$AS730,22,FALSE)," ")</f>
        <v xml:space="preserve"> </v>
      </c>
      <c r="P192" s="52" t="str">
        <f>IFERROR(VLOOKUP($A192,'The List'!$B1:$AS730,23,FALSE)," ")</f>
        <v xml:space="preserve"> </v>
      </c>
      <c r="Q192" s="52" t="str">
        <f>IFERROR(VLOOKUP($A192,'The List'!$B1:$AS730,24,FALSE)," ")</f>
        <v xml:space="preserve"> </v>
      </c>
      <c r="R192" s="52" t="str">
        <f>IFERROR(VLOOKUP($A192,'The List'!$B1:$AS730,25,FALSE)," ")</f>
        <v xml:space="preserve"> </v>
      </c>
      <c r="S192" s="52" t="str">
        <f>IFERROR(VLOOKUP($A192,'The List'!$B1:$AS730,26,FALSE)," ")</f>
        <v xml:space="preserve"> </v>
      </c>
      <c r="T192" s="52" t="str">
        <f>IFERROR(VLOOKUP($A192,'The List'!$B1:$AS730,27,FALSE)," ")</f>
        <v xml:space="preserve"> </v>
      </c>
      <c r="U192" s="52" t="str">
        <f>IFERROR(VLOOKUP($A192,'The List'!$B1:$AS730,28,FALSE)," ")</f>
        <v xml:space="preserve"> </v>
      </c>
      <c r="V192" s="52" t="str">
        <f>IFERROR(VLOOKUP($A192,'The List'!$B1:$AS730,29,FALSE)," ")</f>
        <v xml:space="preserve"> </v>
      </c>
      <c r="W192" s="52" t="str">
        <f>IFERROR(VLOOKUP($A192,'The List'!$B1:$AS730,30,FALSE)," ")</f>
        <v xml:space="preserve"> </v>
      </c>
      <c r="X192" s="52" t="str">
        <f>IFERROR(VLOOKUP($A192,'The List'!$B1:$AS730,31,FALSE)," ")</f>
        <v xml:space="preserve"> </v>
      </c>
      <c r="Y192" s="52" t="str">
        <f>IFERROR(VLOOKUP($A192,'The List'!$B1:$AS730,32,FALSE)," ")</f>
        <v xml:space="preserve"> </v>
      </c>
      <c r="Z192" s="52" t="str">
        <f>IFERROR(VLOOKUP($A192,'The List'!$B1:$AS730,33,FALSE)," ")</f>
        <v xml:space="preserve"> </v>
      </c>
      <c r="AA192" s="54"/>
      <c r="AB192" s="59"/>
      <c r="AC192" s="59"/>
      <c r="AD192" s="59"/>
      <c r="AE192" s="59"/>
      <c r="AF192" s="59"/>
    </row>
    <row r="193" spans="1:32" ht="21.2" customHeight="1">
      <c r="A193" s="23"/>
      <c r="B193" s="67" t="str">
        <f>IFERROR(VLOOKUP($A193,'The List'!$B1:$AS730,3,FALSE)," ")</f>
        <v xml:space="preserve"> </v>
      </c>
      <c r="C193" s="69" t="str">
        <f>IFERROR(VLOOKUP($A193,'The List'!$B1:$AS730,4,FALSE)," ")</f>
        <v xml:space="preserve"> </v>
      </c>
      <c r="D193" s="34" t="str">
        <f>IFERROR(VLOOKUP($A193,'The List'!$B1:$AS730,5,FALSE)," ")</f>
        <v xml:space="preserve"> </v>
      </c>
      <c r="E193" s="34" t="str">
        <f>IFERROR(VLOOKUP($A193,'The List'!$B1:$AS730,6,FALSE)," ")</f>
        <v xml:space="preserve"> </v>
      </c>
      <c r="F193" s="49" t="str">
        <f>IFERROR(VLOOKUP($A193,'The List'!$B1:$AS730,8,FALSE)," ")</f>
        <v xml:space="preserve"> </v>
      </c>
      <c r="G193" s="49" t="str">
        <f>IFERROR(VLOOKUP($A193,'The List'!$B1:$AS730,10,FALSE)," ")</f>
        <v xml:space="preserve"> </v>
      </c>
      <c r="H193" s="38"/>
      <c r="I193" s="52" t="str">
        <f>IFERROR(VLOOKUP($A193,'The List'!$B1:$AS730,16,FALSE)," ")</f>
        <v xml:space="preserve"> </v>
      </c>
      <c r="J193" s="52" t="str">
        <f>IFERROR(VLOOKUP($A193,'The List'!$B1:$AS730,17,FALSE)," ")</f>
        <v xml:space="preserve"> </v>
      </c>
      <c r="K193" s="52" t="str">
        <f>IFERROR(VLOOKUP($A193,'The List'!$B1:$AS730,18,FALSE)," ")</f>
        <v xml:space="preserve"> </v>
      </c>
      <c r="L193" s="52" t="str">
        <f>IFERROR(VLOOKUP($A193,'The List'!$B1:$AS730,19,FALSE)," ")</f>
        <v xml:space="preserve"> </v>
      </c>
      <c r="M193" s="52" t="str">
        <f>IFERROR(VLOOKUP($A193,'The List'!$B1:$AS730,20,FALSE)," ")</f>
        <v xml:space="preserve"> </v>
      </c>
      <c r="N193" s="52" t="str">
        <f>IFERROR(VLOOKUP($A193,'The List'!$B1:$AS730,21,FALSE)," ")</f>
        <v xml:space="preserve"> </v>
      </c>
      <c r="O193" s="52" t="str">
        <f>IFERROR(VLOOKUP($A193,'The List'!$B1:$AS730,22,FALSE)," ")</f>
        <v xml:space="preserve"> </v>
      </c>
      <c r="P193" s="52" t="str">
        <f>IFERROR(VLOOKUP($A193,'The List'!$B1:$AS730,23,FALSE)," ")</f>
        <v xml:space="preserve"> </v>
      </c>
      <c r="Q193" s="52" t="str">
        <f>IFERROR(VLOOKUP($A193,'The List'!$B1:$AS730,24,FALSE)," ")</f>
        <v xml:space="preserve"> </v>
      </c>
      <c r="R193" s="52" t="str">
        <f>IFERROR(VLOOKUP($A193,'The List'!$B1:$AS730,25,FALSE)," ")</f>
        <v xml:space="preserve"> </v>
      </c>
      <c r="S193" s="52" t="str">
        <f>IFERROR(VLOOKUP($A193,'The List'!$B1:$AS730,26,FALSE)," ")</f>
        <v xml:space="preserve"> </v>
      </c>
      <c r="T193" s="52" t="str">
        <f>IFERROR(VLOOKUP($A193,'The List'!$B1:$AS730,27,FALSE)," ")</f>
        <v xml:space="preserve"> </v>
      </c>
      <c r="U193" s="52" t="str">
        <f>IFERROR(VLOOKUP($A193,'The List'!$B1:$AS730,28,FALSE)," ")</f>
        <v xml:space="preserve"> </v>
      </c>
      <c r="V193" s="52" t="str">
        <f>IFERROR(VLOOKUP($A193,'The List'!$B1:$AS730,29,FALSE)," ")</f>
        <v xml:space="preserve"> </v>
      </c>
      <c r="W193" s="52" t="str">
        <f>IFERROR(VLOOKUP($A193,'The List'!$B1:$AS730,30,FALSE)," ")</f>
        <v xml:space="preserve"> </v>
      </c>
      <c r="X193" s="52" t="str">
        <f>IFERROR(VLOOKUP($A193,'The List'!$B1:$AS730,31,FALSE)," ")</f>
        <v xml:space="preserve"> </v>
      </c>
      <c r="Y193" s="52" t="str">
        <f>IFERROR(VLOOKUP($A193,'The List'!$B1:$AS730,32,FALSE)," ")</f>
        <v xml:space="preserve"> </v>
      </c>
      <c r="Z193" s="52" t="str">
        <f>IFERROR(VLOOKUP($A193,'The List'!$B1:$AS730,33,FALSE)," ")</f>
        <v xml:space="preserve"> </v>
      </c>
      <c r="AA193" s="54"/>
      <c r="AB193" s="59"/>
      <c r="AC193" s="59"/>
      <c r="AD193" s="59"/>
      <c r="AE193" s="59"/>
      <c r="AF193" s="59"/>
    </row>
    <row r="194" spans="1:32" ht="21.2" customHeight="1">
      <c r="A194" s="23"/>
      <c r="B194" s="67" t="str">
        <f>IFERROR(VLOOKUP($A194,'The List'!$B1:$AS730,3,FALSE)," ")</f>
        <v xml:space="preserve"> </v>
      </c>
      <c r="C194" s="69" t="str">
        <f>IFERROR(VLOOKUP($A194,'The List'!$B1:$AS730,4,FALSE)," ")</f>
        <v xml:space="preserve"> </v>
      </c>
      <c r="D194" s="34" t="str">
        <f>IFERROR(VLOOKUP($A194,'The List'!$B1:$AS730,5,FALSE)," ")</f>
        <v xml:space="preserve"> </v>
      </c>
      <c r="E194" s="34" t="str">
        <f>IFERROR(VLOOKUP($A194,'The List'!$B1:$AS730,6,FALSE)," ")</f>
        <v xml:space="preserve"> </v>
      </c>
      <c r="F194" s="49" t="str">
        <f>IFERROR(VLOOKUP($A194,'The List'!$B1:$AS730,8,FALSE)," ")</f>
        <v xml:space="preserve"> </v>
      </c>
      <c r="G194" s="49" t="str">
        <f>IFERROR(VLOOKUP($A194,'The List'!$B1:$AS730,10,FALSE)," ")</f>
        <v xml:space="preserve"> </v>
      </c>
      <c r="H194" s="38"/>
      <c r="I194" s="52" t="str">
        <f>IFERROR(VLOOKUP($A194,'The List'!$B1:$AS730,16,FALSE)," ")</f>
        <v xml:space="preserve"> </v>
      </c>
      <c r="J194" s="52" t="str">
        <f>IFERROR(VLOOKUP($A194,'The List'!$B1:$AS730,17,FALSE)," ")</f>
        <v xml:space="preserve"> </v>
      </c>
      <c r="K194" s="52" t="str">
        <f>IFERROR(VLOOKUP($A194,'The List'!$B1:$AS730,18,FALSE)," ")</f>
        <v xml:space="preserve"> </v>
      </c>
      <c r="L194" s="52" t="str">
        <f>IFERROR(VLOOKUP($A194,'The List'!$B1:$AS730,19,FALSE)," ")</f>
        <v xml:space="preserve"> </v>
      </c>
      <c r="M194" s="52" t="str">
        <f>IFERROR(VLOOKUP($A194,'The List'!$B1:$AS730,20,FALSE)," ")</f>
        <v xml:space="preserve"> </v>
      </c>
      <c r="N194" s="52" t="str">
        <f>IFERROR(VLOOKUP($A194,'The List'!$B1:$AS730,21,FALSE)," ")</f>
        <v xml:space="preserve"> </v>
      </c>
      <c r="O194" s="52" t="str">
        <f>IFERROR(VLOOKUP($A194,'The List'!$B1:$AS730,22,FALSE)," ")</f>
        <v xml:space="preserve"> </v>
      </c>
      <c r="P194" s="52" t="str">
        <f>IFERROR(VLOOKUP($A194,'The List'!$B1:$AS730,23,FALSE)," ")</f>
        <v xml:space="preserve"> </v>
      </c>
      <c r="Q194" s="52" t="str">
        <f>IFERROR(VLOOKUP($A194,'The List'!$B1:$AS730,24,FALSE)," ")</f>
        <v xml:space="preserve"> </v>
      </c>
      <c r="R194" s="52" t="str">
        <f>IFERROR(VLOOKUP($A194,'The List'!$B1:$AS730,25,FALSE)," ")</f>
        <v xml:space="preserve"> </v>
      </c>
      <c r="S194" s="52" t="str">
        <f>IFERROR(VLOOKUP($A194,'The List'!$B1:$AS730,26,FALSE)," ")</f>
        <v xml:space="preserve"> </v>
      </c>
      <c r="T194" s="52" t="str">
        <f>IFERROR(VLOOKUP($A194,'The List'!$B1:$AS730,27,FALSE)," ")</f>
        <v xml:space="preserve"> </v>
      </c>
      <c r="U194" s="52" t="str">
        <f>IFERROR(VLOOKUP($A194,'The List'!$B1:$AS730,28,FALSE)," ")</f>
        <v xml:space="preserve"> </v>
      </c>
      <c r="V194" s="52" t="str">
        <f>IFERROR(VLOOKUP($A194,'The List'!$B1:$AS730,29,FALSE)," ")</f>
        <v xml:space="preserve"> </v>
      </c>
      <c r="W194" s="52" t="str">
        <f>IFERROR(VLOOKUP($A194,'The List'!$B1:$AS730,30,FALSE)," ")</f>
        <v xml:space="preserve"> </v>
      </c>
      <c r="X194" s="52" t="str">
        <f>IFERROR(VLOOKUP($A194,'The List'!$B1:$AS730,31,FALSE)," ")</f>
        <v xml:space="preserve"> </v>
      </c>
      <c r="Y194" s="52" t="str">
        <f>IFERROR(VLOOKUP($A194,'The List'!$B1:$AS730,32,FALSE)," ")</f>
        <v xml:space="preserve"> </v>
      </c>
      <c r="Z194" s="52" t="str">
        <f>IFERROR(VLOOKUP($A194,'The List'!$B1:$AS730,33,FALSE)," ")</f>
        <v xml:space="preserve"> </v>
      </c>
      <c r="AA194" s="54"/>
      <c r="AB194" s="59"/>
      <c r="AC194" s="59"/>
      <c r="AD194" s="59"/>
      <c r="AE194" s="59"/>
      <c r="AF194" s="59"/>
    </row>
    <row r="195" spans="1:32" ht="21.2" customHeight="1">
      <c r="A195" s="71"/>
      <c r="B195" s="72" t="str">
        <f>IFERROR(VLOOKUP($A195,'The List'!$B1:$AS730,3,FALSE)," ")</f>
        <v xml:space="preserve"> </v>
      </c>
      <c r="C195" s="73" t="str">
        <f>IFERROR(VLOOKUP($A195,'The List'!$B1:$AS730,4,FALSE)," ")</f>
        <v xml:space="preserve"> </v>
      </c>
      <c r="D195" s="74" t="str">
        <f>IFERROR(VLOOKUP($A195,'The List'!$B1:$AS730,5,FALSE)," ")</f>
        <v xml:space="preserve"> </v>
      </c>
      <c r="E195" s="74" t="str">
        <f>IFERROR(VLOOKUP($A195,'The List'!$B1:$AS730,6,FALSE)," ")</f>
        <v xml:space="preserve"> </v>
      </c>
      <c r="F195" s="75" t="str">
        <f>IFERROR(VLOOKUP($A195,'The List'!$B1:$AS730,8,FALSE)," ")</f>
        <v xml:space="preserve"> </v>
      </c>
      <c r="G195" s="75" t="str">
        <f>IFERROR(VLOOKUP($A195,'The List'!$B1:$AS730,10,FALSE)," ")</f>
        <v xml:space="preserve"> </v>
      </c>
      <c r="H195" s="76"/>
      <c r="I195" s="77" t="str">
        <f>IFERROR(VLOOKUP($A195,'The List'!$B1:$AS730,16,FALSE)," ")</f>
        <v xml:space="preserve"> </v>
      </c>
      <c r="J195" s="77" t="str">
        <f>IFERROR(VLOOKUP($A195,'The List'!$B1:$AS730,17,FALSE)," ")</f>
        <v xml:space="preserve"> </v>
      </c>
      <c r="K195" s="77" t="str">
        <f>IFERROR(VLOOKUP($A195,'The List'!$B1:$AS730,18,FALSE)," ")</f>
        <v xml:space="preserve"> </v>
      </c>
      <c r="L195" s="77" t="str">
        <f>IFERROR(VLOOKUP($A195,'The List'!$B1:$AS730,19,FALSE)," ")</f>
        <v xml:space="preserve"> </v>
      </c>
      <c r="M195" s="77" t="str">
        <f>IFERROR(VLOOKUP($A195,'The List'!$B1:$AS730,20,FALSE)," ")</f>
        <v xml:space="preserve"> </v>
      </c>
      <c r="N195" s="77" t="str">
        <f>IFERROR(VLOOKUP($A195,'The List'!$B1:$AS730,21,FALSE)," ")</f>
        <v xml:space="preserve"> </v>
      </c>
      <c r="O195" s="77" t="str">
        <f>IFERROR(VLOOKUP($A195,'The List'!$B1:$AS730,22,FALSE)," ")</f>
        <v xml:space="preserve"> </v>
      </c>
      <c r="P195" s="77" t="str">
        <f>IFERROR(VLOOKUP($A195,'The List'!$B1:$AS730,23,FALSE)," ")</f>
        <v xml:space="preserve"> </v>
      </c>
      <c r="Q195" s="77" t="str">
        <f>IFERROR(VLOOKUP($A195,'The List'!$B1:$AS730,24,FALSE)," ")</f>
        <v xml:space="preserve"> </v>
      </c>
      <c r="R195" s="77" t="str">
        <f>IFERROR(VLOOKUP($A195,'The List'!$B1:$AS730,25,FALSE)," ")</f>
        <v xml:space="preserve"> </v>
      </c>
      <c r="S195" s="77" t="str">
        <f>IFERROR(VLOOKUP($A195,'The List'!$B1:$AS730,26,FALSE)," ")</f>
        <v xml:space="preserve"> </v>
      </c>
      <c r="T195" s="77" t="str">
        <f>IFERROR(VLOOKUP($A195,'The List'!$B1:$AS730,27,FALSE)," ")</f>
        <v xml:space="preserve"> </v>
      </c>
      <c r="U195" s="77" t="str">
        <f>IFERROR(VLOOKUP($A195,'The List'!$B1:$AS730,28,FALSE)," ")</f>
        <v xml:space="preserve"> </v>
      </c>
      <c r="V195" s="77" t="str">
        <f>IFERROR(VLOOKUP($A195,'The List'!$B1:$AS730,29,FALSE)," ")</f>
        <v xml:space="preserve"> </v>
      </c>
      <c r="W195" s="77" t="str">
        <f>IFERROR(VLOOKUP($A195,'The List'!$B1:$AS730,30,FALSE)," ")</f>
        <v xml:space="preserve"> </v>
      </c>
      <c r="X195" s="77" t="str">
        <f>IFERROR(VLOOKUP($A195,'The List'!$B1:$AS730,31,FALSE)," ")</f>
        <v xml:space="preserve"> </v>
      </c>
      <c r="Y195" s="77" t="str">
        <f>IFERROR(VLOOKUP($A195,'The List'!$B1:$AS730,32,FALSE)," ")</f>
        <v xml:space="preserve"> </v>
      </c>
      <c r="Z195" s="77" t="str">
        <f>IFERROR(VLOOKUP($A195,'The List'!$B1:$AS730,33,FALSE)," ")</f>
        <v xml:space="preserve"> </v>
      </c>
      <c r="AA195" s="54"/>
      <c r="AB195" s="59"/>
      <c r="AC195" s="59"/>
      <c r="AD195" s="59"/>
      <c r="AE195" s="59"/>
      <c r="AF195" s="59"/>
    </row>
    <row r="196" spans="1:32" ht="21.2" customHeight="1">
      <c r="A196" s="78"/>
      <c r="B196" s="79"/>
      <c r="C196" s="80"/>
      <c r="D196" s="81"/>
      <c r="E196" s="116">
        <f>IFERROR(AVERAGE(E176:E195)," ")</f>
        <v>28</v>
      </c>
      <c r="F196" s="83">
        <f>SUM(F176:F195)</f>
        <v>71.86962933774673</v>
      </c>
      <c r="G196" s="83">
        <f>SUM(G176:G195)</f>
        <v>0.32409130208993986</v>
      </c>
      <c r="H196" s="84"/>
      <c r="I196" s="85">
        <f>SUM(I176:I195)</f>
        <v>1148</v>
      </c>
      <c r="J196" s="84">
        <f>AVERAGE(J176:J195)</f>
        <v>19.669150738115643</v>
      </c>
      <c r="K196" s="85">
        <f t="shared" ref="K196:Y196" si="12">SUM(K176:K195)</f>
        <v>361.9716051242641</v>
      </c>
      <c r="L196" s="85">
        <f t="shared" si="12"/>
        <v>517.7578324644968</v>
      </c>
      <c r="M196" s="85">
        <f t="shared" si="12"/>
        <v>879.7294375887609</v>
      </c>
      <c r="N196" s="85">
        <f t="shared" si="12"/>
        <v>2916.4125883447336</v>
      </c>
      <c r="O196" s="85">
        <f t="shared" si="12"/>
        <v>94.128314333755924</v>
      </c>
      <c r="P196" s="85">
        <f t="shared" si="12"/>
        <v>254.33584435285704</v>
      </c>
      <c r="Q196" s="85">
        <f t="shared" si="12"/>
        <v>6.6795945798468042</v>
      </c>
      <c r="R196" s="85">
        <f t="shared" si="12"/>
        <v>9.2503269977098768</v>
      </c>
      <c r="S196" s="85">
        <f t="shared" si="12"/>
        <v>1043.1317202378918</v>
      </c>
      <c r="T196" s="85">
        <f t="shared" si="12"/>
        <v>1388.0844040865868</v>
      </c>
      <c r="U196" s="85">
        <f t="shared" si="12"/>
        <v>-4.663969595281773</v>
      </c>
      <c r="V196" s="85">
        <f t="shared" si="12"/>
        <v>524.4316448737743</v>
      </c>
      <c r="W196" s="85">
        <f t="shared" si="12"/>
        <v>49.104050614057442</v>
      </c>
      <c r="X196" s="85">
        <f t="shared" si="12"/>
        <v>2746.5445135685559</v>
      </c>
      <c r="Y196" s="85">
        <f t="shared" si="12"/>
        <v>2680.6207382462521</v>
      </c>
      <c r="Z196" s="86">
        <f>IFERROR(X196/(X196+Y196),0)</f>
        <v>0.50607349990865491</v>
      </c>
      <c r="AA196" s="54"/>
      <c r="AB196" s="87"/>
      <c r="AC196" s="87"/>
      <c r="AD196" s="87"/>
      <c r="AE196" s="87"/>
      <c r="AF196" s="87"/>
    </row>
    <row r="197" spans="1:32" ht="21.2" customHeight="1">
      <c r="A197" s="88"/>
      <c r="B197" s="89"/>
      <c r="C197" s="90"/>
      <c r="D197" s="11"/>
      <c r="E197" s="11"/>
      <c r="F197" s="91"/>
      <c r="G197" s="92"/>
      <c r="H197" s="93"/>
      <c r="I197" s="9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9"/>
      <c r="AC197" s="59"/>
      <c r="AD197" s="59"/>
      <c r="AE197" s="59"/>
      <c r="AF197" s="59"/>
    </row>
    <row r="198" spans="1:32" ht="21.2" customHeight="1">
      <c r="A198" s="24" t="s">
        <v>64</v>
      </c>
      <c r="B198" s="231" t="s">
        <v>66</v>
      </c>
      <c r="C198" s="223"/>
      <c r="D198" s="95" t="s">
        <v>67</v>
      </c>
      <c r="E198" s="95" t="s">
        <v>68</v>
      </c>
      <c r="F198" s="96" t="s">
        <v>70</v>
      </c>
      <c r="G198" s="96" t="s">
        <v>72</v>
      </c>
      <c r="H198" s="97"/>
      <c r="I198" s="98" t="s">
        <v>77</v>
      </c>
      <c r="J198" s="98" t="s">
        <v>95</v>
      </c>
      <c r="K198" s="98" t="s">
        <v>96</v>
      </c>
      <c r="L198" s="98" t="s">
        <v>97</v>
      </c>
      <c r="M198" s="98" t="s">
        <v>98</v>
      </c>
      <c r="N198" s="98" t="s">
        <v>99</v>
      </c>
      <c r="O198" s="98" t="s">
        <v>100</v>
      </c>
      <c r="P198" s="98" t="s">
        <v>101</v>
      </c>
      <c r="Q198" s="98" t="s">
        <v>102</v>
      </c>
      <c r="R198" s="54"/>
      <c r="S198" s="54"/>
      <c r="T198" s="54"/>
      <c r="U198" s="231" t="s">
        <v>839</v>
      </c>
      <c r="V198" s="232"/>
      <c r="W198" s="232"/>
      <c r="X198" s="231" t="s">
        <v>840</v>
      </c>
      <c r="Y198" s="232"/>
      <c r="Z198" s="232"/>
      <c r="AA198" s="54"/>
      <c r="AB198" s="54"/>
      <c r="AC198" s="54"/>
      <c r="AD198" s="54"/>
      <c r="AE198" s="54"/>
      <c r="AF198" s="54"/>
    </row>
    <row r="199" spans="1:32" ht="21.2" customHeight="1">
      <c r="A199" s="117" t="s">
        <v>129</v>
      </c>
      <c r="B199" s="100" t="str">
        <f>IFERROR(VLOOKUP($A199,'The List'!$B1:$AS730,3,FALSE)," ")</f>
        <v>G</v>
      </c>
      <c r="C199" s="118">
        <f>IFERROR(VLOOKUP($A199,'The List'!$B1:$AS730,4,FALSE)," ")</f>
        <v>4</v>
      </c>
      <c r="D199" s="102" t="str">
        <f>IFERROR(VLOOKUP($A199,'The List'!$B1:$AS730,5,FALSE)," ")</f>
        <v>NYI</v>
      </c>
      <c r="E199" s="102">
        <f>IFERROR(VLOOKUP($A199,'The List'!$B1:$AS730,6,FALSE)," ")</f>
        <v>28</v>
      </c>
      <c r="F199" s="119">
        <f>IFERROR(VLOOKUP($A199,'The List'!$B1:$AS730,8,FALSE)," ")</f>
        <v>3.1640175721886212</v>
      </c>
      <c r="G199" s="119">
        <f>IFERROR(VLOOKUP($A199,'The List'!$B1:$AS730,10,FALSE)," ")</f>
        <v>1.4597885209983297</v>
      </c>
      <c r="H199" s="105"/>
      <c r="I199" s="120">
        <f>IFERROR(VLOOKUP($A199,'The List'!$B1:$AS730,35,FALSE)," ")</f>
        <v>60</v>
      </c>
      <c r="J199" s="120">
        <f>IFERROR(VLOOKUP($A199,'The List'!$B1:$AS730,36,FALSE)," ")</f>
        <v>31.429602707203919</v>
      </c>
      <c r="K199" s="120">
        <f>IFERROR(VLOOKUP($A199,'The List'!$B1:$AS730,37,FALSE)," ")</f>
        <v>21.070397292796081</v>
      </c>
      <c r="L199" s="120">
        <f>IFERROR(VLOOKUP($A199,'The List'!$B1:$AS730,38,FALSE)," ")</f>
        <v>7.5</v>
      </c>
      <c r="M199" s="120">
        <f>IFERROR(VLOOKUP($A199,'The List'!$B1:$AS730,39,FALSE)," ")</f>
        <v>5.040228552580782</v>
      </c>
      <c r="N199" s="120">
        <f>IFERROR(VLOOKUP($A199,'The List'!$B1:$AS730,40,FALSE)," ")</f>
        <v>1695.0673957202998</v>
      </c>
      <c r="O199" s="120">
        <f>IFERROR(VLOOKUP($A199,'The List'!$B1:$AS730,41,FALSE)," ")</f>
        <v>146.6985791547018</v>
      </c>
      <c r="P199" s="120">
        <f>IFERROR(VLOOKUP($A199,'The List'!$B1:$AS730,42,FALSE)," ")</f>
        <v>0.92034895792628701</v>
      </c>
      <c r="Q199" s="120">
        <f>IFERROR(VLOOKUP($A199,'The List'!$B1:$AS730,43,FALSE)," ")</f>
        <v>2.44497631924503</v>
      </c>
      <c r="R199" s="54"/>
      <c r="S199" s="54"/>
      <c r="T199" s="109" t="str">
        <f>A146</f>
        <v>Carlton St. Bears</v>
      </c>
      <c r="U199" s="230">
        <f>F196+F202</f>
        <v>77.49945125343713</v>
      </c>
      <c r="V199" s="223"/>
      <c r="W199" s="223"/>
      <c r="X199" s="230">
        <f>G202+G196</f>
        <v>2.54545511539976</v>
      </c>
      <c r="Y199" s="223"/>
      <c r="Z199" s="223"/>
      <c r="AA199" s="54"/>
      <c r="AB199" s="54"/>
      <c r="AC199" s="54"/>
      <c r="AD199" s="54"/>
      <c r="AE199" s="54"/>
      <c r="AF199" s="54"/>
    </row>
    <row r="200" spans="1:32" ht="21.2" customHeight="1">
      <c r="A200" s="23" t="s">
        <v>199</v>
      </c>
      <c r="B200" s="110" t="str">
        <f>IFERROR(VLOOKUP($A200,'The List'!$B1:$AS730,3,FALSE)," ")</f>
        <v>G</v>
      </c>
      <c r="C200" s="111">
        <f>IFERROR(VLOOKUP($A200,'The List'!$B1:$AS730,4,FALSE)," ")</f>
        <v>11</v>
      </c>
      <c r="D200" s="34" t="str">
        <f>IFERROR(VLOOKUP($A200,'The List'!$B1:$AS730,5,FALSE)," ")</f>
        <v>MIN</v>
      </c>
      <c r="E200" s="34">
        <f>IFERROR(VLOOKUP($A200,'The List'!$B1:$AS730,6,FALSE)," ")</f>
        <v>25</v>
      </c>
      <c r="F200" s="49">
        <f>IFERROR(VLOOKUP($A200,'The List'!$B1:$AS730,8,FALSE)," ")</f>
        <v>2.465804343501782</v>
      </c>
      <c r="G200" s="49">
        <f>IFERROR(VLOOKUP($A200,'The List'!$B1:$AS730,10,FALSE)," ")</f>
        <v>0.76157529231149046</v>
      </c>
      <c r="H200" s="38"/>
      <c r="I200" s="52">
        <f>IFERROR(VLOOKUP($A200,'The List'!$B1:$AS730,35,FALSE)," ")</f>
        <v>52</v>
      </c>
      <c r="J200" s="52">
        <f>IFERROR(VLOOKUP($A200,'The List'!$B1:$AS730,36,FALSE)," ")</f>
        <v>28.534541524134255</v>
      </c>
      <c r="K200" s="52">
        <f>IFERROR(VLOOKUP($A200,'The List'!$B1:$AS730,37,FALSE)," ")</f>
        <v>16.965458475865745</v>
      </c>
      <c r="L200" s="52">
        <f>IFERROR(VLOOKUP($A200,'The List'!$B1:$AS730,38,FALSE)," ")</f>
        <v>6.5</v>
      </c>
      <c r="M200" s="52">
        <f>IFERROR(VLOOKUP($A200,'The List'!$B1:$AS730,39,FALSE)," ")</f>
        <v>3.2434124156317989</v>
      </c>
      <c r="N200" s="52">
        <f>IFERROR(VLOOKUP($A200,'The List'!$B1:$AS730,40,FALSE)," ")</f>
        <v>1524.2957713887695</v>
      </c>
      <c r="O200" s="52">
        <f>IFERROR(VLOOKUP($A200,'The List'!$B1:$AS730,41,FALSE)," ")</f>
        <v>141.861094036233</v>
      </c>
      <c r="P200" s="52">
        <f>IFERROR(VLOOKUP($A200,'The List'!$B1:$AS730,42,FALSE)," ")</f>
        <v>0.91485730006577315</v>
      </c>
      <c r="Q200" s="52">
        <f>IFERROR(VLOOKUP($A200,'The List'!$B1:$AS730,43,FALSE)," ")</f>
        <v>2.7280979622352501</v>
      </c>
      <c r="R200" s="54"/>
      <c r="S200" s="54"/>
      <c r="T200" s="54"/>
      <c r="U200" s="223"/>
      <c r="V200" s="223"/>
      <c r="W200" s="223"/>
      <c r="X200" s="223"/>
      <c r="Y200" s="223"/>
      <c r="Z200" s="223"/>
      <c r="AA200" s="54"/>
      <c r="AB200" s="54"/>
      <c r="AC200" s="54"/>
      <c r="AD200" s="54"/>
      <c r="AE200" s="54"/>
      <c r="AF200" s="54"/>
    </row>
    <row r="201" spans="1:32" ht="21.2" customHeight="1">
      <c r="A201" s="71"/>
      <c r="B201" s="112" t="str">
        <f>IFERROR(VLOOKUP($A201,'The List'!$B1:$AS730,3,FALSE)," ")</f>
        <v xml:space="preserve"> </v>
      </c>
      <c r="C201" s="113" t="str">
        <f>IFERROR(VLOOKUP($A201,'The List'!$B1:$AS730,4,FALSE)," ")</f>
        <v xml:space="preserve"> </v>
      </c>
      <c r="D201" s="74" t="str">
        <f>IFERROR(VLOOKUP($A201,'The List'!$B1:$AS730,5,FALSE)," ")</f>
        <v xml:space="preserve"> </v>
      </c>
      <c r="E201" s="74" t="str">
        <f>IFERROR(VLOOKUP($A201,'The List'!$B1:$AS730,6,FALSE)," ")</f>
        <v xml:space="preserve"> </v>
      </c>
      <c r="F201" s="75" t="str">
        <f>IFERROR(VLOOKUP($A201,'The List'!$B1:$AS730,8,FALSE)," ")</f>
        <v xml:space="preserve"> </v>
      </c>
      <c r="G201" s="75" t="str">
        <f>IFERROR(VLOOKUP($A201,'The List'!$B1:$AS730,10,FALSE)," ")</f>
        <v xml:space="preserve"> </v>
      </c>
      <c r="H201" s="76"/>
      <c r="I201" s="77" t="str">
        <f>IFERROR(VLOOKUP($A201,'The List'!$B1:$AS730,35,FALSE)," ")</f>
        <v xml:space="preserve"> </v>
      </c>
      <c r="J201" s="77" t="str">
        <f>IFERROR(VLOOKUP($A201,'The List'!$B1:$AS730,36,FALSE)," ")</f>
        <v xml:space="preserve"> </v>
      </c>
      <c r="K201" s="77" t="str">
        <f>IFERROR(VLOOKUP($A201,'The List'!$B1:$AS730,37,FALSE)," ")</f>
        <v xml:space="preserve"> </v>
      </c>
      <c r="L201" s="77" t="str">
        <f>IFERROR(VLOOKUP($A201,'The List'!$B1:$AS730,38,FALSE)," ")</f>
        <v xml:space="preserve"> </v>
      </c>
      <c r="M201" s="77" t="str">
        <f>IFERROR(VLOOKUP($A201,'The List'!$B1:$AS730,39,FALSE)," ")</f>
        <v xml:space="preserve"> </v>
      </c>
      <c r="N201" s="77" t="str">
        <f>IFERROR(VLOOKUP($A201,'The List'!$B1:$AS730,40,FALSE)," ")</f>
        <v xml:space="preserve"> </v>
      </c>
      <c r="O201" s="77" t="str">
        <f>IFERROR(VLOOKUP($A201,'The List'!$B1:$AS730,41,FALSE)," ")</f>
        <v xml:space="preserve"> </v>
      </c>
      <c r="P201" s="77" t="str">
        <f>IFERROR(VLOOKUP($A201,'The List'!$B1:$AS730,42,FALSE)," ")</f>
        <v xml:space="preserve"> </v>
      </c>
      <c r="Q201" s="77" t="str">
        <f>IFERROR(VLOOKUP($A201,'The List'!$B1:$AS730,43,FALSE)," ")</f>
        <v xml:space="preserve"> </v>
      </c>
      <c r="R201" s="54"/>
      <c r="S201" s="54"/>
      <c r="T201" s="54"/>
      <c r="U201" s="223"/>
      <c r="V201" s="223"/>
      <c r="W201" s="223"/>
      <c r="X201" s="223"/>
      <c r="Y201" s="223"/>
      <c r="Z201" s="223"/>
      <c r="AA201" s="54"/>
      <c r="AB201" s="54"/>
      <c r="AC201" s="54"/>
      <c r="AD201" s="54"/>
      <c r="AE201" s="54"/>
      <c r="AF201" s="54"/>
    </row>
    <row r="202" spans="1:32" ht="21.2" customHeight="1">
      <c r="A202" s="78"/>
      <c r="B202" s="79"/>
      <c r="C202" s="80"/>
      <c r="D202" s="81"/>
      <c r="E202" s="116">
        <f>IFERROR(AVERAGE(E199:E201)," ")</f>
        <v>26.5</v>
      </c>
      <c r="F202" s="83">
        <f>SUM(F199:F201)</f>
        <v>5.6298219156904032</v>
      </c>
      <c r="G202" s="83">
        <f>SUM(G199:G201)</f>
        <v>2.2213638133098201</v>
      </c>
      <c r="H202" s="84"/>
      <c r="I202" s="85">
        <f t="shared" ref="I202:O202" si="13">SUM(I199:I201)</f>
        <v>112</v>
      </c>
      <c r="J202" s="84">
        <f t="shared" si="13"/>
        <v>59.964144231338175</v>
      </c>
      <c r="K202" s="85">
        <f t="shared" si="13"/>
        <v>38.035855768661825</v>
      </c>
      <c r="L202" s="85">
        <f t="shared" si="13"/>
        <v>14</v>
      </c>
      <c r="M202" s="85">
        <f t="shared" si="13"/>
        <v>8.2836409682125804</v>
      </c>
      <c r="N202" s="85">
        <f t="shared" si="13"/>
        <v>3219.3631671090693</v>
      </c>
      <c r="O202" s="85">
        <f t="shared" si="13"/>
        <v>288.5596731909348</v>
      </c>
      <c r="P202" s="114">
        <f>1-(O202/(N202+O202))</f>
        <v>0.91774058714294393</v>
      </c>
      <c r="Q202" s="115">
        <f>O202/I202</f>
        <v>2.5764256534904892</v>
      </c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</row>
    <row r="203" spans="1:32" ht="70.7" customHeight="1">
      <c r="A203" s="88"/>
      <c r="B203" s="89"/>
      <c r="C203" s="90"/>
      <c r="D203" s="11"/>
      <c r="E203" s="11"/>
      <c r="F203" s="91"/>
      <c r="G203" s="92"/>
      <c r="H203" s="93"/>
      <c r="I203" s="9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9"/>
      <c r="AB203" s="59"/>
      <c r="AC203" s="59"/>
      <c r="AD203" s="59"/>
      <c r="AE203" s="59"/>
      <c r="AF203" s="59"/>
    </row>
    <row r="204" spans="1:32" ht="21.2" customHeight="1">
      <c r="A204" s="25" t="s">
        <v>907</v>
      </c>
      <c r="B204" s="229" t="s">
        <v>66</v>
      </c>
      <c r="C204" s="221"/>
      <c r="D204" s="26" t="s">
        <v>67</v>
      </c>
      <c r="E204" s="26" t="s">
        <v>68</v>
      </c>
      <c r="F204" s="27" t="s">
        <v>70</v>
      </c>
      <c r="G204" s="27" t="s">
        <v>72</v>
      </c>
      <c r="H204" s="28"/>
      <c r="I204" s="30" t="s">
        <v>77</v>
      </c>
      <c r="J204" s="30" t="s">
        <v>78</v>
      </c>
      <c r="K204" s="30" t="s">
        <v>79</v>
      </c>
      <c r="L204" s="30" t="s">
        <v>80</v>
      </c>
      <c r="M204" s="30" t="s">
        <v>81</v>
      </c>
      <c r="N204" s="30" t="s">
        <v>82</v>
      </c>
      <c r="O204" s="30" t="s">
        <v>83</v>
      </c>
      <c r="P204" s="30" t="s">
        <v>84</v>
      </c>
      <c r="Q204" s="30" t="s">
        <v>85</v>
      </c>
      <c r="R204" s="30" t="s">
        <v>86</v>
      </c>
      <c r="S204" s="30" t="s">
        <v>87</v>
      </c>
      <c r="T204" s="30" t="s">
        <v>88</v>
      </c>
      <c r="U204" s="30" t="s">
        <v>89</v>
      </c>
      <c r="V204" s="30" t="s">
        <v>90</v>
      </c>
      <c r="W204" s="30" t="s">
        <v>91</v>
      </c>
      <c r="X204" s="30" t="s">
        <v>92</v>
      </c>
      <c r="Y204" s="30" t="s">
        <v>93</v>
      </c>
      <c r="Z204" s="30" t="s">
        <v>94</v>
      </c>
      <c r="AA204" s="54"/>
      <c r="AB204" s="55"/>
      <c r="AC204" s="55"/>
      <c r="AD204" s="55"/>
      <c r="AE204" s="55"/>
      <c r="AF204" s="55"/>
    </row>
    <row r="205" spans="1:32" ht="21.2" customHeight="1">
      <c r="A205" s="23" t="s">
        <v>221</v>
      </c>
      <c r="B205" s="56" t="str">
        <f>IFERROR(VLOOKUP($A205,'The List'!$B1:$AS730,3,FALSE)," ")</f>
        <v>C,LW</v>
      </c>
      <c r="C205" s="60">
        <f>IFERROR(VLOOKUP($A205,'The List'!$B1:$AS730,4,FALSE)," ")</f>
        <v>39</v>
      </c>
      <c r="D205" s="34" t="str">
        <f>IFERROR(VLOOKUP($A205,'The List'!$B1:$AS730,5,FALSE)," ")</f>
        <v>LAK</v>
      </c>
      <c r="E205" s="34">
        <f>IFERROR(VLOOKUP($A205,'The List'!$B1:$AS730,6,FALSE)," ")</f>
        <v>25</v>
      </c>
      <c r="F205" s="49">
        <f>IFERROR(VLOOKUP($A205,'The List'!$B1:$AS730,8,FALSE)," ")</f>
        <v>6.2939538141798721</v>
      </c>
      <c r="G205" s="49">
        <f>IFERROR(VLOOKUP($A205,'The List'!$B1:$AS730,10,FALSE)," ")</f>
        <v>-0.36071522994452909</v>
      </c>
      <c r="H205" s="38"/>
      <c r="I205" s="52">
        <f>IFERROR(VLOOKUP($A205,'The List'!$B1:$AS730,16,FALSE)," ")</f>
        <v>82</v>
      </c>
      <c r="J205" s="52">
        <f>IFERROR(VLOOKUP($A205,'The List'!$B1:$AS730,17,FALSE)," ")</f>
        <v>18.589084141255402</v>
      </c>
      <c r="K205" s="52">
        <f>IFERROR(VLOOKUP($A205,'The List'!$B1:$AS730,18,FALSE)," ")</f>
        <v>28.861706097467916</v>
      </c>
      <c r="L205" s="52">
        <f>IFERROR(VLOOKUP($A205,'The List'!$B1:$AS730,19,FALSE)," ")</f>
        <v>38.275500656616771</v>
      </c>
      <c r="M205" s="52">
        <f>IFERROR(VLOOKUP($A205,'The List'!$B1:$AS730,20,FALSE)," ")</f>
        <v>67.137206754084687</v>
      </c>
      <c r="N205" s="52">
        <f>IFERROR(VLOOKUP($A205,'The List'!$B1:$AS730,21,FALSE)," ")</f>
        <v>225.11998481063927</v>
      </c>
      <c r="O205" s="52">
        <f>IFERROR(VLOOKUP($A205,'The List'!$B1:$AS730,22,FALSE)," ")</f>
        <v>11.25034229686937</v>
      </c>
      <c r="P205" s="52">
        <f>IFERROR(VLOOKUP($A205,'The List'!$B1:$AS730,23,FALSE)," ")</f>
        <v>21.229688407758083</v>
      </c>
      <c r="Q205" s="52">
        <f>IFERROR(VLOOKUP($A205,'The List'!$B1:$AS730,24,FALSE)," ")</f>
        <v>3.4907378044763467E-2</v>
      </c>
      <c r="R205" s="52">
        <f>IFERROR(VLOOKUP($A205,'The List'!$B1:$AS730,25,FALSE)," ")</f>
        <v>6.8528980089696517E-2</v>
      </c>
      <c r="S205" s="52">
        <f>IFERROR(VLOOKUP($A205,'The List'!$B1:$AS730,26,FALSE)," ")</f>
        <v>49.136601150605003</v>
      </c>
      <c r="T205" s="52">
        <f>IFERROR(VLOOKUP($A205,'The List'!$B1:$AS730,27,FALSE)," ")</f>
        <v>91.378975933814431</v>
      </c>
      <c r="U205" s="52">
        <f>IFERROR(VLOOKUP($A205,'The List'!$B1:$AS730,28,FALSE)," ")</f>
        <v>1.1195386449341171</v>
      </c>
      <c r="V205" s="52">
        <f>IFERROR(VLOOKUP($A205,'The List'!$B1:$AS730,29,FALSE)," ")</f>
        <v>76.327656113657511</v>
      </c>
      <c r="W205" s="52">
        <f>IFERROR(VLOOKUP($A205,'The List'!$B1:$AS730,30,FALSE)," ")</f>
        <v>4.2732946743354434</v>
      </c>
      <c r="X205" s="52">
        <f>IFERROR(VLOOKUP($A205,'The List'!$B1:$AS730,31,FALSE)," ")</f>
        <v>519.89109125992024</v>
      </c>
      <c r="Y205" s="52">
        <f>IFERROR(VLOOKUP($A205,'The List'!$B1:$AS730,32,FALSE)," ")</f>
        <v>577.45857298088538</v>
      </c>
      <c r="Z205" s="52">
        <f>IFERROR(VLOOKUP($A205,'The List'!$B1:$AS730,33,FALSE)," ")</f>
        <v>0.47376976382419</v>
      </c>
      <c r="AA205" s="54"/>
      <c r="AB205" s="59"/>
      <c r="AC205" s="59"/>
      <c r="AD205" s="59"/>
      <c r="AE205" s="59"/>
      <c r="AF205" s="59"/>
    </row>
    <row r="206" spans="1:32" ht="21.2" customHeight="1">
      <c r="A206" s="23" t="s">
        <v>201</v>
      </c>
      <c r="B206" s="56" t="str">
        <f>IFERROR(VLOOKUP($A206,'The List'!$B1:$AS730,3,FALSE)," ")</f>
        <v>C</v>
      </c>
      <c r="C206" s="60">
        <f>IFERROR(VLOOKUP($A206,'The List'!$B1:$AS730,4,FALSE)," ")</f>
        <v>30</v>
      </c>
      <c r="D206" s="34" t="str">
        <f>IFERROR(VLOOKUP($A206,'The List'!$B1:$AS730,5,FALSE)," ")</f>
        <v>MIN</v>
      </c>
      <c r="E206" s="34">
        <f>IFERROR(VLOOKUP($A206,'The List'!$B1:$AS730,6,FALSE)," ")</f>
        <v>26</v>
      </c>
      <c r="F206" s="49">
        <f>IFERROR(VLOOKUP($A206,'The List'!$B1:$AS730,8,FALSE)," ")</f>
        <v>6.9679984875936958</v>
      </c>
      <c r="G206" s="49">
        <f>IFERROR(VLOOKUP($A206,'The List'!$B1:$AS730,10,FALSE)," ")</f>
        <v>0.63094776338709302</v>
      </c>
      <c r="H206" s="38"/>
      <c r="I206" s="52">
        <f>IFERROR(VLOOKUP($A206,'The List'!$B1:$AS730,16,FALSE)," ")</f>
        <v>82</v>
      </c>
      <c r="J206" s="52">
        <f>IFERROR(VLOOKUP($A206,'The List'!$B1:$AS730,17,FALSE)," ")</f>
        <v>19.401363434911801</v>
      </c>
      <c r="K206" s="52">
        <f>IFERROR(VLOOKUP($A206,'The List'!$B1:$AS730,18,FALSE)," ")</f>
        <v>29.578518172672421</v>
      </c>
      <c r="L206" s="52">
        <f>IFERROR(VLOOKUP($A206,'The List'!$B1:$AS730,19,FALSE)," ")</f>
        <v>36.458506712256963</v>
      </c>
      <c r="M206" s="52">
        <f>IFERROR(VLOOKUP($A206,'The List'!$B1:$AS730,20,FALSE)," ")</f>
        <v>66.03702488492938</v>
      </c>
      <c r="N206" s="52">
        <f>IFERROR(VLOOKUP($A206,'The List'!$B1:$AS730,21,FALSE)," ")</f>
        <v>259.22091019670722</v>
      </c>
      <c r="O206" s="52">
        <f>IFERROR(VLOOKUP($A206,'The List'!$B1:$AS730,22,FALSE)," ")</f>
        <v>12.849732249848751</v>
      </c>
      <c r="P206" s="52">
        <f>IFERROR(VLOOKUP($A206,'The List'!$B1:$AS730,23,FALSE)," ")</f>
        <v>23.360336115754759</v>
      </c>
      <c r="Q206" s="52">
        <f>IFERROR(VLOOKUP($A206,'The List'!$B1:$AS730,24,FALSE)," ")</f>
        <v>1.1529386957807894</v>
      </c>
      <c r="R206" s="52">
        <f>IFERROR(VLOOKUP($A206,'The List'!$B1:$AS730,25,FALSE)," ")</f>
        <v>1.873438949859884</v>
      </c>
      <c r="S206" s="52">
        <f>IFERROR(VLOOKUP($A206,'The List'!$B1:$AS730,26,FALSE)," ")</f>
        <v>54.707408307575768</v>
      </c>
      <c r="T206" s="52">
        <f>IFERROR(VLOOKUP($A206,'The List'!$B1:$AS730,27,FALSE)," ")</f>
        <v>130.06915363077439</v>
      </c>
      <c r="U206" s="52">
        <f>IFERROR(VLOOKUP($A206,'The List'!$B1:$AS730,28,FALSE)," ")</f>
        <v>4.1966109010194357</v>
      </c>
      <c r="V206" s="52">
        <f>IFERROR(VLOOKUP($A206,'The List'!$B1:$AS730,29,FALSE)," ")</f>
        <v>39.427049489967196</v>
      </c>
      <c r="W206" s="52">
        <f>IFERROR(VLOOKUP($A206,'The List'!$B1:$AS730,30,FALSE)," ")</f>
        <v>4.7496124249939573</v>
      </c>
      <c r="X206" s="52">
        <f>IFERROR(VLOOKUP($A206,'The List'!$B1:$AS730,31,FALSE)," ")</f>
        <v>724.44290756669011</v>
      </c>
      <c r="Y206" s="52">
        <f>IFERROR(VLOOKUP($A206,'The List'!$B1:$AS730,32,FALSE)," ")</f>
        <v>775.3081415751011</v>
      </c>
      <c r="Z206" s="52">
        <f>IFERROR(VLOOKUP($A206,'The List'!$B1:$AS730,33,FALSE)," ")</f>
        <v>0.48304210754260901</v>
      </c>
      <c r="AA206" s="54"/>
      <c r="AB206" s="59"/>
      <c r="AC206" s="59"/>
      <c r="AD206" s="59"/>
      <c r="AE206" s="59"/>
      <c r="AF206" s="59"/>
    </row>
    <row r="207" spans="1:32" ht="21.2" customHeight="1">
      <c r="A207" s="23" t="s">
        <v>302</v>
      </c>
      <c r="B207" s="56" t="str">
        <f>IFERROR(VLOOKUP($A207,'The List'!$B1:$AS730,3,FALSE)," ")</f>
        <v>C</v>
      </c>
      <c r="C207" s="60">
        <f>IFERROR(VLOOKUP($A207,'The List'!$B1:$AS730,4,FALSE)," ")</f>
        <v>52</v>
      </c>
      <c r="D207" s="34" t="str">
        <f>IFERROR(VLOOKUP($A207,'The List'!$B1:$AS730,5,FALSE)," ")</f>
        <v>FLA</v>
      </c>
      <c r="E207" s="34">
        <f>IFERROR(VLOOKUP($A207,'The List'!$B1:$AS730,6,FALSE)," ")</f>
        <v>27</v>
      </c>
      <c r="F207" s="49">
        <f>IFERROR(VLOOKUP($A207,'The List'!$B1:$AS730,8,FALSE)," ")</f>
        <v>3.7885439718766327</v>
      </c>
      <c r="G207" s="49">
        <f>IFERROR(VLOOKUP($A207,'The List'!$B1:$AS730,10,FALSE)," ")</f>
        <v>-2.54850675232997</v>
      </c>
      <c r="H207" s="38"/>
      <c r="I207" s="52">
        <f>IFERROR(VLOOKUP($A207,'The List'!$B1:$AS730,16,FALSE)," ")</f>
        <v>82</v>
      </c>
      <c r="J207" s="52">
        <f>IFERROR(VLOOKUP($A207,'The List'!$B1:$AS730,17,FALSE)," ")</f>
        <v>17.091159722947499</v>
      </c>
      <c r="K207" s="52">
        <f>IFERROR(VLOOKUP($A207,'The List'!$B1:$AS730,18,FALSE)," ")</f>
        <v>23.830073183549342</v>
      </c>
      <c r="L207" s="52">
        <f>IFERROR(VLOOKUP($A207,'The List'!$B1:$AS730,19,FALSE)," ")</f>
        <v>29.016597212386543</v>
      </c>
      <c r="M207" s="52">
        <f>IFERROR(VLOOKUP($A207,'The List'!$B1:$AS730,20,FALSE)," ")</f>
        <v>52.846670395935888</v>
      </c>
      <c r="N207" s="52">
        <f>IFERROR(VLOOKUP($A207,'The List'!$B1:$AS730,21,FALSE)," ")</f>
        <v>245.44280533319466</v>
      </c>
      <c r="O207" s="52">
        <f>IFERROR(VLOOKUP($A207,'The List'!$B1:$AS730,22,FALSE)," ")</f>
        <v>4.9206530332477163</v>
      </c>
      <c r="P207" s="52">
        <f>IFERROR(VLOOKUP($A207,'The List'!$B1:$AS730,23,FALSE)," ")</f>
        <v>10.628198289577808</v>
      </c>
      <c r="Q207" s="52">
        <f>IFERROR(VLOOKUP($A207,'The List'!$B1:$AS730,24,FALSE)," ")</f>
        <v>0.10899401662977798</v>
      </c>
      <c r="R207" s="52">
        <f>IFERROR(VLOOKUP($A207,'The List'!$B1:$AS730,25,FALSE)," ")</f>
        <v>0.57553223863487335</v>
      </c>
      <c r="S207" s="52">
        <f>IFERROR(VLOOKUP($A207,'The List'!$B1:$AS730,26,FALSE)," ")</f>
        <v>41.04355285005952</v>
      </c>
      <c r="T207" s="52">
        <f>IFERROR(VLOOKUP($A207,'The List'!$B1:$AS730,27,FALSE)," ")</f>
        <v>165.87573805066233</v>
      </c>
      <c r="U207" s="52">
        <f>IFERROR(VLOOKUP($A207,'The List'!$B1:$AS730,28,FALSE)," ")</f>
        <v>5.3708790369007708</v>
      </c>
      <c r="V207" s="52">
        <f>IFERROR(VLOOKUP($A207,'The List'!$B1:$AS730,29,FALSE)," ")</f>
        <v>67.145142592000298</v>
      </c>
      <c r="W207" s="52">
        <f>IFERROR(VLOOKUP($A207,'The List'!$B1:$AS730,30,FALSE)," ")</f>
        <v>3.4184783541662678</v>
      </c>
      <c r="X207" s="52">
        <f>IFERROR(VLOOKUP($A207,'The List'!$B1:$AS730,31,FALSE)," ")</f>
        <v>504.16704708170403</v>
      </c>
      <c r="Y207" s="52">
        <f>IFERROR(VLOOKUP($A207,'The List'!$B1:$AS730,32,FALSE)," ")</f>
        <v>568.84613272725369</v>
      </c>
      <c r="Z207" s="52">
        <f>IFERROR(VLOOKUP($A207,'The List'!$B1:$AS730,33,FALSE)," ")</f>
        <v>0.46986100130798703</v>
      </c>
      <c r="AA207" s="54"/>
      <c r="AB207" s="59"/>
      <c r="AC207" s="59"/>
      <c r="AD207" s="59"/>
      <c r="AE207" s="59"/>
      <c r="AF207" s="59"/>
    </row>
    <row r="208" spans="1:32" ht="21.2" customHeight="1">
      <c r="A208" s="23" t="s">
        <v>230</v>
      </c>
      <c r="B208" s="56" t="str">
        <f>IFERROR(VLOOKUP($A208,'The List'!$B1:$AS730,3,FALSE)," ")</f>
        <v>C</v>
      </c>
      <c r="C208" s="60">
        <f>IFERROR(VLOOKUP($A208,'The List'!$B1:$AS730,4,FALSE)," ")</f>
        <v>39</v>
      </c>
      <c r="D208" s="34" t="str">
        <f>IFERROR(VLOOKUP($A208,'The List'!$B1:$AS730,5,FALSE)," ")</f>
        <v>CGY</v>
      </c>
      <c r="E208" s="34">
        <f>IFERROR(VLOOKUP($A208,'The List'!$B1:$AS730,6,FALSE)," ")</f>
        <v>32</v>
      </c>
      <c r="F208" s="49">
        <f>IFERROR(VLOOKUP($A208,'The List'!$B1:$AS730,8,FALSE)," ")</f>
        <v>5.983039518460199</v>
      </c>
      <c r="G208" s="49">
        <f>IFERROR(VLOOKUP($A208,'The List'!$B1:$AS730,10,FALSE)," ")</f>
        <v>-0.35401120574640377</v>
      </c>
      <c r="H208" s="38"/>
      <c r="I208" s="52">
        <f>IFERROR(VLOOKUP($A208,'The List'!$B1:$AS730,16,FALSE)," ")</f>
        <v>82</v>
      </c>
      <c r="J208" s="52">
        <f>IFERROR(VLOOKUP($A208,'The List'!$B1:$AS730,17,FALSE)," ")</f>
        <v>16.946249149120401</v>
      </c>
      <c r="K208" s="52">
        <f>IFERROR(VLOOKUP($A208,'The List'!$B1:$AS730,18,FALSE)," ")</f>
        <v>22.802962416293635</v>
      </c>
      <c r="L208" s="52">
        <f>IFERROR(VLOOKUP($A208,'The List'!$B1:$AS730,19,FALSE)," ")</f>
        <v>39.512672094569567</v>
      </c>
      <c r="M208" s="52">
        <f>IFERROR(VLOOKUP($A208,'The List'!$B1:$AS730,20,FALSE)," ")</f>
        <v>62.315634510863205</v>
      </c>
      <c r="N208" s="52">
        <f>IFERROR(VLOOKUP($A208,'The List'!$B1:$AS730,21,FALSE)," ")</f>
        <v>253.34680559923638</v>
      </c>
      <c r="O208" s="52">
        <f>IFERROR(VLOOKUP($A208,'The List'!$B1:$AS730,22,FALSE)," ")</f>
        <v>8.2462865425260912</v>
      </c>
      <c r="P208" s="52">
        <f>IFERROR(VLOOKUP($A208,'The List'!$B1:$AS730,23,FALSE)," ")</f>
        <v>20.419956058899078</v>
      </c>
      <c r="Q208" s="52">
        <f>IFERROR(VLOOKUP($A208,'The List'!$B1:$AS730,24,FALSE)," ")</f>
        <v>2.1046999079989762E-2</v>
      </c>
      <c r="R208" s="52">
        <f>IFERROR(VLOOKUP($A208,'The List'!$B1:$AS730,25,FALSE)," ")</f>
        <v>3.2151864501677611E-2</v>
      </c>
      <c r="S208" s="52">
        <f>IFERROR(VLOOKUP($A208,'The List'!$B1:$AS730,26,FALSE)," ")</f>
        <v>28.679936815068871</v>
      </c>
      <c r="T208" s="52">
        <f>IFERROR(VLOOKUP($A208,'The List'!$B1:$AS730,27,FALSE)," ")</f>
        <v>83.127142261769293</v>
      </c>
      <c r="U208" s="52">
        <f>IFERROR(VLOOKUP($A208,'The List'!$B1:$AS730,28,FALSE)," ")</f>
        <v>2.7210373384150586</v>
      </c>
      <c r="V208" s="52">
        <f>IFERROR(VLOOKUP($A208,'The List'!$B1:$AS730,29,FALSE)," ")</f>
        <v>45.351373615032969</v>
      </c>
      <c r="W208" s="52">
        <f>IFERROR(VLOOKUP($A208,'The List'!$B1:$AS730,30,FALSE)," ")</f>
        <v>3.8103351159609806</v>
      </c>
      <c r="X208" s="52">
        <f>IFERROR(VLOOKUP($A208,'The List'!$B1:$AS730,31,FALSE)," ")</f>
        <v>592.46639406517295</v>
      </c>
      <c r="Y208" s="52">
        <f>IFERROR(VLOOKUP($A208,'The List'!$B1:$AS730,32,FALSE)," ")</f>
        <v>611.05060093839211</v>
      </c>
      <c r="Z208" s="52">
        <f>IFERROR(VLOOKUP($A208,'The List'!$B1:$AS730,33,FALSE)," ")</f>
        <v>0.49227920878958398</v>
      </c>
      <c r="AA208" s="54"/>
      <c r="AB208" s="59"/>
      <c r="AC208" s="59"/>
      <c r="AD208" s="59"/>
      <c r="AE208" s="59"/>
      <c r="AF208" s="59"/>
    </row>
    <row r="209" spans="1:32" ht="21.2" customHeight="1">
      <c r="A209" s="23" t="s">
        <v>136</v>
      </c>
      <c r="B209" s="61" t="str">
        <f>IFERROR(VLOOKUP($A209,'The List'!$B1:$AS730,3,FALSE)," ")</f>
        <v>LW</v>
      </c>
      <c r="C209" s="63">
        <f>IFERROR(VLOOKUP($A209,'The List'!$B1:$AS730,4,FALSE)," ")</f>
        <v>8</v>
      </c>
      <c r="D209" s="34" t="str">
        <f>IFERROR(VLOOKUP($A209,'The List'!$B1:$AS730,5,FALSE)," ")</f>
        <v>NYR</v>
      </c>
      <c r="E209" s="34">
        <f>IFERROR(VLOOKUP($A209,'The List'!$B1:$AS730,6,FALSE)," ")</f>
        <v>31</v>
      </c>
      <c r="F209" s="49">
        <f>IFERROR(VLOOKUP($A209,'The List'!$B1:$AS730,8,FALSE)," ")</f>
        <v>10.796490301217734</v>
      </c>
      <c r="G209" s="49">
        <f>IFERROR(VLOOKUP($A209,'The List'!$B1:$AS730,10,FALSE)," ")</f>
        <v>4.1418212570933326</v>
      </c>
      <c r="H209" s="38"/>
      <c r="I209" s="52">
        <f>IFERROR(VLOOKUP($A209,'The List'!$B1:$AS730,16,FALSE)," ")</f>
        <v>82</v>
      </c>
      <c r="J209" s="52">
        <f>IFERROR(VLOOKUP($A209,'The List'!$B1:$AS730,17,FALSE)," ")</f>
        <v>19.635147641958799</v>
      </c>
      <c r="K209" s="52">
        <f>IFERROR(VLOOKUP($A209,'The List'!$B1:$AS730,18,FALSE)," ")</f>
        <v>27.689901434414427</v>
      </c>
      <c r="L209" s="52">
        <f>IFERROR(VLOOKUP($A209,'The List'!$B1:$AS730,19,FALSE)," ")</f>
        <v>68.161520040879893</v>
      </c>
      <c r="M209" s="52">
        <f>IFERROR(VLOOKUP($A209,'The List'!$B1:$AS730,20,FALSE)," ")</f>
        <v>95.851421475294316</v>
      </c>
      <c r="N209" s="52">
        <f>IFERROR(VLOOKUP($A209,'The List'!$B1:$AS730,21,FALSE)," ")</f>
        <v>207.3507220121561</v>
      </c>
      <c r="O209" s="52">
        <f>IFERROR(VLOOKUP($A209,'The List'!$B1:$AS730,22,FALSE)," ")</f>
        <v>7.9796375165400892</v>
      </c>
      <c r="P209" s="52">
        <f>IFERROR(VLOOKUP($A209,'The List'!$B1:$AS730,23,FALSE)," ")</f>
        <v>35.981681812876332</v>
      </c>
      <c r="Q209" s="52">
        <f>IFERROR(VLOOKUP($A209,'The List'!$B1:$AS730,24,FALSE)," ")</f>
        <v>6.886536461043433E-3</v>
      </c>
      <c r="R209" s="52">
        <f>IFERROR(VLOOKUP($A209,'The List'!$B1:$AS730,25,FALSE)," ")</f>
        <v>1.2059664914402605E-2</v>
      </c>
      <c r="S209" s="52">
        <f>IFERROR(VLOOKUP($A209,'The List'!$B1:$AS730,26,FALSE)," ")</f>
        <v>14.822266368313199</v>
      </c>
      <c r="T209" s="52">
        <f>IFERROR(VLOOKUP($A209,'The List'!$B1:$AS730,27,FALSE)," ")</f>
        <v>28.778634684822819</v>
      </c>
      <c r="U209" s="52">
        <f>IFERROR(VLOOKUP($A209,'The List'!$B1:$AS730,28,FALSE)," ")</f>
        <v>5.8442168965279517</v>
      </c>
      <c r="V209" s="52">
        <f>IFERROR(VLOOKUP($A209,'The List'!$B1:$AS730,29,FALSE)," ")</f>
        <v>25.913165383527517</v>
      </c>
      <c r="W209" s="52">
        <f>IFERROR(VLOOKUP($A209,'The List'!$B1:$AS730,30,FALSE)," ")</f>
        <v>4.7183074970369088</v>
      </c>
      <c r="X209" s="52">
        <f>IFERROR(VLOOKUP($A209,'The List'!$B1:$AS730,31,FALSE)," ")</f>
        <v>5.2256852327676571</v>
      </c>
      <c r="Y209" s="52">
        <f>IFERROR(VLOOKUP($A209,'The List'!$B1:$AS730,32,FALSE)," ")</f>
        <v>10.320191193401833</v>
      </c>
      <c r="Z209" s="52">
        <f>IFERROR(VLOOKUP($A209,'The List'!$B1:$AS730,33,FALSE)," ")</f>
        <v>0.33614606790331197</v>
      </c>
      <c r="AA209" s="54"/>
      <c r="AB209" s="59"/>
      <c r="AC209" s="59"/>
      <c r="AD209" s="59"/>
      <c r="AE209" s="59"/>
      <c r="AF209" s="59"/>
    </row>
    <row r="210" spans="1:32" ht="21.2" customHeight="1">
      <c r="A210" s="23" t="s">
        <v>147</v>
      </c>
      <c r="B210" s="61" t="str">
        <f>IFERROR(VLOOKUP($A210,'The List'!$B1:$AS730,3,FALSE)," ")</f>
        <v>C,LW</v>
      </c>
      <c r="C210" s="63">
        <f>IFERROR(VLOOKUP($A210,'The List'!$B1:$AS730,4,FALSE)," ")</f>
        <v>12</v>
      </c>
      <c r="D210" s="34" t="str">
        <f>IFERROR(VLOOKUP($A210,'The List'!$B1:$AS730,5,FALSE)," ")</f>
        <v>EDM</v>
      </c>
      <c r="E210" s="34">
        <f>IFERROR(VLOOKUP($A210,'The List'!$B1:$AS730,6,FALSE)," ")</f>
        <v>30</v>
      </c>
      <c r="F210" s="49">
        <f>IFERROR(VLOOKUP($A210,'The List'!$B1:$AS730,8,FALSE)," ")</f>
        <v>9.6760867611712325</v>
      </c>
      <c r="G210" s="49">
        <f>IFERROR(VLOOKUP($A210,'The List'!$B1:$AS730,10,FALSE)," ")</f>
        <v>3.0214177170468313</v>
      </c>
      <c r="H210" s="38"/>
      <c r="I210" s="52">
        <f>IFERROR(VLOOKUP($A210,'The List'!$B1:$AS730,16,FALSE)," ")</f>
        <v>82</v>
      </c>
      <c r="J210" s="52">
        <f>IFERROR(VLOOKUP($A210,'The List'!$B1:$AS730,17,FALSE)," ")</f>
        <v>19.651690682164698</v>
      </c>
      <c r="K210" s="52">
        <f>IFERROR(VLOOKUP($A210,'The List'!$B1:$AS730,18,FALSE)," ")</f>
        <v>27.721707338967779</v>
      </c>
      <c r="L210" s="52">
        <f>IFERROR(VLOOKUP($A210,'The List'!$B1:$AS730,19,FALSE)," ")</f>
        <v>54.608818642847183</v>
      </c>
      <c r="M210" s="52">
        <f>IFERROR(VLOOKUP($A210,'The List'!$B1:$AS730,20,FALSE)," ")</f>
        <v>82.330525981814958</v>
      </c>
      <c r="N210" s="52">
        <f>IFERROR(VLOOKUP($A210,'The List'!$B1:$AS730,21,FALSE)," ")</f>
        <v>201.90202974494716</v>
      </c>
      <c r="O210" s="52">
        <f>IFERROR(VLOOKUP($A210,'The List'!$B1:$AS730,22,FALSE)," ")</f>
        <v>10.637523837871209</v>
      </c>
      <c r="P210" s="52">
        <f>IFERROR(VLOOKUP($A210,'The List'!$B1:$AS730,23,FALSE)," ")</f>
        <v>41.448357310599768</v>
      </c>
      <c r="Q210" s="52">
        <f>IFERROR(VLOOKUP($A210,'The List'!$B1:$AS730,24,FALSE)," ")</f>
        <v>1.4375944157447917</v>
      </c>
      <c r="R210" s="52">
        <f>IFERROR(VLOOKUP($A210,'The List'!$B1:$AS730,25,FALSE)," ")</f>
        <v>3.5802986535207615</v>
      </c>
      <c r="S210" s="52">
        <f>IFERROR(VLOOKUP($A210,'The List'!$B1:$AS730,26,FALSE)," ")</f>
        <v>32.42732768391393</v>
      </c>
      <c r="T210" s="52">
        <f>IFERROR(VLOOKUP($A210,'The List'!$B1:$AS730,27,FALSE)," ")</f>
        <v>53.037367646890921</v>
      </c>
      <c r="U210" s="52">
        <f>IFERROR(VLOOKUP($A210,'The List'!$B1:$AS730,28,FALSE)," ")</f>
        <v>6.3355853731835117</v>
      </c>
      <c r="V210" s="52">
        <f>IFERROR(VLOOKUP($A210,'The List'!$B1:$AS730,29,FALSE)," ")</f>
        <v>32.080390880377507</v>
      </c>
      <c r="W210" s="52">
        <f>IFERROR(VLOOKUP($A210,'The List'!$B1:$AS730,30,FALSE)," ")</f>
        <v>4.3880486619613528</v>
      </c>
      <c r="X210" s="52">
        <f>IFERROR(VLOOKUP($A210,'The List'!$B1:$AS730,31,FALSE)," ")</f>
        <v>271.95955506945563</v>
      </c>
      <c r="Y210" s="52">
        <f>IFERROR(VLOOKUP($A210,'The List'!$B1:$AS730,32,FALSE)," ")</f>
        <v>346.74503335955569</v>
      </c>
      <c r="Z210" s="52">
        <f>IFERROR(VLOOKUP($A210,'The List'!$B1:$AS730,33,FALSE)," ")</f>
        <v>0.439562854641185</v>
      </c>
      <c r="AA210" s="54"/>
      <c r="AB210" s="59"/>
      <c r="AC210" s="59"/>
      <c r="AD210" s="59"/>
      <c r="AE210" s="59"/>
      <c r="AF210" s="59"/>
    </row>
    <row r="211" spans="1:32" ht="21.2" customHeight="1">
      <c r="A211" s="23" t="s">
        <v>293</v>
      </c>
      <c r="B211" s="61" t="str">
        <f>IFERROR(VLOOKUP($A211,'The List'!$B1:$AS730,3,FALSE)," ")</f>
        <v>C,LW</v>
      </c>
      <c r="C211" s="63">
        <f>IFERROR(VLOOKUP($A211,'The List'!$B1:$AS730,4,FALSE)," ")</f>
        <v>58</v>
      </c>
      <c r="D211" s="34" t="str">
        <f>IFERROR(VLOOKUP($A211,'The List'!$B1:$AS730,5,FALSE)," ")</f>
        <v>STL</v>
      </c>
      <c r="E211" s="34">
        <f>IFERROR(VLOOKUP($A211,'The List'!$B1:$AS730,6,FALSE)," ")</f>
        <v>31</v>
      </c>
      <c r="F211" s="49">
        <f>IFERROR(VLOOKUP($A211,'The List'!$B1:$AS730,8,FALSE)," ")</f>
        <v>3.602259782883471</v>
      </c>
      <c r="G211" s="49">
        <f>IFERROR(VLOOKUP($A211,'The List'!$B1:$AS730,10,FALSE)," ")</f>
        <v>-3.0524092612409301</v>
      </c>
      <c r="H211" s="38"/>
      <c r="I211" s="52">
        <f>IFERROR(VLOOKUP($A211,'The List'!$B1:$AS730,16,FALSE)," ")</f>
        <v>82</v>
      </c>
      <c r="J211" s="52">
        <f>IFERROR(VLOOKUP($A211,'The List'!$B1:$AS730,17,FALSE)," ")</f>
        <v>17.9408705585452</v>
      </c>
      <c r="K211" s="52">
        <f>IFERROR(VLOOKUP($A211,'The List'!$B1:$AS730,18,FALSE)," ")</f>
        <v>22.709227401294239</v>
      </c>
      <c r="L211" s="52">
        <f>IFERROR(VLOOKUP($A211,'The List'!$B1:$AS730,19,FALSE)," ")</f>
        <v>39.361636252496027</v>
      </c>
      <c r="M211" s="52">
        <f>IFERROR(VLOOKUP($A211,'The List'!$B1:$AS730,20,FALSE)," ")</f>
        <v>62.070863653790269</v>
      </c>
      <c r="N211" s="52">
        <f>IFERROR(VLOOKUP($A211,'The List'!$B1:$AS730,21,FALSE)," ")</f>
        <v>143.81949832752761</v>
      </c>
      <c r="O211" s="52">
        <f>IFERROR(VLOOKUP($A211,'The List'!$B1:$AS730,22,FALSE)," ")</f>
        <v>6.5645851541551421</v>
      </c>
      <c r="P211" s="52">
        <f>IFERROR(VLOOKUP($A211,'The List'!$B1:$AS730,23,FALSE)," ")</f>
        <v>15.309148793774735</v>
      </c>
      <c r="Q211" s="52">
        <f>IFERROR(VLOOKUP($A211,'The List'!$B1:$AS730,24,FALSE)," ")</f>
        <v>3.9715605608331969E-2</v>
      </c>
      <c r="R211" s="52">
        <f>IFERROR(VLOOKUP($A211,'The List'!$B1:$AS730,25,FALSE)," ")</f>
        <v>1.7114012828280921E-2</v>
      </c>
      <c r="S211" s="52">
        <f>IFERROR(VLOOKUP($A211,'The List'!$B1:$AS730,26,FALSE)," ")</f>
        <v>37.047267960761914</v>
      </c>
      <c r="T211" s="52">
        <f>IFERROR(VLOOKUP($A211,'The List'!$B1:$AS730,27,FALSE)," ")</f>
        <v>133.337149231902</v>
      </c>
      <c r="U211" s="52">
        <f>IFERROR(VLOOKUP($A211,'The List'!$B1:$AS730,28,FALSE)," ")</f>
        <v>-5.6633588261494729</v>
      </c>
      <c r="V211" s="52">
        <f>IFERROR(VLOOKUP($A211,'The List'!$B1:$AS730,29,FALSE)," ")</f>
        <v>41.444630642468624</v>
      </c>
      <c r="W211" s="52">
        <f>IFERROR(VLOOKUP($A211,'The List'!$B1:$AS730,30,FALSE)," ")</f>
        <v>2.6132128310473313</v>
      </c>
      <c r="X211" s="52">
        <f>IFERROR(VLOOKUP($A211,'The List'!$B1:$AS730,31,FALSE)," ")</f>
        <v>459.89239383229176</v>
      </c>
      <c r="Y211" s="52">
        <f>IFERROR(VLOOKUP($A211,'The List'!$B1:$AS730,32,FALSE)," ")</f>
        <v>486.68186236768594</v>
      </c>
      <c r="Z211" s="52">
        <f>IFERROR(VLOOKUP($A211,'The List'!$B1:$AS730,33,FALSE)," ")</f>
        <v>0.48584925146657798</v>
      </c>
      <c r="AA211" s="54"/>
      <c r="AB211" s="59"/>
      <c r="AC211" s="59"/>
      <c r="AD211" s="59"/>
      <c r="AE211" s="59"/>
      <c r="AF211" s="59"/>
    </row>
    <row r="212" spans="1:32" ht="21.2" customHeight="1">
      <c r="A212" s="23"/>
      <c r="B212" s="61" t="str">
        <f>IFERROR(VLOOKUP($A212,'The List'!$B1:$AS730,3,FALSE)," ")</f>
        <v xml:space="preserve"> </v>
      </c>
      <c r="C212" s="63" t="str">
        <f>IFERROR(VLOOKUP($A212,'The List'!$B1:$AS730,4,FALSE)," ")</f>
        <v xml:space="preserve"> </v>
      </c>
      <c r="D212" s="34" t="str">
        <f>IFERROR(VLOOKUP($A212,'The List'!$B1:$AS730,5,FALSE)," ")</f>
        <v xml:space="preserve"> </v>
      </c>
      <c r="E212" s="34" t="str">
        <f>IFERROR(VLOOKUP($A212,'The List'!$B1:$AS730,6,FALSE)," ")</f>
        <v xml:space="preserve"> </v>
      </c>
      <c r="F212" s="49" t="str">
        <f>IFERROR(VLOOKUP($A212,'The List'!$B1:$AS730,8,FALSE)," ")</f>
        <v xml:space="preserve"> </v>
      </c>
      <c r="G212" s="49" t="str">
        <f>IFERROR(VLOOKUP($A212,'The List'!$B1:$AS730,10,FALSE)," ")</f>
        <v xml:space="preserve"> </v>
      </c>
      <c r="H212" s="38"/>
      <c r="I212" s="52" t="str">
        <f>IFERROR(VLOOKUP($A212,'The List'!$B1:$AS730,16,FALSE)," ")</f>
        <v xml:space="preserve"> </v>
      </c>
      <c r="J212" s="52" t="str">
        <f>IFERROR(VLOOKUP($A212,'The List'!$B1:$AS730,17,FALSE)," ")</f>
        <v xml:space="preserve"> </v>
      </c>
      <c r="K212" s="52" t="str">
        <f>IFERROR(VLOOKUP($A212,'The List'!$B1:$AS730,18,FALSE)," ")</f>
        <v xml:space="preserve"> </v>
      </c>
      <c r="L212" s="52" t="str">
        <f>IFERROR(VLOOKUP($A212,'The List'!$B1:$AS730,19,FALSE)," ")</f>
        <v xml:space="preserve"> </v>
      </c>
      <c r="M212" s="52" t="str">
        <f>IFERROR(VLOOKUP($A212,'The List'!$B1:$AS730,20,FALSE)," ")</f>
        <v xml:space="preserve"> </v>
      </c>
      <c r="N212" s="52" t="str">
        <f>IFERROR(VLOOKUP($A212,'The List'!$B1:$AS730,21,FALSE)," ")</f>
        <v xml:space="preserve"> </v>
      </c>
      <c r="O212" s="52" t="str">
        <f>IFERROR(VLOOKUP($A212,'The List'!$B1:$AS730,22,FALSE)," ")</f>
        <v xml:space="preserve"> </v>
      </c>
      <c r="P212" s="52" t="str">
        <f>IFERROR(VLOOKUP($A212,'The List'!$B1:$AS730,23,FALSE)," ")</f>
        <v xml:space="preserve"> </v>
      </c>
      <c r="Q212" s="52" t="str">
        <f>IFERROR(VLOOKUP($A212,'The List'!$B1:$AS730,24,FALSE)," ")</f>
        <v xml:space="preserve"> </v>
      </c>
      <c r="R212" s="52" t="str">
        <f>IFERROR(VLOOKUP($A212,'The List'!$B1:$AS730,25,FALSE)," ")</f>
        <v xml:space="preserve"> </v>
      </c>
      <c r="S212" s="52" t="str">
        <f>IFERROR(VLOOKUP($A212,'The List'!$B1:$AS730,26,FALSE)," ")</f>
        <v xml:space="preserve"> </v>
      </c>
      <c r="T212" s="52" t="str">
        <f>IFERROR(VLOOKUP($A212,'The List'!$B1:$AS730,27,FALSE)," ")</f>
        <v xml:space="preserve"> </v>
      </c>
      <c r="U212" s="52" t="str">
        <f>IFERROR(VLOOKUP($A212,'The List'!$B1:$AS730,28,FALSE)," ")</f>
        <v xml:space="preserve"> </v>
      </c>
      <c r="V212" s="52" t="str">
        <f>IFERROR(VLOOKUP($A212,'The List'!$B1:$AS730,29,FALSE)," ")</f>
        <v xml:space="preserve"> </v>
      </c>
      <c r="W212" s="52" t="str">
        <f>IFERROR(VLOOKUP($A212,'The List'!$B1:$AS730,30,FALSE)," ")</f>
        <v xml:space="preserve"> </v>
      </c>
      <c r="X212" s="52" t="str">
        <f>IFERROR(VLOOKUP($A212,'The List'!$B1:$AS730,31,FALSE)," ")</f>
        <v xml:space="preserve"> </v>
      </c>
      <c r="Y212" s="52" t="str">
        <f>IFERROR(VLOOKUP($A212,'The List'!$B1:$AS730,32,FALSE)," ")</f>
        <v xml:space="preserve"> </v>
      </c>
      <c r="Z212" s="52" t="str">
        <f>IFERROR(VLOOKUP($A212,'The List'!$B1:$AS730,33,FALSE)," ")</f>
        <v xml:space="preserve"> </v>
      </c>
      <c r="AA212" s="54"/>
      <c r="AB212" s="59"/>
      <c r="AC212" s="59"/>
      <c r="AD212" s="59"/>
      <c r="AE212" s="59"/>
      <c r="AF212" s="59"/>
    </row>
    <row r="213" spans="1:32" ht="21.2" customHeight="1">
      <c r="A213" s="23" t="s">
        <v>118</v>
      </c>
      <c r="B213" s="64" t="str">
        <f>IFERROR(VLOOKUP($A213,'The List'!$B1:$AS730,3,FALSE)," ")</f>
        <v>RW</v>
      </c>
      <c r="C213" s="66">
        <f>IFERROR(VLOOKUP($A213,'The List'!$B1:$AS730,4,FALSE)," ")</f>
        <v>6</v>
      </c>
      <c r="D213" s="34" t="str">
        <f>IFERROR(VLOOKUP($A213,'The List'!$B1:$AS730,5,FALSE)," ")</f>
        <v>TOR</v>
      </c>
      <c r="E213" s="34">
        <f>IFERROR(VLOOKUP($A213,'The List'!$B1:$AS730,6,FALSE)," ")</f>
        <v>26</v>
      </c>
      <c r="F213" s="49">
        <f>IFERROR(VLOOKUP($A213,'The List'!$B1:$AS730,8,FALSE)," ")</f>
        <v>11.769975097882236</v>
      </c>
      <c r="G213" s="49">
        <f>IFERROR(VLOOKUP($A213,'The List'!$B1:$AS730,10,FALSE)," ")</f>
        <v>5.4897163788711554</v>
      </c>
      <c r="H213" s="38"/>
      <c r="I213" s="52">
        <f>IFERROR(VLOOKUP($A213,'The List'!$B1:$AS730,16,FALSE)," ")</f>
        <v>82</v>
      </c>
      <c r="J213" s="52">
        <f>IFERROR(VLOOKUP($A213,'The List'!$B1:$AS730,17,FALSE)," ")</f>
        <v>21.310741285327701</v>
      </c>
      <c r="K213" s="52">
        <f>IFERROR(VLOOKUP($A213,'The List'!$B1:$AS730,18,FALSE)," ")</f>
        <v>33.882133246961615</v>
      </c>
      <c r="L213" s="52">
        <f>IFERROR(VLOOKUP($A213,'The List'!$B1:$AS730,19,FALSE)," ")</f>
        <v>69.38308149197421</v>
      </c>
      <c r="M213" s="52">
        <f>IFERROR(VLOOKUP($A213,'The List'!$B1:$AS730,20,FALSE)," ")</f>
        <v>103.26521473893582</v>
      </c>
      <c r="N213" s="52">
        <f>IFERROR(VLOOKUP($A213,'The List'!$B1:$AS730,21,FALSE)," ")</f>
        <v>219.35891776290103</v>
      </c>
      <c r="O213" s="52">
        <f>IFERROR(VLOOKUP($A213,'The List'!$B1:$AS730,22,FALSE)," ")</f>
        <v>7.8203061570489538</v>
      </c>
      <c r="P213" s="52">
        <f>IFERROR(VLOOKUP($A213,'The List'!$B1:$AS730,23,FALSE)," ")</f>
        <v>33.61605618564051</v>
      </c>
      <c r="Q213" s="52">
        <f>IFERROR(VLOOKUP($A213,'The List'!$B1:$AS730,24,FALSE)," ")</f>
        <v>2.7195359613010588</v>
      </c>
      <c r="R213" s="52">
        <f>IFERROR(VLOOKUP($A213,'The List'!$B1:$AS730,25,FALSE)," ")</f>
        <v>4.1772118928076676</v>
      </c>
      <c r="S213" s="52">
        <f>IFERROR(VLOOKUP($A213,'The List'!$B1:$AS730,26,FALSE)," ")</f>
        <v>44.467223261333167</v>
      </c>
      <c r="T213" s="52">
        <f>IFERROR(VLOOKUP($A213,'The List'!$B1:$AS730,27,FALSE)," ")</f>
        <v>63.514523959161416</v>
      </c>
      <c r="U213" s="52">
        <f>IFERROR(VLOOKUP($A213,'The List'!$B1:$AS730,28,FALSE)," ")</f>
        <v>9.5164598586716522</v>
      </c>
      <c r="V213" s="52">
        <f>IFERROR(VLOOKUP($A213,'The List'!$B1:$AS730,29,FALSE)," ")</f>
        <v>28.067101491597537</v>
      </c>
      <c r="W213" s="52">
        <f>IFERROR(VLOOKUP($A213,'The List'!$B1:$AS730,30,FALSE)," ")</f>
        <v>5.4431557003898758</v>
      </c>
      <c r="X213" s="52">
        <f>IFERROR(VLOOKUP($A213,'The List'!$B1:$AS730,31,FALSE)," ")</f>
        <v>2.3346992703594576</v>
      </c>
      <c r="Y213" s="52">
        <f>IFERROR(VLOOKUP($A213,'The List'!$B1:$AS730,32,FALSE)," ")</f>
        <v>4.4033083258921009</v>
      </c>
      <c r="Z213" s="52">
        <f>IFERROR(VLOOKUP($A213,'The List'!$B1:$AS730,33,FALSE)," ")</f>
        <v>0.34649697807676599</v>
      </c>
      <c r="AA213" s="54"/>
      <c r="AB213" s="59"/>
      <c r="AC213" s="59"/>
      <c r="AD213" s="59"/>
      <c r="AE213" s="59"/>
      <c r="AF213" s="59"/>
    </row>
    <row r="214" spans="1:32" ht="21.2" customHeight="1">
      <c r="A214" s="23" t="s">
        <v>162</v>
      </c>
      <c r="B214" s="64" t="str">
        <f>IFERROR(VLOOKUP($A214,'The List'!$B1:$AS730,3,FALSE)," ")</f>
        <v>RW</v>
      </c>
      <c r="C214" s="66">
        <f>IFERROR(VLOOKUP($A214,'The List'!$B1:$AS730,4,FALSE)," ")</f>
        <v>17</v>
      </c>
      <c r="D214" s="34" t="str">
        <f>IFERROR(VLOOKUP($A214,'The List'!$B1:$AS730,5,FALSE)," ")</f>
        <v>BUF</v>
      </c>
      <c r="E214" s="34">
        <f>IFERROR(VLOOKUP($A214,'The List'!$B1:$AS730,6,FALSE)," ")</f>
        <v>27</v>
      </c>
      <c r="F214" s="49">
        <f>IFERROR(VLOOKUP($A214,'The List'!$B1:$AS730,8,FALSE)," ")</f>
        <v>8.3103855162907294</v>
      </c>
      <c r="G214" s="49">
        <f>IFERROR(VLOOKUP($A214,'The List'!$B1:$AS730,10,FALSE)," ")</f>
        <v>2.0301267972796486</v>
      </c>
      <c r="H214" s="38"/>
      <c r="I214" s="52">
        <f>IFERROR(VLOOKUP($A214,'The List'!$B1:$AS730,16,FALSE)," ")</f>
        <v>82</v>
      </c>
      <c r="J214" s="52">
        <f>IFERROR(VLOOKUP($A214,'The List'!$B1:$AS730,17,FALSE)," ")</f>
        <v>19.9730849972836</v>
      </c>
      <c r="K214" s="52">
        <f>IFERROR(VLOOKUP($A214,'The List'!$B1:$AS730,18,FALSE)," ")</f>
        <v>34.567049737853594</v>
      </c>
      <c r="L214" s="52">
        <f>IFERROR(VLOOKUP($A214,'The List'!$B1:$AS730,19,FALSE)," ")</f>
        <v>45.696476375196532</v>
      </c>
      <c r="M214" s="52">
        <f>IFERROR(VLOOKUP($A214,'The List'!$B1:$AS730,20,FALSE)," ")</f>
        <v>80.263526113050119</v>
      </c>
      <c r="N214" s="52">
        <f>IFERROR(VLOOKUP($A214,'The List'!$B1:$AS730,21,FALSE)," ")</f>
        <v>249.99807240802821</v>
      </c>
      <c r="O214" s="52">
        <f>IFERROR(VLOOKUP($A214,'The List'!$B1:$AS730,22,FALSE)," ")</f>
        <v>7.8019673238067702</v>
      </c>
      <c r="P214" s="52">
        <f>IFERROR(VLOOKUP($A214,'The List'!$B1:$AS730,23,FALSE)," ")</f>
        <v>20.579262703508622</v>
      </c>
      <c r="Q214" s="52">
        <f>IFERROR(VLOOKUP($A214,'The List'!$B1:$AS730,24,FALSE)," ")</f>
        <v>1.1217185962150671</v>
      </c>
      <c r="R214" s="52">
        <f>IFERROR(VLOOKUP($A214,'The List'!$B1:$AS730,25,FALSE)," ")</f>
        <v>1.2643638622144564</v>
      </c>
      <c r="S214" s="52">
        <f>IFERROR(VLOOKUP($A214,'The List'!$B1:$AS730,26,FALSE)," ")</f>
        <v>57.986190377591278</v>
      </c>
      <c r="T214" s="52">
        <f>IFERROR(VLOOKUP($A214,'The List'!$B1:$AS730,27,FALSE)," ")</f>
        <v>65.330959562968616</v>
      </c>
      <c r="U214" s="52">
        <f>IFERROR(VLOOKUP($A214,'The List'!$B1:$AS730,28,FALSE)," ")</f>
        <v>1.7127986055755287</v>
      </c>
      <c r="V214" s="52">
        <f>IFERROR(VLOOKUP($A214,'The List'!$B1:$AS730,29,FALSE)," ")</f>
        <v>31.190699601973279</v>
      </c>
      <c r="W214" s="52">
        <f>IFERROR(VLOOKUP($A214,'The List'!$B1:$AS730,30,FALSE)," ")</f>
        <v>4.4252410936814668</v>
      </c>
      <c r="X214" s="52">
        <f>IFERROR(VLOOKUP($A214,'The List'!$B1:$AS730,31,FALSE)," ")</f>
        <v>31.980950022352328</v>
      </c>
      <c r="Y214" s="52">
        <f>IFERROR(VLOOKUP($A214,'The List'!$B1:$AS730,32,FALSE)," ")</f>
        <v>46.702670876208622</v>
      </c>
      <c r="Z214" s="52">
        <f>IFERROR(VLOOKUP($A214,'The List'!$B1:$AS730,33,FALSE)," ")</f>
        <v>0.40644990224308802</v>
      </c>
      <c r="AA214" s="54"/>
      <c r="AB214" s="59"/>
      <c r="AC214" s="59"/>
      <c r="AD214" s="59"/>
      <c r="AE214" s="59"/>
      <c r="AF214" s="59"/>
    </row>
    <row r="215" spans="1:32" ht="21.2" customHeight="1">
      <c r="A215" s="23" t="s">
        <v>207</v>
      </c>
      <c r="B215" s="64" t="str">
        <f>IFERROR(VLOOKUP($A215,'The List'!$B1:$AS730,3,FALSE)," ")</f>
        <v>RW</v>
      </c>
      <c r="C215" s="66">
        <f>IFERROR(VLOOKUP($A215,'The List'!$B1:$AS730,4,FALSE)," ")</f>
        <v>26</v>
      </c>
      <c r="D215" s="34" t="str">
        <f>IFERROR(VLOOKUP($A215,'The List'!$B1:$AS730,5,FALSE)," ")</f>
        <v>COL</v>
      </c>
      <c r="E215" s="34">
        <f>IFERROR(VLOOKUP($A215,'The List'!$B1:$AS730,6,FALSE)," ")</f>
        <v>28</v>
      </c>
      <c r="F215" s="49">
        <f>IFERROR(VLOOKUP($A215,'The List'!$B1:$AS730,8,FALSE)," ")</f>
        <v>6.9041112406426972</v>
      </c>
      <c r="G215" s="49">
        <f>IFERROR(VLOOKUP($A215,'The List'!$B1:$AS730,10,FALSE)," ")</f>
        <v>0.62385252163161642</v>
      </c>
      <c r="H215" s="38"/>
      <c r="I215" s="52">
        <f>IFERROR(VLOOKUP($A215,'The List'!$B1:$AS730,16,FALSE)," ")</f>
        <v>82</v>
      </c>
      <c r="J215" s="52">
        <f>IFERROR(VLOOKUP($A215,'The List'!$B1:$AS730,17,FALSE)," ")</f>
        <v>20.4072528168251</v>
      </c>
      <c r="K215" s="52">
        <f>IFERROR(VLOOKUP($A215,'The List'!$B1:$AS730,18,FALSE)," ")</f>
        <v>30.793734490188566</v>
      </c>
      <c r="L215" s="52">
        <f>IFERROR(VLOOKUP($A215,'The List'!$B1:$AS730,19,FALSE)," ")</f>
        <v>41.634153323369489</v>
      </c>
      <c r="M215" s="52">
        <f>IFERROR(VLOOKUP($A215,'The List'!$B1:$AS730,20,FALSE)," ")</f>
        <v>72.427887813558058</v>
      </c>
      <c r="N215" s="52">
        <f>IFERROR(VLOOKUP($A215,'The List'!$B1:$AS730,21,FALSE)," ")</f>
        <v>234.64495175614604</v>
      </c>
      <c r="O215" s="52">
        <f>IFERROR(VLOOKUP($A215,'The List'!$B1:$AS730,22,FALSE)," ")</f>
        <v>10.864913479276204</v>
      </c>
      <c r="P215" s="52">
        <f>IFERROR(VLOOKUP($A215,'The List'!$B1:$AS730,23,FALSE)," ")</f>
        <v>19.115052807311613</v>
      </c>
      <c r="Q215" s="52">
        <f>IFERROR(VLOOKUP($A215,'The List'!$B1:$AS730,24,FALSE)," ")</f>
        <v>1.3338611130198283</v>
      </c>
      <c r="R215" s="52">
        <f>IFERROR(VLOOKUP($A215,'The List'!$B1:$AS730,25,FALSE)," ")</f>
        <v>2.9820965006987401</v>
      </c>
      <c r="S215" s="52">
        <f>IFERROR(VLOOKUP($A215,'The List'!$B1:$AS730,26,FALSE)," ")</f>
        <v>50.476159537694798</v>
      </c>
      <c r="T215" s="52">
        <f>IFERROR(VLOOKUP($A215,'The List'!$B1:$AS730,27,FALSE)," ")</f>
        <v>93.68455490311112</v>
      </c>
      <c r="U215" s="52">
        <f>IFERROR(VLOOKUP($A215,'The List'!$B1:$AS730,28,FALSE)," ")</f>
        <v>6.8109398975651878</v>
      </c>
      <c r="V215" s="52">
        <f>IFERROR(VLOOKUP($A215,'The List'!$B1:$AS730,29,FALSE)," ")</f>
        <v>16.255388538957117</v>
      </c>
      <c r="W215" s="52">
        <f>IFERROR(VLOOKUP($A215,'The List'!$B1:$AS730,30,FALSE)," ")</f>
        <v>4.8720327575354911</v>
      </c>
      <c r="X215" s="52">
        <f>IFERROR(VLOOKUP($A215,'The List'!$B1:$AS730,31,FALSE)," ")</f>
        <v>0.3874289463183479</v>
      </c>
      <c r="Y215" s="52">
        <f>IFERROR(VLOOKUP($A215,'The List'!$B1:$AS730,32,FALSE)," ")</f>
        <v>6.0146003839077089</v>
      </c>
      <c r="Z215" s="52">
        <f>IFERROR(VLOOKUP($A215,'The List'!$B1:$AS730,33,FALSE)," ")</f>
        <v>6.0516584091417698E-2</v>
      </c>
      <c r="AA215" s="54"/>
      <c r="AB215" s="59"/>
      <c r="AC215" s="59"/>
      <c r="AD215" s="59"/>
      <c r="AE215" s="59"/>
      <c r="AF215" s="59"/>
    </row>
    <row r="216" spans="1:32" ht="21.2" customHeight="1">
      <c r="A216" s="23"/>
      <c r="B216" s="64" t="str">
        <f>IFERROR(VLOOKUP($A216,'The List'!$B1:$AS730,3,FALSE)," ")</f>
        <v xml:space="preserve"> </v>
      </c>
      <c r="C216" s="66" t="str">
        <f>IFERROR(VLOOKUP($A216,'The List'!$B1:$AS730,4,FALSE)," ")</f>
        <v xml:space="preserve"> </v>
      </c>
      <c r="D216" s="34" t="str">
        <f>IFERROR(VLOOKUP($A216,'The List'!$B1:$AS730,5,FALSE)," ")</f>
        <v xml:space="preserve"> </v>
      </c>
      <c r="E216" s="34" t="str">
        <f>IFERROR(VLOOKUP($A216,'The List'!$B1:$AS730,6,FALSE)," ")</f>
        <v xml:space="preserve"> </v>
      </c>
      <c r="F216" s="49" t="str">
        <f>IFERROR(VLOOKUP($A216,'The List'!$B1:$AS730,8,FALSE)," ")</f>
        <v xml:space="preserve"> </v>
      </c>
      <c r="G216" s="49" t="str">
        <f>IFERROR(VLOOKUP($A216,'The List'!$B1:$AS730,10,FALSE)," ")</f>
        <v xml:space="preserve"> </v>
      </c>
      <c r="H216" s="38"/>
      <c r="I216" s="52" t="str">
        <f>IFERROR(VLOOKUP($A216,'The List'!$B1:$AS730,16,FALSE)," ")</f>
        <v xml:space="preserve"> </v>
      </c>
      <c r="J216" s="52" t="str">
        <f>IFERROR(VLOOKUP($A216,'The List'!$B1:$AS730,17,FALSE)," ")</f>
        <v xml:space="preserve"> </v>
      </c>
      <c r="K216" s="52" t="str">
        <f>IFERROR(VLOOKUP($A216,'The List'!$B1:$AS730,18,FALSE)," ")</f>
        <v xml:space="preserve"> </v>
      </c>
      <c r="L216" s="52" t="str">
        <f>IFERROR(VLOOKUP($A216,'The List'!$B1:$AS730,19,FALSE)," ")</f>
        <v xml:space="preserve"> </v>
      </c>
      <c r="M216" s="52" t="str">
        <f>IFERROR(VLOOKUP($A216,'The List'!$B1:$AS730,20,FALSE)," ")</f>
        <v xml:space="preserve"> </v>
      </c>
      <c r="N216" s="52" t="str">
        <f>IFERROR(VLOOKUP($A216,'The List'!$B1:$AS730,21,FALSE)," ")</f>
        <v xml:space="preserve"> </v>
      </c>
      <c r="O216" s="52" t="str">
        <f>IFERROR(VLOOKUP($A216,'The List'!$B1:$AS730,22,FALSE)," ")</f>
        <v xml:space="preserve"> </v>
      </c>
      <c r="P216" s="52" t="str">
        <f>IFERROR(VLOOKUP($A216,'The List'!$B1:$AS730,23,FALSE)," ")</f>
        <v xml:space="preserve"> </v>
      </c>
      <c r="Q216" s="52" t="str">
        <f>IFERROR(VLOOKUP($A216,'The List'!$B1:$AS730,24,FALSE)," ")</f>
        <v xml:space="preserve"> </v>
      </c>
      <c r="R216" s="52" t="str">
        <f>IFERROR(VLOOKUP($A216,'The List'!$B1:$AS730,25,FALSE)," ")</f>
        <v xml:space="preserve"> </v>
      </c>
      <c r="S216" s="52" t="str">
        <f>IFERROR(VLOOKUP($A216,'The List'!$B1:$AS730,26,FALSE)," ")</f>
        <v xml:space="preserve"> </v>
      </c>
      <c r="T216" s="52" t="str">
        <f>IFERROR(VLOOKUP($A216,'The List'!$B1:$AS730,27,FALSE)," ")</f>
        <v xml:space="preserve"> </v>
      </c>
      <c r="U216" s="52" t="str">
        <f>IFERROR(VLOOKUP($A216,'The List'!$B1:$AS730,28,FALSE)," ")</f>
        <v xml:space="preserve"> </v>
      </c>
      <c r="V216" s="52" t="str">
        <f>IFERROR(VLOOKUP($A216,'The List'!$B1:$AS730,29,FALSE)," ")</f>
        <v xml:space="preserve"> </v>
      </c>
      <c r="W216" s="52" t="str">
        <f>IFERROR(VLOOKUP($A216,'The List'!$B1:$AS730,30,FALSE)," ")</f>
        <v xml:space="preserve"> </v>
      </c>
      <c r="X216" s="52" t="str">
        <f>IFERROR(VLOOKUP($A216,'The List'!$B1:$AS730,31,FALSE)," ")</f>
        <v xml:space="preserve"> </v>
      </c>
      <c r="Y216" s="52" t="str">
        <f>IFERROR(VLOOKUP($A216,'The List'!$B1:$AS730,32,FALSE)," ")</f>
        <v xml:space="preserve"> </v>
      </c>
      <c r="Z216" s="52" t="str">
        <f>IFERROR(VLOOKUP($A216,'The List'!$B1:$AS730,33,FALSE)," ")</f>
        <v xml:space="preserve"> </v>
      </c>
      <c r="AA216" s="54"/>
      <c r="AB216" s="59"/>
      <c r="AC216" s="59"/>
      <c r="AD216" s="59"/>
      <c r="AE216" s="59"/>
      <c r="AF216" s="59"/>
    </row>
    <row r="217" spans="1:32" ht="21.2" customHeight="1">
      <c r="A217" s="23" t="s">
        <v>113</v>
      </c>
      <c r="B217" s="67" t="str">
        <f>IFERROR(VLOOKUP($A217,'The List'!$B1:$AS730,3,FALSE)," ")</f>
        <v>D</v>
      </c>
      <c r="C217" s="69">
        <f>IFERROR(VLOOKUP($A217,'The List'!$B1:$AS730,4,FALSE)," ")</f>
        <v>2</v>
      </c>
      <c r="D217" s="34" t="str">
        <f>IFERROR(VLOOKUP($A217,'The List'!$B1:$AS730,5,FALSE)," ")</f>
        <v>NSH</v>
      </c>
      <c r="E217" s="34">
        <f>IFERROR(VLOOKUP($A217,'The List'!$B1:$AS730,6,FALSE)," ")</f>
        <v>33</v>
      </c>
      <c r="F217" s="49">
        <f>IFERROR(VLOOKUP($A217,'The List'!$B1:$AS730,8,FALSE)," ")</f>
        <v>9.2616217428406955</v>
      </c>
      <c r="G217" s="49">
        <f>IFERROR(VLOOKUP($A217,'The List'!$B1:$AS730,10,FALSE)," ")</f>
        <v>7.3198811992063852</v>
      </c>
      <c r="H217" s="38"/>
      <c r="I217" s="52">
        <f>IFERROR(VLOOKUP($A217,'The List'!$B1:$AS730,16,FALSE)," ")</f>
        <v>82</v>
      </c>
      <c r="J217" s="52">
        <f>IFERROR(VLOOKUP($A217,'The List'!$B1:$AS730,17,FALSE)," ")</f>
        <v>25.196900572663399</v>
      </c>
      <c r="K217" s="52">
        <f>IFERROR(VLOOKUP($A217,'The List'!$B1:$AS730,18,FALSE)," ")</f>
        <v>19.565508819677412</v>
      </c>
      <c r="L217" s="52">
        <f>IFERROR(VLOOKUP($A217,'The List'!$B1:$AS730,19,FALSE)," ")</f>
        <v>56.432868969072629</v>
      </c>
      <c r="M217" s="52">
        <f>IFERROR(VLOOKUP($A217,'The List'!$B1:$AS730,20,FALSE)," ")</f>
        <v>75.998377788750048</v>
      </c>
      <c r="N217" s="52">
        <f>IFERROR(VLOOKUP($A217,'The List'!$B1:$AS730,21,FALSE)," ")</f>
        <v>296.5880672469583</v>
      </c>
      <c r="O217" s="52">
        <f>IFERROR(VLOOKUP($A217,'The List'!$B1:$AS730,22,FALSE)," ")</f>
        <v>8.642235913830012</v>
      </c>
      <c r="P217" s="52">
        <f>IFERROR(VLOOKUP($A217,'The List'!$B1:$AS730,23,FALSE)," ")</f>
        <v>30.719827026905197</v>
      </c>
      <c r="Q217" s="52">
        <f>IFERROR(VLOOKUP($A217,'The List'!$B1:$AS730,24,FALSE)," ")</f>
        <v>2.2212684051330978E-3</v>
      </c>
      <c r="R217" s="52">
        <f>IFERROR(VLOOKUP($A217,'The List'!$B1:$AS730,25,FALSE)," ")</f>
        <v>0.14661992744708677</v>
      </c>
      <c r="S217" s="52">
        <f>IFERROR(VLOOKUP($A217,'The List'!$B1:$AS730,26,FALSE)," ")</f>
        <v>155.15928053408777</v>
      </c>
      <c r="T217" s="52">
        <f>IFERROR(VLOOKUP($A217,'The List'!$B1:$AS730,27,FALSE)," ")</f>
        <v>71.984356534790464</v>
      </c>
      <c r="U217" s="52">
        <f>IFERROR(VLOOKUP($A217,'The List'!$B1:$AS730,28,FALSE)," ")</f>
        <v>1.8321509831808012</v>
      </c>
      <c r="V217" s="52">
        <f>IFERROR(VLOOKUP($A217,'The List'!$B1:$AS730,29,FALSE)," ")</f>
        <v>45.253817002648212</v>
      </c>
      <c r="W217" s="52">
        <f>IFERROR(VLOOKUP($A217,'The List'!$B1:$AS730,30,FALSE)," ")</f>
        <v>2.8570760055032136</v>
      </c>
      <c r="X217" s="52">
        <f>IFERROR(VLOOKUP($A217,'The List'!$B1:$AS730,31,FALSE)," ")</f>
        <v>0</v>
      </c>
      <c r="Y217" s="52">
        <f>IFERROR(VLOOKUP($A217,'The List'!$B1:$AS730,32,FALSE)," ")</f>
        <v>0</v>
      </c>
      <c r="Z217" s="52">
        <f>IFERROR(VLOOKUP($A217,'The List'!$B1:$AS730,33,FALSE)," ")</f>
        <v>0</v>
      </c>
      <c r="AA217" s="54"/>
      <c r="AB217" s="59"/>
      <c r="AC217" s="59"/>
      <c r="AD217" s="59"/>
      <c r="AE217" s="59"/>
      <c r="AF217" s="59"/>
    </row>
    <row r="218" spans="1:32" ht="21.2" customHeight="1">
      <c r="A218" s="23" t="s">
        <v>167</v>
      </c>
      <c r="B218" s="67" t="str">
        <f>IFERROR(VLOOKUP($A218,'The List'!$B1:$AS730,3,FALSE)," ")</f>
        <v>D</v>
      </c>
      <c r="C218" s="69">
        <f>IFERROR(VLOOKUP($A218,'The List'!$B1:$AS730,4,FALSE)," ")</f>
        <v>18</v>
      </c>
      <c r="D218" s="34" t="str">
        <f>IFERROR(VLOOKUP($A218,'The List'!$B1:$AS730,5,FALSE)," ")</f>
        <v>BOS</v>
      </c>
      <c r="E218" s="34">
        <f>IFERROR(VLOOKUP($A218,'The List'!$B1:$AS730,6,FALSE)," ")</f>
        <v>25</v>
      </c>
      <c r="F218" s="49">
        <f>IFERROR(VLOOKUP($A218,'The List'!$B1:$AS730,8,FALSE)," ")</f>
        <v>3.8650349353748927</v>
      </c>
      <c r="G218" s="49">
        <f>IFERROR(VLOOKUP($A218,'The List'!$B1:$AS730,10,FALSE)," ")</f>
        <v>1.923294391740582</v>
      </c>
      <c r="H218" s="38"/>
      <c r="I218" s="52">
        <f>IFERROR(VLOOKUP($A218,'The List'!$B1:$AS730,16,FALSE)," ")</f>
        <v>82</v>
      </c>
      <c r="J218" s="52">
        <f>IFERROR(VLOOKUP($A218,'The List'!$B1:$AS730,17,FALSE)," ")</f>
        <v>23.335087774509699</v>
      </c>
      <c r="K218" s="52">
        <f>IFERROR(VLOOKUP($A218,'The List'!$B1:$AS730,18,FALSE)," ")</f>
        <v>9.661802410561652</v>
      </c>
      <c r="L218" s="52">
        <f>IFERROR(VLOOKUP($A218,'The List'!$B1:$AS730,19,FALSE)," ")</f>
        <v>50.034930062861804</v>
      </c>
      <c r="M218" s="52">
        <f>IFERROR(VLOOKUP($A218,'The List'!$B1:$AS730,20,FALSE)," ")</f>
        <v>59.696732473423452</v>
      </c>
      <c r="N218" s="52">
        <f>IFERROR(VLOOKUP($A218,'The List'!$B1:$AS730,21,FALSE)," ")</f>
        <v>150.73975776034376</v>
      </c>
      <c r="O218" s="52">
        <f>IFERROR(VLOOKUP($A218,'The List'!$B1:$AS730,22,FALSE)," ")</f>
        <v>3.2590841710442269</v>
      </c>
      <c r="P218" s="52">
        <f>IFERROR(VLOOKUP($A218,'The List'!$B1:$AS730,23,FALSE)," ")</f>
        <v>22.566850871789885</v>
      </c>
      <c r="Q218" s="52">
        <f>IFERROR(VLOOKUP($A218,'The List'!$B1:$AS730,24,FALSE)," ")</f>
        <v>4.1931698247331985E-2</v>
      </c>
      <c r="R218" s="52">
        <f>IFERROR(VLOOKUP($A218,'The List'!$B1:$AS730,25,FALSE)," ")</f>
        <v>0.42186961476861695</v>
      </c>
      <c r="S218" s="52">
        <f>IFERROR(VLOOKUP($A218,'The List'!$B1:$AS730,26,FALSE)," ")</f>
        <v>147.58193735662661</v>
      </c>
      <c r="T218" s="52">
        <f>IFERROR(VLOOKUP($A218,'The List'!$B1:$AS730,27,FALSE)," ")</f>
        <v>116.48832666921884</v>
      </c>
      <c r="U218" s="52">
        <f>IFERROR(VLOOKUP($A218,'The List'!$B1:$AS730,28,FALSE)," ")</f>
        <v>8.1544803067409024</v>
      </c>
      <c r="V218" s="52">
        <f>IFERROR(VLOOKUP($A218,'The List'!$B1:$AS730,29,FALSE)," ")</f>
        <v>63.532805121880642</v>
      </c>
      <c r="W218" s="52">
        <f>IFERROR(VLOOKUP($A218,'The List'!$B1:$AS730,30,FALSE)," ")</f>
        <v>1.6220264864482818</v>
      </c>
      <c r="X218" s="52">
        <f>IFERROR(VLOOKUP($A218,'The List'!$B1:$AS730,31,FALSE)," ")</f>
        <v>0</v>
      </c>
      <c r="Y218" s="52">
        <f>IFERROR(VLOOKUP($A218,'The List'!$B1:$AS730,32,FALSE)," ")</f>
        <v>0</v>
      </c>
      <c r="Z218" s="52">
        <f>IFERROR(VLOOKUP($A218,'The List'!$B1:$AS730,33,FALSE)," ")</f>
        <v>0</v>
      </c>
      <c r="AA218" s="54"/>
      <c r="AB218" s="59"/>
      <c r="AC218" s="59"/>
      <c r="AD218" s="59"/>
      <c r="AE218" s="59"/>
      <c r="AF218" s="59"/>
    </row>
    <row r="219" spans="1:32" ht="21.2" customHeight="1">
      <c r="A219" s="23" t="s">
        <v>177</v>
      </c>
      <c r="B219" s="67" t="str">
        <f>IFERROR(VLOOKUP($A219,'The List'!$B1:$AS730,3,FALSE)," ")</f>
        <v>D</v>
      </c>
      <c r="C219" s="69">
        <f>IFERROR(VLOOKUP($A219,'The List'!$B1:$AS730,4,FALSE)," ")</f>
        <v>17</v>
      </c>
      <c r="D219" s="34" t="str">
        <f>IFERROR(VLOOKUP($A219,'The List'!$B1:$AS730,5,FALSE)," ")</f>
        <v>VGK</v>
      </c>
      <c r="E219" s="34">
        <f>IFERROR(VLOOKUP($A219,'The List'!$B1:$AS730,6,FALSE)," ")</f>
        <v>28</v>
      </c>
      <c r="F219" s="49">
        <f>IFERROR(VLOOKUP($A219,'The List'!$B1:$AS730,8,FALSE)," ")</f>
        <v>3.9753189860102234</v>
      </c>
      <c r="G219" s="49">
        <f>IFERROR(VLOOKUP($A219,'The List'!$B1:$AS730,10,FALSE)," ")</f>
        <v>2.0335784423759127</v>
      </c>
      <c r="H219" s="38"/>
      <c r="I219" s="52">
        <f>IFERROR(VLOOKUP($A219,'The List'!$B1:$AS730,16,FALSE)," ")</f>
        <v>82</v>
      </c>
      <c r="J219" s="52">
        <f>IFERROR(VLOOKUP($A219,'The List'!$B1:$AS730,17,FALSE)," ")</f>
        <v>21.820197713934299</v>
      </c>
      <c r="K219" s="52">
        <f>IFERROR(VLOOKUP($A219,'The List'!$B1:$AS730,18,FALSE)," ")</f>
        <v>12.5714453683605</v>
      </c>
      <c r="L219" s="52">
        <f>IFERROR(VLOOKUP($A219,'The List'!$B1:$AS730,19,FALSE)," ")</f>
        <v>44.659772409212266</v>
      </c>
      <c r="M219" s="52">
        <f>IFERROR(VLOOKUP($A219,'The List'!$B1:$AS730,20,FALSE)," ")</f>
        <v>57.231217777572766</v>
      </c>
      <c r="N219" s="52">
        <f>IFERROR(VLOOKUP($A219,'The List'!$B1:$AS730,21,FALSE)," ")</f>
        <v>206.88046019341502</v>
      </c>
      <c r="O219" s="52">
        <f>IFERROR(VLOOKUP($A219,'The List'!$B1:$AS730,22,FALSE)," ")</f>
        <v>1.8478821837738313</v>
      </c>
      <c r="P219" s="52">
        <f>IFERROR(VLOOKUP($A219,'The List'!$B1:$AS730,23,FALSE)," ")</f>
        <v>16.459893294453028</v>
      </c>
      <c r="Q219" s="52">
        <f>IFERROR(VLOOKUP($A219,'The List'!$B1:$AS730,24,FALSE)," ")</f>
        <v>2.7368676902180923E-3</v>
      </c>
      <c r="R219" s="52">
        <f>IFERROR(VLOOKUP($A219,'The List'!$B1:$AS730,25,FALSE)," ")</f>
        <v>1.13141116542834E-2</v>
      </c>
      <c r="S219" s="52">
        <f>IFERROR(VLOOKUP($A219,'The List'!$B1:$AS730,26,FALSE)," ")</f>
        <v>112.21410552707131</v>
      </c>
      <c r="T219" s="52">
        <f>IFERROR(VLOOKUP($A219,'The List'!$B1:$AS730,27,FALSE)," ")</f>
        <v>41.21374400741982</v>
      </c>
      <c r="U219" s="52">
        <f>IFERROR(VLOOKUP($A219,'The List'!$B1:$AS730,28,FALSE)," ")</f>
        <v>7.4789824992205665</v>
      </c>
      <c r="V219" s="52">
        <f>IFERROR(VLOOKUP($A219,'The List'!$B1:$AS730,29,FALSE)," ")</f>
        <v>28.526407396261725</v>
      </c>
      <c r="W219" s="52">
        <f>IFERROR(VLOOKUP($A219,'The List'!$B1:$AS730,30,FALSE)," ")</f>
        <v>2.0545171820336319</v>
      </c>
      <c r="X219" s="52">
        <f>IFERROR(VLOOKUP($A219,'The List'!$B1:$AS730,31,FALSE)," ")</f>
        <v>0</v>
      </c>
      <c r="Y219" s="52">
        <f>IFERROR(VLOOKUP($A219,'The List'!$B1:$AS730,32,FALSE)," ")</f>
        <v>0</v>
      </c>
      <c r="Z219" s="52">
        <f>IFERROR(VLOOKUP($A219,'The List'!$B1:$AS730,33,FALSE)," ")</f>
        <v>0</v>
      </c>
      <c r="AA219" s="54"/>
      <c r="AB219" s="59"/>
      <c r="AC219" s="59"/>
      <c r="AD219" s="59"/>
      <c r="AE219" s="59"/>
      <c r="AF219" s="59"/>
    </row>
    <row r="220" spans="1:32" ht="21.2" customHeight="1">
      <c r="A220" s="23" t="s">
        <v>316</v>
      </c>
      <c r="B220" s="67" t="str">
        <f>IFERROR(VLOOKUP($A220,'The List'!$B1:$AS730,3,FALSE)," ")</f>
        <v>D</v>
      </c>
      <c r="C220" s="69">
        <f>IFERROR(VLOOKUP($A220,'The List'!$B1:$AS730,4,FALSE)," ")</f>
        <v>77</v>
      </c>
      <c r="D220" s="34" t="str">
        <f>IFERROR(VLOOKUP($A220,'The List'!$B1:$AS730,5,FALSE)," ")</f>
        <v>NYR</v>
      </c>
      <c r="E220" s="34">
        <f>IFERROR(VLOOKUP($A220,'The List'!$B1:$AS730,6,FALSE)," ")</f>
        <v>23</v>
      </c>
      <c r="F220" s="49">
        <f>IFERROR(VLOOKUP($A220,'The List'!$B1:$AS730,8,FALSE)," ")</f>
        <v>-1.8079946255179389</v>
      </c>
      <c r="G220" s="49">
        <f>IFERROR(VLOOKUP($A220,'The List'!$B1:$AS730,10,FALSE)," ")</f>
        <v>-3.7497351691522498</v>
      </c>
      <c r="H220" s="38"/>
      <c r="I220" s="52">
        <f>IFERROR(VLOOKUP($A220,'The List'!$B1:$AS730,16,FALSE)," ")</f>
        <v>82</v>
      </c>
      <c r="J220" s="52">
        <f>IFERROR(VLOOKUP($A220,'The List'!$B1:$AS730,17,FALSE)," ")</f>
        <v>22.101937710086101</v>
      </c>
      <c r="K220" s="52">
        <f>IFERROR(VLOOKUP($A220,'The List'!$B1:$AS730,18,FALSE)," ")</f>
        <v>8.7140496295059275</v>
      </c>
      <c r="L220" s="52">
        <f>IFERROR(VLOOKUP($A220,'The List'!$B1:$AS730,19,FALSE)," ")</f>
        <v>25.80042797486589</v>
      </c>
      <c r="M220" s="52">
        <f>IFERROR(VLOOKUP($A220,'The List'!$B1:$AS730,20,FALSE)," ")</f>
        <v>34.51447760437182</v>
      </c>
      <c r="N220" s="52">
        <f>IFERROR(VLOOKUP($A220,'The List'!$B1:$AS730,21,FALSE)," ")</f>
        <v>116.18622977684939</v>
      </c>
      <c r="O220" s="52">
        <f>IFERROR(VLOOKUP($A220,'The List'!$B1:$AS730,22,FALSE)," ")</f>
        <v>0.30826137696648714</v>
      </c>
      <c r="P220" s="52">
        <f>IFERROR(VLOOKUP($A220,'The List'!$B1:$AS730,23,FALSE)," ")</f>
        <v>1.275274825544962</v>
      </c>
      <c r="Q220" s="52">
        <f>IFERROR(VLOOKUP($A220,'The List'!$B1:$AS730,24,FALSE)," ")</f>
        <v>5.4118834594189882E-2</v>
      </c>
      <c r="R220" s="52">
        <f>IFERROR(VLOOKUP($A220,'The List'!$B1:$AS730,25,FALSE)," ")</f>
        <v>1.0841099577072795</v>
      </c>
      <c r="S220" s="52">
        <f>IFERROR(VLOOKUP($A220,'The List'!$B1:$AS730,26,FALSE)," ")</f>
        <v>113.46673174658379</v>
      </c>
      <c r="T220" s="52">
        <f>IFERROR(VLOOKUP($A220,'The List'!$B1:$AS730,27,FALSE)," ")</f>
        <v>153.84672708110409</v>
      </c>
      <c r="U220" s="52">
        <f>IFERROR(VLOOKUP($A220,'The List'!$B1:$AS730,28,FALSE)," ")</f>
        <v>4.3413367684752417</v>
      </c>
      <c r="V220" s="52">
        <f>IFERROR(VLOOKUP($A220,'The List'!$B1:$AS730,29,FALSE)," ")</f>
        <v>34.840511065441916</v>
      </c>
      <c r="W220" s="52">
        <f>IFERROR(VLOOKUP($A220,'The List'!$B1:$AS730,30,FALSE)," ")</f>
        <v>1.4848577844827209</v>
      </c>
      <c r="X220" s="52">
        <f>IFERROR(VLOOKUP($A220,'The List'!$B1:$AS730,31,FALSE)," ")</f>
        <v>0</v>
      </c>
      <c r="Y220" s="52">
        <f>IFERROR(VLOOKUP($A220,'The List'!$B1:$AS730,32,FALSE)," ")</f>
        <v>0</v>
      </c>
      <c r="Z220" s="52">
        <f>IFERROR(VLOOKUP($A220,'The List'!$B1:$AS730,33,FALSE)," ")</f>
        <v>0</v>
      </c>
      <c r="AA220" s="54"/>
      <c r="AB220" s="59"/>
      <c r="AC220" s="59"/>
      <c r="AD220" s="59"/>
      <c r="AE220" s="59"/>
      <c r="AF220" s="59"/>
    </row>
    <row r="221" spans="1:32" ht="21.2" customHeight="1">
      <c r="A221" s="23"/>
      <c r="B221" s="67" t="str">
        <f>IFERROR(VLOOKUP($A221,'The List'!$B1:$AS730,3,FALSE)," ")</f>
        <v xml:space="preserve"> </v>
      </c>
      <c r="C221" s="69" t="str">
        <f>IFERROR(VLOOKUP($A221,'The List'!$B1:$AS730,4,FALSE)," ")</f>
        <v xml:space="preserve"> </v>
      </c>
      <c r="D221" s="34" t="str">
        <f>IFERROR(VLOOKUP($A221,'The List'!$B1:$AS730,5,FALSE)," ")</f>
        <v xml:space="preserve"> </v>
      </c>
      <c r="E221" s="34" t="str">
        <f>IFERROR(VLOOKUP($A221,'The List'!$B1:$AS730,6,FALSE)," ")</f>
        <v xml:space="preserve"> </v>
      </c>
      <c r="F221" s="49" t="str">
        <f>IFERROR(VLOOKUP($A221,'The List'!$B1:$AS730,8,FALSE)," ")</f>
        <v xml:space="preserve"> </v>
      </c>
      <c r="G221" s="49" t="str">
        <f>IFERROR(VLOOKUP($A221,'The List'!$B1:$AS730,10,FALSE)," ")</f>
        <v xml:space="preserve"> </v>
      </c>
      <c r="H221" s="38"/>
      <c r="I221" s="52" t="str">
        <f>IFERROR(VLOOKUP($A221,'The List'!$B1:$AS730,16,FALSE)," ")</f>
        <v xml:space="preserve"> </v>
      </c>
      <c r="J221" s="52" t="str">
        <f>IFERROR(VLOOKUP($A221,'The List'!$B1:$AS730,17,FALSE)," ")</f>
        <v xml:space="preserve"> </v>
      </c>
      <c r="K221" s="52" t="str">
        <f>IFERROR(VLOOKUP($A221,'The List'!$B1:$AS730,18,FALSE)," ")</f>
        <v xml:space="preserve"> </v>
      </c>
      <c r="L221" s="52" t="str">
        <f>IFERROR(VLOOKUP($A221,'The List'!$B1:$AS730,19,FALSE)," ")</f>
        <v xml:space="preserve"> </v>
      </c>
      <c r="M221" s="52" t="str">
        <f>IFERROR(VLOOKUP($A221,'The List'!$B1:$AS730,20,FALSE)," ")</f>
        <v xml:space="preserve"> </v>
      </c>
      <c r="N221" s="52" t="str">
        <f>IFERROR(VLOOKUP($A221,'The List'!$B1:$AS730,21,FALSE)," ")</f>
        <v xml:space="preserve"> </v>
      </c>
      <c r="O221" s="52" t="str">
        <f>IFERROR(VLOOKUP($A221,'The List'!$B1:$AS730,22,FALSE)," ")</f>
        <v xml:space="preserve"> </v>
      </c>
      <c r="P221" s="52" t="str">
        <f>IFERROR(VLOOKUP($A221,'The List'!$B1:$AS730,23,FALSE)," ")</f>
        <v xml:space="preserve"> </v>
      </c>
      <c r="Q221" s="52" t="str">
        <f>IFERROR(VLOOKUP($A221,'The List'!$B1:$AS730,24,FALSE)," ")</f>
        <v xml:space="preserve"> </v>
      </c>
      <c r="R221" s="52" t="str">
        <f>IFERROR(VLOOKUP($A221,'The List'!$B1:$AS730,25,FALSE)," ")</f>
        <v xml:space="preserve"> </v>
      </c>
      <c r="S221" s="52" t="str">
        <f>IFERROR(VLOOKUP($A221,'The List'!$B1:$AS730,26,FALSE)," ")</f>
        <v xml:space="preserve"> </v>
      </c>
      <c r="T221" s="52" t="str">
        <f>IFERROR(VLOOKUP($A221,'The List'!$B1:$AS730,27,FALSE)," ")</f>
        <v xml:space="preserve"> </v>
      </c>
      <c r="U221" s="52" t="str">
        <f>IFERROR(VLOOKUP($A221,'The List'!$B1:$AS730,28,FALSE)," ")</f>
        <v xml:space="preserve"> </v>
      </c>
      <c r="V221" s="52" t="str">
        <f>IFERROR(VLOOKUP($A221,'The List'!$B1:$AS730,29,FALSE)," ")</f>
        <v xml:space="preserve"> </v>
      </c>
      <c r="W221" s="52" t="str">
        <f>IFERROR(VLOOKUP($A221,'The List'!$B1:$AS730,30,FALSE)," ")</f>
        <v xml:space="preserve"> </v>
      </c>
      <c r="X221" s="52" t="str">
        <f>IFERROR(VLOOKUP($A221,'The List'!$B1:$AS730,31,FALSE)," ")</f>
        <v xml:space="preserve"> </v>
      </c>
      <c r="Y221" s="52" t="str">
        <f>IFERROR(VLOOKUP($A221,'The List'!$B1:$AS730,32,FALSE)," ")</f>
        <v xml:space="preserve"> </v>
      </c>
      <c r="Z221" s="52" t="str">
        <f>IFERROR(VLOOKUP($A221,'The List'!$B1:$AS730,33,FALSE)," ")</f>
        <v xml:space="preserve"> </v>
      </c>
      <c r="AA221" s="54"/>
      <c r="AB221" s="59"/>
      <c r="AC221" s="59"/>
      <c r="AD221" s="59"/>
      <c r="AE221" s="59"/>
      <c r="AF221" s="59"/>
    </row>
    <row r="222" spans="1:32" ht="21.2" customHeight="1">
      <c r="A222" s="23"/>
      <c r="B222" s="67" t="str">
        <f>IFERROR(VLOOKUP($A222,'The List'!$B1:$AS730,3,FALSE)," ")</f>
        <v xml:space="preserve"> </v>
      </c>
      <c r="C222" s="69" t="str">
        <f>IFERROR(VLOOKUP($A222,'The List'!$B1:$AS730,4,FALSE)," ")</f>
        <v xml:space="preserve"> </v>
      </c>
      <c r="D222" s="34" t="str">
        <f>IFERROR(VLOOKUP($A222,'The List'!$B1:$AS730,5,FALSE)," ")</f>
        <v xml:space="preserve"> </v>
      </c>
      <c r="E222" s="34" t="str">
        <f>IFERROR(VLOOKUP($A222,'The List'!$B1:$AS730,6,FALSE)," ")</f>
        <v xml:space="preserve"> </v>
      </c>
      <c r="F222" s="49" t="str">
        <f>IFERROR(VLOOKUP($A222,'The List'!$B1:$AS730,8,FALSE)," ")</f>
        <v xml:space="preserve"> </v>
      </c>
      <c r="G222" s="49" t="str">
        <f>IFERROR(VLOOKUP($A222,'The List'!$B1:$AS730,10,FALSE)," ")</f>
        <v xml:space="preserve"> </v>
      </c>
      <c r="H222" s="38"/>
      <c r="I222" s="52" t="str">
        <f>IFERROR(VLOOKUP($A222,'The List'!$B1:$AS730,16,FALSE)," ")</f>
        <v xml:space="preserve"> </v>
      </c>
      <c r="J222" s="52" t="str">
        <f>IFERROR(VLOOKUP($A222,'The List'!$B1:$AS730,17,FALSE)," ")</f>
        <v xml:space="preserve"> </v>
      </c>
      <c r="K222" s="52" t="str">
        <f>IFERROR(VLOOKUP($A222,'The List'!$B1:$AS730,18,FALSE)," ")</f>
        <v xml:space="preserve"> </v>
      </c>
      <c r="L222" s="52" t="str">
        <f>IFERROR(VLOOKUP($A222,'The List'!$B1:$AS730,19,FALSE)," ")</f>
        <v xml:space="preserve"> </v>
      </c>
      <c r="M222" s="52" t="str">
        <f>IFERROR(VLOOKUP($A222,'The List'!$B1:$AS730,20,FALSE)," ")</f>
        <v xml:space="preserve"> </v>
      </c>
      <c r="N222" s="52" t="str">
        <f>IFERROR(VLOOKUP($A222,'The List'!$B1:$AS730,21,FALSE)," ")</f>
        <v xml:space="preserve"> </v>
      </c>
      <c r="O222" s="52" t="str">
        <f>IFERROR(VLOOKUP($A222,'The List'!$B1:$AS730,22,FALSE)," ")</f>
        <v xml:space="preserve"> </v>
      </c>
      <c r="P222" s="52" t="str">
        <f>IFERROR(VLOOKUP($A222,'The List'!$B1:$AS730,23,FALSE)," ")</f>
        <v xml:space="preserve"> </v>
      </c>
      <c r="Q222" s="52" t="str">
        <f>IFERROR(VLOOKUP($A222,'The List'!$B1:$AS730,24,FALSE)," ")</f>
        <v xml:space="preserve"> </v>
      </c>
      <c r="R222" s="52" t="str">
        <f>IFERROR(VLOOKUP($A222,'The List'!$B1:$AS730,25,FALSE)," ")</f>
        <v xml:space="preserve"> </v>
      </c>
      <c r="S222" s="52" t="str">
        <f>IFERROR(VLOOKUP($A222,'The List'!$B1:$AS730,26,FALSE)," ")</f>
        <v xml:space="preserve"> </v>
      </c>
      <c r="T222" s="52" t="str">
        <f>IFERROR(VLOOKUP($A222,'The List'!$B1:$AS730,27,FALSE)," ")</f>
        <v xml:space="preserve"> </v>
      </c>
      <c r="U222" s="52" t="str">
        <f>IFERROR(VLOOKUP($A222,'The List'!$B1:$AS730,28,FALSE)," ")</f>
        <v xml:space="preserve"> </v>
      </c>
      <c r="V222" s="52" t="str">
        <f>IFERROR(VLOOKUP($A222,'The List'!$B1:$AS730,29,FALSE)," ")</f>
        <v xml:space="preserve"> </v>
      </c>
      <c r="W222" s="52" t="str">
        <f>IFERROR(VLOOKUP($A222,'The List'!$B1:$AS730,30,FALSE)," ")</f>
        <v xml:space="preserve"> </v>
      </c>
      <c r="X222" s="52" t="str">
        <f>IFERROR(VLOOKUP($A222,'The List'!$B1:$AS730,31,FALSE)," ")</f>
        <v xml:space="preserve"> </v>
      </c>
      <c r="Y222" s="52" t="str">
        <f>IFERROR(VLOOKUP($A222,'The List'!$B1:$AS730,32,FALSE)," ")</f>
        <v xml:space="preserve"> </v>
      </c>
      <c r="Z222" s="52" t="str">
        <f>IFERROR(VLOOKUP($A222,'The List'!$B1:$AS730,33,FALSE)," ")</f>
        <v xml:space="preserve"> </v>
      </c>
      <c r="AA222" s="54"/>
      <c r="AB222" s="59"/>
      <c r="AC222" s="59"/>
      <c r="AD222" s="59"/>
      <c r="AE222" s="59"/>
      <c r="AF222" s="59"/>
    </row>
    <row r="223" spans="1:32" ht="21.2" customHeight="1">
      <c r="A223" s="23"/>
      <c r="B223" s="67" t="str">
        <f>IFERROR(VLOOKUP($A223,'The List'!$B1:$AS730,3,FALSE)," ")</f>
        <v xml:space="preserve"> </v>
      </c>
      <c r="C223" s="69" t="str">
        <f>IFERROR(VLOOKUP($A223,'The List'!$B1:$AS730,4,FALSE)," ")</f>
        <v xml:space="preserve"> </v>
      </c>
      <c r="D223" s="34" t="str">
        <f>IFERROR(VLOOKUP($A223,'The List'!$B1:$AS730,5,FALSE)," ")</f>
        <v xml:space="preserve"> </v>
      </c>
      <c r="E223" s="34" t="str">
        <f>IFERROR(VLOOKUP($A223,'The List'!$B1:$AS730,6,FALSE)," ")</f>
        <v xml:space="preserve"> </v>
      </c>
      <c r="F223" s="49" t="str">
        <f>IFERROR(VLOOKUP($A223,'The List'!$B1:$AS730,8,FALSE)," ")</f>
        <v xml:space="preserve"> </v>
      </c>
      <c r="G223" s="49" t="str">
        <f>IFERROR(VLOOKUP($A223,'The List'!$B1:$AS730,10,FALSE)," ")</f>
        <v xml:space="preserve"> </v>
      </c>
      <c r="H223" s="38"/>
      <c r="I223" s="52" t="str">
        <f>IFERROR(VLOOKUP($A223,'The List'!$B1:$AS730,16,FALSE)," ")</f>
        <v xml:space="preserve"> </v>
      </c>
      <c r="J223" s="52" t="str">
        <f>IFERROR(VLOOKUP($A223,'The List'!$B1:$AS730,17,FALSE)," ")</f>
        <v xml:space="preserve"> </v>
      </c>
      <c r="K223" s="52" t="str">
        <f>IFERROR(VLOOKUP($A223,'The List'!$B1:$AS730,18,FALSE)," ")</f>
        <v xml:space="preserve"> </v>
      </c>
      <c r="L223" s="52" t="str">
        <f>IFERROR(VLOOKUP($A223,'The List'!$B1:$AS730,19,FALSE)," ")</f>
        <v xml:space="preserve"> </v>
      </c>
      <c r="M223" s="52" t="str">
        <f>IFERROR(VLOOKUP($A223,'The List'!$B1:$AS730,20,FALSE)," ")</f>
        <v xml:space="preserve"> </v>
      </c>
      <c r="N223" s="52" t="str">
        <f>IFERROR(VLOOKUP($A223,'The List'!$B1:$AS730,21,FALSE)," ")</f>
        <v xml:space="preserve"> </v>
      </c>
      <c r="O223" s="52" t="str">
        <f>IFERROR(VLOOKUP($A223,'The List'!$B1:$AS730,22,FALSE)," ")</f>
        <v xml:space="preserve"> </v>
      </c>
      <c r="P223" s="52" t="str">
        <f>IFERROR(VLOOKUP($A223,'The List'!$B1:$AS730,23,FALSE)," ")</f>
        <v xml:space="preserve"> </v>
      </c>
      <c r="Q223" s="52" t="str">
        <f>IFERROR(VLOOKUP($A223,'The List'!$B1:$AS730,24,FALSE)," ")</f>
        <v xml:space="preserve"> </v>
      </c>
      <c r="R223" s="52" t="str">
        <f>IFERROR(VLOOKUP($A223,'The List'!$B1:$AS730,25,FALSE)," ")</f>
        <v xml:space="preserve"> </v>
      </c>
      <c r="S223" s="52" t="str">
        <f>IFERROR(VLOOKUP($A223,'The List'!$B1:$AS730,26,FALSE)," ")</f>
        <v xml:space="preserve"> </v>
      </c>
      <c r="T223" s="52" t="str">
        <f>IFERROR(VLOOKUP($A223,'The List'!$B1:$AS730,27,FALSE)," ")</f>
        <v xml:space="preserve"> </v>
      </c>
      <c r="U223" s="52" t="str">
        <f>IFERROR(VLOOKUP($A223,'The List'!$B1:$AS730,28,FALSE)," ")</f>
        <v xml:space="preserve"> </v>
      </c>
      <c r="V223" s="52" t="str">
        <f>IFERROR(VLOOKUP($A223,'The List'!$B1:$AS730,29,FALSE)," ")</f>
        <v xml:space="preserve"> </v>
      </c>
      <c r="W223" s="52" t="str">
        <f>IFERROR(VLOOKUP($A223,'The List'!$B1:$AS730,30,FALSE)," ")</f>
        <v xml:space="preserve"> </v>
      </c>
      <c r="X223" s="52" t="str">
        <f>IFERROR(VLOOKUP($A223,'The List'!$B1:$AS730,31,FALSE)," ")</f>
        <v xml:space="preserve"> </v>
      </c>
      <c r="Y223" s="52" t="str">
        <f>IFERROR(VLOOKUP($A223,'The List'!$B1:$AS730,32,FALSE)," ")</f>
        <v xml:space="preserve"> </v>
      </c>
      <c r="Z223" s="52" t="str">
        <f>IFERROR(VLOOKUP($A223,'The List'!$B1:$AS730,33,FALSE)," ")</f>
        <v xml:space="preserve"> </v>
      </c>
      <c r="AA223" s="54"/>
      <c r="AB223" s="59"/>
      <c r="AC223" s="59"/>
      <c r="AD223" s="59"/>
      <c r="AE223" s="59"/>
      <c r="AF223" s="59"/>
    </row>
    <row r="224" spans="1:32" ht="21.2" customHeight="1">
      <c r="A224" s="71"/>
      <c r="B224" s="72" t="str">
        <f>IFERROR(VLOOKUP($A224,'The List'!$B1:$AS730,3,FALSE)," ")</f>
        <v xml:space="preserve"> </v>
      </c>
      <c r="C224" s="73" t="str">
        <f>IFERROR(VLOOKUP($A224,'The List'!$B1:$AS730,4,FALSE)," ")</f>
        <v xml:space="preserve"> </v>
      </c>
      <c r="D224" s="74" t="str">
        <f>IFERROR(VLOOKUP($A224,'The List'!$B1:$AS730,5,FALSE)," ")</f>
        <v xml:space="preserve"> </v>
      </c>
      <c r="E224" s="74" t="str">
        <f>IFERROR(VLOOKUP($A224,'The List'!$B1:$AS730,6,FALSE)," ")</f>
        <v xml:space="preserve"> </v>
      </c>
      <c r="F224" s="75" t="str">
        <f>IFERROR(VLOOKUP($A224,'The List'!$B1:$AS730,8,FALSE)," ")</f>
        <v xml:space="preserve"> </v>
      </c>
      <c r="G224" s="75" t="str">
        <f>IFERROR(VLOOKUP($A224,'The List'!$B1:$AS730,10,FALSE)," ")</f>
        <v xml:space="preserve"> </v>
      </c>
      <c r="H224" s="76"/>
      <c r="I224" s="77" t="str">
        <f>IFERROR(VLOOKUP($A224,'The List'!$B1:$AS730,16,FALSE)," ")</f>
        <v xml:space="preserve"> </v>
      </c>
      <c r="J224" s="77" t="str">
        <f>IFERROR(VLOOKUP($A224,'The List'!$B1:$AS730,17,FALSE)," ")</f>
        <v xml:space="preserve"> </v>
      </c>
      <c r="K224" s="77" t="str">
        <f>IFERROR(VLOOKUP($A224,'The List'!$B1:$AS730,18,FALSE)," ")</f>
        <v xml:space="preserve"> </v>
      </c>
      <c r="L224" s="77" t="str">
        <f>IFERROR(VLOOKUP($A224,'The List'!$B1:$AS730,19,FALSE)," ")</f>
        <v xml:space="preserve"> </v>
      </c>
      <c r="M224" s="77" t="str">
        <f>IFERROR(VLOOKUP($A224,'The List'!$B1:$AS730,20,FALSE)," ")</f>
        <v xml:space="preserve"> </v>
      </c>
      <c r="N224" s="77" t="str">
        <f>IFERROR(VLOOKUP($A224,'The List'!$B1:$AS730,21,FALSE)," ")</f>
        <v xml:space="preserve"> </v>
      </c>
      <c r="O224" s="77" t="str">
        <f>IFERROR(VLOOKUP($A224,'The List'!$B1:$AS730,22,FALSE)," ")</f>
        <v xml:space="preserve"> </v>
      </c>
      <c r="P224" s="77" t="str">
        <f>IFERROR(VLOOKUP($A224,'The List'!$B1:$AS730,23,FALSE)," ")</f>
        <v xml:space="preserve"> </v>
      </c>
      <c r="Q224" s="77" t="str">
        <f>IFERROR(VLOOKUP($A224,'The List'!$B1:$AS730,24,FALSE)," ")</f>
        <v xml:space="preserve"> </v>
      </c>
      <c r="R224" s="77" t="str">
        <f>IFERROR(VLOOKUP($A224,'The List'!$B1:$AS730,25,FALSE)," ")</f>
        <v xml:space="preserve"> </v>
      </c>
      <c r="S224" s="77" t="str">
        <f>IFERROR(VLOOKUP($A224,'The List'!$B1:$AS730,26,FALSE)," ")</f>
        <v xml:space="preserve"> </v>
      </c>
      <c r="T224" s="77" t="str">
        <f>IFERROR(VLOOKUP($A224,'The List'!$B1:$AS730,27,FALSE)," ")</f>
        <v xml:space="preserve"> </v>
      </c>
      <c r="U224" s="77" t="str">
        <f>IFERROR(VLOOKUP($A224,'The List'!$B1:$AS730,28,FALSE)," ")</f>
        <v xml:space="preserve"> </v>
      </c>
      <c r="V224" s="77" t="str">
        <f>IFERROR(VLOOKUP($A224,'The List'!$B1:$AS730,29,FALSE)," ")</f>
        <v xml:space="preserve"> </v>
      </c>
      <c r="W224" s="77" t="str">
        <f>IFERROR(VLOOKUP($A224,'The List'!$B1:$AS730,30,FALSE)," ")</f>
        <v xml:space="preserve"> </v>
      </c>
      <c r="X224" s="77" t="str">
        <f>IFERROR(VLOOKUP($A224,'The List'!$B1:$AS730,31,FALSE)," ")</f>
        <v xml:space="preserve"> </v>
      </c>
      <c r="Y224" s="77" t="str">
        <f>IFERROR(VLOOKUP($A224,'The List'!$B1:$AS730,32,FALSE)," ")</f>
        <v xml:space="preserve"> </v>
      </c>
      <c r="Z224" s="77" t="str">
        <f>IFERROR(VLOOKUP($A224,'The List'!$B1:$AS730,33,FALSE)," ")</f>
        <v xml:space="preserve"> </v>
      </c>
      <c r="AA224" s="54"/>
      <c r="AB224" s="59"/>
      <c r="AC224" s="59"/>
      <c r="AD224" s="59"/>
      <c r="AE224" s="59"/>
      <c r="AF224" s="59"/>
    </row>
    <row r="225" spans="1:32" ht="21.2" customHeight="1">
      <c r="A225" s="78"/>
      <c r="B225" s="79"/>
      <c r="C225" s="80"/>
      <c r="D225" s="81"/>
      <c r="E225" s="116">
        <f>IFERROR(AVERAGE(E205:E224)," ")</f>
        <v>28</v>
      </c>
      <c r="F225" s="83">
        <f>SUM(F205:F224)</f>
        <v>89.386825530906364</v>
      </c>
      <c r="G225" s="83">
        <f>SUM(G205:G224)</f>
        <v>17.149258850218477</v>
      </c>
      <c r="H225" s="84"/>
      <c r="I225" s="85">
        <f>SUM(I205:I224)</f>
        <v>1148</v>
      </c>
      <c r="J225" s="84">
        <f>AVERAGE(J205:J224)</f>
        <v>20.242912014395262</v>
      </c>
      <c r="K225" s="85">
        <f t="shared" ref="K225:Y225" si="14">SUM(K205:K224)</f>
        <v>332.94981974776908</v>
      </c>
      <c r="L225" s="85">
        <f t="shared" si="14"/>
        <v>639.03696221860582</v>
      </c>
      <c r="M225" s="85">
        <f t="shared" si="14"/>
        <v>971.98678196637479</v>
      </c>
      <c r="N225" s="85">
        <f t="shared" si="14"/>
        <v>3010.5992129290503</v>
      </c>
      <c r="O225" s="85">
        <f t="shared" si="14"/>
        <v>102.99341123680483</v>
      </c>
      <c r="P225" s="85">
        <f t="shared" si="14"/>
        <v>312.70958450439434</v>
      </c>
      <c r="Q225" s="85">
        <f t="shared" si="14"/>
        <v>8.0782079868223153</v>
      </c>
      <c r="R225" s="85">
        <f t="shared" si="14"/>
        <v>16.246710231647707</v>
      </c>
      <c r="S225" s="85">
        <f t="shared" si="14"/>
        <v>939.21598947728705</v>
      </c>
      <c r="T225" s="85">
        <f t="shared" si="14"/>
        <v>1291.6673541584105</v>
      </c>
      <c r="U225" s="85">
        <f t="shared" si="14"/>
        <v>59.771658284261257</v>
      </c>
      <c r="V225" s="85">
        <f t="shared" si="14"/>
        <v>575.35613893579193</v>
      </c>
      <c r="W225" s="85">
        <f t="shared" si="14"/>
        <v>50.730196569576933</v>
      </c>
      <c r="X225" s="85">
        <f t="shared" si="14"/>
        <v>3112.7481523470328</v>
      </c>
      <c r="Y225" s="85">
        <f t="shared" si="14"/>
        <v>3433.5311147282841</v>
      </c>
      <c r="Z225" s="86">
        <f>IFERROR(X225/(X225+Y225),0)</f>
        <v>0.47549883305508844</v>
      </c>
      <c r="AA225" s="54"/>
      <c r="AB225" s="87"/>
      <c r="AC225" s="87"/>
      <c r="AD225" s="87"/>
      <c r="AE225" s="87"/>
      <c r="AF225" s="87"/>
    </row>
    <row r="226" spans="1:32" ht="21.2" customHeight="1">
      <c r="A226" s="88"/>
      <c r="B226" s="89"/>
      <c r="C226" s="90"/>
      <c r="D226" s="11"/>
      <c r="E226" s="11"/>
      <c r="F226" s="91"/>
      <c r="G226" s="92"/>
      <c r="H226" s="93"/>
      <c r="I226" s="9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9"/>
      <c r="AC226" s="59"/>
      <c r="AD226" s="59"/>
      <c r="AE226" s="59"/>
      <c r="AF226" s="59"/>
    </row>
    <row r="227" spans="1:32" ht="21.2" customHeight="1">
      <c r="A227" s="24" t="s">
        <v>64</v>
      </c>
      <c r="B227" s="231" t="s">
        <v>66</v>
      </c>
      <c r="C227" s="223"/>
      <c r="D227" s="95" t="s">
        <v>67</v>
      </c>
      <c r="E227" s="95" t="s">
        <v>68</v>
      </c>
      <c r="F227" s="96" t="s">
        <v>70</v>
      </c>
      <c r="G227" s="96" t="s">
        <v>72</v>
      </c>
      <c r="H227" s="97"/>
      <c r="I227" s="98" t="s">
        <v>77</v>
      </c>
      <c r="J227" s="98" t="s">
        <v>95</v>
      </c>
      <c r="K227" s="98" t="s">
        <v>96</v>
      </c>
      <c r="L227" s="98" t="s">
        <v>97</v>
      </c>
      <c r="M227" s="98" t="s">
        <v>98</v>
      </c>
      <c r="N227" s="98" t="s">
        <v>99</v>
      </c>
      <c r="O227" s="98" t="s">
        <v>100</v>
      </c>
      <c r="P227" s="98" t="s">
        <v>101</v>
      </c>
      <c r="Q227" s="98" t="s">
        <v>102</v>
      </c>
      <c r="R227" s="54"/>
      <c r="S227" s="54"/>
      <c r="T227" s="54"/>
      <c r="U227" s="231" t="s">
        <v>839</v>
      </c>
      <c r="V227" s="232"/>
      <c r="W227" s="232"/>
      <c r="X227" s="231" t="s">
        <v>840</v>
      </c>
      <c r="Y227" s="232"/>
      <c r="Z227" s="232"/>
      <c r="AA227" s="54"/>
      <c r="AB227" s="54"/>
      <c r="AC227" s="54"/>
      <c r="AD227" s="54"/>
      <c r="AE227" s="54"/>
      <c r="AF227" s="54"/>
    </row>
    <row r="228" spans="1:32" ht="21.2" customHeight="1">
      <c r="A228" s="117" t="s">
        <v>249</v>
      </c>
      <c r="B228" s="100" t="str">
        <f>IFERROR(VLOOKUP($A228,'The List'!$B1:$AS730,3,FALSE)," ")</f>
        <v>G</v>
      </c>
      <c r="C228" s="118">
        <f>IFERROR(VLOOKUP($A228,'The List'!$B1:$AS730,4,FALSE)," ")</f>
        <v>14</v>
      </c>
      <c r="D228" s="102" t="str">
        <f>IFERROR(VLOOKUP($A228,'The List'!$B1:$AS730,5,FALSE)," ")</f>
        <v>VGK</v>
      </c>
      <c r="E228" s="102">
        <f>IFERROR(VLOOKUP($A228,'The List'!$B1:$AS730,6,FALSE)," ")</f>
        <v>27</v>
      </c>
      <c r="F228" s="119">
        <f>IFERROR(VLOOKUP($A228,'The List'!$B1:$AS730,8,FALSE)," ")</f>
        <v>2.2068464689607268</v>
      </c>
      <c r="G228" s="119">
        <f>IFERROR(VLOOKUP($A228,'The List'!$B1:$AS730,10,FALSE)," ")</f>
        <v>0.50261741777043523</v>
      </c>
      <c r="H228" s="105"/>
      <c r="I228" s="120">
        <f>IFERROR(VLOOKUP($A228,'The List'!$B1:$AS730,35,FALSE)," ")</f>
        <v>48</v>
      </c>
      <c r="J228" s="120">
        <f>IFERROR(VLOOKUP($A228,'The List'!$B1:$AS730,36,FALSE)," ")</f>
        <v>29.368333631696068</v>
      </c>
      <c r="K228" s="120">
        <f>IFERROR(VLOOKUP($A228,'The List'!$B1:$AS730,37,FALSE)," ")</f>
        <v>12.631666368303932</v>
      </c>
      <c r="L228" s="120">
        <f>IFERROR(VLOOKUP($A228,'The List'!$B1:$AS730,38,FALSE)," ")</f>
        <v>6</v>
      </c>
      <c r="M228" s="120">
        <f>IFERROR(VLOOKUP($A228,'The List'!$B1:$AS730,39,FALSE)," ")</f>
        <v>2.8838678249685361</v>
      </c>
      <c r="N228" s="120">
        <f>IFERROR(VLOOKUP($A228,'The List'!$B1:$AS730,40,FALSE)," ")</f>
        <v>1367.5102061566656</v>
      </c>
      <c r="O228" s="120">
        <f>IFERROR(VLOOKUP($A228,'The List'!$B1:$AS730,41,FALSE)," ")</f>
        <v>130.7343000372195</v>
      </c>
      <c r="P228" s="120">
        <f>IFERROR(VLOOKUP($A228,'The List'!$B1:$AS730,42,FALSE)," ")</f>
        <v>0.91274167901383818</v>
      </c>
      <c r="Q228" s="120">
        <f>IFERROR(VLOOKUP($A228,'The List'!$B1:$AS730,43,FALSE)," ")</f>
        <v>2.7236312507754064</v>
      </c>
      <c r="R228" s="54"/>
      <c r="S228" s="54"/>
      <c r="T228" s="109" t="str">
        <f>A175</f>
        <v>Team Gold</v>
      </c>
      <c r="U228" s="230">
        <f>F225+F231</f>
        <v>92.065625349939381</v>
      </c>
      <c r="V228" s="223"/>
      <c r="W228" s="223"/>
      <c r="X228" s="230">
        <f>G231+G225</f>
        <v>16.419600566870905</v>
      </c>
      <c r="Y228" s="223"/>
      <c r="Z228" s="223"/>
      <c r="AA228" s="54"/>
      <c r="AB228" s="54"/>
      <c r="AC228" s="54"/>
      <c r="AD228" s="54"/>
      <c r="AE228" s="54"/>
      <c r="AF228" s="54"/>
    </row>
    <row r="229" spans="1:32" ht="21.2" customHeight="1">
      <c r="A229" s="23" t="s">
        <v>422</v>
      </c>
      <c r="B229" s="110" t="str">
        <f>IFERROR(VLOOKUP($A229,'The List'!$B1:$AS730,3,FALSE)," ")</f>
        <v>G</v>
      </c>
      <c r="C229" s="111">
        <f>IFERROR(VLOOKUP($A229,'The List'!$B1:$AS730,4,FALSE)," ")</f>
        <v>30</v>
      </c>
      <c r="D229" s="34" t="str">
        <f>IFERROR(VLOOKUP($A229,'The List'!$B1:$AS730,5,FALSE)," ")</f>
        <v>BOS</v>
      </c>
      <c r="E229" s="34">
        <f>IFERROR(VLOOKUP($A229,'The List'!$B1:$AS730,6,FALSE)," ")</f>
        <v>24</v>
      </c>
      <c r="F229" s="49">
        <f>IFERROR(VLOOKUP($A229,'The List'!$B1:$AS730,8,FALSE)," ")</f>
        <v>0.47195335007228612</v>
      </c>
      <c r="G229" s="49">
        <f>IFERROR(VLOOKUP($A229,'The List'!$B1:$AS730,10,FALSE)," ")</f>
        <v>-1.2322757011180054</v>
      </c>
      <c r="H229" s="38"/>
      <c r="I229" s="52">
        <f>IFERROR(VLOOKUP($A229,'The List'!$B1:$AS730,35,FALSE)," ")</f>
        <v>36</v>
      </c>
      <c r="J229" s="52">
        <f>IFERROR(VLOOKUP($A229,'The List'!$B1:$AS730,36,FALSE)," ")</f>
        <v>20.526242158040652</v>
      </c>
      <c r="K229" s="52">
        <f>IFERROR(VLOOKUP($A229,'The List'!$B1:$AS730,37,FALSE)," ")</f>
        <v>10.973757841959348</v>
      </c>
      <c r="L229" s="52">
        <f>IFERROR(VLOOKUP($A229,'The List'!$B1:$AS730,38,FALSE)," ")</f>
        <v>4.5</v>
      </c>
      <c r="M229" s="52">
        <f>IFERROR(VLOOKUP($A229,'The List'!$B1:$AS730,39,FALSE)," ")</f>
        <v>2.1799611450013607</v>
      </c>
      <c r="N229" s="52">
        <f>IFERROR(VLOOKUP($A229,'The List'!$B1:$AS730,40,FALSE)," ")</f>
        <v>1023.9451459244927</v>
      </c>
      <c r="O229" s="52">
        <f>IFERROR(VLOOKUP($A229,'The List'!$B1:$AS730,41,FALSE)," ")</f>
        <v>99.06857140050576</v>
      </c>
      <c r="P229" s="52">
        <f>IFERROR(VLOOKUP($A229,'The List'!$B1:$AS730,42,FALSE)," ")</f>
        <v>0.91178329358568688</v>
      </c>
      <c r="Q229" s="52">
        <f>IFERROR(VLOOKUP($A229,'The List'!$B1:$AS730,43,FALSE)," ")</f>
        <v>2.7519047611251599</v>
      </c>
      <c r="R229" s="54"/>
      <c r="S229" s="54"/>
      <c r="T229" s="54"/>
      <c r="U229" s="223"/>
      <c r="V229" s="223"/>
      <c r="W229" s="223"/>
      <c r="X229" s="223"/>
      <c r="Y229" s="223"/>
      <c r="Z229" s="223"/>
      <c r="AA229" s="54"/>
      <c r="AB229" s="54"/>
      <c r="AC229" s="54"/>
      <c r="AD229" s="54"/>
      <c r="AE229" s="54"/>
      <c r="AF229" s="54"/>
    </row>
    <row r="230" spans="1:32" ht="21.2" customHeight="1">
      <c r="A230" s="71"/>
      <c r="B230" s="112" t="str">
        <f>IFERROR(VLOOKUP($A230,'The List'!$B1:$AS730,3,FALSE)," ")</f>
        <v xml:space="preserve"> </v>
      </c>
      <c r="C230" s="113" t="str">
        <f>IFERROR(VLOOKUP($A230,'The List'!$B1:$AS730,4,FALSE)," ")</f>
        <v xml:space="preserve"> </v>
      </c>
      <c r="D230" s="74" t="str">
        <f>IFERROR(VLOOKUP($A230,'The List'!$B1:$AS730,5,FALSE)," ")</f>
        <v xml:space="preserve"> </v>
      </c>
      <c r="E230" s="74" t="str">
        <f>IFERROR(VLOOKUP($A230,'The List'!$B1:$AS730,6,FALSE)," ")</f>
        <v xml:space="preserve"> </v>
      </c>
      <c r="F230" s="75" t="str">
        <f>IFERROR(VLOOKUP($A230,'The List'!$B1:$AS730,8,FALSE)," ")</f>
        <v xml:space="preserve"> </v>
      </c>
      <c r="G230" s="75" t="str">
        <f>IFERROR(VLOOKUP($A230,'The List'!$B1:$AS730,10,FALSE)," ")</f>
        <v xml:space="preserve"> </v>
      </c>
      <c r="H230" s="76"/>
      <c r="I230" s="77" t="str">
        <f>IFERROR(VLOOKUP($A230,'The List'!$B1:$AS730,35,FALSE)," ")</f>
        <v xml:space="preserve"> </v>
      </c>
      <c r="J230" s="77" t="str">
        <f>IFERROR(VLOOKUP($A230,'The List'!$B1:$AS730,36,FALSE)," ")</f>
        <v xml:space="preserve"> </v>
      </c>
      <c r="K230" s="77" t="str">
        <f>IFERROR(VLOOKUP($A230,'The List'!$B1:$AS730,37,FALSE)," ")</f>
        <v xml:space="preserve"> </v>
      </c>
      <c r="L230" s="77" t="str">
        <f>IFERROR(VLOOKUP($A230,'The List'!$B1:$AS730,38,FALSE)," ")</f>
        <v xml:space="preserve"> </v>
      </c>
      <c r="M230" s="77" t="str">
        <f>IFERROR(VLOOKUP($A230,'The List'!$B1:$AS730,39,FALSE)," ")</f>
        <v xml:space="preserve"> </v>
      </c>
      <c r="N230" s="77" t="str">
        <f>IFERROR(VLOOKUP($A230,'The List'!$B1:$AS730,40,FALSE)," ")</f>
        <v xml:space="preserve"> </v>
      </c>
      <c r="O230" s="77" t="str">
        <f>IFERROR(VLOOKUP($A230,'The List'!$B1:$AS730,41,FALSE)," ")</f>
        <v xml:space="preserve"> </v>
      </c>
      <c r="P230" s="77" t="str">
        <f>IFERROR(VLOOKUP($A230,'The List'!$B1:$AS730,42,FALSE)," ")</f>
        <v xml:space="preserve"> </v>
      </c>
      <c r="Q230" s="77" t="str">
        <f>IFERROR(VLOOKUP($A230,'The List'!$B1:$AS730,43,FALSE)," ")</f>
        <v xml:space="preserve"> </v>
      </c>
      <c r="R230" s="54"/>
      <c r="S230" s="54"/>
      <c r="T230" s="54"/>
      <c r="U230" s="223"/>
      <c r="V230" s="223"/>
      <c r="W230" s="223"/>
      <c r="X230" s="223"/>
      <c r="Y230" s="223"/>
      <c r="Z230" s="223"/>
      <c r="AA230" s="54"/>
      <c r="AB230" s="54"/>
      <c r="AC230" s="54"/>
      <c r="AD230" s="54"/>
      <c r="AE230" s="54"/>
      <c r="AF230" s="54"/>
    </row>
    <row r="231" spans="1:32" ht="21.2" customHeight="1">
      <c r="A231" s="78"/>
      <c r="B231" s="79"/>
      <c r="C231" s="80"/>
      <c r="D231" s="81"/>
      <c r="E231" s="116">
        <f>IFERROR(AVERAGE(E228:E230)," ")</f>
        <v>25.5</v>
      </c>
      <c r="F231" s="83">
        <f>SUM(F228:F230)</f>
        <v>2.6787998190330127</v>
      </c>
      <c r="G231" s="83">
        <f>SUM(G228:G230)</f>
        <v>-0.72965828334757021</v>
      </c>
      <c r="H231" s="84"/>
      <c r="I231" s="85">
        <f t="shared" ref="I231:O231" si="15">SUM(I228:I230)</f>
        <v>84</v>
      </c>
      <c r="J231" s="84">
        <f t="shared" si="15"/>
        <v>49.89457578973672</v>
      </c>
      <c r="K231" s="85">
        <f t="shared" si="15"/>
        <v>23.60542421026328</v>
      </c>
      <c r="L231" s="85">
        <f t="shared" si="15"/>
        <v>10.5</v>
      </c>
      <c r="M231" s="85">
        <f t="shared" si="15"/>
        <v>5.0638289699698973</v>
      </c>
      <c r="N231" s="85">
        <f t="shared" si="15"/>
        <v>2391.4553520811583</v>
      </c>
      <c r="O231" s="85">
        <f t="shared" si="15"/>
        <v>229.80287143772526</v>
      </c>
      <c r="P231" s="114">
        <f>1-(O231/(N231+O231))</f>
        <v>0.91233108231159743</v>
      </c>
      <c r="Q231" s="115">
        <f>O231/I231</f>
        <v>2.7357484694967291</v>
      </c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</row>
    <row r="232" spans="1:32" ht="70.7" customHeight="1">
      <c r="A232" s="88"/>
      <c r="B232" s="89"/>
      <c r="C232" s="90"/>
      <c r="D232" s="11"/>
      <c r="E232" s="11"/>
      <c r="F232" s="91"/>
      <c r="G232" s="92"/>
      <c r="H232" s="93"/>
      <c r="I232" s="9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9"/>
      <c r="AB232" s="59"/>
      <c r="AC232" s="59"/>
      <c r="AD232" s="59"/>
      <c r="AE232" s="59"/>
      <c r="AF232" s="59"/>
    </row>
    <row r="233" spans="1:32" ht="21.2" customHeight="1">
      <c r="A233" s="25" t="s">
        <v>908</v>
      </c>
      <c r="B233" s="229" t="s">
        <v>66</v>
      </c>
      <c r="C233" s="221"/>
      <c r="D233" s="26" t="s">
        <v>67</v>
      </c>
      <c r="E233" s="26" t="s">
        <v>68</v>
      </c>
      <c r="F233" s="27" t="s">
        <v>70</v>
      </c>
      <c r="G233" s="27" t="s">
        <v>72</v>
      </c>
      <c r="H233" s="28"/>
      <c r="I233" s="30" t="s">
        <v>77</v>
      </c>
      <c r="J233" s="30" t="s">
        <v>78</v>
      </c>
      <c r="K233" s="30" t="s">
        <v>79</v>
      </c>
      <c r="L233" s="30" t="s">
        <v>80</v>
      </c>
      <c r="M233" s="30" t="s">
        <v>81</v>
      </c>
      <c r="N233" s="30" t="s">
        <v>82</v>
      </c>
      <c r="O233" s="30" t="s">
        <v>83</v>
      </c>
      <c r="P233" s="30" t="s">
        <v>84</v>
      </c>
      <c r="Q233" s="30" t="s">
        <v>85</v>
      </c>
      <c r="R233" s="30" t="s">
        <v>86</v>
      </c>
      <c r="S233" s="30" t="s">
        <v>87</v>
      </c>
      <c r="T233" s="30" t="s">
        <v>88</v>
      </c>
      <c r="U233" s="30" t="s">
        <v>89</v>
      </c>
      <c r="V233" s="30" t="s">
        <v>90</v>
      </c>
      <c r="W233" s="30" t="s">
        <v>91</v>
      </c>
      <c r="X233" s="30" t="s">
        <v>92</v>
      </c>
      <c r="Y233" s="30" t="s">
        <v>93</v>
      </c>
      <c r="Z233" s="30" t="s">
        <v>94</v>
      </c>
      <c r="AA233" s="54"/>
      <c r="AB233" s="55"/>
      <c r="AC233" s="55"/>
      <c r="AD233" s="55"/>
      <c r="AE233" s="55"/>
      <c r="AF233" s="55"/>
    </row>
    <row r="234" spans="1:32" ht="21.2" customHeight="1">
      <c r="A234" s="23" t="s">
        <v>176</v>
      </c>
      <c r="B234" s="56" t="str">
        <f>IFERROR(VLOOKUP($A234,'The List'!$B1:$AS730,3,FALSE)," ")</f>
        <v>C</v>
      </c>
      <c r="C234" s="60">
        <f>IFERROR(VLOOKUP($A234,'The List'!$B1:$AS730,4,FALSE)," ")</f>
        <v>21</v>
      </c>
      <c r="D234" s="34" t="str">
        <f>IFERROR(VLOOKUP($A234,'The List'!$B1:$AS730,5,FALSE)," ")</f>
        <v>DAL</v>
      </c>
      <c r="E234" s="34">
        <f>IFERROR(VLOOKUP($A234,'The List'!$B1:$AS730,6,FALSE)," ")</f>
        <v>26</v>
      </c>
      <c r="F234" s="49">
        <f>IFERROR(VLOOKUP($A234,'The List'!$B1:$AS730,8,FALSE)," ")</f>
        <v>8.6525189060530554</v>
      </c>
      <c r="G234" s="49">
        <f>IFERROR(VLOOKUP($A234,'The List'!$B1:$AS730,10,FALSE)," ")</f>
        <v>2.3154681818464526</v>
      </c>
      <c r="H234" s="38"/>
      <c r="I234" s="52">
        <f>IFERROR(VLOOKUP($A234,'The List'!$B1:$AS730,16,FALSE)," ")</f>
        <v>82</v>
      </c>
      <c r="J234" s="52">
        <f>IFERROR(VLOOKUP($A234,'The List'!$B1:$AS730,17,FALSE)," ")</f>
        <v>18.4257263157517</v>
      </c>
      <c r="K234" s="52">
        <f>IFERROR(VLOOKUP($A234,'The List'!$B1:$AS730,18,FALSE)," ")</f>
        <v>38.87500766496521</v>
      </c>
      <c r="L234" s="52">
        <f>IFERROR(VLOOKUP($A234,'The List'!$B1:$AS730,19,FALSE)," ")</f>
        <v>43.180899597029558</v>
      </c>
      <c r="M234" s="52">
        <f>IFERROR(VLOOKUP($A234,'The List'!$B1:$AS730,20,FALSE)," ")</f>
        <v>82.055907261994776</v>
      </c>
      <c r="N234" s="52">
        <f>IFERROR(VLOOKUP($A234,'The List'!$B1:$AS730,21,FALSE)," ")</f>
        <v>213.73119981973466</v>
      </c>
      <c r="O234" s="52">
        <f>IFERROR(VLOOKUP($A234,'The List'!$B1:$AS730,22,FALSE)," ")</f>
        <v>10.817825420557071</v>
      </c>
      <c r="P234" s="52">
        <f>IFERROR(VLOOKUP($A234,'The List'!$B1:$AS730,23,FALSE)," ")</f>
        <v>26.981008781124679</v>
      </c>
      <c r="Q234" s="52">
        <f>IFERROR(VLOOKUP($A234,'The List'!$B1:$AS730,24,FALSE)," ")</f>
        <v>3.1596305114481367</v>
      </c>
      <c r="R234" s="52">
        <f>IFERROR(VLOOKUP($A234,'The List'!$B1:$AS730,25,FALSE)," ")</f>
        <v>3.6861039547525105</v>
      </c>
      <c r="S234" s="52">
        <f>IFERROR(VLOOKUP($A234,'The List'!$B1:$AS730,26,FALSE)," ")</f>
        <v>51.142674832169334</v>
      </c>
      <c r="T234" s="52">
        <f>IFERROR(VLOOKUP($A234,'The List'!$B1:$AS730,27,FALSE)," ")</f>
        <v>66.976742065119907</v>
      </c>
      <c r="U234" s="52">
        <f>IFERROR(VLOOKUP($A234,'The List'!$B1:$AS730,28,FALSE)," ")</f>
        <v>9.0146787348007198</v>
      </c>
      <c r="V234" s="52">
        <f>IFERROR(VLOOKUP($A234,'The List'!$B1:$AS730,29,FALSE)," ")</f>
        <v>30.347211582245489</v>
      </c>
      <c r="W234" s="52">
        <f>IFERROR(VLOOKUP($A234,'The List'!$B1:$AS730,30,FALSE)," ")</f>
        <v>6.2197256393480238</v>
      </c>
      <c r="X234" s="52">
        <f>IFERROR(VLOOKUP($A234,'The List'!$B1:$AS730,31,FALSE)," ")</f>
        <v>323.7654460456161</v>
      </c>
      <c r="Y234" s="52">
        <f>IFERROR(VLOOKUP($A234,'The List'!$B1:$AS730,32,FALSE)," ")</f>
        <v>299.15120223604174</v>
      </c>
      <c r="Z234" s="52">
        <f>IFERROR(VLOOKUP($A234,'The List'!$B1:$AS730,33,FALSE)," ")</f>
        <v>0.51975725313930299</v>
      </c>
      <c r="AA234" s="54"/>
      <c r="AB234" s="59"/>
      <c r="AC234" s="59"/>
      <c r="AD234" s="59"/>
      <c r="AE234" s="59"/>
      <c r="AF234" s="59"/>
    </row>
    <row r="235" spans="1:32" ht="21.2" customHeight="1">
      <c r="A235" s="23" t="s">
        <v>158</v>
      </c>
      <c r="B235" s="56" t="str">
        <f>IFERROR(VLOOKUP($A235,'The List'!$B1:$AS730,3,FALSE)," ")</f>
        <v>C</v>
      </c>
      <c r="C235" s="60">
        <f>IFERROR(VLOOKUP($A235,'The List'!$B1:$AS730,4,FALSE)," ")</f>
        <v>20</v>
      </c>
      <c r="D235" s="34" t="str">
        <f>IFERROR(VLOOKUP($A235,'The List'!$B1:$AS730,5,FALSE)," ")</f>
        <v>NJD</v>
      </c>
      <c r="E235" s="34">
        <f>IFERROR(VLOOKUP($A235,'The List'!$B1:$AS730,6,FALSE)," ")</f>
        <v>24</v>
      </c>
      <c r="F235" s="49">
        <f>IFERROR(VLOOKUP($A235,'The List'!$B1:$AS730,8,FALSE)," ")</f>
        <v>9.0265837039570425</v>
      </c>
      <c r="G235" s="49">
        <f>IFERROR(VLOOKUP($A235,'The List'!$B1:$AS730,10,FALSE)," ")</f>
        <v>2.6895329797504397</v>
      </c>
      <c r="H235" s="38"/>
      <c r="I235" s="52">
        <f>IFERROR(VLOOKUP($A235,'The List'!$B1:$AS730,16,FALSE)," ")</f>
        <v>82</v>
      </c>
      <c r="J235" s="52">
        <f>IFERROR(VLOOKUP($A235,'The List'!$B1:$AS730,17,FALSE)," ")</f>
        <v>20.2532768230359</v>
      </c>
      <c r="K235" s="52">
        <f>IFERROR(VLOOKUP($A235,'The List'!$B1:$AS730,18,FALSE)," ")</f>
        <v>32.764094011695512</v>
      </c>
      <c r="L235" s="52">
        <f>IFERROR(VLOOKUP($A235,'The List'!$B1:$AS730,19,FALSE)," ")</f>
        <v>51.864226555753625</v>
      </c>
      <c r="M235" s="52">
        <f>IFERROR(VLOOKUP($A235,'The List'!$B1:$AS730,20,FALSE)," ")</f>
        <v>84.628320567449137</v>
      </c>
      <c r="N235" s="52">
        <f>IFERROR(VLOOKUP($A235,'The List'!$B1:$AS730,21,FALSE)," ")</f>
        <v>255.9144159999278</v>
      </c>
      <c r="O235" s="52">
        <f>IFERROR(VLOOKUP($A235,'The List'!$B1:$AS730,22,FALSE)," ")</f>
        <v>8.4589823424983699</v>
      </c>
      <c r="P235" s="52">
        <f>IFERROR(VLOOKUP($A235,'The List'!$B1:$AS730,23,FALSE)," ")</f>
        <v>22.072786499473672</v>
      </c>
      <c r="Q235" s="52">
        <f>IFERROR(VLOOKUP($A235,'The List'!$B1:$AS730,24,FALSE)," ")</f>
        <v>2.3870186713144759</v>
      </c>
      <c r="R235" s="52">
        <f>IFERROR(VLOOKUP($A235,'The List'!$B1:$AS730,25,FALSE)," ")</f>
        <v>4.1212497409049513</v>
      </c>
      <c r="S235" s="52">
        <f>IFERROR(VLOOKUP($A235,'The List'!$B1:$AS730,26,FALSE)," ")</f>
        <v>61.355098436374284</v>
      </c>
      <c r="T235" s="52">
        <f>IFERROR(VLOOKUP($A235,'The List'!$B1:$AS730,27,FALSE)," ")</f>
        <v>46.959629657464987</v>
      </c>
      <c r="U235" s="52">
        <f>IFERROR(VLOOKUP($A235,'The List'!$B1:$AS730,28,FALSE)," ")</f>
        <v>2.0989765415299262</v>
      </c>
      <c r="V235" s="52">
        <f>IFERROR(VLOOKUP($A235,'The List'!$B1:$AS730,29,FALSE)," ")</f>
        <v>19.322753238645692</v>
      </c>
      <c r="W235" s="52">
        <f>IFERROR(VLOOKUP($A235,'The List'!$B1:$AS730,30,FALSE)," ")</f>
        <v>4.8156003870080424</v>
      </c>
      <c r="X235" s="52">
        <f>IFERROR(VLOOKUP($A235,'The List'!$B1:$AS730,31,FALSE)," ")</f>
        <v>930.62043249993053</v>
      </c>
      <c r="Y235" s="52">
        <f>IFERROR(VLOOKUP($A235,'The List'!$B1:$AS730,32,FALSE)," ")</f>
        <v>813.39632300746803</v>
      </c>
      <c r="Z235" s="52">
        <f>IFERROR(VLOOKUP($A235,'The List'!$B1:$AS730,33,FALSE)," ")</f>
        <v>0.533607506671678</v>
      </c>
      <c r="AA235" s="54"/>
      <c r="AB235" s="59"/>
      <c r="AC235" s="59"/>
      <c r="AD235" s="59"/>
      <c r="AE235" s="59"/>
      <c r="AF235" s="59"/>
    </row>
    <row r="236" spans="1:32" ht="21.2" customHeight="1">
      <c r="A236" s="23" t="s">
        <v>128</v>
      </c>
      <c r="B236" s="56" t="str">
        <f>IFERROR(VLOOKUP($A236,'The List'!$B1:$AS730,3,FALSE)," ")</f>
        <v>C</v>
      </c>
      <c r="C236" s="60">
        <f>IFERROR(VLOOKUP($A236,'The List'!$B1:$AS730,4,FALSE)," ")</f>
        <v>11</v>
      </c>
      <c r="D236" s="34" t="str">
        <f>IFERROR(VLOOKUP($A236,'The List'!$B1:$AS730,5,FALSE)," ")</f>
        <v>NYR</v>
      </c>
      <c r="E236" s="34">
        <f>IFERROR(VLOOKUP($A236,'The List'!$B1:$AS730,6,FALSE)," ")</f>
        <v>30</v>
      </c>
      <c r="F236" s="49">
        <f>IFERROR(VLOOKUP($A236,'The List'!$B1:$AS730,8,FALSE)," ")</f>
        <v>10.395967367905438</v>
      </c>
      <c r="G236" s="49">
        <f>IFERROR(VLOOKUP($A236,'The List'!$B1:$AS730,10,FALSE)," ")</f>
        <v>4.0589166436988355</v>
      </c>
      <c r="H236" s="38"/>
      <c r="I236" s="52">
        <f>IFERROR(VLOOKUP($A236,'The List'!$B1:$AS730,16,FALSE)," ")</f>
        <v>82</v>
      </c>
      <c r="J236" s="52">
        <f>IFERROR(VLOOKUP($A236,'The List'!$B1:$AS730,17,FALSE)," ")</f>
        <v>20.7219889246484</v>
      </c>
      <c r="K236" s="52">
        <f>IFERROR(VLOOKUP($A236,'The List'!$B1:$AS730,18,FALSE)," ")</f>
        <v>35.480385414993101</v>
      </c>
      <c r="L236" s="52">
        <f>IFERROR(VLOOKUP($A236,'The List'!$B1:$AS730,19,FALSE)," ")</f>
        <v>51.002175394966031</v>
      </c>
      <c r="M236" s="52">
        <f>IFERROR(VLOOKUP($A236,'The List'!$B1:$AS730,20,FALSE)," ")</f>
        <v>86.482560809959125</v>
      </c>
      <c r="N236" s="52">
        <f>IFERROR(VLOOKUP($A236,'The List'!$B1:$AS730,21,FALSE)," ")</f>
        <v>254.84596585440971</v>
      </c>
      <c r="O236" s="52">
        <f>IFERROR(VLOOKUP($A236,'The List'!$B1:$AS730,22,FALSE)," ")</f>
        <v>17.128754782581019</v>
      </c>
      <c r="P236" s="52">
        <f>IFERROR(VLOOKUP($A236,'The List'!$B1:$AS730,23,FALSE)," ")</f>
        <v>33.129572653116284</v>
      </c>
      <c r="Q236" s="52">
        <f>IFERROR(VLOOKUP($A236,'The List'!$B1:$AS730,24,FALSE)," ")</f>
        <v>1.007973090388798</v>
      </c>
      <c r="R236" s="52">
        <f>IFERROR(VLOOKUP($A236,'The List'!$B1:$AS730,25,FALSE)," ")</f>
        <v>3.0447881258573264</v>
      </c>
      <c r="S236" s="52">
        <f>IFERROR(VLOOKUP($A236,'The List'!$B1:$AS730,26,FALSE)," ")</f>
        <v>50.404652722285888</v>
      </c>
      <c r="T236" s="52">
        <f>IFERROR(VLOOKUP($A236,'The List'!$B1:$AS730,27,FALSE)," ")</f>
        <v>75.834291177679617</v>
      </c>
      <c r="U236" s="52">
        <f>IFERROR(VLOOKUP($A236,'The List'!$B1:$AS730,28,FALSE)," ")</f>
        <v>5.9736310723331707</v>
      </c>
      <c r="V236" s="52">
        <f>IFERROR(VLOOKUP($A236,'The List'!$B1:$AS730,29,FALSE)," ")</f>
        <v>22.610617184997736</v>
      </c>
      <c r="W236" s="52">
        <f>IFERROR(VLOOKUP($A236,'The List'!$B1:$AS730,30,FALSE)," ")</f>
        <v>6.0457914195844173</v>
      </c>
      <c r="X236" s="52">
        <f>IFERROR(VLOOKUP($A236,'The List'!$B1:$AS730,31,FALSE)," ")</f>
        <v>728.77515906271276</v>
      </c>
      <c r="Y236" s="52">
        <f>IFERROR(VLOOKUP($A236,'The List'!$B1:$AS730,32,FALSE)," ")</f>
        <v>730.35706866585463</v>
      </c>
      <c r="Z236" s="52">
        <f>IFERROR(VLOOKUP($A236,'The List'!$B1:$AS730,33,FALSE)," ")</f>
        <v>0.499457927947488</v>
      </c>
      <c r="AA236" s="54"/>
      <c r="AB236" s="59"/>
      <c r="AC236" s="59"/>
      <c r="AD236" s="59"/>
      <c r="AE236" s="59"/>
      <c r="AF236" s="59"/>
    </row>
    <row r="237" spans="1:32" ht="21.2" customHeight="1">
      <c r="A237" s="23" t="s">
        <v>306</v>
      </c>
      <c r="B237" s="56" t="str">
        <f>IFERROR(VLOOKUP($A237,'The List'!$B1:$AS730,3,FALSE)," ")</f>
        <v>C</v>
      </c>
      <c r="C237" s="60">
        <f>IFERROR(VLOOKUP($A237,'The List'!$B1:$AS730,4,FALSE)," ")</f>
        <v>59</v>
      </c>
      <c r="D237" s="34" t="str">
        <f>IFERROR(VLOOKUP($A237,'The List'!$B1:$AS730,5,FALSE)," ")</f>
        <v>NYR</v>
      </c>
      <c r="E237" s="34">
        <f>IFERROR(VLOOKUP($A237,'The List'!$B1:$AS730,6,FALSE)," ")</f>
        <v>30</v>
      </c>
      <c r="F237" s="49">
        <f>IFERROR(VLOOKUP($A237,'The List'!$B1:$AS730,8,FALSE)," ")</f>
        <v>3.1744456712616489</v>
      </c>
      <c r="G237" s="49">
        <f>IFERROR(VLOOKUP($A237,'The List'!$B1:$AS730,10,FALSE)," ")</f>
        <v>-3.1626050529449539</v>
      </c>
      <c r="H237" s="38"/>
      <c r="I237" s="52">
        <f>IFERROR(VLOOKUP($A237,'The List'!$B1:$AS730,16,FALSE)," ")</f>
        <v>82</v>
      </c>
      <c r="J237" s="52">
        <f>IFERROR(VLOOKUP($A237,'The List'!$B1:$AS730,17,FALSE)," ")</f>
        <v>18.287370724741699</v>
      </c>
      <c r="K237" s="52">
        <f>IFERROR(VLOOKUP($A237,'The List'!$B1:$AS730,18,FALSE)," ")</f>
        <v>21.449672153550612</v>
      </c>
      <c r="L237" s="52">
        <f>IFERROR(VLOOKUP($A237,'The List'!$B1:$AS730,19,FALSE)," ")</f>
        <v>36.389694208820138</v>
      </c>
      <c r="M237" s="52">
        <f>IFERROR(VLOOKUP($A237,'The List'!$B1:$AS730,20,FALSE)," ")</f>
        <v>57.839366362370754</v>
      </c>
      <c r="N237" s="52">
        <f>IFERROR(VLOOKUP($A237,'The List'!$B1:$AS730,21,FALSE)," ")</f>
        <v>176.7551850347503</v>
      </c>
      <c r="O237" s="52">
        <f>IFERROR(VLOOKUP($A237,'The List'!$B1:$AS730,22,FALSE)," ")</f>
        <v>4.8964453754128163</v>
      </c>
      <c r="P237" s="52">
        <f>IFERROR(VLOOKUP($A237,'The List'!$B1:$AS730,23,FALSE)," ")</f>
        <v>10.742519674130799</v>
      </c>
      <c r="Q237" s="52">
        <f>IFERROR(VLOOKUP($A237,'The List'!$B1:$AS730,24,FALSE)," ")</f>
        <v>2.3856831301664293E-2</v>
      </c>
      <c r="R237" s="52">
        <f>IFERROR(VLOOKUP($A237,'The List'!$B1:$AS730,25,FALSE)," ")</f>
        <v>1.7384375249344313E-2</v>
      </c>
      <c r="S237" s="52">
        <f>IFERROR(VLOOKUP($A237,'The List'!$B1:$AS730,26,FALSE)," ")</f>
        <v>40.585852728230897</v>
      </c>
      <c r="T237" s="52">
        <f>IFERROR(VLOOKUP($A237,'The List'!$B1:$AS730,27,FALSE)," ")</f>
        <v>159.74238485414918</v>
      </c>
      <c r="U237" s="52">
        <f>IFERROR(VLOOKUP($A237,'The List'!$B1:$AS730,28,FALSE)," ")</f>
        <v>5.5920859823655871</v>
      </c>
      <c r="V237" s="52">
        <f>IFERROR(VLOOKUP($A237,'The List'!$B1:$AS730,29,FALSE)," ")</f>
        <v>54.043957019269229</v>
      </c>
      <c r="W237" s="52">
        <f>IFERROR(VLOOKUP($A237,'The List'!$B1:$AS730,30,FALSE)," ")</f>
        <v>3.6549840804163178</v>
      </c>
      <c r="X237" s="52">
        <f>IFERROR(VLOOKUP($A237,'The List'!$B1:$AS730,31,FALSE)," ")</f>
        <v>688.09083140352811</v>
      </c>
      <c r="Y237" s="52">
        <f>IFERROR(VLOOKUP($A237,'The List'!$B1:$AS730,32,FALSE)," ")</f>
        <v>550.94938111278509</v>
      </c>
      <c r="Z237" s="52">
        <f>IFERROR(VLOOKUP($A237,'The List'!$B1:$AS730,33,FALSE)," ")</f>
        <v>0.555341807677181</v>
      </c>
      <c r="AA237" s="54"/>
      <c r="AB237" s="59"/>
      <c r="AC237" s="59"/>
      <c r="AD237" s="59"/>
      <c r="AE237" s="59"/>
      <c r="AF237" s="59"/>
    </row>
    <row r="238" spans="1:32" ht="21.2" customHeight="1">
      <c r="A238" s="23" t="s">
        <v>217</v>
      </c>
      <c r="B238" s="61" t="str">
        <f>IFERROR(VLOOKUP($A238,'The List'!$B1:$AS730,3,FALSE)," ")</f>
        <v>C,LW,RW</v>
      </c>
      <c r="C238" s="63">
        <f>IFERROR(VLOOKUP($A238,'The List'!$B1:$AS730,4,FALSE)," ")</f>
        <v>38</v>
      </c>
      <c r="D238" s="34" t="str">
        <f>IFERROR(VLOOKUP($A238,'The List'!$B1:$AS730,5,FALSE)," ")</f>
        <v>OTT</v>
      </c>
      <c r="E238" s="34">
        <f>IFERROR(VLOOKUP($A238,'The List'!$B1:$AS730,6,FALSE)," ")</f>
        <v>35</v>
      </c>
      <c r="F238" s="49">
        <f>IFERROR(VLOOKUP($A238,'The List'!$B1:$AS730,8,FALSE)," ")</f>
        <v>5.7530863445599101</v>
      </c>
      <c r="G238" s="49">
        <f>IFERROR(VLOOKUP($A238,'The List'!$B1:$AS730,10,FALSE)," ")</f>
        <v>-0.52717237445117071</v>
      </c>
      <c r="H238" s="38"/>
      <c r="I238" s="52">
        <f>IFERROR(VLOOKUP($A238,'The List'!$B1:$AS730,16,FALSE)," ")</f>
        <v>82</v>
      </c>
      <c r="J238" s="52">
        <f>IFERROR(VLOOKUP($A238,'The List'!$B1:$AS730,17,FALSE)," ")</f>
        <v>18.168366330030398</v>
      </c>
      <c r="K238" s="52">
        <f>IFERROR(VLOOKUP($A238,'The List'!$B1:$AS730,18,FALSE)," ")</f>
        <v>25.996704325115559</v>
      </c>
      <c r="L238" s="52">
        <f>IFERROR(VLOOKUP($A238,'The List'!$B1:$AS730,19,FALSE)," ")</f>
        <v>38.670952892488238</v>
      </c>
      <c r="M238" s="52">
        <f>IFERROR(VLOOKUP($A238,'The List'!$B1:$AS730,20,FALSE)," ")</f>
        <v>64.667657217603789</v>
      </c>
      <c r="N238" s="52">
        <f>IFERROR(VLOOKUP($A238,'The List'!$B1:$AS730,21,FALSE)," ")</f>
        <v>217.19367988231227</v>
      </c>
      <c r="O238" s="52">
        <f>IFERROR(VLOOKUP($A238,'The List'!$B1:$AS730,22,FALSE)," ")</f>
        <v>5.2344315138152311</v>
      </c>
      <c r="P238" s="52">
        <f>IFERROR(VLOOKUP($A238,'The List'!$B1:$AS730,23,FALSE)," ")</f>
        <v>20.699772240279515</v>
      </c>
      <c r="Q238" s="52">
        <f>IFERROR(VLOOKUP($A238,'The List'!$B1:$AS730,24,FALSE)," ")</f>
        <v>-1.9792952897365185E-2</v>
      </c>
      <c r="R238" s="52">
        <f>IFERROR(VLOOKUP($A238,'The List'!$B1:$AS730,25,FALSE)," ")</f>
        <v>-0.12823430490723603</v>
      </c>
      <c r="S238" s="52">
        <f>IFERROR(VLOOKUP($A238,'The List'!$B1:$AS730,26,FALSE)," ")</f>
        <v>27.45318556541466</v>
      </c>
      <c r="T238" s="52">
        <f>IFERROR(VLOOKUP($A238,'The List'!$B1:$AS730,27,FALSE)," ")</f>
        <v>74.90880025279418</v>
      </c>
      <c r="U238" s="52">
        <f>IFERROR(VLOOKUP($A238,'The List'!$B1:$AS730,28,FALSE)," ")</f>
        <v>3.812624787510916</v>
      </c>
      <c r="V238" s="52">
        <f>IFERROR(VLOOKUP($A238,'The List'!$B1:$AS730,29,FALSE)," ")</f>
        <v>29.718828469031873</v>
      </c>
      <c r="W238" s="52">
        <f>IFERROR(VLOOKUP($A238,'The List'!$B1:$AS730,30,FALSE)," ")</f>
        <v>3.9095379885150612</v>
      </c>
      <c r="X238" s="52">
        <f>IFERROR(VLOOKUP($A238,'The List'!$B1:$AS730,31,FALSE)," ")</f>
        <v>710.42061314591228</v>
      </c>
      <c r="Y238" s="52">
        <f>IFERROR(VLOOKUP($A238,'The List'!$B1:$AS730,32,FALSE)," ")</f>
        <v>487.94027603484284</v>
      </c>
      <c r="Z238" s="52">
        <f>IFERROR(VLOOKUP($A238,'The List'!$B1:$AS730,33,FALSE)," ")</f>
        <v>0.592826935157724</v>
      </c>
      <c r="AA238" s="54"/>
      <c r="AB238" s="59"/>
      <c r="AC238" s="59"/>
      <c r="AD238" s="59"/>
      <c r="AE238" s="59"/>
      <c r="AF238" s="59"/>
    </row>
    <row r="239" spans="1:32" ht="21.2" customHeight="1">
      <c r="A239" s="23" t="s">
        <v>141</v>
      </c>
      <c r="B239" s="61" t="str">
        <f>IFERROR(VLOOKUP($A239,'The List'!$B1:$AS730,3,FALSE)," ")</f>
        <v>LW,RW</v>
      </c>
      <c r="C239" s="63">
        <f>IFERROR(VLOOKUP($A239,'The List'!$B1:$AS730,4,FALSE)," ")</f>
        <v>8</v>
      </c>
      <c r="D239" s="34" t="str">
        <f>IFERROR(VLOOKUP($A239,'The List'!$B1:$AS730,5,FALSE)," ")</f>
        <v>MIN</v>
      </c>
      <c r="E239" s="34">
        <f>IFERROR(VLOOKUP($A239,'The List'!$B1:$AS730,6,FALSE)," ")</f>
        <v>22</v>
      </c>
      <c r="F239" s="49">
        <f>IFERROR(VLOOKUP($A239,'The List'!$B1:$AS730,8,FALSE)," ")</f>
        <v>9.3029657940042263</v>
      </c>
      <c r="G239" s="49">
        <f>IFERROR(VLOOKUP($A239,'The List'!$B1:$AS730,10,FALSE)," ")</f>
        <v>3.0227070749931455</v>
      </c>
      <c r="H239" s="38"/>
      <c r="I239" s="52">
        <f>IFERROR(VLOOKUP($A239,'The List'!$B1:$AS730,16,FALSE)," ")</f>
        <v>82</v>
      </c>
      <c r="J239" s="52">
        <f>IFERROR(VLOOKUP($A239,'The List'!$B1:$AS730,17,FALSE)," ")</f>
        <v>19.0849791416092</v>
      </c>
      <c r="K239" s="52">
        <f>IFERROR(VLOOKUP($A239,'The List'!$B1:$AS730,18,FALSE)," ")</f>
        <v>35.527657785590897</v>
      </c>
      <c r="L239" s="52">
        <f>IFERROR(VLOOKUP($A239,'The List'!$B1:$AS730,19,FALSE)," ")</f>
        <v>43.937761967067708</v>
      </c>
      <c r="M239" s="52">
        <f>IFERROR(VLOOKUP($A239,'The List'!$B1:$AS730,20,FALSE)," ")</f>
        <v>79.465419752658605</v>
      </c>
      <c r="N239" s="52">
        <f>IFERROR(VLOOKUP($A239,'The List'!$B1:$AS730,21,FALSE)," ")</f>
        <v>267.91573768433955</v>
      </c>
      <c r="O239" s="52">
        <f>IFERROR(VLOOKUP($A239,'The List'!$B1:$AS730,22,FALSE)," ")</f>
        <v>9.1353481076346927</v>
      </c>
      <c r="P239" s="52">
        <f>IFERROR(VLOOKUP($A239,'The List'!$B1:$AS730,23,FALSE)," ")</f>
        <v>28.191357384659081</v>
      </c>
      <c r="Q239" s="52">
        <f>IFERROR(VLOOKUP($A239,'The List'!$B1:$AS730,24,FALSE)," ")</f>
        <v>7.3631519346345486E-2</v>
      </c>
      <c r="R239" s="52">
        <f>IFERROR(VLOOKUP($A239,'The List'!$B1:$AS730,25,FALSE)," ")</f>
        <v>0.15346134097259534</v>
      </c>
      <c r="S239" s="52">
        <f>IFERROR(VLOOKUP($A239,'The List'!$B1:$AS730,26,FALSE)," ")</f>
        <v>32.350850317633416</v>
      </c>
      <c r="T239" s="52">
        <f>IFERROR(VLOOKUP($A239,'The List'!$B1:$AS730,27,FALSE)," ")</f>
        <v>67.176009690816997</v>
      </c>
      <c r="U239" s="52">
        <f>IFERROR(VLOOKUP($A239,'The List'!$B1:$AS730,28,FALSE)," ")</f>
        <v>4.4844664337853146</v>
      </c>
      <c r="V239" s="52">
        <f>IFERROR(VLOOKUP($A239,'The List'!$B1:$AS730,29,FALSE)," ")</f>
        <v>36.600490572839433</v>
      </c>
      <c r="W239" s="52">
        <f>IFERROR(VLOOKUP($A239,'The List'!$B1:$AS730,30,FALSE)," ")</f>
        <v>5.7049039395515395</v>
      </c>
      <c r="X239" s="52">
        <f>IFERROR(VLOOKUP($A239,'The List'!$B1:$AS730,31,FALSE)," ")</f>
        <v>68.932192396564304</v>
      </c>
      <c r="Y239" s="52">
        <f>IFERROR(VLOOKUP($A239,'The List'!$B1:$AS730,32,FALSE)," ")</f>
        <v>69.709903481067116</v>
      </c>
      <c r="Z239" s="52">
        <f>IFERROR(VLOOKUP($A239,'The List'!$B1:$AS730,33,FALSE)," ")</f>
        <v>0.49719525631959099</v>
      </c>
      <c r="AA239" s="54"/>
      <c r="AB239" s="59"/>
      <c r="AC239" s="59"/>
      <c r="AD239" s="59"/>
      <c r="AE239" s="59"/>
      <c r="AF239" s="59"/>
    </row>
    <row r="240" spans="1:32" ht="21.2" customHeight="1">
      <c r="A240" s="23" t="s">
        <v>247</v>
      </c>
      <c r="B240" s="61" t="str">
        <f>IFERROR(VLOOKUP($A240,'The List'!$B1:$AS730,3,FALSE)," ")</f>
        <v>LW,RW</v>
      </c>
      <c r="C240" s="63">
        <f>IFERROR(VLOOKUP($A240,'The List'!$B1:$AS730,4,FALSE)," ")</f>
        <v>44</v>
      </c>
      <c r="D240" s="34" t="str">
        <f>IFERROR(VLOOKUP($A240,'The List'!$B1:$AS730,5,FALSE)," ")</f>
        <v>DET</v>
      </c>
      <c r="E240" s="34">
        <f>IFERROR(VLOOKUP($A240,'The List'!$B1:$AS730,6,FALSE)," ")</f>
        <v>35</v>
      </c>
      <c r="F240" s="49">
        <f>IFERROR(VLOOKUP($A240,'The List'!$B1:$AS730,8,FALSE)," ")</f>
        <v>4.9639097019045106</v>
      </c>
      <c r="G240" s="49">
        <f>IFERROR(VLOOKUP($A240,'The List'!$B1:$AS730,10,FALSE)," ")</f>
        <v>-1.3163490171065702</v>
      </c>
      <c r="H240" s="38"/>
      <c r="I240" s="52">
        <f>IFERROR(VLOOKUP($A240,'The List'!$B1:$AS730,16,FALSE)," ")</f>
        <v>82</v>
      </c>
      <c r="J240" s="52">
        <f>IFERROR(VLOOKUP($A240,'The List'!$B1:$AS730,17,FALSE)," ")</f>
        <v>16.6222934178735</v>
      </c>
      <c r="K240" s="52">
        <f>IFERROR(VLOOKUP($A240,'The List'!$B1:$AS730,18,FALSE)," ")</f>
        <v>24.053934133191667</v>
      </c>
      <c r="L240" s="52">
        <f>IFERROR(VLOOKUP($A240,'The List'!$B1:$AS730,19,FALSE)," ")</f>
        <v>33.528066196031531</v>
      </c>
      <c r="M240" s="52">
        <f>IFERROR(VLOOKUP($A240,'The List'!$B1:$AS730,20,FALSE)," ")</f>
        <v>57.582000329223199</v>
      </c>
      <c r="N240" s="52">
        <f>IFERROR(VLOOKUP($A240,'The List'!$B1:$AS730,21,FALSE)," ")</f>
        <v>190.67426285724437</v>
      </c>
      <c r="O240" s="52">
        <f>IFERROR(VLOOKUP($A240,'The List'!$B1:$AS730,22,FALSE)," ")</f>
        <v>8.384497608400217</v>
      </c>
      <c r="P240" s="52">
        <f>IFERROR(VLOOKUP($A240,'The List'!$B1:$AS730,23,FALSE)," ")</f>
        <v>25.966645122071565</v>
      </c>
      <c r="Q240" s="52">
        <f>IFERROR(VLOOKUP($A240,'The List'!$B1:$AS730,24,FALSE)," ")</f>
        <v>1.5657163795471097E-3</v>
      </c>
      <c r="R240" s="52">
        <f>IFERROR(VLOOKUP($A240,'The List'!$B1:$AS730,25,FALSE)," ")</f>
        <v>2.5140559428437595E-3</v>
      </c>
      <c r="S240" s="52">
        <f>IFERROR(VLOOKUP($A240,'The List'!$B1:$AS730,26,FALSE)," ")</f>
        <v>22.782732101886374</v>
      </c>
      <c r="T240" s="52">
        <f>IFERROR(VLOOKUP($A240,'The List'!$B1:$AS730,27,FALSE)," ")</f>
        <v>96.600566067281051</v>
      </c>
      <c r="U240" s="52">
        <f>IFERROR(VLOOKUP($A240,'The List'!$B1:$AS730,28,FALSE)," ")</f>
        <v>-1.6611096094326925</v>
      </c>
      <c r="V240" s="52">
        <f>IFERROR(VLOOKUP($A240,'The List'!$B1:$AS730,29,FALSE)," ")</f>
        <v>42.983344968955578</v>
      </c>
      <c r="W240" s="52">
        <f>IFERROR(VLOOKUP($A240,'The List'!$B1:$AS730,30,FALSE)," ")</f>
        <v>3.1831980547896985</v>
      </c>
      <c r="X240" s="52">
        <f>IFERROR(VLOOKUP($A240,'The List'!$B1:$AS730,31,FALSE)," ")</f>
        <v>1.6091161761751029</v>
      </c>
      <c r="Y240" s="52">
        <f>IFERROR(VLOOKUP($A240,'The List'!$B1:$AS730,32,FALSE)," ")</f>
        <v>8.0881788170391076</v>
      </c>
      <c r="Z240" s="52">
        <f>IFERROR(VLOOKUP($A240,'The List'!$B1:$AS730,33,FALSE)," ")</f>
        <v>0.165934539198931</v>
      </c>
      <c r="AA240" s="54"/>
      <c r="AB240" s="59"/>
      <c r="AC240" s="59"/>
      <c r="AD240" s="59"/>
      <c r="AE240" s="59"/>
      <c r="AF240" s="59"/>
    </row>
    <row r="241" spans="1:32" ht="21.2" customHeight="1">
      <c r="A241" s="23" t="s">
        <v>225</v>
      </c>
      <c r="B241" s="61" t="str">
        <f>IFERROR(VLOOKUP($A241,'The List'!$B1:$AS730,3,FALSE)," ")</f>
        <v>C,LW</v>
      </c>
      <c r="C241" s="63">
        <f>IFERROR(VLOOKUP($A241,'The List'!$B1:$AS730,4,FALSE)," ")</f>
        <v>38</v>
      </c>
      <c r="D241" s="34" t="str">
        <f>IFERROR(VLOOKUP($A241,'The List'!$B1:$AS730,5,FALSE)," ")</f>
        <v>SEA</v>
      </c>
      <c r="E241" s="34">
        <f>IFERROR(VLOOKUP($A241,'The List'!$B1:$AS730,6,FALSE)," ")</f>
        <v>27</v>
      </c>
      <c r="F241" s="49">
        <f>IFERROR(VLOOKUP($A241,'The List'!$B1:$AS730,8,FALSE)," ")</f>
        <v>6.3370507242066028</v>
      </c>
      <c r="G241" s="49">
        <f>IFERROR(VLOOKUP($A241,'The List'!$B1:$AS730,10,FALSE)," ")</f>
        <v>-0.31761831991779843</v>
      </c>
      <c r="H241" s="38"/>
      <c r="I241" s="52">
        <f>IFERROR(VLOOKUP($A241,'The List'!$B1:$AS730,16,FALSE)," ")</f>
        <v>82</v>
      </c>
      <c r="J241" s="52">
        <f>IFERROR(VLOOKUP($A241,'The List'!$B1:$AS730,17,FALSE)," ")</f>
        <v>17.1326661405331</v>
      </c>
      <c r="K241" s="52">
        <f>IFERROR(VLOOKUP($A241,'The List'!$B1:$AS730,18,FALSE)," ")</f>
        <v>36.009065383408277</v>
      </c>
      <c r="L241" s="52">
        <f>IFERROR(VLOOKUP($A241,'The List'!$B1:$AS730,19,FALSE)," ")</f>
        <v>32.381023897667205</v>
      </c>
      <c r="M241" s="52">
        <f>IFERROR(VLOOKUP($A241,'The List'!$B1:$AS730,20,FALSE)," ")</f>
        <v>68.39008928107549</v>
      </c>
      <c r="N241" s="52">
        <f>IFERROR(VLOOKUP($A241,'The List'!$B1:$AS730,21,FALSE)," ")</f>
        <v>224.39744605792274</v>
      </c>
      <c r="O241" s="52">
        <f>IFERROR(VLOOKUP($A241,'The List'!$B1:$AS730,22,FALSE)," ")</f>
        <v>8.8297829694420553</v>
      </c>
      <c r="P241" s="52">
        <f>IFERROR(VLOOKUP($A241,'The List'!$B1:$AS730,23,FALSE)," ")</f>
        <v>18.66238249993236</v>
      </c>
      <c r="Q241" s="52">
        <f>IFERROR(VLOOKUP($A241,'The List'!$B1:$AS730,24,FALSE)," ")</f>
        <v>2.0036712125415033</v>
      </c>
      <c r="R241" s="52">
        <f>IFERROR(VLOOKUP($A241,'The List'!$B1:$AS730,25,FALSE)," ")</f>
        <v>2.1065095226194099</v>
      </c>
      <c r="S241" s="52">
        <f>IFERROR(VLOOKUP($A241,'The List'!$B1:$AS730,26,FALSE)," ")</f>
        <v>32.415015770205926</v>
      </c>
      <c r="T241" s="52">
        <f>IFERROR(VLOOKUP($A241,'The List'!$B1:$AS730,27,FALSE)," ")</f>
        <v>73.702696186043198</v>
      </c>
      <c r="U241" s="52">
        <f>IFERROR(VLOOKUP($A241,'The List'!$B1:$AS730,28,FALSE)," ")</f>
        <v>2.4370213474633786</v>
      </c>
      <c r="V241" s="52">
        <f>IFERROR(VLOOKUP($A241,'The List'!$B1:$AS730,29,FALSE)," ")</f>
        <v>22.623039735546303</v>
      </c>
      <c r="W241" s="52">
        <f>IFERROR(VLOOKUP($A241,'The List'!$B1:$AS730,30,FALSE)," ")</f>
        <v>5.0614693811582487</v>
      </c>
      <c r="X241" s="52">
        <f>IFERROR(VLOOKUP($A241,'The List'!$B1:$AS730,31,FALSE)," ")</f>
        <v>68.382785858581869</v>
      </c>
      <c r="Y241" s="52">
        <f>IFERROR(VLOOKUP($A241,'The List'!$B1:$AS730,32,FALSE)," ")</f>
        <v>105.72336981576711</v>
      </c>
      <c r="Z241" s="52">
        <f>IFERROR(VLOOKUP($A241,'The List'!$B1:$AS730,33,FALSE)," ")</f>
        <v>0.39276489446177898</v>
      </c>
      <c r="AA241" s="54"/>
      <c r="AB241" s="59"/>
      <c r="AC241" s="59"/>
      <c r="AD241" s="59"/>
      <c r="AE241" s="59"/>
      <c r="AF241" s="59"/>
    </row>
    <row r="242" spans="1:32" ht="21.2" customHeight="1">
      <c r="A242" s="23" t="s">
        <v>196</v>
      </c>
      <c r="B242" s="64" t="str">
        <f>IFERROR(VLOOKUP($A242,'The List'!$B1:$AS730,3,FALSE)," ")</f>
        <v>RW</v>
      </c>
      <c r="C242" s="66">
        <f>IFERROR(VLOOKUP($A242,'The List'!$B1:$AS730,4,FALSE)," ")</f>
        <v>34</v>
      </c>
      <c r="D242" s="34" t="str">
        <f>IFERROR(VLOOKUP($A242,'The List'!$B1:$AS730,5,FALSE)," ")</f>
        <v>CAR</v>
      </c>
      <c r="E242" s="34">
        <f>IFERROR(VLOOKUP($A242,'The List'!$B1:$AS730,6,FALSE)," ")</f>
        <v>24</v>
      </c>
      <c r="F242" s="49">
        <f>IFERROR(VLOOKUP($A242,'The List'!$B1:$AS730,8,FALSE)," ")</f>
        <v>6.4441422120163754</v>
      </c>
      <c r="G242" s="49">
        <f>IFERROR(VLOOKUP($A242,'The List'!$B1:$AS730,10,FALSE)," ")</f>
        <v>0.16388349300529459</v>
      </c>
      <c r="H242" s="38"/>
      <c r="I242" s="52">
        <f>IFERROR(VLOOKUP($A242,'The List'!$B1:$AS730,16,FALSE)," ")</f>
        <v>82</v>
      </c>
      <c r="J242" s="52">
        <f>IFERROR(VLOOKUP($A242,'The List'!$B1:$AS730,17,FALSE)," ")</f>
        <v>18.356554917454201</v>
      </c>
      <c r="K242" s="52">
        <f>IFERROR(VLOOKUP($A242,'The List'!$B1:$AS730,18,FALSE)," ")</f>
        <v>26.039418764699569</v>
      </c>
      <c r="L242" s="52">
        <f>IFERROR(VLOOKUP($A242,'The List'!$B1:$AS730,19,FALSE)," ")</f>
        <v>42.679287348208689</v>
      </c>
      <c r="M242" s="52">
        <f>IFERROR(VLOOKUP($A242,'The List'!$B1:$AS730,20,FALSE)," ")</f>
        <v>68.718706112908251</v>
      </c>
      <c r="N242" s="52">
        <f>IFERROR(VLOOKUP($A242,'The List'!$B1:$AS730,21,FALSE)," ")</f>
        <v>227.04361717099826</v>
      </c>
      <c r="O242" s="52">
        <f>IFERROR(VLOOKUP($A242,'The List'!$B1:$AS730,22,FALSE)," ")</f>
        <v>6.9541057991453776</v>
      </c>
      <c r="P242" s="52">
        <f>IFERROR(VLOOKUP($A242,'The List'!$B1:$AS730,23,FALSE)," ")</f>
        <v>21.220294818038994</v>
      </c>
      <c r="Q242" s="52">
        <f>IFERROR(VLOOKUP($A242,'The List'!$B1:$AS730,24,FALSE)," ")</f>
        <v>0.30280957848007989</v>
      </c>
      <c r="R242" s="52">
        <f>IFERROR(VLOOKUP($A242,'The List'!$B1:$AS730,25,FALSE)," ")</f>
        <v>0.73310546417803379</v>
      </c>
      <c r="S242" s="52">
        <f>IFERROR(VLOOKUP($A242,'The List'!$B1:$AS730,26,FALSE)," ")</f>
        <v>24.175543810395734</v>
      </c>
      <c r="T242" s="52">
        <f>IFERROR(VLOOKUP($A242,'The List'!$B1:$AS730,27,FALSE)," ")</f>
        <v>61.84289037329691</v>
      </c>
      <c r="U242" s="52">
        <f>IFERROR(VLOOKUP($A242,'The List'!$B1:$AS730,28,FALSE)," ")</f>
        <v>6.163466066157393</v>
      </c>
      <c r="V242" s="52">
        <f>IFERROR(VLOOKUP($A242,'The List'!$B1:$AS730,29,FALSE)," ")</f>
        <v>32.135521397114964</v>
      </c>
      <c r="W242" s="52">
        <f>IFERROR(VLOOKUP($A242,'The List'!$B1:$AS730,30,FALSE)," ")</f>
        <v>4.6720547930669341</v>
      </c>
      <c r="X242" s="52">
        <f>IFERROR(VLOOKUP($A242,'The List'!$B1:$AS730,31,FALSE)," ")</f>
        <v>156.89163618826367</v>
      </c>
      <c r="Y242" s="52">
        <f>IFERROR(VLOOKUP($A242,'The List'!$B1:$AS730,32,FALSE)," ")</f>
        <v>190.16457743359197</v>
      </c>
      <c r="Z242" s="52">
        <f>IFERROR(VLOOKUP($A242,'The List'!$B1:$AS730,33,FALSE)," ")</f>
        <v>0.45206404619860502</v>
      </c>
      <c r="AA242" s="54"/>
      <c r="AB242" s="59"/>
      <c r="AC242" s="59"/>
      <c r="AD242" s="59"/>
      <c r="AE242" s="59"/>
      <c r="AF242" s="59"/>
    </row>
    <row r="243" spans="1:32" ht="21.2" customHeight="1">
      <c r="A243" s="23" t="s">
        <v>349</v>
      </c>
      <c r="B243" s="64" t="str">
        <f>IFERROR(VLOOKUP($A243,'The List'!$B1:$AS730,3,FALSE)," ")</f>
        <v>C,RW</v>
      </c>
      <c r="C243" s="66">
        <f>IFERROR(VLOOKUP($A243,'The List'!$B1:$AS730,4,FALSE)," ")</f>
        <v>67</v>
      </c>
      <c r="D243" s="34" t="str">
        <f>IFERROR(VLOOKUP($A243,'The List'!$B1:$AS730,5,FALSE)," ")</f>
        <v>DAL</v>
      </c>
      <c r="E243" s="34">
        <f>IFERROR(VLOOKUP($A243,'The List'!$B1:$AS730,6,FALSE)," ")</f>
        <v>31</v>
      </c>
      <c r="F243" s="49">
        <f>IFERROR(VLOOKUP($A243,'The List'!$B1:$AS730,8,FALSE)," ")</f>
        <v>2.348789467429456</v>
      </c>
      <c r="G243" s="49">
        <f>IFERROR(VLOOKUP($A243,'The List'!$B1:$AS730,10,FALSE)," ")</f>
        <v>-3.9314692515816247</v>
      </c>
      <c r="H243" s="38"/>
      <c r="I243" s="52">
        <f>IFERROR(VLOOKUP($A243,'The List'!$B1:$AS730,16,FALSE)," ")</f>
        <v>82</v>
      </c>
      <c r="J243" s="52">
        <f>IFERROR(VLOOKUP($A243,'The List'!$B1:$AS730,17,FALSE)," ")</f>
        <v>16.814175211007701</v>
      </c>
      <c r="K243" s="52">
        <f>IFERROR(VLOOKUP($A243,'The List'!$B1:$AS730,18,FALSE)," ")</f>
        <v>21.375452540258721</v>
      </c>
      <c r="L243" s="52">
        <f>IFERROR(VLOOKUP($A243,'The List'!$B1:$AS730,19,FALSE)," ")</f>
        <v>26.842860331673172</v>
      </c>
      <c r="M243" s="52">
        <f>IFERROR(VLOOKUP($A243,'The List'!$B1:$AS730,20,FALSE)," ")</f>
        <v>48.218312871931893</v>
      </c>
      <c r="N243" s="52">
        <f>IFERROR(VLOOKUP($A243,'The List'!$B1:$AS730,21,FALSE)," ")</f>
        <v>197.00287985972233</v>
      </c>
      <c r="O243" s="52">
        <f>IFERROR(VLOOKUP($A243,'The List'!$B1:$AS730,22,FALSE)," ")</f>
        <v>4.8607198216063425</v>
      </c>
      <c r="P243" s="52">
        <f>IFERROR(VLOOKUP($A243,'The List'!$B1:$AS730,23,FALSE)," ")</f>
        <v>10.330693252482613</v>
      </c>
      <c r="Q243" s="52">
        <f>IFERROR(VLOOKUP($A243,'The List'!$B1:$AS730,24,FALSE)," ")</f>
        <v>0.98245396719513622</v>
      </c>
      <c r="R243" s="52">
        <f>IFERROR(VLOOKUP($A243,'The List'!$B1:$AS730,25,FALSE)," ")</f>
        <v>1.9330925738631806</v>
      </c>
      <c r="S243" s="52">
        <f>IFERROR(VLOOKUP($A243,'The List'!$B1:$AS730,26,FALSE)," ")</f>
        <v>29.492523108705981</v>
      </c>
      <c r="T243" s="52">
        <f>IFERROR(VLOOKUP($A243,'The List'!$B1:$AS730,27,FALSE)," ")</f>
        <v>89.754826840320604</v>
      </c>
      <c r="U243" s="52">
        <f>IFERROR(VLOOKUP($A243,'The List'!$B1:$AS730,28,FALSE)," ")</f>
        <v>3.8493582165708036</v>
      </c>
      <c r="V243" s="52">
        <f>IFERROR(VLOOKUP($A243,'The List'!$B1:$AS730,29,FALSE)," ")</f>
        <v>28.47626479417476</v>
      </c>
      <c r="W243" s="52">
        <f>IFERROR(VLOOKUP($A243,'The List'!$B1:$AS730,30,FALSE)," ")</f>
        <v>3.4199208746942595</v>
      </c>
      <c r="X243" s="52">
        <f>IFERROR(VLOOKUP($A243,'The List'!$B1:$AS730,31,FALSE)," ")</f>
        <v>509.03938814740098</v>
      </c>
      <c r="Y243" s="52">
        <f>IFERROR(VLOOKUP($A243,'The List'!$B1:$AS730,32,FALSE)," ")</f>
        <v>410.71660545096034</v>
      </c>
      <c r="Z243" s="52">
        <f>IFERROR(VLOOKUP($A243,'The List'!$B1:$AS730,33,FALSE)," ")</f>
        <v>0.55345047131020697</v>
      </c>
      <c r="AA243" s="54"/>
      <c r="AB243" s="59"/>
      <c r="AC243" s="59"/>
      <c r="AD243" s="59"/>
      <c r="AE243" s="59"/>
      <c r="AF243" s="59"/>
    </row>
    <row r="244" spans="1:32" ht="21.2" customHeight="1">
      <c r="A244" s="23"/>
      <c r="B244" s="64" t="str">
        <f>IFERROR(VLOOKUP($A244,'The List'!$B1:$AS730,3,FALSE)," ")</f>
        <v xml:space="preserve"> </v>
      </c>
      <c r="C244" s="66" t="str">
        <f>IFERROR(VLOOKUP($A244,'The List'!$B1:$AS730,4,FALSE)," ")</f>
        <v xml:space="preserve"> </v>
      </c>
      <c r="D244" s="34" t="str">
        <f>IFERROR(VLOOKUP($A244,'The List'!$B1:$AS730,5,FALSE)," ")</f>
        <v xml:space="preserve"> </v>
      </c>
      <c r="E244" s="34" t="str">
        <f>IFERROR(VLOOKUP($A244,'The List'!$B1:$AS730,6,FALSE)," ")</f>
        <v xml:space="preserve"> </v>
      </c>
      <c r="F244" s="49" t="str">
        <f>IFERROR(VLOOKUP($A244,'The List'!$B1:$AS730,8,FALSE)," ")</f>
        <v xml:space="preserve"> </v>
      </c>
      <c r="G244" s="49" t="str">
        <f>IFERROR(VLOOKUP($A244,'The List'!$B1:$AS730,10,FALSE)," ")</f>
        <v xml:space="preserve"> </v>
      </c>
      <c r="H244" s="38"/>
      <c r="I244" s="52" t="str">
        <f>IFERROR(VLOOKUP($A244,'The List'!$B1:$AS730,16,FALSE)," ")</f>
        <v xml:space="preserve"> </v>
      </c>
      <c r="J244" s="52" t="str">
        <f>IFERROR(VLOOKUP($A244,'The List'!$B1:$AS730,17,FALSE)," ")</f>
        <v xml:space="preserve"> </v>
      </c>
      <c r="K244" s="52" t="str">
        <f>IFERROR(VLOOKUP($A244,'The List'!$B1:$AS730,18,FALSE)," ")</f>
        <v xml:space="preserve"> </v>
      </c>
      <c r="L244" s="52" t="str">
        <f>IFERROR(VLOOKUP($A244,'The List'!$B1:$AS730,19,FALSE)," ")</f>
        <v xml:space="preserve"> </v>
      </c>
      <c r="M244" s="52" t="str">
        <f>IFERROR(VLOOKUP($A244,'The List'!$B1:$AS730,20,FALSE)," ")</f>
        <v xml:space="preserve"> </v>
      </c>
      <c r="N244" s="52" t="str">
        <f>IFERROR(VLOOKUP($A244,'The List'!$B1:$AS730,21,FALSE)," ")</f>
        <v xml:space="preserve"> </v>
      </c>
      <c r="O244" s="52" t="str">
        <f>IFERROR(VLOOKUP($A244,'The List'!$B1:$AS730,22,FALSE)," ")</f>
        <v xml:space="preserve"> </v>
      </c>
      <c r="P244" s="52" t="str">
        <f>IFERROR(VLOOKUP($A244,'The List'!$B1:$AS730,23,FALSE)," ")</f>
        <v xml:space="preserve"> </v>
      </c>
      <c r="Q244" s="52" t="str">
        <f>IFERROR(VLOOKUP($A244,'The List'!$B1:$AS730,24,FALSE)," ")</f>
        <v xml:space="preserve"> </v>
      </c>
      <c r="R244" s="52" t="str">
        <f>IFERROR(VLOOKUP($A244,'The List'!$B1:$AS730,25,FALSE)," ")</f>
        <v xml:space="preserve"> </v>
      </c>
      <c r="S244" s="52" t="str">
        <f>IFERROR(VLOOKUP($A244,'The List'!$B1:$AS730,26,FALSE)," ")</f>
        <v xml:space="preserve"> </v>
      </c>
      <c r="T244" s="52" t="str">
        <f>IFERROR(VLOOKUP($A244,'The List'!$B1:$AS730,27,FALSE)," ")</f>
        <v xml:space="preserve"> </v>
      </c>
      <c r="U244" s="52" t="str">
        <f>IFERROR(VLOOKUP($A244,'The List'!$B1:$AS730,28,FALSE)," ")</f>
        <v xml:space="preserve"> </v>
      </c>
      <c r="V244" s="52" t="str">
        <f>IFERROR(VLOOKUP($A244,'The List'!$B1:$AS730,29,FALSE)," ")</f>
        <v xml:space="preserve"> </v>
      </c>
      <c r="W244" s="52" t="str">
        <f>IFERROR(VLOOKUP($A244,'The List'!$B1:$AS730,30,FALSE)," ")</f>
        <v xml:space="preserve"> </v>
      </c>
      <c r="X244" s="52" t="str">
        <f>IFERROR(VLOOKUP($A244,'The List'!$B1:$AS730,31,FALSE)," ")</f>
        <v xml:space="preserve"> </v>
      </c>
      <c r="Y244" s="52" t="str">
        <f>IFERROR(VLOOKUP($A244,'The List'!$B1:$AS730,32,FALSE)," ")</f>
        <v xml:space="preserve"> </v>
      </c>
      <c r="Z244" s="52" t="str">
        <f>IFERROR(VLOOKUP($A244,'The List'!$B1:$AS730,33,FALSE)," ")</f>
        <v xml:space="preserve"> </v>
      </c>
      <c r="AA244" s="54"/>
      <c r="AB244" s="59"/>
      <c r="AC244" s="59"/>
      <c r="AD244" s="59"/>
      <c r="AE244" s="59"/>
      <c r="AF244" s="59"/>
    </row>
    <row r="245" spans="1:32" ht="21.2" customHeight="1">
      <c r="A245" s="23"/>
      <c r="B245" s="64" t="str">
        <f>IFERROR(VLOOKUP($A245,'The List'!$B1:$AS730,3,FALSE)," ")</f>
        <v xml:space="preserve"> </v>
      </c>
      <c r="C245" s="66" t="str">
        <f>IFERROR(VLOOKUP($A245,'The List'!$B1:$AS730,4,FALSE)," ")</f>
        <v xml:space="preserve"> </v>
      </c>
      <c r="D245" s="34" t="str">
        <f>IFERROR(VLOOKUP($A245,'The List'!$B1:$AS730,5,FALSE)," ")</f>
        <v xml:space="preserve"> </v>
      </c>
      <c r="E245" s="34" t="str">
        <f>IFERROR(VLOOKUP($A245,'The List'!$B1:$AS730,6,FALSE)," ")</f>
        <v xml:space="preserve"> </v>
      </c>
      <c r="F245" s="49" t="str">
        <f>IFERROR(VLOOKUP($A245,'The List'!$B1:$AS730,8,FALSE)," ")</f>
        <v xml:space="preserve"> </v>
      </c>
      <c r="G245" s="49" t="str">
        <f>IFERROR(VLOOKUP($A245,'The List'!$B1:$AS730,10,FALSE)," ")</f>
        <v xml:space="preserve"> </v>
      </c>
      <c r="H245" s="38"/>
      <c r="I245" s="52" t="str">
        <f>IFERROR(VLOOKUP($A245,'The List'!$B1:$AS730,16,FALSE)," ")</f>
        <v xml:space="preserve"> </v>
      </c>
      <c r="J245" s="52" t="str">
        <f>IFERROR(VLOOKUP($A245,'The List'!$B1:$AS730,17,FALSE)," ")</f>
        <v xml:space="preserve"> </v>
      </c>
      <c r="K245" s="52" t="str">
        <f>IFERROR(VLOOKUP($A245,'The List'!$B1:$AS730,18,FALSE)," ")</f>
        <v xml:space="preserve"> </v>
      </c>
      <c r="L245" s="52" t="str">
        <f>IFERROR(VLOOKUP($A245,'The List'!$B1:$AS730,19,FALSE)," ")</f>
        <v xml:space="preserve"> </v>
      </c>
      <c r="M245" s="52" t="str">
        <f>IFERROR(VLOOKUP($A245,'The List'!$B1:$AS730,20,FALSE)," ")</f>
        <v xml:space="preserve"> </v>
      </c>
      <c r="N245" s="52" t="str">
        <f>IFERROR(VLOOKUP($A245,'The List'!$B1:$AS730,21,FALSE)," ")</f>
        <v xml:space="preserve"> </v>
      </c>
      <c r="O245" s="52" t="str">
        <f>IFERROR(VLOOKUP($A245,'The List'!$B1:$AS730,22,FALSE)," ")</f>
        <v xml:space="preserve"> </v>
      </c>
      <c r="P245" s="52" t="str">
        <f>IFERROR(VLOOKUP($A245,'The List'!$B1:$AS730,23,FALSE)," ")</f>
        <v xml:space="preserve"> </v>
      </c>
      <c r="Q245" s="52" t="str">
        <f>IFERROR(VLOOKUP($A245,'The List'!$B1:$AS730,24,FALSE)," ")</f>
        <v xml:space="preserve"> </v>
      </c>
      <c r="R245" s="52" t="str">
        <f>IFERROR(VLOOKUP($A245,'The List'!$B1:$AS730,25,FALSE)," ")</f>
        <v xml:space="preserve"> </v>
      </c>
      <c r="S245" s="52" t="str">
        <f>IFERROR(VLOOKUP($A245,'The List'!$B1:$AS730,26,FALSE)," ")</f>
        <v xml:space="preserve"> </v>
      </c>
      <c r="T245" s="52" t="str">
        <f>IFERROR(VLOOKUP($A245,'The List'!$B1:$AS730,27,FALSE)," ")</f>
        <v xml:space="preserve"> </v>
      </c>
      <c r="U245" s="52" t="str">
        <f>IFERROR(VLOOKUP($A245,'The List'!$B1:$AS730,28,FALSE)," ")</f>
        <v xml:space="preserve"> </v>
      </c>
      <c r="V245" s="52" t="str">
        <f>IFERROR(VLOOKUP($A245,'The List'!$B1:$AS730,29,FALSE)," ")</f>
        <v xml:space="preserve"> </v>
      </c>
      <c r="W245" s="52" t="str">
        <f>IFERROR(VLOOKUP($A245,'The List'!$B1:$AS730,30,FALSE)," ")</f>
        <v xml:space="preserve"> </v>
      </c>
      <c r="X245" s="52" t="str">
        <f>IFERROR(VLOOKUP($A245,'The List'!$B1:$AS730,31,FALSE)," ")</f>
        <v xml:space="preserve"> </v>
      </c>
      <c r="Y245" s="52" t="str">
        <f>IFERROR(VLOOKUP($A245,'The List'!$B1:$AS730,32,FALSE)," ")</f>
        <v xml:space="preserve"> </v>
      </c>
      <c r="Z245" s="52" t="str">
        <f>IFERROR(VLOOKUP($A245,'The List'!$B1:$AS730,33,FALSE)," ")</f>
        <v xml:space="preserve"> </v>
      </c>
      <c r="AA245" s="54"/>
      <c r="AB245" s="59"/>
      <c r="AC245" s="59"/>
      <c r="AD245" s="59"/>
      <c r="AE245" s="59"/>
      <c r="AF245" s="59"/>
    </row>
    <row r="246" spans="1:32" ht="21.2" customHeight="1">
      <c r="A246" s="23" t="s">
        <v>121</v>
      </c>
      <c r="B246" s="67" t="str">
        <f>IFERROR(VLOOKUP($A246,'The List'!$B1:$AS730,3,FALSE)," ")</f>
        <v>D</v>
      </c>
      <c r="C246" s="69">
        <f>IFERROR(VLOOKUP($A246,'The List'!$B1:$AS730,4,FALSE)," ")</f>
        <v>5</v>
      </c>
      <c r="D246" s="34" t="str">
        <f>IFERROR(VLOOKUP($A246,'The List'!$B1:$AS730,5,FALSE)," ")</f>
        <v>BUF</v>
      </c>
      <c r="E246" s="34">
        <f>IFERROR(VLOOKUP($A246,'The List'!$B1:$AS730,6,FALSE)," ")</f>
        <v>23</v>
      </c>
      <c r="F246" s="49">
        <f>IFERROR(VLOOKUP($A246,'The List'!$B1:$AS730,8,FALSE)," ")</f>
        <v>7.1925018774443874</v>
      </c>
      <c r="G246" s="49">
        <f>IFERROR(VLOOKUP($A246,'The List'!$B1:$AS730,10,FALSE)," ")</f>
        <v>5.2507613338100771</v>
      </c>
      <c r="H246" s="38"/>
      <c r="I246" s="52">
        <f>IFERROR(VLOOKUP($A246,'The List'!$B1:$AS730,16,FALSE)," ")</f>
        <v>82</v>
      </c>
      <c r="J246" s="52">
        <f>IFERROR(VLOOKUP($A246,'The List'!$B1:$AS730,17,FALSE)," ")</f>
        <v>25.612818272748601</v>
      </c>
      <c r="K246" s="52">
        <f>IFERROR(VLOOKUP($A246,'The List'!$B1:$AS730,18,FALSE)," ")</f>
        <v>15.280233847112704</v>
      </c>
      <c r="L246" s="52">
        <f>IFERROR(VLOOKUP($A246,'The List'!$B1:$AS730,19,FALSE)," ")</f>
        <v>56.117631392099334</v>
      </c>
      <c r="M246" s="52">
        <f>IFERROR(VLOOKUP($A246,'The List'!$B1:$AS730,20,FALSE)," ")</f>
        <v>71.397865239212038</v>
      </c>
      <c r="N246" s="52">
        <f>IFERROR(VLOOKUP($A246,'The List'!$B1:$AS730,21,FALSE)," ")</f>
        <v>211.02540968749881</v>
      </c>
      <c r="O246" s="52">
        <f>IFERROR(VLOOKUP($A246,'The List'!$B1:$AS730,22,FALSE)," ")</f>
        <v>5.1687963950564004</v>
      </c>
      <c r="P246" s="52">
        <f>IFERROR(VLOOKUP($A246,'The List'!$B1:$AS730,23,FALSE)," ")</f>
        <v>30.75102090403221</v>
      </c>
      <c r="Q246" s="52">
        <f>IFERROR(VLOOKUP($A246,'The List'!$B1:$AS730,24,FALSE)," ")</f>
        <v>3.6935618666942366E-2</v>
      </c>
      <c r="R246" s="52">
        <f>IFERROR(VLOOKUP($A246,'The List'!$B1:$AS730,25,FALSE)," ")</f>
        <v>0.40936334798994167</v>
      </c>
      <c r="S246" s="52">
        <f>IFERROR(VLOOKUP($A246,'The List'!$B1:$AS730,26,FALSE)," ")</f>
        <v>123.13779443718494</v>
      </c>
      <c r="T246" s="52">
        <f>IFERROR(VLOOKUP($A246,'The List'!$B1:$AS730,27,FALSE)," ")</f>
        <v>113.77931413207595</v>
      </c>
      <c r="U246" s="52">
        <f>IFERROR(VLOOKUP($A246,'The List'!$B1:$AS730,28,FALSE)," ")</f>
        <v>-0.6118871077070962</v>
      </c>
      <c r="V246" s="52">
        <f>IFERROR(VLOOKUP($A246,'The List'!$B1:$AS730,29,FALSE)," ")</f>
        <v>72.237148974279506</v>
      </c>
      <c r="W246" s="52">
        <f>IFERROR(VLOOKUP($A246,'The List'!$B1:$AS730,30,FALSE)," ")</f>
        <v>1.9561611203185254</v>
      </c>
      <c r="X246" s="52">
        <f>IFERROR(VLOOKUP($A246,'The List'!$B1:$AS730,31,FALSE)," ")</f>
        <v>0</v>
      </c>
      <c r="Y246" s="52">
        <f>IFERROR(VLOOKUP($A246,'The List'!$B1:$AS730,32,FALSE)," ")</f>
        <v>0</v>
      </c>
      <c r="Z246" s="52">
        <f>IFERROR(VLOOKUP($A246,'The List'!$B1:$AS730,33,FALSE)," ")</f>
        <v>0</v>
      </c>
      <c r="AA246" s="54"/>
      <c r="AB246" s="59"/>
      <c r="AC246" s="59"/>
      <c r="AD246" s="59"/>
      <c r="AE246" s="59"/>
      <c r="AF246" s="59"/>
    </row>
    <row r="247" spans="1:32" ht="21.2" customHeight="1">
      <c r="A247" s="23" t="s">
        <v>151</v>
      </c>
      <c r="B247" s="67" t="str">
        <f>IFERROR(VLOOKUP($A247,'The List'!$B1:$AS730,3,FALSE)," ")</f>
        <v>D</v>
      </c>
      <c r="C247" s="69">
        <f>IFERROR(VLOOKUP($A247,'The List'!$B1:$AS730,4,FALSE)," ")</f>
        <v>12</v>
      </c>
      <c r="D247" s="34" t="str">
        <f>IFERROR(VLOOKUP($A247,'The List'!$B1:$AS730,5,FALSE)," ")</f>
        <v>WPG</v>
      </c>
      <c r="E247" s="34">
        <f>IFERROR(VLOOKUP($A247,'The List'!$B1:$AS730,6,FALSE)," ")</f>
        <v>28</v>
      </c>
      <c r="F247" s="49">
        <f>IFERROR(VLOOKUP($A247,'The List'!$B1:$AS730,8,FALSE)," ")</f>
        <v>4.8684555231433269</v>
      </c>
      <c r="G247" s="49">
        <f>IFERROR(VLOOKUP($A247,'The List'!$B1:$AS730,10,FALSE)," ")</f>
        <v>2.9267149795090162</v>
      </c>
      <c r="H247" s="38"/>
      <c r="I247" s="52">
        <f>IFERROR(VLOOKUP($A247,'The List'!$B1:$AS730,16,FALSE)," ")</f>
        <v>82</v>
      </c>
      <c r="J247" s="52">
        <f>IFERROR(VLOOKUP($A247,'The List'!$B1:$AS730,17,FALSE)," ")</f>
        <v>24.028812280166299</v>
      </c>
      <c r="K247" s="52">
        <f>IFERROR(VLOOKUP($A247,'The List'!$B1:$AS730,18,FALSE)," ")</f>
        <v>13.536053789888076</v>
      </c>
      <c r="L247" s="52">
        <f>IFERROR(VLOOKUP($A247,'The List'!$B1:$AS730,19,FALSE)," ")</f>
        <v>46.847664118889007</v>
      </c>
      <c r="M247" s="52">
        <f>IFERROR(VLOOKUP($A247,'The List'!$B1:$AS730,20,FALSE)," ")</f>
        <v>60.383717908777086</v>
      </c>
      <c r="N247" s="52">
        <f>IFERROR(VLOOKUP($A247,'The List'!$B1:$AS730,21,FALSE)," ")</f>
        <v>186.12738086328224</v>
      </c>
      <c r="O247" s="52">
        <f>IFERROR(VLOOKUP($A247,'The List'!$B1:$AS730,22,FALSE)," ")</f>
        <v>3.9244634825259288</v>
      </c>
      <c r="P247" s="52">
        <f>IFERROR(VLOOKUP($A247,'The List'!$B1:$AS730,23,FALSE)," ")</f>
        <v>24.955288791277429</v>
      </c>
      <c r="Q247" s="52">
        <f>IFERROR(VLOOKUP($A247,'The List'!$B1:$AS730,24,FALSE)," ")</f>
        <v>9.9309381052855392E-3</v>
      </c>
      <c r="R247" s="52">
        <f>IFERROR(VLOOKUP($A247,'The List'!$B1:$AS730,25,FALSE)," ")</f>
        <v>4.5225838415925187E-2</v>
      </c>
      <c r="S247" s="52">
        <f>IFERROR(VLOOKUP($A247,'The List'!$B1:$AS730,26,FALSE)," ")</f>
        <v>118.17998939475206</v>
      </c>
      <c r="T247" s="52">
        <f>IFERROR(VLOOKUP($A247,'The List'!$B1:$AS730,27,FALSE)," ")</f>
        <v>110.00168034102617</v>
      </c>
      <c r="U247" s="52">
        <f>IFERROR(VLOOKUP($A247,'The List'!$B1:$AS730,28,FALSE)," ")</f>
        <v>2.6450304098562927</v>
      </c>
      <c r="V247" s="52">
        <f>IFERROR(VLOOKUP($A247,'The List'!$B1:$AS730,29,FALSE)," ")</f>
        <v>48.872472086617996</v>
      </c>
      <c r="W247" s="52">
        <f>IFERROR(VLOOKUP($A247,'The List'!$B1:$AS730,30,FALSE)," ")</f>
        <v>2.1116696988584023</v>
      </c>
      <c r="X247" s="52">
        <f>IFERROR(VLOOKUP($A247,'The List'!$B1:$AS730,31,FALSE)," ")</f>
        <v>0</v>
      </c>
      <c r="Y247" s="52">
        <f>IFERROR(VLOOKUP($A247,'The List'!$B1:$AS730,32,FALSE)," ")</f>
        <v>0</v>
      </c>
      <c r="Z247" s="52">
        <f>IFERROR(VLOOKUP($A247,'The List'!$B1:$AS730,33,FALSE)," ")</f>
        <v>0</v>
      </c>
      <c r="AA247" s="54"/>
      <c r="AB247" s="59"/>
      <c r="AC247" s="59"/>
      <c r="AD247" s="59"/>
      <c r="AE247" s="59"/>
      <c r="AF247" s="59"/>
    </row>
    <row r="248" spans="1:32" ht="21.2" customHeight="1">
      <c r="A248" s="23" t="s">
        <v>193</v>
      </c>
      <c r="B248" s="67" t="str">
        <f>IFERROR(VLOOKUP($A248,'The List'!$B1:$AS730,3,FALSE)," ")</f>
        <v>D</v>
      </c>
      <c r="C248" s="69">
        <f>IFERROR(VLOOKUP($A248,'The List'!$B1:$AS730,4,FALSE)," ")</f>
        <v>25</v>
      </c>
      <c r="D248" s="34" t="str">
        <f>IFERROR(VLOOKUP($A248,'The List'!$B1:$AS730,5,FALSE)," ")</f>
        <v>PIT</v>
      </c>
      <c r="E248" s="34">
        <f>IFERROR(VLOOKUP($A248,'The List'!$B1:$AS730,6,FALSE)," ")</f>
        <v>36</v>
      </c>
      <c r="F248" s="49">
        <f>IFERROR(VLOOKUP($A248,'The List'!$B1:$AS730,8,FALSE)," ")</f>
        <v>3.0143248864281311</v>
      </c>
      <c r="G248" s="49">
        <f>IFERROR(VLOOKUP($A248,'The List'!$B1:$AS730,10,FALSE)," ")</f>
        <v>1.0725843427938204</v>
      </c>
      <c r="H248" s="38"/>
      <c r="I248" s="52">
        <f>IFERROR(VLOOKUP($A248,'The List'!$B1:$AS730,16,FALSE)," ")</f>
        <v>82</v>
      </c>
      <c r="J248" s="52">
        <f>IFERROR(VLOOKUP($A248,'The List'!$B1:$AS730,17,FALSE)," ")</f>
        <v>23.7331719893293</v>
      </c>
      <c r="K248" s="52">
        <f>IFERROR(VLOOKUP($A248,'The List'!$B1:$AS730,18,FALSE)," ")</f>
        <v>9.6372129034039293</v>
      </c>
      <c r="L248" s="52">
        <f>IFERROR(VLOOKUP($A248,'The List'!$B1:$AS730,19,FALSE)," ")</f>
        <v>40.008419962080957</v>
      </c>
      <c r="M248" s="52">
        <f>IFERROR(VLOOKUP($A248,'The List'!$B1:$AS730,20,FALSE)," ")</f>
        <v>49.645632865484885</v>
      </c>
      <c r="N248" s="52">
        <f>IFERROR(VLOOKUP($A248,'The List'!$B1:$AS730,21,FALSE)," ")</f>
        <v>195.47861491417936</v>
      </c>
      <c r="O248" s="52">
        <f>IFERROR(VLOOKUP($A248,'The List'!$B1:$AS730,22,FALSE)," ")</f>
        <v>3.1932740785129661</v>
      </c>
      <c r="P248" s="52">
        <f>IFERROR(VLOOKUP($A248,'The List'!$B1:$AS730,23,FALSE)," ")</f>
        <v>18.29217759768315</v>
      </c>
      <c r="Q248" s="52">
        <f>IFERROR(VLOOKUP($A248,'The List'!$B1:$AS730,24,FALSE)," ")</f>
        <v>0.34694836381267613</v>
      </c>
      <c r="R248" s="52">
        <f>IFERROR(VLOOKUP($A248,'The List'!$B1:$AS730,25,FALSE)," ")</f>
        <v>0.39741161917658413</v>
      </c>
      <c r="S248" s="52">
        <f>IFERROR(VLOOKUP($A248,'The List'!$B1:$AS730,26,FALSE)," ")</f>
        <v>129.16546475215372</v>
      </c>
      <c r="T248" s="52">
        <f>IFERROR(VLOOKUP($A248,'The List'!$B1:$AS730,27,FALSE)," ")</f>
        <v>173.75350342239139</v>
      </c>
      <c r="U248" s="52">
        <f>IFERROR(VLOOKUP($A248,'The List'!$B1:$AS730,28,FALSE)," ")</f>
        <v>2.2704302518164563</v>
      </c>
      <c r="V248" s="52">
        <f>IFERROR(VLOOKUP($A248,'The List'!$B1:$AS730,29,FALSE)," ")</f>
        <v>43.488377697774432</v>
      </c>
      <c r="W248" s="52">
        <f>IFERROR(VLOOKUP($A248,'The List'!$B1:$AS730,30,FALSE)," ")</f>
        <v>1.5469656410477604</v>
      </c>
      <c r="X248" s="52">
        <f>IFERROR(VLOOKUP($A248,'The List'!$B1:$AS730,31,FALSE)," ")</f>
        <v>0</v>
      </c>
      <c r="Y248" s="52">
        <f>IFERROR(VLOOKUP($A248,'The List'!$B1:$AS730,32,FALSE)," ")</f>
        <v>0.17542313527808709</v>
      </c>
      <c r="Z248" s="52">
        <f>IFERROR(VLOOKUP($A248,'The List'!$B1:$AS730,33,FALSE)," ")</f>
        <v>0</v>
      </c>
      <c r="AA248" s="54"/>
      <c r="AB248" s="59"/>
      <c r="AC248" s="59"/>
      <c r="AD248" s="59"/>
      <c r="AE248" s="59"/>
      <c r="AF248" s="59"/>
    </row>
    <row r="249" spans="1:32" ht="21.2" customHeight="1">
      <c r="A249" s="23" t="s">
        <v>317</v>
      </c>
      <c r="B249" s="67" t="str">
        <f>IFERROR(VLOOKUP($A249,'The List'!$B1:$AS730,3,FALSE)," ")</f>
        <v>D</v>
      </c>
      <c r="C249" s="69">
        <f>IFERROR(VLOOKUP($A249,'The List'!$B1:$AS730,4,FALSE)," ")</f>
        <v>84</v>
      </c>
      <c r="D249" s="34" t="str">
        <f>IFERROR(VLOOKUP($A249,'The List'!$B1:$AS730,5,FALSE)," ")</f>
        <v>SEA</v>
      </c>
      <c r="E249" s="34">
        <f>IFERROR(VLOOKUP($A249,'The List'!$B1:$AS730,6,FALSE)," ")</f>
        <v>30</v>
      </c>
      <c r="F249" s="49">
        <f>IFERROR(VLOOKUP($A249,'The List'!$B1:$AS730,8,FALSE)," ")</f>
        <v>-2.3205697347603951</v>
      </c>
      <c r="G249" s="49">
        <f>IFERROR(VLOOKUP($A249,'The List'!$B1:$AS730,10,FALSE)," ")</f>
        <v>-4.2623102783947058</v>
      </c>
      <c r="H249" s="38"/>
      <c r="I249" s="52">
        <f>IFERROR(VLOOKUP($A249,'The List'!$B1:$AS730,16,FALSE)," ")</f>
        <v>82</v>
      </c>
      <c r="J249" s="52">
        <f>IFERROR(VLOOKUP($A249,'The List'!$B1:$AS730,17,FALSE)," ")</f>
        <v>23.771965354420701</v>
      </c>
      <c r="K249" s="52">
        <f>IFERROR(VLOOKUP($A249,'The List'!$B1:$AS730,18,FALSE)," ")</f>
        <v>7.7870446176864103</v>
      </c>
      <c r="L249" s="52">
        <f>IFERROR(VLOOKUP($A249,'The List'!$B1:$AS730,19,FALSE)," ")</f>
        <v>20.549594809145926</v>
      </c>
      <c r="M249" s="52">
        <f>IFERROR(VLOOKUP($A249,'The List'!$B1:$AS730,20,FALSE)," ")</f>
        <v>28.336639426832335</v>
      </c>
      <c r="N249" s="52">
        <f>IFERROR(VLOOKUP($A249,'The List'!$B1:$AS730,21,FALSE)," ")</f>
        <v>135.53680821820984</v>
      </c>
      <c r="O249" s="52">
        <f>IFERROR(VLOOKUP($A249,'The List'!$B1:$AS730,22,FALSE)," ")</f>
        <v>3.6765062491977668E-2</v>
      </c>
      <c r="P249" s="52">
        <f>IFERROR(VLOOKUP($A249,'The List'!$B1:$AS730,23,FALSE)," ")</f>
        <v>0.32717653980063433</v>
      </c>
      <c r="Q249" s="52">
        <f>IFERROR(VLOOKUP($A249,'The List'!$B1:$AS730,24,FALSE)," ")</f>
        <v>-1.5030988182077796E-2</v>
      </c>
      <c r="R249" s="52">
        <f>IFERROR(VLOOKUP($A249,'The List'!$B1:$AS730,25,FALSE)," ")</f>
        <v>1.0142396336591225E-2</v>
      </c>
      <c r="S249" s="52">
        <f>IFERROR(VLOOKUP($A249,'The List'!$B1:$AS730,26,FALSE)," ")</f>
        <v>166.30737733077825</v>
      </c>
      <c r="T249" s="52">
        <f>IFERROR(VLOOKUP($A249,'The List'!$B1:$AS730,27,FALSE)," ")</f>
        <v>199.05119305284313</v>
      </c>
      <c r="U249" s="52">
        <f>IFERROR(VLOOKUP($A249,'The List'!$B1:$AS730,28,FALSE)," ")</f>
        <v>0.14879705270508839</v>
      </c>
      <c r="V249" s="52">
        <f>IFERROR(VLOOKUP($A249,'The List'!$B1:$AS730,29,FALSE)," ")</f>
        <v>51.079840760565375</v>
      </c>
      <c r="W249" s="52">
        <f>IFERROR(VLOOKUP($A249,'The List'!$B1:$AS730,30,FALSE)," ")</f>
        <v>1.0945545929190792</v>
      </c>
      <c r="X249" s="52">
        <f>IFERROR(VLOOKUP($A249,'The List'!$B1:$AS730,31,FALSE)," ")</f>
        <v>2.4922314980776305E-2</v>
      </c>
      <c r="Y249" s="52">
        <f>IFERROR(VLOOKUP($A249,'The List'!$B1:$AS730,32,FALSE)," ")</f>
        <v>0.13299774550748036</v>
      </c>
      <c r="Z249" s="52">
        <f>IFERROR(VLOOKUP($A249,'The List'!$B1:$AS730,33,FALSE)," ")</f>
        <v>0.15781601719073299</v>
      </c>
      <c r="AA249" s="54"/>
      <c r="AB249" s="59"/>
      <c r="AC249" s="59"/>
      <c r="AD249" s="59"/>
      <c r="AE249" s="59"/>
      <c r="AF249" s="59"/>
    </row>
    <row r="250" spans="1:32" ht="21.2" customHeight="1">
      <c r="A250" s="23"/>
      <c r="B250" s="67" t="str">
        <f>IFERROR(VLOOKUP($A250,'The List'!$B1:$AS730,3,FALSE)," ")</f>
        <v xml:space="preserve"> </v>
      </c>
      <c r="C250" s="69" t="str">
        <f>IFERROR(VLOOKUP($A250,'The List'!$B1:$AS730,4,FALSE)," ")</f>
        <v xml:space="preserve"> </v>
      </c>
      <c r="D250" s="34" t="str">
        <f>IFERROR(VLOOKUP($A250,'The List'!$B1:$AS730,5,FALSE)," ")</f>
        <v xml:space="preserve"> </v>
      </c>
      <c r="E250" s="34" t="str">
        <f>IFERROR(VLOOKUP($A250,'The List'!$B1:$AS730,6,FALSE)," ")</f>
        <v xml:space="preserve"> </v>
      </c>
      <c r="F250" s="49" t="str">
        <f>IFERROR(VLOOKUP($A250,'The List'!$B1:$AS730,8,FALSE)," ")</f>
        <v xml:space="preserve"> </v>
      </c>
      <c r="G250" s="49" t="str">
        <f>IFERROR(VLOOKUP($A250,'The List'!$B1:$AS730,10,FALSE)," ")</f>
        <v xml:space="preserve"> </v>
      </c>
      <c r="H250" s="38"/>
      <c r="I250" s="52" t="str">
        <f>IFERROR(VLOOKUP($A250,'The List'!$B1:$AS730,16,FALSE)," ")</f>
        <v xml:space="preserve"> </v>
      </c>
      <c r="J250" s="52" t="str">
        <f>IFERROR(VLOOKUP($A250,'The List'!$B1:$AS730,17,FALSE)," ")</f>
        <v xml:space="preserve"> </v>
      </c>
      <c r="K250" s="52" t="str">
        <f>IFERROR(VLOOKUP($A250,'The List'!$B1:$AS730,18,FALSE)," ")</f>
        <v xml:space="preserve"> </v>
      </c>
      <c r="L250" s="52" t="str">
        <f>IFERROR(VLOOKUP($A250,'The List'!$B1:$AS730,19,FALSE)," ")</f>
        <v xml:space="preserve"> </v>
      </c>
      <c r="M250" s="52" t="str">
        <f>IFERROR(VLOOKUP($A250,'The List'!$B1:$AS730,20,FALSE)," ")</f>
        <v xml:space="preserve"> </v>
      </c>
      <c r="N250" s="52" t="str">
        <f>IFERROR(VLOOKUP($A250,'The List'!$B1:$AS730,21,FALSE)," ")</f>
        <v xml:space="preserve"> </v>
      </c>
      <c r="O250" s="52" t="str">
        <f>IFERROR(VLOOKUP($A250,'The List'!$B1:$AS730,22,FALSE)," ")</f>
        <v xml:space="preserve"> </v>
      </c>
      <c r="P250" s="52" t="str">
        <f>IFERROR(VLOOKUP($A250,'The List'!$B1:$AS730,23,FALSE)," ")</f>
        <v xml:space="preserve"> </v>
      </c>
      <c r="Q250" s="52" t="str">
        <f>IFERROR(VLOOKUP($A250,'The List'!$B1:$AS730,24,FALSE)," ")</f>
        <v xml:space="preserve"> </v>
      </c>
      <c r="R250" s="52" t="str">
        <f>IFERROR(VLOOKUP($A250,'The List'!$B1:$AS730,25,FALSE)," ")</f>
        <v xml:space="preserve"> </v>
      </c>
      <c r="S250" s="52" t="str">
        <f>IFERROR(VLOOKUP($A250,'The List'!$B1:$AS730,26,FALSE)," ")</f>
        <v xml:space="preserve"> </v>
      </c>
      <c r="T250" s="52" t="str">
        <f>IFERROR(VLOOKUP($A250,'The List'!$B1:$AS730,27,FALSE)," ")</f>
        <v xml:space="preserve"> </v>
      </c>
      <c r="U250" s="52" t="str">
        <f>IFERROR(VLOOKUP($A250,'The List'!$B1:$AS730,28,FALSE)," ")</f>
        <v xml:space="preserve"> </v>
      </c>
      <c r="V250" s="52" t="str">
        <f>IFERROR(VLOOKUP($A250,'The List'!$B1:$AS730,29,FALSE)," ")</f>
        <v xml:space="preserve"> </v>
      </c>
      <c r="W250" s="52" t="str">
        <f>IFERROR(VLOOKUP($A250,'The List'!$B1:$AS730,30,FALSE)," ")</f>
        <v xml:space="preserve"> </v>
      </c>
      <c r="X250" s="52" t="str">
        <f>IFERROR(VLOOKUP($A250,'The List'!$B1:$AS730,31,FALSE)," ")</f>
        <v xml:space="preserve"> </v>
      </c>
      <c r="Y250" s="52" t="str">
        <f>IFERROR(VLOOKUP($A250,'The List'!$B1:$AS730,32,FALSE)," ")</f>
        <v xml:space="preserve"> </v>
      </c>
      <c r="Z250" s="52" t="str">
        <f>IFERROR(VLOOKUP($A250,'The List'!$B1:$AS730,33,FALSE)," ")</f>
        <v xml:space="preserve"> </v>
      </c>
      <c r="AA250" s="54"/>
      <c r="AB250" s="59"/>
      <c r="AC250" s="59"/>
      <c r="AD250" s="59"/>
      <c r="AE250" s="59"/>
      <c r="AF250" s="59"/>
    </row>
    <row r="251" spans="1:32" ht="21.2" customHeight="1">
      <c r="A251" s="23"/>
      <c r="B251" s="67" t="str">
        <f>IFERROR(VLOOKUP($A251,'The List'!$B1:$AS730,3,FALSE)," ")</f>
        <v xml:space="preserve"> </v>
      </c>
      <c r="C251" s="69" t="str">
        <f>IFERROR(VLOOKUP($A251,'The List'!$B1:$AS730,4,FALSE)," ")</f>
        <v xml:space="preserve"> </v>
      </c>
      <c r="D251" s="34" t="str">
        <f>IFERROR(VLOOKUP($A251,'The List'!$B1:$AS730,5,FALSE)," ")</f>
        <v xml:space="preserve"> </v>
      </c>
      <c r="E251" s="34" t="str">
        <f>IFERROR(VLOOKUP($A251,'The List'!$B1:$AS730,6,FALSE)," ")</f>
        <v xml:space="preserve"> </v>
      </c>
      <c r="F251" s="49" t="str">
        <f>IFERROR(VLOOKUP($A251,'The List'!$B1:$AS730,8,FALSE)," ")</f>
        <v xml:space="preserve"> </v>
      </c>
      <c r="G251" s="49" t="str">
        <f>IFERROR(VLOOKUP($A251,'The List'!$B1:$AS730,10,FALSE)," ")</f>
        <v xml:space="preserve"> </v>
      </c>
      <c r="H251" s="38"/>
      <c r="I251" s="52" t="str">
        <f>IFERROR(VLOOKUP($A251,'The List'!$B1:$AS730,16,FALSE)," ")</f>
        <v xml:space="preserve"> </v>
      </c>
      <c r="J251" s="52" t="str">
        <f>IFERROR(VLOOKUP($A251,'The List'!$B1:$AS730,17,FALSE)," ")</f>
        <v xml:space="preserve"> </v>
      </c>
      <c r="K251" s="52" t="str">
        <f>IFERROR(VLOOKUP($A251,'The List'!$B1:$AS730,18,FALSE)," ")</f>
        <v xml:space="preserve"> </v>
      </c>
      <c r="L251" s="52" t="str">
        <f>IFERROR(VLOOKUP($A251,'The List'!$B1:$AS730,19,FALSE)," ")</f>
        <v xml:space="preserve"> </v>
      </c>
      <c r="M251" s="52" t="str">
        <f>IFERROR(VLOOKUP($A251,'The List'!$B1:$AS730,20,FALSE)," ")</f>
        <v xml:space="preserve"> </v>
      </c>
      <c r="N251" s="52" t="str">
        <f>IFERROR(VLOOKUP($A251,'The List'!$B1:$AS730,21,FALSE)," ")</f>
        <v xml:space="preserve"> </v>
      </c>
      <c r="O251" s="52" t="str">
        <f>IFERROR(VLOOKUP($A251,'The List'!$B1:$AS730,22,FALSE)," ")</f>
        <v xml:space="preserve"> </v>
      </c>
      <c r="P251" s="52" t="str">
        <f>IFERROR(VLOOKUP($A251,'The List'!$B1:$AS730,23,FALSE)," ")</f>
        <v xml:space="preserve"> </v>
      </c>
      <c r="Q251" s="52" t="str">
        <f>IFERROR(VLOOKUP($A251,'The List'!$B1:$AS730,24,FALSE)," ")</f>
        <v xml:space="preserve"> </v>
      </c>
      <c r="R251" s="52" t="str">
        <f>IFERROR(VLOOKUP($A251,'The List'!$B1:$AS730,25,FALSE)," ")</f>
        <v xml:space="preserve"> </v>
      </c>
      <c r="S251" s="52" t="str">
        <f>IFERROR(VLOOKUP($A251,'The List'!$B1:$AS730,26,FALSE)," ")</f>
        <v xml:space="preserve"> </v>
      </c>
      <c r="T251" s="52" t="str">
        <f>IFERROR(VLOOKUP($A251,'The List'!$B1:$AS730,27,FALSE)," ")</f>
        <v xml:space="preserve"> </v>
      </c>
      <c r="U251" s="52" t="str">
        <f>IFERROR(VLOOKUP($A251,'The List'!$B1:$AS730,28,FALSE)," ")</f>
        <v xml:space="preserve"> </v>
      </c>
      <c r="V251" s="52" t="str">
        <f>IFERROR(VLOOKUP($A251,'The List'!$B1:$AS730,29,FALSE)," ")</f>
        <v xml:space="preserve"> </v>
      </c>
      <c r="W251" s="52" t="str">
        <f>IFERROR(VLOOKUP($A251,'The List'!$B1:$AS730,30,FALSE)," ")</f>
        <v xml:space="preserve"> </v>
      </c>
      <c r="X251" s="52" t="str">
        <f>IFERROR(VLOOKUP($A251,'The List'!$B1:$AS730,31,FALSE)," ")</f>
        <v xml:space="preserve"> </v>
      </c>
      <c r="Y251" s="52" t="str">
        <f>IFERROR(VLOOKUP($A251,'The List'!$B1:$AS730,32,FALSE)," ")</f>
        <v xml:space="preserve"> </v>
      </c>
      <c r="Z251" s="52" t="str">
        <f>IFERROR(VLOOKUP($A251,'The List'!$B1:$AS730,33,FALSE)," ")</f>
        <v xml:space="preserve"> </v>
      </c>
      <c r="AA251" s="54"/>
      <c r="AB251" s="59"/>
      <c r="AC251" s="59"/>
      <c r="AD251" s="59"/>
      <c r="AE251" s="59"/>
      <c r="AF251" s="59"/>
    </row>
    <row r="252" spans="1:32" ht="21.2" customHeight="1">
      <c r="A252" s="23"/>
      <c r="B252" s="67" t="str">
        <f>IFERROR(VLOOKUP($A252,'The List'!$B1:$AS730,3,FALSE)," ")</f>
        <v xml:space="preserve"> </v>
      </c>
      <c r="C252" s="69" t="str">
        <f>IFERROR(VLOOKUP($A252,'The List'!$B1:$AS730,4,FALSE)," ")</f>
        <v xml:space="preserve"> </v>
      </c>
      <c r="D252" s="34" t="str">
        <f>IFERROR(VLOOKUP($A252,'The List'!$B1:$AS730,5,FALSE)," ")</f>
        <v xml:space="preserve"> </v>
      </c>
      <c r="E252" s="34" t="str">
        <f>IFERROR(VLOOKUP($A252,'The List'!$B1:$AS730,6,FALSE)," ")</f>
        <v xml:space="preserve"> </v>
      </c>
      <c r="F252" s="49" t="str">
        <f>IFERROR(VLOOKUP($A252,'The List'!$B1:$AS730,8,FALSE)," ")</f>
        <v xml:space="preserve"> </v>
      </c>
      <c r="G252" s="49" t="str">
        <f>IFERROR(VLOOKUP($A252,'The List'!$B1:$AS730,10,FALSE)," ")</f>
        <v xml:space="preserve"> </v>
      </c>
      <c r="H252" s="38"/>
      <c r="I252" s="52" t="str">
        <f>IFERROR(VLOOKUP($A252,'The List'!$B1:$AS730,16,FALSE)," ")</f>
        <v xml:space="preserve"> </v>
      </c>
      <c r="J252" s="52" t="str">
        <f>IFERROR(VLOOKUP($A252,'The List'!$B1:$AS730,17,FALSE)," ")</f>
        <v xml:space="preserve"> </v>
      </c>
      <c r="K252" s="52" t="str">
        <f>IFERROR(VLOOKUP($A252,'The List'!$B1:$AS730,18,FALSE)," ")</f>
        <v xml:space="preserve"> </v>
      </c>
      <c r="L252" s="52" t="str">
        <f>IFERROR(VLOOKUP($A252,'The List'!$B1:$AS730,19,FALSE)," ")</f>
        <v xml:space="preserve"> </v>
      </c>
      <c r="M252" s="52" t="str">
        <f>IFERROR(VLOOKUP($A252,'The List'!$B1:$AS730,20,FALSE)," ")</f>
        <v xml:space="preserve"> </v>
      </c>
      <c r="N252" s="52" t="str">
        <f>IFERROR(VLOOKUP($A252,'The List'!$B1:$AS730,21,FALSE)," ")</f>
        <v xml:space="preserve"> </v>
      </c>
      <c r="O252" s="52" t="str">
        <f>IFERROR(VLOOKUP($A252,'The List'!$B1:$AS730,22,FALSE)," ")</f>
        <v xml:space="preserve"> </v>
      </c>
      <c r="P252" s="52" t="str">
        <f>IFERROR(VLOOKUP($A252,'The List'!$B1:$AS730,23,FALSE)," ")</f>
        <v xml:space="preserve"> </v>
      </c>
      <c r="Q252" s="52" t="str">
        <f>IFERROR(VLOOKUP($A252,'The List'!$B1:$AS730,24,FALSE)," ")</f>
        <v xml:space="preserve"> </v>
      </c>
      <c r="R252" s="52" t="str">
        <f>IFERROR(VLOOKUP($A252,'The List'!$B1:$AS730,25,FALSE)," ")</f>
        <v xml:space="preserve"> </v>
      </c>
      <c r="S252" s="52" t="str">
        <f>IFERROR(VLOOKUP($A252,'The List'!$B1:$AS730,26,FALSE)," ")</f>
        <v xml:space="preserve"> </v>
      </c>
      <c r="T252" s="52" t="str">
        <f>IFERROR(VLOOKUP($A252,'The List'!$B1:$AS730,27,FALSE)," ")</f>
        <v xml:space="preserve"> </v>
      </c>
      <c r="U252" s="52" t="str">
        <f>IFERROR(VLOOKUP($A252,'The List'!$B1:$AS730,28,FALSE)," ")</f>
        <v xml:space="preserve"> </v>
      </c>
      <c r="V252" s="52" t="str">
        <f>IFERROR(VLOOKUP($A252,'The List'!$B1:$AS730,29,FALSE)," ")</f>
        <v xml:space="preserve"> </v>
      </c>
      <c r="W252" s="52" t="str">
        <f>IFERROR(VLOOKUP($A252,'The List'!$B1:$AS730,30,FALSE)," ")</f>
        <v xml:space="preserve"> </v>
      </c>
      <c r="X252" s="52" t="str">
        <f>IFERROR(VLOOKUP($A252,'The List'!$B1:$AS730,31,FALSE)," ")</f>
        <v xml:space="preserve"> </v>
      </c>
      <c r="Y252" s="52" t="str">
        <f>IFERROR(VLOOKUP($A252,'The List'!$B1:$AS730,32,FALSE)," ")</f>
        <v xml:space="preserve"> </v>
      </c>
      <c r="Z252" s="52" t="str">
        <f>IFERROR(VLOOKUP($A252,'The List'!$B1:$AS730,33,FALSE)," ")</f>
        <v xml:space="preserve"> </v>
      </c>
      <c r="AA252" s="54"/>
      <c r="AB252" s="59"/>
      <c r="AC252" s="59"/>
      <c r="AD252" s="59"/>
      <c r="AE252" s="59"/>
      <c r="AF252" s="59"/>
    </row>
    <row r="253" spans="1:32" ht="21.2" customHeight="1">
      <c r="A253" s="71"/>
      <c r="B253" s="72" t="str">
        <f>IFERROR(VLOOKUP($A253,'The List'!$B1:$AS730,3,FALSE)," ")</f>
        <v xml:space="preserve"> </v>
      </c>
      <c r="C253" s="73" t="str">
        <f>IFERROR(VLOOKUP($A253,'The List'!$B1:$AS730,4,FALSE)," ")</f>
        <v xml:space="preserve"> </v>
      </c>
      <c r="D253" s="74" t="str">
        <f>IFERROR(VLOOKUP($A253,'The List'!$B1:$AS730,5,FALSE)," ")</f>
        <v xml:space="preserve"> </v>
      </c>
      <c r="E253" s="74" t="str">
        <f>IFERROR(VLOOKUP($A253,'The List'!$B1:$AS730,6,FALSE)," ")</f>
        <v xml:space="preserve"> </v>
      </c>
      <c r="F253" s="75" t="str">
        <f>IFERROR(VLOOKUP($A253,'The List'!$B1:$AS730,8,FALSE)," ")</f>
        <v xml:space="preserve"> </v>
      </c>
      <c r="G253" s="75" t="str">
        <f>IFERROR(VLOOKUP($A253,'The List'!$B1:$AS730,10,FALSE)," ")</f>
        <v xml:space="preserve"> </v>
      </c>
      <c r="H253" s="76"/>
      <c r="I253" s="77" t="str">
        <f>IFERROR(VLOOKUP($A253,'The List'!$B1:$AS730,16,FALSE)," ")</f>
        <v xml:space="preserve"> </v>
      </c>
      <c r="J253" s="77" t="str">
        <f>IFERROR(VLOOKUP($A253,'The List'!$B1:$AS730,17,FALSE)," ")</f>
        <v xml:space="preserve"> </v>
      </c>
      <c r="K253" s="77" t="str">
        <f>IFERROR(VLOOKUP($A253,'The List'!$B1:$AS730,18,FALSE)," ")</f>
        <v xml:space="preserve"> </v>
      </c>
      <c r="L253" s="77" t="str">
        <f>IFERROR(VLOOKUP($A253,'The List'!$B1:$AS730,19,FALSE)," ")</f>
        <v xml:space="preserve"> </v>
      </c>
      <c r="M253" s="77" t="str">
        <f>IFERROR(VLOOKUP($A253,'The List'!$B1:$AS730,20,FALSE)," ")</f>
        <v xml:space="preserve"> </v>
      </c>
      <c r="N253" s="77" t="str">
        <f>IFERROR(VLOOKUP($A253,'The List'!$B1:$AS730,21,FALSE)," ")</f>
        <v xml:space="preserve"> </v>
      </c>
      <c r="O253" s="77" t="str">
        <f>IFERROR(VLOOKUP($A253,'The List'!$B1:$AS730,22,FALSE)," ")</f>
        <v xml:space="preserve"> </v>
      </c>
      <c r="P253" s="77" t="str">
        <f>IFERROR(VLOOKUP($A253,'The List'!$B1:$AS730,23,FALSE)," ")</f>
        <v xml:space="preserve"> </v>
      </c>
      <c r="Q253" s="77" t="str">
        <f>IFERROR(VLOOKUP($A253,'The List'!$B1:$AS730,24,FALSE)," ")</f>
        <v xml:space="preserve"> </v>
      </c>
      <c r="R253" s="77" t="str">
        <f>IFERROR(VLOOKUP($A253,'The List'!$B1:$AS730,25,FALSE)," ")</f>
        <v xml:space="preserve"> </v>
      </c>
      <c r="S253" s="77" t="str">
        <f>IFERROR(VLOOKUP($A253,'The List'!$B1:$AS730,26,FALSE)," ")</f>
        <v xml:space="preserve"> </v>
      </c>
      <c r="T253" s="77" t="str">
        <f>IFERROR(VLOOKUP($A253,'The List'!$B1:$AS730,27,FALSE)," ")</f>
        <v xml:space="preserve"> </v>
      </c>
      <c r="U253" s="77" t="str">
        <f>IFERROR(VLOOKUP($A253,'The List'!$B1:$AS730,28,FALSE)," ")</f>
        <v xml:space="preserve"> </v>
      </c>
      <c r="V253" s="77" t="str">
        <f>IFERROR(VLOOKUP($A253,'The List'!$B1:$AS730,29,FALSE)," ")</f>
        <v xml:space="preserve"> </v>
      </c>
      <c r="W253" s="77" t="str">
        <f>IFERROR(VLOOKUP($A253,'The List'!$B1:$AS730,30,FALSE)," ")</f>
        <v xml:space="preserve"> </v>
      </c>
      <c r="X253" s="77" t="str">
        <f>IFERROR(VLOOKUP($A253,'The List'!$B1:$AS730,31,FALSE)," ")</f>
        <v xml:space="preserve"> </v>
      </c>
      <c r="Y253" s="77" t="str">
        <f>IFERROR(VLOOKUP($A253,'The List'!$B1:$AS730,32,FALSE)," ")</f>
        <v xml:space="preserve"> </v>
      </c>
      <c r="Z253" s="77" t="str">
        <f>IFERROR(VLOOKUP($A253,'The List'!$B1:$AS730,33,FALSE)," ")</f>
        <v xml:space="preserve"> </v>
      </c>
      <c r="AA253" s="54"/>
      <c r="AB253" s="59"/>
      <c r="AC253" s="59"/>
      <c r="AD253" s="59"/>
      <c r="AE253" s="59"/>
      <c r="AF253" s="59"/>
    </row>
    <row r="254" spans="1:32" ht="21.2" customHeight="1">
      <c r="A254" s="78"/>
      <c r="B254" s="79"/>
      <c r="C254" s="80"/>
      <c r="D254" s="81"/>
      <c r="E254" s="116">
        <f>IFERROR(AVERAGE(E234:E253)," ")</f>
        <v>28.642857142857142</v>
      </c>
      <c r="F254" s="83">
        <f>SUM(F234:F253)</f>
        <v>79.154172445553712</v>
      </c>
      <c r="G254" s="83">
        <f>SUM(G234:G253)</f>
        <v>7.9830447350102567</v>
      </c>
      <c r="H254" s="84"/>
      <c r="I254" s="85">
        <f>SUM(I234:I253)</f>
        <v>1148</v>
      </c>
      <c r="J254" s="84">
        <f>AVERAGE(J234:J253)</f>
        <v>20.072440417382193</v>
      </c>
      <c r="K254" s="85">
        <f t="shared" ref="K254:Y254" si="16">SUM(K234:K253)</f>
        <v>343.81193733556017</v>
      </c>
      <c r="L254" s="85">
        <f t="shared" si="16"/>
        <v>564.00025867192107</v>
      </c>
      <c r="M254" s="85">
        <f t="shared" si="16"/>
        <v>907.81219600748113</v>
      </c>
      <c r="N254" s="85">
        <f t="shared" si="16"/>
        <v>2953.6426039045323</v>
      </c>
      <c r="O254" s="85">
        <f t="shared" si="16"/>
        <v>97.02419275968046</v>
      </c>
      <c r="P254" s="85">
        <f t="shared" si="16"/>
        <v>292.32269675810295</v>
      </c>
      <c r="Q254" s="85">
        <f t="shared" si="16"/>
        <v>10.301602077901146</v>
      </c>
      <c r="R254" s="85">
        <f t="shared" si="16"/>
        <v>16.532118051351997</v>
      </c>
      <c r="S254" s="85">
        <f t="shared" si="16"/>
        <v>908.94875530817149</v>
      </c>
      <c r="T254" s="85">
        <f t="shared" si="16"/>
        <v>1410.0845281133033</v>
      </c>
      <c r="U254" s="85">
        <f t="shared" si="16"/>
        <v>46.217570179755263</v>
      </c>
      <c r="V254" s="85">
        <f t="shared" si="16"/>
        <v>534.5398684820583</v>
      </c>
      <c r="W254" s="85">
        <f t="shared" si="16"/>
        <v>53.396537611276308</v>
      </c>
      <c r="X254" s="85">
        <f t="shared" si="16"/>
        <v>4186.5525232396667</v>
      </c>
      <c r="Y254" s="85">
        <f t="shared" si="16"/>
        <v>3666.5053069362034</v>
      </c>
      <c r="Z254" s="86">
        <f>IFERROR(X254/(X254+Y254),0)</f>
        <v>0.53311112865520671</v>
      </c>
      <c r="AA254" s="54"/>
      <c r="AB254" s="87"/>
      <c r="AC254" s="87"/>
      <c r="AD254" s="87"/>
      <c r="AE254" s="87"/>
      <c r="AF254" s="87"/>
    </row>
    <row r="255" spans="1:32" ht="21.2" customHeight="1">
      <c r="A255" s="88"/>
      <c r="B255" s="89"/>
      <c r="C255" s="90"/>
      <c r="D255" s="11"/>
      <c r="E255" s="11"/>
      <c r="F255" s="91"/>
      <c r="G255" s="92"/>
      <c r="H255" s="93"/>
      <c r="I255" s="9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9"/>
      <c r="AC255" s="59"/>
      <c r="AD255" s="59"/>
      <c r="AE255" s="59"/>
      <c r="AF255" s="59"/>
    </row>
    <row r="256" spans="1:32" ht="21.2" customHeight="1">
      <c r="A256" s="24" t="s">
        <v>64</v>
      </c>
      <c r="B256" s="231" t="s">
        <v>66</v>
      </c>
      <c r="C256" s="223"/>
      <c r="D256" s="95" t="s">
        <v>67</v>
      </c>
      <c r="E256" s="95" t="s">
        <v>68</v>
      </c>
      <c r="F256" s="96" t="s">
        <v>70</v>
      </c>
      <c r="G256" s="96" t="s">
        <v>72</v>
      </c>
      <c r="H256" s="97"/>
      <c r="I256" s="98" t="s">
        <v>77</v>
      </c>
      <c r="J256" s="98" t="s">
        <v>95</v>
      </c>
      <c r="K256" s="98" t="s">
        <v>96</v>
      </c>
      <c r="L256" s="98" t="s">
        <v>97</v>
      </c>
      <c r="M256" s="98" t="s">
        <v>98</v>
      </c>
      <c r="N256" s="98" t="s">
        <v>99</v>
      </c>
      <c r="O256" s="98" t="s">
        <v>100</v>
      </c>
      <c r="P256" s="98" t="s">
        <v>101</v>
      </c>
      <c r="Q256" s="98" t="s">
        <v>102</v>
      </c>
      <c r="R256" s="54"/>
      <c r="S256" s="54"/>
      <c r="T256" s="54"/>
      <c r="U256" s="231" t="s">
        <v>839</v>
      </c>
      <c r="V256" s="232"/>
      <c r="W256" s="232"/>
      <c r="X256" s="231" t="s">
        <v>840</v>
      </c>
      <c r="Y256" s="232"/>
      <c r="Z256" s="232"/>
      <c r="AA256" s="54"/>
      <c r="AB256" s="54"/>
      <c r="AC256" s="54"/>
      <c r="AD256" s="54"/>
      <c r="AE256" s="54"/>
      <c r="AF256" s="54"/>
    </row>
    <row r="257" spans="1:32" ht="21.2" customHeight="1">
      <c r="A257" s="117" t="s">
        <v>282</v>
      </c>
      <c r="B257" s="100" t="str">
        <f>IFERROR(VLOOKUP($A257,'The List'!$B1:$AS730,3,FALSE)," ")</f>
        <v>G</v>
      </c>
      <c r="C257" s="118">
        <f>IFERROR(VLOOKUP($A257,'The List'!$B1:$AS730,4,FALSE)," ")</f>
        <v>24</v>
      </c>
      <c r="D257" s="102" t="str">
        <f>IFERROR(VLOOKUP($A257,'The List'!$B1:$AS730,5,FALSE)," ")</f>
        <v>TBL</v>
      </c>
      <c r="E257" s="102">
        <f>IFERROR(VLOOKUP($A257,'The List'!$B1:$AS730,6,FALSE)," ")</f>
        <v>29</v>
      </c>
      <c r="F257" s="119">
        <f>IFERROR(VLOOKUP($A257,'The List'!$B1:$AS730,8,FALSE)," ")</f>
        <v>1.2580547883083208</v>
      </c>
      <c r="G257" s="119">
        <f>IFERROR(VLOOKUP($A257,'The List'!$B1:$AS730,10,FALSE)," ")</f>
        <v>-0.44617426288197071</v>
      </c>
      <c r="H257" s="105"/>
      <c r="I257" s="120">
        <f>IFERROR(VLOOKUP($A257,'The List'!$B1:$AS730,35,FALSE)," ")</f>
        <v>42</v>
      </c>
      <c r="J257" s="120">
        <f>IFERROR(VLOOKUP($A257,'The List'!$B1:$AS730,36,FALSE)," ")</f>
        <v>23.905597675340513</v>
      </c>
      <c r="K257" s="120">
        <f>IFERROR(VLOOKUP($A257,'The List'!$B1:$AS730,37,FALSE)," ")</f>
        <v>12.844402324659487</v>
      </c>
      <c r="L257" s="120">
        <f>IFERROR(VLOOKUP($A257,'The List'!$B1:$AS730,38,FALSE)," ")</f>
        <v>5.25</v>
      </c>
      <c r="M257" s="120">
        <f>IFERROR(VLOOKUP($A257,'The List'!$B1:$AS730,39,FALSE)," ")</f>
        <v>2.9797691948554195</v>
      </c>
      <c r="N257" s="120">
        <f>IFERROR(VLOOKUP($A257,'The List'!$B1:$AS730,40,FALSE)," ")</f>
        <v>1210.3401584572032</v>
      </c>
      <c r="O257" s="120">
        <f>IFERROR(VLOOKUP($A257,'The List'!$B1:$AS730,41,FALSE)," ")</f>
        <v>109.86689535529553</v>
      </c>
      <c r="P257" s="120">
        <f>IFERROR(VLOOKUP($A257,'The List'!$B1:$AS730,42,FALSE)," ")</f>
        <v>0.91678055723303287</v>
      </c>
      <c r="Q257" s="120">
        <f>IFERROR(VLOOKUP($A257,'The List'!$B1:$AS730,43,FALSE)," ")</f>
        <v>2.6158784608403698</v>
      </c>
      <c r="R257" s="54"/>
      <c r="S257" s="54"/>
      <c r="T257" s="109" t="str">
        <f>A204</f>
        <v>Mount Mustangs</v>
      </c>
      <c r="U257" s="230">
        <f>F254+F260</f>
        <v>82.198716003983364</v>
      </c>
      <c r="V257" s="223"/>
      <c r="W257" s="223"/>
      <c r="X257" s="230">
        <f>G260+G254</f>
        <v>7.6191301910593285</v>
      </c>
      <c r="Y257" s="223"/>
      <c r="Z257" s="223"/>
      <c r="AA257" s="54"/>
      <c r="AB257" s="54"/>
      <c r="AC257" s="54"/>
      <c r="AD257" s="54"/>
      <c r="AE257" s="54"/>
      <c r="AF257" s="54"/>
    </row>
    <row r="258" spans="1:32" ht="21.2" customHeight="1">
      <c r="A258" s="23" t="s">
        <v>252</v>
      </c>
      <c r="B258" s="110" t="str">
        <f>IFERROR(VLOOKUP($A258,'The List'!$B1:$AS730,3,FALSE)," ")</f>
        <v>G</v>
      </c>
      <c r="C258" s="111">
        <f>IFERROR(VLOOKUP($A258,'The List'!$B1:$AS730,4,FALSE)," ")</f>
        <v>17</v>
      </c>
      <c r="D258" s="34" t="str">
        <f>IFERROR(VLOOKUP($A258,'The List'!$B1:$AS730,5,FALSE)," ")</f>
        <v>WSH</v>
      </c>
      <c r="E258" s="34">
        <f>IFERROR(VLOOKUP($A258,'The List'!$B1:$AS730,6,FALSE)," ")</f>
        <v>33</v>
      </c>
      <c r="F258" s="49">
        <f>IFERROR(VLOOKUP($A258,'The List'!$B1:$AS730,8,FALSE)," ")</f>
        <v>1.7864887701213337</v>
      </c>
      <c r="G258" s="49">
        <f>IFERROR(VLOOKUP($A258,'The List'!$B1:$AS730,10,FALSE)," ")</f>
        <v>8.2259718931042114E-2</v>
      </c>
      <c r="H258" s="38"/>
      <c r="I258" s="52">
        <f>IFERROR(VLOOKUP($A258,'The List'!$B1:$AS730,35,FALSE)," ")</f>
        <v>52</v>
      </c>
      <c r="J258" s="52">
        <f>IFERROR(VLOOKUP($A258,'The List'!$B1:$AS730,36,FALSE)," ")</f>
        <v>22.631286564852651</v>
      </c>
      <c r="K258" s="52">
        <f>IFERROR(VLOOKUP($A258,'The List'!$B1:$AS730,37,FALSE)," ")</f>
        <v>22.868713435147349</v>
      </c>
      <c r="L258" s="52">
        <f>IFERROR(VLOOKUP($A258,'The List'!$B1:$AS730,38,FALSE)," ")</f>
        <v>6.5</v>
      </c>
      <c r="M258" s="52">
        <f>IFERROR(VLOOKUP($A258,'The List'!$B1:$AS730,39,FALSE)," ")</f>
        <v>2.880119225902225</v>
      </c>
      <c r="N258" s="52">
        <f>IFERROR(VLOOKUP($A258,'The List'!$B1:$AS730,40,FALSE)," ")</f>
        <v>1509.3542477547603</v>
      </c>
      <c r="O258" s="52">
        <f>IFERROR(VLOOKUP($A258,'The List'!$B1:$AS730,41,FALSE)," ")</f>
        <v>148.4489435048952</v>
      </c>
      <c r="P258" s="52">
        <f>IFERROR(VLOOKUP($A258,'The List'!$B1:$AS730,42,FALSE)," ")</f>
        <v>0.91045442288472211</v>
      </c>
      <c r="Q258" s="52">
        <f>IFERROR(VLOOKUP($A258,'The List'!$B1:$AS730,43,FALSE)," ")</f>
        <v>2.8547873750941384</v>
      </c>
      <c r="R258" s="54"/>
      <c r="S258" s="54"/>
      <c r="T258" s="54"/>
      <c r="U258" s="223"/>
      <c r="V258" s="223"/>
      <c r="W258" s="223"/>
      <c r="X258" s="223"/>
      <c r="Y258" s="223"/>
      <c r="Z258" s="223"/>
      <c r="AA258" s="54"/>
      <c r="AB258" s="54"/>
      <c r="AC258" s="54"/>
      <c r="AD258" s="54"/>
      <c r="AE258" s="54"/>
      <c r="AF258" s="54"/>
    </row>
    <row r="259" spans="1:32" ht="21.2" customHeight="1">
      <c r="A259" s="71"/>
      <c r="B259" s="112" t="str">
        <f>IFERROR(VLOOKUP($A259,'The List'!$B1:$AS730,3,FALSE)," ")</f>
        <v xml:space="preserve"> </v>
      </c>
      <c r="C259" s="113" t="str">
        <f>IFERROR(VLOOKUP($A259,'The List'!$B1:$AS730,4,FALSE)," ")</f>
        <v xml:space="preserve"> </v>
      </c>
      <c r="D259" s="74" t="str">
        <f>IFERROR(VLOOKUP($A259,'The List'!$B1:$AS730,5,FALSE)," ")</f>
        <v xml:space="preserve"> </v>
      </c>
      <c r="E259" s="74" t="str">
        <f>IFERROR(VLOOKUP($A259,'The List'!$B1:$AS730,6,FALSE)," ")</f>
        <v xml:space="preserve"> </v>
      </c>
      <c r="F259" s="75" t="str">
        <f>IFERROR(VLOOKUP($A259,'The List'!$B1:$AS730,8,FALSE)," ")</f>
        <v xml:space="preserve"> </v>
      </c>
      <c r="G259" s="75" t="str">
        <f>IFERROR(VLOOKUP($A259,'The List'!$B1:$AS730,10,FALSE)," ")</f>
        <v xml:space="preserve"> </v>
      </c>
      <c r="H259" s="76"/>
      <c r="I259" s="77" t="str">
        <f>IFERROR(VLOOKUP($A259,'The List'!$B1:$AS730,35,FALSE)," ")</f>
        <v xml:space="preserve"> </v>
      </c>
      <c r="J259" s="77" t="str">
        <f>IFERROR(VLOOKUP($A259,'The List'!$B1:$AS730,36,FALSE)," ")</f>
        <v xml:space="preserve"> </v>
      </c>
      <c r="K259" s="77" t="str">
        <f>IFERROR(VLOOKUP($A259,'The List'!$B1:$AS730,37,FALSE)," ")</f>
        <v xml:space="preserve"> </v>
      </c>
      <c r="L259" s="77" t="str">
        <f>IFERROR(VLOOKUP($A259,'The List'!$B1:$AS730,38,FALSE)," ")</f>
        <v xml:space="preserve"> </v>
      </c>
      <c r="M259" s="77" t="str">
        <f>IFERROR(VLOOKUP($A259,'The List'!$B1:$AS730,39,FALSE)," ")</f>
        <v xml:space="preserve"> </v>
      </c>
      <c r="N259" s="77" t="str">
        <f>IFERROR(VLOOKUP($A259,'The List'!$B1:$AS730,40,FALSE)," ")</f>
        <v xml:space="preserve"> </v>
      </c>
      <c r="O259" s="77" t="str">
        <f>IFERROR(VLOOKUP($A259,'The List'!$B1:$AS730,41,FALSE)," ")</f>
        <v xml:space="preserve"> </v>
      </c>
      <c r="P259" s="77" t="str">
        <f>IFERROR(VLOOKUP($A259,'The List'!$B1:$AS730,42,FALSE)," ")</f>
        <v xml:space="preserve"> </v>
      </c>
      <c r="Q259" s="77" t="str">
        <f>IFERROR(VLOOKUP($A259,'The List'!$B1:$AS730,43,FALSE)," ")</f>
        <v xml:space="preserve"> </v>
      </c>
      <c r="R259" s="54"/>
      <c r="S259" s="54"/>
      <c r="T259" s="54"/>
      <c r="U259" s="223"/>
      <c r="V259" s="223"/>
      <c r="W259" s="223"/>
      <c r="X259" s="223"/>
      <c r="Y259" s="223"/>
      <c r="Z259" s="223"/>
      <c r="AA259" s="54"/>
      <c r="AB259" s="54"/>
      <c r="AC259" s="54"/>
      <c r="AD259" s="54"/>
      <c r="AE259" s="54"/>
      <c r="AF259" s="54"/>
    </row>
    <row r="260" spans="1:32" ht="21.2" customHeight="1">
      <c r="A260" s="78"/>
      <c r="B260" s="79"/>
      <c r="C260" s="80"/>
      <c r="D260" s="81"/>
      <c r="E260" s="116">
        <f>IFERROR(AVERAGE(E257:E259)," ")</f>
        <v>31</v>
      </c>
      <c r="F260" s="83">
        <f>SUM(F257:F259)</f>
        <v>3.0445435584296545</v>
      </c>
      <c r="G260" s="83">
        <f>SUM(G257:G259)</f>
        <v>-0.36391454395092859</v>
      </c>
      <c r="H260" s="84"/>
      <c r="I260" s="85">
        <f t="shared" ref="I260:O260" si="17">SUM(I257:I259)</f>
        <v>94</v>
      </c>
      <c r="J260" s="84">
        <f t="shared" si="17"/>
        <v>46.53688424019316</v>
      </c>
      <c r="K260" s="85">
        <f t="shared" si="17"/>
        <v>35.71311575980684</v>
      </c>
      <c r="L260" s="85">
        <f t="shared" si="17"/>
        <v>11.75</v>
      </c>
      <c r="M260" s="85">
        <f t="shared" si="17"/>
        <v>5.8598884207576445</v>
      </c>
      <c r="N260" s="85">
        <f t="shared" si="17"/>
        <v>2719.6944062119637</v>
      </c>
      <c r="O260" s="85">
        <f t="shared" si="17"/>
        <v>258.31583886019075</v>
      </c>
      <c r="P260" s="114">
        <f>1-(O260/(N260+O260))</f>
        <v>0.91325891531513792</v>
      </c>
      <c r="Q260" s="115">
        <f>O260/I260</f>
        <v>2.7480408389381994</v>
      </c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</row>
    <row r="261" spans="1:32" ht="70.7" customHeight="1">
      <c r="A261" s="88"/>
      <c r="B261" s="89"/>
      <c r="C261" s="90"/>
      <c r="D261" s="11"/>
      <c r="E261" s="11"/>
      <c r="F261" s="91"/>
      <c r="G261" s="92"/>
      <c r="H261" s="93"/>
      <c r="I261" s="9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9"/>
      <c r="AB261" s="59"/>
      <c r="AC261" s="59"/>
      <c r="AD261" s="59"/>
      <c r="AE261" s="59"/>
      <c r="AF261" s="59"/>
    </row>
    <row r="262" spans="1:32" ht="21.2" customHeight="1">
      <c r="A262" s="25" t="s">
        <v>909</v>
      </c>
      <c r="B262" s="229" t="s">
        <v>66</v>
      </c>
      <c r="C262" s="221"/>
      <c r="D262" s="26" t="s">
        <v>67</v>
      </c>
      <c r="E262" s="26" t="s">
        <v>68</v>
      </c>
      <c r="F262" s="27" t="s">
        <v>70</v>
      </c>
      <c r="G262" s="27" t="s">
        <v>72</v>
      </c>
      <c r="H262" s="28"/>
      <c r="I262" s="30" t="s">
        <v>77</v>
      </c>
      <c r="J262" s="30" t="s">
        <v>78</v>
      </c>
      <c r="K262" s="30" t="s">
        <v>79</v>
      </c>
      <c r="L262" s="30" t="s">
        <v>80</v>
      </c>
      <c r="M262" s="30" t="s">
        <v>81</v>
      </c>
      <c r="N262" s="30" t="s">
        <v>82</v>
      </c>
      <c r="O262" s="30" t="s">
        <v>83</v>
      </c>
      <c r="P262" s="30" t="s">
        <v>84</v>
      </c>
      <c r="Q262" s="30" t="s">
        <v>85</v>
      </c>
      <c r="R262" s="30" t="s">
        <v>86</v>
      </c>
      <c r="S262" s="30" t="s">
        <v>87</v>
      </c>
      <c r="T262" s="30" t="s">
        <v>88</v>
      </c>
      <c r="U262" s="30" t="s">
        <v>89</v>
      </c>
      <c r="V262" s="30" t="s">
        <v>90</v>
      </c>
      <c r="W262" s="30" t="s">
        <v>91</v>
      </c>
      <c r="X262" s="30" t="s">
        <v>92</v>
      </c>
      <c r="Y262" s="30" t="s">
        <v>93</v>
      </c>
      <c r="Z262" s="30" t="s">
        <v>94</v>
      </c>
      <c r="AA262" s="54"/>
      <c r="AB262" s="55"/>
      <c r="AC262" s="55"/>
      <c r="AD262" s="55"/>
      <c r="AE262" s="55"/>
      <c r="AF262" s="55"/>
    </row>
    <row r="263" spans="1:32" ht="21.2" customHeight="1">
      <c r="A263" s="23" t="s">
        <v>103</v>
      </c>
      <c r="B263" s="56" t="str">
        <f>IFERROR(VLOOKUP($A263,'The List'!$B1:$AS730,3,FALSE)," ")</f>
        <v>C</v>
      </c>
      <c r="C263" s="60">
        <f>IFERROR(VLOOKUP($A263,'The List'!$B1:$AS730,4,FALSE)," ")</f>
        <v>1</v>
      </c>
      <c r="D263" s="34" t="str">
        <f>IFERROR(VLOOKUP($A263,'The List'!$B1:$AS730,5,FALSE)," ")</f>
        <v>EDM</v>
      </c>
      <c r="E263" s="34">
        <f>IFERROR(VLOOKUP($A263,'The List'!$B1:$AS730,6,FALSE)," ")</f>
        <v>26</v>
      </c>
      <c r="F263" s="49">
        <f>IFERROR(VLOOKUP($A263,'The List'!$B1:$AS730,8,FALSE)," ")</f>
        <v>21.26693059622556</v>
      </c>
      <c r="G263" s="49">
        <f>IFERROR(VLOOKUP($A263,'The List'!$B1:$AS730,10,FALSE)," ")</f>
        <v>14.929879872018958</v>
      </c>
      <c r="H263" s="38"/>
      <c r="I263" s="52">
        <f>IFERROR(VLOOKUP($A263,'The List'!$B1:$AS730,16,FALSE)," ")</f>
        <v>82</v>
      </c>
      <c r="J263" s="52">
        <f>IFERROR(VLOOKUP($A263,'The List'!$B1:$AS730,17,FALSE)," ")</f>
        <v>22.290784001524401</v>
      </c>
      <c r="K263" s="52">
        <f>IFERROR(VLOOKUP($A263,'The List'!$B1:$AS730,18,FALSE)," ")</f>
        <v>54.505642928069591</v>
      </c>
      <c r="L263" s="52">
        <f>IFERROR(VLOOKUP($A263,'The List'!$B1:$AS730,19,FALSE)," ")</f>
        <v>87.49715841053613</v>
      </c>
      <c r="M263" s="52">
        <f>IFERROR(VLOOKUP($A263,'The List'!$B1:$AS730,20,FALSE)," ")</f>
        <v>142.00280133860571</v>
      </c>
      <c r="N263" s="52">
        <f>IFERROR(VLOOKUP($A263,'The List'!$B1:$AS730,21,FALSE)," ")</f>
        <v>334.38161399802379</v>
      </c>
      <c r="O263" s="52">
        <f>IFERROR(VLOOKUP($A263,'The List'!$B1:$AS730,22,FALSE)," ")</f>
        <v>16.237603075138008</v>
      </c>
      <c r="P263" s="52">
        <f>IFERROR(VLOOKUP($A263,'The List'!$B1:$AS730,23,FALSE)," ")</f>
        <v>59.243254422710805</v>
      </c>
      <c r="Q263" s="52">
        <f>IFERROR(VLOOKUP($A263,'The List'!$B1:$AS730,24,FALSE)," ")</f>
        <v>1.9208153563207988</v>
      </c>
      <c r="R263" s="52">
        <f>IFERROR(VLOOKUP($A263,'The List'!$B1:$AS730,25,FALSE)," ")</f>
        <v>4.1986695898356041</v>
      </c>
      <c r="S263" s="52">
        <f>IFERROR(VLOOKUP($A263,'The List'!$B1:$AS730,26,FALSE)," ")</f>
        <v>36.833005957746629</v>
      </c>
      <c r="T263" s="52">
        <f>IFERROR(VLOOKUP($A263,'The List'!$B1:$AS730,27,FALSE)," ")</f>
        <v>83.075500854608379</v>
      </c>
      <c r="U263" s="52">
        <f>IFERROR(VLOOKUP($A263,'The List'!$B1:$AS730,28,FALSE)," ")</f>
        <v>11.005057178823307</v>
      </c>
      <c r="V263" s="52">
        <f>IFERROR(VLOOKUP($A263,'The List'!$B1:$AS730,29,FALSE)," ")</f>
        <v>36.216017924291862</v>
      </c>
      <c r="W263" s="52">
        <f>IFERROR(VLOOKUP($A263,'The List'!$B1:$AS730,30,FALSE)," ")</f>
        <v>8.6276581234828456</v>
      </c>
      <c r="X263" s="52">
        <f>IFERROR(VLOOKUP($A263,'The List'!$B1:$AS730,31,FALSE)," ")</f>
        <v>526.80581738492037</v>
      </c>
      <c r="Y263" s="52">
        <f>IFERROR(VLOOKUP($A263,'The List'!$B1:$AS730,32,FALSE)," ")</f>
        <v>484.27545583289475</v>
      </c>
      <c r="Z263" s="52">
        <f>IFERROR(VLOOKUP($A263,'The List'!$B1:$AS730,33,FALSE)," ")</f>
        <v>0.521032118128679</v>
      </c>
      <c r="AA263" s="54"/>
      <c r="AB263" s="59"/>
      <c r="AC263" s="59"/>
      <c r="AD263" s="59"/>
      <c r="AE263" s="59"/>
      <c r="AF263" s="59"/>
    </row>
    <row r="264" spans="1:32" ht="21.2" customHeight="1">
      <c r="A264" s="23" t="s">
        <v>116</v>
      </c>
      <c r="B264" s="56" t="str">
        <f>IFERROR(VLOOKUP($A264,'The List'!$B1:$AS730,3,FALSE)," ")</f>
        <v>C,RW</v>
      </c>
      <c r="C264" s="60">
        <f>IFERROR(VLOOKUP($A264,'The List'!$B1:$AS730,4,FALSE)," ")</f>
        <v>5</v>
      </c>
      <c r="D264" s="34" t="str">
        <f>IFERROR(VLOOKUP($A264,'The List'!$B1:$AS730,5,FALSE)," ")</f>
        <v>BUF</v>
      </c>
      <c r="E264" s="34">
        <f>IFERROR(VLOOKUP($A264,'The List'!$B1:$AS730,6,FALSE)," ")</f>
        <v>25</v>
      </c>
      <c r="F264" s="49">
        <f>IFERROR(VLOOKUP($A264,'The List'!$B1:$AS730,8,FALSE)," ")</f>
        <v>12.847352372708929</v>
      </c>
      <c r="G264" s="49">
        <f>IFERROR(VLOOKUP($A264,'The List'!$B1:$AS730,10,FALSE)," ")</f>
        <v>6.5670936536978486</v>
      </c>
      <c r="H264" s="38"/>
      <c r="I264" s="52">
        <f>IFERROR(VLOOKUP($A264,'The List'!$B1:$AS730,16,FALSE)," ")</f>
        <v>82</v>
      </c>
      <c r="J264" s="52">
        <f>IFERROR(VLOOKUP($A264,'The List'!$B1:$AS730,17,FALSE)," ")</f>
        <v>19.796520986965199</v>
      </c>
      <c r="K264" s="52">
        <f>IFERROR(VLOOKUP($A264,'The List'!$B1:$AS730,18,FALSE)," ")</f>
        <v>48.473229946028482</v>
      </c>
      <c r="L264" s="52">
        <f>IFERROR(VLOOKUP($A264,'The List'!$B1:$AS730,19,FALSE)," ")</f>
        <v>46.836103899860206</v>
      </c>
      <c r="M264" s="52">
        <f>IFERROR(VLOOKUP($A264,'The List'!$B1:$AS730,20,FALSE)," ")</f>
        <v>95.309333845888688</v>
      </c>
      <c r="N264" s="52">
        <f>IFERROR(VLOOKUP($A264,'The List'!$B1:$AS730,21,FALSE)," ")</f>
        <v>321.47320684824308</v>
      </c>
      <c r="O264" s="52">
        <f>IFERROR(VLOOKUP($A264,'The List'!$B1:$AS730,22,FALSE)," ")</f>
        <v>19.333914722937564</v>
      </c>
      <c r="P264" s="52">
        <f>IFERROR(VLOOKUP($A264,'The List'!$B1:$AS730,23,FALSE)," ")</f>
        <v>33.142193153269588</v>
      </c>
      <c r="Q264" s="52">
        <f>IFERROR(VLOOKUP($A264,'The List'!$B1:$AS730,24,FALSE)," ")</f>
        <v>0.49532604354866688</v>
      </c>
      <c r="R264" s="52">
        <f>IFERROR(VLOOKUP($A264,'The List'!$B1:$AS730,25,FALSE)," ")</f>
        <v>0.57357615251608429</v>
      </c>
      <c r="S264" s="52">
        <f>IFERROR(VLOOKUP($A264,'The List'!$B1:$AS730,26,FALSE)," ")</f>
        <v>29.869766400284618</v>
      </c>
      <c r="T264" s="52">
        <f>IFERROR(VLOOKUP($A264,'The List'!$B1:$AS730,27,FALSE)," ")</f>
        <v>67.083463485832624</v>
      </c>
      <c r="U264" s="52">
        <f>IFERROR(VLOOKUP($A264,'The List'!$B1:$AS730,28,FALSE)," ")</f>
        <v>-0.68084987575772171</v>
      </c>
      <c r="V264" s="52">
        <f>IFERROR(VLOOKUP($A264,'The List'!$B1:$AS730,29,FALSE)," ")</f>
        <v>40.311120489259324</v>
      </c>
      <c r="W264" s="52">
        <f>IFERROR(VLOOKUP($A264,'The List'!$B1:$AS730,30,FALSE)," ")</f>
        <v>6.205497163552729</v>
      </c>
      <c r="X264" s="52">
        <f>IFERROR(VLOOKUP($A264,'The List'!$B1:$AS730,31,FALSE)," ")</f>
        <v>357.75518168676234</v>
      </c>
      <c r="Y264" s="52">
        <f>IFERROR(VLOOKUP($A264,'The List'!$B1:$AS730,32,FALSE)," ")</f>
        <v>535.67604570427329</v>
      </c>
      <c r="Z264" s="52">
        <f>IFERROR(VLOOKUP($A264,'The List'!$B1:$AS730,33,FALSE)," ")</f>
        <v>0.40042833820736901</v>
      </c>
      <c r="AA264" s="54"/>
      <c r="AB264" s="59"/>
      <c r="AC264" s="59"/>
      <c r="AD264" s="59"/>
      <c r="AE264" s="59"/>
      <c r="AF264" s="59"/>
    </row>
    <row r="265" spans="1:32" ht="21.2" customHeight="1">
      <c r="A265" s="23" t="s">
        <v>190</v>
      </c>
      <c r="B265" s="56" t="str">
        <f>IFERROR(VLOOKUP($A265,'The List'!$B1:$AS730,3,FALSE)," ")</f>
        <v>C</v>
      </c>
      <c r="C265" s="60">
        <f>IFERROR(VLOOKUP($A265,'The List'!$B1:$AS730,4,FALSE)," ")</f>
        <v>27</v>
      </c>
      <c r="D265" s="34" t="str">
        <f>IFERROR(VLOOKUP($A265,'The List'!$B1:$AS730,5,FALSE)," ")</f>
        <v>NYI</v>
      </c>
      <c r="E265" s="34">
        <f>IFERROR(VLOOKUP($A265,'The List'!$B1:$AS730,6,FALSE)," ")</f>
        <v>28</v>
      </c>
      <c r="F265" s="49">
        <f>IFERROR(VLOOKUP($A265,'The List'!$B1:$AS730,8,FALSE)," ")</f>
        <v>7.6940355983686546</v>
      </c>
      <c r="G265" s="49">
        <f>IFERROR(VLOOKUP($A265,'The List'!$B1:$AS730,10,FALSE)," ")</f>
        <v>1.3569848741620518</v>
      </c>
      <c r="H265" s="38"/>
      <c r="I265" s="52">
        <f>IFERROR(VLOOKUP($A265,'The List'!$B1:$AS730,16,FALSE)," ")</f>
        <v>82</v>
      </c>
      <c r="J265" s="52">
        <f>IFERROR(VLOOKUP($A265,'The List'!$B1:$AS730,17,FALSE)," ")</f>
        <v>21.007786944391601</v>
      </c>
      <c r="K265" s="52">
        <f>IFERROR(VLOOKUP($A265,'The List'!$B1:$AS730,18,FALSE)," ")</f>
        <v>38.916593629363362</v>
      </c>
      <c r="L265" s="52">
        <f>IFERROR(VLOOKUP($A265,'The List'!$B1:$AS730,19,FALSE)," ")</f>
        <v>34.346874232187375</v>
      </c>
      <c r="M265" s="52">
        <f>IFERROR(VLOOKUP($A265,'The List'!$B1:$AS730,20,FALSE)," ")</f>
        <v>73.263467861550737</v>
      </c>
      <c r="N265" s="52">
        <f>IFERROR(VLOOKUP($A265,'The List'!$B1:$AS730,21,FALSE)," ")</f>
        <v>243.12971269819894</v>
      </c>
      <c r="O265" s="52">
        <f>IFERROR(VLOOKUP($A265,'The List'!$B1:$AS730,22,FALSE)," ")</f>
        <v>12.997227345754716</v>
      </c>
      <c r="P265" s="52">
        <f>IFERROR(VLOOKUP($A265,'The List'!$B1:$AS730,23,FALSE)," ")</f>
        <v>22.719031625540012</v>
      </c>
      <c r="Q265" s="52">
        <f>IFERROR(VLOOKUP($A265,'The List'!$B1:$AS730,24,FALSE)," ")</f>
        <v>2.2174150872465392</v>
      </c>
      <c r="R265" s="52">
        <f>IFERROR(VLOOKUP($A265,'The List'!$B1:$AS730,25,FALSE)," ")</f>
        <v>3.0416339354046875</v>
      </c>
      <c r="S265" s="52">
        <f>IFERROR(VLOOKUP($A265,'The List'!$B1:$AS730,26,FALSE)," ")</f>
        <v>56.768994349409319</v>
      </c>
      <c r="T265" s="52">
        <f>IFERROR(VLOOKUP($A265,'The List'!$B1:$AS730,27,FALSE)," ")</f>
        <v>76.52945718785152</v>
      </c>
      <c r="U265" s="52">
        <f>IFERROR(VLOOKUP($A265,'The List'!$B1:$AS730,28,FALSE)," ")</f>
        <v>0.35859274938178576</v>
      </c>
      <c r="V265" s="52">
        <f>IFERROR(VLOOKUP($A265,'The List'!$B1:$AS730,29,FALSE)," ")</f>
        <v>33.502990627076073</v>
      </c>
      <c r="W265" s="52">
        <f>IFERROR(VLOOKUP($A265,'The List'!$B1:$AS730,30,FALSE)," ")</f>
        <v>6.0134643290559735</v>
      </c>
      <c r="X265" s="52">
        <f>IFERROR(VLOOKUP($A265,'The List'!$B1:$AS730,31,FALSE)," ")</f>
        <v>1012.4515148073532</v>
      </c>
      <c r="Y265" s="52">
        <f>IFERROR(VLOOKUP($A265,'The List'!$B1:$AS730,32,FALSE)," ")</f>
        <v>789.75836510448175</v>
      </c>
      <c r="Z265" s="52">
        <f>IFERROR(VLOOKUP($A265,'The List'!$B1:$AS730,33,FALSE)," ")</f>
        <v>0.56178335614100705</v>
      </c>
      <c r="AA265" s="54"/>
      <c r="AB265" s="59"/>
      <c r="AC265" s="59"/>
      <c r="AD265" s="59"/>
      <c r="AE265" s="59"/>
      <c r="AF265" s="59"/>
    </row>
    <row r="266" spans="1:32" ht="21.2" customHeight="1">
      <c r="A266" s="23"/>
      <c r="B266" s="56" t="str">
        <f>IFERROR(VLOOKUP($A266,'The List'!$B1:$AS730,3,FALSE)," ")</f>
        <v xml:space="preserve"> </v>
      </c>
      <c r="C266" s="60" t="str">
        <f>IFERROR(VLOOKUP($A266,'The List'!$B1:$AS730,4,FALSE)," ")</f>
        <v xml:space="preserve"> </v>
      </c>
      <c r="D266" s="34" t="str">
        <f>IFERROR(VLOOKUP($A266,'The List'!$B1:$AS730,5,FALSE)," ")</f>
        <v xml:space="preserve"> </v>
      </c>
      <c r="E266" s="34" t="str">
        <f>IFERROR(VLOOKUP($A266,'The List'!$B1:$AS730,6,FALSE)," ")</f>
        <v xml:space="preserve"> </v>
      </c>
      <c r="F266" s="49" t="str">
        <f>IFERROR(VLOOKUP($A266,'The List'!$B1:$AS730,8,FALSE)," ")</f>
        <v xml:space="preserve"> </v>
      </c>
      <c r="G266" s="49" t="str">
        <f>IFERROR(VLOOKUP($A266,'The List'!$B1:$AS730,10,FALSE)," ")</f>
        <v xml:space="preserve"> </v>
      </c>
      <c r="H266" s="38"/>
      <c r="I266" s="52" t="str">
        <f>IFERROR(VLOOKUP($A266,'The List'!$B1:$AS730,16,FALSE)," ")</f>
        <v xml:space="preserve"> </v>
      </c>
      <c r="J266" s="52" t="str">
        <f>IFERROR(VLOOKUP($A266,'The List'!$B1:$AS730,17,FALSE)," ")</f>
        <v xml:space="preserve"> </v>
      </c>
      <c r="K266" s="52" t="str">
        <f>IFERROR(VLOOKUP($A266,'The List'!$B1:$AS730,18,FALSE)," ")</f>
        <v xml:space="preserve"> </v>
      </c>
      <c r="L266" s="52" t="str">
        <f>IFERROR(VLOOKUP($A266,'The List'!$B1:$AS730,19,FALSE)," ")</f>
        <v xml:space="preserve"> </v>
      </c>
      <c r="M266" s="52" t="str">
        <f>IFERROR(VLOOKUP($A266,'The List'!$B1:$AS730,20,FALSE)," ")</f>
        <v xml:space="preserve"> </v>
      </c>
      <c r="N266" s="52" t="str">
        <f>IFERROR(VLOOKUP($A266,'The List'!$B1:$AS730,21,FALSE)," ")</f>
        <v xml:space="preserve"> </v>
      </c>
      <c r="O266" s="52" t="str">
        <f>IFERROR(VLOOKUP($A266,'The List'!$B1:$AS730,22,FALSE)," ")</f>
        <v xml:space="preserve"> </v>
      </c>
      <c r="P266" s="52" t="str">
        <f>IFERROR(VLOOKUP($A266,'The List'!$B1:$AS730,23,FALSE)," ")</f>
        <v xml:space="preserve"> </v>
      </c>
      <c r="Q266" s="52" t="str">
        <f>IFERROR(VLOOKUP($A266,'The List'!$B1:$AS730,24,FALSE)," ")</f>
        <v xml:space="preserve"> </v>
      </c>
      <c r="R266" s="52" t="str">
        <f>IFERROR(VLOOKUP($A266,'The List'!$B1:$AS730,25,FALSE)," ")</f>
        <v xml:space="preserve"> </v>
      </c>
      <c r="S266" s="52" t="str">
        <f>IFERROR(VLOOKUP($A266,'The List'!$B1:$AS730,26,FALSE)," ")</f>
        <v xml:space="preserve"> </v>
      </c>
      <c r="T266" s="52" t="str">
        <f>IFERROR(VLOOKUP($A266,'The List'!$B1:$AS730,27,FALSE)," ")</f>
        <v xml:space="preserve"> </v>
      </c>
      <c r="U266" s="52" t="str">
        <f>IFERROR(VLOOKUP($A266,'The List'!$B1:$AS730,28,FALSE)," ")</f>
        <v xml:space="preserve"> </v>
      </c>
      <c r="V266" s="52" t="str">
        <f>IFERROR(VLOOKUP($A266,'The List'!$B1:$AS730,29,FALSE)," ")</f>
        <v xml:space="preserve"> </v>
      </c>
      <c r="W266" s="52" t="str">
        <f>IFERROR(VLOOKUP($A266,'The List'!$B1:$AS730,30,FALSE)," ")</f>
        <v xml:space="preserve"> </v>
      </c>
      <c r="X266" s="52" t="str">
        <f>IFERROR(VLOOKUP($A266,'The List'!$B1:$AS730,31,FALSE)," ")</f>
        <v xml:space="preserve"> </v>
      </c>
      <c r="Y266" s="52" t="str">
        <f>IFERROR(VLOOKUP($A266,'The List'!$B1:$AS730,32,FALSE)," ")</f>
        <v xml:space="preserve"> </v>
      </c>
      <c r="Z266" s="52" t="str">
        <f>IFERROR(VLOOKUP($A266,'The List'!$B1:$AS730,33,FALSE)," ")</f>
        <v xml:space="preserve"> </v>
      </c>
      <c r="AA266" s="54"/>
      <c r="AB266" s="59"/>
      <c r="AC266" s="59"/>
      <c r="AD266" s="59"/>
      <c r="AE266" s="59"/>
      <c r="AF266" s="59"/>
    </row>
    <row r="267" spans="1:32" ht="21.2" customHeight="1">
      <c r="A267" s="23" t="s">
        <v>107</v>
      </c>
      <c r="B267" s="61" t="str">
        <f>IFERROR(VLOOKUP($A267,'The List'!$B1:$AS730,3,FALSE)," ")</f>
        <v>LW,RW</v>
      </c>
      <c r="C267" s="63">
        <f>IFERROR(VLOOKUP($A267,'The List'!$B1:$AS730,4,FALSE)," ")</f>
        <v>3</v>
      </c>
      <c r="D267" s="34" t="str">
        <f>IFERROR(VLOOKUP($A267,'The List'!$B1:$AS730,5,FALSE)," ")</f>
        <v>FLA</v>
      </c>
      <c r="E267" s="34">
        <f>IFERROR(VLOOKUP($A267,'The List'!$B1:$AS730,6,FALSE)," ")</f>
        <v>25</v>
      </c>
      <c r="F267" s="49">
        <f>IFERROR(VLOOKUP($A267,'The List'!$B1:$AS730,8,FALSE)," ")</f>
        <v>14.152386882929994</v>
      </c>
      <c r="G267" s="49">
        <f>IFERROR(VLOOKUP($A267,'The List'!$B1:$AS730,10,FALSE)," ")</f>
        <v>7.8721281639189131</v>
      </c>
      <c r="H267" s="38"/>
      <c r="I267" s="52">
        <f>IFERROR(VLOOKUP($A267,'The List'!$B1:$AS730,16,FALSE)," ")</f>
        <v>82</v>
      </c>
      <c r="J267" s="52">
        <f>IFERROR(VLOOKUP($A267,'The List'!$B1:$AS730,17,FALSE)," ")</f>
        <v>20.124918332980801</v>
      </c>
      <c r="K267" s="52">
        <f>IFERROR(VLOOKUP($A267,'The List'!$B1:$AS730,18,FALSE)," ")</f>
        <v>41.444964937884883</v>
      </c>
      <c r="L267" s="52">
        <f>IFERROR(VLOOKUP($A267,'The List'!$B1:$AS730,19,FALSE)," ")</f>
        <v>66.626586363262163</v>
      </c>
      <c r="M267" s="52">
        <f>IFERROR(VLOOKUP($A267,'The List'!$B1:$AS730,20,FALSE)," ")</f>
        <v>108.07155130114705</v>
      </c>
      <c r="N267" s="52">
        <f>IFERROR(VLOOKUP($A267,'The List'!$B1:$AS730,21,FALSE)," ")</f>
        <v>308.94241514297534</v>
      </c>
      <c r="O267" s="52">
        <f>IFERROR(VLOOKUP($A267,'The List'!$B1:$AS730,22,FALSE)," ")</f>
        <v>13.335859031913884</v>
      </c>
      <c r="P267" s="52">
        <f>IFERROR(VLOOKUP($A267,'The List'!$B1:$AS730,23,FALSE)," ")</f>
        <v>35.037645741323743</v>
      </c>
      <c r="Q267" s="52">
        <f>IFERROR(VLOOKUP($A267,'The List'!$B1:$AS730,24,FALSE)," ")</f>
        <v>0.10329507792673778</v>
      </c>
      <c r="R267" s="52">
        <f>IFERROR(VLOOKUP($A267,'The List'!$B1:$AS730,25,FALSE)," ")</f>
        <v>0.66981534961799727</v>
      </c>
      <c r="S267" s="52">
        <f>IFERROR(VLOOKUP($A267,'The List'!$B1:$AS730,26,FALSE)," ")</f>
        <v>29.354641728727088</v>
      </c>
      <c r="T267" s="52">
        <f>IFERROR(VLOOKUP($A267,'The List'!$B1:$AS730,27,FALSE)," ")</f>
        <v>84.13158568820711</v>
      </c>
      <c r="U267" s="52">
        <f>IFERROR(VLOOKUP($A267,'The List'!$B1:$AS730,28,FALSE)," ")</f>
        <v>11.372997884949276</v>
      </c>
      <c r="V267" s="52">
        <f>IFERROR(VLOOKUP($A267,'The List'!$B1:$AS730,29,FALSE)," ")</f>
        <v>72.602385539662237</v>
      </c>
      <c r="W267" s="52">
        <f>IFERROR(VLOOKUP($A267,'The List'!$B1:$AS730,30,FALSE)," ")</f>
        <v>5.9453747555901275</v>
      </c>
      <c r="X267" s="52">
        <f>IFERROR(VLOOKUP($A267,'The List'!$B1:$AS730,31,FALSE)," ")</f>
        <v>13.750661802457161</v>
      </c>
      <c r="Y267" s="52">
        <f>IFERROR(VLOOKUP($A267,'The List'!$B1:$AS730,32,FALSE)," ")</f>
        <v>16.750973436259734</v>
      </c>
      <c r="Z267" s="52">
        <f>IFERROR(VLOOKUP($A267,'The List'!$B1:$AS730,33,FALSE)," ")</f>
        <v>0.45081720028580602</v>
      </c>
      <c r="AA267" s="54"/>
      <c r="AB267" s="59"/>
      <c r="AC267" s="59"/>
      <c r="AD267" s="59"/>
      <c r="AE267" s="59"/>
      <c r="AF267" s="59"/>
    </row>
    <row r="268" spans="1:32" ht="21.2" customHeight="1">
      <c r="A268" s="23" t="s">
        <v>260</v>
      </c>
      <c r="B268" s="61" t="str">
        <f>IFERROR(VLOOKUP($A268,'The List'!$B1:$AS730,3,FALSE)," ")</f>
        <v>LW,RW</v>
      </c>
      <c r="C268" s="63">
        <f>IFERROR(VLOOKUP($A268,'The List'!$B1:$AS730,4,FALSE)," ")</f>
        <v>48</v>
      </c>
      <c r="D268" s="34" t="str">
        <f>IFERROR(VLOOKUP($A268,'The List'!$B1:$AS730,5,FALSE)," ")</f>
        <v>PIT</v>
      </c>
      <c r="E268" s="34">
        <f>IFERROR(VLOOKUP($A268,'The List'!$B1:$AS730,6,FALSE)," ")</f>
        <v>30</v>
      </c>
      <c r="F268" s="49">
        <f>IFERROR(VLOOKUP($A268,'The List'!$B1:$AS730,8,FALSE)," ")</f>
        <v>4.0574487696802191</v>
      </c>
      <c r="G268" s="49">
        <f>IFERROR(VLOOKUP($A268,'The List'!$B1:$AS730,10,FALSE)," ")</f>
        <v>-2.2228099493308617</v>
      </c>
      <c r="H268" s="38"/>
      <c r="I268" s="52">
        <f>IFERROR(VLOOKUP($A268,'The List'!$B1:$AS730,16,FALSE)," ")</f>
        <v>82</v>
      </c>
      <c r="J268" s="52">
        <f>IFERROR(VLOOKUP($A268,'The List'!$B1:$AS730,17,FALSE)," ")</f>
        <v>18.099242398247</v>
      </c>
      <c r="K268" s="52">
        <f>IFERROR(VLOOKUP($A268,'The List'!$B1:$AS730,18,FALSE)," ")</f>
        <v>24.491258049137802</v>
      </c>
      <c r="L268" s="52">
        <f>IFERROR(VLOOKUP($A268,'The List'!$B1:$AS730,19,FALSE)," ")</f>
        <v>30.441269030476935</v>
      </c>
      <c r="M268" s="52">
        <f>IFERROR(VLOOKUP($A268,'The List'!$B1:$AS730,20,FALSE)," ")</f>
        <v>54.932527079614736</v>
      </c>
      <c r="N268" s="52">
        <f>IFERROR(VLOOKUP($A268,'The List'!$B1:$AS730,21,FALSE)," ")</f>
        <v>223.31525185799427</v>
      </c>
      <c r="O268" s="52">
        <f>IFERROR(VLOOKUP($A268,'The List'!$B1:$AS730,22,FALSE)," ")</f>
        <v>6.9306714426213807</v>
      </c>
      <c r="P268" s="52">
        <f>IFERROR(VLOOKUP($A268,'The List'!$B1:$AS730,23,FALSE)," ")</f>
        <v>14.435897391752629</v>
      </c>
      <c r="Q268" s="52">
        <f>IFERROR(VLOOKUP($A268,'The List'!$B1:$AS730,24,FALSE)," ")</f>
        <v>3.667032765123797E-3</v>
      </c>
      <c r="R268" s="52">
        <f>IFERROR(VLOOKUP($A268,'The List'!$B1:$AS730,25,FALSE)," ")</f>
        <v>6.6078830511456599E-3</v>
      </c>
      <c r="S268" s="52">
        <f>IFERROR(VLOOKUP($A268,'The List'!$B1:$AS730,26,FALSE)," ")</f>
        <v>49.13220821055608</v>
      </c>
      <c r="T268" s="52">
        <f>IFERROR(VLOOKUP($A268,'The List'!$B1:$AS730,27,FALSE)," ")</f>
        <v>125.67358679274129</v>
      </c>
      <c r="U268" s="52">
        <f>IFERROR(VLOOKUP($A268,'The List'!$B1:$AS730,28,FALSE)," ")</f>
        <v>3.994282834706087</v>
      </c>
      <c r="V268" s="52">
        <f>IFERROR(VLOOKUP($A268,'The List'!$B1:$AS730,29,FALSE)," ")</f>
        <v>19.285584406683363</v>
      </c>
      <c r="W268" s="52">
        <f>IFERROR(VLOOKUP($A268,'The List'!$B1:$AS730,30,FALSE)," ")</f>
        <v>3.9313373158611578</v>
      </c>
      <c r="X268" s="52">
        <f>IFERROR(VLOOKUP($A268,'The List'!$B1:$AS730,31,FALSE)," ")</f>
        <v>13.559435031001975</v>
      </c>
      <c r="Y268" s="52">
        <f>IFERROR(VLOOKUP($A268,'The List'!$B1:$AS730,32,FALSE)," ")</f>
        <v>16.967866359933733</v>
      </c>
      <c r="Z268" s="52">
        <f>IFERROR(VLOOKUP($A268,'The List'!$B1:$AS730,33,FALSE)," ")</f>
        <v>0.44417404792380799</v>
      </c>
      <c r="AA268" s="54"/>
      <c r="AB268" s="59"/>
      <c r="AC268" s="59"/>
      <c r="AD268" s="59"/>
      <c r="AE268" s="59"/>
      <c r="AF268" s="59"/>
    </row>
    <row r="269" spans="1:32" ht="21.2" customHeight="1">
      <c r="A269" s="23" t="s">
        <v>227</v>
      </c>
      <c r="B269" s="61" t="str">
        <f>IFERROR(VLOOKUP($A269,'The List'!$B1:$AS730,3,FALSE)," ")</f>
        <v>LW</v>
      </c>
      <c r="C269" s="63">
        <f>IFERROR(VLOOKUP($A269,'The List'!$B1:$AS730,4,FALSE)," ")</f>
        <v>46</v>
      </c>
      <c r="D269" s="34" t="str">
        <f>IFERROR(VLOOKUP($A269,'The List'!$B1:$AS730,5,FALSE)," ")</f>
        <v>TBL</v>
      </c>
      <c r="E269" s="34">
        <f>IFERROR(VLOOKUP($A269,'The List'!$B1:$AS730,6,FALSE)," ")</f>
        <v>24</v>
      </c>
      <c r="F269" s="49">
        <f>IFERROR(VLOOKUP($A269,'The List'!$B1:$AS730,8,FALSE)," ")</f>
        <v>5.3159553373323458</v>
      </c>
      <c r="G269" s="49">
        <f>IFERROR(VLOOKUP($A269,'The List'!$B1:$AS730,10,FALSE)," ")</f>
        <v>-1.3387137067920554</v>
      </c>
      <c r="H269" s="38"/>
      <c r="I269" s="52">
        <f>IFERROR(VLOOKUP($A269,'The List'!$B1:$AS730,16,FALSE)," ")</f>
        <v>82</v>
      </c>
      <c r="J269" s="52">
        <f>IFERROR(VLOOKUP($A269,'The List'!$B1:$AS730,17,FALSE)," ")</f>
        <v>19.4630187895212</v>
      </c>
      <c r="K269" s="52">
        <f>IFERROR(VLOOKUP($A269,'The List'!$B1:$AS730,18,FALSE)," ")</f>
        <v>31.821420616556392</v>
      </c>
      <c r="L269" s="52">
        <f>IFERROR(VLOOKUP($A269,'The List'!$B1:$AS730,19,FALSE)," ")</f>
        <v>35.13079753969771</v>
      </c>
      <c r="M269" s="52">
        <f>IFERROR(VLOOKUP($A269,'The List'!$B1:$AS730,20,FALSE)," ")</f>
        <v>66.952218156254105</v>
      </c>
      <c r="N269" s="52">
        <f>IFERROR(VLOOKUP($A269,'The List'!$B1:$AS730,21,FALSE)," ")</f>
        <v>187.05566807898984</v>
      </c>
      <c r="O269" s="52">
        <f>IFERROR(VLOOKUP($A269,'The List'!$B1:$AS730,22,FALSE)," ")</f>
        <v>8.2876247132725176</v>
      </c>
      <c r="P269" s="52">
        <f>IFERROR(VLOOKUP($A269,'The List'!$B1:$AS730,23,FALSE)," ")</f>
        <v>17.371954640473906</v>
      </c>
      <c r="Q269" s="52">
        <f>IFERROR(VLOOKUP($A269,'The List'!$B1:$AS730,24,FALSE)," ")</f>
        <v>1.1450570585909383</v>
      </c>
      <c r="R269" s="52">
        <f>IFERROR(VLOOKUP($A269,'The List'!$B1:$AS730,25,FALSE)," ")</f>
        <v>3.6124325232472234</v>
      </c>
      <c r="S269" s="52">
        <f>IFERROR(VLOOKUP($A269,'The List'!$B1:$AS730,26,FALSE)," ")</f>
        <v>53.268726878951881</v>
      </c>
      <c r="T269" s="52">
        <f>IFERROR(VLOOKUP($A269,'The List'!$B1:$AS730,27,FALSE)," ")</f>
        <v>76.345537094062408</v>
      </c>
      <c r="U269" s="52">
        <f>IFERROR(VLOOKUP($A269,'The List'!$B1:$AS730,28,FALSE)," ")</f>
        <v>0.36587962631492466</v>
      </c>
      <c r="V269" s="52">
        <f>IFERROR(VLOOKUP($A269,'The List'!$B1:$AS730,29,FALSE)," ")</f>
        <v>40.762214448476094</v>
      </c>
      <c r="W269" s="52">
        <f>IFERROR(VLOOKUP($A269,'The List'!$B1:$AS730,30,FALSE)," ")</f>
        <v>4.980063885642001</v>
      </c>
      <c r="X269" s="52">
        <f>IFERROR(VLOOKUP($A269,'The List'!$B1:$AS730,31,FALSE)," ")</f>
        <v>28.153959688902734</v>
      </c>
      <c r="Y269" s="52">
        <f>IFERROR(VLOOKUP($A269,'The List'!$B1:$AS730,32,FALSE)," ")</f>
        <v>52.895541884295568</v>
      </c>
      <c r="Z269" s="52">
        <f>IFERROR(VLOOKUP($A269,'The List'!$B1:$AS730,33,FALSE)," ")</f>
        <v>0.34736746238317101</v>
      </c>
      <c r="AA269" s="54"/>
      <c r="AB269" s="59"/>
      <c r="AC269" s="59"/>
      <c r="AD269" s="59"/>
      <c r="AE269" s="59"/>
      <c r="AF269" s="59"/>
    </row>
    <row r="270" spans="1:32" ht="21.2" customHeight="1">
      <c r="A270" s="23" t="s">
        <v>248</v>
      </c>
      <c r="B270" s="61" t="str">
        <f>IFERROR(VLOOKUP($A270,'The List'!$B1:$AS730,3,FALSE)," ")</f>
        <v>LW</v>
      </c>
      <c r="C270" s="63">
        <f>IFERROR(VLOOKUP($A270,'The List'!$B1:$AS730,4,FALSE)," ")</f>
        <v>43</v>
      </c>
      <c r="D270" s="34" t="str">
        <f>IFERROR(VLOOKUP($A270,'The List'!$B1:$AS730,5,FALSE)," ")</f>
        <v>COL</v>
      </c>
      <c r="E270" s="34">
        <f>IFERROR(VLOOKUP($A270,'The List'!$B1:$AS730,6,FALSE)," ")</f>
        <v>28</v>
      </c>
      <c r="F270" s="49">
        <f>IFERROR(VLOOKUP($A270,'The List'!$B1:$AS730,8,FALSE)," ")</f>
        <v>5.6387525030219958</v>
      </c>
      <c r="G270" s="49">
        <f>IFERROR(VLOOKUP($A270,'The List'!$B1:$AS730,10,FALSE)," ")</f>
        <v>-1.0159165411024054</v>
      </c>
      <c r="H270" s="38"/>
      <c r="I270" s="52">
        <f>IFERROR(VLOOKUP($A270,'The List'!$B1:$AS730,16,FALSE)," ")</f>
        <v>82</v>
      </c>
      <c r="J270" s="52">
        <f>IFERROR(VLOOKUP($A270,'The List'!$B1:$AS730,17,FALSE)," ")</f>
        <v>19.668419224360701</v>
      </c>
      <c r="K270" s="52">
        <f>IFERROR(VLOOKUP($A270,'The List'!$B1:$AS730,18,FALSE)," ")</f>
        <v>27.485150524912587</v>
      </c>
      <c r="L270" s="52">
        <f>IFERROR(VLOOKUP($A270,'The List'!$B1:$AS730,19,FALSE)," ")</f>
        <v>36.182887820660909</v>
      </c>
      <c r="M270" s="52">
        <f>IFERROR(VLOOKUP($A270,'The List'!$B1:$AS730,20,FALSE)," ")</f>
        <v>63.668038345573493</v>
      </c>
      <c r="N270" s="52">
        <f>IFERROR(VLOOKUP($A270,'The List'!$B1:$AS730,21,FALSE)," ")</f>
        <v>207.96893812889581</v>
      </c>
      <c r="O270" s="52">
        <f>IFERROR(VLOOKUP($A270,'The List'!$B1:$AS730,22,FALSE)," ")</f>
        <v>9.0457777587375059</v>
      </c>
      <c r="P270" s="52">
        <f>IFERROR(VLOOKUP($A270,'The List'!$B1:$AS730,23,FALSE)," ")</f>
        <v>21.922041889384698</v>
      </c>
      <c r="Q270" s="52">
        <f>IFERROR(VLOOKUP($A270,'The List'!$B1:$AS730,24,FALSE)," ")</f>
        <v>1.480460167161384</v>
      </c>
      <c r="R270" s="52">
        <f>IFERROR(VLOOKUP($A270,'The List'!$B1:$AS730,25,FALSE)," ")</f>
        <v>1.7267952973053502</v>
      </c>
      <c r="S270" s="52">
        <f>IFERROR(VLOOKUP($A270,'The List'!$B1:$AS730,26,FALSE)," ")</f>
        <v>52.336430273455534</v>
      </c>
      <c r="T270" s="52">
        <f>IFERROR(VLOOKUP($A270,'The List'!$B1:$AS730,27,FALSE)," ")</f>
        <v>116.52315704071484</v>
      </c>
      <c r="U270" s="52">
        <f>IFERROR(VLOOKUP($A270,'The List'!$B1:$AS730,28,FALSE)," ")</f>
        <v>5.1221439787457133</v>
      </c>
      <c r="V270" s="52">
        <f>IFERROR(VLOOKUP($A270,'The List'!$B1:$AS730,29,FALSE)," ")</f>
        <v>32.593847838013168</v>
      </c>
      <c r="W270" s="52">
        <f>IFERROR(VLOOKUP($A270,'The List'!$B1:$AS730,30,FALSE)," ")</f>
        <v>4.348564924654827</v>
      </c>
      <c r="X270" s="52">
        <f>IFERROR(VLOOKUP($A270,'The List'!$B1:$AS730,31,FALSE)," ")</f>
        <v>7.345614991988648</v>
      </c>
      <c r="Y270" s="52">
        <f>IFERROR(VLOOKUP($A270,'The List'!$B1:$AS730,32,FALSE)," ")</f>
        <v>23.241334214965921</v>
      </c>
      <c r="Z270" s="52">
        <f>IFERROR(VLOOKUP($A270,'The List'!$B1:$AS730,33,FALSE)," ")</f>
        <v>0.240155202870592</v>
      </c>
      <c r="AA270" s="54"/>
      <c r="AB270" s="59"/>
      <c r="AC270" s="59"/>
      <c r="AD270" s="59"/>
      <c r="AE270" s="59"/>
      <c r="AF270" s="59"/>
    </row>
    <row r="271" spans="1:32" ht="21.2" customHeight="1">
      <c r="A271" s="23" t="s">
        <v>120</v>
      </c>
      <c r="B271" s="64" t="str">
        <f>IFERROR(VLOOKUP($A271,'The List'!$B1:$AS730,3,FALSE)," ")</f>
        <v>LW,RW</v>
      </c>
      <c r="C271" s="66">
        <f>IFERROR(VLOOKUP($A271,'The List'!$B1:$AS730,4,FALSE)," ")</f>
        <v>7</v>
      </c>
      <c r="D271" s="34" t="str">
        <f>IFERROR(VLOOKUP($A271,'The List'!$B1:$AS730,5,FALSE)," ")</f>
        <v>TOR</v>
      </c>
      <c r="E271" s="34">
        <f>IFERROR(VLOOKUP($A271,'The List'!$B1:$AS730,6,FALSE)," ")</f>
        <v>27</v>
      </c>
      <c r="F271" s="49">
        <f>IFERROR(VLOOKUP($A271,'The List'!$B1:$AS730,8,FALSE)," ")</f>
        <v>11.115775079553083</v>
      </c>
      <c r="G271" s="49">
        <f>IFERROR(VLOOKUP($A271,'The List'!$B1:$AS730,10,FALSE)," ")</f>
        <v>4.8355163605420026</v>
      </c>
      <c r="H271" s="38"/>
      <c r="I271" s="52">
        <f>IFERROR(VLOOKUP($A271,'The List'!$B1:$AS730,16,FALSE)," ")</f>
        <v>82</v>
      </c>
      <c r="J271" s="52">
        <f>IFERROR(VLOOKUP($A271,'The List'!$B1:$AS730,17,FALSE)," ")</f>
        <v>18.538966700724099</v>
      </c>
      <c r="K271" s="52">
        <f>IFERROR(VLOOKUP($A271,'The List'!$B1:$AS730,18,FALSE)," ")</f>
        <v>38.368949879405356</v>
      </c>
      <c r="L271" s="52">
        <f>IFERROR(VLOOKUP($A271,'The List'!$B1:$AS730,19,FALSE)," ")</f>
        <v>50.102068179367457</v>
      </c>
      <c r="M271" s="52">
        <f>IFERROR(VLOOKUP($A271,'The List'!$B1:$AS730,20,FALSE)," ")</f>
        <v>88.471018058772813</v>
      </c>
      <c r="N271" s="52">
        <f>IFERROR(VLOOKUP($A271,'The List'!$B1:$AS730,21,FALSE)," ")</f>
        <v>286.17531266385794</v>
      </c>
      <c r="O271" s="52">
        <f>IFERROR(VLOOKUP($A271,'The List'!$B1:$AS730,22,FALSE)," ")</f>
        <v>11.739010811251788</v>
      </c>
      <c r="P271" s="52">
        <f>IFERROR(VLOOKUP($A271,'The List'!$B1:$AS730,23,FALSE)," ")</f>
        <v>32.080425605021631</v>
      </c>
      <c r="Q271" s="52">
        <f>IFERROR(VLOOKUP($A271,'The List'!$B1:$AS730,24,FALSE)," ")</f>
        <v>5.9915974651271672E-2</v>
      </c>
      <c r="R271" s="52">
        <f>IFERROR(VLOOKUP($A271,'The List'!$B1:$AS730,25,FALSE)," ")</f>
        <v>0.11751118966514178</v>
      </c>
      <c r="S271" s="52">
        <f>IFERROR(VLOOKUP($A271,'The List'!$B1:$AS730,26,FALSE)," ")</f>
        <v>28.487813597580036</v>
      </c>
      <c r="T271" s="52">
        <f>IFERROR(VLOOKUP($A271,'The List'!$B1:$AS730,27,FALSE)," ")</f>
        <v>25.134731262041207</v>
      </c>
      <c r="U271" s="52">
        <f>IFERROR(VLOOKUP($A271,'The List'!$B1:$AS730,28,FALSE)," ")</f>
        <v>6.7945878357098364</v>
      </c>
      <c r="V271" s="52">
        <f>IFERROR(VLOOKUP($A271,'The List'!$B1:$AS730,29,FALSE)," ")</f>
        <v>26.290346271086335</v>
      </c>
      <c r="W271" s="52">
        <f>IFERROR(VLOOKUP($A271,'The List'!$B1:$AS730,30,FALSE)," ")</f>
        <v>6.1639615998141855</v>
      </c>
      <c r="X271" s="52">
        <f>IFERROR(VLOOKUP($A271,'The List'!$B1:$AS730,31,FALSE)," ")</f>
        <v>28.323051833478278</v>
      </c>
      <c r="Y271" s="52">
        <f>IFERROR(VLOOKUP($A271,'The List'!$B1:$AS730,32,FALSE)," ")</f>
        <v>30.315816446023277</v>
      </c>
      <c r="Z271" s="52">
        <f>IFERROR(VLOOKUP($A271,'The List'!$B1:$AS730,33,FALSE)," ")</f>
        <v>0.48300815934026398</v>
      </c>
      <c r="AA271" s="54"/>
      <c r="AB271" s="59"/>
      <c r="AC271" s="59"/>
      <c r="AD271" s="59"/>
      <c r="AE271" s="59"/>
      <c r="AF271" s="59"/>
    </row>
    <row r="272" spans="1:32" ht="21.2" customHeight="1">
      <c r="A272" s="23" t="s">
        <v>173</v>
      </c>
      <c r="B272" s="64" t="str">
        <f>IFERROR(VLOOKUP($A272,'The List'!$B1:$AS730,3,FALSE)," ")</f>
        <v>LW,RW</v>
      </c>
      <c r="C272" s="66">
        <f>IFERROR(VLOOKUP($A272,'The List'!$B1:$AS730,4,FALSE)," ")</f>
        <v>23</v>
      </c>
      <c r="D272" s="34" t="str">
        <f>IFERROR(VLOOKUP($A272,'The List'!$B1:$AS730,5,FALSE)," ")</f>
        <v>NJD</v>
      </c>
      <c r="E272" s="34">
        <f>IFERROR(VLOOKUP($A272,'The List'!$B1:$AS730,6,FALSE)," ")</f>
        <v>25</v>
      </c>
      <c r="F272" s="49">
        <f>IFERROR(VLOOKUP($A272,'The List'!$B1:$AS730,8,FALSE)," ")</f>
        <v>7.3232050734584915</v>
      </c>
      <c r="G272" s="49">
        <f>IFERROR(VLOOKUP($A272,'The List'!$B1:$AS730,10,FALSE)," ")</f>
        <v>1.0429463544474107</v>
      </c>
      <c r="H272" s="38"/>
      <c r="I272" s="52">
        <f>IFERROR(VLOOKUP($A272,'The List'!$B1:$AS730,16,FALSE)," ")</f>
        <v>82</v>
      </c>
      <c r="J272" s="52">
        <f>IFERROR(VLOOKUP($A272,'The List'!$B1:$AS730,17,FALSE)," ")</f>
        <v>17.6488646323171</v>
      </c>
      <c r="K272" s="52">
        <f>IFERROR(VLOOKUP($A272,'The List'!$B1:$AS730,18,FALSE)," ")</f>
        <v>29.980906742805711</v>
      </c>
      <c r="L272" s="52">
        <f>IFERROR(VLOOKUP($A272,'The List'!$B1:$AS730,19,FALSE)," ")</f>
        <v>45.970594451758906</v>
      </c>
      <c r="M272" s="52">
        <f>IFERROR(VLOOKUP($A272,'The List'!$B1:$AS730,20,FALSE)," ")</f>
        <v>75.951501194564614</v>
      </c>
      <c r="N272" s="52">
        <f>IFERROR(VLOOKUP($A272,'The List'!$B1:$AS730,21,FALSE)," ")</f>
        <v>213.30836289513019</v>
      </c>
      <c r="O272" s="52">
        <f>IFERROR(VLOOKUP($A272,'The List'!$B1:$AS730,22,FALSE)," ")</f>
        <v>7.1930089783811999</v>
      </c>
      <c r="P272" s="52">
        <f>IFERROR(VLOOKUP($A272,'The List'!$B1:$AS730,23,FALSE)," ")</f>
        <v>22.957390224688339</v>
      </c>
      <c r="Q272" s="52">
        <f>IFERROR(VLOOKUP($A272,'The List'!$B1:$AS730,24,FALSE)," ")</f>
        <v>1.5883948169100787E-2</v>
      </c>
      <c r="R272" s="52">
        <f>IFERROR(VLOOKUP($A272,'The List'!$B1:$AS730,25,FALSE)," ")</f>
        <v>5.6398116778800127E-2</v>
      </c>
      <c r="S272" s="52">
        <f>IFERROR(VLOOKUP($A272,'The List'!$B1:$AS730,26,FALSE)," ")</f>
        <v>27.126224903714572</v>
      </c>
      <c r="T272" s="52">
        <f>IFERROR(VLOOKUP($A272,'The List'!$B1:$AS730,27,FALSE)," ")</f>
        <v>32.64611388839409</v>
      </c>
      <c r="U272" s="52">
        <f>IFERROR(VLOOKUP($A272,'The List'!$B1:$AS730,28,FALSE)," ")</f>
        <v>2.0036783903104296</v>
      </c>
      <c r="V272" s="52">
        <f>IFERROR(VLOOKUP($A272,'The List'!$B1:$AS730,29,FALSE)," ")</f>
        <v>15.583964876479991</v>
      </c>
      <c r="W272" s="52">
        <f>IFERROR(VLOOKUP($A272,'The List'!$B1:$AS730,30,FALSE)," ")</f>
        <v>4.4065331414923472</v>
      </c>
      <c r="X272" s="52">
        <f>IFERROR(VLOOKUP($A272,'The List'!$B1:$AS730,31,FALSE)," ")</f>
        <v>9.4790925734274528E-2</v>
      </c>
      <c r="Y272" s="52">
        <f>IFERROR(VLOOKUP($A272,'The List'!$B1:$AS730,32,FALSE)," ")</f>
        <v>1.8388605548249468</v>
      </c>
      <c r="Z272" s="52">
        <f>IFERROR(VLOOKUP($A272,'The List'!$B1:$AS730,33,FALSE)," ")</f>
        <v>4.9021722211729797E-2</v>
      </c>
      <c r="AA272" s="54"/>
      <c r="AB272" s="59"/>
      <c r="AC272" s="59"/>
      <c r="AD272" s="59"/>
      <c r="AE272" s="59"/>
      <c r="AF272" s="59"/>
    </row>
    <row r="273" spans="1:32" ht="21.2" customHeight="1">
      <c r="A273" s="23" t="s">
        <v>202</v>
      </c>
      <c r="B273" s="64" t="str">
        <f>IFERROR(VLOOKUP($A273,'The List'!$B1:$AS730,3,FALSE)," ")</f>
        <v>RW</v>
      </c>
      <c r="C273" s="66">
        <f>IFERROR(VLOOKUP($A273,'The List'!$B1:$AS730,4,FALSE)," ")</f>
        <v>29</v>
      </c>
      <c r="D273" s="34" t="str">
        <f>IFERROR(VLOOKUP($A273,'The List'!$B1:$AS730,5,FALSE)," ")</f>
        <v>MIN</v>
      </c>
      <c r="E273" s="34">
        <f>IFERROR(VLOOKUP($A273,'The List'!$B1:$AS730,6,FALSE)," ")</f>
        <v>35</v>
      </c>
      <c r="F273" s="49">
        <f>IFERROR(VLOOKUP($A273,'The List'!$B1:$AS730,8,FALSE)," ")</f>
        <v>6.6879968532464398</v>
      </c>
      <c r="G273" s="49">
        <f>IFERROR(VLOOKUP($A273,'The List'!$B1:$AS730,10,FALSE)," ")</f>
        <v>0.40773813423535898</v>
      </c>
      <c r="H273" s="38"/>
      <c r="I273" s="52">
        <f>IFERROR(VLOOKUP($A273,'The List'!$B1:$AS730,16,FALSE)," ")</f>
        <v>82</v>
      </c>
      <c r="J273" s="52">
        <f>IFERROR(VLOOKUP($A273,'The List'!$B1:$AS730,17,FALSE)," ")</f>
        <v>18.960344154642801</v>
      </c>
      <c r="K273" s="52">
        <f>IFERROR(VLOOKUP($A273,'The List'!$B1:$AS730,18,FALSE)," ")</f>
        <v>22.159269551783488</v>
      </c>
      <c r="L273" s="52">
        <f>IFERROR(VLOOKUP($A273,'The List'!$B1:$AS730,19,FALSE)," ")</f>
        <v>47.458391438673615</v>
      </c>
      <c r="M273" s="52">
        <f>IFERROR(VLOOKUP($A273,'The List'!$B1:$AS730,20,FALSE)," ")</f>
        <v>69.617660990457097</v>
      </c>
      <c r="N273" s="52">
        <f>IFERROR(VLOOKUP($A273,'The List'!$B1:$AS730,21,FALSE)," ")</f>
        <v>192.80235763408143</v>
      </c>
      <c r="O273" s="52">
        <f>IFERROR(VLOOKUP($A273,'The List'!$B1:$AS730,22,FALSE)," ")</f>
        <v>8.4036112100557503</v>
      </c>
      <c r="P273" s="52">
        <f>IFERROR(VLOOKUP($A273,'The List'!$B1:$AS730,23,FALSE)," ")</f>
        <v>29.243427395489626</v>
      </c>
      <c r="Q273" s="52">
        <f>IFERROR(VLOOKUP($A273,'The List'!$B1:$AS730,24,FALSE)," ")</f>
        <v>3.1361865590171713E-2</v>
      </c>
      <c r="R273" s="52">
        <f>IFERROR(VLOOKUP($A273,'The List'!$B1:$AS730,25,FALSE)," ")</f>
        <v>4.3035422759355332E-2</v>
      </c>
      <c r="S273" s="52">
        <f>IFERROR(VLOOKUP($A273,'The List'!$B1:$AS730,26,FALSE)," ")</f>
        <v>45.942598394957294</v>
      </c>
      <c r="T273" s="52">
        <f>IFERROR(VLOOKUP($A273,'The List'!$B1:$AS730,27,FALSE)," ")</f>
        <v>50.897961445491596</v>
      </c>
      <c r="U273" s="52">
        <f>IFERROR(VLOOKUP($A273,'The List'!$B1:$AS730,28,FALSE)," ")</f>
        <v>2.2723438178250639</v>
      </c>
      <c r="V273" s="52">
        <f>IFERROR(VLOOKUP($A273,'The List'!$B1:$AS730,29,FALSE)," ")</f>
        <v>27.727021278398169</v>
      </c>
      <c r="W273" s="52">
        <f>IFERROR(VLOOKUP($A273,'The List'!$B1:$AS730,30,FALSE)," ")</f>
        <v>3.5582560754912844</v>
      </c>
      <c r="X273" s="52">
        <f>IFERROR(VLOOKUP($A273,'The List'!$B1:$AS730,31,FALSE)," ")</f>
        <v>23.538506886659174</v>
      </c>
      <c r="Y273" s="52">
        <f>IFERROR(VLOOKUP($A273,'The List'!$B1:$AS730,32,FALSE)," ")</f>
        <v>37.436084157663323</v>
      </c>
      <c r="Z273" s="52">
        <f>IFERROR(VLOOKUP($A273,'The List'!$B1:$AS730,33,FALSE)," ")</f>
        <v>0.386037962428465</v>
      </c>
      <c r="AA273" s="54"/>
      <c r="AB273" s="59"/>
      <c r="AC273" s="59"/>
      <c r="AD273" s="59"/>
      <c r="AE273" s="59"/>
      <c r="AF273" s="59"/>
    </row>
    <row r="274" spans="1:32" ht="21.2" customHeight="1">
      <c r="A274" s="23"/>
      <c r="B274" s="64" t="str">
        <f>IFERROR(VLOOKUP($A274,'The List'!$B1:$AS730,3,FALSE)," ")</f>
        <v xml:space="preserve"> </v>
      </c>
      <c r="C274" s="66" t="str">
        <f>IFERROR(VLOOKUP($A274,'The List'!$B1:$AS730,4,FALSE)," ")</f>
        <v xml:space="preserve"> </v>
      </c>
      <c r="D274" s="34" t="str">
        <f>IFERROR(VLOOKUP($A274,'The List'!$B1:$AS730,5,FALSE)," ")</f>
        <v xml:space="preserve"> </v>
      </c>
      <c r="E274" s="34" t="str">
        <f>IFERROR(VLOOKUP($A274,'The List'!$B1:$AS730,6,FALSE)," ")</f>
        <v xml:space="preserve"> </v>
      </c>
      <c r="F274" s="49" t="str">
        <f>IFERROR(VLOOKUP($A274,'The List'!$B1:$AS730,8,FALSE)," ")</f>
        <v xml:space="preserve"> </v>
      </c>
      <c r="G274" s="49" t="str">
        <f>IFERROR(VLOOKUP($A274,'The List'!$B1:$AS730,10,FALSE)," ")</f>
        <v xml:space="preserve"> </v>
      </c>
      <c r="H274" s="38"/>
      <c r="I274" s="52" t="str">
        <f>IFERROR(VLOOKUP($A274,'The List'!$B1:$AS730,16,FALSE)," ")</f>
        <v xml:space="preserve"> </v>
      </c>
      <c r="J274" s="52" t="str">
        <f>IFERROR(VLOOKUP($A274,'The List'!$B1:$AS730,17,FALSE)," ")</f>
        <v xml:space="preserve"> </v>
      </c>
      <c r="K274" s="52" t="str">
        <f>IFERROR(VLOOKUP($A274,'The List'!$B1:$AS730,18,FALSE)," ")</f>
        <v xml:space="preserve"> </v>
      </c>
      <c r="L274" s="52" t="str">
        <f>IFERROR(VLOOKUP($A274,'The List'!$B1:$AS730,19,FALSE)," ")</f>
        <v xml:space="preserve"> </v>
      </c>
      <c r="M274" s="52" t="str">
        <f>IFERROR(VLOOKUP($A274,'The List'!$B1:$AS730,20,FALSE)," ")</f>
        <v xml:space="preserve"> </v>
      </c>
      <c r="N274" s="52" t="str">
        <f>IFERROR(VLOOKUP($A274,'The List'!$B1:$AS730,21,FALSE)," ")</f>
        <v xml:space="preserve"> </v>
      </c>
      <c r="O274" s="52" t="str">
        <f>IFERROR(VLOOKUP($A274,'The List'!$B1:$AS730,22,FALSE)," ")</f>
        <v xml:space="preserve"> </v>
      </c>
      <c r="P274" s="52" t="str">
        <f>IFERROR(VLOOKUP($A274,'The List'!$B1:$AS730,23,FALSE)," ")</f>
        <v xml:space="preserve"> </v>
      </c>
      <c r="Q274" s="52" t="str">
        <f>IFERROR(VLOOKUP($A274,'The List'!$B1:$AS730,24,FALSE)," ")</f>
        <v xml:space="preserve"> </v>
      </c>
      <c r="R274" s="52" t="str">
        <f>IFERROR(VLOOKUP($A274,'The List'!$B1:$AS730,25,FALSE)," ")</f>
        <v xml:space="preserve"> </v>
      </c>
      <c r="S274" s="52" t="str">
        <f>IFERROR(VLOOKUP($A274,'The List'!$B1:$AS730,26,FALSE)," ")</f>
        <v xml:space="preserve"> </v>
      </c>
      <c r="T274" s="52" t="str">
        <f>IFERROR(VLOOKUP($A274,'The List'!$B1:$AS730,27,FALSE)," ")</f>
        <v xml:space="preserve"> </v>
      </c>
      <c r="U274" s="52" t="str">
        <f>IFERROR(VLOOKUP($A274,'The List'!$B1:$AS730,28,FALSE)," ")</f>
        <v xml:space="preserve"> </v>
      </c>
      <c r="V274" s="52" t="str">
        <f>IFERROR(VLOOKUP($A274,'The List'!$B1:$AS730,29,FALSE)," ")</f>
        <v xml:space="preserve"> </v>
      </c>
      <c r="W274" s="52" t="str">
        <f>IFERROR(VLOOKUP($A274,'The List'!$B1:$AS730,30,FALSE)," ")</f>
        <v xml:space="preserve"> </v>
      </c>
      <c r="X274" s="52" t="str">
        <f>IFERROR(VLOOKUP($A274,'The List'!$B1:$AS730,31,FALSE)," ")</f>
        <v xml:space="preserve"> </v>
      </c>
      <c r="Y274" s="52" t="str">
        <f>IFERROR(VLOOKUP($A274,'The List'!$B1:$AS730,32,FALSE)," ")</f>
        <v xml:space="preserve"> </v>
      </c>
      <c r="Z274" s="52" t="str">
        <f>IFERROR(VLOOKUP($A274,'The List'!$B1:$AS730,33,FALSE)," ")</f>
        <v xml:space="preserve"> </v>
      </c>
      <c r="AA274" s="54"/>
      <c r="AB274" s="59"/>
      <c r="AC274" s="59"/>
      <c r="AD274" s="59"/>
      <c r="AE274" s="59"/>
      <c r="AF274" s="59"/>
    </row>
    <row r="275" spans="1:32" ht="21.2" customHeight="1">
      <c r="A275" s="23" t="s">
        <v>125</v>
      </c>
      <c r="B275" s="67" t="str">
        <f>IFERROR(VLOOKUP($A275,'The List'!$B1:$AS730,3,FALSE)," ")</f>
        <v>D</v>
      </c>
      <c r="C275" s="69">
        <f>IFERROR(VLOOKUP($A275,'The List'!$B1:$AS730,4,FALSE)," ")</f>
        <v>7</v>
      </c>
      <c r="D275" s="34" t="str">
        <f>IFERROR(VLOOKUP($A275,'The List'!$B1:$AS730,5,FALSE)," ")</f>
        <v>VAN</v>
      </c>
      <c r="E275" s="34">
        <f>IFERROR(VLOOKUP($A275,'The List'!$B1:$AS730,6,FALSE)," ")</f>
        <v>23</v>
      </c>
      <c r="F275" s="49">
        <f>IFERROR(VLOOKUP($A275,'The List'!$B1:$AS730,8,FALSE)," ")</f>
        <v>7.0361166303533178</v>
      </c>
      <c r="G275" s="49">
        <f>IFERROR(VLOOKUP($A275,'The List'!$B1:$AS730,10,FALSE)," ")</f>
        <v>5.0943760867190075</v>
      </c>
      <c r="H275" s="38"/>
      <c r="I275" s="52">
        <f>IFERROR(VLOOKUP($A275,'The List'!$B1:$AS730,16,FALSE)," ")</f>
        <v>82</v>
      </c>
      <c r="J275" s="52">
        <f>IFERROR(VLOOKUP($A275,'The List'!$B1:$AS730,17,FALSE)," ")</f>
        <v>25.179356028181701</v>
      </c>
      <c r="K275" s="52">
        <f>IFERROR(VLOOKUP($A275,'The List'!$B1:$AS730,18,FALSE)," ")</f>
        <v>8.145519584513794</v>
      </c>
      <c r="L275" s="52">
        <f>IFERROR(VLOOKUP($A275,'The List'!$B1:$AS730,19,FALSE)," ")</f>
        <v>67.825805144086203</v>
      </c>
      <c r="M275" s="52">
        <f>IFERROR(VLOOKUP($A275,'The List'!$B1:$AS730,20,FALSE)," ")</f>
        <v>75.971324728599996</v>
      </c>
      <c r="N275" s="52">
        <f>IFERROR(VLOOKUP($A275,'The List'!$B1:$AS730,21,FALSE)," ")</f>
        <v>163.93694618617707</v>
      </c>
      <c r="O275" s="52">
        <f>IFERROR(VLOOKUP($A275,'The List'!$B1:$AS730,22,FALSE)," ")</f>
        <v>1.3174621848986379</v>
      </c>
      <c r="P275" s="52">
        <f>IFERROR(VLOOKUP($A275,'The List'!$B1:$AS730,23,FALSE)," ")</f>
        <v>33.408183686136923</v>
      </c>
      <c r="Q275" s="52">
        <f>IFERROR(VLOOKUP($A275,'The List'!$B1:$AS730,24,FALSE)," ")</f>
        <v>3.5940719821268029E-2</v>
      </c>
      <c r="R275" s="52">
        <f>IFERROR(VLOOKUP($A275,'The List'!$B1:$AS730,25,FALSE)," ")</f>
        <v>0.75159615667780177</v>
      </c>
      <c r="S275" s="52">
        <f>IFERROR(VLOOKUP($A275,'The List'!$B1:$AS730,26,FALSE)," ")</f>
        <v>79.683947784769913</v>
      </c>
      <c r="T275" s="52">
        <f>IFERROR(VLOOKUP($A275,'The List'!$B1:$AS730,27,FALSE)," ")</f>
        <v>41.548994124254286</v>
      </c>
      <c r="U275" s="52">
        <f>IFERROR(VLOOKUP($A275,'The List'!$B1:$AS730,28,FALSE)," ")</f>
        <v>1.8710726851236206</v>
      </c>
      <c r="V275" s="52">
        <f>IFERROR(VLOOKUP($A275,'The List'!$B1:$AS730,29,FALSE)," ")</f>
        <v>35.722302291767257</v>
      </c>
      <c r="W275" s="52">
        <f>IFERROR(VLOOKUP($A275,'The List'!$B1:$AS730,30,FALSE)," ")</f>
        <v>1.1530768929316291</v>
      </c>
      <c r="X275" s="52">
        <f>IFERROR(VLOOKUP($A275,'The List'!$B1:$AS730,31,FALSE)," ")</f>
        <v>0.35779472321886169</v>
      </c>
      <c r="Y275" s="52">
        <f>IFERROR(VLOOKUP($A275,'The List'!$B1:$AS730,32,FALSE)," ")</f>
        <v>0.41859301317882769</v>
      </c>
      <c r="Z275" s="52">
        <f>IFERROR(VLOOKUP($A275,'The List'!$B1:$AS730,33,FALSE)," ")</f>
        <v>0.46084540809334501</v>
      </c>
      <c r="AA275" s="54"/>
      <c r="AB275" s="59"/>
      <c r="AC275" s="59"/>
      <c r="AD275" s="59"/>
      <c r="AE275" s="59"/>
      <c r="AF275" s="59"/>
    </row>
    <row r="276" spans="1:32" ht="21.2" customHeight="1">
      <c r="A276" s="23" t="s">
        <v>165</v>
      </c>
      <c r="B276" s="67" t="str">
        <f>IFERROR(VLOOKUP($A276,'The List'!$B1:$AS730,3,FALSE)," ")</f>
        <v>D</v>
      </c>
      <c r="C276" s="69">
        <f>IFERROR(VLOOKUP($A276,'The List'!$B1:$AS730,4,FALSE)," ")</f>
        <v>20</v>
      </c>
      <c r="D276" s="34" t="str">
        <f>IFERROR(VLOOKUP($A276,'The List'!$B1:$AS730,5,FALSE)," ")</f>
        <v>CAR</v>
      </c>
      <c r="E276" s="34">
        <f>IFERROR(VLOOKUP($A276,'The List'!$B1:$AS730,6,FALSE)," ")</f>
        <v>38</v>
      </c>
      <c r="F276" s="49">
        <f>IFERROR(VLOOKUP($A276,'The List'!$B1:$AS730,8,FALSE)," ")</f>
        <v>3.5395878426656182</v>
      </c>
      <c r="G276" s="49">
        <f>IFERROR(VLOOKUP($A276,'The List'!$B1:$AS730,10,FALSE)," ")</f>
        <v>1.5978472990313075</v>
      </c>
      <c r="H276" s="38"/>
      <c r="I276" s="52">
        <f>IFERROR(VLOOKUP($A276,'The List'!$B1:$AS730,16,FALSE)," ")</f>
        <v>82</v>
      </c>
      <c r="J276" s="52">
        <f>IFERROR(VLOOKUP($A276,'The List'!$B1:$AS730,17,FALSE)," ")</f>
        <v>21.3844034327164</v>
      </c>
      <c r="K276" s="52">
        <f>IFERROR(VLOOKUP($A276,'The List'!$B1:$AS730,18,FALSE)," ")</f>
        <v>11.215199012069457</v>
      </c>
      <c r="L276" s="52">
        <f>IFERROR(VLOOKUP($A276,'The List'!$B1:$AS730,19,FALSE)," ")</f>
        <v>38.025252129072584</v>
      </c>
      <c r="M276" s="52">
        <f>IFERROR(VLOOKUP($A276,'The List'!$B1:$AS730,20,FALSE)," ")</f>
        <v>49.240451141142039</v>
      </c>
      <c r="N276" s="52">
        <f>IFERROR(VLOOKUP($A276,'The List'!$B1:$AS730,21,FALSE)," ")</f>
        <v>214.27537808291274</v>
      </c>
      <c r="O276" s="52">
        <f>IFERROR(VLOOKUP($A276,'The List'!$B1:$AS730,22,FALSE)," ")</f>
        <v>3.9584567478088508</v>
      </c>
      <c r="P276" s="52">
        <f>IFERROR(VLOOKUP($A276,'The List'!$B1:$AS730,23,FALSE)," ")</f>
        <v>20.491906325420807</v>
      </c>
      <c r="Q276" s="52">
        <f>IFERROR(VLOOKUP($A276,'The List'!$B1:$AS730,24,FALSE)," ")</f>
        <v>-5.5440533333469176E-2</v>
      </c>
      <c r="R276" s="52">
        <f>IFERROR(VLOOKUP($A276,'The List'!$B1:$AS730,25,FALSE)," ")</f>
        <v>-2.1695634051590924E-2</v>
      </c>
      <c r="S276" s="52">
        <f>IFERROR(VLOOKUP($A276,'The List'!$B1:$AS730,26,FALSE)," ")</f>
        <v>97.986296343101714</v>
      </c>
      <c r="T276" s="52">
        <f>IFERROR(VLOOKUP($A276,'The List'!$B1:$AS730,27,FALSE)," ")</f>
        <v>53.993058980901033</v>
      </c>
      <c r="U276" s="52">
        <f>IFERROR(VLOOKUP($A276,'The List'!$B1:$AS730,28,FALSE)," ")</f>
        <v>8.6968926563444526</v>
      </c>
      <c r="V276" s="52">
        <f>IFERROR(VLOOKUP($A276,'The List'!$B1:$AS730,29,FALSE)," ")</f>
        <v>39.96309004146314</v>
      </c>
      <c r="W276" s="52">
        <f>IFERROR(VLOOKUP($A276,'The List'!$B1:$AS730,30,FALSE)," ")</f>
        <v>2.0122578300623215</v>
      </c>
      <c r="X276" s="52">
        <f>IFERROR(VLOOKUP($A276,'The List'!$B1:$AS730,31,FALSE)," ")</f>
        <v>0.33478693468991616</v>
      </c>
      <c r="Y276" s="52">
        <f>IFERROR(VLOOKUP($A276,'The List'!$B1:$AS730,32,FALSE)," ")</f>
        <v>0.46408936700471187</v>
      </c>
      <c r="Z276" s="52">
        <f>IFERROR(VLOOKUP($A276,'The List'!$B1:$AS730,33,FALSE)," ")</f>
        <v>0.419072306913779</v>
      </c>
      <c r="AA276" s="54"/>
      <c r="AB276" s="59"/>
      <c r="AC276" s="59"/>
      <c r="AD276" s="59"/>
      <c r="AE276" s="59"/>
      <c r="AF276" s="59"/>
    </row>
    <row r="277" spans="1:32" ht="21.2" customHeight="1">
      <c r="A277" s="23" t="s">
        <v>246</v>
      </c>
      <c r="B277" s="67" t="str">
        <f>IFERROR(VLOOKUP($A277,'The List'!$B1:$AS730,3,FALSE)," ")</f>
        <v>D</v>
      </c>
      <c r="C277" s="69">
        <f>IFERROR(VLOOKUP($A277,'The List'!$B1:$AS730,4,FALSE)," ")</f>
        <v>41</v>
      </c>
      <c r="D277" s="34" t="str">
        <f>IFERROR(VLOOKUP($A277,'The List'!$B1:$AS730,5,FALSE)," ")</f>
        <v>FLA</v>
      </c>
      <c r="E277" s="34">
        <f>IFERROR(VLOOKUP($A277,'The List'!$B1:$AS730,6,FALSE)," ")</f>
        <v>27</v>
      </c>
      <c r="F277" s="49">
        <f>IFERROR(VLOOKUP($A277,'The List'!$B1:$AS730,8,FALSE)," ")</f>
        <v>0.82985902337235906</v>
      </c>
      <c r="G277" s="49">
        <f>IFERROR(VLOOKUP($A277,'The List'!$B1:$AS730,10,FALSE)," ")</f>
        <v>-1.1118815202619516</v>
      </c>
      <c r="H277" s="38"/>
      <c r="I277" s="52">
        <f>IFERROR(VLOOKUP($A277,'The List'!$B1:$AS730,16,FALSE)," ")</f>
        <v>82</v>
      </c>
      <c r="J277" s="52">
        <f>IFERROR(VLOOKUP($A277,'The List'!$B1:$AS730,17,FALSE)," ")</f>
        <v>22.885238833841498</v>
      </c>
      <c r="K277" s="52">
        <f>IFERROR(VLOOKUP($A277,'The List'!$B1:$AS730,18,FALSE)," ")</f>
        <v>11.787075998233336</v>
      </c>
      <c r="L277" s="52">
        <f>IFERROR(VLOOKUP($A277,'The List'!$B1:$AS730,19,FALSE)," ")</f>
        <v>30.39143191309967</v>
      </c>
      <c r="M277" s="52">
        <f>IFERROR(VLOOKUP($A277,'The List'!$B1:$AS730,20,FALSE)," ")</f>
        <v>42.178507911333007</v>
      </c>
      <c r="N277" s="52">
        <f>IFERROR(VLOOKUP($A277,'The List'!$B1:$AS730,21,FALSE)," ")</f>
        <v>196.10155662753024</v>
      </c>
      <c r="O277" s="52">
        <f>IFERROR(VLOOKUP($A277,'The List'!$B1:$AS730,22,FALSE)," ")</f>
        <v>0.92406862790971001</v>
      </c>
      <c r="P277" s="52">
        <f>IFERROR(VLOOKUP($A277,'The List'!$B1:$AS730,23,FALSE)," ")</f>
        <v>4.5806579593860421</v>
      </c>
      <c r="Q277" s="52">
        <f>IFERROR(VLOOKUP($A277,'The List'!$B1:$AS730,24,FALSE)," ")</f>
        <v>2.4788119936587479E-2</v>
      </c>
      <c r="R277" s="52">
        <f>IFERROR(VLOOKUP($A277,'The List'!$B1:$AS730,25,FALSE)," ")</f>
        <v>1.2077916970347873</v>
      </c>
      <c r="S277" s="52">
        <f>IFERROR(VLOOKUP($A277,'The List'!$B1:$AS730,26,FALSE)," ")</f>
        <v>108.93702381879994</v>
      </c>
      <c r="T277" s="52">
        <f>IFERROR(VLOOKUP($A277,'The List'!$B1:$AS730,27,FALSE)," ")</f>
        <v>70.713893221180342</v>
      </c>
      <c r="U277" s="52">
        <f>IFERROR(VLOOKUP($A277,'The List'!$B1:$AS730,28,FALSE)," ")</f>
        <v>4.7596241798573962</v>
      </c>
      <c r="V277" s="52">
        <f>IFERROR(VLOOKUP($A277,'The List'!$B1:$AS730,29,FALSE)," ")</f>
        <v>34.939763445295561</v>
      </c>
      <c r="W277" s="52">
        <f>IFERROR(VLOOKUP($A277,'The List'!$B1:$AS730,30,FALSE)," ")</f>
        <v>1.6908829380637189</v>
      </c>
      <c r="X277" s="52">
        <f>IFERROR(VLOOKUP($A277,'The List'!$B1:$AS730,31,FALSE)," ")</f>
        <v>0</v>
      </c>
      <c r="Y277" s="52">
        <f>IFERROR(VLOOKUP($A277,'The List'!$B1:$AS730,32,FALSE)," ")</f>
        <v>0</v>
      </c>
      <c r="Z277" s="52">
        <f>IFERROR(VLOOKUP($A277,'The List'!$B1:$AS730,33,FALSE)," ")</f>
        <v>0</v>
      </c>
      <c r="AA277" s="54"/>
      <c r="AB277" s="59"/>
      <c r="AC277" s="59"/>
      <c r="AD277" s="59"/>
      <c r="AE277" s="59"/>
      <c r="AF277" s="59"/>
    </row>
    <row r="278" spans="1:32" ht="21.2" customHeight="1">
      <c r="A278" s="23" t="s">
        <v>209</v>
      </c>
      <c r="B278" s="67" t="str">
        <f>IFERROR(VLOOKUP($A278,'The List'!$B1:$AS730,3,FALSE)," ")</f>
        <v>D</v>
      </c>
      <c r="C278" s="69">
        <f>IFERROR(VLOOKUP($A278,'The List'!$B1:$AS730,4,FALSE)," ")</f>
        <v>24</v>
      </c>
      <c r="D278" s="34" t="str">
        <f>IFERROR(VLOOKUP($A278,'The List'!$B1:$AS730,5,FALSE)," ")</f>
        <v>LAK</v>
      </c>
      <c r="E278" s="34">
        <f>IFERROR(VLOOKUP($A278,'The List'!$B1:$AS730,6,FALSE)," ")</f>
        <v>33</v>
      </c>
      <c r="F278" s="49">
        <f>IFERROR(VLOOKUP($A278,'The List'!$B1:$AS730,8,FALSE)," ")</f>
        <v>3.136423936035897</v>
      </c>
      <c r="G278" s="49">
        <f>IFERROR(VLOOKUP($A278,'The List'!$B1:$AS730,10,FALSE)," ")</f>
        <v>1.1946833924015863</v>
      </c>
      <c r="H278" s="38"/>
      <c r="I278" s="52">
        <f>IFERROR(VLOOKUP($A278,'The List'!$B1:$AS730,16,FALSE)," ")</f>
        <v>82</v>
      </c>
      <c r="J278" s="52">
        <f>IFERROR(VLOOKUP($A278,'The List'!$B1:$AS730,17,FALSE)," ")</f>
        <v>26.167847642057701</v>
      </c>
      <c r="K278" s="52">
        <f>IFERROR(VLOOKUP($A278,'The List'!$B1:$AS730,18,FALSE)," ")</f>
        <v>9.759120617571428</v>
      </c>
      <c r="L278" s="52">
        <f>IFERROR(VLOOKUP($A278,'The List'!$B1:$AS730,19,FALSE)," ")</f>
        <v>40.960218547535256</v>
      </c>
      <c r="M278" s="52">
        <f>IFERROR(VLOOKUP($A278,'The List'!$B1:$AS730,20,FALSE)," ")</f>
        <v>50.719339165106682</v>
      </c>
      <c r="N278" s="52">
        <f>IFERROR(VLOOKUP($A278,'The List'!$B1:$AS730,21,FALSE)," ")</f>
        <v>155.59752408630857</v>
      </c>
      <c r="O278" s="52">
        <f>IFERROR(VLOOKUP($A278,'The List'!$B1:$AS730,22,FALSE)," ")</f>
        <v>5.1525375584320452</v>
      </c>
      <c r="P278" s="52">
        <f>IFERROR(VLOOKUP($A278,'The List'!$B1:$AS730,23,FALSE)," ")</f>
        <v>24.911953238482575</v>
      </c>
      <c r="Q278" s="52">
        <f>IFERROR(VLOOKUP($A278,'The List'!$B1:$AS730,24,FALSE)," ")</f>
        <v>-3.9886335183041702E-2</v>
      </c>
      <c r="R278" s="52">
        <f>IFERROR(VLOOKUP($A278,'The List'!$B1:$AS730,25,FALSE)," ")</f>
        <v>4.8513465370672679E-2</v>
      </c>
      <c r="S278" s="52">
        <f>IFERROR(VLOOKUP($A278,'The List'!$B1:$AS730,26,FALSE)," ")</f>
        <v>114.12909645255726</v>
      </c>
      <c r="T278" s="52">
        <f>IFERROR(VLOOKUP($A278,'The List'!$B1:$AS730,27,FALSE)," ")</f>
        <v>117.92739190147222</v>
      </c>
      <c r="U278" s="52">
        <f>IFERROR(VLOOKUP($A278,'The List'!$B1:$AS730,28,FALSE)," ")</f>
        <v>0.13658027535020276</v>
      </c>
      <c r="V278" s="52">
        <f>IFERROR(VLOOKUP($A278,'The List'!$B1:$AS730,29,FALSE)," ")</f>
        <v>43.410275363624194</v>
      </c>
      <c r="W278" s="52">
        <f>IFERROR(VLOOKUP($A278,'The List'!$B1:$AS730,30,FALSE)," ")</f>
        <v>1.4449457014228251</v>
      </c>
      <c r="X278" s="52">
        <f>IFERROR(VLOOKUP($A278,'The List'!$B1:$AS730,31,FALSE)," ")</f>
        <v>0</v>
      </c>
      <c r="Y278" s="52">
        <f>IFERROR(VLOOKUP($A278,'The List'!$B1:$AS730,32,FALSE)," ")</f>
        <v>0</v>
      </c>
      <c r="Z278" s="52">
        <f>IFERROR(VLOOKUP($A278,'The List'!$B1:$AS730,33,FALSE)," ")</f>
        <v>0</v>
      </c>
      <c r="AA278" s="54"/>
      <c r="AB278" s="59"/>
      <c r="AC278" s="59"/>
      <c r="AD278" s="59"/>
      <c r="AE278" s="59"/>
      <c r="AF278" s="59"/>
    </row>
    <row r="279" spans="1:32" ht="21.2" customHeight="1">
      <c r="A279" s="23"/>
      <c r="B279" s="67" t="str">
        <f>IFERROR(VLOOKUP($A279,'The List'!$B1:$AS730,3,FALSE)," ")</f>
        <v xml:space="preserve"> </v>
      </c>
      <c r="C279" s="69" t="str">
        <f>IFERROR(VLOOKUP($A279,'The List'!$B1:$AS730,4,FALSE)," ")</f>
        <v xml:space="preserve"> </v>
      </c>
      <c r="D279" s="34" t="str">
        <f>IFERROR(VLOOKUP($A279,'The List'!$B1:$AS730,5,FALSE)," ")</f>
        <v xml:space="preserve"> </v>
      </c>
      <c r="E279" s="34" t="str">
        <f>IFERROR(VLOOKUP($A279,'The List'!$B1:$AS730,6,FALSE)," ")</f>
        <v xml:space="preserve"> </v>
      </c>
      <c r="F279" s="49" t="str">
        <f>IFERROR(VLOOKUP($A279,'The List'!$B1:$AS730,8,FALSE)," ")</f>
        <v xml:space="preserve"> </v>
      </c>
      <c r="G279" s="49" t="str">
        <f>IFERROR(VLOOKUP($A279,'The List'!$B1:$AS730,10,FALSE)," ")</f>
        <v xml:space="preserve"> </v>
      </c>
      <c r="H279" s="38"/>
      <c r="I279" s="52" t="str">
        <f>IFERROR(VLOOKUP($A279,'The List'!$B1:$AS730,16,FALSE)," ")</f>
        <v xml:space="preserve"> </v>
      </c>
      <c r="J279" s="52" t="str">
        <f>IFERROR(VLOOKUP($A279,'The List'!$B1:$AS730,17,FALSE)," ")</f>
        <v xml:space="preserve"> </v>
      </c>
      <c r="K279" s="52" t="str">
        <f>IFERROR(VLOOKUP($A279,'The List'!$B1:$AS730,18,FALSE)," ")</f>
        <v xml:space="preserve"> </v>
      </c>
      <c r="L279" s="52" t="str">
        <f>IFERROR(VLOOKUP($A279,'The List'!$B1:$AS730,19,FALSE)," ")</f>
        <v xml:space="preserve"> </v>
      </c>
      <c r="M279" s="52" t="str">
        <f>IFERROR(VLOOKUP($A279,'The List'!$B1:$AS730,20,FALSE)," ")</f>
        <v xml:space="preserve"> </v>
      </c>
      <c r="N279" s="52" t="str">
        <f>IFERROR(VLOOKUP($A279,'The List'!$B1:$AS730,21,FALSE)," ")</f>
        <v xml:space="preserve"> </v>
      </c>
      <c r="O279" s="52" t="str">
        <f>IFERROR(VLOOKUP($A279,'The List'!$B1:$AS730,22,FALSE)," ")</f>
        <v xml:space="preserve"> </v>
      </c>
      <c r="P279" s="52" t="str">
        <f>IFERROR(VLOOKUP($A279,'The List'!$B1:$AS730,23,FALSE)," ")</f>
        <v xml:space="preserve"> </v>
      </c>
      <c r="Q279" s="52" t="str">
        <f>IFERROR(VLOOKUP($A279,'The List'!$B1:$AS730,24,FALSE)," ")</f>
        <v xml:space="preserve"> </v>
      </c>
      <c r="R279" s="52" t="str">
        <f>IFERROR(VLOOKUP($A279,'The List'!$B1:$AS730,25,FALSE)," ")</f>
        <v xml:space="preserve"> </v>
      </c>
      <c r="S279" s="52" t="str">
        <f>IFERROR(VLOOKUP($A279,'The List'!$B1:$AS730,26,FALSE)," ")</f>
        <v xml:space="preserve"> </v>
      </c>
      <c r="T279" s="52" t="str">
        <f>IFERROR(VLOOKUP($A279,'The List'!$B1:$AS730,27,FALSE)," ")</f>
        <v xml:space="preserve"> </v>
      </c>
      <c r="U279" s="52" t="str">
        <f>IFERROR(VLOOKUP($A279,'The List'!$B1:$AS730,28,FALSE)," ")</f>
        <v xml:space="preserve"> </v>
      </c>
      <c r="V279" s="52" t="str">
        <f>IFERROR(VLOOKUP($A279,'The List'!$B1:$AS730,29,FALSE)," ")</f>
        <v xml:space="preserve"> </v>
      </c>
      <c r="W279" s="52" t="str">
        <f>IFERROR(VLOOKUP($A279,'The List'!$B1:$AS730,30,FALSE)," ")</f>
        <v xml:space="preserve"> </v>
      </c>
      <c r="X279" s="52" t="str">
        <f>IFERROR(VLOOKUP($A279,'The List'!$B1:$AS730,31,FALSE)," ")</f>
        <v xml:space="preserve"> </v>
      </c>
      <c r="Y279" s="52" t="str">
        <f>IFERROR(VLOOKUP($A279,'The List'!$B1:$AS730,32,FALSE)," ")</f>
        <v xml:space="preserve"> </v>
      </c>
      <c r="Z279" s="52" t="str">
        <f>IFERROR(VLOOKUP($A279,'The List'!$B1:$AS730,33,FALSE)," ")</f>
        <v xml:space="preserve"> </v>
      </c>
      <c r="AA279" s="54"/>
      <c r="AB279" s="59"/>
      <c r="AC279" s="59"/>
      <c r="AD279" s="59"/>
      <c r="AE279" s="59"/>
      <c r="AF279" s="59"/>
    </row>
    <row r="280" spans="1:32" ht="21.2" customHeight="1">
      <c r="A280" s="23"/>
      <c r="B280" s="67" t="str">
        <f>IFERROR(VLOOKUP($A280,'The List'!$B1:$AS730,3,FALSE)," ")</f>
        <v xml:space="preserve"> </v>
      </c>
      <c r="C280" s="69" t="str">
        <f>IFERROR(VLOOKUP($A280,'The List'!$B1:$AS730,4,FALSE)," ")</f>
        <v xml:space="preserve"> </v>
      </c>
      <c r="D280" s="34" t="str">
        <f>IFERROR(VLOOKUP($A280,'The List'!$B1:$AS730,5,FALSE)," ")</f>
        <v xml:space="preserve"> </v>
      </c>
      <c r="E280" s="34" t="str">
        <f>IFERROR(VLOOKUP($A280,'The List'!$B1:$AS730,6,FALSE)," ")</f>
        <v xml:space="preserve"> </v>
      </c>
      <c r="F280" s="49" t="str">
        <f>IFERROR(VLOOKUP($A280,'The List'!$B1:$AS730,8,FALSE)," ")</f>
        <v xml:space="preserve"> </v>
      </c>
      <c r="G280" s="49" t="str">
        <f>IFERROR(VLOOKUP($A280,'The List'!$B1:$AS730,10,FALSE)," ")</f>
        <v xml:space="preserve"> </v>
      </c>
      <c r="H280" s="38"/>
      <c r="I280" s="52" t="str">
        <f>IFERROR(VLOOKUP($A280,'The List'!$B1:$AS730,16,FALSE)," ")</f>
        <v xml:space="preserve"> </v>
      </c>
      <c r="J280" s="52" t="str">
        <f>IFERROR(VLOOKUP($A280,'The List'!$B1:$AS730,17,FALSE)," ")</f>
        <v xml:space="preserve"> </v>
      </c>
      <c r="K280" s="52" t="str">
        <f>IFERROR(VLOOKUP($A280,'The List'!$B1:$AS730,18,FALSE)," ")</f>
        <v xml:space="preserve"> </v>
      </c>
      <c r="L280" s="52" t="str">
        <f>IFERROR(VLOOKUP($A280,'The List'!$B1:$AS730,19,FALSE)," ")</f>
        <v xml:space="preserve"> </v>
      </c>
      <c r="M280" s="52" t="str">
        <f>IFERROR(VLOOKUP($A280,'The List'!$B1:$AS730,20,FALSE)," ")</f>
        <v xml:space="preserve"> </v>
      </c>
      <c r="N280" s="52" t="str">
        <f>IFERROR(VLOOKUP($A280,'The List'!$B1:$AS730,21,FALSE)," ")</f>
        <v xml:space="preserve"> </v>
      </c>
      <c r="O280" s="52" t="str">
        <f>IFERROR(VLOOKUP($A280,'The List'!$B1:$AS730,22,FALSE)," ")</f>
        <v xml:space="preserve"> </v>
      </c>
      <c r="P280" s="52" t="str">
        <f>IFERROR(VLOOKUP($A280,'The List'!$B1:$AS730,23,FALSE)," ")</f>
        <v xml:space="preserve"> </v>
      </c>
      <c r="Q280" s="52" t="str">
        <f>IFERROR(VLOOKUP($A280,'The List'!$B1:$AS730,24,FALSE)," ")</f>
        <v xml:space="preserve"> </v>
      </c>
      <c r="R280" s="52" t="str">
        <f>IFERROR(VLOOKUP($A280,'The List'!$B1:$AS730,25,FALSE)," ")</f>
        <v xml:space="preserve"> </v>
      </c>
      <c r="S280" s="52" t="str">
        <f>IFERROR(VLOOKUP($A280,'The List'!$B1:$AS730,26,FALSE)," ")</f>
        <v xml:space="preserve"> </v>
      </c>
      <c r="T280" s="52" t="str">
        <f>IFERROR(VLOOKUP($A280,'The List'!$B1:$AS730,27,FALSE)," ")</f>
        <v xml:space="preserve"> </v>
      </c>
      <c r="U280" s="52" t="str">
        <f>IFERROR(VLOOKUP($A280,'The List'!$B1:$AS730,28,FALSE)," ")</f>
        <v xml:space="preserve"> </v>
      </c>
      <c r="V280" s="52" t="str">
        <f>IFERROR(VLOOKUP($A280,'The List'!$B1:$AS730,29,FALSE)," ")</f>
        <v xml:space="preserve"> </v>
      </c>
      <c r="W280" s="52" t="str">
        <f>IFERROR(VLOOKUP($A280,'The List'!$B1:$AS730,30,FALSE)," ")</f>
        <v xml:space="preserve"> </v>
      </c>
      <c r="X280" s="52" t="str">
        <f>IFERROR(VLOOKUP($A280,'The List'!$B1:$AS730,31,FALSE)," ")</f>
        <v xml:space="preserve"> </v>
      </c>
      <c r="Y280" s="52" t="str">
        <f>IFERROR(VLOOKUP($A280,'The List'!$B1:$AS730,32,FALSE)," ")</f>
        <v xml:space="preserve"> </v>
      </c>
      <c r="Z280" s="52" t="str">
        <f>IFERROR(VLOOKUP($A280,'The List'!$B1:$AS730,33,FALSE)," ")</f>
        <v xml:space="preserve"> </v>
      </c>
      <c r="AA280" s="54"/>
      <c r="AB280" s="59"/>
      <c r="AC280" s="59"/>
      <c r="AD280" s="59"/>
      <c r="AE280" s="59"/>
      <c r="AF280" s="59"/>
    </row>
    <row r="281" spans="1:32" ht="21.2" customHeight="1">
      <c r="A281" s="23"/>
      <c r="B281" s="67" t="str">
        <f>IFERROR(VLOOKUP($A281,'The List'!$B1:$AS730,3,FALSE)," ")</f>
        <v xml:space="preserve"> </v>
      </c>
      <c r="C281" s="69" t="str">
        <f>IFERROR(VLOOKUP($A281,'The List'!$B1:$AS730,4,FALSE)," ")</f>
        <v xml:space="preserve"> </v>
      </c>
      <c r="D281" s="34" t="str">
        <f>IFERROR(VLOOKUP($A281,'The List'!$B1:$AS730,5,FALSE)," ")</f>
        <v xml:space="preserve"> </v>
      </c>
      <c r="E281" s="34" t="str">
        <f>IFERROR(VLOOKUP($A281,'The List'!$B1:$AS730,6,FALSE)," ")</f>
        <v xml:space="preserve"> </v>
      </c>
      <c r="F281" s="49" t="str">
        <f>IFERROR(VLOOKUP($A281,'The List'!$B1:$AS730,8,FALSE)," ")</f>
        <v xml:space="preserve"> </v>
      </c>
      <c r="G281" s="49" t="str">
        <f>IFERROR(VLOOKUP($A281,'The List'!$B1:$AS730,10,FALSE)," ")</f>
        <v xml:space="preserve"> </v>
      </c>
      <c r="H281" s="38"/>
      <c r="I281" s="52" t="str">
        <f>IFERROR(VLOOKUP($A281,'The List'!$B1:$AS730,16,FALSE)," ")</f>
        <v xml:space="preserve"> </v>
      </c>
      <c r="J281" s="52" t="str">
        <f>IFERROR(VLOOKUP($A281,'The List'!$B1:$AS730,17,FALSE)," ")</f>
        <v xml:space="preserve"> </v>
      </c>
      <c r="K281" s="52" t="str">
        <f>IFERROR(VLOOKUP($A281,'The List'!$B1:$AS730,18,FALSE)," ")</f>
        <v xml:space="preserve"> </v>
      </c>
      <c r="L281" s="52" t="str">
        <f>IFERROR(VLOOKUP($A281,'The List'!$B1:$AS730,19,FALSE)," ")</f>
        <v xml:space="preserve"> </v>
      </c>
      <c r="M281" s="52" t="str">
        <f>IFERROR(VLOOKUP($A281,'The List'!$B1:$AS730,20,FALSE)," ")</f>
        <v xml:space="preserve"> </v>
      </c>
      <c r="N281" s="52" t="str">
        <f>IFERROR(VLOOKUP($A281,'The List'!$B1:$AS730,21,FALSE)," ")</f>
        <v xml:space="preserve"> </v>
      </c>
      <c r="O281" s="52" t="str">
        <f>IFERROR(VLOOKUP($A281,'The List'!$B1:$AS730,22,FALSE)," ")</f>
        <v xml:space="preserve"> </v>
      </c>
      <c r="P281" s="52" t="str">
        <f>IFERROR(VLOOKUP($A281,'The List'!$B1:$AS730,23,FALSE)," ")</f>
        <v xml:space="preserve"> </v>
      </c>
      <c r="Q281" s="52" t="str">
        <f>IFERROR(VLOOKUP($A281,'The List'!$B1:$AS730,24,FALSE)," ")</f>
        <v xml:space="preserve"> </v>
      </c>
      <c r="R281" s="52" t="str">
        <f>IFERROR(VLOOKUP($A281,'The List'!$B1:$AS730,25,FALSE)," ")</f>
        <v xml:space="preserve"> </v>
      </c>
      <c r="S281" s="52" t="str">
        <f>IFERROR(VLOOKUP($A281,'The List'!$B1:$AS730,26,FALSE)," ")</f>
        <v xml:space="preserve"> </v>
      </c>
      <c r="T281" s="52" t="str">
        <f>IFERROR(VLOOKUP($A281,'The List'!$B1:$AS730,27,FALSE)," ")</f>
        <v xml:space="preserve"> </v>
      </c>
      <c r="U281" s="52" t="str">
        <f>IFERROR(VLOOKUP($A281,'The List'!$B1:$AS730,28,FALSE)," ")</f>
        <v xml:space="preserve"> </v>
      </c>
      <c r="V281" s="52" t="str">
        <f>IFERROR(VLOOKUP($A281,'The List'!$B1:$AS730,29,FALSE)," ")</f>
        <v xml:space="preserve"> </v>
      </c>
      <c r="W281" s="52" t="str">
        <f>IFERROR(VLOOKUP($A281,'The List'!$B1:$AS730,30,FALSE)," ")</f>
        <v xml:space="preserve"> </v>
      </c>
      <c r="X281" s="52" t="str">
        <f>IFERROR(VLOOKUP($A281,'The List'!$B1:$AS730,31,FALSE)," ")</f>
        <v xml:space="preserve"> </v>
      </c>
      <c r="Y281" s="52" t="str">
        <f>IFERROR(VLOOKUP($A281,'The List'!$B1:$AS730,32,FALSE)," ")</f>
        <v xml:space="preserve"> </v>
      </c>
      <c r="Z281" s="52" t="str">
        <f>IFERROR(VLOOKUP($A281,'The List'!$B1:$AS730,33,FALSE)," ")</f>
        <v xml:space="preserve"> </v>
      </c>
      <c r="AA281" s="54"/>
      <c r="AB281" s="59"/>
      <c r="AC281" s="59"/>
      <c r="AD281" s="59"/>
      <c r="AE281" s="59"/>
      <c r="AF281" s="59"/>
    </row>
    <row r="282" spans="1:32" ht="21.2" customHeight="1">
      <c r="A282" s="71"/>
      <c r="B282" s="72" t="str">
        <f>IFERROR(VLOOKUP($A282,'The List'!$B1:$AS730,3,FALSE)," ")</f>
        <v xml:space="preserve"> </v>
      </c>
      <c r="C282" s="73" t="str">
        <f>IFERROR(VLOOKUP($A282,'The List'!$B1:$AS730,4,FALSE)," ")</f>
        <v xml:space="preserve"> </v>
      </c>
      <c r="D282" s="74" t="str">
        <f>IFERROR(VLOOKUP($A282,'The List'!$B1:$AS730,5,FALSE)," ")</f>
        <v xml:space="preserve"> </v>
      </c>
      <c r="E282" s="74" t="str">
        <f>IFERROR(VLOOKUP($A282,'The List'!$B1:$AS730,6,FALSE)," ")</f>
        <v xml:space="preserve"> </v>
      </c>
      <c r="F282" s="75" t="str">
        <f>IFERROR(VLOOKUP($A282,'The List'!$B1:$AS730,8,FALSE)," ")</f>
        <v xml:space="preserve"> </v>
      </c>
      <c r="G282" s="75" t="str">
        <f>IFERROR(VLOOKUP($A282,'The List'!$B1:$AS730,10,FALSE)," ")</f>
        <v xml:space="preserve"> </v>
      </c>
      <c r="H282" s="76"/>
      <c r="I282" s="77" t="str">
        <f>IFERROR(VLOOKUP($A282,'The List'!$B1:$AS730,16,FALSE)," ")</f>
        <v xml:space="preserve"> </v>
      </c>
      <c r="J282" s="77" t="str">
        <f>IFERROR(VLOOKUP($A282,'The List'!$B1:$AS730,17,FALSE)," ")</f>
        <v xml:space="preserve"> </v>
      </c>
      <c r="K282" s="77" t="str">
        <f>IFERROR(VLOOKUP($A282,'The List'!$B1:$AS730,18,FALSE)," ")</f>
        <v xml:space="preserve"> </v>
      </c>
      <c r="L282" s="77" t="str">
        <f>IFERROR(VLOOKUP($A282,'The List'!$B1:$AS730,19,FALSE)," ")</f>
        <v xml:space="preserve"> </v>
      </c>
      <c r="M282" s="77" t="str">
        <f>IFERROR(VLOOKUP($A282,'The List'!$B1:$AS730,20,FALSE)," ")</f>
        <v xml:space="preserve"> </v>
      </c>
      <c r="N282" s="77" t="str">
        <f>IFERROR(VLOOKUP($A282,'The List'!$B1:$AS730,21,FALSE)," ")</f>
        <v xml:space="preserve"> </v>
      </c>
      <c r="O282" s="77" t="str">
        <f>IFERROR(VLOOKUP($A282,'The List'!$B1:$AS730,22,FALSE)," ")</f>
        <v xml:space="preserve"> </v>
      </c>
      <c r="P282" s="77" t="str">
        <f>IFERROR(VLOOKUP($A282,'The List'!$B1:$AS730,23,FALSE)," ")</f>
        <v xml:space="preserve"> </v>
      </c>
      <c r="Q282" s="77" t="str">
        <f>IFERROR(VLOOKUP($A282,'The List'!$B1:$AS730,24,FALSE)," ")</f>
        <v xml:space="preserve"> </v>
      </c>
      <c r="R282" s="77" t="str">
        <f>IFERROR(VLOOKUP($A282,'The List'!$B1:$AS730,25,FALSE)," ")</f>
        <v xml:space="preserve"> </v>
      </c>
      <c r="S282" s="77" t="str">
        <f>IFERROR(VLOOKUP($A282,'The List'!$B1:$AS730,26,FALSE)," ")</f>
        <v xml:space="preserve"> </v>
      </c>
      <c r="T282" s="77" t="str">
        <f>IFERROR(VLOOKUP($A282,'The List'!$B1:$AS730,27,FALSE)," ")</f>
        <v xml:space="preserve"> </v>
      </c>
      <c r="U282" s="77" t="str">
        <f>IFERROR(VLOOKUP($A282,'The List'!$B1:$AS730,28,FALSE)," ")</f>
        <v xml:space="preserve"> </v>
      </c>
      <c r="V282" s="77" t="str">
        <f>IFERROR(VLOOKUP($A282,'The List'!$B1:$AS730,29,FALSE)," ")</f>
        <v xml:space="preserve"> </v>
      </c>
      <c r="W282" s="77" t="str">
        <f>IFERROR(VLOOKUP($A282,'The List'!$B1:$AS730,30,FALSE)," ")</f>
        <v xml:space="preserve"> </v>
      </c>
      <c r="X282" s="77" t="str">
        <f>IFERROR(VLOOKUP($A282,'The List'!$B1:$AS730,31,FALSE)," ")</f>
        <v xml:space="preserve"> </v>
      </c>
      <c r="Y282" s="77" t="str">
        <f>IFERROR(VLOOKUP($A282,'The List'!$B1:$AS730,32,FALSE)," ")</f>
        <v xml:space="preserve"> </v>
      </c>
      <c r="Z282" s="77" t="str">
        <f>IFERROR(VLOOKUP($A282,'The List'!$B1:$AS730,33,FALSE)," ")</f>
        <v xml:space="preserve"> </v>
      </c>
      <c r="AA282" s="54"/>
      <c r="AB282" s="59"/>
      <c r="AC282" s="59"/>
      <c r="AD282" s="59"/>
      <c r="AE282" s="59"/>
      <c r="AF282" s="59"/>
    </row>
    <row r="283" spans="1:32" ht="21.2" customHeight="1">
      <c r="A283" s="78"/>
      <c r="B283" s="79"/>
      <c r="C283" s="80"/>
      <c r="D283" s="81"/>
      <c r="E283" s="116">
        <f>IFERROR(AVERAGE(E263:E282)," ")</f>
        <v>28.142857142857142</v>
      </c>
      <c r="F283" s="83">
        <f>SUM(F263:F282)</f>
        <v>110.64182649895292</v>
      </c>
      <c r="G283" s="83">
        <f>SUM(G263:G282)</f>
        <v>39.20987247368717</v>
      </c>
      <c r="H283" s="84"/>
      <c r="I283" s="85">
        <f>SUM(I263:I282)</f>
        <v>1148</v>
      </c>
      <c r="J283" s="84">
        <f>AVERAGE(J263:J282)</f>
        <v>20.801122293033732</v>
      </c>
      <c r="K283" s="85">
        <f t="shared" ref="K283:Y283" si="18">SUM(K263:K282)</f>
        <v>398.55430201833565</v>
      </c>
      <c r="L283" s="85">
        <f t="shared" si="18"/>
        <v>657.79543910027519</v>
      </c>
      <c r="M283" s="85">
        <f t="shared" si="18"/>
        <v>1056.3497411186106</v>
      </c>
      <c r="N283" s="85">
        <f t="shared" si="18"/>
        <v>3248.4642449293192</v>
      </c>
      <c r="O283" s="85">
        <f t="shared" si="18"/>
        <v>124.85683420911356</v>
      </c>
      <c r="P283" s="85">
        <f t="shared" si="18"/>
        <v>371.54596329908134</v>
      </c>
      <c r="Q283" s="85">
        <f t="shared" si="18"/>
        <v>7.4385995832120795</v>
      </c>
      <c r="R283" s="85">
        <f t="shared" si="18"/>
        <v>16.032681145213061</v>
      </c>
      <c r="S283" s="85">
        <f t="shared" si="18"/>
        <v>809.85677509461186</v>
      </c>
      <c r="T283" s="85">
        <f t="shared" si="18"/>
        <v>1022.2244329677529</v>
      </c>
      <c r="U283" s="85">
        <f t="shared" si="18"/>
        <v>58.072884217684376</v>
      </c>
      <c r="V283" s="85">
        <f t="shared" si="18"/>
        <v>498.91092484157679</v>
      </c>
      <c r="W283" s="85">
        <f t="shared" si="18"/>
        <v>60.481874677117972</v>
      </c>
      <c r="X283" s="85">
        <f t="shared" si="18"/>
        <v>2012.471116697167</v>
      </c>
      <c r="Y283" s="85">
        <f t="shared" si="18"/>
        <v>1990.0390260758002</v>
      </c>
      <c r="Z283" s="86">
        <f>IFERROR(X283/(X283+Y283),0)</f>
        <v>0.50280225281400859</v>
      </c>
      <c r="AA283" s="54"/>
      <c r="AB283" s="87"/>
      <c r="AC283" s="87"/>
      <c r="AD283" s="87"/>
      <c r="AE283" s="87"/>
      <c r="AF283" s="87"/>
    </row>
    <row r="284" spans="1:32" ht="21.2" customHeight="1">
      <c r="A284" s="88"/>
      <c r="B284" s="89"/>
      <c r="C284" s="90"/>
      <c r="D284" s="11"/>
      <c r="E284" s="11"/>
      <c r="F284" s="91"/>
      <c r="G284" s="92"/>
      <c r="H284" s="93"/>
      <c r="I284" s="9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9"/>
      <c r="AC284" s="59"/>
      <c r="AD284" s="59"/>
      <c r="AE284" s="59"/>
      <c r="AF284" s="59"/>
    </row>
    <row r="285" spans="1:32" ht="21.2" customHeight="1">
      <c r="A285" s="24" t="s">
        <v>64</v>
      </c>
      <c r="B285" s="231" t="s">
        <v>66</v>
      </c>
      <c r="C285" s="223"/>
      <c r="D285" s="95" t="s">
        <v>67</v>
      </c>
      <c r="E285" s="95" t="s">
        <v>68</v>
      </c>
      <c r="F285" s="96" t="s">
        <v>70</v>
      </c>
      <c r="G285" s="96" t="s">
        <v>72</v>
      </c>
      <c r="H285" s="97"/>
      <c r="I285" s="98" t="s">
        <v>77</v>
      </c>
      <c r="J285" s="98" t="s">
        <v>95</v>
      </c>
      <c r="K285" s="98" t="s">
        <v>96</v>
      </c>
      <c r="L285" s="98" t="s">
        <v>97</v>
      </c>
      <c r="M285" s="98" t="s">
        <v>98</v>
      </c>
      <c r="N285" s="98" t="s">
        <v>99</v>
      </c>
      <c r="O285" s="98" t="s">
        <v>100</v>
      </c>
      <c r="P285" s="98" t="s">
        <v>101</v>
      </c>
      <c r="Q285" s="98" t="s">
        <v>102</v>
      </c>
      <c r="R285" s="54"/>
      <c r="S285" s="54"/>
      <c r="T285" s="54"/>
      <c r="U285" s="231" t="s">
        <v>839</v>
      </c>
      <c r="V285" s="232"/>
      <c r="W285" s="232"/>
      <c r="X285" s="231" t="s">
        <v>840</v>
      </c>
      <c r="Y285" s="232"/>
      <c r="Z285" s="232"/>
      <c r="AA285" s="54"/>
      <c r="AB285" s="54"/>
      <c r="AC285" s="54"/>
      <c r="AD285" s="54"/>
      <c r="AE285" s="54"/>
      <c r="AF285" s="54"/>
    </row>
    <row r="286" spans="1:32" ht="21.2" customHeight="1">
      <c r="A286" s="117" t="s">
        <v>361</v>
      </c>
      <c r="B286" s="100" t="str">
        <f>IFERROR(VLOOKUP($A286,'The List'!$B1:$AS730,3,FALSE)," ")</f>
        <v>G</v>
      </c>
      <c r="C286" s="118">
        <f>IFERROR(VLOOKUP($A286,'The List'!$B1:$AS730,4,FALSE)," ")</f>
        <v>25</v>
      </c>
      <c r="D286" s="102" t="str">
        <f>IFERROR(VLOOKUP($A286,'The List'!$B1:$AS730,5,FALSE)," ")</f>
        <v>OTT</v>
      </c>
      <c r="E286" s="102">
        <f>IFERROR(VLOOKUP($A286,'The List'!$B1:$AS730,6,FALSE)," ")</f>
        <v>29</v>
      </c>
      <c r="F286" s="119">
        <f>IFERROR(VLOOKUP($A286,'The List'!$B1:$AS730,8,FALSE)," ")</f>
        <v>1.1937284377781698</v>
      </c>
      <c r="G286" s="119">
        <f>IFERROR(VLOOKUP($A286,'The List'!$B1:$AS730,10,FALSE)," ")</f>
        <v>-0.51050061341212172</v>
      </c>
      <c r="H286" s="105"/>
      <c r="I286" s="120">
        <f>IFERROR(VLOOKUP($A286,'The List'!$B1:$AS730,35,FALSE)," ")</f>
        <v>44</v>
      </c>
      <c r="J286" s="120">
        <f>IFERROR(VLOOKUP($A286,'The List'!$B1:$AS730,36,FALSE)," ")</f>
        <v>23.024288042785567</v>
      </c>
      <c r="K286" s="120">
        <f>IFERROR(VLOOKUP($A286,'The List'!$B1:$AS730,37,FALSE)," ")</f>
        <v>15.475711957214433</v>
      </c>
      <c r="L286" s="120">
        <f>IFERROR(VLOOKUP($A286,'The List'!$B1:$AS730,38,FALSE)," ")</f>
        <v>5.5</v>
      </c>
      <c r="M286" s="120">
        <f>IFERROR(VLOOKUP($A286,'The List'!$B1:$AS730,39,FALSE)," ")</f>
        <v>2.3230609911292253</v>
      </c>
      <c r="N286" s="120">
        <f>IFERROR(VLOOKUP($A286,'The List'!$B1:$AS730,40,FALSE)," ")</f>
        <v>1224.7152186672656</v>
      </c>
      <c r="O286" s="120">
        <f>IFERROR(VLOOKUP($A286,'The List'!$B1:$AS730,41,FALSE)," ")</f>
        <v>125.55155770773263</v>
      </c>
      <c r="P286" s="120">
        <f>IFERROR(VLOOKUP($A286,'The List'!$B1:$AS730,42,FALSE)," ")</f>
        <v>0.90701722066746293</v>
      </c>
      <c r="Q286" s="120">
        <f>IFERROR(VLOOKUP($A286,'The List'!$B1:$AS730,43,FALSE)," ")</f>
        <v>2.8534444933575598</v>
      </c>
      <c r="R286" s="54"/>
      <c r="S286" s="54"/>
      <c r="T286" s="109" t="str">
        <f>A233</f>
        <v>Leprosy Hokey</v>
      </c>
      <c r="U286" s="230">
        <f>F283+F289</f>
        <v>111.80728046113232</v>
      </c>
      <c r="V286" s="223"/>
      <c r="W286" s="223"/>
      <c r="X286" s="230">
        <f>G289+G283</f>
        <v>36.966868333485991</v>
      </c>
      <c r="Y286" s="223"/>
      <c r="Z286" s="223"/>
      <c r="AA286" s="54"/>
      <c r="AB286" s="54"/>
      <c r="AC286" s="54"/>
      <c r="AD286" s="54"/>
      <c r="AE286" s="54"/>
      <c r="AF286" s="54"/>
    </row>
    <row r="287" spans="1:32" ht="21.2" customHeight="1">
      <c r="A287" s="23" t="s">
        <v>574</v>
      </c>
      <c r="B287" s="110" t="str">
        <f>IFERROR(VLOOKUP($A287,'The List'!$B1:$AS730,3,FALSE)," ")</f>
        <v>G</v>
      </c>
      <c r="C287" s="111">
        <f>IFERROR(VLOOKUP($A287,'The List'!$B1:$AS730,4,FALSE)," ")</f>
        <v>34</v>
      </c>
      <c r="D287" s="34" t="str">
        <f>IFERROR(VLOOKUP($A287,'The List'!$B1:$AS730,5,FALSE)," ")</f>
        <v>NJD</v>
      </c>
      <c r="E287" s="34">
        <f>IFERROR(VLOOKUP($A287,'The List'!$B1:$AS730,6,FALSE)," ")</f>
        <v>23</v>
      </c>
      <c r="F287" s="49">
        <f>IFERROR(VLOOKUP($A287,'The List'!$B1:$AS730,8,FALSE)," ")</f>
        <v>-2.8274475598769916E-2</v>
      </c>
      <c r="G287" s="49">
        <f>IFERROR(VLOOKUP($A287,'The List'!$B1:$AS730,10,FALSE)," ")</f>
        <v>-1.7325035267890614</v>
      </c>
      <c r="H287" s="38"/>
      <c r="I287" s="52">
        <f>IFERROR(VLOOKUP($A287,'The List'!$B1:$AS730,35,FALSE)," ")</f>
        <v>32</v>
      </c>
      <c r="J287" s="52">
        <f>IFERROR(VLOOKUP($A287,'The List'!$B1:$AS730,36,FALSE)," ")</f>
        <v>18.932972437323169</v>
      </c>
      <c r="K287" s="52">
        <f>IFERROR(VLOOKUP($A287,'The List'!$B1:$AS730,37,FALSE)," ")</f>
        <v>9.0670275626768309</v>
      </c>
      <c r="L287" s="52">
        <f>IFERROR(VLOOKUP($A287,'The List'!$B1:$AS730,38,FALSE)," ")</f>
        <v>4</v>
      </c>
      <c r="M287" s="52">
        <f>IFERROR(VLOOKUP($A287,'The List'!$B1:$AS730,39,FALSE)," ")</f>
        <v>1.7620952849026752</v>
      </c>
      <c r="N287" s="52">
        <f>IFERROR(VLOOKUP($A287,'The List'!$B1:$AS730,40,FALSE)," ")</f>
        <v>878.0401551555874</v>
      </c>
      <c r="O287" s="52">
        <f>IFERROR(VLOOKUP($A287,'The List'!$B1:$AS730,41,FALSE)," ")</f>
        <v>89.23050924291374</v>
      </c>
      <c r="P287" s="52">
        <f>IFERROR(VLOOKUP($A287,'The List'!$B1:$AS730,42,FALSE)," ")</f>
        <v>0.90775021663827482</v>
      </c>
      <c r="Q287" s="52">
        <f>IFERROR(VLOOKUP($A287,'The List'!$B1:$AS730,43,FALSE)," ")</f>
        <v>2.7884534138410544</v>
      </c>
      <c r="R287" s="54"/>
      <c r="S287" s="54"/>
      <c r="T287" s="54"/>
      <c r="U287" s="223"/>
      <c r="V287" s="223"/>
      <c r="W287" s="223"/>
      <c r="X287" s="223"/>
      <c r="Y287" s="223"/>
      <c r="Z287" s="223"/>
      <c r="AA287" s="54"/>
      <c r="AB287" s="54"/>
      <c r="AC287" s="54"/>
      <c r="AD287" s="54"/>
      <c r="AE287" s="54"/>
      <c r="AF287" s="54"/>
    </row>
    <row r="288" spans="1:32" ht="21.2" customHeight="1">
      <c r="A288" s="71"/>
      <c r="B288" s="112" t="str">
        <f>IFERROR(VLOOKUP($A288,'The List'!$B1:$AS730,3,FALSE)," ")</f>
        <v xml:space="preserve"> </v>
      </c>
      <c r="C288" s="113" t="str">
        <f>IFERROR(VLOOKUP($A288,'The List'!$B1:$AS730,4,FALSE)," ")</f>
        <v xml:space="preserve"> </v>
      </c>
      <c r="D288" s="74" t="str">
        <f>IFERROR(VLOOKUP($A288,'The List'!$B1:$AS730,5,FALSE)," ")</f>
        <v xml:space="preserve"> </v>
      </c>
      <c r="E288" s="74" t="str">
        <f>IFERROR(VLOOKUP($A288,'The List'!$B1:$AS730,6,FALSE)," ")</f>
        <v xml:space="preserve"> </v>
      </c>
      <c r="F288" s="75" t="str">
        <f>IFERROR(VLOOKUP($A288,'The List'!$B1:$AS730,8,FALSE)," ")</f>
        <v xml:space="preserve"> </v>
      </c>
      <c r="G288" s="75" t="str">
        <f>IFERROR(VLOOKUP($A288,'The List'!$B1:$AS730,10,FALSE)," ")</f>
        <v xml:space="preserve"> </v>
      </c>
      <c r="H288" s="76"/>
      <c r="I288" s="77" t="str">
        <f>IFERROR(VLOOKUP($A288,'The List'!$B1:$AS730,35,FALSE)," ")</f>
        <v xml:space="preserve"> </v>
      </c>
      <c r="J288" s="77" t="str">
        <f>IFERROR(VLOOKUP($A288,'The List'!$B1:$AS730,36,FALSE)," ")</f>
        <v xml:space="preserve"> </v>
      </c>
      <c r="K288" s="77" t="str">
        <f>IFERROR(VLOOKUP($A288,'The List'!$B1:$AS730,37,FALSE)," ")</f>
        <v xml:space="preserve"> </v>
      </c>
      <c r="L288" s="77" t="str">
        <f>IFERROR(VLOOKUP($A288,'The List'!$B1:$AS730,38,FALSE)," ")</f>
        <v xml:space="preserve"> </v>
      </c>
      <c r="M288" s="77" t="str">
        <f>IFERROR(VLOOKUP($A288,'The List'!$B1:$AS730,39,FALSE)," ")</f>
        <v xml:space="preserve"> </v>
      </c>
      <c r="N288" s="77" t="str">
        <f>IFERROR(VLOOKUP($A288,'The List'!$B1:$AS730,40,FALSE)," ")</f>
        <v xml:space="preserve"> </v>
      </c>
      <c r="O288" s="77" t="str">
        <f>IFERROR(VLOOKUP($A288,'The List'!$B1:$AS730,41,FALSE)," ")</f>
        <v xml:space="preserve"> </v>
      </c>
      <c r="P288" s="77" t="str">
        <f>IFERROR(VLOOKUP($A288,'The List'!$B1:$AS730,42,FALSE)," ")</f>
        <v xml:space="preserve"> </v>
      </c>
      <c r="Q288" s="77" t="str">
        <f>IFERROR(VLOOKUP($A288,'The List'!$B1:$AS730,43,FALSE)," ")</f>
        <v xml:space="preserve"> </v>
      </c>
      <c r="R288" s="54"/>
      <c r="S288" s="54"/>
      <c r="T288" s="54"/>
      <c r="U288" s="223"/>
      <c r="V288" s="223"/>
      <c r="W288" s="223"/>
      <c r="X288" s="223"/>
      <c r="Y288" s="223"/>
      <c r="Z288" s="223"/>
      <c r="AA288" s="54"/>
      <c r="AB288" s="54"/>
      <c r="AC288" s="54"/>
      <c r="AD288" s="54"/>
      <c r="AE288" s="54"/>
      <c r="AF288" s="54"/>
    </row>
    <row r="289" spans="1:32" ht="21.2" customHeight="1">
      <c r="A289" s="78"/>
      <c r="B289" s="79"/>
      <c r="C289" s="80"/>
      <c r="D289" s="81"/>
      <c r="E289" s="116">
        <f>IFERROR(AVERAGE(E286:E288)," ")</f>
        <v>26</v>
      </c>
      <c r="F289" s="83">
        <f>SUM(F286:F288)</f>
        <v>1.1654539621794</v>
      </c>
      <c r="G289" s="83">
        <f>SUM(G286:G288)</f>
        <v>-2.2430041402011831</v>
      </c>
      <c r="H289" s="84"/>
      <c r="I289" s="85">
        <f t="shared" ref="I289:O289" si="19">SUM(I286:I288)</f>
        <v>76</v>
      </c>
      <c r="J289" s="84">
        <f t="shared" si="19"/>
        <v>41.957260480108737</v>
      </c>
      <c r="K289" s="85">
        <f t="shared" si="19"/>
        <v>24.542739519891263</v>
      </c>
      <c r="L289" s="85">
        <f t="shared" si="19"/>
        <v>9.5</v>
      </c>
      <c r="M289" s="85">
        <f t="shared" si="19"/>
        <v>4.0851562760319009</v>
      </c>
      <c r="N289" s="85">
        <f t="shared" si="19"/>
        <v>2102.755373822853</v>
      </c>
      <c r="O289" s="85">
        <f t="shared" si="19"/>
        <v>214.78206695064637</v>
      </c>
      <c r="P289" s="114">
        <f>1-(O289/(N289+O289))</f>
        <v>0.90732315121564511</v>
      </c>
      <c r="Q289" s="115">
        <f>O289/I289</f>
        <v>2.8260798282979787</v>
      </c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</row>
    <row r="290" spans="1:32" ht="70.7" customHeight="1">
      <c r="A290" s="88"/>
      <c r="B290" s="89"/>
      <c r="C290" s="90"/>
      <c r="D290" s="11"/>
      <c r="E290" s="11"/>
      <c r="F290" s="91"/>
      <c r="G290" s="92"/>
      <c r="H290" s="93"/>
      <c r="I290" s="9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9"/>
      <c r="AB290" s="59"/>
      <c r="AC290" s="59"/>
      <c r="AD290" s="59"/>
      <c r="AE290" s="59"/>
      <c r="AF290" s="59"/>
    </row>
    <row r="291" spans="1:32" ht="21.2" customHeight="1">
      <c r="A291" s="25" t="s">
        <v>910</v>
      </c>
      <c r="B291" s="229" t="s">
        <v>66</v>
      </c>
      <c r="C291" s="221"/>
      <c r="D291" s="26" t="s">
        <v>67</v>
      </c>
      <c r="E291" s="26" t="s">
        <v>68</v>
      </c>
      <c r="F291" s="27" t="s">
        <v>70</v>
      </c>
      <c r="G291" s="27" t="s">
        <v>72</v>
      </c>
      <c r="H291" s="28"/>
      <c r="I291" s="30" t="s">
        <v>77</v>
      </c>
      <c r="J291" s="30" t="s">
        <v>78</v>
      </c>
      <c r="K291" s="30" t="s">
        <v>79</v>
      </c>
      <c r="L291" s="30" t="s">
        <v>80</v>
      </c>
      <c r="M291" s="30" t="s">
        <v>81</v>
      </c>
      <c r="N291" s="30" t="s">
        <v>82</v>
      </c>
      <c r="O291" s="30" t="s">
        <v>83</v>
      </c>
      <c r="P291" s="30" t="s">
        <v>84</v>
      </c>
      <c r="Q291" s="30" t="s">
        <v>85</v>
      </c>
      <c r="R291" s="30" t="s">
        <v>86</v>
      </c>
      <c r="S291" s="30" t="s">
        <v>87</v>
      </c>
      <c r="T291" s="30" t="s">
        <v>88</v>
      </c>
      <c r="U291" s="30" t="s">
        <v>89</v>
      </c>
      <c r="V291" s="30" t="s">
        <v>90</v>
      </c>
      <c r="W291" s="30" t="s">
        <v>91</v>
      </c>
      <c r="X291" s="30" t="s">
        <v>92</v>
      </c>
      <c r="Y291" s="30" t="s">
        <v>93</v>
      </c>
      <c r="Z291" s="30" t="s">
        <v>94</v>
      </c>
      <c r="AA291" s="54"/>
      <c r="AB291" s="55"/>
      <c r="AC291" s="55"/>
      <c r="AD291" s="55"/>
      <c r="AE291" s="55"/>
      <c r="AF291" s="55"/>
    </row>
    <row r="292" spans="1:32" ht="21.2" customHeight="1">
      <c r="A292" s="23" t="s">
        <v>195</v>
      </c>
      <c r="B292" s="56" t="str">
        <f>IFERROR(VLOOKUP($A292,'The List'!$B1:$AS730,3,FALSE)," ")</f>
        <v>C</v>
      </c>
      <c r="C292" s="60">
        <f>IFERROR(VLOOKUP($A292,'The List'!$B1:$AS730,4,FALSE)," ")</f>
        <v>19</v>
      </c>
      <c r="D292" s="34" t="str">
        <f>IFERROR(VLOOKUP($A292,'The List'!$B1:$AS730,5,FALSE)," ")</f>
        <v>VGK</v>
      </c>
      <c r="E292" s="34">
        <f>IFERROR(VLOOKUP($A292,'The List'!$B1:$AS730,6,FALSE)," ")</f>
        <v>26</v>
      </c>
      <c r="F292" s="49">
        <f>IFERROR(VLOOKUP($A292,'The List'!$B1:$AS730,8,FALSE)," ")</f>
        <v>9.0706381514518206</v>
      </c>
      <c r="G292" s="49">
        <f>IFERROR(VLOOKUP($A292,'The List'!$B1:$AS730,10,FALSE)," ")</f>
        <v>2.7335874272452179</v>
      </c>
      <c r="H292" s="38"/>
      <c r="I292" s="52">
        <f>IFERROR(VLOOKUP($A292,'The List'!$B1:$AS730,16,FALSE)," ")</f>
        <v>82</v>
      </c>
      <c r="J292" s="52">
        <f>IFERROR(VLOOKUP($A292,'The List'!$B1:$AS730,17,FALSE)," ")</f>
        <v>19.265506524987501</v>
      </c>
      <c r="K292" s="52">
        <f>IFERROR(VLOOKUP($A292,'The List'!$B1:$AS730,18,FALSE)," ")</f>
        <v>32.898890466425861</v>
      </c>
      <c r="L292" s="52">
        <f>IFERROR(VLOOKUP($A292,'The List'!$B1:$AS730,19,FALSE)," ")</f>
        <v>47.964483793785703</v>
      </c>
      <c r="M292" s="52">
        <f>IFERROR(VLOOKUP($A292,'The List'!$B1:$AS730,20,FALSE)," ")</f>
        <v>80.863374260211572</v>
      </c>
      <c r="N292" s="52">
        <f>IFERROR(VLOOKUP($A292,'The List'!$B1:$AS730,21,FALSE)," ")</f>
        <v>283.54803185391143</v>
      </c>
      <c r="O292" s="52">
        <f>IFERROR(VLOOKUP($A292,'The List'!$B1:$AS730,22,FALSE)," ")</f>
        <v>5.0407423338734558</v>
      </c>
      <c r="P292" s="52">
        <f>IFERROR(VLOOKUP($A292,'The List'!$B1:$AS730,23,FALSE)," ")</f>
        <v>22.23684248905213</v>
      </c>
      <c r="Q292" s="52">
        <f>IFERROR(VLOOKUP($A292,'The List'!$B1:$AS730,24,FALSE)," ")</f>
        <v>0.15203546170338303</v>
      </c>
      <c r="R292" s="52">
        <f>IFERROR(VLOOKUP($A292,'The List'!$B1:$AS730,25,FALSE)," ")</f>
        <v>0.3045646481294203</v>
      </c>
      <c r="S292" s="52">
        <f>IFERROR(VLOOKUP($A292,'The List'!$B1:$AS730,26,FALSE)," ")</f>
        <v>67.184548988118863</v>
      </c>
      <c r="T292" s="52">
        <f>IFERROR(VLOOKUP($A292,'The List'!$B1:$AS730,27,FALSE)," ")</f>
        <v>79.094507951304195</v>
      </c>
      <c r="U292" s="52">
        <f>IFERROR(VLOOKUP($A292,'The List'!$B1:$AS730,28,FALSE)," ")</f>
        <v>7.0531549069739405</v>
      </c>
      <c r="V292" s="52">
        <f>IFERROR(VLOOKUP($A292,'The List'!$B1:$AS730,29,FALSE)," ")</f>
        <v>19.132157421267699</v>
      </c>
      <c r="W292" s="52">
        <f>IFERROR(VLOOKUP($A292,'The List'!$B1:$AS730,30,FALSE)," ")</f>
        <v>5.3765763404760456</v>
      </c>
      <c r="X292" s="52">
        <f>IFERROR(VLOOKUP($A292,'The List'!$B1:$AS730,31,FALSE)," ")</f>
        <v>473.79136091985498</v>
      </c>
      <c r="Y292" s="52">
        <f>IFERROR(VLOOKUP($A292,'The List'!$B1:$AS730,32,FALSE)," ")</f>
        <v>540.90538042067135</v>
      </c>
      <c r="Z292" s="52">
        <f>IFERROR(VLOOKUP($A292,'The List'!$B1:$AS730,33,FALSE)," ")</f>
        <v>0.46692902580324103</v>
      </c>
      <c r="AA292" s="54"/>
      <c r="AB292" s="59"/>
      <c r="AC292" s="59"/>
      <c r="AD292" s="59"/>
      <c r="AE292" s="59"/>
      <c r="AF292" s="59"/>
    </row>
    <row r="293" spans="1:32" ht="21.2" customHeight="1">
      <c r="A293" s="23" t="s">
        <v>140</v>
      </c>
      <c r="B293" s="56" t="str">
        <f>IFERROR(VLOOKUP($A293,'The List'!$B1:$AS730,3,FALSE)," ")</f>
        <v>C</v>
      </c>
      <c r="C293" s="60">
        <f>IFERROR(VLOOKUP($A293,'The List'!$B1:$AS730,4,FALSE)," ")</f>
        <v>10</v>
      </c>
      <c r="D293" s="34" t="str">
        <f>IFERROR(VLOOKUP($A293,'The List'!$B1:$AS730,5,FALSE)," ")</f>
        <v>TBL</v>
      </c>
      <c r="E293" s="34">
        <f>IFERROR(VLOOKUP($A293,'The List'!$B1:$AS730,6,FALSE)," ")</f>
        <v>27</v>
      </c>
      <c r="F293" s="49">
        <f>IFERROR(VLOOKUP($A293,'The List'!$B1:$AS730,8,FALSE)," ")</f>
        <v>10.568697180365518</v>
      </c>
      <c r="G293" s="49">
        <f>IFERROR(VLOOKUP($A293,'The List'!$B1:$AS730,10,FALSE)," ")</f>
        <v>4.2316464561589155</v>
      </c>
      <c r="H293" s="38"/>
      <c r="I293" s="52">
        <f>IFERROR(VLOOKUP($A293,'The List'!$B1:$AS730,16,FALSE)," ")</f>
        <v>82</v>
      </c>
      <c r="J293" s="52">
        <f>IFERROR(VLOOKUP($A293,'The List'!$B1:$AS730,17,FALSE)," ")</f>
        <v>19.7562834912348</v>
      </c>
      <c r="K293" s="52">
        <f>IFERROR(VLOOKUP($A293,'The List'!$B1:$AS730,18,FALSE)," ")</f>
        <v>45.760001718720567</v>
      </c>
      <c r="L293" s="52">
        <f>IFERROR(VLOOKUP($A293,'The List'!$B1:$AS730,19,FALSE)," ")</f>
        <v>44.760694106671103</v>
      </c>
      <c r="M293" s="52">
        <f>IFERROR(VLOOKUP($A293,'The List'!$B1:$AS730,20,FALSE)," ")</f>
        <v>90.52069582539167</v>
      </c>
      <c r="N293" s="52">
        <f>IFERROR(VLOOKUP($A293,'The List'!$B1:$AS730,21,FALSE)," ")</f>
        <v>238.60397040140384</v>
      </c>
      <c r="O293" s="52">
        <f>IFERROR(VLOOKUP($A293,'The List'!$B1:$AS730,22,FALSE)," ")</f>
        <v>16.879648717273753</v>
      </c>
      <c r="P293" s="52">
        <f>IFERROR(VLOOKUP($A293,'The List'!$B1:$AS730,23,FALSE)," ")</f>
        <v>30.484954611907103</v>
      </c>
      <c r="Q293" s="52">
        <f>IFERROR(VLOOKUP($A293,'The List'!$B1:$AS730,24,FALSE)," ")</f>
        <v>1.7506493130966895E-2</v>
      </c>
      <c r="R293" s="52">
        <f>IFERROR(VLOOKUP($A293,'The List'!$B1:$AS730,25,FALSE)," ")</f>
        <v>3.3231118946808504E-2</v>
      </c>
      <c r="S293" s="52">
        <f>IFERROR(VLOOKUP($A293,'The List'!$B1:$AS730,26,FALSE)," ")</f>
        <v>36.221974696346912</v>
      </c>
      <c r="T293" s="52">
        <f>IFERROR(VLOOKUP($A293,'The List'!$B1:$AS730,27,FALSE)," ")</f>
        <v>53.306287593810112</v>
      </c>
      <c r="U293" s="52">
        <f>IFERROR(VLOOKUP($A293,'The List'!$B1:$AS730,28,FALSE)," ")</f>
        <v>1.3729241528219407</v>
      </c>
      <c r="V293" s="52">
        <f>IFERROR(VLOOKUP($A293,'The List'!$B1:$AS730,29,FALSE)," ")</f>
        <v>22.466418122081013</v>
      </c>
      <c r="W293" s="52">
        <f>IFERROR(VLOOKUP($A293,'The List'!$B1:$AS730,30,FALSE)," ")</f>
        <v>7.1614568913289789</v>
      </c>
      <c r="X293" s="52">
        <f>IFERROR(VLOOKUP($A293,'The List'!$B1:$AS730,31,FALSE)," ")</f>
        <v>421.72854297955973</v>
      </c>
      <c r="Y293" s="52">
        <f>IFERROR(VLOOKUP($A293,'The List'!$B1:$AS730,32,FALSE)," ")</f>
        <v>412.86267759702957</v>
      </c>
      <c r="Z293" s="52">
        <f>IFERROR(VLOOKUP($A293,'The List'!$B1:$AS730,33,FALSE)," ")</f>
        <v>0.50531150170523298</v>
      </c>
      <c r="AA293" s="54"/>
      <c r="AB293" s="59"/>
      <c r="AC293" s="59"/>
      <c r="AD293" s="59"/>
      <c r="AE293" s="59"/>
      <c r="AF293" s="59"/>
    </row>
    <row r="294" spans="1:32" ht="21.2" customHeight="1">
      <c r="A294" s="23" t="s">
        <v>198</v>
      </c>
      <c r="B294" s="56" t="str">
        <f>IFERROR(VLOOKUP($A294,'The List'!$B1:$AS730,3,FALSE)," ")</f>
        <v>C</v>
      </c>
      <c r="C294" s="60">
        <f>IFERROR(VLOOKUP($A294,'The List'!$B1:$AS730,4,FALSE)," ")</f>
        <v>25</v>
      </c>
      <c r="D294" s="34" t="str">
        <f>IFERROR(VLOOKUP($A294,'The List'!$B1:$AS730,5,FALSE)," ")</f>
        <v>WPG</v>
      </c>
      <c r="E294" s="34">
        <f>IFERROR(VLOOKUP($A294,'The List'!$B1:$AS730,6,FALSE)," ")</f>
        <v>30</v>
      </c>
      <c r="F294" s="49">
        <f>IFERROR(VLOOKUP($A294,'The List'!$B1:$AS730,8,FALSE)," ")</f>
        <v>7.8859465772544128</v>
      </c>
      <c r="G294" s="49">
        <f>IFERROR(VLOOKUP($A294,'The List'!$B1:$AS730,10,FALSE)," ")</f>
        <v>1.5488958530478101</v>
      </c>
      <c r="H294" s="38"/>
      <c r="I294" s="52">
        <f>IFERROR(VLOOKUP($A294,'The List'!$B1:$AS730,16,FALSE)," ")</f>
        <v>82</v>
      </c>
      <c r="J294" s="52">
        <f>IFERROR(VLOOKUP($A294,'The List'!$B1:$AS730,17,FALSE)," ")</f>
        <v>20.337313943889701</v>
      </c>
      <c r="K294" s="52">
        <f>IFERROR(VLOOKUP($A294,'The List'!$B1:$AS730,18,FALSE)," ")</f>
        <v>38.547933240062939</v>
      </c>
      <c r="L294" s="52">
        <f>IFERROR(VLOOKUP($A294,'The List'!$B1:$AS730,19,FALSE)," ")</f>
        <v>40.41178780216206</v>
      </c>
      <c r="M294" s="52">
        <f>IFERROR(VLOOKUP($A294,'The List'!$B1:$AS730,20,FALSE)," ")</f>
        <v>78.959721042224999</v>
      </c>
      <c r="N294" s="52">
        <f>IFERROR(VLOOKUP($A294,'The List'!$B1:$AS730,21,FALSE)," ")</f>
        <v>209.20933278206277</v>
      </c>
      <c r="O294" s="52">
        <f>IFERROR(VLOOKUP($A294,'The List'!$B1:$AS730,22,FALSE)," ")</f>
        <v>10.470482993892535</v>
      </c>
      <c r="P294" s="52">
        <f>IFERROR(VLOOKUP($A294,'The List'!$B1:$AS730,23,FALSE)," ")</f>
        <v>23.76852719757024</v>
      </c>
      <c r="Q294" s="52">
        <f>IFERROR(VLOOKUP($A294,'The List'!$B1:$AS730,24,FALSE)," ")</f>
        <v>3.5456593975022141E-2</v>
      </c>
      <c r="R294" s="52">
        <f>IFERROR(VLOOKUP($A294,'The List'!$B1:$AS730,25,FALSE)," ")</f>
        <v>6.2904385451706887E-2</v>
      </c>
      <c r="S294" s="52">
        <f>IFERROR(VLOOKUP($A294,'The List'!$B1:$AS730,26,FALSE)," ")</f>
        <v>42.975023936048089</v>
      </c>
      <c r="T294" s="52">
        <f>IFERROR(VLOOKUP($A294,'The List'!$B1:$AS730,27,FALSE)," ")</f>
        <v>48.961473010560503</v>
      </c>
      <c r="U294" s="52">
        <f>IFERROR(VLOOKUP($A294,'The List'!$B1:$AS730,28,FALSE)," ")</f>
        <v>1.0506244065672139</v>
      </c>
      <c r="V294" s="52">
        <f>IFERROR(VLOOKUP($A294,'The List'!$B1:$AS730,29,FALSE)," ")</f>
        <v>25.785486481632134</v>
      </c>
      <c r="W294" s="52">
        <f>IFERROR(VLOOKUP($A294,'The List'!$B1:$AS730,30,FALSE)," ")</f>
        <v>6.0136066123988314</v>
      </c>
      <c r="X294" s="52">
        <f>IFERROR(VLOOKUP($A294,'The List'!$B1:$AS730,31,FALSE)," ")</f>
        <v>572.35329768515169</v>
      </c>
      <c r="Y294" s="52">
        <f>IFERROR(VLOOKUP($A294,'The List'!$B1:$AS730,32,FALSE)," ")</f>
        <v>589.13695295837044</v>
      </c>
      <c r="Z294" s="52">
        <f>IFERROR(VLOOKUP($A294,'The List'!$B1:$AS730,33,FALSE)," ")</f>
        <v>0.49277494784656201</v>
      </c>
      <c r="AA294" s="54"/>
      <c r="AB294" s="59"/>
      <c r="AC294" s="59"/>
      <c r="AD294" s="59"/>
      <c r="AE294" s="59"/>
      <c r="AF294" s="59"/>
    </row>
    <row r="295" spans="1:32" ht="21.2" customHeight="1">
      <c r="A295" s="23" t="s">
        <v>188</v>
      </c>
      <c r="B295" s="56" t="str">
        <f>IFERROR(VLOOKUP($A295,'The List'!$B1:$AS730,3,FALSE)," ")</f>
        <v>C,RW</v>
      </c>
      <c r="C295" s="60">
        <f>IFERROR(VLOOKUP($A295,'The List'!$B1:$AS730,4,FALSE)," ")</f>
        <v>21</v>
      </c>
      <c r="D295" s="34" t="str">
        <f>IFERROR(VLOOKUP($A295,'The List'!$B1:$AS730,5,FALSE)," ")</f>
        <v>NYI</v>
      </c>
      <c r="E295" s="34">
        <f>IFERROR(VLOOKUP($A295,'The List'!$B1:$AS730,6,FALSE)," ")</f>
        <v>26</v>
      </c>
      <c r="F295" s="49">
        <f>IFERROR(VLOOKUP($A295,'The List'!$B1:$AS730,8,FALSE)," ")</f>
        <v>7.4930103346588677</v>
      </c>
      <c r="G295" s="49">
        <f>IFERROR(VLOOKUP($A295,'The List'!$B1:$AS730,10,FALSE)," ")</f>
        <v>1.2127516156477869</v>
      </c>
      <c r="H295" s="38"/>
      <c r="I295" s="52">
        <f>IFERROR(VLOOKUP($A295,'The List'!$B1:$AS730,16,FALSE)," ")</f>
        <v>82</v>
      </c>
      <c r="J295" s="52">
        <f>IFERROR(VLOOKUP($A295,'The List'!$B1:$AS730,17,FALSE)," ")</f>
        <v>18.742091984614198</v>
      </c>
      <c r="K295" s="52">
        <f>IFERROR(VLOOKUP($A295,'The List'!$B1:$AS730,18,FALSE)," ")</f>
        <v>22.907090079936118</v>
      </c>
      <c r="L295" s="52">
        <f>IFERROR(VLOOKUP($A295,'The List'!$B1:$AS730,19,FALSE)," ")</f>
        <v>54.134911750504024</v>
      </c>
      <c r="M295" s="52">
        <f>IFERROR(VLOOKUP($A295,'The List'!$B1:$AS730,20,FALSE)," ")</f>
        <v>77.042001830440142</v>
      </c>
      <c r="N295" s="52">
        <f>IFERROR(VLOOKUP($A295,'The List'!$B1:$AS730,21,FALSE)," ")</f>
        <v>206.39159043088014</v>
      </c>
      <c r="O295" s="52">
        <f>IFERROR(VLOOKUP($A295,'The List'!$B1:$AS730,22,FALSE)," ")</f>
        <v>4.2872258949958928</v>
      </c>
      <c r="P295" s="52">
        <f>IFERROR(VLOOKUP($A295,'The List'!$B1:$AS730,23,FALSE)," ")</f>
        <v>26.183383170137464</v>
      </c>
      <c r="Q295" s="52">
        <f>IFERROR(VLOOKUP($A295,'The List'!$B1:$AS730,24,FALSE)," ")</f>
        <v>7.2898195708838301E-3</v>
      </c>
      <c r="R295" s="52">
        <f>IFERROR(VLOOKUP($A295,'The List'!$B1:$AS730,25,FALSE)," ")</f>
        <v>1.4013265874221015E-2</v>
      </c>
      <c r="S295" s="52">
        <f>IFERROR(VLOOKUP($A295,'The List'!$B1:$AS730,26,FALSE)," ")</f>
        <v>37.166592765233879</v>
      </c>
      <c r="T295" s="52">
        <f>IFERROR(VLOOKUP($A295,'The List'!$B1:$AS730,27,FALSE)," ")</f>
        <v>42.540167476015419</v>
      </c>
      <c r="U295" s="52">
        <f>IFERROR(VLOOKUP($A295,'The List'!$B1:$AS730,28,FALSE)," ")</f>
        <v>3.468546515415011</v>
      </c>
      <c r="V295" s="52">
        <f>IFERROR(VLOOKUP($A295,'The List'!$B1:$AS730,29,FALSE)," ")</f>
        <v>34.279693860290713</v>
      </c>
      <c r="W295" s="52">
        <f>IFERROR(VLOOKUP($A295,'The List'!$B1:$AS730,30,FALSE)," ")</f>
        <v>3.5396461054657089</v>
      </c>
      <c r="X295" s="52">
        <f>IFERROR(VLOOKUP($A295,'The List'!$B1:$AS730,31,FALSE)," ")</f>
        <v>190.4119879944202</v>
      </c>
      <c r="Y295" s="52">
        <f>IFERROR(VLOOKUP($A295,'The List'!$B1:$AS730,32,FALSE)," ")</f>
        <v>268.18230567596322</v>
      </c>
      <c r="Z295" s="52">
        <f>IFERROR(VLOOKUP($A295,'The List'!$B1:$AS730,33,FALSE)," ")</f>
        <v>0.41520793132955902</v>
      </c>
      <c r="AA295" s="54"/>
      <c r="AB295" s="59"/>
      <c r="AC295" s="59"/>
      <c r="AD295" s="59"/>
      <c r="AE295" s="59"/>
      <c r="AF295" s="59"/>
    </row>
    <row r="296" spans="1:32" ht="21.2" customHeight="1">
      <c r="A296" s="23" t="s">
        <v>379</v>
      </c>
      <c r="B296" s="61" t="str">
        <f>IFERROR(VLOOKUP($A296,'The List'!$B1:$AS730,3,FALSE)," ")</f>
        <v>LW</v>
      </c>
      <c r="C296" s="63">
        <f>IFERROR(VLOOKUP($A296,'The List'!$B1:$AS730,4,FALSE)," ")</f>
        <v>67</v>
      </c>
      <c r="D296" s="34" t="str">
        <f>IFERROR(VLOOKUP($A296,'The List'!$B1:$AS730,5,FALSE)," ")</f>
        <v>EDM</v>
      </c>
      <c r="E296" s="34">
        <f>IFERROR(VLOOKUP($A296,'The List'!$B1:$AS730,6,FALSE)," ")</f>
        <v>32</v>
      </c>
      <c r="F296" s="49">
        <f>IFERROR(VLOOKUP($A296,'The List'!$B1:$AS730,8,FALSE)," ")</f>
        <v>2.8180413842784593</v>
      </c>
      <c r="G296" s="49">
        <f>IFERROR(VLOOKUP($A296,'The List'!$B1:$AS730,10,FALSE)," ")</f>
        <v>-3.8366276598459419</v>
      </c>
      <c r="H296" s="38"/>
      <c r="I296" s="52">
        <f>IFERROR(VLOOKUP($A296,'The List'!$B1:$AS730,16,FALSE)," ")</f>
        <v>82</v>
      </c>
      <c r="J296" s="52">
        <f>IFERROR(VLOOKUP($A296,'The List'!$B1:$AS730,17,FALSE)," ")</f>
        <v>16.1606972173239</v>
      </c>
      <c r="K296" s="52">
        <f>IFERROR(VLOOKUP($A296,'The List'!$B1:$AS730,18,FALSE)," ")</f>
        <v>26.458823327804865</v>
      </c>
      <c r="L296" s="52">
        <f>IFERROR(VLOOKUP($A296,'The List'!$B1:$AS730,19,FALSE)," ")</f>
        <v>24.189410961804011</v>
      </c>
      <c r="M296" s="52">
        <f>IFERROR(VLOOKUP($A296,'The List'!$B1:$AS730,20,FALSE)," ")</f>
        <v>50.64823428960888</v>
      </c>
      <c r="N296" s="52">
        <f>IFERROR(VLOOKUP($A296,'The List'!$B1:$AS730,21,FALSE)," ")</f>
        <v>235.42051890070866</v>
      </c>
      <c r="O296" s="52">
        <f>IFERROR(VLOOKUP($A296,'The List'!$B1:$AS730,22,FALSE)," ")</f>
        <v>2.0779498387859268</v>
      </c>
      <c r="P296" s="52">
        <f>IFERROR(VLOOKUP($A296,'The List'!$B1:$AS730,23,FALSE)," ")</f>
        <v>4.5698847129034874</v>
      </c>
      <c r="Q296" s="52">
        <f>IFERROR(VLOOKUP($A296,'The List'!$B1:$AS730,24,FALSE)," ")</f>
        <v>0.78249871493436385</v>
      </c>
      <c r="R296" s="52">
        <f>IFERROR(VLOOKUP($A296,'The List'!$B1:$AS730,25,FALSE)," ")</f>
        <v>1.7419471818591017</v>
      </c>
      <c r="S296" s="52">
        <f>IFERROR(VLOOKUP($A296,'The List'!$B1:$AS730,26,FALSE)," ")</f>
        <v>26.244051404653074</v>
      </c>
      <c r="T296" s="52">
        <f>IFERROR(VLOOKUP($A296,'The List'!$B1:$AS730,27,FALSE)," ")</f>
        <v>185.92528060333515</v>
      </c>
      <c r="U296" s="52">
        <f>IFERROR(VLOOKUP($A296,'The List'!$B1:$AS730,28,FALSE)," ")</f>
        <v>4.9568538910610362</v>
      </c>
      <c r="V296" s="52">
        <f>IFERROR(VLOOKUP($A296,'The List'!$B1:$AS730,29,FALSE)," ")</f>
        <v>65.388309077112936</v>
      </c>
      <c r="W296" s="52">
        <f>IFERROR(VLOOKUP($A296,'The List'!$B1:$AS730,30,FALSE)," ")</f>
        <v>4.1881476808408218</v>
      </c>
      <c r="X296" s="52">
        <f>IFERROR(VLOOKUP($A296,'The List'!$B1:$AS730,31,FALSE)," ")</f>
        <v>22.5741489534322</v>
      </c>
      <c r="Y296" s="52">
        <f>IFERROR(VLOOKUP($A296,'The List'!$B1:$AS730,32,FALSE)," ")</f>
        <v>33.799287712199664</v>
      </c>
      <c r="Z296" s="52">
        <f>IFERROR(VLOOKUP($A296,'The List'!$B1:$AS730,33,FALSE)," ")</f>
        <v>0.40043946739182101</v>
      </c>
      <c r="AA296" s="54"/>
      <c r="AB296" s="59"/>
      <c r="AC296" s="59"/>
      <c r="AD296" s="59"/>
      <c r="AE296" s="59"/>
      <c r="AF296" s="59"/>
    </row>
    <row r="297" spans="1:32" ht="21.2" customHeight="1">
      <c r="A297" s="23" t="s">
        <v>163</v>
      </c>
      <c r="B297" s="61" t="str">
        <f>IFERROR(VLOOKUP($A297,'The List'!$B1:$AS730,3,FALSE)," ")</f>
        <v>LW,RW</v>
      </c>
      <c r="C297" s="63">
        <f>IFERROR(VLOOKUP($A297,'The List'!$B1:$AS730,4,FALSE)," ")</f>
        <v>18</v>
      </c>
      <c r="D297" s="34" t="str">
        <f>IFERROR(VLOOKUP($A297,'The List'!$B1:$AS730,5,FALSE)," ")</f>
        <v>STL</v>
      </c>
      <c r="E297" s="34">
        <f>IFERROR(VLOOKUP($A297,'The List'!$B1:$AS730,6,FALSE)," ")</f>
        <v>28</v>
      </c>
      <c r="F297" s="49">
        <f>IFERROR(VLOOKUP($A297,'The List'!$B1:$AS730,8,FALSE)," ")</f>
        <v>8.1517737192623727</v>
      </c>
      <c r="G297" s="49">
        <f>IFERROR(VLOOKUP($A297,'The List'!$B1:$AS730,10,FALSE)," ")</f>
        <v>1.8715150002512919</v>
      </c>
      <c r="H297" s="38"/>
      <c r="I297" s="52">
        <f>IFERROR(VLOOKUP($A297,'The List'!$B1:$AS730,16,FALSE)," ")</f>
        <v>82</v>
      </c>
      <c r="J297" s="52">
        <f>IFERROR(VLOOKUP($A297,'The List'!$B1:$AS730,17,FALSE)," ")</f>
        <v>20.309462079894299</v>
      </c>
      <c r="K297" s="52">
        <f>IFERROR(VLOOKUP($A297,'The List'!$B1:$AS730,18,FALSE)," ")</f>
        <v>33.184157139821018</v>
      </c>
      <c r="L297" s="52">
        <f>IFERROR(VLOOKUP($A297,'The List'!$B1:$AS730,19,FALSE)," ")</f>
        <v>51.119944990489621</v>
      </c>
      <c r="M297" s="52">
        <f>IFERROR(VLOOKUP($A297,'The List'!$B1:$AS730,20,FALSE)," ")</f>
        <v>84.304102130310639</v>
      </c>
      <c r="N297" s="52">
        <f>IFERROR(VLOOKUP($A297,'The List'!$B1:$AS730,21,FALSE)," ")</f>
        <v>189.86293818299515</v>
      </c>
      <c r="O297" s="52">
        <f>IFERROR(VLOOKUP($A297,'The List'!$B1:$AS730,22,FALSE)," ")</f>
        <v>9.2077384051413045</v>
      </c>
      <c r="P297" s="52">
        <f>IFERROR(VLOOKUP($A297,'The List'!$B1:$AS730,23,FALSE)," ")</f>
        <v>24.684346954462956</v>
      </c>
      <c r="Q297" s="52">
        <f>IFERROR(VLOOKUP($A297,'The List'!$B1:$AS730,24,FALSE)," ")</f>
        <v>0.68130338219554676</v>
      </c>
      <c r="R297" s="52">
        <f>IFERROR(VLOOKUP($A297,'The List'!$B1:$AS730,25,FALSE)," ")</f>
        <v>2.7390825437349116</v>
      </c>
      <c r="S297" s="52">
        <f>IFERROR(VLOOKUP($A297,'The List'!$B1:$AS730,26,FALSE)," ")</f>
        <v>30.84361580265951</v>
      </c>
      <c r="T297" s="52">
        <f>IFERROR(VLOOKUP($A297,'The List'!$B1:$AS730,27,FALSE)," ")</f>
        <v>74.230102631443017</v>
      </c>
      <c r="U297" s="52">
        <f>IFERROR(VLOOKUP($A297,'The List'!$B1:$AS730,28,FALSE)," ")</f>
        <v>-0.11501205502455603</v>
      </c>
      <c r="V297" s="52">
        <f>IFERROR(VLOOKUP($A297,'The List'!$B1:$AS730,29,FALSE)," ")</f>
        <v>37.958227395474509</v>
      </c>
      <c r="W297" s="52">
        <f>IFERROR(VLOOKUP($A297,'The List'!$B1:$AS730,30,FALSE)," ")</f>
        <v>3.818591610048752</v>
      </c>
      <c r="X297" s="52">
        <f>IFERROR(VLOOKUP($A297,'The List'!$B1:$AS730,31,FALSE)," ")</f>
        <v>65.213901202483157</v>
      </c>
      <c r="Y297" s="52">
        <f>IFERROR(VLOOKUP($A297,'The List'!$B1:$AS730,32,FALSE)," ")</f>
        <v>154.78734031357391</v>
      </c>
      <c r="Z297" s="52">
        <f>IFERROR(VLOOKUP($A297,'The List'!$B1:$AS730,33,FALSE)," ")</f>
        <v>0.29642515084499399</v>
      </c>
      <c r="AA297" s="54"/>
      <c r="AB297" s="59"/>
      <c r="AC297" s="59"/>
      <c r="AD297" s="59"/>
      <c r="AE297" s="59"/>
      <c r="AF297" s="59"/>
    </row>
    <row r="298" spans="1:32" ht="21.2" customHeight="1">
      <c r="A298" s="23" t="s">
        <v>239</v>
      </c>
      <c r="B298" s="61" t="str">
        <f>IFERROR(VLOOKUP($A298,'The List'!$B1:$AS730,3,FALSE)," ")</f>
        <v>LW</v>
      </c>
      <c r="C298" s="63">
        <f>IFERROR(VLOOKUP($A298,'The List'!$B1:$AS730,4,FALSE)," ")</f>
        <v>44</v>
      </c>
      <c r="D298" s="34" t="str">
        <f>IFERROR(VLOOKUP($A298,'The List'!$B1:$AS730,5,FALSE)," ")</f>
        <v>CHI</v>
      </c>
      <c r="E298" s="34">
        <f>IFERROR(VLOOKUP($A298,'The List'!$B1:$AS730,6,FALSE)," ")</f>
        <v>31</v>
      </c>
      <c r="F298" s="49">
        <f>IFERROR(VLOOKUP($A298,'The List'!$B1:$AS730,8,FALSE)," ")</f>
        <v>5.5732687830407812</v>
      </c>
      <c r="G298" s="49">
        <f>IFERROR(VLOOKUP($A298,'The List'!$B1:$AS730,10,FALSE)," ")</f>
        <v>-1.08140026108362</v>
      </c>
      <c r="H298" s="38"/>
      <c r="I298" s="52">
        <f>IFERROR(VLOOKUP($A298,'The List'!$B1:$AS730,16,FALSE)," ")</f>
        <v>82</v>
      </c>
      <c r="J298" s="52">
        <f>IFERROR(VLOOKUP($A298,'The List'!$B1:$AS730,17,FALSE)," ")</f>
        <v>18.178314869834999</v>
      </c>
      <c r="K298" s="52">
        <f>IFERROR(VLOOKUP($A298,'The List'!$B1:$AS730,18,FALSE)," ")</f>
        <v>23.615716719129797</v>
      </c>
      <c r="L298" s="52">
        <f>IFERROR(VLOOKUP($A298,'The List'!$B1:$AS730,19,FALSE)," ")</f>
        <v>39.378081036918637</v>
      </c>
      <c r="M298" s="52">
        <f>IFERROR(VLOOKUP($A298,'The List'!$B1:$AS730,20,FALSE)," ")</f>
        <v>62.993797756048437</v>
      </c>
      <c r="N298" s="52">
        <f>IFERROR(VLOOKUP($A298,'The List'!$B1:$AS730,21,FALSE)," ")</f>
        <v>239.90935030739257</v>
      </c>
      <c r="O298" s="52">
        <f>IFERROR(VLOOKUP($A298,'The List'!$B1:$AS730,22,FALSE)," ")</f>
        <v>7.5588307817983686</v>
      </c>
      <c r="P298" s="52">
        <f>IFERROR(VLOOKUP($A298,'The List'!$B1:$AS730,23,FALSE)," ")</f>
        <v>17.602328408247132</v>
      </c>
      <c r="Q298" s="52">
        <f>IFERROR(VLOOKUP($A298,'The List'!$B1:$AS730,24,FALSE)," ")</f>
        <v>7.4837628791590361E-3</v>
      </c>
      <c r="R298" s="52">
        <f>IFERROR(VLOOKUP($A298,'The List'!$B1:$AS730,25,FALSE)," ")</f>
        <v>1.3183054439574021E-2</v>
      </c>
      <c r="S298" s="52">
        <f>IFERROR(VLOOKUP($A298,'The List'!$B1:$AS730,26,FALSE)," ")</f>
        <v>43.62816844431859</v>
      </c>
      <c r="T298" s="52">
        <f>IFERROR(VLOOKUP($A298,'The List'!$B1:$AS730,27,FALSE)," ")</f>
        <v>59.541246019298207</v>
      </c>
      <c r="U298" s="52">
        <f>IFERROR(VLOOKUP($A298,'The List'!$B1:$AS730,28,FALSE)," ")</f>
        <v>-4.5334653323035541</v>
      </c>
      <c r="V298" s="52">
        <f>IFERROR(VLOOKUP($A298,'The List'!$B1:$AS730,29,FALSE)," ")</f>
        <v>38.10242685132998</v>
      </c>
      <c r="W298" s="52">
        <f>IFERROR(VLOOKUP($A298,'The List'!$B1:$AS730,30,FALSE)," ")</f>
        <v>2.767326335606151</v>
      </c>
      <c r="X298" s="52">
        <f>IFERROR(VLOOKUP($A298,'The List'!$B1:$AS730,31,FALSE)," ")</f>
        <v>9.4492923578543202</v>
      </c>
      <c r="Y298" s="52">
        <f>IFERROR(VLOOKUP($A298,'The List'!$B1:$AS730,32,FALSE)," ")</f>
        <v>11.799745163292529</v>
      </c>
      <c r="Z298" s="52">
        <f>IFERROR(VLOOKUP($A298,'The List'!$B1:$AS730,33,FALSE)," ")</f>
        <v>0.44469272306806601</v>
      </c>
      <c r="AA298" s="54"/>
      <c r="AB298" s="59"/>
      <c r="AC298" s="59"/>
      <c r="AD298" s="59"/>
      <c r="AE298" s="59"/>
      <c r="AF298" s="59"/>
    </row>
    <row r="299" spans="1:32" ht="21.2" customHeight="1">
      <c r="A299" s="23" t="s">
        <v>271</v>
      </c>
      <c r="B299" s="61" t="str">
        <f>IFERROR(VLOOKUP($A299,'The List'!$B1:$AS730,3,FALSE)," ")</f>
        <v>C,LW</v>
      </c>
      <c r="C299" s="63">
        <f>IFERROR(VLOOKUP($A299,'The List'!$B1:$AS730,4,FALSE)," ")</f>
        <v>54</v>
      </c>
      <c r="D299" s="34" t="str">
        <f>IFERROR(VLOOKUP($A299,'The List'!$B1:$AS730,5,FALSE)," ")</f>
        <v>ANA</v>
      </c>
      <c r="E299" s="34">
        <f>IFERROR(VLOOKUP($A299,'The List'!$B1:$AS730,6,FALSE)," ")</f>
        <v>20</v>
      </c>
      <c r="F299" s="49">
        <f>IFERROR(VLOOKUP($A299,'The List'!$B1:$AS730,8,FALSE)," ")</f>
        <v>4.1500178457372492</v>
      </c>
      <c r="G299" s="49">
        <f>IFERROR(VLOOKUP($A299,'The List'!$B1:$AS730,10,FALSE)," ")</f>
        <v>-2.504651198387152</v>
      </c>
      <c r="H299" s="38"/>
      <c r="I299" s="52">
        <f>IFERROR(VLOOKUP($A299,'The List'!$B1:$AS730,16,FALSE)," ")</f>
        <v>82</v>
      </c>
      <c r="J299" s="52">
        <f>IFERROR(VLOOKUP($A299,'The List'!$B1:$AS730,17,FALSE)," ")</f>
        <v>17.5049250837484</v>
      </c>
      <c r="K299" s="52">
        <f>IFERROR(VLOOKUP($A299,'The List'!$B1:$AS730,18,FALSE)," ")</f>
        <v>23.701169803474507</v>
      </c>
      <c r="L299" s="52">
        <f>IFERROR(VLOOKUP($A299,'The List'!$B1:$AS730,19,FALSE)," ")</f>
        <v>33.607510917050668</v>
      </c>
      <c r="M299" s="52">
        <f>IFERROR(VLOOKUP($A299,'The List'!$B1:$AS730,20,FALSE)," ")</f>
        <v>57.308680720525174</v>
      </c>
      <c r="N299" s="52">
        <f>IFERROR(VLOOKUP($A299,'The List'!$B1:$AS730,21,FALSE)," ")</f>
        <v>186.672903042831</v>
      </c>
      <c r="O299" s="52">
        <f>IFERROR(VLOOKUP($A299,'The List'!$B1:$AS730,22,FALSE)," ")</f>
        <v>8.7760046025172844</v>
      </c>
      <c r="P299" s="52">
        <f>IFERROR(VLOOKUP($A299,'The List'!$B1:$AS730,23,FALSE)," ")</f>
        <v>18.913638455727337</v>
      </c>
      <c r="Q299" s="52">
        <f>IFERROR(VLOOKUP($A299,'The List'!$B1:$AS730,24,FALSE)," ")</f>
        <v>2.5369721252726081E-2</v>
      </c>
      <c r="R299" s="52">
        <f>IFERROR(VLOOKUP($A299,'The List'!$B1:$AS730,25,FALSE)," ")</f>
        <v>5.2369042427574189E-2</v>
      </c>
      <c r="S299" s="52">
        <f>IFERROR(VLOOKUP($A299,'The List'!$B1:$AS730,26,FALSE)," ")</f>
        <v>41.651787213768301</v>
      </c>
      <c r="T299" s="52">
        <f>IFERROR(VLOOKUP($A299,'The List'!$B1:$AS730,27,FALSE)," ")</f>
        <v>65.186336594747175</v>
      </c>
      <c r="U299" s="52">
        <f>IFERROR(VLOOKUP($A299,'The List'!$B1:$AS730,28,FALSE)," ")</f>
        <v>-9.5055943268550767</v>
      </c>
      <c r="V299" s="52">
        <f>IFERROR(VLOOKUP($A299,'The List'!$B1:$AS730,29,FALSE)," ")</f>
        <v>45.683411184892869</v>
      </c>
      <c r="W299" s="52">
        <f>IFERROR(VLOOKUP($A299,'The List'!$B1:$AS730,30,FALSE)," ")</f>
        <v>2.2720658492331589</v>
      </c>
      <c r="X299" s="52">
        <f>IFERROR(VLOOKUP($A299,'The List'!$B1:$AS730,31,FALSE)," ")</f>
        <v>326.30535619573175</v>
      </c>
      <c r="Y299" s="52">
        <f>IFERROR(VLOOKUP($A299,'The List'!$B1:$AS730,32,FALSE)," ")</f>
        <v>505.56625925955632</v>
      </c>
      <c r="Z299" s="52">
        <f>IFERROR(VLOOKUP($A299,'The List'!$B1:$AS730,33,FALSE)," ")</f>
        <v>0.392254465873491</v>
      </c>
      <c r="AA299" s="54"/>
      <c r="AB299" s="59"/>
      <c r="AC299" s="59"/>
      <c r="AD299" s="59"/>
      <c r="AE299" s="59"/>
      <c r="AF299" s="59"/>
    </row>
    <row r="300" spans="1:32" ht="21.2" customHeight="1">
      <c r="A300" s="23" t="s">
        <v>111</v>
      </c>
      <c r="B300" s="64" t="str">
        <f>IFERROR(VLOOKUP($A300,'The List'!$B1:$AS730,3,FALSE)," ")</f>
        <v>C,RW</v>
      </c>
      <c r="C300" s="66">
        <f>IFERROR(VLOOKUP($A300,'The List'!$B1:$AS730,4,FALSE)," ")</f>
        <v>4</v>
      </c>
      <c r="D300" s="34" t="str">
        <f>IFERROR(VLOOKUP($A300,'The List'!$B1:$AS730,5,FALSE)," ")</f>
        <v>COL</v>
      </c>
      <c r="E300" s="34">
        <f>IFERROR(VLOOKUP($A300,'The List'!$B1:$AS730,6,FALSE)," ")</f>
        <v>26</v>
      </c>
      <c r="F300" s="49">
        <f>IFERROR(VLOOKUP($A300,'The List'!$B1:$AS730,8,FALSE)," ")</f>
        <v>13.949350066699878</v>
      </c>
      <c r="G300" s="49">
        <f>IFERROR(VLOOKUP($A300,'The List'!$B1:$AS730,10,FALSE)," ")</f>
        <v>7.6690913476887976</v>
      </c>
      <c r="H300" s="38"/>
      <c r="I300" s="52">
        <f>IFERROR(VLOOKUP($A300,'The List'!$B1:$AS730,16,FALSE)," ")</f>
        <v>82</v>
      </c>
      <c r="J300" s="52">
        <f>IFERROR(VLOOKUP($A300,'The List'!$B1:$AS730,17,FALSE)," ")</f>
        <v>22.092966611852098</v>
      </c>
      <c r="K300" s="52">
        <f>IFERROR(VLOOKUP($A300,'The List'!$B1:$AS730,18,FALSE)," ")</f>
        <v>49.121774177617503</v>
      </c>
      <c r="L300" s="52">
        <f>IFERROR(VLOOKUP($A300,'The List'!$B1:$AS730,19,FALSE)," ")</f>
        <v>56.329010300491511</v>
      </c>
      <c r="M300" s="52">
        <f>IFERROR(VLOOKUP($A300,'The List'!$B1:$AS730,20,FALSE)," ")</f>
        <v>105.45078447810901</v>
      </c>
      <c r="N300" s="52">
        <f>IFERROR(VLOOKUP($A300,'The List'!$B1:$AS730,21,FALSE)," ")</f>
        <v>299.50906562584765</v>
      </c>
      <c r="O300" s="52">
        <f>IFERROR(VLOOKUP($A300,'The List'!$B1:$AS730,22,FALSE)," ")</f>
        <v>13.70014091435039</v>
      </c>
      <c r="P300" s="52">
        <f>IFERROR(VLOOKUP($A300,'The List'!$B1:$AS730,23,FALSE)," ")</f>
        <v>35.860321352141206</v>
      </c>
      <c r="Q300" s="52">
        <f>IFERROR(VLOOKUP($A300,'The List'!$B1:$AS730,24,FALSE)," ")</f>
        <v>1.5865880918309993E-2</v>
      </c>
      <c r="R300" s="52">
        <f>IFERROR(VLOOKUP($A300,'The List'!$B1:$AS730,25,FALSE)," ")</f>
        <v>3.0645881896928386E-2</v>
      </c>
      <c r="S300" s="52">
        <f>IFERROR(VLOOKUP($A300,'The List'!$B1:$AS730,26,FALSE)," ")</f>
        <v>42.69968221859628</v>
      </c>
      <c r="T300" s="52">
        <f>IFERROR(VLOOKUP($A300,'The List'!$B1:$AS730,27,FALSE)," ")</f>
        <v>72.155783061562261</v>
      </c>
      <c r="U300" s="52">
        <f>IFERROR(VLOOKUP($A300,'The List'!$B1:$AS730,28,FALSE)," ")</f>
        <v>8.8131290014230874</v>
      </c>
      <c r="V300" s="52">
        <f>IFERROR(VLOOKUP($A300,'The List'!$B1:$AS730,29,FALSE)," ")</f>
        <v>59.953263495362357</v>
      </c>
      <c r="W300" s="52">
        <f>IFERROR(VLOOKUP($A300,'The List'!$B1:$AS730,30,FALSE)," ")</f>
        <v>7.7718047798933236</v>
      </c>
      <c r="X300" s="52">
        <f>IFERROR(VLOOKUP($A300,'The List'!$B1:$AS730,31,FALSE)," ")</f>
        <v>199.4914037428037</v>
      </c>
      <c r="Y300" s="52">
        <f>IFERROR(VLOOKUP($A300,'The List'!$B1:$AS730,32,FALSE)," ")</f>
        <v>213.65771600896224</v>
      </c>
      <c r="Z300" s="52">
        <f>IFERROR(VLOOKUP($A300,'The List'!$B1:$AS730,33,FALSE)," ")</f>
        <v>0.48285569109445398</v>
      </c>
      <c r="AA300" s="54"/>
      <c r="AB300" s="59"/>
      <c r="AC300" s="59"/>
      <c r="AD300" s="59"/>
      <c r="AE300" s="59"/>
      <c r="AF300" s="59"/>
    </row>
    <row r="301" spans="1:32" ht="21.2" customHeight="1">
      <c r="A301" s="23" t="s">
        <v>237</v>
      </c>
      <c r="B301" s="64" t="str">
        <f>IFERROR(VLOOKUP($A301,'The List'!$B1:$AS730,3,FALSE)," ")</f>
        <v>LW,RW</v>
      </c>
      <c r="C301" s="66">
        <f>IFERROR(VLOOKUP($A301,'The List'!$B1:$AS730,4,FALSE)," ")</f>
        <v>39</v>
      </c>
      <c r="D301" s="34" t="str">
        <f>IFERROR(VLOOKUP($A301,'The List'!$B1:$AS730,5,FALSE)," ")</f>
        <v>BOS</v>
      </c>
      <c r="E301" s="34">
        <f>IFERROR(VLOOKUP($A301,'The List'!$B1:$AS730,6,FALSE)," ")</f>
        <v>26</v>
      </c>
      <c r="F301" s="49">
        <f>IFERROR(VLOOKUP($A301,'The List'!$B1:$AS730,8,FALSE)," ")</f>
        <v>5.4794471040127481</v>
      </c>
      <c r="G301" s="49">
        <f>IFERROR(VLOOKUP($A301,'The List'!$B1:$AS730,10,FALSE)," ")</f>
        <v>-0.80081161499833264</v>
      </c>
      <c r="H301" s="38"/>
      <c r="I301" s="52">
        <f>IFERROR(VLOOKUP($A301,'The List'!$B1:$AS730,16,FALSE)," ")</f>
        <v>82</v>
      </c>
      <c r="J301" s="52">
        <f>IFERROR(VLOOKUP($A301,'The List'!$B1:$AS730,17,FALSE)," ")</f>
        <v>17.752231718519202</v>
      </c>
      <c r="K301" s="52">
        <f>IFERROR(VLOOKUP($A301,'The List'!$B1:$AS730,18,FALSE)," ")</f>
        <v>30.880344862142277</v>
      </c>
      <c r="L301" s="52">
        <f>IFERROR(VLOOKUP($A301,'The List'!$B1:$AS730,19,FALSE)," ")</f>
        <v>29.140031719990414</v>
      </c>
      <c r="M301" s="52">
        <f>IFERROR(VLOOKUP($A301,'The List'!$B1:$AS730,20,FALSE)," ")</f>
        <v>60.020376582132691</v>
      </c>
      <c r="N301" s="52">
        <f>IFERROR(VLOOKUP($A301,'The List'!$B1:$AS730,21,FALSE)," ")</f>
        <v>244.56272500902074</v>
      </c>
      <c r="O301" s="52">
        <f>IFERROR(VLOOKUP($A301,'The List'!$B1:$AS730,22,FALSE)," ")</f>
        <v>8.1729893530827411</v>
      </c>
      <c r="P301" s="52">
        <f>IFERROR(VLOOKUP($A301,'The List'!$B1:$AS730,23,FALSE)," ")</f>
        <v>17.662031592836588</v>
      </c>
      <c r="Q301" s="52">
        <f>IFERROR(VLOOKUP($A301,'The List'!$B1:$AS730,24,FALSE)," ")</f>
        <v>0.14228169246977607</v>
      </c>
      <c r="R301" s="52">
        <f>IFERROR(VLOOKUP($A301,'The List'!$B1:$AS730,25,FALSE)," ")</f>
        <v>0.97574590159992336</v>
      </c>
      <c r="S301" s="52">
        <f>IFERROR(VLOOKUP($A301,'The List'!$B1:$AS730,26,FALSE)," ")</f>
        <v>32.052763056261135</v>
      </c>
      <c r="T301" s="52">
        <f>IFERROR(VLOOKUP($A301,'The List'!$B1:$AS730,27,FALSE)," ")</f>
        <v>100.1547382794856</v>
      </c>
      <c r="U301" s="52">
        <f>IFERROR(VLOOKUP($A301,'The List'!$B1:$AS730,28,FALSE)," ")</f>
        <v>6.2075971736793871</v>
      </c>
      <c r="V301" s="52">
        <f>IFERROR(VLOOKUP($A301,'The List'!$B1:$AS730,29,FALSE)," ")</f>
        <v>21.016697002200285</v>
      </c>
      <c r="W301" s="52">
        <f>IFERROR(VLOOKUP($A301,'The List'!$B1:$AS730,30,FALSE)," ")</f>
        <v>5.184202196300169</v>
      </c>
      <c r="X301" s="52">
        <f>IFERROR(VLOOKUP($A301,'The List'!$B1:$AS730,31,FALSE)," ")</f>
        <v>8.281036476895844</v>
      </c>
      <c r="Y301" s="52">
        <f>IFERROR(VLOOKUP($A301,'The List'!$B1:$AS730,32,FALSE)," ")</f>
        <v>14.593952547404292</v>
      </c>
      <c r="Z301" s="52">
        <f>IFERROR(VLOOKUP($A301,'The List'!$B1:$AS730,33,FALSE)," ")</f>
        <v>0.36201269727818802</v>
      </c>
      <c r="AA301" s="54"/>
      <c r="AB301" s="59"/>
      <c r="AC301" s="59"/>
      <c r="AD301" s="59"/>
      <c r="AE301" s="59"/>
      <c r="AF301" s="59"/>
    </row>
    <row r="302" spans="1:32" ht="21.2" customHeight="1">
      <c r="A302" s="23"/>
      <c r="B302" s="64" t="str">
        <f>IFERROR(VLOOKUP($A302,'The List'!$B1:$AS730,3,FALSE)," ")</f>
        <v xml:space="preserve"> </v>
      </c>
      <c r="C302" s="66" t="str">
        <f>IFERROR(VLOOKUP($A302,'The List'!$B1:$AS730,4,FALSE)," ")</f>
        <v xml:space="preserve"> </v>
      </c>
      <c r="D302" s="34" t="str">
        <f>IFERROR(VLOOKUP($A302,'The List'!$B1:$AS730,5,FALSE)," ")</f>
        <v xml:space="preserve"> </v>
      </c>
      <c r="E302" s="34" t="str">
        <f>IFERROR(VLOOKUP($A302,'The List'!$B1:$AS730,6,FALSE)," ")</f>
        <v xml:space="preserve"> </v>
      </c>
      <c r="F302" s="49" t="str">
        <f>IFERROR(VLOOKUP($A302,'The List'!$B1:$AS730,8,FALSE)," ")</f>
        <v xml:space="preserve"> </v>
      </c>
      <c r="G302" s="49" t="str">
        <f>IFERROR(VLOOKUP($A302,'The List'!$B1:$AS730,10,FALSE)," ")</f>
        <v xml:space="preserve"> </v>
      </c>
      <c r="H302" s="38"/>
      <c r="I302" s="52" t="str">
        <f>IFERROR(VLOOKUP($A302,'The List'!$B1:$AS730,16,FALSE)," ")</f>
        <v xml:space="preserve"> </v>
      </c>
      <c r="J302" s="52" t="str">
        <f>IFERROR(VLOOKUP($A302,'The List'!$B1:$AS730,17,FALSE)," ")</f>
        <v xml:space="preserve"> </v>
      </c>
      <c r="K302" s="52" t="str">
        <f>IFERROR(VLOOKUP($A302,'The List'!$B1:$AS730,18,FALSE)," ")</f>
        <v xml:space="preserve"> </v>
      </c>
      <c r="L302" s="52" t="str">
        <f>IFERROR(VLOOKUP($A302,'The List'!$B1:$AS730,19,FALSE)," ")</f>
        <v xml:space="preserve"> </v>
      </c>
      <c r="M302" s="52" t="str">
        <f>IFERROR(VLOOKUP($A302,'The List'!$B1:$AS730,20,FALSE)," ")</f>
        <v xml:space="preserve"> </v>
      </c>
      <c r="N302" s="52" t="str">
        <f>IFERROR(VLOOKUP($A302,'The List'!$B1:$AS730,21,FALSE)," ")</f>
        <v xml:space="preserve"> </v>
      </c>
      <c r="O302" s="52" t="str">
        <f>IFERROR(VLOOKUP($A302,'The List'!$B1:$AS730,22,FALSE)," ")</f>
        <v xml:space="preserve"> </v>
      </c>
      <c r="P302" s="52" t="str">
        <f>IFERROR(VLOOKUP($A302,'The List'!$B1:$AS730,23,FALSE)," ")</f>
        <v xml:space="preserve"> </v>
      </c>
      <c r="Q302" s="52" t="str">
        <f>IFERROR(VLOOKUP($A302,'The List'!$B1:$AS730,24,FALSE)," ")</f>
        <v xml:space="preserve"> </v>
      </c>
      <c r="R302" s="52" t="str">
        <f>IFERROR(VLOOKUP($A302,'The List'!$B1:$AS730,25,FALSE)," ")</f>
        <v xml:space="preserve"> </v>
      </c>
      <c r="S302" s="52" t="str">
        <f>IFERROR(VLOOKUP($A302,'The List'!$B1:$AS730,26,FALSE)," ")</f>
        <v xml:space="preserve"> </v>
      </c>
      <c r="T302" s="52" t="str">
        <f>IFERROR(VLOOKUP($A302,'The List'!$B1:$AS730,27,FALSE)," ")</f>
        <v xml:space="preserve"> </v>
      </c>
      <c r="U302" s="52" t="str">
        <f>IFERROR(VLOOKUP($A302,'The List'!$B1:$AS730,28,FALSE)," ")</f>
        <v xml:space="preserve"> </v>
      </c>
      <c r="V302" s="52" t="str">
        <f>IFERROR(VLOOKUP($A302,'The List'!$B1:$AS730,29,FALSE)," ")</f>
        <v xml:space="preserve"> </v>
      </c>
      <c r="W302" s="52" t="str">
        <f>IFERROR(VLOOKUP($A302,'The List'!$B1:$AS730,30,FALSE)," ")</f>
        <v xml:space="preserve"> </v>
      </c>
      <c r="X302" s="52" t="str">
        <f>IFERROR(VLOOKUP($A302,'The List'!$B1:$AS730,31,FALSE)," ")</f>
        <v xml:space="preserve"> </v>
      </c>
      <c r="Y302" s="52" t="str">
        <f>IFERROR(VLOOKUP($A302,'The List'!$B1:$AS730,32,FALSE)," ")</f>
        <v xml:space="preserve"> </v>
      </c>
      <c r="Z302" s="52" t="str">
        <f>IFERROR(VLOOKUP($A302,'The List'!$B1:$AS730,33,FALSE)," ")</f>
        <v xml:space="preserve"> </v>
      </c>
      <c r="AA302" s="54"/>
      <c r="AB302" s="59"/>
      <c r="AC302" s="59"/>
      <c r="AD302" s="59"/>
      <c r="AE302" s="59"/>
      <c r="AF302" s="59"/>
    </row>
    <row r="303" spans="1:32" ht="21.2" customHeight="1">
      <c r="A303" s="23"/>
      <c r="B303" s="64" t="str">
        <f>IFERROR(VLOOKUP($A303,'The List'!$B1:$AS730,3,FALSE)," ")</f>
        <v xml:space="preserve"> </v>
      </c>
      <c r="C303" s="66" t="str">
        <f>IFERROR(VLOOKUP($A303,'The List'!$B1:$AS730,4,FALSE)," ")</f>
        <v xml:space="preserve"> </v>
      </c>
      <c r="D303" s="34" t="str">
        <f>IFERROR(VLOOKUP($A303,'The List'!$B1:$AS730,5,FALSE)," ")</f>
        <v xml:space="preserve"> </v>
      </c>
      <c r="E303" s="34" t="str">
        <f>IFERROR(VLOOKUP($A303,'The List'!$B1:$AS730,6,FALSE)," ")</f>
        <v xml:space="preserve"> </v>
      </c>
      <c r="F303" s="49" t="str">
        <f>IFERROR(VLOOKUP($A303,'The List'!$B1:$AS730,8,FALSE)," ")</f>
        <v xml:space="preserve"> </v>
      </c>
      <c r="G303" s="49" t="str">
        <f>IFERROR(VLOOKUP($A303,'The List'!$B1:$AS730,10,FALSE)," ")</f>
        <v xml:space="preserve"> </v>
      </c>
      <c r="H303" s="38"/>
      <c r="I303" s="52" t="str">
        <f>IFERROR(VLOOKUP($A303,'The List'!$B1:$AS730,16,FALSE)," ")</f>
        <v xml:space="preserve"> </v>
      </c>
      <c r="J303" s="52" t="str">
        <f>IFERROR(VLOOKUP($A303,'The List'!$B1:$AS730,17,FALSE)," ")</f>
        <v xml:space="preserve"> </v>
      </c>
      <c r="K303" s="52" t="str">
        <f>IFERROR(VLOOKUP($A303,'The List'!$B1:$AS730,18,FALSE)," ")</f>
        <v xml:space="preserve"> </v>
      </c>
      <c r="L303" s="52" t="str">
        <f>IFERROR(VLOOKUP($A303,'The List'!$B1:$AS730,19,FALSE)," ")</f>
        <v xml:space="preserve"> </v>
      </c>
      <c r="M303" s="52" t="str">
        <f>IFERROR(VLOOKUP($A303,'The List'!$B1:$AS730,20,FALSE)," ")</f>
        <v xml:space="preserve"> </v>
      </c>
      <c r="N303" s="52" t="str">
        <f>IFERROR(VLOOKUP($A303,'The List'!$B1:$AS730,21,FALSE)," ")</f>
        <v xml:space="preserve"> </v>
      </c>
      <c r="O303" s="52" t="str">
        <f>IFERROR(VLOOKUP($A303,'The List'!$B1:$AS730,22,FALSE)," ")</f>
        <v xml:space="preserve"> </v>
      </c>
      <c r="P303" s="52" t="str">
        <f>IFERROR(VLOOKUP($A303,'The List'!$B1:$AS730,23,FALSE)," ")</f>
        <v xml:space="preserve"> </v>
      </c>
      <c r="Q303" s="52" t="str">
        <f>IFERROR(VLOOKUP($A303,'The List'!$B1:$AS730,24,FALSE)," ")</f>
        <v xml:space="preserve"> </v>
      </c>
      <c r="R303" s="52" t="str">
        <f>IFERROR(VLOOKUP($A303,'The List'!$B1:$AS730,25,FALSE)," ")</f>
        <v xml:space="preserve"> </v>
      </c>
      <c r="S303" s="52" t="str">
        <f>IFERROR(VLOOKUP($A303,'The List'!$B1:$AS730,26,FALSE)," ")</f>
        <v xml:space="preserve"> </v>
      </c>
      <c r="T303" s="52" t="str">
        <f>IFERROR(VLOOKUP($A303,'The List'!$B1:$AS730,27,FALSE)," ")</f>
        <v xml:space="preserve"> </v>
      </c>
      <c r="U303" s="52" t="str">
        <f>IFERROR(VLOOKUP($A303,'The List'!$B1:$AS730,28,FALSE)," ")</f>
        <v xml:space="preserve"> </v>
      </c>
      <c r="V303" s="52" t="str">
        <f>IFERROR(VLOOKUP($A303,'The List'!$B1:$AS730,29,FALSE)," ")</f>
        <v xml:space="preserve"> </v>
      </c>
      <c r="W303" s="52" t="str">
        <f>IFERROR(VLOOKUP($A303,'The List'!$B1:$AS730,30,FALSE)," ")</f>
        <v xml:space="preserve"> </v>
      </c>
      <c r="X303" s="52" t="str">
        <f>IFERROR(VLOOKUP($A303,'The List'!$B1:$AS730,31,FALSE)," ")</f>
        <v xml:space="preserve"> </v>
      </c>
      <c r="Y303" s="52" t="str">
        <f>IFERROR(VLOOKUP($A303,'The List'!$B1:$AS730,32,FALSE)," ")</f>
        <v xml:space="preserve"> </v>
      </c>
      <c r="Z303" s="52" t="str">
        <f>IFERROR(VLOOKUP($A303,'The List'!$B1:$AS730,33,FALSE)," ")</f>
        <v xml:space="preserve"> </v>
      </c>
      <c r="AA303" s="54"/>
      <c r="AB303" s="59"/>
      <c r="AC303" s="59"/>
      <c r="AD303" s="59"/>
      <c r="AE303" s="59"/>
      <c r="AF303" s="59"/>
    </row>
    <row r="304" spans="1:32" ht="21.2" customHeight="1">
      <c r="A304" s="23" t="s">
        <v>143</v>
      </c>
      <c r="B304" s="67" t="str">
        <f>IFERROR(VLOOKUP($A304,'The List'!$B1:$AS730,3,FALSE)," ")</f>
        <v>D</v>
      </c>
      <c r="C304" s="69">
        <f>IFERROR(VLOOKUP($A304,'The List'!$B1:$AS730,4,FALSE)," ")</f>
        <v>16</v>
      </c>
      <c r="D304" s="34" t="str">
        <f>IFERROR(VLOOKUP($A304,'The List'!$B1:$AS730,5,FALSE)," ")</f>
        <v>DET</v>
      </c>
      <c r="E304" s="34">
        <f>IFERROR(VLOOKUP($A304,'The List'!$B1:$AS730,6,FALSE)," ")</f>
        <v>22</v>
      </c>
      <c r="F304" s="49">
        <f>IFERROR(VLOOKUP($A304,'The List'!$B1:$AS730,8,FALSE)," ")</f>
        <v>4.0366632536687916</v>
      </c>
      <c r="G304" s="49">
        <f>IFERROR(VLOOKUP($A304,'The List'!$B1:$AS730,10,FALSE)," ")</f>
        <v>2.0949227100344809</v>
      </c>
      <c r="H304" s="38"/>
      <c r="I304" s="52">
        <f>IFERROR(VLOOKUP($A304,'The List'!$B1:$AS730,16,FALSE)," ")</f>
        <v>82</v>
      </c>
      <c r="J304" s="52">
        <f>IFERROR(VLOOKUP($A304,'The List'!$B1:$AS730,17,FALSE)," ")</f>
        <v>25.530220788457001</v>
      </c>
      <c r="K304" s="52">
        <f>IFERROR(VLOOKUP($A304,'The List'!$B1:$AS730,18,FALSE)," ")</f>
        <v>8.3222863444256809</v>
      </c>
      <c r="L304" s="52">
        <f>IFERROR(VLOOKUP($A304,'The List'!$B1:$AS730,19,FALSE)," ")</f>
        <v>49.686299475301048</v>
      </c>
      <c r="M304" s="52">
        <f>IFERROR(VLOOKUP($A304,'The List'!$B1:$AS730,20,FALSE)," ")</f>
        <v>58.008585819726733</v>
      </c>
      <c r="N304" s="52">
        <f>IFERROR(VLOOKUP($A304,'The List'!$B1:$AS730,21,FALSE)," ")</f>
        <v>180.75115416040032</v>
      </c>
      <c r="O304" s="52">
        <f>IFERROR(VLOOKUP($A304,'The List'!$B1:$AS730,22,FALSE)," ")</f>
        <v>2.364675524560699</v>
      </c>
      <c r="P304" s="52">
        <f>IFERROR(VLOOKUP($A304,'The List'!$B1:$AS730,23,FALSE)," ")</f>
        <v>21.530001569614654</v>
      </c>
      <c r="Q304" s="52">
        <f>IFERROR(VLOOKUP($A304,'The List'!$B1:$AS730,24,FALSE)," ")</f>
        <v>0.62468728069532231</v>
      </c>
      <c r="R304" s="52">
        <f>IFERROR(VLOOKUP($A304,'The List'!$B1:$AS730,25,FALSE)," ")</f>
        <v>2.1699391878764716</v>
      </c>
      <c r="S304" s="52">
        <f>IFERROR(VLOOKUP($A304,'The List'!$B1:$AS730,26,FALSE)," ")</f>
        <v>187.4541194674037</v>
      </c>
      <c r="T304" s="52">
        <f>IFERROR(VLOOKUP($A304,'The List'!$B1:$AS730,27,FALSE)," ")</f>
        <v>191.03374565107828</v>
      </c>
      <c r="U304" s="52">
        <f>IFERROR(VLOOKUP($A304,'The List'!$B1:$AS730,28,FALSE)," ")</f>
        <v>-3.9582209425414665</v>
      </c>
      <c r="V304" s="52">
        <f>IFERROR(VLOOKUP($A304,'The List'!$B1:$AS730,29,FALSE)," ")</f>
        <v>43.0878126572225</v>
      </c>
      <c r="W304" s="52">
        <f>IFERROR(VLOOKUP($A304,'The List'!$B1:$AS730,30,FALSE)," ")</f>
        <v>1.1013369187879976</v>
      </c>
      <c r="X304" s="52">
        <f>IFERROR(VLOOKUP($A304,'The List'!$B1:$AS730,31,FALSE)," ")</f>
        <v>0</v>
      </c>
      <c r="Y304" s="52">
        <f>IFERROR(VLOOKUP($A304,'The List'!$B1:$AS730,32,FALSE)," ")</f>
        <v>0</v>
      </c>
      <c r="Z304" s="52">
        <f>IFERROR(VLOOKUP($A304,'The List'!$B1:$AS730,33,FALSE)," ")</f>
        <v>0</v>
      </c>
      <c r="AA304" s="54"/>
      <c r="AB304" s="59"/>
      <c r="AC304" s="59"/>
      <c r="AD304" s="59"/>
      <c r="AE304" s="59"/>
      <c r="AF304" s="59"/>
    </row>
    <row r="305" spans="1:32" ht="21.2" customHeight="1">
      <c r="A305" s="23" t="s">
        <v>184</v>
      </c>
      <c r="B305" s="67" t="str">
        <f>IFERROR(VLOOKUP($A305,'The List'!$B1:$AS730,3,FALSE)," ")</f>
        <v>D</v>
      </c>
      <c r="C305" s="69">
        <f>IFERROR(VLOOKUP($A305,'The List'!$B1:$AS730,4,FALSE)," ")</f>
        <v>22</v>
      </c>
      <c r="D305" s="34" t="str">
        <f>IFERROR(VLOOKUP($A305,'The List'!$B1:$AS730,5,FALSE)," ")</f>
        <v>TOR</v>
      </c>
      <c r="E305" s="34">
        <f>IFERROR(VLOOKUP($A305,'The List'!$B1:$AS730,6,FALSE)," ")</f>
        <v>29</v>
      </c>
      <c r="F305" s="49">
        <f>IFERROR(VLOOKUP($A305,'The List'!$B1:$AS730,8,FALSE)," ")</f>
        <v>3.3250194656346799</v>
      </c>
      <c r="G305" s="49">
        <f>IFERROR(VLOOKUP($A305,'The List'!$B1:$AS730,10,FALSE)," ")</f>
        <v>1.3832789220003692</v>
      </c>
      <c r="H305" s="38"/>
      <c r="I305" s="52">
        <f>IFERROR(VLOOKUP($A305,'The List'!$B1:$AS730,16,FALSE)," ")</f>
        <v>82</v>
      </c>
      <c r="J305" s="52">
        <f>IFERROR(VLOOKUP($A305,'The List'!$B1:$AS730,17,FALSE)," ")</f>
        <v>21.730165249765498</v>
      </c>
      <c r="K305" s="52">
        <f>IFERROR(VLOOKUP($A305,'The List'!$B1:$AS730,18,FALSE)," ")</f>
        <v>7.6371739494745956</v>
      </c>
      <c r="L305" s="52">
        <f>IFERROR(VLOOKUP($A305,'The List'!$B1:$AS730,19,FALSE)," ")</f>
        <v>49.595087974138472</v>
      </c>
      <c r="M305" s="52">
        <f>IFERROR(VLOOKUP($A305,'The List'!$B1:$AS730,20,FALSE)," ")</f>
        <v>57.232261923613066</v>
      </c>
      <c r="N305" s="52">
        <f>IFERROR(VLOOKUP($A305,'The List'!$B1:$AS730,21,FALSE)," ")</f>
        <v>165.66676706884539</v>
      </c>
      <c r="O305" s="52">
        <f>IFERROR(VLOOKUP($A305,'The List'!$B1:$AS730,22,FALSE)," ")</f>
        <v>1.4317131739927382</v>
      </c>
      <c r="P305" s="52">
        <f>IFERROR(VLOOKUP($A305,'The List'!$B1:$AS730,23,FALSE)," ")</f>
        <v>18.01669654893713</v>
      </c>
      <c r="Q305" s="52">
        <f>IFERROR(VLOOKUP($A305,'The List'!$B1:$AS730,24,FALSE)," ")</f>
        <v>1.7819457885552833E-2</v>
      </c>
      <c r="R305" s="52">
        <f>IFERROR(VLOOKUP($A305,'The List'!$B1:$AS730,25,FALSE)," ")</f>
        <v>0.9893572674977773</v>
      </c>
      <c r="S305" s="52">
        <f>IFERROR(VLOOKUP($A305,'The List'!$B1:$AS730,26,FALSE)," ")</f>
        <v>101.52900539549374</v>
      </c>
      <c r="T305" s="52">
        <f>IFERROR(VLOOKUP($A305,'The List'!$B1:$AS730,27,FALSE)," ")</f>
        <v>94.674903052249732</v>
      </c>
      <c r="U305" s="52">
        <f>IFERROR(VLOOKUP($A305,'The List'!$B1:$AS730,28,FALSE)," ")</f>
        <v>5.2746432223465387</v>
      </c>
      <c r="V305" s="52">
        <f>IFERROR(VLOOKUP($A305,'The List'!$B1:$AS730,29,FALSE)," ")</f>
        <v>31.105622159088316</v>
      </c>
      <c r="W305" s="52">
        <f>IFERROR(VLOOKUP($A305,'The List'!$B1:$AS730,30,FALSE)," ")</f>
        <v>1.226909965053024</v>
      </c>
      <c r="X305" s="52">
        <f>IFERROR(VLOOKUP($A305,'The List'!$B1:$AS730,31,FALSE)," ")</f>
        <v>0</v>
      </c>
      <c r="Y305" s="52">
        <f>IFERROR(VLOOKUP($A305,'The List'!$B1:$AS730,32,FALSE)," ")</f>
        <v>0</v>
      </c>
      <c r="Z305" s="52">
        <f>IFERROR(VLOOKUP($A305,'The List'!$B1:$AS730,33,FALSE)," ")</f>
        <v>0</v>
      </c>
      <c r="AA305" s="54"/>
      <c r="AB305" s="59"/>
      <c r="AC305" s="59"/>
      <c r="AD305" s="59"/>
      <c r="AE305" s="59"/>
      <c r="AF305" s="59"/>
    </row>
    <row r="306" spans="1:32" ht="21.2" customHeight="1">
      <c r="A306" s="23" t="s">
        <v>263</v>
      </c>
      <c r="B306" s="67" t="str">
        <f>IFERROR(VLOOKUP($A306,'The List'!$B1:$AS730,3,FALSE)," ")</f>
        <v>D</v>
      </c>
      <c r="C306" s="69">
        <f>IFERROR(VLOOKUP($A306,'The List'!$B1:$AS730,4,FALSE)," ")</f>
        <v>40</v>
      </c>
      <c r="D306" s="34" t="str">
        <f>IFERROR(VLOOKUP($A306,'The List'!$B1:$AS730,5,FALSE)," ")</f>
        <v>TOR</v>
      </c>
      <c r="E306" s="34">
        <f>IFERROR(VLOOKUP($A306,'The List'!$B1:$AS730,6,FALSE)," ")</f>
        <v>31</v>
      </c>
      <c r="F306" s="49">
        <f>IFERROR(VLOOKUP($A306,'The List'!$B1:$AS730,8,FALSE)," ")</f>
        <v>0.94687677240131884</v>
      </c>
      <c r="G306" s="49">
        <f>IFERROR(VLOOKUP($A306,'The List'!$B1:$AS730,10,FALSE)," ")</f>
        <v>-0.99486377123299186</v>
      </c>
      <c r="H306" s="38"/>
      <c r="I306" s="52">
        <f>IFERROR(VLOOKUP($A306,'The List'!$B1:$AS730,16,FALSE)," ")</f>
        <v>82</v>
      </c>
      <c r="J306" s="52">
        <f>IFERROR(VLOOKUP($A306,'The List'!$B1:$AS730,17,FALSE)," ")</f>
        <v>19.168837382777301</v>
      </c>
      <c r="K306" s="52">
        <f>IFERROR(VLOOKUP($A306,'The List'!$B1:$AS730,18,FALSE)," ")</f>
        <v>8.3760324216589463</v>
      </c>
      <c r="L306" s="52">
        <f>IFERROR(VLOOKUP($A306,'The List'!$B1:$AS730,19,FALSE)," ")</f>
        <v>32.190684224952228</v>
      </c>
      <c r="M306" s="52">
        <f>IFERROR(VLOOKUP($A306,'The List'!$B1:$AS730,20,FALSE)," ")</f>
        <v>40.566716646611177</v>
      </c>
      <c r="N306" s="52">
        <f>IFERROR(VLOOKUP($A306,'The List'!$B1:$AS730,21,FALSE)," ")</f>
        <v>144.07770396278616</v>
      </c>
      <c r="O306" s="52">
        <f>IFERROR(VLOOKUP($A306,'The List'!$B1:$AS730,22,FALSE)," ")</f>
        <v>2.1212976994143364</v>
      </c>
      <c r="P306" s="52">
        <f>IFERROR(VLOOKUP($A306,'The List'!$B1:$AS730,23,FALSE)," ")</f>
        <v>17.130903250361353</v>
      </c>
      <c r="Q306" s="52">
        <f>IFERROR(VLOOKUP($A306,'The List'!$B1:$AS730,24,FALSE)," ")</f>
        <v>2.8540224551251974E-3</v>
      </c>
      <c r="R306" s="52">
        <f>IFERROR(VLOOKUP($A306,'The List'!$B1:$AS730,25,FALSE)," ")</f>
        <v>9.9069070463699144E-3</v>
      </c>
      <c r="S306" s="52">
        <f>IFERROR(VLOOKUP($A306,'The List'!$B1:$AS730,26,FALSE)," ")</f>
        <v>94.965972698016174</v>
      </c>
      <c r="T306" s="52">
        <f>IFERROR(VLOOKUP($A306,'The List'!$B1:$AS730,27,FALSE)," ")</f>
        <v>73.708953508470174</v>
      </c>
      <c r="U306" s="52">
        <f>IFERROR(VLOOKUP($A306,'The List'!$B1:$AS730,28,FALSE)," ")</f>
        <v>1.4534923635998929</v>
      </c>
      <c r="V306" s="52">
        <f>IFERROR(VLOOKUP($A306,'The List'!$B1:$AS730,29,FALSE)," ")</f>
        <v>35.810343946863107</v>
      </c>
      <c r="W306" s="52">
        <f>IFERROR(VLOOKUP($A306,'The List'!$B1:$AS730,30,FALSE)," ")</f>
        <v>1.3456073822238359</v>
      </c>
      <c r="X306" s="52">
        <f>IFERROR(VLOOKUP($A306,'The List'!$B1:$AS730,31,FALSE)," ")</f>
        <v>0</v>
      </c>
      <c r="Y306" s="52">
        <f>IFERROR(VLOOKUP($A306,'The List'!$B1:$AS730,32,FALSE)," ")</f>
        <v>0</v>
      </c>
      <c r="Z306" s="52">
        <f>IFERROR(VLOOKUP($A306,'The List'!$B1:$AS730,33,FALSE)," ")</f>
        <v>0</v>
      </c>
      <c r="AA306" s="54"/>
      <c r="AB306" s="59"/>
      <c r="AC306" s="59"/>
      <c r="AD306" s="59"/>
      <c r="AE306" s="59"/>
      <c r="AF306" s="59"/>
    </row>
    <row r="307" spans="1:32" ht="21.2" customHeight="1">
      <c r="A307" s="23" t="s">
        <v>268</v>
      </c>
      <c r="B307" s="67" t="str">
        <f>IFERROR(VLOOKUP($A307,'The List'!$B1:$AS730,3,FALSE)," ")</f>
        <v>D</v>
      </c>
      <c r="C307" s="69">
        <f>IFERROR(VLOOKUP($A307,'The List'!$B1:$AS730,4,FALSE)," ")</f>
        <v>43</v>
      </c>
      <c r="D307" s="34" t="str">
        <f>IFERROR(VLOOKUP($A307,'The List'!$B1:$AS730,5,FALSE)," ")</f>
        <v>NJD</v>
      </c>
      <c r="E307" s="34">
        <f>IFERROR(VLOOKUP($A307,'The List'!$B1:$AS730,6,FALSE)," ")</f>
        <v>20</v>
      </c>
      <c r="F307" s="49">
        <f>IFERROR(VLOOKUP($A307,'The List'!$B1:$AS730,8,FALSE)," ")</f>
        <v>0.49996421200840635</v>
      </c>
      <c r="G307" s="49">
        <f>IFERROR(VLOOKUP($A307,'The List'!$B1:$AS730,10,FALSE)," ")</f>
        <v>-1.4417763316259045</v>
      </c>
      <c r="H307" s="38"/>
      <c r="I307" s="52">
        <f>IFERROR(VLOOKUP($A307,'The List'!$B1:$AS730,16,FALSE)," ")</f>
        <v>82</v>
      </c>
      <c r="J307" s="52">
        <f>IFERROR(VLOOKUP($A307,'The List'!$B1:$AS730,17,FALSE)," ")</f>
        <v>21</v>
      </c>
      <c r="K307" s="52">
        <f>IFERROR(VLOOKUP($A307,'The List'!$B1:$AS730,18,FALSE)," ")</f>
        <v>8.778380188216703</v>
      </c>
      <c r="L307" s="52">
        <f>IFERROR(VLOOKUP($A307,'The List'!$B1:$AS730,19,FALSE)," ")</f>
        <v>33.065567316510609</v>
      </c>
      <c r="M307" s="52">
        <f>IFERROR(VLOOKUP($A307,'The List'!$B1:$AS730,20,FALSE)," ")</f>
        <v>41.843947504727311</v>
      </c>
      <c r="N307" s="52">
        <f>IFERROR(VLOOKUP($A307,'The List'!$B1:$AS730,21,FALSE)," ")</f>
        <v>152.15028782570238</v>
      </c>
      <c r="O307" s="52">
        <f>IFERROR(VLOOKUP($A307,'The List'!$B1:$AS730,22,FALSE)," ")</f>
        <v>2.0428323733495128</v>
      </c>
      <c r="P307" s="52">
        <f>IFERROR(VLOOKUP($A307,'The List'!$B1:$AS730,23,FALSE)," ")</f>
        <v>9.7375790018909072</v>
      </c>
      <c r="Q307" s="52">
        <f>IFERROR(VLOOKUP($A307,'The List'!$B1:$AS730,24,FALSE)," ")</f>
        <v>0</v>
      </c>
      <c r="R307" s="52">
        <f>IFERROR(VLOOKUP($A307,'The List'!$B1:$AS730,25,FALSE)," ")</f>
        <v>0</v>
      </c>
      <c r="S307" s="52">
        <f>IFERROR(VLOOKUP($A307,'The List'!$B1:$AS730,26,FALSE)," ")</f>
        <v>109.89999999999964</v>
      </c>
      <c r="T307" s="52">
        <f>IFERROR(VLOOKUP($A307,'The List'!$B1:$AS730,27,FALSE)," ")</f>
        <v>111.51373929992127</v>
      </c>
      <c r="U307" s="52">
        <f>IFERROR(VLOOKUP($A307,'The List'!$B1:$AS730,28,FALSE)," ")</f>
        <v>0.96999999999999775</v>
      </c>
      <c r="V307" s="52">
        <f>IFERROR(VLOOKUP($A307,'The List'!$B1:$AS730,29,FALSE)," ")</f>
        <v>41.081242357086381</v>
      </c>
      <c r="W307" s="52">
        <f>IFERROR(VLOOKUP($A307,'The List'!$B1:$AS730,30,FALSE)," ")</f>
        <v>1.2902285964809603</v>
      </c>
      <c r="X307" s="52">
        <f>IFERROR(VLOOKUP($A307,'The List'!$B1:$AS730,31,FALSE)," ")</f>
        <v>0</v>
      </c>
      <c r="Y307" s="52">
        <f>IFERROR(VLOOKUP($A307,'The List'!$B1:$AS730,32,FALSE)," ")</f>
        <v>0</v>
      </c>
      <c r="Z307" s="52">
        <f>IFERROR(VLOOKUP($A307,'The List'!$B1:$AS730,33,FALSE)," ")</f>
        <v>0</v>
      </c>
      <c r="AA307" s="54"/>
      <c r="AB307" s="59"/>
      <c r="AC307" s="59"/>
      <c r="AD307" s="59"/>
      <c r="AE307" s="59"/>
      <c r="AF307" s="59"/>
    </row>
    <row r="308" spans="1:32" ht="21.2" customHeight="1">
      <c r="A308" s="23"/>
      <c r="B308" s="67" t="str">
        <f>IFERROR(VLOOKUP($A308,'The List'!$B1:$AS730,3,FALSE)," ")</f>
        <v xml:space="preserve"> </v>
      </c>
      <c r="C308" s="69" t="str">
        <f>IFERROR(VLOOKUP($A308,'The List'!$B1:$AS730,4,FALSE)," ")</f>
        <v xml:space="preserve"> </v>
      </c>
      <c r="D308" s="34" t="str">
        <f>IFERROR(VLOOKUP($A308,'The List'!$B1:$AS730,5,FALSE)," ")</f>
        <v xml:space="preserve"> </v>
      </c>
      <c r="E308" s="34" t="str">
        <f>IFERROR(VLOOKUP($A308,'The List'!$B1:$AS730,6,FALSE)," ")</f>
        <v xml:space="preserve"> </v>
      </c>
      <c r="F308" s="49" t="str">
        <f>IFERROR(VLOOKUP($A308,'The List'!$B1:$AS730,8,FALSE)," ")</f>
        <v xml:space="preserve"> </v>
      </c>
      <c r="G308" s="49" t="str">
        <f>IFERROR(VLOOKUP($A308,'The List'!$B1:$AS730,10,FALSE)," ")</f>
        <v xml:space="preserve"> </v>
      </c>
      <c r="H308" s="38"/>
      <c r="I308" s="52" t="str">
        <f>IFERROR(VLOOKUP($A308,'The List'!$B1:$AS730,16,FALSE)," ")</f>
        <v xml:space="preserve"> </v>
      </c>
      <c r="J308" s="52" t="str">
        <f>IFERROR(VLOOKUP($A308,'The List'!$B1:$AS730,17,FALSE)," ")</f>
        <v xml:space="preserve"> </v>
      </c>
      <c r="K308" s="52" t="str">
        <f>IFERROR(VLOOKUP($A308,'The List'!$B1:$AS730,18,FALSE)," ")</f>
        <v xml:space="preserve"> </v>
      </c>
      <c r="L308" s="52" t="str">
        <f>IFERROR(VLOOKUP($A308,'The List'!$B1:$AS730,19,FALSE)," ")</f>
        <v xml:space="preserve"> </v>
      </c>
      <c r="M308" s="52" t="str">
        <f>IFERROR(VLOOKUP($A308,'The List'!$B1:$AS730,20,FALSE)," ")</f>
        <v xml:space="preserve"> </v>
      </c>
      <c r="N308" s="52" t="str">
        <f>IFERROR(VLOOKUP($A308,'The List'!$B1:$AS730,21,FALSE)," ")</f>
        <v xml:space="preserve"> </v>
      </c>
      <c r="O308" s="52" t="str">
        <f>IFERROR(VLOOKUP($A308,'The List'!$B1:$AS730,22,FALSE)," ")</f>
        <v xml:space="preserve"> </v>
      </c>
      <c r="P308" s="52" t="str">
        <f>IFERROR(VLOOKUP($A308,'The List'!$B1:$AS730,23,FALSE)," ")</f>
        <v xml:space="preserve"> </v>
      </c>
      <c r="Q308" s="52" t="str">
        <f>IFERROR(VLOOKUP($A308,'The List'!$B1:$AS730,24,FALSE)," ")</f>
        <v xml:space="preserve"> </v>
      </c>
      <c r="R308" s="52" t="str">
        <f>IFERROR(VLOOKUP($A308,'The List'!$B1:$AS730,25,FALSE)," ")</f>
        <v xml:space="preserve"> </v>
      </c>
      <c r="S308" s="52" t="str">
        <f>IFERROR(VLOOKUP($A308,'The List'!$B1:$AS730,26,FALSE)," ")</f>
        <v xml:space="preserve"> </v>
      </c>
      <c r="T308" s="52" t="str">
        <f>IFERROR(VLOOKUP($A308,'The List'!$B1:$AS730,27,FALSE)," ")</f>
        <v xml:space="preserve"> </v>
      </c>
      <c r="U308" s="52" t="str">
        <f>IFERROR(VLOOKUP($A308,'The List'!$B1:$AS730,28,FALSE)," ")</f>
        <v xml:space="preserve"> </v>
      </c>
      <c r="V308" s="52" t="str">
        <f>IFERROR(VLOOKUP($A308,'The List'!$B1:$AS730,29,FALSE)," ")</f>
        <v xml:space="preserve"> </v>
      </c>
      <c r="W308" s="52" t="str">
        <f>IFERROR(VLOOKUP($A308,'The List'!$B1:$AS730,30,FALSE)," ")</f>
        <v xml:space="preserve"> </v>
      </c>
      <c r="X308" s="52" t="str">
        <f>IFERROR(VLOOKUP($A308,'The List'!$B1:$AS730,31,FALSE)," ")</f>
        <v xml:space="preserve"> </v>
      </c>
      <c r="Y308" s="52" t="str">
        <f>IFERROR(VLOOKUP($A308,'The List'!$B1:$AS730,32,FALSE)," ")</f>
        <v xml:space="preserve"> </v>
      </c>
      <c r="Z308" s="52" t="str">
        <f>IFERROR(VLOOKUP($A308,'The List'!$B1:$AS730,33,FALSE)," ")</f>
        <v xml:space="preserve"> </v>
      </c>
      <c r="AA308" s="54"/>
      <c r="AB308" s="59"/>
      <c r="AC308" s="59"/>
      <c r="AD308" s="59"/>
      <c r="AE308" s="59"/>
      <c r="AF308" s="59"/>
    </row>
    <row r="309" spans="1:32" ht="21.2" customHeight="1">
      <c r="A309" s="23"/>
      <c r="B309" s="67" t="str">
        <f>IFERROR(VLOOKUP($A309,'The List'!$B1:$AS730,3,FALSE)," ")</f>
        <v xml:space="preserve"> </v>
      </c>
      <c r="C309" s="69" t="str">
        <f>IFERROR(VLOOKUP($A309,'The List'!$B1:$AS730,4,FALSE)," ")</f>
        <v xml:space="preserve"> </v>
      </c>
      <c r="D309" s="34" t="str">
        <f>IFERROR(VLOOKUP($A309,'The List'!$B1:$AS730,5,FALSE)," ")</f>
        <v xml:space="preserve"> </v>
      </c>
      <c r="E309" s="34" t="str">
        <f>IFERROR(VLOOKUP($A309,'The List'!$B1:$AS730,6,FALSE)," ")</f>
        <v xml:space="preserve"> </v>
      </c>
      <c r="F309" s="49" t="str">
        <f>IFERROR(VLOOKUP($A309,'The List'!$B1:$AS730,8,FALSE)," ")</f>
        <v xml:space="preserve"> </v>
      </c>
      <c r="G309" s="49" t="str">
        <f>IFERROR(VLOOKUP($A309,'The List'!$B1:$AS730,10,FALSE)," ")</f>
        <v xml:space="preserve"> </v>
      </c>
      <c r="H309" s="38"/>
      <c r="I309" s="52" t="str">
        <f>IFERROR(VLOOKUP($A309,'The List'!$B1:$AS730,16,FALSE)," ")</f>
        <v xml:space="preserve"> </v>
      </c>
      <c r="J309" s="52" t="str">
        <f>IFERROR(VLOOKUP($A309,'The List'!$B1:$AS730,17,FALSE)," ")</f>
        <v xml:space="preserve"> </v>
      </c>
      <c r="K309" s="52" t="str">
        <f>IFERROR(VLOOKUP($A309,'The List'!$B1:$AS730,18,FALSE)," ")</f>
        <v xml:space="preserve"> </v>
      </c>
      <c r="L309" s="52" t="str">
        <f>IFERROR(VLOOKUP($A309,'The List'!$B1:$AS730,19,FALSE)," ")</f>
        <v xml:space="preserve"> </v>
      </c>
      <c r="M309" s="52" t="str">
        <f>IFERROR(VLOOKUP($A309,'The List'!$B1:$AS730,20,FALSE)," ")</f>
        <v xml:space="preserve"> </v>
      </c>
      <c r="N309" s="52" t="str">
        <f>IFERROR(VLOOKUP($A309,'The List'!$B1:$AS730,21,FALSE)," ")</f>
        <v xml:space="preserve"> </v>
      </c>
      <c r="O309" s="52" t="str">
        <f>IFERROR(VLOOKUP($A309,'The List'!$B1:$AS730,22,FALSE)," ")</f>
        <v xml:space="preserve"> </v>
      </c>
      <c r="P309" s="52" t="str">
        <f>IFERROR(VLOOKUP($A309,'The List'!$B1:$AS730,23,FALSE)," ")</f>
        <v xml:space="preserve"> </v>
      </c>
      <c r="Q309" s="52" t="str">
        <f>IFERROR(VLOOKUP($A309,'The List'!$B1:$AS730,24,FALSE)," ")</f>
        <v xml:space="preserve"> </v>
      </c>
      <c r="R309" s="52" t="str">
        <f>IFERROR(VLOOKUP($A309,'The List'!$B1:$AS730,25,FALSE)," ")</f>
        <v xml:space="preserve"> </v>
      </c>
      <c r="S309" s="52" t="str">
        <f>IFERROR(VLOOKUP($A309,'The List'!$B1:$AS730,26,FALSE)," ")</f>
        <v xml:space="preserve"> </v>
      </c>
      <c r="T309" s="52" t="str">
        <f>IFERROR(VLOOKUP($A309,'The List'!$B1:$AS730,27,FALSE)," ")</f>
        <v xml:space="preserve"> </v>
      </c>
      <c r="U309" s="52" t="str">
        <f>IFERROR(VLOOKUP($A309,'The List'!$B1:$AS730,28,FALSE)," ")</f>
        <v xml:space="preserve"> </v>
      </c>
      <c r="V309" s="52" t="str">
        <f>IFERROR(VLOOKUP($A309,'The List'!$B1:$AS730,29,FALSE)," ")</f>
        <v xml:space="preserve"> </v>
      </c>
      <c r="W309" s="52" t="str">
        <f>IFERROR(VLOOKUP($A309,'The List'!$B1:$AS730,30,FALSE)," ")</f>
        <v xml:space="preserve"> </v>
      </c>
      <c r="X309" s="52" t="str">
        <f>IFERROR(VLOOKUP($A309,'The List'!$B1:$AS730,31,FALSE)," ")</f>
        <v xml:space="preserve"> </v>
      </c>
      <c r="Y309" s="52" t="str">
        <f>IFERROR(VLOOKUP($A309,'The List'!$B1:$AS730,32,FALSE)," ")</f>
        <v xml:space="preserve"> </v>
      </c>
      <c r="Z309" s="52" t="str">
        <f>IFERROR(VLOOKUP($A309,'The List'!$B1:$AS730,33,FALSE)," ")</f>
        <v xml:space="preserve"> </v>
      </c>
      <c r="AA309" s="54"/>
      <c r="AB309" s="59"/>
      <c r="AC309" s="59"/>
      <c r="AD309" s="59"/>
      <c r="AE309" s="59"/>
      <c r="AF309" s="59"/>
    </row>
    <row r="310" spans="1:32" ht="21.2" customHeight="1">
      <c r="A310" s="23"/>
      <c r="B310" s="67" t="str">
        <f>IFERROR(VLOOKUP($A310,'The List'!$B1:$AS730,3,FALSE)," ")</f>
        <v xml:space="preserve"> </v>
      </c>
      <c r="C310" s="69" t="str">
        <f>IFERROR(VLOOKUP($A310,'The List'!$B1:$AS730,4,FALSE)," ")</f>
        <v xml:space="preserve"> </v>
      </c>
      <c r="D310" s="34" t="str">
        <f>IFERROR(VLOOKUP($A310,'The List'!$B1:$AS730,5,FALSE)," ")</f>
        <v xml:space="preserve"> </v>
      </c>
      <c r="E310" s="34" t="str">
        <f>IFERROR(VLOOKUP($A310,'The List'!$B1:$AS730,6,FALSE)," ")</f>
        <v xml:space="preserve"> </v>
      </c>
      <c r="F310" s="49" t="str">
        <f>IFERROR(VLOOKUP($A310,'The List'!$B1:$AS730,8,FALSE)," ")</f>
        <v xml:space="preserve"> </v>
      </c>
      <c r="G310" s="49" t="str">
        <f>IFERROR(VLOOKUP($A310,'The List'!$B1:$AS730,10,FALSE)," ")</f>
        <v xml:space="preserve"> </v>
      </c>
      <c r="H310" s="38"/>
      <c r="I310" s="52" t="str">
        <f>IFERROR(VLOOKUP($A310,'The List'!$B1:$AS730,16,FALSE)," ")</f>
        <v xml:space="preserve"> </v>
      </c>
      <c r="J310" s="52" t="str">
        <f>IFERROR(VLOOKUP($A310,'The List'!$B1:$AS730,17,FALSE)," ")</f>
        <v xml:space="preserve"> </v>
      </c>
      <c r="K310" s="52" t="str">
        <f>IFERROR(VLOOKUP($A310,'The List'!$B1:$AS730,18,FALSE)," ")</f>
        <v xml:space="preserve"> </v>
      </c>
      <c r="L310" s="52" t="str">
        <f>IFERROR(VLOOKUP($A310,'The List'!$B1:$AS730,19,FALSE)," ")</f>
        <v xml:space="preserve"> </v>
      </c>
      <c r="M310" s="52" t="str">
        <f>IFERROR(VLOOKUP($A310,'The List'!$B1:$AS730,20,FALSE)," ")</f>
        <v xml:space="preserve"> </v>
      </c>
      <c r="N310" s="52" t="str">
        <f>IFERROR(VLOOKUP($A310,'The List'!$B1:$AS730,21,FALSE)," ")</f>
        <v xml:space="preserve"> </v>
      </c>
      <c r="O310" s="52" t="str">
        <f>IFERROR(VLOOKUP($A310,'The List'!$B1:$AS730,22,FALSE)," ")</f>
        <v xml:space="preserve"> </v>
      </c>
      <c r="P310" s="52" t="str">
        <f>IFERROR(VLOOKUP($A310,'The List'!$B1:$AS730,23,FALSE)," ")</f>
        <v xml:space="preserve"> </v>
      </c>
      <c r="Q310" s="52" t="str">
        <f>IFERROR(VLOOKUP($A310,'The List'!$B1:$AS730,24,FALSE)," ")</f>
        <v xml:space="preserve"> </v>
      </c>
      <c r="R310" s="52" t="str">
        <f>IFERROR(VLOOKUP($A310,'The List'!$B1:$AS730,25,FALSE)," ")</f>
        <v xml:space="preserve"> </v>
      </c>
      <c r="S310" s="52" t="str">
        <f>IFERROR(VLOOKUP($A310,'The List'!$B1:$AS730,26,FALSE)," ")</f>
        <v xml:space="preserve"> </v>
      </c>
      <c r="T310" s="52" t="str">
        <f>IFERROR(VLOOKUP($A310,'The List'!$B1:$AS730,27,FALSE)," ")</f>
        <v xml:space="preserve"> </v>
      </c>
      <c r="U310" s="52" t="str">
        <f>IFERROR(VLOOKUP($A310,'The List'!$B1:$AS730,28,FALSE)," ")</f>
        <v xml:space="preserve"> </v>
      </c>
      <c r="V310" s="52" t="str">
        <f>IFERROR(VLOOKUP($A310,'The List'!$B1:$AS730,29,FALSE)," ")</f>
        <v xml:space="preserve"> </v>
      </c>
      <c r="W310" s="52" t="str">
        <f>IFERROR(VLOOKUP($A310,'The List'!$B1:$AS730,30,FALSE)," ")</f>
        <v xml:space="preserve"> </v>
      </c>
      <c r="X310" s="52" t="str">
        <f>IFERROR(VLOOKUP($A310,'The List'!$B1:$AS730,31,FALSE)," ")</f>
        <v xml:space="preserve"> </v>
      </c>
      <c r="Y310" s="52" t="str">
        <f>IFERROR(VLOOKUP($A310,'The List'!$B1:$AS730,32,FALSE)," ")</f>
        <v xml:space="preserve"> </v>
      </c>
      <c r="Z310" s="52" t="str">
        <f>IFERROR(VLOOKUP($A310,'The List'!$B1:$AS730,33,FALSE)," ")</f>
        <v xml:space="preserve"> </v>
      </c>
      <c r="AA310" s="54"/>
      <c r="AB310" s="59"/>
      <c r="AC310" s="59"/>
      <c r="AD310" s="59"/>
      <c r="AE310" s="59"/>
      <c r="AF310" s="59"/>
    </row>
    <row r="311" spans="1:32" ht="21.2" customHeight="1">
      <c r="A311" s="71"/>
      <c r="B311" s="72" t="str">
        <f>IFERROR(VLOOKUP($A311,'The List'!$B1:$AS730,3,FALSE)," ")</f>
        <v xml:space="preserve"> </v>
      </c>
      <c r="C311" s="73" t="str">
        <f>IFERROR(VLOOKUP($A311,'The List'!$B1:$AS730,4,FALSE)," ")</f>
        <v xml:space="preserve"> </v>
      </c>
      <c r="D311" s="74" t="str">
        <f>IFERROR(VLOOKUP($A311,'The List'!$B1:$AS730,5,FALSE)," ")</f>
        <v xml:space="preserve"> </v>
      </c>
      <c r="E311" s="74" t="str">
        <f>IFERROR(VLOOKUP($A311,'The List'!$B1:$AS730,6,FALSE)," ")</f>
        <v xml:space="preserve"> </v>
      </c>
      <c r="F311" s="75" t="str">
        <f>IFERROR(VLOOKUP($A311,'The List'!$B1:$AS730,8,FALSE)," ")</f>
        <v xml:space="preserve"> </v>
      </c>
      <c r="G311" s="75" t="str">
        <f>IFERROR(VLOOKUP($A311,'The List'!$B1:$AS730,10,FALSE)," ")</f>
        <v xml:space="preserve"> </v>
      </c>
      <c r="H311" s="76"/>
      <c r="I311" s="77" t="str">
        <f>IFERROR(VLOOKUP($A311,'The List'!$B1:$AS730,16,FALSE)," ")</f>
        <v xml:space="preserve"> </v>
      </c>
      <c r="J311" s="77" t="str">
        <f>IFERROR(VLOOKUP($A311,'The List'!$B1:$AS730,17,FALSE)," ")</f>
        <v xml:space="preserve"> </v>
      </c>
      <c r="K311" s="77" t="str">
        <f>IFERROR(VLOOKUP($A311,'The List'!$B1:$AS730,18,FALSE)," ")</f>
        <v xml:space="preserve"> </v>
      </c>
      <c r="L311" s="77" t="str">
        <f>IFERROR(VLOOKUP($A311,'The List'!$B1:$AS730,19,FALSE)," ")</f>
        <v xml:space="preserve"> </v>
      </c>
      <c r="M311" s="77" t="str">
        <f>IFERROR(VLOOKUP($A311,'The List'!$B1:$AS730,20,FALSE)," ")</f>
        <v xml:space="preserve"> </v>
      </c>
      <c r="N311" s="77" t="str">
        <f>IFERROR(VLOOKUP($A311,'The List'!$B1:$AS730,21,FALSE)," ")</f>
        <v xml:space="preserve"> </v>
      </c>
      <c r="O311" s="77" t="str">
        <f>IFERROR(VLOOKUP($A311,'The List'!$B1:$AS730,22,FALSE)," ")</f>
        <v xml:space="preserve"> </v>
      </c>
      <c r="P311" s="77" t="str">
        <f>IFERROR(VLOOKUP($A311,'The List'!$B1:$AS730,23,FALSE)," ")</f>
        <v xml:space="preserve"> </v>
      </c>
      <c r="Q311" s="77" t="str">
        <f>IFERROR(VLOOKUP($A311,'The List'!$B1:$AS730,24,FALSE)," ")</f>
        <v xml:space="preserve"> </v>
      </c>
      <c r="R311" s="77" t="str">
        <f>IFERROR(VLOOKUP($A311,'The List'!$B1:$AS730,25,FALSE)," ")</f>
        <v xml:space="preserve"> </v>
      </c>
      <c r="S311" s="77" t="str">
        <f>IFERROR(VLOOKUP($A311,'The List'!$B1:$AS730,26,FALSE)," ")</f>
        <v xml:space="preserve"> </v>
      </c>
      <c r="T311" s="77" t="str">
        <f>IFERROR(VLOOKUP($A311,'The List'!$B1:$AS730,27,FALSE)," ")</f>
        <v xml:space="preserve"> </v>
      </c>
      <c r="U311" s="77" t="str">
        <f>IFERROR(VLOOKUP($A311,'The List'!$B1:$AS730,28,FALSE)," ")</f>
        <v xml:space="preserve"> </v>
      </c>
      <c r="V311" s="77" t="str">
        <f>IFERROR(VLOOKUP($A311,'The List'!$B1:$AS730,29,FALSE)," ")</f>
        <v xml:space="preserve"> </v>
      </c>
      <c r="W311" s="77" t="str">
        <f>IFERROR(VLOOKUP($A311,'The List'!$B1:$AS730,30,FALSE)," ")</f>
        <v xml:space="preserve"> </v>
      </c>
      <c r="X311" s="77" t="str">
        <f>IFERROR(VLOOKUP($A311,'The List'!$B1:$AS730,31,FALSE)," ")</f>
        <v xml:space="preserve"> </v>
      </c>
      <c r="Y311" s="77" t="str">
        <f>IFERROR(VLOOKUP($A311,'The List'!$B1:$AS730,32,FALSE)," ")</f>
        <v xml:space="preserve"> </v>
      </c>
      <c r="Z311" s="77" t="str">
        <f>IFERROR(VLOOKUP($A311,'The List'!$B1:$AS730,33,FALSE)," ")</f>
        <v xml:space="preserve"> </v>
      </c>
      <c r="AA311" s="54"/>
      <c r="AB311" s="59"/>
      <c r="AC311" s="59"/>
      <c r="AD311" s="59"/>
      <c r="AE311" s="59"/>
      <c r="AF311" s="59"/>
    </row>
    <row r="312" spans="1:32" ht="21.2" customHeight="1">
      <c r="A312" s="78"/>
      <c r="B312" s="79"/>
      <c r="C312" s="80"/>
      <c r="D312" s="81"/>
      <c r="E312" s="116">
        <f>IFERROR(AVERAGE(E292:E311)," ")</f>
        <v>26.714285714285715</v>
      </c>
      <c r="F312" s="83">
        <f>SUM(F292:F311)</f>
        <v>83.948714850475312</v>
      </c>
      <c r="G312" s="83">
        <f>SUM(G292:G311)</f>
        <v>12.085558494900729</v>
      </c>
      <c r="H312" s="84"/>
      <c r="I312" s="85">
        <f>SUM(I292:I311)</f>
        <v>1148</v>
      </c>
      <c r="J312" s="84">
        <f>AVERAGE(J292:J311)</f>
        <v>19.823501210492775</v>
      </c>
      <c r="K312" s="85">
        <f t="shared" ref="K312:Y312" si="20">SUM(K292:K311)</f>
        <v>360.18977443891134</v>
      </c>
      <c r="L312" s="85">
        <f t="shared" si="20"/>
        <v>585.57350637077002</v>
      </c>
      <c r="M312" s="85">
        <f t="shared" si="20"/>
        <v>945.76328080968165</v>
      </c>
      <c r="N312" s="85">
        <f t="shared" si="20"/>
        <v>2976.3363395547876</v>
      </c>
      <c r="O312" s="85">
        <f t="shared" si="20"/>
        <v>94.132272607028938</v>
      </c>
      <c r="P312" s="85">
        <f t="shared" si="20"/>
        <v>288.38143931578975</v>
      </c>
      <c r="Q312" s="85">
        <f t="shared" si="20"/>
        <v>2.5124522840661383</v>
      </c>
      <c r="R312" s="85">
        <f t="shared" si="20"/>
        <v>9.136890386780788</v>
      </c>
      <c r="S312" s="85">
        <f t="shared" si="20"/>
        <v>894.51730608691787</v>
      </c>
      <c r="T312" s="85">
        <f t="shared" si="20"/>
        <v>1252.0272647332811</v>
      </c>
      <c r="U312" s="85">
        <f t="shared" si="20"/>
        <v>22.5086729771634</v>
      </c>
      <c r="V312" s="85">
        <f t="shared" si="20"/>
        <v>520.85111201190489</v>
      </c>
      <c r="W312" s="85">
        <f t="shared" si="20"/>
        <v>53.057507264137755</v>
      </c>
      <c r="X312" s="85">
        <f t="shared" si="20"/>
        <v>2289.6003285081874</v>
      </c>
      <c r="Y312" s="85">
        <f t="shared" si="20"/>
        <v>2745.2916176570234</v>
      </c>
      <c r="Z312" s="86">
        <f>IFERROR(X312/(X312+Y312),0)</f>
        <v>0.45474666646064665</v>
      </c>
      <c r="AA312" s="54"/>
      <c r="AB312" s="87"/>
      <c r="AC312" s="87"/>
      <c r="AD312" s="87"/>
      <c r="AE312" s="87"/>
      <c r="AF312" s="87"/>
    </row>
    <row r="313" spans="1:32" ht="21.2" customHeight="1">
      <c r="A313" s="88"/>
      <c r="B313" s="89"/>
      <c r="C313" s="90"/>
      <c r="D313" s="11"/>
      <c r="E313" s="11"/>
      <c r="F313" s="91"/>
      <c r="G313" s="92"/>
      <c r="H313" s="93"/>
      <c r="I313" s="9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9"/>
      <c r="AC313" s="59"/>
      <c r="AD313" s="59"/>
      <c r="AE313" s="59"/>
      <c r="AF313" s="59"/>
    </row>
    <row r="314" spans="1:32" ht="21.2" customHeight="1">
      <c r="A314" s="24" t="s">
        <v>64</v>
      </c>
      <c r="B314" s="231" t="s">
        <v>66</v>
      </c>
      <c r="C314" s="223"/>
      <c r="D314" s="95" t="s">
        <v>67</v>
      </c>
      <c r="E314" s="95" t="s">
        <v>68</v>
      </c>
      <c r="F314" s="96" t="s">
        <v>70</v>
      </c>
      <c r="G314" s="96" t="s">
        <v>72</v>
      </c>
      <c r="H314" s="97"/>
      <c r="I314" s="98" t="s">
        <v>77</v>
      </c>
      <c r="J314" s="98" t="s">
        <v>95</v>
      </c>
      <c r="K314" s="98" t="s">
        <v>96</v>
      </c>
      <c r="L314" s="98" t="s">
        <v>97</v>
      </c>
      <c r="M314" s="98" t="s">
        <v>98</v>
      </c>
      <c r="N314" s="98" t="s">
        <v>99</v>
      </c>
      <c r="O314" s="98" t="s">
        <v>100</v>
      </c>
      <c r="P314" s="98" t="s">
        <v>101</v>
      </c>
      <c r="Q314" s="98" t="s">
        <v>102</v>
      </c>
      <c r="R314" s="54"/>
      <c r="S314" s="54"/>
      <c r="T314" s="54"/>
      <c r="U314" s="231" t="s">
        <v>839</v>
      </c>
      <c r="V314" s="232"/>
      <c r="W314" s="232"/>
      <c r="X314" s="231" t="s">
        <v>840</v>
      </c>
      <c r="Y314" s="232"/>
      <c r="Z314" s="232"/>
      <c r="AA314" s="54"/>
      <c r="AB314" s="54"/>
      <c r="AC314" s="54"/>
      <c r="AD314" s="54"/>
      <c r="AE314" s="54"/>
      <c r="AF314" s="54"/>
    </row>
    <row r="315" spans="1:32" ht="21.2" customHeight="1">
      <c r="A315" s="117" t="s">
        <v>130</v>
      </c>
      <c r="B315" s="100" t="str">
        <f>IFERROR(VLOOKUP($A315,'The List'!$B1:$AS730,3,FALSE)," ")</f>
        <v>G</v>
      </c>
      <c r="C315" s="118">
        <f>IFERROR(VLOOKUP($A315,'The List'!$B1:$AS730,4,FALSE)," ")</f>
        <v>2</v>
      </c>
      <c r="D315" s="102" t="str">
        <f>IFERROR(VLOOKUP($A315,'The List'!$B1:$AS730,5,FALSE)," ")</f>
        <v>NYR</v>
      </c>
      <c r="E315" s="102">
        <f>IFERROR(VLOOKUP($A315,'The List'!$B1:$AS730,6,FALSE)," ")</f>
        <v>27</v>
      </c>
      <c r="F315" s="119">
        <f>IFERROR(VLOOKUP($A315,'The List'!$B1:$AS730,8,FALSE)," ")</f>
        <v>3.464178384051916</v>
      </c>
      <c r="G315" s="119">
        <f>IFERROR(VLOOKUP($A315,'The List'!$B1:$AS730,10,FALSE)," ")</f>
        <v>1.7599493328616245</v>
      </c>
      <c r="H315" s="105"/>
      <c r="I315" s="120">
        <f>IFERROR(VLOOKUP($A315,'The List'!$B1:$AS730,35,FALSE)," ")</f>
        <v>56</v>
      </c>
      <c r="J315" s="120">
        <f>IFERROR(VLOOKUP($A315,'The List'!$B1:$AS730,36,FALSE)," ")</f>
        <v>36.177237554253487</v>
      </c>
      <c r="K315" s="120">
        <f>IFERROR(VLOOKUP($A315,'The List'!$B1:$AS730,37,FALSE)," ")</f>
        <v>12.822762445746513</v>
      </c>
      <c r="L315" s="120">
        <f>IFERROR(VLOOKUP($A315,'The List'!$B1:$AS730,38,FALSE)," ")</f>
        <v>7</v>
      </c>
      <c r="M315" s="120">
        <f>IFERROR(VLOOKUP($A315,'The List'!$B1:$AS730,39,FALSE)," ")</f>
        <v>4.6618403945318798</v>
      </c>
      <c r="N315" s="120">
        <f>IFERROR(VLOOKUP($A315,'The List'!$B1:$AS730,40,FALSE)," ")</f>
        <v>1596.8696813957674</v>
      </c>
      <c r="O315" s="120">
        <f>IFERROR(VLOOKUP($A315,'The List'!$B1:$AS730,41,FALSE)," ")</f>
        <v>135.75487709947339</v>
      </c>
      <c r="P315" s="120">
        <f>IFERROR(VLOOKUP($A315,'The List'!$B1:$AS730,42,FALSE)," ")</f>
        <v>0.92164783972739339</v>
      </c>
      <c r="Q315" s="120">
        <f>IFERROR(VLOOKUP($A315,'The List'!$B1:$AS730,43,FALSE)," ")</f>
        <v>2.4241942339191676</v>
      </c>
      <c r="R315" s="54"/>
      <c r="S315" s="54"/>
      <c r="T315" s="109" t="str">
        <f>A262</f>
        <v>Kon Eagle</v>
      </c>
      <c r="U315" s="230">
        <f>F312+F318</f>
        <v>88.671423448558244</v>
      </c>
      <c r="V315" s="223"/>
      <c r="W315" s="223"/>
      <c r="X315" s="230">
        <f>G318+G312</f>
        <v>13.399808990603082</v>
      </c>
      <c r="Y315" s="223"/>
      <c r="Z315" s="223"/>
      <c r="AA315" s="54"/>
      <c r="AB315" s="54"/>
      <c r="AC315" s="54"/>
      <c r="AD315" s="54"/>
      <c r="AE315" s="54"/>
      <c r="AF315" s="54"/>
    </row>
    <row r="316" spans="1:32" ht="21.2" customHeight="1">
      <c r="A316" s="23" t="s">
        <v>373</v>
      </c>
      <c r="B316" s="110" t="str">
        <f>IFERROR(VLOOKUP($A316,'The List'!$B1:$AS730,3,FALSE)," ")</f>
        <v>G</v>
      </c>
      <c r="C316" s="111">
        <f>IFERROR(VLOOKUP($A316,'The List'!$B1:$AS730,4,FALSE)," ")</f>
        <v>23</v>
      </c>
      <c r="D316" s="34" t="str">
        <f>IFERROR(VLOOKUP($A316,'The List'!$B1:$AS730,5,FALSE)," ")</f>
        <v>CAR</v>
      </c>
      <c r="E316" s="34">
        <f>IFERROR(VLOOKUP($A316,'The List'!$B1:$AS730,6,FALSE)," ")</f>
        <v>33</v>
      </c>
      <c r="F316" s="49">
        <f>IFERROR(VLOOKUP($A316,'The List'!$B1:$AS730,8,FALSE)," ")</f>
        <v>1.2585302140310204</v>
      </c>
      <c r="G316" s="49">
        <f>IFERROR(VLOOKUP($A316,'The List'!$B1:$AS730,10,FALSE)," ")</f>
        <v>-0.44569883715927117</v>
      </c>
      <c r="H316" s="38"/>
      <c r="I316" s="52">
        <f>IFERROR(VLOOKUP($A316,'The List'!$B1:$AS730,35,FALSE)," ")</f>
        <v>41</v>
      </c>
      <c r="J316" s="52">
        <f>IFERROR(VLOOKUP($A316,'The List'!$B1:$AS730,36,FALSE)," ")</f>
        <v>25.993400886672049</v>
      </c>
      <c r="K316" s="52">
        <f>IFERROR(VLOOKUP($A316,'The List'!$B1:$AS730,37,FALSE)," ")</f>
        <v>9.881599113327951</v>
      </c>
      <c r="L316" s="52">
        <f>IFERROR(VLOOKUP($A316,'The List'!$B1:$AS730,38,FALSE)," ")</f>
        <v>5.125</v>
      </c>
      <c r="M316" s="52">
        <f>IFERROR(VLOOKUP($A316,'The List'!$B1:$AS730,39,FALSE)," ")</f>
        <v>2.5800565552001626</v>
      </c>
      <c r="N316" s="52">
        <f>IFERROR(VLOOKUP($A316,'The List'!$B1:$AS730,40,FALSE)," ")</f>
        <v>1108.2729399605714</v>
      </c>
      <c r="O316" s="52">
        <f>IFERROR(VLOOKUP($A316,'The List'!$B1:$AS730,41,FALSE)," ")</f>
        <v>111.55423357067851</v>
      </c>
      <c r="P316" s="52">
        <f>IFERROR(VLOOKUP($A316,'The List'!$B1:$AS730,42,FALSE)," ")</f>
        <v>0.90854914860787805</v>
      </c>
      <c r="Q316" s="52">
        <f>IFERROR(VLOOKUP($A316,'The List'!$B1:$AS730,43,FALSE)," ")</f>
        <v>2.7208349651385002</v>
      </c>
      <c r="R316" s="54"/>
      <c r="S316" s="54"/>
      <c r="T316" s="54"/>
      <c r="U316" s="223"/>
      <c r="V316" s="223"/>
      <c r="W316" s="223"/>
      <c r="X316" s="223"/>
      <c r="Y316" s="223"/>
      <c r="Z316" s="223"/>
      <c r="AA316" s="54"/>
      <c r="AB316" s="54"/>
      <c r="AC316" s="54"/>
      <c r="AD316" s="54"/>
      <c r="AE316" s="54"/>
      <c r="AF316" s="54"/>
    </row>
    <row r="317" spans="1:32" ht="21.2" customHeight="1">
      <c r="A317" s="71"/>
      <c r="B317" s="112" t="str">
        <f>IFERROR(VLOOKUP($A317,'The List'!$B1:$AS730,3,FALSE)," ")</f>
        <v xml:space="preserve"> </v>
      </c>
      <c r="C317" s="113" t="str">
        <f>IFERROR(VLOOKUP($A317,'The List'!$B1:$AS730,4,FALSE)," ")</f>
        <v xml:space="preserve"> </v>
      </c>
      <c r="D317" s="74" t="str">
        <f>IFERROR(VLOOKUP($A317,'The List'!$B1:$AS730,5,FALSE)," ")</f>
        <v xml:space="preserve"> </v>
      </c>
      <c r="E317" s="74" t="str">
        <f>IFERROR(VLOOKUP($A317,'The List'!$B1:$AS730,6,FALSE)," ")</f>
        <v xml:space="preserve"> </v>
      </c>
      <c r="F317" s="75" t="str">
        <f>IFERROR(VLOOKUP($A317,'The List'!$B1:$AS730,8,FALSE)," ")</f>
        <v xml:space="preserve"> </v>
      </c>
      <c r="G317" s="75" t="str">
        <f>IFERROR(VLOOKUP($A317,'The List'!$B1:$AS730,10,FALSE)," ")</f>
        <v xml:space="preserve"> </v>
      </c>
      <c r="H317" s="76"/>
      <c r="I317" s="77" t="str">
        <f>IFERROR(VLOOKUP($A317,'The List'!$B1:$AS730,35,FALSE)," ")</f>
        <v xml:space="preserve"> </v>
      </c>
      <c r="J317" s="77" t="str">
        <f>IFERROR(VLOOKUP($A317,'The List'!$B1:$AS730,36,FALSE)," ")</f>
        <v xml:space="preserve"> </v>
      </c>
      <c r="K317" s="77" t="str">
        <f>IFERROR(VLOOKUP($A317,'The List'!$B1:$AS730,37,FALSE)," ")</f>
        <v xml:space="preserve"> </v>
      </c>
      <c r="L317" s="77" t="str">
        <f>IFERROR(VLOOKUP($A317,'The List'!$B1:$AS730,38,FALSE)," ")</f>
        <v xml:space="preserve"> </v>
      </c>
      <c r="M317" s="77" t="str">
        <f>IFERROR(VLOOKUP($A317,'The List'!$B1:$AS730,39,FALSE)," ")</f>
        <v xml:space="preserve"> </v>
      </c>
      <c r="N317" s="77" t="str">
        <f>IFERROR(VLOOKUP($A317,'The List'!$B1:$AS730,40,FALSE)," ")</f>
        <v xml:space="preserve"> </v>
      </c>
      <c r="O317" s="77" t="str">
        <f>IFERROR(VLOOKUP($A317,'The List'!$B1:$AS730,41,FALSE)," ")</f>
        <v xml:space="preserve"> </v>
      </c>
      <c r="P317" s="77" t="str">
        <f>IFERROR(VLOOKUP($A317,'The List'!$B1:$AS730,42,FALSE)," ")</f>
        <v xml:space="preserve"> </v>
      </c>
      <c r="Q317" s="77" t="str">
        <f>IFERROR(VLOOKUP($A317,'The List'!$B1:$AS730,43,FALSE)," ")</f>
        <v xml:space="preserve"> </v>
      </c>
      <c r="R317" s="54"/>
      <c r="S317" s="54"/>
      <c r="T317" s="54"/>
      <c r="U317" s="223"/>
      <c r="V317" s="223"/>
      <c r="W317" s="223"/>
      <c r="X317" s="223"/>
      <c r="Y317" s="223"/>
      <c r="Z317" s="223"/>
      <c r="AA317" s="54"/>
      <c r="AB317" s="54"/>
      <c r="AC317" s="54"/>
      <c r="AD317" s="54"/>
      <c r="AE317" s="54"/>
      <c r="AF317" s="54"/>
    </row>
    <row r="318" spans="1:32" ht="21.2" customHeight="1">
      <c r="A318" s="78"/>
      <c r="B318" s="79"/>
      <c r="C318" s="80"/>
      <c r="D318" s="81"/>
      <c r="E318" s="116">
        <f>IFERROR(AVERAGE(E315:E317)," ")</f>
        <v>30</v>
      </c>
      <c r="F318" s="83">
        <f>SUM(F315:F317)</f>
        <v>4.7227085980829369</v>
      </c>
      <c r="G318" s="83">
        <f>SUM(G315:G317)</f>
        <v>1.3142504957023533</v>
      </c>
      <c r="H318" s="84"/>
      <c r="I318" s="85">
        <f t="shared" ref="I318:O318" si="21">SUM(I315:I317)</f>
        <v>97</v>
      </c>
      <c r="J318" s="84">
        <f t="shared" si="21"/>
        <v>62.170638440925536</v>
      </c>
      <c r="K318" s="85">
        <f t="shared" si="21"/>
        <v>22.704361559074464</v>
      </c>
      <c r="L318" s="85">
        <f t="shared" si="21"/>
        <v>12.125</v>
      </c>
      <c r="M318" s="85">
        <f t="shared" si="21"/>
        <v>7.2418969497320429</v>
      </c>
      <c r="N318" s="85">
        <f t="shared" si="21"/>
        <v>2705.1426213563391</v>
      </c>
      <c r="O318" s="85">
        <f t="shared" si="21"/>
        <v>247.30911067015188</v>
      </c>
      <c r="P318" s="114">
        <f>1-(O318/(N318+O318))</f>
        <v>0.91623601903885998</v>
      </c>
      <c r="Q318" s="115">
        <f>O318/I318</f>
        <v>2.5495784605170297</v>
      </c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</row>
    <row r="319" spans="1:32" ht="70.7" customHeight="1">
      <c r="A319" s="88"/>
      <c r="B319" s="89"/>
      <c r="C319" s="90"/>
      <c r="D319" s="11"/>
      <c r="E319" s="11"/>
      <c r="F319" s="91"/>
      <c r="G319" s="92"/>
      <c r="H319" s="93"/>
      <c r="I319" s="9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9"/>
      <c r="AB319" s="59"/>
      <c r="AC319" s="59"/>
      <c r="AD319" s="59"/>
      <c r="AE319" s="59"/>
      <c r="AF319" s="59"/>
    </row>
    <row r="320" spans="1:32" ht="21.2" customHeight="1">
      <c r="A320" s="25" t="s">
        <v>911</v>
      </c>
      <c r="B320" s="229" t="s">
        <v>66</v>
      </c>
      <c r="C320" s="221"/>
      <c r="D320" s="26" t="s">
        <v>67</v>
      </c>
      <c r="E320" s="26" t="s">
        <v>68</v>
      </c>
      <c r="F320" s="27" t="s">
        <v>70</v>
      </c>
      <c r="G320" s="27" t="s">
        <v>72</v>
      </c>
      <c r="H320" s="28"/>
      <c r="I320" s="30" t="s">
        <v>77</v>
      </c>
      <c r="J320" s="30" t="s">
        <v>78</v>
      </c>
      <c r="K320" s="30" t="s">
        <v>79</v>
      </c>
      <c r="L320" s="30" t="s">
        <v>80</v>
      </c>
      <c r="M320" s="30" t="s">
        <v>81</v>
      </c>
      <c r="N320" s="30" t="s">
        <v>82</v>
      </c>
      <c r="O320" s="30" t="s">
        <v>83</v>
      </c>
      <c r="P320" s="30" t="s">
        <v>84</v>
      </c>
      <c r="Q320" s="30" t="s">
        <v>85</v>
      </c>
      <c r="R320" s="30" t="s">
        <v>86</v>
      </c>
      <c r="S320" s="30" t="s">
        <v>87</v>
      </c>
      <c r="T320" s="30" t="s">
        <v>88</v>
      </c>
      <c r="U320" s="30" t="s">
        <v>89</v>
      </c>
      <c r="V320" s="30" t="s">
        <v>90</v>
      </c>
      <c r="W320" s="30" t="s">
        <v>91</v>
      </c>
      <c r="X320" s="30" t="s">
        <v>92</v>
      </c>
      <c r="Y320" s="30" t="s">
        <v>93</v>
      </c>
      <c r="Z320" s="30" t="s">
        <v>94</v>
      </c>
      <c r="AA320" s="54"/>
      <c r="AB320" s="55"/>
      <c r="AC320" s="55"/>
      <c r="AD320" s="55"/>
      <c r="AE320" s="55"/>
      <c r="AF320" s="55"/>
    </row>
    <row r="321" spans="1:32" ht="21.2" customHeight="1">
      <c r="A321" s="23" t="s">
        <v>159</v>
      </c>
      <c r="B321" s="56" t="str">
        <f>IFERROR(VLOOKUP($A321,'The List'!$B1:$AS730,3,FALSE)," ")</f>
        <v>C</v>
      </c>
      <c r="C321" s="60">
        <f>IFERROR(VLOOKUP($A321,'The List'!$B1:$AS730,4,FALSE)," ")</f>
        <v>16</v>
      </c>
      <c r="D321" s="34" t="str">
        <f>IFERROR(VLOOKUP($A321,'The List'!$B1:$AS730,5,FALSE)," ")</f>
        <v>DET</v>
      </c>
      <c r="E321" s="34">
        <f>IFERROR(VLOOKUP($A321,'The List'!$B1:$AS730,6,FALSE)," ")</f>
        <v>27</v>
      </c>
      <c r="F321" s="49">
        <f>IFERROR(VLOOKUP($A321,'The List'!$B1:$AS730,8,FALSE)," ")</f>
        <v>9.577719019407807</v>
      </c>
      <c r="G321" s="49">
        <f>IFERROR(VLOOKUP($A321,'The List'!$B1:$AS730,10,FALSE)," ")</f>
        <v>3.2406682952012043</v>
      </c>
      <c r="H321" s="38"/>
      <c r="I321" s="52">
        <f>IFERROR(VLOOKUP($A321,'The List'!$B1:$AS730,16,FALSE)," ")</f>
        <v>82</v>
      </c>
      <c r="J321" s="52">
        <f>IFERROR(VLOOKUP($A321,'The List'!$B1:$AS730,17,FALSE)," ")</f>
        <v>19.803300616979701</v>
      </c>
      <c r="K321" s="52">
        <f>IFERROR(VLOOKUP($A321,'The List'!$B1:$AS730,18,FALSE)," ")</f>
        <v>34.822709786592746</v>
      </c>
      <c r="L321" s="52">
        <f>IFERROR(VLOOKUP($A321,'The List'!$B1:$AS730,19,FALSE)," ")</f>
        <v>48.057880233678503</v>
      </c>
      <c r="M321" s="52">
        <f>IFERROR(VLOOKUP($A321,'The List'!$B1:$AS730,20,FALSE)," ")</f>
        <v>82.880590020271256</v>
      </c>
      <c r="N321" s="52">
        <f>IFERROR(VLOOKUP($A321,'The List'!$B1:$AS730,21,FALSE)," ")</f>
        <v>259.75974453906616</v>
      </c>
      <c r="O321" s="52">
        <f>IFERROR(VLOOKUP($A321,'The List'!$B1:$AS730,22,FALSE)," ")</f>
        <v>13.405206960868613</v>
      </c>
      <c r="P321" s="52">
        <f>IFERROR(VLOOKUP($A321,'The List'!$B1:$AS730,23,FALSE)," ")</f>
        <v>28.486656544044308</v>
      </c>
      <c r="Q321" s="52">
        <f>IFERROR(VLOOKUP($A321,'The List'!$B1:$AS730,24,FALSE)," ")</f>
        <v>0.87893094639841085</v>
      </c>
      <c r="R321" s="52">
        <f>IFERROR(VLOOKUP($A321,'The List'!$B1:$AS730,25,FALSE)," ")</f>
        <v>1.450021409315811</v>
      </c>
      <c r="S321" s="52">
        <f>IFERROR(VLOOKUP($A321,'The List'!$B1:$AS730,26,FALSE)," ")</f>
        <v>30.892515947152475</v>
      </c>
      <c r="T321" s="52">
        <f>IFERROR(VLOOKUP($A321,'The List'!$B1:$AS730,27,FALSE)," ")</f>
        <v>61.698989865839707</v>
      </c>
      <c r="U321" s="52">
        <f>IFERROR(VLOOKUP($A321,'The List'!$B1:$AS730,28,FALSE)," ")</f>
        <v>-3.2942556648934822</v>
      </c>
      <c r="V321" s="52">
        <f>IFERROR(VLOOKUP($A321,'The List'!$B1:$AS730,29,FALSE)," ")</f>
        <v>43.393917782840511</v>
      </c>
      <c r="W321" s="52">
        <f>IFERROR(VLOOKUP($A321,'The List'!$B1:$AS730,30,FALSE)," ")</f>
        <v>4.6082932397420686</v>
      </c>
      <c r="X321" s="52">
        <f>IFERROR(VLOOKUP($A321,'The List'!$B1:$AS730,31,FALSE)," ")</f>
        <v>738.8254586052002</v>
      </c>
      <c r="Y321" s="52">
        <f>IFERROR(VLOOKUP($A321,'The List'!$B1:$AS730,32,FALSE)," ")</f>
        <v>659.06308636115239</v>
      </c>
      <c r="Z321" s="52">
        <f>IFERROR(VLOOKUP($A321,'The List'!$B1:$AS730,33,FALSE)," ")</f>
        <v>0.52852958933359295</v>
      </c>
      <c r="AA321" s="54"/>
      <c r="AB321" s="59"/>
      <c r="AC321" s="59"/>
      <c r="AD321" s="59"/>
      <c r="AE321" s="59"/>
      <c r="AF321" s="59"/>
    </row>
    <row r="322" spans="1:32" ht="21.2" customHeight="1">
      <c r="A322" s="23" t="s">
        <v>242</v>
      </c>
      <c r="B322" s="56" t="str">
        <f>IFERROR(VLOOKUP($A322,'The List'!$B1:$AS730,3,FALSE)," ")</f>
        <v>C</v>
      </c>
      <c r="C322" s="60">
        <f>IFERROR(VLOOKUP($A322,'The List'!$B1:$AS730,4,FALSE)," ")</f>
        <v>44</v>
      </c>
      <c r="D322" s="34" t="str">
        <f>IFERROR(VLOOKUP($A322,'The List'!$B1:$AS730,5,FALSE)," ")</f>
        <v>LAK</v>
      </c>
      <c r="E322" s="34">
        <f>IFERROR(VLOOKUP($A322,'The List'!$B1:$AS730,6,FALSE)," ")</f>
        <v>35</v>
      </c>
      <c r="F322" s="49">
        <f>IFERROR(VLOOKUP($A322,'The List'!$B1:$AS730,8,FALSE)," ")</f>
        <v>5.2664090249396196</v>
      </c>
      <c r="G322" s="49">
        <f>IFERROR(VLOOKUP($A322,'The List'!$B1:$AS730,10,FALSE)," ")</f>
        <v>-1.0706416992669832</v>
      </c>
      <c r="H322" s="38"/>
      <c r="I322" s="52">
        <f>IFERROR(VLOOKUP($A322,'The List'!$B1:$AS730,16,FALSE)," ")</f>
        <v>82</v>
      </c>
      <c r="J322" s="52">
        <f>IFERROR(VLOOKUP($A322,'The List'!$B1:$AS730,17,FALSE)," ")</f>
        <v>20.241907090320101</v>
      </c>
      <c r="K322" s="52">
        <f>IFERROR(VLOOKUP($A322,'The List'!$B1:$AS730,18,FALSE)," ")</f>
        <v>21.765745078783524</v>
      </c>
      <c r="L322" s="52">
        <f>IFERROR(VLOOKUP($A322,'The List'!$B1:$AS730,19,FALSE)," ")</f>
        <v>44.365346959314572</v>
      </c>
      <c r="M322" s="52">
        <f>IFERROR(VLOOKUP($A322,'The List'!$B1:$AS730,20,FALSE)," ")</f>
        <v>66.131092038098103</v>
      </c>
      <c r="N322" s="52">
        <f>IFERROR(VLOOKUP($A322,'The List'!$B1:$AS730,21,FALSE)," ")</f>
        <v>176.62715380248417</v>
      </c>
      <c r="O322" s="52">
        <f>IFERROR(VLOOKUP($A322,'The List'!$B1:$AS730,22,FALSE)," ")</f>
        <v>6.2453905245319978</v>
      </c>
      <c r="P322" s="52">
        <f>IFERROR(VLOOKUP($A322,'The List'!$B1:$AS730,23,FALSE)," ")</f>
        <v>21.915125283551035</v>
      </c>
      <c r="Q322" s="52">
        <f>IFERROR(VLOOKUP($A322,'The List'!$B1:$AS730,24,FALSE)," ")</f>
        <v>-0.1279871185210549</v>
      </c>
      <c r="R322" s="52">
        <f>IFERROR(VLOOKUP($A322,'The List'!$B1:$AS730,25,FALSE)," ")</f>
        <v>0.29380467997714627</v>
      </c>
      <c r="S322" s="52">
        <f>IFERROR(VLOOKUP($A322,'The List'!$B1:$AS730,26,FALSE)," ")</f>
        <v>74.651423505703661</v>
      </c>
      <c r="T322" s="52">
        <f>IFERROR(VLOOKUP($A322,'The List'!$B1:$AS730,27,FALSE)," ")</f>
        <v>67.967848690034003</v>
      </c>
      <c r="U322" s="52">
        <f>IFERROR(VLOOKUP($A322,'The List'!$B1:$AS730,28,FALSE)," ")</f>
        <v>0.77638101397141124</v>
      </c>
      <c r="V322" s="52">
        <f>IFERROR(VLOOKUP($A322,'The List'!$B1:$AS730,29,FALSE)," ")</f>
        <v>13.671685200877159</v>
      </c>
      <c r="W322" s="52">
        <f>IFERROR(VLOOKUP($A322,'The List'!$B1:$AS730,30,FALSE)," ")</f>
        <v>3.2226591946436769</v>
      </c>
      <c r="X322" s="52">
        <f>IFERROR(VLOOKUP($A322,'The List'!$B1:$AS730,31,FALSE)," ")</f>
        <v>897.28286889112678</v>
      </c>
      <c r="Y322" s="52">
        <f>IFERROR(VLOOKUP($A322,'The List'!$B1:$AS730,32,FALSE)," ")</f>
        <v>690.81887557515711</v>
      </c>
      <c r="Z322" s="52">
        <f>IFERROR(VLOOKUP($A322,'The List'!$B1:$AS730,33,FALSE)," ")</f>
        <v>0.56500338974986697</v>
      </c>
      <c r="AA322" s="54"/>
      <c r="AB322" s="59"/>
      <c r="AC322" s="59"/>
      <c r="AD322" s="59"/>
      <c r="AE322" s="59"/>
      <c r="AF322" s="59"/>
    </row>
    <row r="323" spans="1:32" ht="21.2" customHeight="1">
      <c r="A323" s="23" t="s">
        <v>383</v>
      </c>
      <c r="B323" s="56" t="str">
        <f>IFERROR(VLOOKUP($A323,'The List'!$B1:$AS730,3,FALSE)," ")</f>
        <v>C</v>
      </c>
      <c r="C323" s="60">
        <f>IFERROR(VLOOKUP($A323,'The List'!$B1:$AS730,4,FALSE)," ")</f>
        <v>43</v>
      </c>
      <c r="D323" s="34" t="str">
        <f>IFERROR(VLOOKUP($A323,'The List'!$B1:$AS730,5,FALSE)," ")</f>
        <v>PHI</v>
      </c>
      <c r="E323" s="34">
        <f>IFERROR(VLOOKUP($A323,'The List'!$B1:$AS730,6,FALSE)," ")</f>
        <v>30</v>
      </c>
      <c r="F323" s="49">
        <f>IFERROR(VLOOKUP($A323,'The List'!$B1:$AS730,8,FALSE)," ")</f>
        <v>5.6205791164881322</v>
      </c>
      <c r="G323" s="49">
        <f>IFERROR(VLOOKUP($A323,'The List'!$B1:$AS730,10,FALSE)," ")</f>
        <v>-0.71647160771847052</v>
      </c>
      <c r="H323" s="38"/>
      <c r="I323" s="52">
        <f>IFERROR(VLOOKUP($A323,'The List'!$B1:$AS730,16,FALSE)," ")</f>
        <v>82</v>
      </c>
      <c r="J323" s="52">
        <f>IFERROR(VLOOKUP($A323,'The List'!$B1:$AS730,17,FALSE)," ")</f>
        <v>20.2187346493902</v>
      </c>
      <c r="K323" s="52">
        <f>IFERROR(VLOOKUP($A323,'The List'!$B1:$AS730,18,FALSE)," ")</f>
        <v>26.506661091807516</v>
      </c>
      <c r="L323" s="52">
        <f>IFERROR(VLOOKUP($A323,'The List'!$B1:$AS730,19,FALSE)," ")</f>
        <v>38.719466947215984</v>
      </c>
      <c r="M323" s="52">
        <f>IFERROR(VLOOKUP($A323,'The List'!$B1:$AS730,20,FALSE)," ")</f>
        <v>65.226128039023507</v>
      </c>
      <c r="N323" s="52">
        <f>IFERROR(VLOOKUP($A323,'The List'!$B1:$AS730,21,FALSE)," ")</f>
        <v>232.06079398397563</v>
      </c>
      <c r="O323" s="52">
        <f>IFERROR(VLOOKUP($A323,'The List'!$B1:$AS730,22,FALSE)," ")</f>
        <v>5.5370452805622659</v>
      </c>
      <c r="P323" s="52">
        <f>IFERROR(VLOOKUP($A323,'The List'!$B1:$AS730,23,FALSE)," ")</f>
        <v>16.118434764845578</v>
      </c>
      <c r="Q323" s="52">
        <f>IFERROR(VLOOKUP($A323,'The List'!$B1:$AS730,24,FALSE)," ")</f>
        <v>0.30852608813235105</v>
      </c>
      <c r="R323" s="52">
        <f>IFERROR(VLOOKUP($A323,'The List'!$B1:$AS730,25,FALSE)," ")</f>
        <v>1.4091673674691791</v>
      </c>
      <c r="S323" s="52">
        <f>IFERROR(VLOOKUP($A323,'The List'!$B1:$AS730,26,FALSE)," ")</f>
        <v>47.424831230433966</v>
      </c>
      <c r="T323" s="52">
        <f>IFERROR(VLOOKUP($A323,'The List'!$B1:$AS730,27,FALSE)," ")</f>
        <v>73.459431059721737</v>
      </c>
      <c r="U323" s="52">
        <f>IFERROR(VLOOKUP($A323,'The List'!$B1:$AS730,28,FALSE)," ")</f>
        <v>-5.191369559207307</v>
      </c>
      <c r="V323" s="52">
        <f>IFERROR(VLOOKUP($A323,'The List'!$B1:$AS730,29,FALSE)," ")</f>
        <v>0</v>
      </c>
      <c r="W323" s="52">
        <f>IFERROR(VLOOKUP($A323,'The List'!$B1:$AS730,30,FALSE)," ")</f>
        <v>3.1157425059886026</v>
      </c>
      <c r="X323" s="52">
        <f>IFERROR(VLOOKUP($A323,'The List'!$B1:$AS730,31,FALSE)," ")</f>
        <v>752.57314239495474</v>
      </c>
      <c r="Y323" s="52">
        <f>IFERROR(VLOOKUP($A323,'The List'!$B1:$AS730,32,FALSE)," ")</f>
        <v>584.52436710541178</v>
      </c>
      <c r="Z323" s="52">
        <f>IFERROR(VLOOKUP($A323,'The List'!$B1:$AS730,33,FALSE)," ")</f>
        <v>0.56284088261907605</v>
      </c>
      <c r="AA323" s="54"/>
      <c r="AB323" s="59"/>
      <c r="AC323" s="59"/>
      <c r="AD323" s="59"/>
      <c r="AE323" s="59"/>
      <c r="AF323" s="59"/>
    </row>
    <row r="324" spans="1:32" ht="21.2" customHeight="1">
      <c r="A324" s="23" t="s">
        <v>527</v>
      </c>
      <c r="B324" s="56" t="str">
        <f>IFERROR(VLOOKUP($A324,'The List'!$B1:$AS730,3,FALSE)," ")</f>
        <v>C</v>
      </c>
      <c r="C324" s="60">
        <f>IFERROR(VLOOKUP($A324,'The List'!$B1:$AS730,4,FALSE)," ")</f>
        <v>95</v>
      </c>
      <c r="D324" s="34" t="str">
        <f>IFERROR(VLOOKUP($A324,'The List'!$B1:$AS730,5,FALSE)," ")</f>
        <v>COL</v>
      </c>
      <c r="E324" s="34">
        <f>IFERROR(VLOOKUP($A324,'The List'!$B1:$AS730,6,FALSE)," ")</f>
        <v>31</v>
      </c>
      <c r="F324" s="49">
        <f>IFERROR(VLOOKUP($A324,'The List'!$B1:$AS730,8,FALSE)," ")</f>
        <v>0.60828126035906882</v>
      </c>
      <c r="G324" s="49">
        <f>IFERROR(VLOOKUP($A324,'The List'!$B1:$AS730,10,FALSE)," ")</f>
        <v>-5.7287694638475344</v>
      </c>
      <c r="H324" s="38"/>
      <c r="I324" s="52">
        <f>IFERROR(VLOOKUP($A324,'The List'!$B1:$AS730,16,FALSE)," ")</f>
        <v>82</v>
      </c>
      <c r="J324" s="52">
        <f>IFERROR(VLOOKUP($A324,'The List'!$B1:$AS730,17,FALSE)," ")</f>
        <v>15.568644361031099</v>
      </c>
      <c r="K324" s="52">
        <f>IFERROR(VLOOKUP($A324,'The List'!$B1:$AS730,18,FALSE)," ")</f>
        <v>16.696984817124509</v>
      </c>
      <c r="L324" s="52">
        <f>IFERROR(VLOOKUP($A324,'The List'!$B1:$AS730,19,FALSE)," ")</f>
        <v>25.946220429848779</v>
      </c>
      <c r="M324" s="52">
        <f>IFERROR(VLOOKUP($A324,'The List'!$B1:$AS730,20,FALSE)," ")</f>
        <v>42.643205246973288</v>
      </c>
      <c r="N324" s="52">
        <f>IFERROR(VLOOKUP($A324,'The List'!$B1:$AS730,21,FALSE)," ")</f>
        <v>127.57135510862892</v>
      </c>
      <c r="O324" s="52">
        <f>IFERROR(VLOOKUP($A324,'The List'!$B1:$AS730,22,FALSE)," ")</f>
        <v>5.4129144357989283</v>
      </c>
      <c r="P324" s="52">
        <f>IFERROR(VLOOKUP($A324,'The List'!$B1:$AS730,23,FALSE)," ")</f>
        <v>12.166064410781669</v>
      </c>
      <c r="Q324" s="52">
        <f>IFERROR(VLOOKUP($A324,'The List'!$B1:$AS730,24,FALSE)," ")</f>
        <v>1.0443244568917027E-2</v>
      </c>
      <c r="R324" s="52">
        <f>IFERROR(VLOOKUP($A324,'The List'!$B1:$AS730,25,FALSE)," ")</f>
        <v>1.7994956386523705E-2</v>
      </c>
      <c r="S324" s="52">
        <f>IFERROR(VLOOKUP($A324,'The List'!$B1:$AS730,26,FALSE)," ")</f>
        <v>33.343271199813088</v>
      </c>
      <c r="T324" s="52">
        <f>IFERROR(VLOOKUP($A324,'The List'!$B1:$AS730,27,FALSE)," ")</f>
        <v>78.18394690486484</v>
      </c>
      <c r="U324" s="52">
        <f>IFERROR(VLOOKUP($A324,'The List'!$B1:$AS730,28,FALSE)," ")</f>
        <v>3.8475040924110337</v>
      </c>
      <c r="V324" s="52">
        <f>IFERROR(VLOOKUP($A324,'The List'!$B1:$AS730,29,FALSE)," ")</f>
        <v>43.657289424847562</v>
      </c>
      <c r="W324" s="52">
        <f>IFERROR(VLOOKUP($A324,'The List'!$B1:$AS730,30,FALSE)," ")</f>
        <v>2.6417145671961975</v>
      </c>
      <c r="X324" s="52">
        <f>IFERROR(VLOOKUP($A324,'The List'!$B1:$AS730,31,FALSE)," ")</f>
        <v>690.7911252593774</v>
      </c>
      <c r="Y324" s="52">
        <f>IFERROR(VLOOKUP($A324,'The List'!$B1:$AS730,32,FALSE)," ")</f>
        <v>571.61773756568095</v>
      </c>
      <c r="Z324" s="52">
        <f>IFERROR(VLOOKUP($A324,'The List'!$B1:$AS730,33,FALSE)," ")</f>
        <v>0.54720078858881205</v>
      </c>
      <c r="AA324" s="54"/>
      <c r="AB324" s="59"/>
      <c r="AC324" s="59"/>
      <c r="AD324" s="59"/>
      <c r="AE324" s="59"/>
      <c r="AF324" s="59"/>
    </row>
    <row r="325" spans="1:32" ht="21.2" customHeight="1">
      <c r="A325" s="23" t="s">
        <v>105</v>
      </c>
      <c r="B325" s="61" t="str">
        <f>IFERROR(VLOOKUP($A325,'The List'!$B1:$AS730,3,FALSE)," ")</f>
        <v>C,LW</v>
      </c>
      <c r="C325" s="63">
        <f>IFERROR(VLOOKUP($A325,'The List'!$B1:$AS730,4,FALSE)," ")</f>
        <v>1</v>
      </c>
      <c r="D325" s="34" t="str">
        <f>IFERROR(VLOOKUP($A325,'The List'!$B1:$AS730,5,FALSE)," ")</f>
        <v>EDM</v>
      </c>
      <c r="E325" s="34">
        <f>IFERROR(VLOOKUP($A325,'The List'!$B1:$AS730,6,FALSE)," ")</f>
        <v>27</v>
      </c>
      <c r="F325" s="49">
        <f>IFERROR(VLOOKUP($A325,'The List'!$B1:$AS730,8,FALSE)," ")</f>
        <v>16.883257255265598</v>
      </c>
      <c r="G325" s="49">
        <f>IFERROR(VLOOKUP($A325,'The List'!$B1:$AS730,10,FALSE)," ")</f>
        <v>10.228588211141197</v>
      </c>
      <c r="H325" s="38"/>
      <c r="I325" s="52">
        <f>IFERROR(VLOOKUP($A325,'The List'!$B1:$AS730,16,FALSE)," ")</f>
        <v>82</v>
      </c>
      <c r="J325" s="52">
        <f>IFERROR(VLOOKUP($A325,'The List'!$B1:$AS730,17,FALSE)," ")</f>
        <v>21.669641814024398</v>
      </c>
      <c r="K325" s="52">
        <f>IFERROR(VLOOKUP($A325,'The List'!$B1:$AS730,18,FALSE)," ")</f>
        <v>51.981084731157395</v>
      </c>
      <c r="L325" s="52">
        <f>IFERROR(VLOOKUP($A325,'The List'!$B1:$AS730,19,FALSE)," ")</f>
        <v>69.378428896977795</v>
      </c>
      <c r="M325" s="52">
        <f>IFERROR(VLOOKUP($A325,'The List'!$B1:$AS730,20,FALSE)," ")</f>
        <v>121.35951362813519</v>
      </c>
      <c r="N325" s="52">
        <f>IFERROR(VLOOKUP($A325,'The List'!$B1:$AS730,21,FALSE)," ")</f>
        <v>257.49083886271075</v>
      </c>
      <c r="O325" s="52">
        <f>IFERROR(VLOOKUP($A325,'The List'!$B1:$AS730,22,FALSE)," ")</f>
        <v>27.671930905616716</v>
      </c>
      <c r="P325" s="52">
        <f>IFERROR(VLOOKUP($A325,'The List'!$B1:$AS730,23,FALSE)," ")</f>
        <v>52.992491695157177</v>
      </c>
      <c r="Q325" s="52">
        <f>IFERROR(VLOOKUP($A325,'The List'!$B1:$AS730,24,FALSE)," ")</f>
        <v>0.66971513581373532</v>
      </c>
      <c r="R325" s="52">
        <f>IFERROR(VLOOKUP($A325,'The List'!$B1:$AS730,25,FALSE)," ")</f>
        <v>1.0532817102722216</v>
      </c>
      <c r="S325" s="52">
        <f>IFERROR(VLOOKUP($A325,'The List'!$B1:$AS730,26,FALSE)," ")</f>
        <v>35.531567872484771</v>
      </c>
      <c r="T325" s="52">
        <f>IFERROR(VLOOKUP($A325,'The List'!$B1:$AS730,27,FALSE)," ")</f>
        <v>62.091642125414133</v>
      </c>
      <c r="U325" s="52">
        <f>IFERROR(VLOOKUP($A325,'The List'!$B1:$AS730,28,FALSE)," ")</f>
        <v>7.0418148526639719</v>
      </c>
      <c r="V325" s="52">
        <f>IFERROR(VLOOKUP($A325,'The List'!$B1:$AS730,29,FALSE)," ")</f>
        <v>32.878843682531915</v>
      </c>
      <c r="W325" s="52">
        <f>IFERROR(VLOOKUP($A325,'The List'!$B1:$AS730,30,FALSE)," ")</f>
        <v>8.2280476636165005</v>
      </c>
      <c r="X325" s="52">
        <f>IFERROR(VLOOKUP($A325,'The List'!$B1:$AS730,31,FALSE)," ")</f>
        <v>829.40627735804071</v>
      </c>
      <c r="Y325" s="52">
        <f>IFERROR(VLOOKUP($A325,'The List'!$B1:$AS730,32,FALSE)," ")</f>
        <v>692.99736939630861</v>
      </c>
      <c r="Z325" s="52">
        <f>IFERROR(VLOOKUP($A325,'The List'!$B1:$AS730,33,FALSE)," ")</f>
        <v>0.54480050617736797</v>
      </c>
      <c r="AA325" s="54"/>
      <c r="AB325" s="59"/>
      <c r="AC325" s="59"/>
      <c r="AD325" s="59"/>
      <c r="AE325" s="59"/>
      <c r="AF325" s="59"/>
    </row>
    <row r="326" spans="1:32" ht="21.2" customHeight="1">
      <c r="A326" s="23" t="s">
        <v>115</v>
      </c>
      <c r="B326" s="61" t="str">
        <f>IFERROR(VLOOKUP($A326,'The List'!$B1:$AS730,3,FALSE)," ")</f>
        <v>LW</v>
      </c>
      <c r="C326" s="63">
        <f>IFERROR(VLOOKUP($A326,'The List'!$B1:$AS730,4,FALSE)," ")</f>
        <v>3</v>
      </c>
      <c r="D326" s="34" t="str">
        <f>IFERROR(VLOOKUP($A326,'The List'!$B1:$AS730,5,FALSE)," ")</f>
        <v>MIN</v>
      </c>
      <c r="E326" s="34">
        <f>IFERROR(VLOOKUP($A326,'The List'!$B1:$AS730,6,FALSE)," ")</f>
        <v>26</v>
      </c>
      <c r="F326" s="49">
        <f>IFERROR(VLOOKUP($A326,'The List'!$B1:$AS730,8,FALSE)," ")</f>
        <v>13.407467811139265</v>
      </c>
      <c r="G326" s="49">
        <f>IFERROR(VLOOKUP($A326,'The List'!$B1:$AS730,10,FALSE)," ")</f>
        <v>6.7527987670148635</v>
      </c>
      <c r="H326" s="38"/>
      <c r="I326" s="52">
        <f>IFERROR(VLOOKUP($A326,'The List'!$B1:$AS730,16,FALSE)," ")</f>
        <v>82</v>
      </c>
      <c r="J326" s="52">
        <f>IFERROR(VLOOKUP($A326,'The List'!$B1:$AS730,17,FALSE)," ")</f>
        <v>21.038403996787402</v>
      </c>
      <c r="K326" s="52">
        <f>IFERROR(VLOOKUP($A326,'The List'!$B1:$AS730,18,FALSE)," ")</f>
        <v>48.753297893801033</v>
      </c>
      <c r="L326" s="52">
        <f>IFERROR(VLOOKUP($A326,'The List'!$B1:$AS730,19,FALSE)," ")</f>
        <v>52.448495213395177</v>
      </c>
      <c r="M326" s="52">
        <f>IFERROR(VLOOKUP($A326,'The List'!$B1:$AS730,20,FALSE)," ")</f>
        <v>101.20179310719621</v>
      </c>
      <c r="N326" s="52">
        <f>IFERROR(VLOOKUP($A326,'The List'!$B1:$AS730,21,FALSE)," ")</f>
        <v>308.88724355830885</v>
      </c>
      <c r="O326" s="52">
        <f>IFERROR(VLOOKUP($A326,'The List'!$B1:$AS730,22,FALSE)," ")</f>
        <v>17.35418395110279</v>
      </c>
      <c r="P326" s="52">
        <f>IFERROR(VLOOKUP($A326,'The List'!$B1:$AS730,23,FALSE)," ")</f>
        <v>33.914300162522203</v>
      </c>
      <c r="Q326" s="52">
        <f>IFERROR(VLOOKUP($A326,'The List'!$B1:$AS730,24,FALSE)," ")</f>
        <v>1.4605857338197836E-2</v>
      </c>
      <c r="R326" s="52">
        <f>IFERROR(VLOOKUP($A326,'The List'!$B1:$AS730,25,FALSE)," ")</f>
        <v>2.8201999070300014E-2</v>
      </c>
      <c r="S326" s="52">
        <f>IFERROR(VLOOKUP($A326,'The List'!$B1:$AS730,26,FALSE)," ")</f>
        <v>34.282452317659285</v>
      </c>
      <c r="T326" s="52">
        <f>IFERROR(VLOOKUP($A326,'The List'!$B1:$AS730,27,FALSE)," ")</f>
        <v>77.453376910671707</v>
      </c>
      <c r="U326" s="52">
        <f>IFERROR(VLOOKUP($A326,'The List'!$B1:$AS730,28,FALSE)," ")</f>
        <v>4.5266866063852484</v>
      </c>
      <c r="V326" s="52">
        <f>IFERROR(VLOOKUP($A326,'The List'!$B1:$AS730,29,FALSE)," ")</f>
        <v>38.927666854433895</v>
      </c>
      <c r="W326" s="52">
        <f>IFERROR(VLOOKUP($A326,'The List'!$B1:$AS730,30,FALSE)," ")</f>
        <v>7.8286298212790895</v>
      </c>
      <c r="X326" s="52">
        <f>IFERROR(VLOOKUP($A326,'The List'!$B1:$AS730,31,FALSE)," ")</f>
        <v>4.3125228284329067</v>
      </c>
      <c r="Y326" s="52">
        <f>IFERROR(VLOOKUP($A326,'The List'!$B1:$AS730,32,FALSE)," ")</f>
        <v>6.1747343933103132</v>
      </c>
      <c r="Z326" s="52">
        <f>IFERROR(VLOOKUP($A326,'The List'!$B1:$AS730,33,FALSE)," ")</f>
        <v>0.41121551014232399</v>
      </c>
      <c r="AA326" s="54"/>
      <c r="AB326" s="59"/>
      <c r="AC326" s="59"/>
      <c r="AD326" s="59"/>
      <c r="AE326" s="59"/>
      <c r="AF326" s="59"/>
    </row>
    <row r="327" spans="1:32" ht="21.2" customHeight="1">
      <c r="A327" s="23" t="s">
        <v>218</v>
      </c>
      <c r="B327" s="61" t="str">
        <f>IFERROR(VLOOKUP($A327,'The List'!$B1:$AS730,3,FALSE)," ")</f>
        <v>LW</v>
      </c>
      <c r="C327" s="63">
        <f>IFERROR(VLOOKUP($A327,'The List'!$B1:$AS730,4,FALSE)," ")</f>
        <v>37</v>
      </c>
      <c r="D327" s="34" t="str">
        <f>IFERROR(VLOOKUP($A327,'The List'!$B1:$AS730,5,FALSE)," ")</f>
        <v>NYR</v>
      </c>
      <c r="E327" s="34">
        <f>IFERROR(VLOOKUP($A327,'The List'!$B1:$AS730,6,FALSE)," ")</f>
        <v>32</v>
      </c>
      <c r="F327" s="49">
        <f>IFERROR(VLOOKUP($A327,'The List'!$B1:$AS730,8,FALSE)," ")</f>
        <v>6.340118520658363</v>
      </c>
      <c r="G327" s="49">
        <f>IFERROR(VLOOKUP($A327,'The List'!$B1:$AS730,10,FALSE)," ")</f>
        <v>-0.31455052346603818</v>
      </c>
      <c r="H327" s="38"/>
      <c r="I327" s="52">
        <f>IFERROR(VLOOKUP($A327,'The List'!$B1:$AS730,16,FALSE)," ")</f>
        <v>82</v>
      </c>
      <c r="J327" s="52">
        <f>IFERROR(VLOOKUP($A327,'The List'!$B1:$AS730,17,FALSE)," ")</f>
        <v>18.537301632870399</v>
      </c>
      <c r="K327" s="52">
        <f>IFERROR(VLOOKUP($A327,'The List'!$B1:$AS730,18,FALSE)," ")</f>
        <v>38.992971626998333</v>
      </c>
      <c r="L327" s="52">
        <f>IFERROR(VLOOKUP($A327,'The List'!$B1:$AS730,19,FALSE)," ")</f>
        <v>21.933126972856414</v>
      </c>
      <c r="M327" s="52">
        <f>IFERROR(VLOOKUP($A327,'The List'!$B1:$AS730,20,FALSE)," ")</f>
        <v>60.926098599854747</v>
      </c>
      <c r="N327" s="52">
        <f>IFERROR(VLOOKUP($A327,'The List'!$B1:$AS730,21,FALSE)," ")</f>
        <v>239.27781874173124</v>
      </c>
      <c r="O327" s="52">
        <f>IFERROR(VLOOKUP($A327,'The List'!$B1:$AS730,22,FALSE)," ")</f>
        <v>14.570538013642009</v>
      </c>
      <c r="P327" s="52">
        <f>IFERROR(VLOOKUP($A327,'The List'!$B1:$AS730,23,FALSE)," ")</f>
        <v>24.199108741667228</v>
      </c>
      <c r="Q327" s="52">
        <f>IFERROR(VLOOKUP($A327,'The List'!$B1:$AS730,24,FALSE)," ")</f>
        <v>3.3209169347964007</v>
      </c>
      <c r="R327" s="52">
        <f>IFERROR(VLOOKUP($A327,'The List'!$B1:$AS730,25,FALSE)," ")</f>
        <v>3.2319233164418608</v>
      </c>
      <c r="S327" s="52">
        <f>IFERROR(VLOOKUP($A327,'The List'!$B1:$AS730,26,FALSE)," ")</f>
        <v>32.590920473236594</v>
      </c>
      <c r="T327" s="52">
        <f>IFERROR(VLOOKUP($A327,'The List'!$B1:$AS730,27,FALSE)," ")</f>
        <v>132.79716297549385</v>
      </c>
      <c r="U327" s="52">
        <f>IFERROR(VLOOKUP($A327,'The List'!$B1:$AS730,28,FALSE)," ")</f>
        <v>6.4510311171281636</v>
      </c>
      <c r="V327" s="52">
        <f>IFERROR(VLOOKUP($A327,'The List'!$B1:$AS730,29,FALSE)," ")</f>
        <v>32.475775647733428</v>
      </c>
      <c r="W327" s="52">
        <f>IFERROR(VLOOKUP($A327,'The List'!$B1:$AS730,30,FALSE)," ")</f>
        <v>6.6443295507998066</v>
      </c>
      <c r="X327" s="52">
        <f>IFERROR(VLOOKUP($A327,'The List'!$B1:$AS730,31,FALSE)," ")</f>
        <v>45.702799321353645</v>
      </c>
      <c r="Y327" s="52">
        <f>IFERROR(VLOOKUP($A327,'The List'!$B1:$AS730,32,FALSE)," ")</f>
        <v>54.00246474469116</v>
      </c>
      <c r="Z327" s="52">
        <f>IFERROR(VLOOKUP($A327,'The List'!$B1:$AS730,33,FALSE)," ")</f>
        <v>0.45837900084272398</v>
      </c>
      <c r="AA327" s="54"/>
      <c r="AB327" s="59"/>
      <c r="AC327" s="59"/>
      <c r="AD327" s="59"/>
      <c r="AE327" s="59"/>
      <c r="AF327" s="59"/>
    </row>
    <row r="328" spans="1:32" ht="21.2" customHeight="1">
      <c r="A328" s="23" t="s">
        <v>331</v>
      </c>
      <c r="B328" s="61" t="str">
        <f>IFERROR(VLOOKUP($A328,'The List'!$B1:$AS730,3,FALSE)," ")</f>
        <v>LW</v>
      </c>
      <c r="C328" s="63">
        <f>IFERROR(VLOOKUP($A328,'The List'!$B1:$AS730,4,FALSE)," ")</f>
        <v>60</v>
      </c>
      <c r="D328" s="34" t="str">
        <f>IFERROR(VLOOKUP($A328,'The List'!$B1:$AS730,5,FALSE)," ")</f>
        <v>CHI</v>
      </c>
      <c r="E328" s="34">
        <f>IFERROR(VLOOKUP($A328,'The List'!$B1:$AS730,6,FALSE)," ")</f>
        <v>21</v>
      </c>
      <c r="F328" s="49">
        <f>IFERROR(VLOOKUP($A328,'The List'!$B1:$AS730,8,FALSE)," ")</f>
        <v>3.5381743079370715</v>
      </c>
      <c r="G328" s="49">
        <f>IFERROR(VLOOKUP($A328,'The List'!$B1:$AS730,10,FALSE)," ")</f>
        <v>-3.1164947361873296</v>
      </c>
      <c r="H328" s="38"/>
      <c r="I328" s="52">
        <f>IFERROR(VLOOKUP($A328,'The List'!$B1:$AS730,16,FALSE)," ")</f>
        <v>82</v>
      </c>
      <c r="J328" s="52">
        <f>IFERROR(VLOOKUP($A328,'The List'!$B1:$AS730,17,FALSE)," ")</f>
        <v>17.1941798142972</v>
      </c>
      <c r="K328" s="52">
        <f>IFERROR(VLOOKUP($A328,'The List'!$B1:$AS730,18,FALSE)," ")</f>
        <v>24.207309889229183</v>
      </c>
      <c r="L328" s="52">
        <f>IFERROR(VLOOKUP($A328,'The List'!$B1:$AS730,19,FALSE)," ")</f>
        <v>33.134884784195016</v>
      </c>
      <c r="M328" s="52">
        <f>IFERROR(VLOOKUP($A328,'The List'!$B1:$AS730,20,FALSE)," ")</f>
        <v>57.342194673424203</v>
      </c>
      <c r="N328" s="52">
        <f>IFERROR(VLOOKUP($A328,'The List'!$B1:$AS730,21,FALSE)," ")</f>
        <v>170.22467209253691</v>
      </c>
      <c r="O328" s="52">
        <f>IFERROR(VLOOKUP($A328,'The List'!$B1:$AS730,22,FALSE)," ")</f>
        <v>3.9642278129535615</v>
      </c>
      <c r="P328" s="52">
        <f>IFERROR(VLOOKUP($A328,'The List'!$B1:$AS730,23,FALSE)," ")</f>
        <v>15.405259569936003</v>
      </c>
      <c r="Q328" s="52">
        <f>IFERROR(VLOOKUP($A328,'The List'!$B1:$AS730,24,FALSE)," ")</f>
        <v>1.5998474763461521E-3</v>
      </c>
      <c r="R328" s="52">
        <f>IFERROR(VLOOKUP($A328,'The List'!$B1:$AS730,25,FALSE)," ")</f>
        <v>3.2027421860170995E-3</v>
      </c>
      <c r="S328" s="52">
        <f>IFERROR(VLOOKUP($A328,'The List'!$B1:$AS730,26,FALSE)," ")</f>
        <v>45.976727239907333</v>
      </c>
      <c r="T328" s="52">
        <f>IFERROR(VLOOKUP($A328,'The List'!$B1:$AS730,27,FALSE)," ")</f>
        <v>43.226770177278418</v>
      </c>
      <c r="U328" s="52">
        <f>IFERROR(VLOOKUP($A328,'The List'!$B1:$AS730,28,FALSE)," ")</f>
        <v>-6.7816075328545891</v>
      </c>
      <c r="V328" s="52">
        <f>IFERROR(VLOOKUP($A328,'The List'!$B1:$AS730,29,FALSE)," ")</f>
        <v>27.242613023185417</v>
      </c>
      <c r="W328" s="52">
        <f>IFERROR(VLOOKUP($A328,'The List'!$B1:$AS730,30,FALSE)," ")</f>
        <v>2.8366501414026097</v>
      </c>
      <c r="X328" s="52">
        <f>IFERROR(VLOOKUP($A328,'The List'!$B1:$AS730,31,FALSE)," ")</f>
        <v>29.296933789245877</v>
      </c>
      <c r="Y328" s="52">
        <f>IFERROR(VLOOKUP($A328,'The List'!$B1:$AS730,32,FALSE)," ")</f>
        <v>48.682582448587318</v>
      </c>
      <c r="Z328" s="52">
        <f>IFERROR(VLOOKUP($A328,'The List'!$B1:$AS730,33,FALSE)," ")</f>
        <v>0.37570037880065699</v>
      </c>
      <c r="AA328" s="54"/>
      <c r="AB328" s="59"/>
      <c r="AC328" s="59"/>
      <c r="AD328" s="59"/>
      <c r="AE328" s="59"/>
      <c r="AF328" s="59"/>
    </row>
    <row r="329" spans="1:32" ht="21.2" customHeight="1">
      <c r="A329" s="23" t="s">
        <v>160</v>
      </c>
      <c r="B329" s="64" t="str">
        <f>IFERROR(VLOOKUP($A329,'The List'!$B1:$AS730,3,FALSE)," ")</f>
        <v>LW,RW</v>
      </c>
      <c r="C329" s="66">
        <f>IFERROR(VLOOKUP($A329,'The List'!$B1:$AS730,4,FALSE)," ")</f>
        <v>12</v>
      </c>
      <c r="D329" s="34" t="str">
        <f>IFERROR(VLOOKUP($A329,'The List'!$B1:$AS730,5,FALSE)," ")</f>
        <v>CAR</v>
      </c>
      <c r="E329" s="34">
        <f>IFERROR(VLOOKUP($A329,'The List'!$B1:$AS730,6,FALSE)," ")</f>
        <v>23</v>
      </c>
      <c r="F329" s="49">
        <f>IFERROR(VLOOKUP($A329,'The List'!$B1:$AS730,8,FALSE)," ")</f>
        <v>8.4864292448964616</v>
      </c>
      <c r="G329" s="49">
        <f>IFERROR(VLOOKUP($A329,'The List'!$B1:$AS730,10,FALSE)," ")</f>
        <v>2.2061705258853808</v>
      </c>
      <c r="H329" s="38"/>
      <c r="I329" s="52">
        <f>IFERROR(VLOOKUP($A329,'The List'!$B1:$AS730,16,FALSE)," ")</f>
        <v>82</v>
      </c>
      <c r="J329" s="52">
        <f>IFERROR(VLOOKUP($A329,'The List'!$B1:$AS730,17,FALSE)," ")</f>
        <v>17.9701293610518</v>
      </c>
      <c r="K329" s="52">
        <f>IFERROR(VLOOKUP($A329,'The List'!$B1:$AS730,18,FALSE)," ")</f>
        <v>32.609169723860965</v>
      </c>
      <c r="L329" s="52">
        <f>IFERROR(VLOOKUP($A329,'The List'!$B1:$AS730,19,FALSE)," ")</f>
        <v>45.609122231863907</v>
      </c>
      <c r="M329" s="52">
        <f>IFERROR(VLOOKUP($A329,'The List'!$B1:$AS730,20,FALSE)," ")</f>
        <v>78.218291955724879</v>
      </c>
      <c r="N329" s="52">
        <f>IFERROR(VLOOKUP($A329,'The List'!$B1:$AS730,21,FALSE)," ")</f>
        <v>262.1603375992932</v>
      </c>
      <c r="O329" s="52">
        <f>IFERROR(VLOOKUP($A329,'The List'!$B1:$AS730,22,FALSE)," ")</f>
        <v>7.5547337722195698</v>
      </c>
      <c r="P329" s="52">
        <f>IFERROR(VLOOKUP($A329,'The List'!$B1:$AS730,23,FALSE)," ")</f>
        <v>23.135413765547096</v>
      </c>
      <c r="Q329" s="52">
        <f>IFERROR(VLOOKUP($A329,'The List'!$B1:$AS730,24,FALSE)," ")</f>
        <v>1.6106290217374267E-2</v>
      </c>
      <c r="R329" s="52">
        <f>IFERROR(VLOOKUP($A329,'The List'!$B1:$AS730,25,FALSE)," ")</f>
        <v>3.2225535892855879E-2</v>
      </c>
      <c r="S329" s="52">
        <f>IFERROR(VLOOKUP($A329,'The List'!$B1:$AS730,26,FALSE)," ")</f>
        <v>22.547898234715692</v>
      </c>
      <c r="T329" s="52">
        <f>IFERROR(VLOOKUP($A329,'The List'!$B1:$AS730,27,FALSE)," ")</f>
        <v>173.47684289500631</v>
      </c>
      <c r="U329" s="52">
        <f>IFERROR(VLOOKUP($A329,'The List'!$B1:$AS730,28,FALSE)," ")</f>
        <v>9.7629704236367019</v>
      </c>
      <c r="V329" s="52">
        <f>IFERROR(VLOOKUP($A329,'The List'!$B1:$AS730,29,FALSE)," ")</f>
        <v>72.127061295322193</v>
      </c>
      <c r="W329" s="52">
        <f>IFERROR(VLOOKUP($A329,'The List'!$B1:$AS730,30,FALSE)," ")</f>
        <v>5.8508152229892829</v>
      </c>
      <c r="X329" s="52">
        <f>IFERROR(VLOOKUP($A329,'The List'!$B1:$AS730,31,FALSE)," ")</f>
        <v>2.5640701642186685</v>
      </c>
      <c r="Y329" s="52">
        <f>IFERROR(VLOOKUP($A329,'The List'!$B1:$AS730,32,FALSE)," ")</f>
        <v>7.79717013638352</v>
      </c>
      <c r="Z329" s="52">
        <f>IFERROR(VLOOKUP($A329,'The List'!$B1:$AS730,33,FALSE)," ")</f>
        <v>0.24746749325654099</v>
      </c>
      <c r="AA329" s="54"/>
      <c r="AB329" s="59"/>
      <c r="AC329" s="59"/>
      <c r="AD329" s="59"/>
      <c r="AE329" s="59"/>
      <c r="AF329" s="59"/>
    </row>
    <row r="330" spans="1:32" ht="21.2" customHeight="1">
      <c r="A330" s="23" t="s">
        <v>211</v>
      </c>
      <c r="B330" s="64" t="str">
        <f>IFERROR(VLOOKUP($A330,'The List'!$B1:$AS730,3,FALSE)," ")</f>
        <v>LW,RW</v>
      </c>
      <c r="C330" s="66">
        <f>IFERROR(VLOOKUP($A330,'The List'!$B1:$AS730,4,FALSE)," ")</f>
        <v>19</v>
      </c>
      <c r="D330" s="34" t="str">
        <f>IFERROR(VLOOKUP($A330,'The List'!$B1:$AS730,5,FALSE)," ")</f>
        <v>WPG</v>
      </c>
      <c r="E330" s="34">
        <f>IFERROR(VLOOKUP($A330,'The List'!$B1:$AS730,6,FALSE)," ")</f>
        <v>27</v>
      </c>
      <c r="F330" s="49">
        <f>IFERROR(VLOOKUP($A330,'The List'!$B1:$AS730,8,FALSE)," ")</f>
        <v>7.7011674187222674</v>
      </c>
      <c r="G330" s="49">
        <f>IFERROR(VLOOKUP($A330,'The List'!$B1:$AS730,10,FALSE)," ")</f>
        <v>1.4209086997111866</v>
      </c>
      <c r="H330" s="38"/>
      <c r="I330" s="52">
        <f>IFERROR(VLOOKUP($A330,'The List'!$B1:$AS730,16,FALSE)," ")</f>
        <v>82</v>
      </c>
      <c r="J330" s="52">
        <f>IFERROR(VLOOKUP($A330,'The List'!$B1:$AS730,17,FALSE)," ")</f>
        <v>16.809844609935499</v>
      </c>
      <c r="K330" s="52">
        <f>IFERROR(VLOOKUP($A330,'The List'!$B1:$AS730,18,FALSE)," ")</f>
        <v>29.678338216044892</v>
      </c>
      <c r="L330" s="52">
        <f>IFERROR(VLOOKUP($A330,'The List'!$B1:$AS730,19,FALSE)," ")</f>
        <v>43.008575396289373</v>
      </c>
      <c r="M330" s="52">
        <f>IFERROR(VLOOKUP($A330,'The List'!$B1:$AS730,20,FALSE)," ")</f>
        <v>72.686913612334266</v>
      </c>
      <c r="N330" s="52">
        <f>IFERROR(VLOOKUP($A330,'The List'!$B1:$AS730,21,FALSE)," ")</f>
        <v>262.55344732693982</v>
      </c>
      <c r="O330" s="52">
        <f>IFERROR(VLOOKUP($A330,'The List'!$B1:$AS730,22,FALSE)," ")</f>
        <v>7.778577450368557</v>
      </c>
      <c r="P330" s="52">
        <f>IFERROR(VLOOKUP($A330,'The List'!$B1:$AS730,23,FALSE)," ")</f>
        <v>22.353366117556522</v>
      </c>
      <c r="Q330" s="52">
        <f>IFERROR(VLOOKUP($A330,'The List'!$B1:$AS730,24,FALSE)," ")</f>
        <v>0</v>
      </c>
      <c r="R330" s="52">
        <f>IFERROR(VLOOKUP($A330,'The List'!$B1:$AS730,25,FALSE)," ")</f>
        <v>0</v>
      </c>
      <c r="S330" s="52">
        <f>IFERROR(VLOOKUP($A330,'The List'!$B1:$AS730,26,FALSE)," ")</f>
        <v>25.625092201668874</v>
      </c>
      <c r="T330" s="52">
        <f>IFERROR(VLOOKUP($A330,'The List'!$B1:$AS730,27,FALSE)," ")</f>
        <v>59.175738462363263</v>
      </c>
      <c r="U330" s="52">
        <f>IFERROR(VLOOKUP($A330,'The List'!$B1:$AS730,28,FALSE)," ")</f>
        <v>4.6078228640279484</v>
      </c>
      <c r="V330" s="52">
        <f>IFERROR(VLOOKUP($A330,'The List'!$B1:$AS730,29,FALSE)," ")</f>
        <v>26.23753820884604</v>
      </c>
      <c r="W330" s="52">
        <f>IFERROR(VLOOKUP($A330,'The List'!$B1:$AS730,30,FALSE)," ")</f>
        <v>4.6299201005030417</v>
      </c>
      <c r="X330" s="52">
        <f>IFERROR(VLOOKUP($A330,'The List'!$B1:$AS730,31,FALSE)," ")</f>
        <v>2.4245130602463285</v>
      </c>
      <c r="Y330" s="52">
        <f>IFERROR(VLOOKUP($A330,'The List'!$B1:$AS730,32,FALSE)," ")</f>
        <v>1.1152471350334503</v>
      </c>
      <c r="Z330" s="52">
        <f>IFERROR(VLOOKUP($A330,'The List'!$B1:$AS730,33,FALSE)," ")</f>
        <v>0.68493709361424604</v>
      </c>
      <c r="AA330" s="54"/>
      <c r="AB330" s="59"/>
      <c r="AC330" s="59"/>
      <c r="AD330" s="59"/>
      <c r="AE330" s="59"/>
      <c r="AF330" s="59"/>
    </row>
    <row r="331" spans="1:32" ht="21.2" customHeight="1">
      <c r="A331" s="23"/>
      <c r="B331" s="64" t="str">
        <f>IFERROR(VLOOKUP($A331,'The List'!$B1:$AS730,3,FALSE)," ")</f>
        <v xml:space="preserve"> </v>
      </c>
      <c r="C331" s="66" t="str">
        <f>IFERROR(VLOOKUP($A331,'The List'!$B1:$AS730,4,FALSE)," ")</f>
        <v xml:space="preserve"> </v>
      </c>
      <c r="D331" s="34" t="str">
        <f>IFERROR(VLOOKUP($A331,'The List'!$B1:$AS730,5,FALSE)," ")</f>
        <v xml:space="preserve"> </v>
      </c>
      <c r="E331" s="34" t="str">
        <f>IFERROR(VLOOKUP($A331,'The List'!$B1:$AS730,6,FALSE)," ")</f>
        <v xml:space="preserve"> </v>
      </c>
      <c r="F331" s="49" t="str">
        <f>IFERROR(VLOOKUP($A331,'The List'!$B1:$AS730,8,FALSE)," ")</f>
        <v xml:space="preserve"> </v>
      </c>
      <c r="G331" s="49" t="str">
        <f>IFERROR(VLOOKUP($A331,'The List'!$B1:$AS730,10,FALSE)," ")</f>
        <v xml:space="preserve"> </v>
      </c>
      <c r="H331" s="38"/>
      <c r="I331" s="52" t="str">
        <f>IFERROR(VLOOKUP($A331,'The List'!$B1:$AS730,16,FALSE)," ")</f>
        <v xml:space="preserve"> </v>
      </c>
      <c r="J331" s="52" t="str">
        <f>IFERROR(VLOOKUP($A331,'The List'!$B1:$AS730,17,FALSE)," ")</f>
        <v xml:space="preserve"> </v>
      </c>
      <c r="K331" s="52" t="str">
        <f>IFERROR(VLOOKUP($A331,'The List'!$B1:$AS730,18,FALSE)," ")</f>
        <v xml:space="preserve"> </v>
      </c>
      <c r="L331" s="52" t="str">
        <f>IFERROR(VLOOKUP($A331,'The List'!$B1:$AS730,19,FALSE)," ")</f>
        <v xml:space="preserve"> </v>
      </c>
      <c r="M331" s="52" t="str">
        <f>IFERROR(VLOOKUP($A331,'The List'!$B1:$AS730,20,FALSE)," ")</f>
        <v xml:space="preserve"> </v>
      </c>
      <c r="N331" s="52" t="str">
        <f>IFERROR(VLOOKUP($A331,'The List'!$B1:$AS730,21,FALSE)," ")</f>
        <v xml:space="preserve"> </v>
      </c>
      <c r="O331" s="52" t="str">
        <f>IFERROR(VLOOKUP($A331,'The List'!$B1:$AS730,22,FALSE)," ")</f>
        <v xml:space="preserve"> </v>
      </c>
      <c r="P331" s="52" t="str">
        <f>IFERROR(VLOOKUP($A331,'The List'!$B1:$AS730,23,FALSE)," ")</f>
        <v xml:space="preserve"> </v>
      </c>
      <c r="Q331" s="52" t="str">
        <f>IFERROR(VLOOKUP($A331,'The List'!$B1:$AS730,24,FALSE)," ")</f>
        <v xml:space="preserve"> </v>
      </c>
      <c r="R331" s="52" t="str">
        <f>IFERROR(VLOOKUP($A331,'The List'!$B1:$AS730,25,FALSE)," ")</f>
        <v xml:space="preserve"> </v>
      </c>
      <c r="S331" s="52" t="str">
        <f>IFERROR(VLOOKUP($A331,'The List'!$B1:$AS730,26,FALSE)," ")</f>
        <v xml:space="preserve"> </v>
      </c>
      <c r="T331" s="52" t="str">
        <f>IFERROR(VLOOKUP($A331,'The List'!$B1:$AS730,27,FALSE)," ")</f>
        <v xml:space="preserve"> </v>
      </c>
      <c r="U331" s="52" t="str">
        <f>IFERROR(VLOOKUP($A331,'The List'!$B1:$AS730,28,FALSE)," ")</f>
        <v xml:space="preserve"> </v>
      </c>
      <c r="V331" s="52" t="str">
        <f>IFERROR(VLOOKUP($A331,'The List'!$B1:$AS730,29,FALSE)," ")</f>
        <v xml:space="preserve"> </v>
      </c>
      <c r="W331" s="52" t="str">
        <f>IFERROR(VLOOKUP($A331,'The List'!$B1:$AS730,30,FALSE)," ")</f>
        <v xml:space="preserve"> </v>
      </c>
      <c r="X331" s="52" t="str">
        <f>IFERROR(VLOOKUP($A331,'The List'!$B1:$AS730,31,FALSE)," ")</f>
        <v xml:space="preserve"> </v>
      </c>
      <c r="Y331" s="52" t="str">
        <f>IFERROR(VLOOKUP($A331,'The List'!$B1:$AS730,32,FALSE)," ")</f>
        <v xml:space="preserve"> </v>
      </c>
      <c r="Z331" s="52" t="str">
        <f>IFERROR(VLOOKUP($A331,'The List'!$B1:$AS730,33,FALSE)," ")</f>
        <v xml:space="preserve"> </v>
      </c>
      <c r="AA331" s="54"/>
      <c r="AB331" s="59"/>
      <c r="AC331" s="59"/>
      <c r="AD331" s="59"/>
      <c r="AE331" s="59"/>
      <c r="AF331" s="59"/>
    </row>
    <row r="332" spans="1:32" ht="21.2" customHeight="1">
      <c r="A332" s="23"/>
      <c r="B332" s="64" t="str">
        <f>IFERROR(VLOOKUP($A332,'The List'!$B1:$AS730,3,FALSE)," ")</f>
        <v xml:space="preserve"> </v>
      </c>
      <c r="C332" s="66" t="str">
        <f>IFERROR(VLOOKUP($A332,'The List'!$B1:$AS730,4,FALSE)," ")</f>
        <v xml:space="preserve"> </v>
      </c>
      <c r="D332" s="34" t="str">
        <f>IFERROR(VLOOKUP($A332,'The List'!$B1:$AS730,5,FALSE)," ")</f>
        <v xml:space="preserve"> </v>
      </c>
      <c r="E332" s="34" t="str">
        <f>IFERROR(VLOOKUP($A332,'The List'!$B1:$AS730,6,FALSE)," ")</f>
        <v xml:space="preserve"> </v>
      </c>
      <c r="F332" s="49" t="str">
        <f>IFERROR(VLOOKUP($A332,'The List'!$B1:$AS730,8,FALSE)," ")</f>
        <v xml:space="preserve"> </v>
      </c>
      <c r="G332" s="49" t="str">
        <f>IFERROR(VLOOKUP($A332,'The List'!$B1:$AS730,10,FALSE)," ")</f>
        <v xml:space="preserve"> </v>
      </c>
      <c r="H332" s="38"/>
      <c r="I332" s="52" t="str">
        <f>IFERROR(VLOOKUP($A332,'The List'!$B1:$AS730,16,FALSE)," ")</f>
        <v xml:space="preserve"> </v>
      </c>
      <c r="J332" s="52" t="str">
        <f>IFERROR(VLOOKUP($A332,'The List'!$B1:$AS730,17,FALSE)," ")</f>
        <v xml:space="preserve"> </v>
      </c>
      <c r="K332" s="52" t="str">
        <f>IFERROR(VLOOKUP($A332,'The List'!$B1:$AS730,18,FALSE)," ")</f>
        <v xml:space="preserve"> </v>
      </c>
      <c r="L332" s="52" t="str">
        <f>IFERROR(VLOOKUP($A332,'The List'!$B1:$AS730,19,FALSE)," ")</f>
        <v xml:space="preserve"> </v>
      </c>
      <c r="M332" s="52" t="str">
        <f>IFERROR(VLOOKUP($A332,'The List'!$B1:$AS730,20,FALSE)," ")</f>
        <v xml:space="preserve"> </v>
      </c>
      <c r="N332" s="52" t="str">
        <f>IFERROR(VLOOKUP($A332,'The List'!$B1:$AS730,21,FALSE)," ")</f>
        <v xml:space="preserve"> </v>
      </c>
      <c r="O332" s="52" t="str">
        <f>IFERROR(VLOOKUP($A332,'The List'!$B1:$AS730,22,FALSE)," ")</f>
        <v xml:space="preserve"> </v>
      </c>
      <c r="P332" s="52" t="str">
        <f>IFERROR(VLOOKUP($A332,'The List'!$B1:$AS730,23,FALSE)," ")</f>
        <v xml:space="preserve"> </v>
      </c>
      <c r="Q332" s="52" t="str">
        <f>IFERROR(VLOOKUP($A332,'The List'!$B1:$AS730,24,FALSE)," ")</f>
        <v xml:space="preserve"> </v>
      </c>
      <c r="R332" s="52" t="str">
        <f>IFERROR(VLOOKUP($A332,'The List'!$B1:$AS730,25,FALSE)," ")</f>
        <v xml:space="preserve"> </v>
      </c>
      <c r="S332" s="52" t="str">
        <f>IFERROR(VLOOKUP($A332,'The List'!$B1:$AS730,26,FALSE)," ")</f>
        <v xml:space="preserve"> </v>
      </c>
      <c r="T332" s="52" t="str">
        <f>IFERROR(VLOOKUP($A332,'The List'!$B1:$AS730,27,FALSE)," ")</f>
        <v xml:space="preserve"> </v>
      </c>
      <c r="U332" s="52" t="str">
        <f>IFERROR(VLOOKUP($A332,'The List'!$B1:$AS730,28,FALSE)," ")</f>
        <v xml:space="preserve"> </v>
      </c>
      <c r="V332" s="52" t="str">
        <f>IFERROR(VLOOKUP($A332,'The List'!$B1:$AS730,29,FALSE)," ")</f>
        <v xml:space="preserve"> </v>
      </c>
      <c r="W332" s="52" t="str">
        <f>IFERROR(VLOOKUP($A332,'The List'!$B1:$AS730,30,FALSE)," ")</f>
        <v xml:space="preserve"> </v>
      </c>
      <c r="X332" s="52" t="str">
        <f>IFERROR(VLOOKUP($A332,'The List'!$B1:$AS730,31,FALSE)," ")</f>
        <v xml:space="preserve"> </v>
      </c>
      <c r="Y332" s="52" t="str">
        <f>IFERROR(VLOOKUP($A332,'The List'!$B1:$AS730,32,FALSE)," ")</f>
        <v xml:space="preserve"> </v>
      </c>
      <c r="Z332" s="52" t="str">
        <f>IFERROR(VLOOKUP($A332,'The List'!$B1:$AS730,33,FALSE)," ")</f>
        <v xml:space="preserve"> </v>
      </c>
      <c r="AA332" s="54"/>
      <c r="AB332" s="59"/>
      <c r="AC332" s="59"/>
      <c r="AD332" s="59"/>
      <c r="AE332" s="59"/>
      <c r="AF332" s="59"/>
    </row>
    <row r="333" spans="1:32" ht="21.2" customHeight="1">
      <c r="A333" s="23" t="s">
        <v>119</v>
      </c>
      <c r="B333" s="67" t="str">
        <f>IFERROR(VLOOKUP($A333,'The List'!$B1:$AS730,3,FALSE)," ")</f>
        <v>D</v>
      </c>
      <c r="C333" s="69">
        <f>IFERROR(VLOOKUP($A333,'The List'!$B1:$AS730,4,FALSE)," ")</f>
        <v>3</v>
      </c>
      <c r="D333" s="34" t="str">
        <f>IFERROR(VLOOKUP($A333,'The List'!$B1:$AS730,5,FALSE)," ")</f>
        <v>PIT</v>
      </c>
      <c r="E333" s="34">
        <f>IFERROR(VLOOKUP($A333,'The List'!$B1:$AS730,6,FALSE)," ")</f>
        <v>33</v>
      </c>
      <c r="F333" s="49">
        <f>IFERROR(VLOOKUP($A333,'The List'!$B1:$AS730,8,FALSE)," ")</f>
        <v>8.8342976747292852</v>
      </c>
      <c r="G333" s="49">
        <f>IFERROR(VLOOKUP($A333,'The List'!$B1:$AS730,10,FALSE)," ")</f>
        <v>6.8925571310949749</v>
      </c>
      <c r="H333" s="38"/>
      <c r="I333" s="52">
        <f>IFERROR(VLOOKUP($A333,'The List'!$B1:$AS730,16,FALSE)," ")</f>
        <v>82</v>
      </c>
      <c r="J333" s="52">
        <f>IFERROR(VLOOKUP($A333,'The List'!$B1:$AS730,17,FALSE)," ")</f>
        <v>26.080562995426799</v>
      </c>
      <c r="K333" s="52">
        <f>IFERROR(VLOOKUP($A333,'The List'!$B1:$AS730,18,FALSE)," ")</f>
        <v>21.645159838919501</v>
      </c>
      <c r="L333" s="52">
        <f>IFERROR(VLOOKUP($A333,'The List'!$B1:$AS730,19,FALSE)," ")</f>
        <v>63.41149502340452</v>
      </c>
      <c r="M333" s="52">
        <f>IFERROR(VLOOKUP($A333,'The List'!$B1:$AS730,20,FALSE)," ")</f>
        <v>85.056654862324024</v>
      </c>
      <c r="N333" s="52">
        <f>IFERROR(VLOOKUP($A333,'The List'!$B1:$AS730,21,FALSE)," ")</f>
        <v>222.7263371104965</v>
      </c>
      <c r="O333" s="52">
        <f>IFERROR(VLOOKUP($A333,'The List'!$B1:$AS730,22,FALSE)," ")</f>
        <v>4.6717525216072051</v>
      </c>
      <c r="P333" s="52">
        <f>IFERROR(VLOOKUP($A333,'The List'!$B1:$AS730,23,FALSE)," ")</f>
        <v>27.795262060404855</v>
      </c>
      <c r="Q333" s="52">
        <f>IFERROR(VLOOKUP($A333,'The List'!$B1:$AS730,24,FALSE)," ")</f>
        <v>2.2235226308200129E-3</v>
      </c>
      <c r="R333" s="52">
        <f>IFERROR(VLOOKUP($A333,'The List'!$B1:$AS730,25,FALSE)," ")</f>
        <v>9.1433689765957241E-2</v>
      </c>
      <c r="S333" s="52">
        <f>IFERROR(VLOOKUP($A333,'The List'!$B1:$AS730,26,FALSE)," ")</f>
        <v>97.894427674379784</v>
      </c>
      <c r="T333" s="52">
        <f>IFERROR(VLOOKUP($A333,'The List'!$B1:$AS730,27,FALSE)," ")</f>
        <v>47.556212785682199</v>
      </c>
      <c r="U333" s="52">
        <f>IFERROR(VLOOKUP($A333,'The List'!$B1:$AS730,28,FALSE)," ")</f>
        <v>3.6342190759565569</v>
      </c>
      <c r="V333" s="52">
        <f>IFERROR(VLOOKUP($A333,'The List'!$B1:$AS730,29,FALSE)," ")</f>
        <v>30.736728062760388</v>
      </c>
      <c r="W333" s="52">
        <f>IFERROR(VLOOKUP($A333,'The List'!$B1:$AS730,30,FALSE)," ")</f>
        <v>2.6873711494153487</v>
      </c>
      <c r="X333" s="52">
        <f>IFERROR(VLOOKUP($A333,'The List'!$B1:$AS730,31,FALSE)," ")</f>
        <v>0</v>
      </c>
      <c r="Y333" s="52">
        <f>IFERROR(VLOOKUP($A333,'The List'!$B1:$AS730,32,FALSE)," ")</f>
        <v>0.82399251124698525</v>
      </c>
      <c r="Z333" s="52">
        <f>IFERROR(VLOOKUP($A333,'The List'!$B1:$AS730,33,FALSE)," ")</f>
        <v>0</v>
      </c>
      <c r="AA333" s="54"/>
      <c r="AB333" s="59"/>
      <c r="AC333" s="59"/>
      <c r="AD333" s="59"/>
      <c r="AE333" s="59"/>
      <c r="AF333" s="59"/>
    </row>
    <row r="334" spans="1:32" ht="21.2" customHeight="1">
      <c r="A334" s="23" t="s">
        <v>168</v>
      </c>
      <c r="B334" s="67" t="str">
        <f>IFERROR(VLOOKUP($A334,'The List'!$B1:$AS730,3,FALSE)," ")</f>
        <v>D</v>
      </c>
      <c r="C334" s="69">
        <f>IFERROR(VLOOKUP($A334,'The List'!$B1:$AS730,4,FALSE)," ")</f>
        <v>13</v>
      </c>
      <c r="D334" s="34" t="str">
        <f>IFERROR(VLOOKUP($A334,'The List'!$B1:$AS730,5,FALSE)," ")</f>
        <v>WSH</v>
      </c>
      <c r="E334" s="34">
        <f>IFERROR(VLOOKUP($A334,'The List'!$B1:$AS730,6,FALSE)," ")</f>
        <v>33</v>
      </c>
      <c r="F334" s="49">
        <f>IFERROR(VLOOKUP($A334,'The List'!$B1:$AS730,8,FALSE)," ")</f>
        <v>4.6992128676319442</v>
      </c>
      <c r="G334" s="49">
        <f>IFERROR(VLOOKUP($A334,'The List'!$B1:$AS730,10,FALSE)," ")</f>
        <v>2.7574723239976335</v>
      </c>
      <c r="H334" s="38"/>
      <c r="I334" s="52">
        <f>IFERROR(VLOOKUP($A334,'The List'!$B1:$AS730,16,FALSE)," ")</f>
        <v>82</v>
      </c>
      <c r="J334" s="52">
        <f>IFERROR(VLOOKUP($A334,'The List'!$B1:$AS730,17,FALSE)," ")</f>
        <v>23.060303365091499</v>
      </c>
      <c r="K334" s="52">
        <f>IFERROR(VLOOKUP($A334,'The List'!$B1:$AS730,18,FALSE)," ")</f>
        <v>14.324326245770592</v>
      </c>
      <c r="L334" s="52">
        <f>IFERROR(VLOOKUP($A334,'The List'!$B1:$AS730,19,FALSE)," ")</f>
        <v>44.129703202066779</v>
      </c>
      <c r="M334" s="52">
        <f>IFERROR(VLOOKUP($A334,'The List'!$B1:$AS730,20,FALSE)," ")</f>
        <v>58.454029447837371</v>
      </c>
      <c r="N334" s="52">
        <f>IFERROR(VLOOKUP($A334,'The List'!$B1:$AS730,21,FALSE)," ")</f>
        <v>207.81733479113197</v>
      </c>
      <c r="O334" s="52">
        <f>IFERROR(VLOOKUP($A334,'The List'!$B1:$AS730,22,FALSE)," ")</f>
        <v>4.929209111051998</v>
      </c>
      <c r="P334" s="52">
        <f>IFERROR(VLOOKUP($A334,'The List'!$B1:$AS730,23,FALSE)," ")</f>
        <v>21.697197024608904</v>
      </c>
      <c r="Q334" s="52">
        <f>IFERROR(VLOOKUP($A334,'The List'!$B1:$AS730,24,FALSE)," ")</f>
        <v>0.53490326641243779</v>
      </c>
      <c r="R334" s="52">
        <f>IFERROR(VLOOKUP($A334,'The List'!$B1:$AS730,25,FALSE)," ")</f>
        <v>1.4365858615345266</v>
      </c>
      <c r="S334" s="52">
        <f>IFERROR(VLOOKUP($A334,'The List'!$B1:$AS730,26,FALSE)," ")</f>
        <v>143.71740691214777</v>
      </c>
      <c r="T334" s="52">
        <f>IFERROR(VLOOKUP($A334,'The List'!$B1:$AS730,27,FALSE)," ")</f>
        <v>95.460164760318392</v>
      </c>
      <c r="U334" s="52">
        <f>IFERROR(VLOOKUP($A334,'The List'!$B1:$AS730,28,FALSE)," ")</f>
        <v>-2.7293334834272795</v>
      </c>
      <c r="V334" s="52">
        <f>IFERROR(VLOOKUP($A334,'The List'!$B1:$AS730,29,FALSE)," ")</f>
        <v>25.265427576209312</v>
      </c>
      <c r="W334" s="52">
        <f>IFERROR(VLOOKUP($A334,'The List'!$B1:$AS730,30,FALSE)," ")</f>
        <v>1.7619764511323881</v>
      </c>
      <c r="X334" s="52">
        <f>IFERROR(VLOOKUP($A334,'The List'!$B1:$AS730,31,FALSE)," ")</f>
        <v>0</v>
      </c>
      <c r="Y334" s="52">
        <f>IFERROR(VLOOKUP($A334,'The List'!$B1:$AS730,32,FALSE)," ")</f>
        <v>0</v>
      </c>
      <c r="Z334" s="52">
        <f>IFERROR(VLOOKUP($A334,'The List'!$B1:$AS730,33,FALSE)," ")</f>
        <v>0</v>
      </c>
      <c r="AA334" s="54"/>
      <c r="AB334" s="59"/>
      <c r="AC334" s="59"/>
      <c r="AD334" s="59"/>
      <c r="AE334" s="59"/>
      <c r="AF334" s="59"/>
    </row>
    <row r="335" spans="1:32" ht="21.2" customHeight="1">
      <c r="A335" s="23" t="s">
        <v>220</v>
      </c>
      <c r="B335" s="67" t="str">
        <f>IFERROR(VLOOKUP($A335,'The List'!$B1:$AS730,3,FALSE)," ")</f>
        <v>D</v>
      </c>
      <c r="C335" s="69">
        <f>IFERROR(VLOOKUP($A335,'The List'!$B1:$AS730,4,FALSE)," ")</f>
        <v>30</v>
      </c>
      <c r="D335" s="34" t="str">
        <f>IFERROR(VLOOKUP($A335,'The List'!$B1:$AS730,5,FALSE)," ")</f>
        <v>MTL</v>
      </c>
      <c r="E335" s="34">
        <f>IFERROR(VLOOKUP($A335,'The List'!$B1:$AS730,6,FALSE)," ")</f>
        <v>29</v>
      </c>
      <c r="F335" s="49">
        <f>IFERROR(VLOOKUP($A335,'The List'!$B1:$AS730,8,FALSE)," ")</f>
        <v>2.5247274265116011</v>
      </c>
      <c r="G335" s="49">
        <f>IFERROR(VLOOKUP($A335,'The List'!$B1:$AS730,10,FALSE)," ")</f>
        <v>0.58298688287729039</v>
      </c>
      <c r="H335" s="38"/>
      <c r="I335" s="52">
        <f>IFERROR(VLOOKUP($A335,'The List'!$B1:$AS730,16,FALSE)," ")</f>
        <v>82</v>
      </c>
      <c r="J335" s="52">
        <f>IFERROR(VLOOKUP($A335,'The List'!$B1:$AS730,17,FALSE)," ")</f>
        <v>24.572124104420698</v>
      </c>
      <c r="K335" s="52">
        <f>IFERROR(VLOOKUP($A335,'The List'!$B1:$AS730,18,FALSE)," ")</f>
        <v>11.462884187355339</v>
      </c>
      <c r="L335" s="52">
        <f>IFERROR(VLOOKUP($A335,'The List'!$B1:$AS730,19,FALSE)," ")</f>
        <v>36.758511790909033</v>
      </c>
      <c r="M335" s="52">
        <f>IFERROR(VLOOKUP($A335,'The List'!$B1:$AS730,20,FALSE)," ")</f>
        <v>48.221395978264368</v>
      </c>
      <c r="N335" s="52">
        <f>IFERROR(VLOOKUP($A335,'The List'!$B1:$AS730,21,FALSE)," ")</f>
        <v>202.80919506123118</v>
      </c>
      <c r="O335" s="52">
        <f>IFERROR(VLOOKUP($A335,'The List'!$B1:$AS730,22,FALSE)," ")</f>
        <v>0.50868527260032548</v>
      </c>
      <c r="P335" s="52">
        <f>IFERROR(VLOOKUP($A335,'The List'!$B1:$AS730,23,FALSE)," ")</f>
        <v>13.412269287200914</v>
      </c>
      <c r="Q335" s="52">
        <f>IFERROR(VLOOKUP($A335,'The List'!$B1:$AS730,24,FALSE)," ")</f>
        <v>3.2179327449554776E-2</v>
      </c>
      <c r="R335" s="52">
        <f>IFERROR(VLOOKUP($A335,'The List'!$B1:$AS730,25,FALSE)," ")</f>
        <v>2.3274928179657435</v>
      </c>
      <c r="S335" s="52">
        <f>IFERROR(VLOOKUP($A335,'The List'!$B1:$AS730,26,FALSE)," ")</f>
        <v>131.01953528298094</v>
      </c>
      <c r="T335" s="52">
        <f>IFERROR(VLOOKUP($A335,'The List'!$B1:$AS730,27,FALSE)," ")</f>
        <v>101.5677709501246</v>
      </c>
      <c r="U335" s="52">
        <f>IFERROR(VLOOKUP($A335,'The List'!$B1:$AS730,28,FALSE)," ")</f>
        <v>-5.8285897337127786</v>
      </c>
      <c r="V335" s="52">
        <f>IFERROR(VLOOKUP($A335,'The List'!$B1:$AS730,29,FALSE)," ")</f>
        <v>55.421722486964676</v>
      </c>
      <c r="W335" s="52">
        <f>IFERROR(VLOOKUP($A335,'The List'!$B1:$AS730,30,FALSE)," ")</f>
        <v>1.1742820953767665</v>
      </c>
      <c r="X335" s="52">
        <f>IFERROR(VLOOKUP($A335,'The List'!$B1:$AS730,31,FALSE)," ")</f>
        <v>0</v>
      </c>
      <c r="Y335" s="52">
        <f>IFERROR(VLOOKUP($A335,'The List'!$B1:$AS730,32,FALSE)," ")</f>
        <v>0</v>
      </c>
      <c r="Z335" s="52">
        <f>IFERROR(VLOOKUP($A335,'The List'!$B1:$AS730,33,FALSE)," ")</f>
        <v>0</v>
      </c>
      <c r="AA335" s="54"/>
      <c r="AB335" s="59"/>
      <c r="AC335" s="59"/>
      <c r="AD335" s="59"/>
      <c r="AE335" s="59"/>
      <c r="AF335" s="59"/>
    </row>
    <row r="336" spans="1:32" ht="21.2" customHeight="1">
      <c r="A336" s="23" t="s">
        <v>294</v>
      </c>
      <c r="B336" s="67" t="str">
        <f>IFERROR(VLOOKUP($A336,'The List'!$B1:$AS730,3,FALSE)," ")</f>
        <v>D</v>
      </c>
      <c r="C336" s="69">
        <f>IFERROR(VLOOKUP($A336,'The List'!$B1:$AS730,4,FALSE)," ")</f>
        <v>57</v>
      </c>
      <c r="D336" s="34" t="str">
        <f>IFERROR(VLOOKUP($A336,'The List'!$B1:$AS730,5,FALSE)," ")</f>
        <v>DET</v>
      </c>
      <c r="E336" s="34">
        <f>IFERROR(VLOOKUP($A336,'The List'!$B1:$AS730,6,FALSE)," ")</f>
        <v>30</v>
      </c>
      <c r="F336" s="49">
        <f>IFERROR(VLOOKUP($A336,'The List'!$B1:$AS730,8,FALSE)," ")</f>
        <v>-0.71791255583645408</v>
      </c>
      <c r="G336" s="49">
        <f>IFERROR(VLOOKUP($A336,'The List'!$B1:$AS730,10,FALSE)," ")</f>
        <v>-2.6596530994707646</v>
      </c>
      <c r="H336" s="38"/>
      <c r="I336" s="52">
        <f>IFERROR(VLOOKUP($A336,'The List'!$B1:$AS730,16,FALSE)," ")</f>
        <v>82</v>
      </c>
      <c r="J336" s="52">
        <f>IFERROR(VLOOKUP($A336,'The List'!$B1:$AS730,17,FALSE)," ")</f>
        <v>17.5118288729951</v>
      </c>
      <c r="K336" s="52">
        <f>IFERROR(VLOOKUP($A336,'The List'!$B1:$AS730,18,FALSE)," ")</f>
        <v>10.131039658647699</v>
      </c>
      <c r="L336" s="52">
        <f>IFERROR(VLOOKUP($A336,'The List'!$B1:$AS730,19,FALSE)," ")</f>
        <v>23.725629147474027</v>
      </c>
      <c r="M336" s="52">
        <f>IFERROR(VLOOKUP($A336,'The List'!$B1:$AS730,20,FALSE)," ")</f>
        <v>33.856668806121725</v>
      </c>
      <c r="N336" s="52">
        <f>IFERROR(VLOOKUP($A336,'The List'!$B1:$AS730,21,FALSE)," ")</f>
        <v>128.90740283485937</v>
      </c>
      <c r="O336" s="52">
        <f>IFERROR(VLOOKUP($A336,'The List'!$B1:$AS730,22,FALSE)," ")</f>
        <v>2.8040218629223519</v>
      </c>
      <c r="P336" s="52">
        <f>IFERROR(VLOOKUP($A336,'The List'!$B1:$AS730,23,FALSE)," ")</f>
        <v>10.461547893551979</v>
      </c>
      <c r="Q336" s="52">
        <f>IFERROR(VLOOKUP($A336,'The List'!$B1:$AS730,24,FALSE)," ")</f>
        <v>0.2731295985495254</v>
      </c>
      <c r="R336" s="52">
        <f>IFERROR(VLOOKUP($A336,'The List'!$B1:$AS730,25,FALSE)," ")</f>
        <v>0.29157080307278893</v>
      </c>
      <c r="S336" s="52">
        <f>IFERROR(VLOOKUP($A336,'The List'!$B1:$AS730,26,FALSE)," ")</f>
        <v>87.690581631005358</v>
      </c>
      <c r="T336" s="52">
        <f>IFERROR(VLOOKUP($A336,'The List'!$B1:$AS730,27,FALSE)," ")</f>
        <v>56.958440625818461</v>
      </c>
      <c r="U336" s="52">
        <f>IFERROR(VLOOKUP($A336,'The List'!$B1:$AS730,28,FALSE)," ")</f>
        <v>-2.3093191355291576</v>
      </c>
      <c r="V336" s="52">
        <f>IFERROR(VLOOKUP($A336,'The List'!$B1:$AS730,29,FALSE)," ")</f>
        <v>21.428828621014841</v>
      </c>
      <c r="W336" s="52">
        <f>IFERROR(VLOOKUP($A336,'The List'!$B1:$AS730,30,FALSE)," ")</f>
        <v>1.3406998437691966</v>
      </c>
      <c r="X336" s="52">
        <f>IFERROR(VLOOKUP($A336,'The List'!$B1:$AS730,31,FALSE)," ")</f>
        <v>0</v>
      </c>
      <c r="Y336" s="52">
        <f>IFERROR(VLOOKUP($A336,'The List'!$B1:$AS730,32,FALSE)," ")</f>
        <v>0</v>
      </c>
      <c r="Z336" s="52">
        <f>IFERROR(VLOOKUP($A336,'The List'!$B1:$AS730,33,FALSE)," ")</f>
        <v>0</v>
      </c>
      <c r="AA336" s="54"/>
      <c r="AB336" s="59"/>
      <c r="AC336" s="59"/>
      <c r="AD336" s="59"/>
      <c r="AE336" s="59"/>
      <c r="AF336" s="59"/>
    </row>
    <row r="337" spans="1:32" ht="21.2" customHeight="1">
      <c r="A337" s="23"/>
      <c r="B337" s="67" t="str">
        <f>IFERROR(VLOOKUP($A337,'The List'!$B1:$AS730,3,FALSE)," ")</f>
        <v xml:space="preserve"> </v>
      </c>
      <c r="C337" s="69" t="str">
        <f>IFERROR(VLOOKUP($A337,'The List'!$B1:$AS730,4,FALSE)," ")</f>
        <v xml:space="preserve"> </v>
      </c>
      <c r="D337" s="34" t="str">
        <f>IFERROR(VLOOKUP($A337,'The List'!$B1:$AS730,5,FALSE)," ")</f>
        <v xml:space="preserve"> </v>
      </c>
      <c r="E337" s="34" t="str">
        <f>IFERROR(VLOOKUP($A337,'The List'!$B1:$AS730,6,FALSE)," ")</f>
        <v xml:space="preserve"> </v>
      </c>
      <c r="F337" s="49" t="str">
        <f>IFERROR(VLOOKUP($A337,'The List'!$B1:$AS730,8,FALSE)," ")</f>
        <v xml:space="preserve"> </v>
      </c>
      <c r="G337" s="49" t="str">
        <f>IFERROR(VLOOKUP($A337,'The List'!$B1:$AS730,10,FALSE)," ")</f>
        <v xml:space="preserve"> </v>
      </c>
      <c r="H337" s="38"/>
      <c r="I337" s="52" t="str">
        <f>IFERROR(VLOOKUP($A337,'The List'!$B1:$AS730,16,FALSE)," ")</f>
        <v xml:space="preserve"> </v>
      </c>
      <c r="J337" s="52" t="str">
        <f>IFERROR(VLOOKUP($A337,'The List'!$B1:$AS730,17,FALSE)," ")</f>
        <v xml:space="preserve"> </v>
      </c>
      <c r="K337" s="52" t="str">
        <f>IFERROR(VLOOKUP($A337,'The List'!$B1:$AS730,18,FALSE)," ")</f>
        <v xml:space="preserve"> </v>
      </c>
      <c r="L337" s="52" t="str">
        <f>IFERROR(VLOOKUP($A337,'The List'!$B1:$AS730,19,FALSE)," ")</f>
        <v xml:space="preserve"> </v>
      </c>
      <c r="M337" s="52" t="str">
        <f>IFERROR(VLOOKUP($A337,'The List'!$B1:$AS730,20,FALSE)," ")</f>
        <v xml:space="preserve"> </v>
      </c>
      <c r="N337" s="52" t="str">
        <f>IFERROR(VLOOKUP($A337,'The List'!$B1:$AS730,21,FALSE)," ")</f>
        <v xml:space="preserve"> </v>
      </c>
      <c r="O337" s="52" t="str">
        <f>IFERROR(VLOOKUP($A337,'The List'!$B1:$AS730,22,FALSE)," ")</f>
        <v xml:space="preserve"> </v>
      </c>
      <c r="P337" s="52" t="str">
        <f>IFERROR(VLOOKUP($A337,'The List'!$B1:$AS730,23,FALSE)," ")</f>
        <v xml:space="preserve"> </v>
      </c>
      <c r="Q337" s="52" t="str">
        <f>IFERROR(VLOOKUP($A337,'The List'!$B1:$AS730,24,FALSE)," ")</f>
        <v xml:space="preserve"> </v>
      </c>
      <c r="R337" s="52" t="str">
        <f>IFERROR(VLOOKUP($A337,'The List'!$B1:$AS730,25,FALSE)," ")</f>
        <v xml:space="preserve"> </v>
      </c>
      <c r="S337" s="52" t="str">
        <f>IFERROR(VLOOKUP($A337,'The List'!$B1:$AS730,26,FALSE)," ")</f>
        <v xml:space="preserve"> </v>
      </c>
      <c r="T337" s="52" t="str">
        <f>IFERROR(VLOOKUP($A337,'The List'!$B1:$AS730,27,FALSE)," ")</f>
        <v xml:space="preserve"> </v>
      </c>
      <c r="U337" s="52" t="str">
        <f>IFERROR(VLOOKUP($A337,'The List'!$B1:$AS730,28,FALSE)," ")</f>
        <v xml:space="preserve"> </v>
      </c>
      <c r="V337" s="52" t="str">
        <f>IFERROR(VLOOKUP($A337,'The List'!$B1:$AS730,29,FALSE)," ")</f>
        <v xml:space="preserve"> </v>
      </c>
      <c r="W337" s="52" t="str">
        <f>IFERROR(VLOOKUP($A337,'The List'!$B1:$AS730,30,FALSE)," ")</f>
        <v xml:space="preserve"> </v>
      </c>
      <c r="X337" s="52" t="str">
        <f>IFERROR(VLOOKUP($A337,'The List'!$B1:$AS730,31,FALSE)," ")</f>
        <v xml:space="preserve"> </v>
      </c>
      <c r="Y337" s="52" t="str">
        <f>IFERROR(VLOOKUP($A337,'The List'!$B1:$AS730,32,FALSE)," ")</f>
        <v xml:space="preserve"> </v>
      </c>
      <c r="Z337" s="52" t="str">
        <f>IFERROR(VLOOKUP($A337,'The List'!$B1:$AS730,33,FALSE)," ")</f>
        <v xml:space="preserve"> </v>
      </c>
      <c r="AA337" s="54"/>
      <c r="AB337" s="59"/>
      <c r="AC337" s="59"/>
      <c r="AD337" s="59"/>
      <c r="AE337" s="59"/>
      <c r="AF337" s="59"/>
    </row>
    <row r="338" spans="1:32" ht="21.2" customHeight="1">
      <c r="A338" s="23"/>
      <c r="B338" s="67" t="str">
        <f>IFERROR(VLOOKUP($A338,'The List'!$B1:$AS730,3,FALSE)," ")</f>
        <v xml:space="preserve"> </v>
      </c>
      <c r="C338" s="69" t="str">
        <f>IFERROR(VLOOKUP($A338,'The List'!$B1:$AS730,4,FALSE)," ")</f>
        <v xml:space="preserve"> </v>
      </c>
      <c r="D338" s="34" t="str">
        <f>IFERROR(VLOOKUP($A338,'The List'!$B1:$AS730,5,FALSE)," ")</f>
        <v xml:space="preserve"> </v>
      </c>
      <c r="E338" s="34" t="str">
        <f>IFERROR(VLOOKUP($A338,'The List'!$B1:$AS730,6,FALSE)," ")</f>
        <v xml:space="preserve"> </v>
      </c>
      <c r="F338" s="49" t="str">
        <f>IFERROR(VLOOKUP($A338,'The List'!$B1:$AS730,8,FALSE)," ")</f>
        <v xml:space="preserve"> </v>
      </c>
      <c r="G338" s="49" t="str">
        <f>IFERROR(VLOOKUP($A338,'The List'!$B1:$AS730,10,FALSE)," ")</f>
        <v xml:space="preserve"> </v>
      </c>
      <c r="H338" s="38"/>
      <c r="I338" s="52" t="str">
        <f>IFERROR(VLOOKUP($A338,'The List'!$B1:$AS730,16,FALSE)," ")</f>
        <v xml:space="preserve"> </v>
      </c>
      <c r="J338" s="52" t="str">
        <f>IFERROR(VLOOKUP($A338,'The List'!$B1:$AS730,17,FALSE)," ")</f>
        <v xml:space="preserve"> </v>
      </c>
      <c r="K338" s="52" t="str">
        <f>IFERROR(VLOOKUP($A338,'The List'!$B1:$AS730,18,FALSE)," ")</f>
        <v xml:space="preserve"> </v>
      </c>
      <c r="L338" s="52" t="str">
        <f>IFERROR(VLOOKUP($A338,'The List'!$B1:$AS730,19,FALSE)," ")</f>
        <v xml:space="preserve"> </v>
      </c>
      <c r="M338" s="52" t="str">
        <f>IFERROR(VLOOKUP($A338,'The List'!$B1:$AS730,20,FALSE)," ")</f>
        <v xml:space="preserve"> </v>
      </c>
      <c r="N338" s="52" t="str">
        <f>IFERROR(VLOOKUP($A338,'The List'!$B1:$AS730,21,FALSE)," ")</f>
        <v xml:space="preserve"> </v>
      </c>
      <c r="O338" s="52" t="str">
        <f>IFERROR(VLOOKUP($A338,'The List'!$B1:$AS730,22,FALSE)," ")</f>
        <v xml:space="preserve"> </v>
      </c>
      <c r="P338" s="52" t="str">
        <f>IFERROR(VLOOKUP($A338,'The List'!$B1:$AS730,23,FALSE)," ")</f>
        <v xml:space="preserve"> </v>
      </c>
      <c r="Q338" s="52" t="str">
        <f>IFERROR(VLOOKUP($A338,'The List'!$B1:$AS730,24,FALSE)," ")</f>
        <v xml:space="preserve"> </v>
      </c>
      <c r="R338" s="52" t="str">
        <f>IFERROR(VLOOKUP($A338,'The List'!$B1:$AS730,25,FALSE)," ")</f>
        <v xml:space="preserve"> </v>
      </c>
      <c r="S338" s="52" t="str">
        <f>IFERROR(VLOOKUP($A338,'The List'!$B1:$AS730,26,FALSE)," ")</f>
        <v xml:space="preserve"> </v>
      </c>
      <c r="T338" s="52" t="str">
        <f>IFERROR(VLOOKUP($A338,'The List'!$B1:$AS730,27,FALSE)," ")</f>
        <v xml:space="preserve"> </v>
      </c>
      <c r="U338" s="52" t="str">
        <f>IFERROR(VLOOKUP($A338,'The List'!$B1:$AS730,28,FALSE)," ")</f>
        <v xml:space="preserve"> </v>
      </c>
      <c r="V338" s="52" t="str">
        <f>IFERROR(VLOOKUP($A338,'The List'!$B1:$AS730,29,FALSE)," ")</f>
        <v xml:space="preserve"> </v>
      </c>
      <c r="W338" s="52" t="str">
        <f>IFERROR(VLOOKUP($A338,'The List'!$B1:$AS730,30,FALSE)," ")</f>
        <v xml:space="preserve"> </v>
      </c>
      <c r="X338" s="52" t="str">
        <f>IFERROR(VLOOKUP($A338,'The List'!$B1:$AS730,31,FALSE)," ")</f>
        <v xml:space="preserve"> </v>
      </c>
      <c r="Y338" s="52" t="str">
        <f>IFERROR(VLOOKUP($A338,'The List'!$B1:$AS730,32,FALSE)," ")</f>
        <v xml:space="preserve"> </v>
      </c>
      <c r="Z338" s="52" t="str">
        <f>IFERROR(VLOOKUP($A338,'The List'!$B1:$AS730,33,FALSE)," ")</f>
        <v xml:space="preserve"> </v>
      </c>
      <c r="AA338" s="54"/>
      <c r="AB338" s="59"/>
      <c r="AC338" s="59"/>
      <c r="AD338" s="59"/>
      <c r="AE338" s="59"/>
      <c r="AF338" s="59"/>
    </row>
    <row r="339" spans="1:32" ht="21.2" customHeight="1">
      <c r="A339" s="23"/>
      <c r="B339" s="67" t="str">
        <f>IFERROR(VLOOKUP($A339,'The List'!$B1:$AS730,3,FALSE)," ")</f>
        <v xml:space="preserve"> </v>
      </c>
      <c r="C339" s="69" t="str">
        <f>IFERROR(VLOOKUP($A339,'The List'!$B1:$AS730,4,FALSE)," ")</f>
        <v xml:space="preserve"> </v>
      </c>
      <c r="D339" s="34" t="str">
        <f>IFERROR(VLOOKUP($A339,'The List'!$B1:$AS730,5,FALSE)," ")</f>
        <v xml:space="preserve"> </v>
      </c>
      <c r="E339" s="34" t="str">
        <f>IFERROR(VLOOKUP($A339,'The List'!$B1:$AS730,6,FALSE)," ")</f>
        <v xml:space="preserve"> </v>
      </c>
      <c r="F339" s="49" t="str">
        <f>IFERROR(VLOOKUP($A339,'The List'!$B1:$AS730,8,FALSE)," ")</f>
        <v xml:space="preserve"> </v>
      </c>
      <c r="G339" s="49" t="str">
        <f>IFERROR(VLOOKUP($A339,'The List'!$B1:$AS730,10,FALSE)," ")</f>
        <v xml:space="preserve"> </v>
      </c>
      <c r="H339" s="38"/>
      <c r="I339" s="52" t="str">
        <f>IFERROR(VLOOKUP($A339,'The List'!$B1:$AS730,16,FALSE)," ")</f>
        <v xml:space="preserve"> </v>
      </c>
      <c r="J339" s="52" t="str">
        <f>IFERROR(VLOOKUP($A339,'The List'!$B1:$AS730,17,FALSE)," ")</f>
        <v xml:space="preserve"> </v>
      </c>
      <c r="K339" s="52" t="str">
        <f>IFERROR(VLOOKUP($A339,'The List'!$B1:$AS730,18,FALSE)," ")</f>
        <v xml:space="preserve"> </v>
      </c>
      <c r="L339" s="52" t="str">
        <f>IFERROR(VLOOKUP($A339,'The List'!$B1:$AS730,19,FALSE)," ")</f>
        <v xml:space="preserve"> </v>
      </c>
      <c r="M339" s="52" t="str">
        <f>IFERROR(VLOOKUP($A339,'The List'!$B1:$AS730,20,FALSE)," ")</f>
        <v xml:space="preserve"> </v>
      </c>
      <c r="N339" s="52" t="str">
        <f>IFERROR(VLOOKUP($A339,'The List'!$B1:$AS730,21,FALSE)," ")</f>
        <v xml:space="preserve"> </v>
      </c>
      <c r="O339" s="52" t="str">
        <f>IFERROR(VLOOKUP($A339,'The List'!$B1:$AS730,22,FALSE)," ")</f>
        <v xml:space="preserve"> </v>
      </c>
      <c r="P339" s="52" t="str">
        <f>IFERROR(VLOOKUP($A339,'The List'!$B1:$AS730,23,FALSE)," ")</f>
        <v xml:space="preserve"> </v>
      </c>
      <c r="Q339" s="52" t="str">
        <f>IFERROR(VLOOKUP($A339,'The List'!$B1:$AS730,24,FALSE)," ")</f>
        <v xml:space="preserve"> </v>
      </c>
      <c r="R339" s="52" t="str">
        <f>IFERROR(VLOOKUP($A339,'The List'!$B1:$AS730,25,FALSE)," ")</f>
        <v xml:space="preserve"> </v>
      </c>
      <c r="S339" s="52" t="str">
        <f>IFERROR(VLOOKUP($A339,'The List'!$B1:$AS730,26,FALSE)," ")</f>
        <v xml:space="preserve"> </v>
      </c>
      <c r="T339" s="52" t="str">
        <f>IFERROR(VLOOKUP($A339,'The List'!$B1:$AS730,27,FALSE)," ")</f>
        <v xml:space="preserve"> </v>
      </c>
      <c r="U339" s="52" t="str">
        <f>IFERROR(VLOOKUP($A339,'The List'!$B1:$AS730,28,FALSE)," ")</f>
        <v xml:space="preserve"> </v>
      </c>
      <c r="V339" s="52" t="str">
        <f>IFERROR(VLOOKUP($A339,'The List'!$B1:$AS730,29,FALSE)," ")</f>
        <v xml:space="preserve"> </v>
      </c>
      <c r="W339" s="52" t="str">
        <f>IFERROR(VLOOKUP($A339,'The List'!$B1:$AS730,30,FALSE)," ")</f>
        <v xml:space="preserve"> </v>
      </c>
      <c r="X339" s="52" t="str">
        <f>IFERROR(VLOOKUP($A339,'The List'!$B1:$AS730,31,FALSE)," ")</f>
        <v xml:space="preserve"> </v>
      </c>
      <c r="Y339" s="52" t="str">
        <f>IFERROR(VLOOKUP($A339,'The List'!$B1:$AS730,32,FALSE)," ")</f>
        <v xml:space="preserve"> </v>
      </c>
      <c r="Z339" s="52" t="str">
        <f>IFERROR(VLOOKUP($A339,'The List'!$B1:$AS730,33,FALSE)," ")</f>
        <v xml:space="preserve"> </v>
      </c>
      <c r="AA339" s="54"/>
      <c r="AB339" s="59"/>
      <c r="AC339" s="59"/>
      <c r="AD339" s="59"/>
      <c r="AE339" s="59"/>
      <c r="AF339" s="59"/>
    </row>
    <row r="340" spans="1:32" ht="21.2" customHeight="1">
      <c r="A340" s="71"/>
      <c r="B340" s="72" t="str">
        <f>IFERROR(VLOOKUP($A340,'The List'!$B1:$AS730,3,FALSE)," ")</f>
        <v xml:space="preserve"> </v>
      </c>
      <c r="C340" s="73" t="str">
        <f>IFERROR(VLOOKUP($A340,'The List'!$B1:$AS730,4,FALSE)," ")</f>
        <v xml:space="preserve"> </v>
      </c>
      <c r="D340" s="74" t="str">
        <f>IFERROR(VLOOKUP($A340,'The List'!$B1:$AS730,5,FALSE)," ")</f>
        <v xml:space="preserve"> </v>
      </c>
      <c r="E340" s="74" t="str">
        <f>IFERROR(VLOOKUP($A340,'The List'!$B1:$AS730,6,FALSE)," ")</f>
        <v xml:space="preserve"> </v>
      </c>
      <c r="F340" s="75" t="str">
        <f>IFERROR(VLOOKUP($A340,'The List'!$B1:$AS730,8,FALSE)," ")</f>
        <v xml:space="preserve"> </v>
      </c>
      <c r="G340" s="75" t="str">
        <f>IFERROR(VLOOKUP($A340,'The List'!$B1:$AS730,10,FALSE)," ")</f>
        <v xml:space="preserve"> </v>
      </c>
      <c r="H340" s="76"/>
      <c r="I340" s="77" t="str">
        <f>IFERROR(VLOOKUP($A340,'The List'!$B1:$AS730,16,FALSE)," ")</f>
        <v xml:space="preserve"> </v>
      </c>
      <c r="J340" s="77" t="str">
        <f>IFERROR(VLOOKUP($A340,'The List'!$B1:$AS730,17,FALSE)," ")</f>
        <v xml:space="preserve"> </v>
      </c>
      <c r="K340" s="77" t="str">
        <f>IFERROR(VLOOKUP($A340,'The List'!$B1:$AS730,18,FALSE)," ")</f>
        <v xml:space="preserve"> </v>
      </c>
      <c r="L340" s="77" t="str">
        <f>IFERROR(VLOOKUP($A340,'The List'!$B1:$AS730,19,FALSE)," ")</f>
        <v xml:space="preserve"> </v>
      </c>
      <c r="M340" s="77" t="str">
        <f>IFERROR(VLOOKUP($A340,'The List'!$B1:$AS730,20,FALSE)," ")</f>
        <v xml:space="preserve"> </v>
      </c>
      <c r="N340" s="77" t="str">
        <f>IFERROR(VLOOKUP($A340,'The List'!$B1:$AS730,21,FALSE)," ")</f>
        <v xml:space="preserve"> </v>
      </c>
      <c r="O340" s="77" t="str">
        <f>IFERROR(VLOOKUP($A340,'The List'!$B1:$AS730,22,FALSE)," ")</f>
        <v xml:space="preserve"> </v>
      </c>
      <c r="P340" s="77" t="str">
        <f>IFERROR(VLOOKUP($A340,'The List'!$B1:$AS730,23,FALSE)," ")</f>
        <v xml:space="preserve"> </v>
      </c>
      <c r="Q340" s="77" t="str">
        <f>IFERROR(VLOOKUP($A340,'The List'!$B1:$AS730,24,FALSE)," ")</f>
        <v xml:space="preserve"> </v>
      </c>
      <c r="R340" s="77" t="str">
        <f>IFERROR(VLOOKUP($A340,'The List'!$B1:$AS730,25,FALSE)," ")</f>
        <v xml:space="preserve"> </v>
      </c>
      <c r="S340" s="77" t="str">
        <f>IFERROR(VLOOKUP($A340,'The List'!$B1:$AS730,26,FALSE)," ")</f>
        <v xml:space="preserve"> </v>
      </c>
      <c r="T340" s="77" t="str">
        <f>IFERROR(VLOOKUP($A340,'The List'!$B1:$AS730,27,FALSE)," ")</f>
        <v xml:space="preserve"> </v>
      </c>
      <c r="U340" s="77" t="str">
        <f>IFERROR(VLOOKUP($A340,'The List'!$B1:$AS730,28,FALSE)," ")</f>
        <v xml:space="preserve"> </v>
      </c>
      <c r="V340" s="77" t="str">
        <f>IFERROR(VLOOKUP($A340,'The List'!$B1:$AS730,29,FALSE)," ")</f>
        <v xml:space="preserve"> </v>
      </c>
      <c r="W340" s="77" t="str">
        <f>IFERROR(VLOOKUP($A340,'The List'!$B1:$AS730,30,FALSE)," ")</f>
        <v xml:space="preserve"> </v>
      </c>
      <c r="X340" s="77" t="str">
        <f>IFERROR(VLOOKUP($A340,'The List'!$B1:$AS730,31,FALSE)," ")</f>
        <v xml:space="preserve"> </v>
      </c>
      <c r="Y340" s="77" t="str">
        <f>IFERROR(VLOOKUP($A340,'The List'!$B1:$AS730,32,FALSE)," ")</f>
        <v xml:space="preserve"> </v>
      </c>
      <c r="Z340" s="77" t="str">
        <f>IFERROR(VLOOKUP($A340,'The List'!$B1:$AS730,33,FALSE)," ")</f>
        <v xml:space="preserve"> </v>
      </c>
      <c r="AA340" s="54"/>
      <c r="AB340" s="59"/>
      <c r="AC340" s="59"/>
      <c r="AD340" s="59"/>
      <c r="AE340" s="59"/>
      <c r="AF340" s="59"/>
    </row>
    <row r="341" spans="1:32" ht="21.2" customHeight="1">
      <c r="A341" s="78"/>
      <c r="B341" s="79"/>
      <c r="C341" s="80"/>
      <c r="D341" s="81"/>
      <c r="E341" s="116">
        <f>IFERROR(AVERAGE(E321:E340)," ")</f>
        <v>28.857142857142858</v>
      </c>
      <c r="F341" s="83">
        <f>SUM(F321:F340)</f>
        <v>92.769928392850034</v>
      </c>
      <c r="G341" s="83">
        <f>SUM(G321:G340)</f>
        <v>20.47556970696661</v>
      </c>
      <c r="H341" s="84"/>
      <c r="I341" s="85">
        <f>SUM(I321:I340)</f>
        <v>1148</v>
      </c>
      <c r="J341" s="84">
        <f>AVERAGE(J321:J340)</f>
        <v>20.019779091758711</v>
      </c>
      <c r="K341" s="85">
        <f t="shared" ref="K341:Y341" si="22">SUM(K321:K340)</f>
        <v>383.57768278609319</v>
      </c>
      <c r="L341" s="85">
        <f t="shared" si="22"/>
        <v>590.62688722948985</v>
      </c>
      <c r="M341" s="85">
        <f t="shared" si="22"/>
        <v>974.20457001558316</v>
      </c>
      <c r="N341" s="85">
        <f t="shared" si="22"/>
        <v>3058.8736754133947</v>
      </c>
      <c r="O341" s="85">
        <f t="shared" si="22"/>
        <v>122.40841787584691</v>
      </c>
      <c r="P341" s="85">
        <f t="shared" si="22"/>
        <v>324.05249732137548</v>
      </c>
      <c r="Q341" s="85">
        <f t="shared" si="22"/>
        <v>5.9352929412630173</v>
      </c>
      <c r="R341" s="85">
        <f t="shared" si="22"/>
        <v>11.666906889350932</v>
      </c>
      <c r="S341" s="85">
        <f t="shared" si="22"/>
        <v>843.18865172328958</v>
      </c>
      <c r="T341" s="85">
        <f t="shared" si="22"/>
        <v>1131.0743391886317</v>
      </c>
      <c r="U341" s="85">
        <f t="shared" si="22"/>
        <v>14.513954936556445</v>
      </c>
      <c r="V341" s="85">
        <f t="shared" si="22"/>
        <v>463.46509786756735</v>
      </c>
      <c r="W341" s="85">
        <f t="shared" si="22"/>
        <v>56.571131547854577</v>
      </c>
      <c r="X341" s="85">
        <f t="shared" si="22"/>
        <v>3993.1797116721973</v>
      </c>
      <c r="Y341" s="85">
        <f t="shared" si="22"/>
        <v>3317.6176273729634</v>
      </c>
      <c r="Z341" s="86">
        <f>IFERROR(X341/(X341+Y341),0)</f>
        <v>0.54620303730013309</v>
      </c>
      <c r="AA341" s="54"/>
      <c r="AB341" s="87"/>
      <c r="AC341" s="87"/>
      <c r="AD341" s="87"/>
      <c r="AE341" s="87"/>
      <c r="AF341" s="87"/>
    </row>
    <row r="342" spans="1:32" ht="21.2" customHeight="1">
      <c r="A342" s="88"/>
      <c r="B342" s="89"/>
      <c r="C342" s="90"/>
      <c r="D342" s="11"/>
      <c r="E342" s="11"/>
      <c r="F342" s="91"/>
      <c r="G342" s="92"/>
      <c r="H342" s="93"/>
      <c r="I342" s="9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9"/>
      <c r="AC342" s="59"/>
      <c r="AD342" s="59"/>
      <c r="AE342" s="59"/>
      <c r="AF342" s="59"/>
    </row>
    <row r="343" spans="1:32" ht="21.2" customHeight="1">
      <c r="A343" s="24" t="s">
        <v>64</v>
      </c>
      <c r="B343" s="231" t="s">
        <v>66</v>
      </c>
      <c r="C343" s="223"/>
      <c r="D343" s="95" t="s">
        <v>67</v>
      </c>
      <c r="E343" s="95" t="s">
        <v>68</v>
      </c>
      <c r="F343" s="96" t="s">
        <v>70</v>
      </c>
      <c r="G343" s="96" t="s">
        <v>72</v>
      </c>
      <c r="H343" s="97"/>
      <c r="I343" s="98" t="s">
        <v>77</v>
      </c>
      <c r="J343" s="98" t="s">
        <v>95</v>
      </c>
      <c r="K343" s="98" t="s">
        <v>96</v>
      </c>
      <c r="L343" s="98" t="s">
        <v>97</v>
      </c>
      <c r="M343" s="98" t="s">
        <v>98</v>
      </c>
      <c r="N343" s="98" t="s">
        <v>99</v>
      </c>
      <c r="O343" s="98" t="s">
        <v>100</v>
      </c>
      <c r="P343" s="98" t="s">
        <v>101</v>
      </c>
      <c r="Q343" s="98" t="s">
        <v>102</v>
      </c>
      <c r="R343" s="54"/>
      <c r="S343" s="54"/>
      <c r="T343" s="54"/>
      <c r="U343" s="231" t="s">
        <v>839</v>
      </c>
      <c r="V343" s="232"/>
      <c r="W343" s="232"/>
      <c r="X343" s="231" t="s">
        <v>840</v>
      </c>
      <c r="Y343" s="232"/>
      <c r="Z343" s="232"/>
      <c r="AA343" s="54"/>
      <c r="AB343" s="54"/>
      <c r="AC343" s="54"/>
      <c r="AD343" s="54"/>
      <c r="AE343" s="54"/>
      <c r="AF343" s="54"/>
    </row>
    <row r="344" spans="1:32" ht="21.2" customHeight="1">
      <c r="A344" s="117" t="s">
        <v>150</v>
      </c>
      <c r="B344" s="100" t="str">
        <f>IFERROR(VLOOKUP($A344,'The List'!$B1:$AS730,3,FALSE)," ")</f>
        <v>G</v>
      </c>
      <c r="C344" s="118">
        <f>IFERROR(VLOOKUP($A344,'The List'!$B1:$AS730,4,FALSE)," ")</f>
        <v>6</v>
      </c>
      <c r="D344" s="102" t="str">
        <f>IFERROR(VLOOKUP($A344,'The List'!$B1:$AS730,5,FALSE)," ")</f>
        <v>NSH</v>
      </c>
      <c r="E344" s="102">
        <f>IFERROR(VLOOKUP($A344,'The List'!$B1:$AS730,6,FALSE)," ")</f>
        <v>28</v>
      </c>
      <c r="F344" s="119">
        <f>IFERROR(VLOOKUP($A344,'The List'!$B1:$AS730,8,FALSE)," ")</f>
        <v>2.885503156000083</v>
      </c>
      <c r="G344" s="119">
        <f>IFERROR(VLOOKUP($A344,'The List'!$B1:$AS730,10,FALSE)," ")</f>
        <v>1.1812741048097914</v>
      </c>
      <c r="H344" s="105"/>
      <c r="I344" s="120">
        <f>IFERROR(VLOOKUP($A344,'The List'!$B1:$AS730,35,FALSE)," ")</f>
        <v>60</v>
      </c>
      <c r="J344" s="120">
        <f>IFERROR(VLOOKUP($A344,'The List'!$B1:$AS730,36,FALSE)," ")</f>
        <v>28.341838843010706</v>
      </c>
      <c r="K344" s="120">
        <f>IFERROR(VLOOKUP($A344,'The List'!$B1:$AS730,37,FALSE)," ")</f>
        <v>24.158161156989294</v>
      </c>
      <c r="L344" s="120">
        <f>IFERROR(VLOOKUP($A344,'The List'!$B1:$AS730,38,FALSE)," ")</f>
        <v>7.5</v>
      </c>
      <c r="M344" s="120">
        <f>IFERROR(VLOOKUP($A344,'The List'!$B1:$AS730,39,FALSE)," ")</f>
        <v>4.3796155509991319</v>
      </c>
      <c r="N344" s="120">
        <f>IFERROR(VLOOKUP($A344,'The List'!$B1:$AS730,40,FALSE)," ")</f>
        <v>1721.6405088503395</v>
      </c>
      <c r="O344" s="120">
        <f>IFERROR(VLOOKUP($A344,'The List'!$B1:$AS730,41,FALSE)," ")</f>
        <v>157.28716301849968</v>
      </c>
      <c r="P344" s="120">
        <f>IFERROR(VLOOKUP($A344,'The List'!$B1:$AS730,42,FALSE)," ")</f>
        <v>0.91628886764861095</v>
      </c>
      <c r="Q344" s="120">
        <f>IFERROR(VLOOKUP($A344,'The List'!$B1:$AS730,43,FALSE)," ")</f>
        <v>2.6214527169749946</v>
      </c>
      <c r="R344" s="54"/>
      <c r="S344" s="54"/>
      <c r="T344" s="109" t="str">
        <f>A291</f>
        <v>Bar Down</v>
      </c>
      <c r="U344" s="230">
        <f>F341+F347</f>
        <v>97.359660600040414</v>
      </c>
      <c r="V344" s="223"/>
      <c r="W344" s="223"/>
      <c r="X344" s="230">
        <f>G347+G341</f>
        <v>21.656843811776401</v>
      </c>
      <c r="Y344" s="223"/>
      <c r="Z344" s="223"/>
      <c r="AA344" s="54"/>
      <c r="AB344" s="54"/>
      <c r="AC344" s="54"/>
      <c r="AD344" s="54"/>
      <c r="AE344" s="54"/>
      <c r="AF344" s="54"/>
    </row>
    <row r="345" spans="1:32" ht="21.2" customHeight="1">
      <c r="A345" s="23" t="s">
        <v>292</v>
      </c>
      <c r="B345" s="110" t="str">
        <f>IFERROR(VLOOKUP($A345,'The List'!$B1:$AS730,3,FALSE)," ")</f>
        <v>G</v>
      </c>
      <c r="C345" s="111">
        <f>IFERROR(VLOOKUP($A345,'The List'!$B1:$AS730,4,FALSE)," ")</f>
        <v>18</v>
      </c>
      <c r="D345" s="34" t="str">
        <f>IFERROR(VLOOKUP($A345,'The List'!$B1:$AS730,5,FALSE)," ")</f>
        <v>NJD</v>
      </c>
      <c r="E345" s="34">
        <f>IFERROR(VLOOKUP($A345,'The List'!$B1:$AS730,6,FALSE)," ")</f>
        <v>27</v>
      </c>
      <c r="F345" s="49">
        <f>IFERROR(VLOOKUP($A345,'The List'!$B1:$AS730,8,FALSE)," ")</f>
        <v>1.7042290511902916</v>
      </c>
      <c r="G345" s="49">
        <f>IFERROR(VLOOKUP($A345,'The List'!$B1:$AS730,10,FALSE)," ")</f>
        <v>0</v>
      </c>
      <c r="H345" s="38"/>
      <c r="I345" s="52">
        <f>IFERROR(VLOOKUP($A345,'The List'!$B1:$AS730,35,FALSE)," ")</f>
        <v>46</v>
      </c>
      <c r="J345" s="52">
        <f>IFERROR(VLOOKUP($A345,'The List'!$B1:$AS730,36,FALSE)," ")</f>
        <v>27.109659735318957</v>
      </c>
      <c r="K345" s="52">
        <f>IFERROR(VLOOKUP($A345,'The List'!$B1:$AS730,37,FALSE)," ")</f>
        <v>13.140340264681043</v>
      </c>
      <c r="L345" s="52">
        <f>IFERROR(VLOOKUP($A345,'The List'!$B1:$AS730,38,FALSE)," ")</f>
        <v>5.75</v>
      </c>
      <c r="M345" s="52">
        <f>IFERROR(VLOOKUP($A345,'The List'!$B1:$AS730,39,FALSE)," ")</f>
        <v>3.0321215044173018</v>
      </c>
      <c r="N345" s="52">
        <f>IFERROR(VLOOKUP($A345,'The List'!$B1:$AS730,40,FALSE)," ")</f>
        <v>1253.1330675649501</v>
      </c>
      <c r="O345" s="52">
        <f>IFERROR(VLOOKUP($A345,'The List'!$B1:$AS730,41,FALSE)," ")</f>
        <v>123.35966617254843</v>
      </c>
      <c r="P345" s="52">
        <f>IFERROR(VLOOKUP($A345,'The List'!$B1:$AS730,42,FALSE)," ")</f>
        <v>0.91038117154632692</v>
      </c>
      <c r="Q345" s="52">
        <f>IFERROR(VLOOKUP($A345,'The List'!$B1:$AS730,43,FALSE)," ")</f>
        <v>2.6817318733162701</v>
      </c>
      <c r="R345" s="54"/>
      <c r="S345" s="54"/>
      <c r="T345" s="54"/>
      <c r="U345" s="223"/>
      <c r="V345" s="223"/>
      <c r="W345" s="223"/>
      <c r="X345" s="223"/>
      <c r="Y345" s="223"/>
      <c r="Z345" s="223"/>
      <c r="AA345" s="54"/>
      <c r="AB345" s="54"/>
      <c r="AC345" s="54"/>
      <c r="AD345" s="54"/>
      <c r="AE345" s="54"/>
      <c r="AF345" s="54"/>
    </row>
    <row r="346" spans="1:32" ht="21.2" customHeight="1">
      <c r="A346" s="71"/>
      <c r="B346" s="112" t="str">
        <f>IFERROR(VLOOKUP($A346,'The List'!$B1:$AS730,3,FALSE)," ")</f>
        <v xml:space="preserve"> </v>
      </c>
      <c r="C346" s="113" t="str">
        <f>IFERROR(VLOOKUP($A346,'The List'!$B1:$AS730,4,FALSE)," ")</f>
        <v xml:space="preserve"> </v>
      </c>
      <c r="D346" s="74" t="str">
        <f>IFERROR(VLOOKUP($A346,'The List'!$B1:$AS730,5,FALSE)," ")</f>
        <v xml:space="preserve"> </v>
      </c>
      <c r="E346" s="74" t="str">
        <f>IFERROR(VLOOKUP($A346,'The List'!$B1:$AS730,6,FALSE)," ")</f>
        <v xml:space="preserve"> </v>
      </c>
      <c r="F346" s="75" t="str">
        <f>IFERROR(VLOOKUP($A346,'The List'!$B1:$AS730,8,FALSE)," ")</f>
        <v xml:space="preserve"> </v>
      </c>
      <c r="G346" s="75" t="str">
        <f>IFERROR(VLOOKUP($A346,'The List'!$B1:$AS730,10,FALSE)," ")</f>
        <v xml:space="preserve"> </v>
      </c>
      <c r="H346" s="76"/>
      <c r="I346" s="77" t="str">
        <f>IFERROR(VLOOKUP($A346,'The List'!$B1:$AS730,35,FALSE)," ")</f>
        <v xml:space="preserve"> </v>
      </c>
      <c r="J346" s="77" t="str">
        <f>IFERROR(VLOOKUP($A346,'The List'!$B1:$AS730,36,FALSE)," ")</f>
        <v xml:space="preserve"> </v>
      </c>
      <c r="K346" s="77" t="str">
        <f>IFERROR(VLOOKUP($A346,'The List'!$B1:$AS730,37,FALSE)," ")</f>
        <v xml:space="preserve"> </v>
      </c>
      <c r="L346" s="77" t="str">
        <f>IFERROR(VLOOKUP($A346,'The List'!$B1:$AS730,38,FALSE)," ")</f>
        <v xml:space="preserve"> </v>
      </c>
      <c r="M346" s="77" t="str">
        <f>IFERROR(VLOOKUP($A346,'The List'!$B1:$AS730,39,FALSE)," ")</f>
        <v xml:space="preserve"> </v>
      </c>
      <c r="N346" s="77" t="str">
        <f>IFERROR(VLOOKUP($A346,'The List'!$B1:$AS730,40,FALSE)," ")</f>
        <v xml:space="preserve"> </v>
      </c>
      <c r="O346" s="77" t="str">
        <f>IFERROR(VLOOKUP($A346,'The List'!$B1:$AS730,41,FALSE)," ")</f>
        <v xml:space="preserve"> </v>
      </c>
      <c r="P346" s="77" t="str">
        <f>IFERROR(VLOOKUP($A346,'The List'!$B1:$AS730,42,FALSE)," ")</f>
        <v xml:space="preserve"> </v>
      </c>
      <c r="Q346" s="77" t="str">
        <f>IFERROR(VLOOKUP($A346,'The List'!$B1:$AS730,43,FALSE)," ")</f>
        <v xml:space="preserve"> </v>
      </c>
      <c r="R346" s="54"/>
      <c r="S346" s="54"/>
      <c r="T346" s="54"/>
      <c r="U346" s="223"/>
      <c r="V346" s="223"/>
      <c r="W346" s="223"/>
      <c r="X346" s="223"/>
      <c r="Y346" s="223"/>
      <c r="Z346" s="223"/>
      <c r="AA346" s="54"/>
      <c r="AB346" s="54"/>
      <c r="AC346" s="54"/>
      <c r="AD346" s="54"/>
      <c r="AE346" s="54"/>
      <c r="AF346" s="54"/>
    </row>
    <row r="347" spans="1:32" ht="21.2" customHeight="1">
      <c r="A347" s="78"/>
      <c r="B347" s="79"/>
      <c r="C347" s="80"/>
      <c r="D347" s="81"/>
      <c r="E347" s="116">
        <f>IFERROR(AVERAGE(E344:E346)," ")</f>
        <v>27.5</v>
      </c>
      <c r="F347" s="83">
        <f>SUM(F344:F346)</f>
        <v>4.5897322071903748</v>
      </c>
      <c r="G347" s="83">
        <f>SUM(G344:G346)</f>
        <v>1.1812741048097914</v>
      </c>
      <c r="H347" s="84"/>
      <c r="I347" s="85">
        <f t="shared" ref="I347:O347" si="23">SUM(I344:I346)</f>
        <v>106</v>
      </c>
      <c r="J347" s="84">
        <f t="shared" si="23"/>
        <v>55.451498578329662</v>
      </c>
      <c r="K347" s="85">
        <f t="shared" si="23"/>
        <v>37.298501421670338</v>
      </c>
      <c r="L347" s="85">
        <f t="shared" si="23"/>
        <v>13.25</v>
      </c>
      <c r="M347" s="85">
        <f t="shared" si="23"/>
        <v>7.4117370554164337</v>
      </c>
      <c r="N347" s="85">
        <f t="shared" si="23"/>
        <v>2974.7735764152894</v>
      </c>
      <c r="O347" s="85">
        <f t="shared" si="23"/>
        <v>280.64682919104814</v>
      </c>
      <c r="P347" s="114">
        <f>1-(O347/(N347+O347))</f>
        <v>0.91379091047419536</v>
      </c>
      <c r="Q347" s="115">
        <f>O347/I347</f>
        <v>2.6476115961419637</v>
      </c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</row>
    <row r="348" spans="1:32" ht="70.7" customHeight="1">
      <c r="A348" s="88"/>
      <c r="B348" s="89"/>
      <c r="C348" s="90"/>
      <c r="D348" s="11"/>
      <c r="E348" s="11"/>
      <c r="F348" s="91"/>
      <c r="G348" s="92"/>
      <c r="H348" s="93"/>
      <c r="I348" s="9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9"/>
      <c r="AB348" s="59"/>
      <c r="AC348" s="59"/>
      <c r="AD348" s="59"/>
      <c r="AE348" s="59"/>
      <c r="AF348" s="59"/>
    </row>
    <row r="349" spans="1:32" ht="21.2" customHeight="1">
      <c r="A349" s="25" t="s">
        <v>835</v>
      </c>
      <c r="B349" s="229" t="s">
        <v>66</v>
      </c>
      <c r="C349" s="221"/>
      <c r="D349" s="26" t="s">
        <v>67</v>
      </c>
      <c r="E349" s="26" t="s">
        <v>68</v>
      </c>
      <c r="F349" s="27" t="s">
        <v>70</v>
      </c>
      <c r="G349" s="27" t="s">
        <v>72</v>
      </c>
      <c r="H349" s="28"/>
      <c r="I349" s="30" t="s">
        <v>77</v>
      </c>
      <c r="J349" s="30" t="s">
        <v>78</v>
      </c>
      <c r="K349" s="30" t="s">
        <v>79</v>
      </c>
      <c r="L349" s="30" t="s">
        <v>80</v>
      </c>
      <c r="M349" s="30" t="s">
        <v>81</v>
      </c>
      <c r="N349" s="30" t="s">
        <v>82</v>
      </c>
      <c r="O349" s="30" t="s">
        <v>83</v>
      </c>
      <c r="P349" s="30" t="s">
        <v>84</v>
      </c>
      <c r="Q349" s="30" t="s">
        <v>85</v>
      </c>
      <c r="R349" s="30" t="s">
        <v>86</v>
      </c>
      <c r="S349" s="30" t="s">
        <v>87</v>
      </c>
      <c r="T349" s="30" t="s">
        <v>88</v>
      </c>
      <c r="U349" s="30" t="s">
        <v>89</v>
      </c>
      <c r="V349" s="30" t="s">
        <v>90</v>
      </c>
      <c r="W349" s="30" t="s">
        <v>91</v>
      </c>
      <c r="X349" s="30" t="s">
        <v>92</v>
      </c>
      <c r="Y349" s="30" t="s">
        <v>93</v>
      </c>
      <c r="Z349" s="30" t="s">
        <v>94</v>
      </c>
      <c r="AA349" s="54"/>
      <c r="AB349" s="55"/>
      <c r="AC349" s="55"/>
      <c r="AD349" s="55"/>
      <c r="AE349" s="55"/>
      <c r="AF349" s="55"/>
    </row>
    <row r="350" spans="1:32" ht="21.2" customHeight="1">
      <c r="A350" s="23"/>
      <c r="B350" s="56" t="str">
        <f>IFERROR(VLOOKUP($A350,'The List'!$B1:$AS730,3,FALSE)," ")</f>
        <v xml:space="preserve"> </v>
      </c>
      <c r="C350" s="60" t="str">
        <f>IFERROR(VLOOKUP($A350,'The List'!$B1:$AS730,4,FALSE)," ")</f>
        <v xml:space="preserve"> </v>
      </c>
      <c r="D350" s="34" t="str">
        <f>IFERROR(VLOOKUP($A350,'The List'!$B1:$AS730,5,FALSE)," ")</f>
        <v xml:space="preserve"> </v>
      </c>
      <c r="E350" s="34" t="str">
        <f>IFERROR(VLOOKUP($A350,'The List'!$B1:$AS730,6,FALSE)," ")</f>
        <v xml:space="preserve"> </v>
      </c>
      <c r="F350" s="49" t="str">
        <f>IFERROR(VLOOKUP($A350,'The List'!$B1:$AS730,8,FALSE)," ")</f>
        <v xml:space="preserve"> </v>
      </c>
      <c r="G350" s="49" t="str">
        <f>IFERROR(VLOOKUP($A350,'The List'!$B1:$AS730,10,FALSE)," ")</f>
        <v xml:space="preserve"> </v>
      </c>
      <c r="H350" s="38"/>
      <c r="I350" s="52" t="str">
        <f>IFERROR(VLOOKUP($A350,'The List'!$B1:$AS730,16,FALSE)," ")</f>
        <v xml:space="preserve"> </v>
      </c>
      <c r="J350" s="52" t="str">
        <f>IFERROR(VLOOKUP($A350,'The List'!$B1:$AS730,17,FALSE)," ")</f>
        <v xml:space="preserve"> </v>
      </c>
      <c r="K350" s="52" t="str">
        <f>IFERROR(VLOOKUP($A350,'The List'!$B1:$AS730,18,FALSE)," ")</f>
        <v xml:space="preserve"> </v>
      </c>
      <c r="L350" s="52" t="str">
        <f>IFERROR(VLOOKUP($A350,'The List'!$B1:$AS730,19,FALSE)," ")</f>
        <v xml:space="preserve"> </v>
      </c>
      <c r="M350" s="52" t="str">
        <f>IFERROR(VLOOKUP($A350,'The List'!$B1:$AS730,20,FALSE)," ")</f>
        <v xml:space="preserve"> </v>
      </c>
      <c r="N350" s="52" t="str">
        <f>IFERROR(VLOOKUP($A350,'The List'!$B1:$AS730,21,FALSE)," ")</f>
        <v xml:space="preserve"> </v>
      </c>
      <c r="O350" s="52" t="str">
        <f>IFERROR(VLOOKUP($A350,'The List'!$B1:$AS730,22,FALSE)," ")</f>
        <v xml:space="preserve"> </v>
      </c>
      <c r="P350" s="52" t="str">
        <f>IFERROR(VLOOKUP($A350,'The List'!$B1:$AS730,23,FALSE)," ")</f>
        <v xml:space="preserve"> </v>
      </c>
      <c r="Q350" s="52" t="str">
        <f>IFERROR(VLOOKUP($A350,'The List'!$B1:$AS730,24,FALSE)," ")</f>
        <v xml:space="preserve"> </v>
      </c>
      <c r="R350" s="52" t="str">
        <f>IFERROR(VLOOKUP($A350,'The List'!$B1:$AS730,25,FALSE)," ")</f>
        <v xml:space="preserve"> </v>
      </c>
      <c r="S350" s="52" t="str">
        <f>IFERROR(VLOOKUP($A350,'The List'!$B1:$AS730,26,FALSE)," ")</f>
        <v xml:space="preserve"> </v>
      </c>
      <c r="T350" s="52" t="str">
        <f>IFERROR(VLOOKUP($A350,'The List'!$B1:$AS730,27,FALSE)," ")</f>
        <v xml:space="preserve"> </v>
      </c>
      <c r="U350" s="52" t="str">
        <f>IFERROR(VLOOKUP($A350,'The List'!$B1:$AS730,28,FALSE)," ")</f>
        <v xml:space="preserve"> </v>
      </c>
      <c r="V350" s="52" t="str">
        <f>IFERROR(VLOOKUP($A350,'The List'!$B1:$AS730,29,FALSE)," ")</f>
        <v xml:space="preserve"> </v>
      </c>
      <c r="W350" s="52" t="str">
        <f>IFERROR(VLOOKUP($A350,'The List'!$B1:$AS730,30,FALSE)," ")</f>
        <v xml:space="preserve"> </v>
      </c>
      <c r="X350" s="52" t="str">
        <f>IFERROR(VLOOKUP($A350,'The List'!$B1:$AS730,31,FALSE)," ")</f>
        <v xml:space="preserve"> </v>
      </c>
      <c r="Y350" s="52" t="str">
        <f>IFERROR(VLOOKUP($A350,'The List'!$B1:$AS730,32,FALSE)," ")</f>
        <v xml:space="preserve"> </v>
      </c>
      <c r="Z350" s="52" t="str">
        <f>IFERROR(VLOOKUP($A350,'The List'!$B1:$AS730,33,FALSE)," ")</f>
        <v xml:space="preserve"> </v>
      </c>
      <c r="AA350" s="54"/>
      <c r="AB350" s="59"/>
      <c r="AC350" s="59"/>
      <c r="AD350" s="59"/>
      <c r="AE350" s="59"/>
      <c r="AF350" s="59"/>
    </row>
    <row r="351" spans="1:32" ht="21.2" customHeight="1">
      <c r="A351" s="23"/>
      <c r="B351" s="56" t="str">
        <f>IFERROR(VLOOKUP($A351,'The List'!$B1:$AS730,3,FALSE)," ")</f>
        <v xml:space="preserve"> </v>
      </c>
      <c r="C351" s="60" t="str">
        <f>IFERROR(VLOOKUP($A351,'The List'!$B1:$AS730,4,FALSE)," ")</f>
        <v xml:space="preserve"> </v>
      </c>
      <c r="D351" s="34" t="str">
        <f>IFERROR(VLOOKUP($A351,'The List'!$B1:$AS730,5,FALSE)," ")</f>
        <v xml:space="preserve"> </v>
      </c>
      <c r="E351" s="34" t="str">
        <f>IFERROR(VLOOKUP($A351,'The List'!$B1:$AS730,6,FALSE)," ")</f>
        <v xml:space="preserve"> </v>
      </c>
      <c r="F351" s="49" t="str">
        <f>IFERROR(VLOOKUP($A351,'The List'!$B1:$AS730,8,FALSE)," ")</f>
        <v xml:space="preserve"> </v>
      </c>
      <c r="G351" s="49" t="str">
        <f>IFERROR(VLOOKUP($A351,'The List'!$B1:$AS730,10,FALSE)," ")</f>
        <v xml:space="preserve"> </v>
      </c>
      <c r="H351" s="38"/>
      <c r="I351" s="52" t="str">
        <f>IFERROR(VLOOKUP($A351,'The List'!$B1:$AS730,16,FALSE)," ")</f>
        <v xml:space="preserve"> </v>
      </c>
      <c r="J351" s="52" t="str">
        <f>IFERROR(VLOOKUP($A351,'The List'!$B1:$AS730,17,FALSE)," ")</f>
        <v xml:space="preserve"> </v>
      </c>
      <c r="K351" s="52" t="str">
        <f>IFERROR(VLOOKUP($A351,'The List'!$B1:$AS730,18,FALSE)," ")</f>
        <v xml:space="preserve"> </v>
      </c>
      <c r="L351" s="52" t="str">
        <f>IFERROR(VLOOKUP($A351,'The List'!$B1:$AS730,19,FALSE)," ")</f>
        <v xml:space="preserve"> </v>
      </c>
      <c r="M351" s="52" t="str">
        <f>IFERROR(VLOOKUP($A351,'The List'!$B1:$AS730,20,FALSE)," ")</f>
        <v xml:space="preserve"> </v>
      </c>
      <c r="N351" s="52" t="str">
        <f>IFERROR(VLOOKUP($A351,'The List'!$B1:$AS730,21,FALSE)," ")</f>
        <v xml:space="preserve"> </v>
      </c>
      <c r="O351" s="52" t="str">
        <f>IFERROR(VLOOKUP($A351,'The List'!$B1:$AS730,22,FALSE)," ")</f>
        <v xml:space="preserve"> </v>
      </c>
      <c r="P351" s="52" t="str">
        <f>IFERROR(VLOOKUP($A351,'The List'!$B1:$AS730,23,FALSE)," ")</f>
        <v xml:space="preserve"> </v>
      </c>
      <c r="Q351" s="52" t="str">
        <f>IFERROR(VLOOKUP($A351,'The List'!$B1:$AS730,24,FALSE)," ")</f>
        <v xml:space="preserve"> </v>
      </c>
      <c r="R351" s="52" t="str">
        <f>IFERROR(VLOOKUP($A351,'The List'!$B1:$AS730,25,FALSE)," ")</f>
        <v xml:space="preserve"> </v>
      </c>
      <c r="S351" s="52" t="str">
        <f>IFERROR(VLOOKUP($A351,'The List'!$B1:$AS730,26,FALSE)," ")</f>
        <v xml:space="preserve"> </v>
      </c>
      <c r="T351" s="52" t="str">
        <f>IFERROR(VLOOKUP($A351,'The List'!$B1:$AS730,27,FALSE)," ")</f>
        <v xml:space="preserve"> </v>
      </c>
      <c r="U351" s="52" t="str">
        <f>IFERROR(VLOOKUP($A351,'The List'!$B1:$AS730,28,FALSE)," ")</f>
        <v xml:space="preserve"> </v>
      </c>
      <c r="V351" s="52" t="str">
        <f>IFERROR(VLOOKUP($A351,'The List'!$B1:$AS730,29,FALSE)," ")</f>
        <v xml:space="preserve"> </v>
      </c>
      <c r="W351" s="52" t="str">
        <f>IFERROR(VLOOKUP($A351,'The List'!$B1:$AS730,30,FALSE)," ")</f>
        <v xml:space="preserve"> </v>
      </c>
      <c r="X351" s="52" t="str">
        <f>IFERROR(VLOOKUP($A351,'The List'!$B1:$AS730,31,FALSE)," ")</f>
        <v xml:space="preserve"> </v>
      </c>
      <c r="Y351" s="52" t="str">
        <f>IFERROR(VLOOKUP($A351,'The List'!$B1:$AS730,32,FALSE)," ")</f>
        <v xml:space="preserve"> </v>
      </c>
      <c r="Z351" s="52" t="str">
        <f>IFERROR(VLOOKUP($A351,'The List'!$B1:$AS730,33,FALSE)," ")</f>
        <v xml:space="preserve"> </v>
      </c>
      <c r="AA351" s="54"/>
      <c r="AB351" s="59"/>
      <c r="AC351" s="59"/>
      <c r="AD351" s="59"/>
      <c r="AE351" s="59"/>
      <c r="AF351" s="59"/>
    </row>
    <row r="352" spans="1:32" ht="21.2" customHeight="1">
      <c r="A352" s="23"/>
      <c r="B352" s="56" t="str">
        <f>IFERROR(VLOOKUP($A352,'The List'!$B1:$AS730,3,FALSE)," ")</f>
        <v xml:space="preserve"> </v>
      </c>
      <c r="C352" s="60" t="str">
        <f>IFERROR(VLOOKUP($A352,'The List'!$B1:$AS730,4,FALSE)," ")</f>
        <v xml:space="preserve"> </v>
      </c>
      <c r="D352" s="34" t="str">
        <f>IFERROR(VLOOKUP($A352,'The List'!$B1:$AS730,5,FALSE)," ")</f>
        <v xml:space="preserve"> </v>
      </c>
      <c r="E352" s="34" t="str">
        <f>IFERROR(VLOOKUP($A352,'The List'!$B1:$AS730,6,FALSE)," ")</f>
        <v xml:space="preserve"> </v>
      </c>
      <c r="F352" s="49" t="str">
        <f>IFERROR(VLOOKUP($A352,'The List'!$B1:$AS730,8,FALSE)," ")</f>
        <v xml:space="preserve"> </v>
      </c>
      <c r="G352" s="49" t="str">
        <f>IFERROR(VLOOKUP($A352,'The List'!$B1:$AS730,10,FALSE)," ")</f>
        <v xml:space="preserve"> </v>
      </c>
      <c r="H352" s="38"/>
      <c r="I352" s="52" t="str">
        <f>IFERROR(VLOOKUP($A352,'The List'!$B1:$AS730,16,FALSE)," ")</f>
        <v xml:space="preserve"> </v>
      </c>
      <c r="J352" s="52" t="str">
        <f>IFERROR(VLOOKUP($A352,'The List'!$B1:$AS730,17,FALSE)," ")</f>
        <v xml:space="preserve"> </v>
      </c>
      <c r="K352" s="52" t="str">
        <f>IFERROR(VLOOKUP($A352,'The List'!$B1:$AS730,18,FALSE)," ")</f>
        <v xml:space="preserve"> </v>
      </c>
      <c r="L352" s="52" t="str">
        <f>IFERROR(VLOOKUP($A352,'The List'!$B1:$AS730,19,FALSE)," ")</f>
        <v xml:space="preserve"> </v>
      </c>
      <c r="M352" s="52" t="str">
        <f>IFERROR(VLOOKUP($A352,'The List'!$B1:$AS730,20,FALSE)," ")</f>
        <v xml:space="preserve"> </v>
      </c>
      <c r="N352" s="52" t="str">
        <f>IFERROR(VLOOKUP($A352,'The List'!$B1:$AS730,21,FALSE)," ")</f>
        <v xml:space="preserve"> </v>
      </c>
      <c r="O352" s="52" t="str">
        <f>IFERROR(VLOOKUP($A352,'The List'!$B1:$AS730,22,FALSE)," ")</f>
        <v xml:space="preserve"> </v>
      </c>
      <c r="P352" s="52" t="str">
        <f>IFERROR(VLOOKUP($A352,'The List'!$B1:$AS730,23,FALSE)," ")</f>
        <v xml:space="preserve"> </v>
      </c>
      <c r="Q352" s="52" t="str">
        <f>IFERROR(VLOOKUP($A352,'The List'!$B1:$AS730,24,FALSE)," ")</f>
        <v xml:space="preserve"> </v>
      </c>
      <c r="R352" s="52" t="str">
        <f>IFERROR(VLOOKUP($A352,'The List'!$B1:$AS730,25,FALSE)," ")</f>
        <v xml:space="preserve"> </v>
      </c>
      <c r="S352" s="52" t="str">
        <f>IFERROR(VLOOKUP($A352,'The List'!$B1:$AS730,26,FALSE)," ")</f>
        <v xml:space="preserve"> </v>
      </c>
      <c r="T352" s="52" t="str">
        <f>IFERROR(VLOOKUP($A352,'The List'!$B1:$AS730,27,FALSE)," ")</f>
        <v xml:space="preserve"> </v>
      </c>
      <c r="U352" s="52" t="str">
        <f>IFERROR(VLOOKUP($A352,'The List'!$B1:$AS730,28,FALSE)," ")</f>
        <v xml:space="preserve"> </v>
      </c>
      <c r="V352" s="52" t="str">
        <f>IFERROR(VLOOKUP($A352,'The List'!$B1:$AS730,29,FALSE)," ")</f>
        <v xml:space="preserve"> </v>
      </c>
      <c r="W352" s="52" t="str">
        <f>IFERROR(VLOOKUP($A352,'The List'!$B1:$AS730,30,FALSE)," ")</f>
        <v xml:space="preserve"> </v>
      </c>
      <c r="X352" s="52" t="str">
        <f>IFERROR(VLOOKUP($A352,'The List'!$B1:$AS730,31,FALSE)," ")</f>
        <v xml:space="preserve"> </v>
      </c>
      <c r="Y352" s="52" t="str">
        <f>IFERROR(VLOOKUP($A352,'The List'!$B1:$AS730,32,FALSE)," ")</f>
        <v xml:space="preserve"> </v>
      </c>
      <c r="Z352" s="52" t="str">
        <f>IFERROR(VLOOKUP($A352,'The List'!$B1:$AS730,33,FALSE)," ")</f>
        <v xml:space="preserve"> </v>
      </c>
      <c r="AA352" s="54"/>
      <c r="AB352" s="59"/>
      <c r="AC352" s="59"/>
      <c r="AD352" s="59"/>
      <c r="AE352" s="59"/>
      <c r="AF352" s="59"/>
    </row>
    <row r="353" spans="1:32" ht="21.2" customHeight="1">
      <c r="A353" s="23"/>
      <c r="B353" s="56" t="str">
        <f>IFERROR(VLOOKUP($A353,'The List'!$B1:$AS730,3,FALSE)," ")</f>
        <v xml:space="preserve"> </v>
      </c>
      <c r="C353" s="60" t="str">
        <f>IFERROR(VLOOKUP($A353,'The List'!$B1:$AS730,4,FALSE)," ")</f>
        <v xml:space="preserve"> </v>
      </c>
      <c r="D353" s="34" t="str">
        <f>IFERROR(VLOOKUP($A353,'The List'!$B1:$AS730,5,FALSE)," ")</f>
        <v xml:space="preserve"> </v>
      </c>
      <c r="E353" s="34" t="str">
        <f>IFERROR(VLOOKUP($A353,'The List'!$B1:$AS730,6,FALSE)," ")</f>
        <v xml:space="preserve"> </v>
      </c>
      <c r="F353" s="49" t="str">
        <f>IFERROR(VLOOKUP($A353,'The List'!$B1:$AS730,8,FALSE)," ")</f>
        <v xml:space="preserve"> </v>
      </c>
      <c r="G353" s="49" t="str">
        <f>IFERROR(VLOOKUP($A353,'The List'!$B1:$AS730,10,FALSE)," ")</f>
        <v xml:space="preserve"> </v>
      </c>
      <c r="H353" s="38"/>
      <c r="I353" s="52" t="str">
        <f>IFERROR(VLOOKUP($A353,'The List'!$B1:$AS730,16,FALSE)," ")</f>
        <v xml:space="preserve"> </v>
      </c>
      <c r="J353" s="52" t="str">
        <f>IFERROR(VLOOKUP($A353,'The List'!$B1:$AS730,17,FALSE)," ")</f>
        <v xml:space="preserve"> </v>
      </c>
      <c r="K353" s="52" t="str">
        <f>IFERROR(VLOOKUP($A353,'The List'!$B1:$AS730,18,FALSE)," ")</f>
        <v xml:space="preserve"> </v>
      </c>
      <c r="L353" s="52" t="str">
        <f>IFERROR(VLOOKUP($A353,'The List'!$B1:$AS730,19,FALSE)," ")</f>
        <v xml:space="preserve"> </v>
      </c>
      <c r="M353" s="52" t="str">
        <f>IFERROR(VLOOKUP($A353,'The List'!$B1:$AS730,20,FALSE)," ")</f>
        <v xml:space="preserve"> </v>
      </c>
      <c r="N353" s="52" t="str">
        <f>IFERROR(VLOOKUP($A353,'The List'!$B1:$AS730,21,FALSE)," ")</f>
        <v xml:space="preserve"> </v>
      </c>
      <c r="O353" s="52" t="str">
        <f>IFERROR(VLOOKUP($A353,'The List'!$B1:$AS730,22,FALSE)," ")</f>
        <v xml:space="preserve"> </v>
      </c>
      <c r="P353" s="52" t="str">
        <f>IFERROR(VLOOKUP($A353,'The List'!$B1:$AS730,23,FALSE)," ")</f>
        <v xml:space="preserve"> </v>
      </c>
      <c r="Q353" s="52" t="str">
        <f>IFERROR(VLOOKUP($A353,'The List'!$B1:$AS730,24,FALSE)," ")</f>
        <v xml:space="preserve"> </v>
      </c>
      <c r="R353" s="52" t="str">
        <f>IFERROR(VLOOKUP($A353,'The List'!$B1:$AS730,25,FALSE)," ")</f>
        <v xml:space="preserve"> </v>
      </c>
      <c r="S353" s="52" t="str">
        <f>IFERROR(VLOOKUP($A353,'The List'!$B1:$AS730,26,FALSE)," ")</f>
        <v xml:space="preserve"> </v>
      </c>
      <c r="T353" s="52" t="str">
        <f>IFERROR(VLOOKUP($A353,'The List'!$B1:$AS730,27,FALSE)," ")</f>
        <v xml:space="preserve"> </v>
      </c>
      <c r="U353" s="52" t="str">
        <f>IFERROR(VLOOKUP($A353,'The List'!$B1:$AS730,28,FALSE)," ")</f>
        <v xml:space="preserve"> </v>
      </c>
      <c r="V353" s="52" t="str">
        <f>IFERROR(VLOOKUP($A353,'The List'!$B1:$AS730,29,FALSE)," ")</f>
        <v xml:space="preserve"> </v>
      </c>
      <c r="W353" s="52" t="str">
        <f>IFERROR(VLOOKUP($A353,'The List'!$B1:$AS730,30,FALSE)," ")</f>
        <v xml:space="preserve"> </v>
      </c>
      <c r="X353" s="52" t="str">
        <f>IFERROR(VLOOKUP($A353,'The List'!$B1:$AS730,31,FALSE)," ")</f>
        <v xml:space="preserve"> </v>
      </c>
      <c r="Y353" s="52" t="str">
        <f>IFERROR(VLOOKUP($A353,'The List'!$B1:$AS730,32,FALSE)," ")</f>
        <v xml:space="preserve"> </v>
      </c>
      <c r="Z353" s="52" t="str">
        <f>IFERROR(VLOOKUP($A353,'The List'!$B1:$AS730,33,FALSE)," ")</f>
        <v xml:space="preserve"> </v>
      </c>
      <c r="AA353" s="54"/>
      <c r="AB353" s="59"/>
      <c r="AC353" s="59"/>
      <c r="AD353" s="59"/>
      <c r="AE353" s="59"/>
      <c r="AF353" s="59"/>
    </row>
    <row r="354" spans="1:32" ht="21.2" customHeight="1">
      <c r="A354" s="23"/>
      <c r="B354" s="61" t="str">
        <f>IFERROR(VLOOKUP($A354,'The List'!$B1:$AS730,3,FALSE)," ")</f>
        <v xml:space="preserve"> </v>
      </c>
      <c r="C354" s="63" t="str">
        <f>IFERROR(VLOOKUP($A354,'The List'!$B1:$AS730,4,FALSE)," ")</f>
        <v xml:space="preserve"> </v>
      </c>
      <c r="D354" s="34" t="str">
        <f>IFERROR(VLOOKUP($A354,'The List'!$B1:$AS730,5,FALSE)," ")</f>
        <v xml:space="preserve"> </v>
      </c>
      <c r="E354" s="34" t="str">
        <f>IFERROR(VLOOKUP($A354,'The List'!$B1:$AS730,6,FALSE)," ")</f>
        <v xml:space="preserve"> </v>
      </c>
      <c r="F354" s="49" t="str">
        <f>IFERROR(VLOOKUP($A354,'The List'!$B1:$AS730,8,FALSE)," ")</f>
        <v xml:space="preserve"> </v>
      </c>
      <c r="G354" s="49" t="str">
        <f>IFERROR(VLOOKUP($A354,'The List'!$B1:$AS730,10,FALSE)," ")</f>
        <v xml:space="preserve"> </v>
      </c>
      <c r="H354" s="38"/>
      <c r="I354" s="52" t="str">
        <f>IFERROR(VLOOKUP($A354,'The List'!$B1:$AS730,16,FALSE)," ")</f>
        <v xml:space="preserve"> </v>
      </c>
      <c r="J354" s="52" t="str">
        <f>IFERROR(VLOOKUP($A354,'The List'!$B1:$AS730,17,FALSE)," ")</f>
        <v xml:space="preserve"> </v>
      </c>
      <c r="K354" s="52" t="str">
        <f>IFERROR(VLOOKUP($A354,'The List'!$B1:$AS730,18,FALSE)," ")</f>
        <v xml:space="preserve"> </v>
      </c>
      <c r="L354" s="52" t="str">
        <f>IFERROR(VLOOKUP($A354,'The List'!$B1:$AS730,19,FALSE)," ")</f>
        <v xml:space="preserve"> </v>
      </c>
      <c r="M354" s="52" t="str">
        <f>IFERROR(VLOOKUP($A354,'The List'!$B1:$AS730,20,FALSE)," ")</f>
        <v xml:space="preserve"> </v>
      </c>
      <c r="N354" s="52" t="str">
        <f>IFERROR(VLOOKUP($A354,'The List'!$B1:$AS730,21,FALSE)," ")</f>
        <v xml:space="preserve"> </v>
      </c>
      <c r="O354" s="52" t="str">
        <f>IFERROR(VLOOKUP($A354,'The List'!$B1:$AS730,22,FALSE)," ")</f>
        <v xml:space="preserve"> </v>
      </c>
      <c r="P354" s="52" t="str">
        <f>IFERROR(VLOOKUP($A354,'The List'!$B1:$AS730,23,FALSE)," ")</f>
        <v xml:space="preserve"> </v>
      </c>
      <c r="Q354" s="52" t="str">
        <f>IFERROR(VLOOKUP($A354,'The List'!$B1:$AS730,24,FALSE)," ")</f>
        <v xml:space="preserve"> </v>
      </c>
      <c r="R354" s="52" t="str">
        <f>IFERROR(VLOOKUP($A354,'The List'!$B1:$AS730,25,FALSE)," ")</f>
        <v xml:space="preserve"> </v>
      </c>
      <c r="S354" s="52" t="str">
        <f>IFERROR(VLOOKUP($A354,'The List'!$B1:$AS730,26,FALSE)," ")</f>
        <v xml:space="preserve"> </v>
      </c>
      <c r="T354" s="52" t="str">
        <f>IFERROR(VLOOKUP($A354,'The List'!$B1:$AS730,27,FALSE)," ")</f>
        <v xml:space="preserve"> </v>
      </c>
      <c r="U354" s="52" t="str">
        <f>IFERROR(VLOOKUP($A354,'The List'!$B1:$AS730,28,FALSE)," ")</f>
        <v xml:space="preserve"> </v>
      </c>
      <c r="V354" s="52" t="str">
        <f>IFERROR(VLOOKUP($A354,'The List'!$B1:$AS730,29,FALSE)," ")</f>
        <v xml:space="preserve"> </v>
      </c>
      <c r="W354" s="52" t="str">
        <f>IFERROR(VLOOKUP($A354,'The List'!$B1:$AS730,30,FALSE)," ")</f>
        <v xml:space="preserve"> </v>
      </c>
      <c r="X354" s="52" t="str">
        <f>IFERROR(VLOOKUP($A354,'The List'!$B1:$AS730,31,FALSE)," ")</f>
        <v xml:space="preserve"> </v>
      </c>
      <c r="Y354" s="52" t="str">
        <f>IFERROR(VLOOKUP($A354,'The List'!$B1:$AS730,32,FALSE)," ")</f>
        <v xml:space="preserve"> </v>
      </c>
      <c r="Z354" s="52" t="str">
        <f>IFERROR(VLOOKUP($A354,'The List'!$B1:$AS730,33,FALSE)," ")</f>
        <v xml:space="preserve"> </v>
      </c>
      <c r="AA354" s="54"/>
      <c r="AB354" s="59"/>
      <c r="AC354" s="59"/>
      <c r="AD354" s="59"/>
      <c r="AE354" s="59"/>
      <c r="AF354" s="59"/>
    </row>
    <row r="355" spans="1:32" ht="21.2" customHeight="1">
      <c r="A355" s="23"/>
      <c r="B355" s="61" t="str">
        <f>IFERROR(VLOOKUP($A355,'The List'!$B1:$AS730,3,FALSE)," ")</f>
        <v xml:space="preserve"> </v>
      </c>
      <c r="C355" s="63" t="str">
        <f>IFERROR(VLOOKUP($A355,'The List'!$B1:$AS730,4,FALSE)," ")</f>
        <v xml:space="preserve"> </v>
      </c>
      <c r="D355" s="34" t="str">
        <f>IFERROR(VLOOKUP($A355,'The List'!$B1:$AS730,5,FALSE)," ")</f>
        <v xml:space="preserve"> </v>
      </c>
      <c r="E355" s="34" t="str">
        <f>IFERROR(VLOOKUP($A355,'The List'!$B1:$AS730,6,FALSE)," ")</f>
        <v xml:space="preserve"> </v>
      </c>
      <c r="F355" s="49" t="str">
        <f>IFERROR(VLOOKUP($A355,'The List'!$B1:$AS730,8,FALSE)," ")</f>
        <v xml:space="preserve"> </v>
      </c>
      <c r="G355" s="49" t="str">
        <f>IFERROR(VLOOKUP($A355,'The List'!$B1:$AS730,10,FALSE)," ")</f>
        <v xml:space="preserve"> </v>
      </c>
      <c r="H355" s="38"/>
      <c r="I355" s="52" t="str">
        <f>IFERROR(VLOOKUP($A355,'The List'!$B1:$AS730,16,FALSE)," ")</f>
        <v xml:space="preserve"> </v>
      </c>
      <c r="J355" s="52" t="str">
        <f>IFERROR(VLOOKUP($A355,'The List'!$B1:$AS730,17,FALSE)," ")</f>
        <v xml:space="preserve"> </v>
      </c>
      <c r="K355" s="52" t="str">
        <f>IFERROR(VLOOKUP($A355,'The List'!$B1:$AS730,18,FALSE)," ")</f>
        <v xml:space="preserve"> </v>
      </c>
      <c r="L355" s="52" t="str">
        <f>IFERROR(VLOOKUP($A355,'The List'!$B1:$AS730,19,FALSE)," ")</f>
        <v xml:space="preserve"> </v>
      </c>
      <c r="M355" s="52" t="str">
        <f>IFERROR(VLOOKUP($A355,'The List'!$B1:$AS730,20,FALSE)," ")</f>
        <v xml:space="preserve"> </v>
      </c>
      <c r="N355" s="52" t="str">
        <f>IFERROR(VLOOKUP($A355,'The List'!$B1:$AS730,21,FALSE)," ")</f>
        <v xml:space="preserve"> </v>
      </c>
      <c r="O355" s="52" t="str">
        <f>IFERROR(VLOOKUP($A355,'The List'!$B1:$AS730,22,FALSE)," ")</f>
        <v xml:space="preserve"> </v>
      </c>
      <c r="P355" s="52" t="str">
        <f>IFERROR(VLOOKUP($A355,'The List'!$B1:$AS730,23,FALSE)," ")</f>
        <v xml:space="preserve"> </v>
      </c>
      <c r="Q355" s="52" t="str">
        <f>IFERROR(VLOOKUP($A355,'The List'!$B1:$AS730,24,FALSE)," ")</f>
        <v xml:space="preserve"> </v>
      </c>
      <c r="R355" s="52" t="str">
        <f>IFERROR(VLOOKUP($A355,'The List'!$B1:$AS730,25,FALSE)," ")</f>
        <v xml:space="preserve"> </v>
      </c>
      <c r="S355" s="52" t="str">
        <f>IFERROR(VLOOKUP($A355,'The List'!$B1:$AS730,26,FALSE)," ")</f>
        <v xml:space="preserve"> </v>
      </c>
      <c r="T355" s="52" t="str">
        <f>IFERROR(VLOOKUP($A355,'The List'!$B1:$AS730,27,FALSE)," ")</f>
        <v xml:space="preserve"> </v>
      </c>
      <c r="U355" s="52" t="str">
        <f>IFERROR(VLOOKUP($A355,'The List'!$B1:$AS730,28,FALSE)," ")</f>
        <v xml:space="preserve"> </v>
      </c>
      <c r="V355" s="52" t="str">
        <f>IFERROR(VLOOKUP($A355,'The List'!$B1:$AS730,29,FALSE)," ")</f>
        <v xml:space="preserve"> </v>
      </c>
      <c r="W355" s="52" t="str">
        <f>IFERROR(VLOOKUP($A355,'The List'!$B1:$AS730,30,FALSE)," ")</f>
        <v xml:space="preserve"> </v>
      </c>
      <c r="X355" s="52" t="str">
        <f>IFERROR(VLOOKUP($A355,'The List'!$B1:$AS730,31,FALSE)," ")</f>
        <v xml:space="preserve"> </v>
      </c>
      <c r="Y355" s="52" t="str">
        <f>IFERROR(VLOOKUP($A355,'The List'!$B1:$AS730,32,FALSE)," ")</f>
        <v xml:space="preserve"> </v>
      </c>
      <c r="Z355" s="52" t="str">
        <f>IFERROR(VLOOKUP($A355,'The List'!$B1:$AS730,33,FALSE)," ")</f>
        <v xml:space="preserve"> </v>
      </c>
      <c r="AA355" s="54"/>
      <c r="AB355" s="59"/>
      <c r="AC355" s="59"/>
      <c r="AD355" s="59"/>
      <c r="AE355" s="59"/>
      <c r="AF355" s="59"/>
    </row>
    <row r="356" spans="1:32" ht="21.2" customHeight="1">
      <c r="A356" s="23"/>
      <c r="B356" s="61" t="str">
        <f>IFERROR(VLOOKUP($A356,'The List'!$B1:$AS730,3,FALSE)," ")</f>
        <v xml:space="preserve"> </v>
      </c>
      <c r="C356" s="63" t="str">
        <f>IFERROR(VLOOKUP($A356,'The List'!$B1:$AS730,4,FALSE)," ")</f>
        <v xml:space="preserve"> </v>
      </c>
      <c r="D356" s="34" t="str">
        <f>IFERROR(VLOOKUP($A356,'The List'!$B1:$AS730,5,FALSE)," ")</f>
        <v xml:space="preserve"> </v>
      </c>
      <c r="E356" s="34" t="str">
        <f>IFERROR(VLOOKUP($A356,'The List'!$B1:$AS730,6,FALSE)," ")</f>
        <v xml:space="preserve"> </v>
      </c>
      <c r="F356" s="49" t="str">
        <f>IFERROR(VLOOKUP($A356,'The List'!$B1:$AS730,8,FALSE)," ")</f>
        <v xml:space="preserve"> </v>
      </c>
      <c r="G356" s="49" t="str">
        <f>IFERROR(VLOOKUP($A356,'The List'!$B1:$AS730,10,FALSE)," ")</f>
        <v xml:space="preserve"> </v>
      </c>
      <c r="H356" s="38"/>
      <c r="I356" s="52" t="str">
        <f>IFERROR(VLOOKUP($A356,'The List'!$B1:$AS730,16,FALSE)," ")</f>
        <v xml:space="preserve"> </v>
      </c>
      <c r="J356" s="52" t="str">
        <f>IFERROR(VLOOKUP($A356,'The List'!$B1:$AS730,17,FALSE)," ")</f>
        <v xml:space="preserve"> </v>
      </c>
      <c r="K356" s="52" t="str">
        <f>IFERROR(VLOOKUP($A356,'The List'!$B1:$AS730,18,FALSE)," ")</f>
        <v xml:space="preserve"> </v>
      </c>
      <c r="L356" s="52" t="str">
        <f>IFERROR(VLOOKUP($A356,'The List'!$B1:$AS730,19,FALSE)," ")</f>
        <v xml:space="preserve"> </v>
      </c>
      <c r="M356" s="52" t="str">
        <f>IFERROR(VLOOKUP($A356,'The List'!$B1:$AS730,20,FALSE)," ")</f>
        <v xml:space="preserve"> </v>
      </c>
      <c r="N356" s="52" t="str">
        <f>IFERROR(VLOOKUP($A356,'The List'!$B1:$AS730,21,FALSE)," ")</f>
        <v xml:space="preserve"> </v>
      </c>
      <c r="O356" s="52" t="str">
        <f>IFERROR(VLOOKUP($A356,'The List'!$B1:$AS730,22,FALSE)," ")</f>
        <v xml:space="preserve"> </v>
      </c>
      <c r="P356" s="52" t="str">
        <f>IFERROR(VLOOKUP($A356,'The List'!$B1:$AS730,23,FALSE)," ")</f>
        <v xml:space="preserve"> </v>
      </c>
      <c r="Q356" s="52" t="str">
        <f>IFERROR(VLOOKUP($A356,'The List'!$B1:$AS730,24,FALSE)," ")</f>
        <v xml:space="preserve"> </v>
      </c>
      <c r="R356" s="52" t="str">
        <f>IFERROR(VLOOKUP($A356,'The List'!$B1:$AS730,25,FALSE)," ")</f>
        <v xml:space="preserve"> </v>
      </c>
      <c r="S356" s="52" t="str">
        <f>IFERROR(VLOOKUP($A356,'The List'!$B1:$AS730,26,FALSE)," ")</f>
        <v xml:space="preserve"> </v>
      </c>
      <c r="T356" s="52" t="str">
        <f>IFERROR(VLOOKUP($A356,'The List'!$B1:$AS730,27,FALSE)," ")</f>
        <v xml:space="preserve"> </v>
      </c>
      <c r="U356" s="52" t="str">
        <f>IFERROR(VLOOKUP($A356,'The List'!$B1:$AS730,28,FALSE)," ")</f>
        <v xml:space="preserve"> </v>
      </c>
      <c r="V356" s="52" t="str">
        <f>IFERROR(VLOOKUP($A356,'The List'!$B1:$AS730,29,FALSE)," ")</f>
        <v xml:space="preserve"> </v>
      </c>
      <c r="W356" s="52" t="str">
        <f>IFERROR(VLOOKUP($A356,'The List'!$B1:$AS730,30,FALSE)," ")</f>
        <v xml:space="preserve"> </v>
      </c>
      <c r="X356" s="52" t="str">
        <f>IFERROR(VLOOKUP($A356,'The List'!$B1:$AS730,31,FALSE)," ")</f>
        <v xml:space="preserve"> </v>
      </c>
      <c r="Y356" s="52" t="str">
        <f>IFERROR(VLOOKUP($A356,'The List'!$B1:$AS730,32,FALSE)," ")</f>
        <v xml:space="preserve"> </v>
      </c>
      <c r="Z356" s="52" t="str">
        <f>IFERROR(VLOOKUP($A356,'The List'!$B1:$AS730,33,FALSE)," ")</f>
        <v xml:space="preserve"> </v>
      </c>
      <c r="AA356" s="54"/>
      <c r="AB356" s="59"/>
      <c r="AC356" s="59"/>
      <c r="AD356" s="59"/>
      <c r="AE356" s="59"/>
      <c r="AF356" s="59"/>
    </row>
    <row r="357" spans="1:32" ht="21.2" customHeight="1">
      <c r="A357" s="23"/>
      <c r="B357" s="61" t="str">
        <f>IFERROR(VLOOKUP($A357,'The List'!$B1:$AS730,3,FALSE)," ")</f>
        <v xml:space="preserve"> </v>
      </c>
      <c r="C357" s="63" t="str">
        <f>IFERROR(VLOOKUP($A357,'The List'!$B1:$AS730,4,FALSE)," ")</f>
        <v xml:space="preserve"> </v>
      </c>
      <c r="D357" s="34" t="str">
        <f>IFERROR(VLOOKUP($A357,'The List'!$B1:$AS730,5,FALSE)," ")</f>
        <v xml:space="preserve"> </v>
      </c>
      <c r="E357" s="34" t="str">
        <f>IFERROR(VLOOKUP($A357,'The List'!$B1:$AS730,6,FALSE)," ")</f>
        <v xml:space="preserve"> </v>
      </c>
      <c r="F357" s="49" t="str">
        <f>IFERROR(VLOOKUP($A357,'The List'!$B1:$AS730,8,FALSE)," ")</f>
        <v xml:space="preserve"> </v>
      </c>
      <c r="G357" s="49" t="str">
        <f>IFERROR(VLOOKUP($A357,'The List'!$B1:$AS730,10,FALSE)," ")</f>
        <v xml:space="preserve"> </v>
      </c>
      <c r="H357" s="38"/>
      <c r="I357" s="52" t="str">
        <f>IFERROR(VLOOKUP($A357,'The List'!$B1:$AS730,16,FALSE)," ")</f>
        <v xml:space="preserve"> </v>
      </c>
      <c r="J357" s="52" t="str">
        <f>IFERROR(VLOOKUP($A357,'The List'!$B1:$AS730,17,FALSE)," ")</f>
        <v xml:space="preserve"> </v>
      </c>
      <c r="K357" s="52" t="str">
        <f>IFERROR(VLOOKUP($A357,'The List'!$B1:$AS730,18,FALSE)," ")</f>
        <v xml:space="preserve"> </v>
      </c>
      <c r="L357" s="52" t="str">
        <f>IFERROR(VLOOKUP($A357,'The List'!$B1:$AS730,19,FALSE)," ")</f>
        <v xml:space="preserve"> </v>
      </c>
      <c r="M357" s="52" t="str">
        <f>IFERROR(VLOOKUP($A357,'The List'!$B1:$AS730,20,FALSE)," ")</f>
        <v xml:space="preserve"> </v>
      </c>
      <c r="N357" s="52" t="str">
        <f>IFERROR(VLOOKUP($A357,'The List'!$B1:$AS730,21,FALSE)," ")</f>
        <v xml:space="preserve"> </v>
      </c>
      <c r="O357" s="52" t="str">
        <f>IFERROR(VLOOKUP($A357,'The List'!$B1:$AS730,22,FALSE)," ")</f>
        <v xml:space="preserve"> </v>
      </c>
      <c r="P357" s="52" t="str">
        <f>IFERROR(VLOOKUP($A357,'The List'!$B1:$AS730,23,FALSE)," ")</f>
        <v xml:space="preserve"> </v>
      </c>
      <c r="Q357" s="52" t="str">
        <f>IFERROR(VLOOKUP($A357,'The List'!$B1:$AS730,24,FALSE)," ")</f>
        <v xml:space="preserve"> </v>
      </c>
      <c r="R357" s="52" t="str">
        <f>IFERROR(VLOOKUP($A357,'The List'!$B1:$AS730,25,FALSE)," ")</f>
        <v xml:space="preserve"> </v>
      </c>
      <c r="S357" s="52" t="str">
        <f>IFERROR(VLOOKUP($A357,'The List'!$B1:$AS730,26,FALSE)," ")</f>
        <v xml:space="preserve"> </v>
      </c>
      <c r="T357" s="52" t="str">
        <f>IFERROR(VLOOKUP($A357,'The List'!$B1:$AS730,27,FALSE)," ")</f>
        <v xml:space="preserve"> </v>
      </c>
      <c r="U357" s="52" t="str">
        <f>IFERROR(VLOOKUP($A357,'The List'!$B1:$AS730,28,FALSE)," ")</f>
        <v xml:space="preserve"> </v>
      </c>
      <c r="V357" s="52" t="str">
        <f>IFERROR(VLOOKUP($A357,'The List'!$B1:$AS730,29,FALSE)," ")</f>
        <v xml:space="preserve"> </v>
      </c>
      <c r="W357" s="52" t="str">
        <f>IFERROR(VLOOKUP($A357,'The List'!$B1:$AS730,30,FALSE)," ")</f>
        <v xml:space="preserve"> </v>
      </c>
      <c r="X357" s="52" t="str">
        <f>IFERROR(VLOOKUP($A357,'The List'!$B1:$AS730,31,FALSE)," ")</f>
        <v xml:space="preserve"> </v>
      </c>
      <c r="Y357" s="52" t="str">
        <f>IFERROR(VLOOKUP($A357,'The List'!$B1:$AS730,32,FALSE)," ")</f>
        <v xml:space="preserve"> </v>
      </c>
      <c r="Z357" s="52" t="str">
        <f>IFERROR(VLOOKUP($A357,'The List'!$B1:$AS730,33,FALSE)," ")</f>
        <v xml:space="preserve"> </v>
      </c>
      <c r="AA357" s="54"/>
      <c r="AB357" s="59"/>
      <c r="AC357" s="59"/>
      <c r="AD357" s="59"/>
      <c r="AE357" s="59"/>
      <c r="AF357" s="59"/>
    </row>
    <row r="358" spans="1:32" ht="21.2" customHeight="1">
      <c r="A358" s="23"/>
      <c r="B358" s="64" t="str">
        <f>IFERROR(VLOOKUP($A358,'The List'!$B1:$AS730,3,FALSE)," ")</f>
        <v xml:space="preserve"> </v>
      </c>
      <c r="C358" s="66" t="str">
        <f>IFERROR(VLOOKUP($A358,'The List'!$B1:$AS730,4,FALSE)," ")</f>
        <v xml:space="preserve"> </v>
      </c>
      <c r="D358" s="34" t="str">
        <f>IFERROR(VLOOKUP($A358,'The List'!$B1:$AS730,5,FALSE)," ")</f>
        <v xml:space="preserve"> </v>
      </c>
      <c r="E358" s="34" t="str">
        <f>IFERROR(VLOOKUP($A358,'The List'!$B1:$AS730,6,FALSE)," ")</f>
        <v xml:space="preserve"> </v>
      </c>
      <c r="F358" s="49" t="str">
        <f>IFERROR(VLOOKUP($A358,'The List'!$B1:$AS730,8,FALSE)," ")</f>
        <v xml:space="preserve"> </v>
      </c>
      <c r="G358" s="49" t="str">
        <f>IFERROR(VLOOKUP($A358,'The List'!$B1:$AS730,10,FALSE)," ")</f>
        <v xml:space="preserve"> </v>
      </c>
      <c r="H358" s="38"/>
      <c r="I358" s="52" t="str">
        <f>IFERROR(VLOOKUP($A358,'The List'!$B1:$AS730,16,FALSE)," ")</f>
        <v xml:space="preserve"> </v>
      </c>
      <c r="J358" s="52" t="str">
        <f>IFERROR(VLOOKUP($A358,'The List'!$B1:$AS730,17,FALSE)," ")</f>
        <v xml:space="preserve"> </v>
      </c>
      <c r="K358" s="52" t="str">
        <f>IFERROR(VLOOKUP($A358,'The List'!$B1:$AS730,18,FALSE)," ")</f>
        <v xml:space="preserve"> </v>
      </c>
      <c r="L358" s="52" t="str">
        <f>IFERROR(VLOOKUP($A358,'The List'!$B1:$AS730,19,FALSE)," ")</f>
        <v xml:space="preserve"> </v>
      </c>
      <c r="M358" s="52" t="str">
        <f>IFERROR(VLOOKUP($A358,'The List'!$B1:$AS730,20,FALSE)," ")</f>
        <v xml:space="preserve"> </v>
      </c>
      <c r="N358" s="52" t="str">
        <f>IFERROR(VLOOKUP($A358,'The List'!$B1:$AS730,21,FALSE)," ")</f>
        <v xml:space="preserve"> </v>
      </c>
      <c r="O358" s="52" t="str">
        <f>IFERROR(VLOOKUP($A358,'The List'!$B1:$AS730,22,FALSE)," ")</f>
        <v xml:space="preserve"> </v>
      </c>
      <c r="P358" s="52" t="str">
        <f>IFERROR(VLOOKUP($A358,'The List'!$B1:$AS730,23,FALSE)," ")</f>
        <v xml:space="preserve"> </v>
      </c>
      <c r="Q358" s="52" t="str">
        <f>IFERROR(VLOOKUP($A358,'The List'!$B1:$AS730,24,FALSE)," ")</f>
        <v xml:space="preserve"> </v>
      </c>
      <c r="R358" s="52" t="str">
        <f>IFERROR(VLOOKUP($A358,'The List'!$B1:$AS730,25,FALSE)," ")</f>
        <v xml:space="preserve"> </v>
      </c>
      <c r="S358" s="52" t="str">
        <f>IFERROR(VLOOKUP($A358,'The List'!$B1:$AS730,26,FALSE)," ")</f>
        <v xml:space="preserve"> </v>
      </c>
      <c r="T358" s="52" t="str">
        <f>IFERROR(VLOOKUP($A358,'The List'!$B1:$AS730,27,FALSE)," ")</f>
        <v xml:space="preserve"> </v>
      </c>
      <c r="U358" s="52" t="str">
        <f>IFERROR(VLOOKUP($A358,'The List'!$B1:$AS730,28,FALSE)," ")</f>
        <v xml:space="preserve"> </v>
      </c>
      <c r="V358" s="52" t="str">
        <f>IFERROR(VLOOKUP($A358,'The List'!$B1:$AS730,29,FALSE)," ")</f>
        <v xml:space="preserve"> </v>
      </c>
      <c r="W358" s="52" t="str">
        <f>IFERROR(VLOOKUP($A358,'The List'!$B1:$AS730,30,FALSE)," ")</f>
        <v xml:space="preserve"> </v>
      </c>
      <c r="X358" s="52" t="str">
        <f>IFERROR(VLOOKUP($A358,'The List'!$B1:$AS730,31,FALSE)," ")</f>
        <v xml:space="preserve"> </v>
      </c>
      <c r="Y358" s="52" t="str">
        <f>IFERROR(VLOOKUP($A358,'The List'!$B1:$AS730,32,FALSE)," ")</f>
        <v xml:space="preserve"> </v>
      </c>
      <c r="Z358" s="52" t="str">
        <f>IFERROR(VLOOKUP($A358,'The List'!$B1:$AS730,33,FALSE)," ")</f>
        <v xml:space="preserve"> </v>
      </c>
      <c r="AA358" s="54"/>
      <c r="AB358" s="59"/>
      <c r="AC358" s="59"/>
      <c r="AD358" s="59"/>
      <c r="AE358" s="59"/>
      <c r="AF358" s="59"/>
    </row>
    <row r="359" spans="1:32" ht="21.2" customHeight="1">
      <c r="A359" s="23"/>
      <c r="B359" s="64" t="str">
        <f>IFERROR(VLOOKUP($A359,'The List'!$B1:$AS730,3,FALSE)," ")</f>
        <v xml:space="preserve"> </v>
      </c>
      <c r="C359" s="66" t="str">
        <f>IFERROR(VLOOKUP($A359,'The List'!$B1:$AS730,4,FALSE)," ")</f>
        <v xml:space="preserve"> </v>
      </c>
      <c r="D359" s="34" t="str">
        <f>IFERROR(VLOOKUP($A359,'The List'!$B1:$AS730,5,FALSE)," ")</f>
        <v xml:space="preserve"> </v>
      </c>
      <c r="E359" s="34" t="str">
        <f>IFERROR(VLOOKUP($A359,'The List'!$B1:$AS730,6,FALSE)," ")</f>
        <v xml:space="preserve"> </v>
      </c>
      <c r="F359" s="49" t="str">
        <f>IFERROR(VLOOKUP($A359,'The List'!$B1:$AS730,8,FALSE)," ")</f>
        <v xml:space="preserve"> </v>
      </c>
      <c r="G359" s="49" t="str">
        <f>IFERROR(VLOOKUP($A359,'The List'!$B1:$AS730,10,FALSE)," ")</f>
        <v xml:space="preserve"> </v>
      </c>
      <c r="H359" s="38"/>
      <c r="I359" s="52" t="str">
        <f>IFERROR(VLOOKUP($A359,'The List'!$B1:$AS730,16,FALSE)," ")</f>
        <v xml:space="preserve"> </v>
      </c>
      <c r="J359" s="52" t="str">
        <f>IFERROR(VLOOKUP($A359,'The List'!$B1:$AS730,17,FALSE)," ")</f>
        <v xml:space="preserve"> </v>
      </c>
      <c r="K359" s="52" t="str">
        <f>IFERROR(VLOOKUP($A359,'The List'!$B1:$AS730,18,FALSE)," ")</f>
        <v xml:space="preserve"> </v>
      </c>
      <c r="L359" s="52" t="str">
        <f>IFERROR(VLOOKUP($A359,'The List'!$B1:$AS730,19,FALSE)," ")</f>
        <v xml:space="preserve"> </v>
      </c>
      <c r="M359" s="52" t="str">
        <f>IFERROR(VLOOKUP($A359,'The List'!$B1:$AS730,20,FALSE)," ")</f>
        <v xml:space="preserve"> </v>
      </c>
      <c r="N359" s="52" t="str">
        <f>IFERROR(VLOOKUP($A359,'The List'!$B1:$AS730,21,FALSE)," ")</f>
        <v xml:space="preserve"> </v>
      </c>
      <c r="O359" s="52" t="str">
        <f>IFERROR(VLOOKUP($A359,'The List'!$B1:$AS730,22,FALSE)," ")</f>
        <v xml:space="preserve"> </v>
      </c>
      <c r="P359" s="52" t="str">
        <f>IFERROR(VLOOKUP($A359,'The List'!$B1:$AS730,23,FALSE)," ")</f>
        <v xml:space="preserve"> </v>
      </c>
      <c r="Q359" s="52" t="str">
        <f>IFERROR(VLOOKUP($A359,'The List'!$B1:$AS730,24,FALSE)," ")</f>
        <v xml:space="preserve"> </v>
      </c>
      <c r="R359" s="52" t="str">
        <f>IFERROR(VLOOKUP($A359,'The List'!$B1:$AS730,25,FALSE)," ")</f>
        <v xml:space="preserve"> </v>
      </c>
      <c r="S359" s="52" t="str">
        <f>IFERROR(VLOOKUP($A359,'The List'!$B1:$AS730,26,FALSE)," ")</f>
        <v xml:space="preserve"> </v>
      </c>
      <c r="T359" s="52" t="str">
        <f>IFERROR(VLOOKUP($A359,'The List'!$B1:$AS730,27,FALSE)," ")</f>
        <v xml:space="preserve"> </v>
      </c>
      <c r="U359" s="52" t="str">
        <f>IFERROR(VLOOKUP($A359,'The List'!$B1:$AS730,28,FALSE)," ")</f>
        <v xml:space="preserve"> </v>
      </c>
      <c r="V359" s="52" t="str">
        <f>IFERROR(VLOOKUP($A359,'The List'!$B1:$AS730,29,FALSE)," ")</f>
        <v xml:space="preserve"> </v>
      </c>
      <c r="W359" s="52" t="str">
        <f>IFERROR(VLOOKUP($A359,'The List'!$B1:$AS730,30,FALSE)," ")</f>
        <v xml:space="preserve"> </v>
      </c>
      <c r="X359" s="52" t="str">
        <f>IFERROR(VLOOKUP($A359,'The List'!$B1:$AS730,31,FALSE)," ")</f>
        <v xml:space="preserve"> </v>
      </c>
      <c r="Y359" s="52" t="str">
        <f>IFERROR(VLOOKUP($A359,'The List'!$B1:$AS730,32,FALSE)," ")</f>
        <v xml:space="preserve"> </v>
      </c>
      <c r="Z359" s="52" t="str">
        <f>IFERROR(VLOOKUP($A359,'The List'!$B1:$AS730,33,FALSE)," ")</f>
        <v xml:space="preserve"> </v>
      </c>
      <c r="AA359" s="54"/>
      <c r="AB359" s="59"/>
      <c r="AC359" s="59"/>
      <c r="AD359" s="59"/>
      <c r="AE359" s="59"/>
      <c r="AF359" s="59"/>
    </row>
    <row r="360" spans="1:32" ht="21.2" customHeight="1">
      <c r="A360" s="23"/>
      <c r="B360" s="64" t="str">
        <f>IFERROR(VLOOKUP($A360,'The List'!$B1:$AS730,3,FALSE)," ")</f>
        <v xml:space="preserve"> </v>
      </c>
      <c r="C360" s="66" t="str">
        <f>IFERROR(VLOOKUP($A360,'The List'!$B1:$AS730,4,FALSE)," ")</f>
        <v xml:space="preserve"> </v>
      </c>
      <c r="D360" s="34" t="str">
        <f>IFERROR(VLOOKUP($A360,'The List'!$B1:$AS730,5,FALSE)," ")</f>
        <v xml:space="preserve"> </v>
      </c>
      <c r="E360" s="34" t="str">
        <f>IFERROR(VLOOKUP($A360,'The List'!$B1:$AS730,6,FALSE)," ")</f>
        <v xml:space="preserve"> </v>
      </c>
      <c r="F360" s="49" t="str">
        <f>IFERROR(VLOOKUP($A360,'The List'!$B1:$AS730,8,FALSE)," ")</f>
        <v xml:space="preserve"> </v>
      </c>
      <c r="G360" s="49" t="str">
        <f>IFERROR(VLOOKUP($A360,'The List'!$B1:$AS730,10,FALSE)," ")</f>
        <v xml:space="preserve"> </v>
      </c>
      <c r="H360" s="38"/>
      <c r="I360" s="52" t="str">
        <f>IFERROR(VLOOKUP($A360,'The List'!$B1:$AS730,16,FALSE)," ")</f>
        <v xml:space="preserve"> </v>
      </c>
      <c r="J360" s="52" t="str">
        <f>IFERROR(VLOOKUP($A360,'The List'!$B1:$AS730,17,FALSE)," ")</f>
        <v xml:space="preserve"> </v>
      </c>
      <c r="K360" s="52" t="str">
        <f>IFERROR(VLOOKUP($A360,'The List'!$B1:$AS730,18,FALSE)," ")</f>
        <v xml:space="preserve"> </v>
      </c>
      <c r="L360" s="52" t="str">
        <f>IFERROR(VLOOKUP($A360,'The List'!$B1:$AS730,19,FALSE)," ")</f>
        <v xml:space="preserve"> </v>
      </c>
      <c r="M360" s="52" t="str">
        <f>IFERROR(VLOOKUP($A360,'The List'!$B1:$AS730,20,FALSE)," ")</f>
        <v xml:space="preserve"> </v>
      </c>
      <c r="N360" s="52" t="str">
        <f>IFERROR(VLOOKUP($A360,'The List'!$B1:$AS730,21,FALSE)," ")</f>
        <v xml:space="preserve"> </v>
      </c>
      <c r="O360" s="52" t="str">
        <f>IFERROR(VLOOKUP($A360,'The List'!$B1:$AS730,22,FALSE)," ")</f>
        <v xml:space="preserve"> </v>
      </c>
      <c r="P360" s="52" t="str">
        <f>IFERROR(VLOOKUP($A360,'The List'!$B1:$AS730,23,FALSE)," ")</f>
        <v xml:space="preserve"> </v>
      </c>
      <c r="Q360" s="52" t="str">
        <f>IFERROR(VLOOKUP($A360,'The List'!$B1:$AS730,24,FALSE)," ")</f>
        <v xml:space="preserve"> </v>
      </c>
      <c r="R360" s="52" t="str">
        <f>IFERROR(VLOOKUP($A360,'The List'!$B1:$AS730,25,FALSE)," ")</f>
        <v xml:space="preserve"> </v>
      </c>
      <c r="S360" s="52" t="str">
        <f>IFERROR(VLOOKUP($A360,'The List'!$B1:$AS730,26,FALSE)," ")</f>
        <v xml:space="preserve"> </v>
      </c>
      <c r="T360" s="52" t="str">
        <f>IFERROR(VLOOKUP($A360,'The List'!$B1:$AS730,27,FALSE)," ")</f>
        <v xml:space="preserve"> </v>
      </c>
      <c r="U360" s="52" t="str">
        <f>IFERROR(VLOOKUP($A360,'The List'!$B1:$AS730,28,FALSE)," ")</f>
        <v xml:space="preserve"> </v>
      </c>
      <c r="V360" s="52" t="str">
        <f>IFERROR(VLOOKUP($A360,'The List'!$B1:$AS730,29,FALSE)," ")</f>
        <v xml:space="preserve"> </v>
      </c>
      <c r="W360" s="52" t="str">
        <f>IFERROR(VLOOKUP($A360,'The List'!$B1:$AS730,30,FALSE)," ")</f>
        <v xml:space="preserve"> </v>
      </c>
      <c r="X360" s="52" t="str">
        <f>IFERROR(VLOOKUP($A360,'The List'!$B1:$AS730,31,FALSE)," ")</f>
        <v xml:space="preserve"> </v>
      </c>
      <c r="Y360" s="52" t="str">
        <f>IFERROR(VLOOKUP($A360,'The List'!$B1:$AS730,32,FALSE)," ")</f>
        <v xml:space="preserve"> </v>
      </c>
      <c r="Z360" s="52" t="str">
        <f>IFERROR(VLOOKUP($A360,'The List'!$B1:$AS730,33,FALSE)," ")</f>
        <v xml:space="preserve"> </v>
      </c>
      <c r="AA360" s="54"/>
      <c r="AB360" s="59"/>
      <c r="AC360" s="59"/>
      <c r="AD360" s="59"/>
      <c r="AE360" s="59"/>
      <c r="AF360" s="59"/>
    </row>
    <row r="361" spans="1:32" ht="21.2" customHeight="1">
      <c r="A361" s="23"/>
      <c r="B361" s="64" t="str">
        <f>IFERROR(VLOOKUP($A361,'The List'!$B1:$AS730,3,FALSE)," ")</f>
        <v xml:space="preserve"> </v>
      </c>
      <c r="C361" s="66" t="str">
        <f>IFERROR(VLOOKUP($A361,'The List'!$B1:$AS730,4,FALSE)," ")</f>
        <v xml:space="preserve"> </v>
      </c>
      <c r="D361" s="34" t="str">
        <f>IFERROR(VLOOKUP($A361,'The List'!$B1:$AS730,5,FALSE)," ")</f>
        <v xml:space="preserve"> </v>
      </c>
      <c r="E361" s="34" t="str">
        <f>IFERROR(VLOOKUP($A361,'The List'!$B1:$AS730,6,FALSE)," ")</f>
        <v xml:space="preserve"> </v>
      </c>
      <c r="F361" s="49" t="str">
        <f>IFERROR(VLOOKUP($A361,'The List'!$B1:$AS730,8,FALSE)," ")</f>
        <v xml:space="preserve"> </v>
      </c>
      <c r="G361" s="49" t="str">
        <f>IFERROR(VLOOKUP($A361,'The List'!$B1:$AS730,10,FALSE)," ")</f>
        <v xml:space="preserve"> </v>
      </c>
      <c r="H361" s="38"/>
      <c r="I361" s="52" t="str">
        <f>IFERROR(VLOOKUP($A361,'The List'!$B1:$AS730,16,FALSE)," ")</f>
        <v xml:space="preserve"> </v>
      </c>
      <c r="J361" s="52" t="str">
        <f>IFERROR(VLOOKUP($A361,'The List'!$B1:$AS730,17,FALSE)," ")</f>
        <v xml:space="preserve"> </v>
      </c>
      <c r="K361" s="52" t="str">
        <f>IFERROR(VLOOKUP($A361,'The List'!$B1:$AS730,18,FALSE)," ")</f>
        <v xml:space="preserve"> </v>
      </c>
      <c r="L361" s="52" t="str">
        <f>IFERROR(VLOOKUP($A361,'The List'!$B1:$AS730,19,FALSE)," ")</f>
        <v xml:space="preserve"> </v>
      </c>
      <c r="M361" s="52" t="str">
        <f>IFERROR(VLOOKUP($A361,'The List'!$B1:$AS730,20,FALSE)," ")</f>
        <v xml:space="preserve"> </v>
      </c>
      <c r="N361" s="52" t="str">
        <f>IFERROR(VLOOKUP($A361,'The List'!$B1:$AS730,21,FALSE)," ")</f>
        <v xml:space="preserve"> </v>
      </c>
      <c r="O361" s="52" t="str">
        <f>IFERROR(VLOOKUP($A361,'The List'!$B1:$AS730,22,FALSE)," ")</f>
        <v xml:space="preserve"> </v>
      </c>
      <c r="P361" s="52" t="str">
        <f>IFERROR(VLOOKUP($A361,'The List'!$B1:$AS730,23,FALSE)," ")</f>
        <v xml:space="preserve"> </v>
      </c>
      <c r="Q361" s="52" t="str">
        <f>IFERROR(VLOOKUP($A361,'The List'!$B1:$AS730,24,FALSE)," ")</f>
        <v xml:space="preserve"> </v>
      </c>
      <c r="R361" s="52" t="str">
        <f>IFERROR(VLOOKUP($A361,'The List'!$B1:$AS730,25,FALSE)," ")</f>
        <v xml:space="preserve"> </v>
      </c>
      <c r="S361" s="52" t="str">
        <f>IFERROR(VLOOKUP($A361,'The List'!$B1:$AS730,26,FALSE)," ")</f>
        <v xml:space="preserve"> </v>
      </c>
      <c r="T361" s="52" t="str">
        <f>IFERROR(VLOOKUP($A361,'The List'!$B1:$AS730,27,FALSE)," ")</f>
        <v xml:space="preserve"> </v>
      </c>
      <c r="U361" s="52" t="str">
        <f>IFERROR(VLOOKUP($A361,'The List'!$B1:$AS730,28,FALSE)," ")</f>
        <v xml:space="preserve"> </v>
      </c>
      <c r="V361" s="52" t="str">
        <f>IFERROR(VLOOKUP($A361,'The List'!$B1:$AS730,29,FALSE)," ")</f>
        <v xml:space="preserve"> </v>
      </c>
      <c r="W361" s="52" t="str">
        <f>IFERROR(VLOOKUP($A361,'The List'!$B1:$AS730,30,FALSE)," ")</f>
        <v xml:space="preserve"> </v>
      </c>
      <c r="X361" s="52" t="str">
        <f>IFERROR(VLOOKUP($A361,'The List'!$B1:$AS730,31,FALSE)," ")</f>
        <v xml:space="preserve"> </v>
      </c>
      <c r="Y361" s="52" t="str">
        <f>IFERROR(VLOOKUP($A361,'The List'!$B1:$AS730,32,FALSE)," ")</f>
        <v xml:space="preserve"> </v>
      </c>
      <c r="Z361" s="52" t="str">
        <f>IFERROR(VLOOKUP($A361,'The List'!$B1:$AS730,33,FALSE)," ")</f>
        <v xml:space="preserve"> </v>
      </c>
      <c r="AA361" s="54"/>
      <c r="AB361" s="59"/>
      <c r="AC361" s="59"/>
      <c r="AD361" s="59"/>
      <c r="AE361" s="59"/>
      <c r="AF361" s="59"/>
    </row>
    <row r="362" spans="1:32" ht="21.2" customHeight="1">
      <c r="A362" s="23"/>
      <c r="B362" s="67" t="str">
        <f>IFERROR(VLOOKUP($A362,'The List'!$B1:$AS730,3,FALSE)," ")</f>
        <v xml:space="preserve"> </v>
      </c>
      <c r="C362" s="69" t="str">
        <f>IFERROR(VLOOKUP($A362,'The List'!$B1:$AS730,4,FALSE)," ")</f>
        <v xml:space="preserve"> </v>
      </c>
      <c r="D362" s="34" t="str">
        <f>IFERROR(VLOOKUP($A362,'The List'!$B1:$AS730,5,FALSE)," ")</f>
        <v xml:space="preserve"> </v>
      </c>
      <c r="E362" s="34" t="str">
        <f>IFERROR(VLOOKUP($A362,'The List'!$B1:$AS730,6,FALSE)," ")</f>
        <v xml:space="preserve"> </v>
      </c>
      <c r="F362" s="49" t="str">
        <f>IFERROR(VLOOKUP($A362,'The List'!$B1:$AS730,8,FALSE)," ")</f>
        <v xml:space="preserve"> </v>
      </c>
      <c r="G362" s="49" t="str">
        <f>IFERROR(VLOOKUP($A362,'The List'!$B1:$AS730,10,FALSE)," ")</f>
        <v xml:space="preserve"> </v>
      </c>
      <c r="H362" s="38"/>
      <c r="I362" s="52" t="str">
        <f>IFERROR(VLOOKUP($A362,'The List'!$B1:$AS730,16,FALSE)," ")</f>
        <v xml:space="preserve"> </v>
      </c>
      <c r="J362" s="52" t="str">
        <f>IFERROR(VLOOKUP($A362,'The List'!$B1:$AS730,17,FALSE)," ")</f>
        <v xml:space="preserve"> </v>
      </c>
      <c r="K362" s="52" t="str">
        <f>IFERROR(VLOOKUP($A362,'The List'!$B1:$AS730,18,FALSE)," ")</f>
        <v xml:space="preserve"> </v>
      </c>
      <c r="L362" s="52" t="str">
        <f>IFERROR(VLOOKUP($A362,'The List'!$B1:$AS730,19,FALSE)," ")</f>
        <v xml:space="preserve"> </v>
      </c>
      <c r="M362" s="52" t="str">
        <f>IFERROR(VLOOKUP($A362,'The List'!$B1:$AS730,20,FALSE)," ")</f>
        <v xml:space="preserve"> </v>
      </c>
      <c r="N362" s="52" t="str">
        <f>IFERROR(VLOOKUP($A362,'The List'!$B1:$AS730,21,FALSE)," ")</f>
        <v xml:space="preserve"> </v>
      </c>
      <c r="O362" s="52" t="str">
        <f>IFERROR(VLOOKUP($A362,'The List'!$B1:$AS730,22,FALSE)," ")</f>
        <v xml:space="preserve"> </v>
      </c>
      <c r="P362" s="52" t="str">
        <f>IFERROR(VLOOKUP($A362,'The List'!$B1:$AS730,23,FALSE)," ")</f>
        <v xml:space="preserve"> </v>
      </c>
      <c r="Q362" s="52" t="str">
        <f>IFERROR(VLOOKUP($A362,'The List'!$B1:$AS730,24,FALSE)," ")</f>
        <v xml:space="preserve"> </v>
      </c>
      <c r="R362" s="52" t="str">
        <f>IFERROR(VLOOKUP($A362,'The List'!$B1:$AS730,25,FALSE)," ")</f>
        <v xml:space="preserve"> </v>
      </c>
      <c r="S362" s="52" t="str">
        <f>IFERROR(VLOOKUP($A362,'The List'!$B1:$AS730,26,FALSE)," ")</f>
        <v xml:space="preserve"> </v>
      </c>
      <c r="T362" s="52" t="str">
        <f>IFERROR(VLOOKUP($A362,'The List'!$B1:$AS730,27,FALSE)," ")</f>
        <v xml:space="preserve"> </v>
      </c>
      <c r="U362" s="52" t="str">
        <f>IFERROR(VLOOKUP($A362,'The List'!$B1:$AS730,28,FALSE)," ")</f>
        <v xml:space="preserve"> </v>
      </c>
      <c r="V362" s="52" t="str">
        <f>IFERROR(VLOOKUP($A362,'The List'!$B1:$AS730,29,FALSE)," ")</f>
        <v xml:space="preserve"> </v>
      </c>
      <c r="W362" s="52" t="str">
        <f>IFERROR(VLOOKUP($A362,'The List'!$B1:$AS730,30,FALSE)," ")</f>
        <v xml:space="preserve"> </v>
      </c>
      <c r="X362" s="52" t="str">
        <f>IFERROR(VLOOKUP($A362,'The List'!$B1:$AS730,31,FALSE)," ")</f>
        <v xml:space="preserve"> </v>
      </c>
      <c r="Y362" s="52" t="str">
        <f>IFERROR(VLOOKUP($A362,'The List'!$B1:$AS730,32,FALSE)," ")</f>
        <v xml:space="preserve"> </v>
      </c>
      <c r="Z362" s="52" t="str">
        <f>IFERROR(VLOOKUP($A362,'The List'!$B1:$AS730,33,FALSE)," ")</f>
        <v xml:space="preserve"> </v>
      </c>
      <c r="AA362" s="54"/>
      <c r="AB362" s="59"/>
      <c r="AC362" s="59"/>
      <c r="AD362" s="59"/>
      <c r="AE362" s="59"/>
      <c r="AF362" s="59"/>
    </row>
    <row r="363" spans="1:32" ht="21.2" customHeight="1">
      <c r="A363" s="23"/>
      <c r="B363" s="67" t="str">
        <f>IFERROR(VLOOKUP($A363,'The List'!$B1:$AS730,3,FALSE)," ")</f>
        <v xml:space="preserve"> </v>
      </c>
      <c r="C363" s="69" t="str">
        <f>IFERROR(VLOOKUP($A363,'The List'!$B1:$AS730,4,FALSE)," ")</f>
        <v xml:space="preserve"> </v>
      </c>
      <c r="D363" s="34" t="str">
        <f>IFERROR(VLOOKUP($A363,'The List'!$B1:$AS730,5,FALSE)," ")</f>
        <v xml:space="preserve"> </v>
      </c>
      <c r="E363" s="34" t="str">
        <f>IFERROR(VLOOKUP($A363,'The List'!$B1:$AS730,6,FALSE)," ")</f>
        <v xml:space="preserve"> </v>
      </c>
      <c r="F363" s="49" t="str">
        <f>IFERROR(VLOOKUP($A363,'The List'!$B1:$AS730,8,FALSE)," ")</f>
        <v xml:space="preserve"> </v>
      </c>
      <c r="G363" s="49" t="str">
        <f>IFERROR(VLOOKUP($A363,'The List'!$B1:$AS730,10,FALSE)," ")</f>
        <v xml:space="preserve"> </v>
      </c>
      <c r="H363" s="38"/>
      <c r="I363" s="52" t="str">
        <f>IFERROR(VLOOKUP($A363,'The List'!$B1:$AS730,16,FALSE)," ")</f>
        <v xml:space="preserve"> </v>
      </c>
      <c r="J363" s="52" t="str">
        <f>IFERROR(VLOOKUP($A363,'The List'!$B1:$AS730,17,FALSE)," ")</f>
        <v xml:space="preserve"> </v>
      </c>
      <c r="K363" s="52" t="str">
        <f>IFERROR(VLOOKUP($A363,'The List'!$B1:$AS730,18,FALSE)," ")</f>
        <v xml:space="preserve"> </v>
      </c>
      <c r="L363" s="52" t="str">
        <f>IFERROR(VLOOKUP($A363,'The List'!$B1:$AS730,19,FALSE)," ")</f>
        <v xml:space="preserve"> </v>
      </c>
      <c r="M363" s="52" t="str">
        <f>IFERROR(VLOOKUP($A363,'The List'!$B1:$AS730,20,FALSE)," ")</f>
        <v xml:space="preserve"> </v>
      </c>
      <c r="N363" s="52" t="str">
        <f>IFERROR(VLOOKUP($A363,'The List'!$B1:$AS730,21,FALSE)," ")</f>
        <v xml:space="preserve"> </v>
      </c>
      <c r="O363" s="52" t="str">
        <f>IFERROR(VLOOKUP($A363,'The List'!$B1:$AS730,22,FALSE)," ")</f>
        <v xml:space="preserve"> </v>
      </c>
      <c r="P363" s="52" t="str">
        <f>IFERROR(VLOOKUP($A363,'The List'!$B1:$AS730,23,FALSE)," ")</f>
        <v xml:space="preserve"> </v>
      </c>
      <c r="Q363" s="52" t="str">
        <f>IFERROR(VLOOKUP($A363,'The List'!$B1:$AS730,24,FALSE)," ")</f>
        <v xml:space="preserve"> </v>
      </c>
      <c r="R363" s="52" t="str">
        <f>IFERROR(VLOOKUP($A363,'The List'!$B1:$AS730,25,FALSE)," ")</f>
        <v xml:space="preserve"> </v>
      </c>
      <c r="S363" s="52" t="str">
        <f>IFERROR(VLOOKUP($A363,'The List'!$B1:$AS730,26,FALSE)," ")</f>
        <v xml:space="preserve"> </v>
      </c>
      <c r="T363" s="52" t="str">
        <f>IFERROR(VLOOKUP($A363,'The List'!$B1:$AS730,27,FALSE)," ")</f>
        <v xml:space="preserve"> </v>
      </c>
      <c r="U363" s="52" t="str">
        <f>IFERROR(VLOOKUP($A363,'The List'!$B1:$AS730,28,FALSE)," ")</f>
        <v xml:space="preserve"> </v>
      </c>
      <c r="V363" s="52" t="str">
        <f>IFERROR(VLOOKUP($A363,'The List'!$B1:$AS730,29,FALSE)," ")</f>
        <v xml:space="preserve"> </v>
      </c>
      <c r="W363" s="52" t="str">
        <f>IFERROR(VLOOKUP($A363,'The List'!$B1:$AS730,30,FALSE)," ")</f>
        <v xml:space="preserve"> </v>
      </c>
      <c r="X363" s="52" t="str">
        <f>IFERROR(VLOOKUP($A363,'The List'!$B1:$AS730,31,FALSE)," ")</f>
        <v xml:space="preserve"> </v>
      </c>
      <c r="Y363" s="52" t="str">
        <f>IFERROR(VLOOKUP($A363,'The List'!$B1:$AS730,32,FALSE)," ")</f>
        <v xml:space="preserve"> </v>
      </c>
      <c r="Z363" s="52" t="str">
        <f>IFERROR(VLOOKUP($A363,'The List'!$B1:$AS730,33,FALSE)," ")</f>
        <v xml:space="preserve"> </v>
      </c>
      <c r="AA363" s="54"/>
      <c r="AB363" s="59"/>
      <c r="AC363" s="59"/>
      <c r="AD363" s="59"/>
      <c r="AE363" s="59"/>
      <c r="AF363" s="59"/>
    </row>
    <row r="364" spans="1:32" ht="21.2" customHeight="1">
      <c r="A364" s="23"/>
      <c r="B364" s="67" t="str">
        <f>IFERROR(VLOOKUP($A364,'The List'!$B1:$AS730,3,FALSE)," ")</f>
        <v xml:space="preserve"> </v>
      </c>
      <c r="C364" s="69" t="str">
        <f>IFERROR(VLOOKUP($A364,'The List'!$B1:$AS730,4,FALSE)," ")</f>
        <v xml:space="preserve"> </v>
      </c>
      <c r="D364" s="34" t="str">
        <f>IFERROR(VLOOKUP($A364,'The List'!$B1:$AS730,5,FALSE)," ")</f>
        <v xml:space="preserve"> </v>
      </c>
      <c r="E364" s="34" t="str">
        <f>IFERROR(VLOOKUP($A364,'The List'!$B1:$AS730,6,FALSE)," ")</f>
        <v xml:space="preserve"> </v>
      </c>
      <c r="F364" s="49" t="str">
        <f>IFERROR(VLOOKUP($A364,'The List'!$B1:$AS730,8,FALSE)," ")</f>
        <v xml:space="preserve"> </v>
      </c>
      <c r="G364" s="49" t="str">
        <f>IFERROR(VLOOKUP($A364,'The List'!$B1:$AS730,10,FALSE)," ")</f>
        <v xml:space="preserve"> </v>
      </c>
      <c r="H364" s="38"/>
      <c r="I364" s="52" t="str">
        <f>IFERROR(VLOOKUP($A364,'The List'!$B1:$AS730,16,FALSE)," ")</f>
        <v xml:space="preserve"> </v>
      </c>
      <c r="J364" s="52" t="str">
        <f>IFERROR(VLOOKUP($A364,'The List'!$B1:$AS730,17,FALSE)," ")</f>
        <v xml:space="preserve"> </v>
      </c>
      <c r="K364" s="52" t="str">
        <f>IFERROR(VLOOKUP($A364,'The List'!$B1:$AS730,18,FALSE)," ")</f>
        <v xml:space="preserve"> </v>
      </c>
      <c r="L364" s="52" t="str">
        <f>IFERROR(VLOOKUP($A364,'The List'!$B1:$AS730,19,FALSE)," ")</f>
        <v xml:space="preserve"> </v>
      </c>
      <c r="M364" s="52" t="str">
        <f>IFERROR(VLOOKUP($A364,'The List'!$B1:$AS730,20,FALSE)," ")</f>
        <v xml:space="preserve"> </v>
      </c>
      <c r="N364" s="52" t="str">
        <f>IFERROR(VLOOKUP($A364,'The List'!$B1:$AS730,21,FALSE)," ")</f>
        <v xml:space="preserve"> </v>
      </c>
      <c r="O364" s="52" t="str">
        <f>IFERROR(VLOOKUP($A364,'The List'!$B1:$AS730,22,FALSE)," ")</f>
        <v xml:space="preserve"> </v>
      </c>
      <c r="P364" s="52" t="str">
        <f>IFERROR(VLOOKUP($A364,'The List'!$B1:$AS730,23,FALSE)," ")</f>
        <v xml:space="preserve"> </v>
      </c>
      <c r="Q364" s="52" t="str">
        <f>IFERROR(VLOOKUP($A364,'The List'!$B1:$AS730,24,FALSE)," ")</f>
        <v xml:space="preserve"> </v>
      </c>
      <c r="R364" s="52" t="str">
        <f>IFERROR(VLOOKUP($A364,'The List'!$B1:$AS730,25,FALSE)," ")</f>
        <v xml:space="preserve"> </v>
      </c>
      <c r="S364" s="52" t="str">
        <f>IFERROR(VLOOKUP($A364,'The List'!$B1:$AS730,26,FALSE)," ")</f>
        <v xml:space="preserve"> </v>
      </c>
      <c r="T364" s="52" t="str">
        <f>IFERROR(VLOOKUP($A364,'The List'!$B1:$AS730,27,FALSE)," ")</f>
        <v xml:space="preserve"> </v>
      </c>
      <c r="U364" s="52" t="str">
        <f>IFERROR(VLOOKUP($A364,'The List'!$B1:$AS730,28,FALSE)," ")</f>
        <v xml:space="preserve"> </v>
      </c>
      <c r="V364" s="52" t="str">
        <f>IFERROR(VLOOKUP($A364,'The List'!$B1:$AS730,29,FALSE)," ")</f>
        <v xml:space="preserve"> </v>
      </c>
      <c r="W364" s="52" t="str">
        <f>IFERROR(VLOOKUP($A364,'The List'!$B1:$AS730,30,FALSE)," ")</f>
        <v xml:space="preserve"> </v>
      </c>
      <c r="X364" s="52" t="str">
        <f>IFERROR(VLOOKUP($A364,'The List'!$B1:$AS730,31,FALSE)," ")</f>
        <v xml:space="preserve"> </v>
      </c>
      <c r="Y364" s="52" t="str">
        <f>IFERROR(VLOOKUP($A364,'The List'!$B1:$AS730,32,FALSE)," ")</f>
        <v xml:space="preserve"> </v>
      </c>
      <c r="Z364" s="52" t="str">
        <f>IFERROR(VLOOKUP($A364,'The List'!$B1:$AS730,33,FALSE)," ")</f>
        <v xml:space="preserve"> </v>
      </c>
      <c r="AA364" s="54"/>
      <c r="AB364" s="59"/>
      <c r="AC364" s="59"/>
      <c r="AD364" s="59"/>
      <c r="AE364" s="59"/>
      <c r="AF364" s="59"/>
    </row>
    <row r="365" spans="1:32" ht="21.2" customHeight="1">
      <c r="A365" s="23"/>
      <c r="B365" s="67" t="str">
        <f>IFERROR(VLOOKUP($A365,'The List'!$B1:$AS730,3,FALSE)," ")</f>
        <v xml:space="preserve"> </v>
      </c>
      <c r="C365" s="69" t="str">
        <f>IFERROR(VLOOKUP($A365,'The List'!$B1:$AS730,4,FALSE)," ")</f>
        <v xml:space="preserve"> </v>
      </c>
      <c r="D365" s="34" t="str">
        <f>IFERROR(VLOOKUP($A365,'The List'!$B1:$AS730,5,FALSE)," ")</f>
        <v xml:space="preserve"> </v>
      </c>
      <c r="E365" s="34" t="str">
        <f>IFERROR(VLOOKUP($A365,'The List'!$B1:$AS730,6,FALSE)," ")</f>
        <v xml:space="preserve"> </v>
      </c>
      <c r="F365" s="49" t="str">
        <f>IFERROR(VLOOKUP($A365,'The List'!$B1:$AS730,8,FALSE)," ")</f>
        <v xml:space="preserve"> </v>
      </c>
      <c r="G365" s="49" t="str">
        <f>IFERROR(VLOOKUP($A365,'The List'!$B1:$AS730,10,FALSE)," ")</f>
        <v xml:space="preserve"> </v>
      </c>
      <c r="H365" s="38"/>
      <c r="I365" s="52" t="str">
        <f>IFERROR(VLOOKUP($A365,'The List'!$B1:$AS730,16,FALSE)," ")</f>
        <v xml:space="preserve"> </v>
      </c>
      <c r="J365" s="52" t="str">
        <f>IFERROR(VLOOKUP($A365,'The List'!$B1:$AS730,17,FALSE)," ")</f>
        <v xml:space="preserve"> </v>
      </c>
      <c r="K365" s="52" t="str">
        <f>IFERROR(VLOOKUP($A365,'The List'!$B1:$AS730,18,FALSE)," ")</f>
        <v xml:space="preserve"> </v>
      </c>
      <c r="L365" s="52" t="str">
        <f>IFERROR(VLOOKUP($A365,'The List'!$B1:$AS730,19,FALSE)," ")</f>
        <v xml:space="preserve"> </v>
      </c>
      <c r="M365" s="52" t="str">
        <f>IFERROR(VLOOKUP($A365,'The List'!$B1:$AS730,20,FALSE)," ")</f>
        <v xml:space="preserve"> </v>
      </c>
      <c r="N365" s="52" t="str">
        <f>IFERROR(VLOOKUP($A365,'The List'!$B1:$AS730,21,FALSE)," ")</f>
        <v xml:space="preserve"> </v>
      </c>
      <c r="O365" s="52" t="str">
        <f>IFERROR(VLOOKUP($A365,'The List'!$B1:$AS730,22,FALSE)," ")</f>
        <v xml:space="preserve"> </v>
      </c>
      <c r="P365" s="52" t="str">
        <f>IFERROR(VLOOKUP($A365,'The List'!$B1:$AS730,23,FALSE)," ")</f>
        <v xml:space="preserve"> </v>
      </c>
      <c r="Q365" s="52" t="str">
        <f>IFERROR(VLOOKUP($A365,'The List'!$B1:$AS730,24,FALSE)," ")</f>
        <v xml:space="preserve"> </v>
      </c>
      <c r="R365" s="52" t="str">
        <f>IFERROR(VLOOKUP($A365,'The List'!$B1:$AS730,25,FALSE)," ")</f>
        <v xml:space="preserve"> </v>
      </c>
      <c r="S365" s="52" t="str">
        <f>IFERROR(VLOOKUP($A365,'The List'!$B1:$AS730,26,FALSE)," ")</f>
        <v xml:space="preserve"> </v>
      </c>
      <c r="T365" s="52" t="str">
        <f>IFERROR(VLOOKUP($A365,'The List'!$B1:$AS730,27,FALSE)," ")</f>
        <v xml:space="preserve"> </v>
      </c>
      <c r="U365" s="52" t="str">
        <f>IFERROR(VLOOKUP($A365,'The List'!$B1:$AS730,28,FALSE)," ")</f>
        <v xml:space="preserve"> </v>
      </c>
      <c r="V365" s="52" t="str">
        <f>IFERROR(VLOOKUP($A365,'The List'!$B1:$AS730,29,FALSE)," ")</f>
        <v xml:space="preserve"> </v>
      </c>
      <c r="W365" s="52" t="str">
        <f>IFERROR(VLOOKUP($A365,'The List'!$B1:$AS730,30,FALSE)," ")</f>
        <v xml:space="preserve"> </v>
      </c>
      <c r="X365" s="52" t="str">
        <f>IFERROR(VLOOKUP($A365,'The List'!$B1:$AS730,31,FALSE)," ")</f>
        <v xml:space="preserve"> </v>
      </c>
      <c r="Y365" s="52" t="str">
        <f>IFERROR(VLOOKUP($A365,'The List'!$B1:$AS730,32,FALSE)," ")</f>
        <v xml:space="preserve"> </v>
      </c>
      <c r="Z365" s="52" t="str">
        <f>IFERROR(VLOOKUP($A365,'The List'!$B1:$AS730,33,FALSE)," ")</f>
        <v xml:space="preserve"> </v>
      </c>
      <c r="AA365" s="54"/>
      <c r="AB365" s="59"/>
      <c r="AC365" s="59"/>
      <c r="AD365" s="59"/>
      <c r="AE365" s="59"/>
      <c r="AF365" s="59"/>
    </row>
    <row r="366" spans="1:32" ht="21.2" customHeight="1">
      <c r="A366" s="23"/>
      <c r="B366" s="67" t="str">
        <f>IFERROR(VLOOKUP($A366,'The List'!$B1:$AS730,3,FALSE)," ")</f>
        <v xml:space="preserve"> </v>
      </c>
      <c r="C366" s="69" t="str">
        <f>IFERROR(VLOOKUP($A366,'The List'!$B1:$AS730,4,FALSE)," ")</f>
        <v xml:space="preserve"> </v>
      </c>
      <c r="D366" s="34" t="str">
        <f>IFERROR(VLOOKUP($A366,'The List'!$B1:$AS730,5,FALSE)," ")</f>
        <v xml:space="preserve"> </v>
      </c>
      <c r="E366" s="34" t="str">
        <f>IFERROR(VLOOKUP($A366,'The List'!$B1:$AS730,6,FALSE)," ")</f>
        <v xml:space="preserve"> </v>
      </c>
      <c r="F366" s="49" t="str">
        <f>IFERROR(VLOOKUP($A366,'The List'!$B1:$AS730,8,FALSE)," ")</f>
        <v xml:space="preserve"> </v>
      </c>
      <c r="G366" s="49" t="str">
        <f>IFERROR(VLOOKUP($A366,'The List'!$B1:$AS730,10,FALSE)," ")</f>
        <v xml:space="preserve"> </v>
      </c>
      <c r="H366" s="38"/>
      <c r="I366" s="52" t="str">
        <f>IFERROR(VLOOKUP($A366,'The List'!$B1:$AS730,16,FALSE)," ")</f>
        <v xml:space="preserve"> </v>
      </c>
      <c r="J366" s="52" t="str">
        <f>IFERROR(VLOOKUP($A366,'The List'!$B1:$AS730,17,FALSE)," ")</f>
        <v xml:space="preserve"> </v>
      </c>
      <c r="K366" s="52" t="str">
        <f>IFERROR(VLOOKUP($A366,'The List'!$B1:$AS730,18,FALSE)," ")</f>
        <v xml:space="preserve"> </v>
      </c>
      <c r="L366" s="52" t="str">
        <f>IFERROR(VLOOKUP($A366,'The List'!$B1:$AS730,19,FALSE)," ")</f>
        <v xml:space="preserve"> </v>
      </c>
      <c r="M366" s="52" t="str">
        <f>IFERROR(VLOOKUP($A366,'The List'!$B1:$AS730,20,FALSE)," ")</f>
        <v xml:space="preserve"> </v>
      </c>
      <c r="N366" s="52" t="str">
        <f>IFERROR(VLOOKUP($A366,'The List'!$B1:$AS730,21,FALSE)," ")</f>
        <v xml:space="preserve"> </v>
      </c>
      <c r="O366" s="52" t="str">
        <f>IFERROR(VLOOKUP($A366,'The List'!$B1:$AS730,22,FALSE)," ")</f>
        <v xml:space="preserve"> </v>
      </c>
      <c r="P366" s="52" t="str">
        <f>IFERROR(VLOOKUP($A366,'The List'!$B1:$AS730,23,FALSE)," ")</f>
        <v xml:space="preserve"> </v>
      </c>
      <c r="Q366" s="52" t="str">
        <f>IFERROR(VLOOKUP($A366,'The List'!$B1:$AS730,24,FALSE)," ")</f>
        <v xml:space="preserve"> </v>
      </c>
      <c r="R366" s="52" t="str">
        <f>IFERROR(VLOOKUP($A366,'The List'!$B1:$AS730,25,FALSE)," ")</f>
        <v xml:space="preserve"> </v>
      </c>
      <c r="S366" s="52" t="str">
        <f>IFERROR(VLOOKUP($A366,'The List'!$B1:$AS730,26,FALSE)," ")</f>
        <v xml:space="preserve"> </v>
      </c>
      <c r="T366" s="52" t="str">
        <f>IFERROR(VLOOKUP($A366,'The List'!$B1:$AS730,27,FALSE)," ")</f>
        <v xml:space="preserve"> </v>
      </c>
      <c r="U366" s="52" t="str">
        <f>IFERROR(VLOOKUP($A366,'The List'!$B1:$AS730,28,FALSE)," ")</f>
        <v xml:space="preserve"> </v>
      </c>
      <c r="V366" s="52" t="str">
        <f>IFERROR(VLOOKUP($A366,'The List'!$B1:$AS730,29,FALSE)," ")</f>
        <v xml:space="preserve"> </v>
      </c>
      <c r="W366" s="52" t="str">
        <f>IFERROR(VLOOKUP($A366,'The List'!$B1:$AS730,30,FALSE)," ")</f>
        <v xml:space="preserve"> </v>
      </c>
      <c r="X366" s="52" t="str">
        <f>IFERROR(VLOOKUP($A366,'The List'!$B1:$AS730,31,FALSE)," ")</f>
        <v xml:space="preserve"> </v>
      </c>
      <c r="Y366" s="52" t="str">
        <f>IFERROR(VLOOKUP($A366,'The List'!$B1:$AS730,32,FALSE)," ")</f>
        <v xml:space="preserve"> </v>
      </c>
      <c r="Z366" s="52" t="str">
        <f>IFERROR(VLOOKUP($A366,'The List'!$B1:$AS730,33,FALSE)," ")</f>
        <v xml:space="preserve"> </v>
      </c>
      <c r="AA366" s="54"/>
      <c r="AB366" s="59"/>
      <c r="AC366" s="59"/>
      <c r="AD366" s="59"/>
      <c r="AE366" s="59"/>
      <c r="AF366" s="59"/>
    </row>
    <row r="367" spans="1:32" ht="21.2" customHeight="1">
      <c r="A367" s="23"/>
      <c r="B367" s="67" t="str">
        <f>IFERROR(VLOOKUP($A367,'The List'!$B1:$AS730,3,FALSE)," ")</f>
        <v xml:space="preserve"> </v>
      </c>
      <c r="C367" s="69" t="str">
        <f>IFERROR(VLOOKUP($A367,'The List'!$B1:$AS730,4,FALSE)," ")</f>
        <v xml:space="preserve"> </v>
      </c>
      <c r="D367" s="34" t="str">
        <f>IFERROR(VLOOKUP($A367,'The List'!$B1:$AS730,5,FALSE)," ")</f>
        <v xml:space="preserve"> </v>
      </c>
      <c r="E367" s="34" t="str">
        <f>IFERROR(VLOOKUP($A367,'The List'!$B1:$AS730,6,FALSE)," ")</f>
        <v xml:space="preserve"> </v>
      </c>
      <c r="F367" s="49" t="str">
        <f>IFERROR(VLOOKUP($A367,'The List'!$B1:$AS730,8,FALSE)," ")</f>
        <v xml:space="preserve"> </v>
      </c>
      <c r="G367" s="49" t="str">
        <f>IFERROR(VLOOKUP($A367,'The List'!$B1:$AS730,10,FALSE)," ")</f>
        <v xml:space="preserve"> </v>
      </c>
      <c r="H367" s="38"/>
      <c r="I367" s="52" t="str">
        <f>IFERROR(VLOOKUP($A367,'The List'!$B1:$AS730,16,FALSE)," ")</f>
        <v xml:space="preserve"> </v>
      </c>
      <c r="J367" s="52" t="str">
        <f>IFERROR(VLOOKUP($A367,'The List'!$B1:$AS730,17,FALSE)," ")</f>
        <v xml:space="preserve"> </v>
      </c>
      <c r="K367" s="52" t="str">
        <f>IFERROR(VLOOKUP($A367,'The List'!$B1:$AS730,18,FALSE)," ")</f>
        <v xml:space="preserve"> </v>
      </c>
      <c r="L367" s="52" t="str">
        <f>IFERROR(VLOOKUP($A367,'The List'!$B1:$AS730,19,FALSE)," ")</f>
        <v xml:space="preserve"> </v>
      </c>
      <c r="M367" s="52" t="str">
        <f>IFERROR(VLOOKUP($A367,'The List'!$B1:$AS730,20,FALSE)," ")</f>
        <v xml:space="preserve"> </v>
      </c>
      <c r="N367" s="52" t="str">
        <f>IFERROR(VLOOKUP($A367,'The List'!$B1:$AS730,21,FALSE)," ")</f>
        <v xml:space="preserve"> </v>
      </c>
      <c r="O367" s="52" t="str">
        <f>IFERROR(VLOOKUP($A367,'The List'!$B1:$AS730,22,FALSE)," ")</f>
        <v xml:space="preserve"> </v>
      </c>
      <c r="P367" s="52" t="str">
        <f>IFERROR(VLOOKUP($A367,'The List'!$B1:$AS730,23,FALSE)," ")</f>
        <v xml:space="preserve"> </v>
      </c>
      <c r="Q367" s="52" t="str">
        <f>IFERROR(VLOOKUP($A367,'The List'!$B1:$AS730,24,FALSE)," ")</f>
        <v xml:space="preserve"> </v>
      </c>
      <c r="R367" s="52" t="str">
        <f>IFERROR(VLOOKUP($A367,'The List'!$B1:$AS730,25,FALSE)," ")</f>
        <v xml:space="preserve"> </v>
      </c>
      <c r="S367" s="52" t="str">
        <f>IFERROR(VLOOKUP($A367,'The List'!$B1:$AS730,26,FALSE)," ")</f>
        <v xml:space="preserve"> </v>
      </c>
      <c r="T367" s="52" t="str">
        <f>IFERROR(VLOOKUP($A367,'The List'!$B1:$AS730,27,FALSE)," ")</f>
        <v xml:space="preserve"> </v>
      </c>
      <c r="U367" s="52" t="str">
        <f>IFERROR(VLOOKUP($A367,'The List'!$B1:$AS730,28,FALSE)," ")</f>
        <v xml:space="preserve"> </v>
      </c>
      <c r="V367" s="52" t="str">
        <f>IFERROR(VLOOKUP($A367,'The List'!$B1:$AS730,29,FALSE)," ")</f>
        <v xml:space="preserve"> </v>
      </c>
      <c r="W367" s="52" t="str">
        <f>IFERROR(VLOOKUP($A367,'The List'!$B1:$AS730,30,FALSE)," ")</f>
        <v xml:space="preserve"> </v>
      </c>
      <c r="X367" s="52" t="str">
        <f>IFERROR(VLOOKUP($A367,'The List'!$B1:$AS730,31,FALSE)," ")</f>
        <v xml:space="preserve"> </v>
      </c>
      <c r="Y367" s="52" t="str">
        <f>IFERROR(VLOOKUP($A367,'The List'!$B1:$AS730,32,FALSE)," ")</f>
        <v xml:space="preserve"> </v>
      </c>
      <c r="Z367" s="52" t="str">
        <f>IFERROR(VLOOKUP($A367,'The List'!$B1:$AS730,33,FALSE)," ")</f>
        <v xml:space="preserve"> </v>
      </c>
      <c r="AA367" s="54"/>
      <c r="AB367" s="59"/>
      <c r="AC367" s="59"/>
      <c r="AD367" s="59"/>
      <c r="AE367" s="59"/>
      <c r="AF367" s="59"/>
    </row>
    <row r="368" spans="1:32" ht="21.2" customHeight="1">
      <c r="A368" s="23"/>
      <c r="B368" s="67" t="str">
        <f>IFERROR(VLOOKUP($A368,'The List'!$B1:$AS730,3,FALSE)," ")</f>
        <v xml:space="preserve"> </v>
      </c>
      <c r="C368" s="69" t="str">
        <f>IFERROR(VLOOKUP($A368,'The List'!$B1:$AS730,4,FALSE)," ")</f>
        <v xml:space="preserve"> </v>
      </c>
      <c r="D368" s="34" t="str">
        <f>IFERROR(VLOOKUP($A368,'The List'!$B1:$AS730,5,FALSE)," ")</f>
        <v xml:space="preserve"> </v>
      </c>
      <c r="E368" s="34" t="str">
        <f>IFERROR(VLOOKUP($A368,'The List'!$B1:$AS730,6,FALSE)," ")</f>
        <v xml:space="preserve"> </v>
      </c>
      <c r="F368" s="49" t="str">
        <f>IFERROR(VLOOKUP($A368,'The List'!$B1:$AS730,8,FALSE)," ")</f>
        <v xml:space="preserve"> </v>
      </c>
      <c r="G368" s="49" t="str">
        <f>IFERROR(VLOOKUP($A368,'The List'!$B1:$AS730,10,FALSE)," ")</f>
        <v xml:space="preserve"> </v>
      </c>
      <c r="H368" s="38"/>
      <c r="I368" s="52" t="str">
        <f>IFERROR(VLOOKUP($A368,'The List'!$B1:$AS730,16,FALSE)," ")</f>
        <v xml:space="preserve"> </v>
      </c>
      <c r="J368" s="52" t="str">
        <f>IFERROR(VLOOKUP($A368,'The List'!$B1:$AS730,17,FALSE)," ")</f>
        <v xml:space="preserve"> </v>
      </c>
      <c r="K368" s="52" t="str">
        <f>IFERROR(VLOOKUP($A368,'The List'!$B1:$AS730,18,FALSE)," ")</f>
        <v xml:space="preserve"> </v>
      </c>
      <c r="L368" s="52" t="str">
        <f>IFERROR(VLOOKUP($A368,'The List'!$B1:$AS730,19,FALSE)," ")</f>
        <v xml:space="preserve"> </v>
      </c>
      <c r="M368" s="52" t="str">
        <f>IFERROR(VLOOKUP($A368,'The List'!$B1:$AS730,20,FALSE)," ")</f>
        <v xml:space="preserve"> </v>
      </c>
      <c r="N368" s="52" t="str">
        <f>IFERROR(VLOOKUP($A368,'The List'!$B1:$AS730,21,FALSE)," ")</f>
        <v xml:space="preserve"> </v>
      </c>
      <c r="O368" s="52" t="str">
        <f>IFERROR(VLOOKUP($A368,'The List'!$B1:$AS730,22,FALSE)," ")</f>
        <v xml:space="preserve"> </v>
      </c>
      <c r="P368" s="52" t="str">
        <f>IFERROR(VLOOKUP($A368,'The List'!$B1:$AS730,23,FALSE)," ")</f>
        <v xml:space="preserve"> </v>
      </c>
      <c r="Q368" s="52" t="str">
        <f>IFERROR(VLOOKUP($A368,'The List'!$B1:$AS730,24,FALSE)," ")</f>
        <v xml:space="preserve"> </v>
      </c>
      <c r="R368" s="52" t="str">
        <f>IFERROR(VLOOKUP($A368,'The List'!$B1:$AS730,25,FALSE)," ")</f>
        <v xml:space="preserve"> </v>
      </c>
      <c r="S368" s="52" t="str">
        <f>IFERROR(VLOOKUP($A368,'The List'!$B1:$AS730,26,FALSE)," ")</f>
        <v xml:space="preserve"> </v>
      </c>
      <c r="T368" s="52" t="str">
        <f>IFERROR(VLOOKUP($A368,'The List'!$B1:$AS730,27,FALSE)," ")</f>
        <v xml:space="preserve"> </v>
      </c>
      <c r="U368" s="52" t="str">
        <f>IFERROR(VLOOKUP($A368,'The List'!$B1:$AS730,28,FALSE)," ")</f>
        <v xml:space="preserve"> </v>
      </c>
      <c r="V368" s="52" t="str">
        <f>IFERROR(VLOOKUP($A368,'The List'!$B1:$AS730,29,FALSE)," ")</f>
        <v xml:space="preserve"> </v>
      </c>
      <c r="W368" s="52" t="str">
        <f>IFERROR(VLOOKUP($A368,'The List'!$B1:$AS730,30,FALSE)," ")</f>
        <v xml:space="preserve"> </v>
      </c>
      <c r="X368" s="52" t="str">
        <f>IFERROR(VLOOKUP($A368,'The List'!$B1:$AS730,31,FALSE)," ")</f>
        <v xml:space="preserve"> </v>
      </c>
      <c r="Y368" s="52" t="str">
        <f>IFERROR(VLOOKUP($A368,'The List'!$B1:$AS730,32,FALSE)," ")</f>
        <v xml:space="preserve"> </v>
      </c>
      <c r="Z368" s="52" t="str">
        <f>IFERROR(VLOOKUP($A368,'The List'!$B1:$AS730,33,FALSE)," ")</f>
        <v xml:space="preserve"> </v>
      </c>
      <c r="AA368" s="54"/>
      <c r="AB368" s="59"/>
      <c r="AC368" s="59"/>
      <c r="AD368" s="59"/>
      <c r="AE368" s="59"/>
      <c r="AF368" s="59"/>
    </row>
    <row r="369" spans="1:32" ht="21.2" customHeight="1">
      <c r="A369" s="71"/>
      <c r="B369" s="72" t="str">
        <f>IFERROR(VLOOKUP($A369,'The List'!$B1:$AS730,3,FALSE)," ")</f>
        <v xml:space="preserve"> </v>
      </c>
      <c r="C369" s="73" t="str">
        <f>IFERROR(VLOOKUP($A369,'The List'!$B1:$AS730,4,FALSE)," ")</f>
        <v xml:space="preserve"> </v>
      </c>
      <c r="D369" s="74" t="str">
        <f>IFERROR(VLOOKUP($A369,'The List'!$B1:$AS730,5,FALSE)," ")</f>
        <v xml:space="preserve"> </v>
      </c>
      <c r="E369" s="74" t="str">
        <f>IFERROR(VLOOKUP($A369,'The List'!$B1:$AS730,6,FALSE)," ")</f>
        <v xml:space="preserve"> </v>
      </c>
      <c r="F369" s="75" t="str">
        <f>IFERROR(VLOOKUP($A369,'The List'!$B1:$AS730,8,FALSE)," ")</f>
        <v xml:space="preserve"> </v>
      </c>
      <c r="G369" s="75" t="str">
        <f>IFERROR(VLOOKUP($A369,'The List'!$B1:$AS730,10,FALSE)," ")</f>
        <v xml:space="preserve"> </v>
      </c>
      <c r="H369" s="76"/>
      <c r="I369" s="77" t="str">
        <f>IFERROR(VLOOKUP($A369,'The List'!$B1:$AS730,16,FALSE)," ")</f>
        <v xml:space="preserve"> </v>
      </c>
      <c r="J369" s="77" t="str">
        <f>IFERROR(VLOOKUP($A369,'The List'!$B1:$AS730,17,FALSE)," ")</f>
        <v xml:space="preserve"> </v>
      </c>
      <c r="K369" s="77" t="str">
        <f>IFERROR(VLOOKUP($A369,'The List'!$B1:$AS730,18,FALSE)," ")</f>
        <v xml:space="preserve"> </v>
      </c>
      <c r="L369" s="77" t="str">
        <f>IFERROR(VLOOKUP($A369,'The List'!$B1:$AS730,19,FALSE)," ")</f>
        <v xml:space="preserve"> </v>
      </c>
      <c r="M369" s="77" t="str">
        <f>IFERROR(VLOOKUP($A369,'The List'!$B1:$AS730,20,FALSE)," ")</f>
        <v xml:space="preserve"> </v>
      </c>
      <c r="N369" s="77" t="str">
        <f>IFERROR(VLOOKUP($A369,'The List'!$B1:$AS730,21,FALSE)," ")</f>
        <v xml:space="preserve"> </v>
      </c>
      <c r="O369" s="77" t="str">
        <f>IFERROR(VLOOKUP($A369,'The List'!$B1:$AS730,22,FALSE)," ")</f>
        <v xml:space="preserve"> </v>
      </c>
      <c r="P369" s="77" t="str">
        <f>IFERROR(VLOOKUP($A369,'The List'!$B1:$AS730,23,FALSE)," ")</f>
        <v xml:space="preserve"> </v>
      </c>
      <c r="Q369" s="77" t="str">
        <f>IFERROR(VLOOKUP($A369,'The List'!$B1:$AS730,24,FALSE)," ")</f>
        <v xml:space="preserve"> </v>
      </c>
      <c r="R369" s="77" t="str">
        <f>IFERROR(VLOOKUP($A369,'The List'!$B1:$AS730,25,FALSE)," ")</f>
        <v xml:space="preserve"> </v>
      </c>
      <c r="S369" s="77" t="str">
        <f>IFERROR(VLOOKUP($A369,'The List'!$B1:$AS730,26,FALSE)," ")</f>
        <v xml:space="preserve"> </v>
      </c>
      <c r="T369" s="77" t="str">
        <f>IFERROR(VLOOKUP($A369,'The List'!$B1:$AS730,27,FALSE)," ")</f>
        <v xml:space="preserve"> </v>
      </c>
      <c r="U369" s="77" t="str">
        <f>IFERROR(VLOOKUP($A369,'The List'!$B1:$AS730,28,FALSE)," ")</f>
        <v xml:space="preserve"> </v>
      </c>
      <c r="V369" s="77" t="str">
        <f>IFERROR(VLOOKUP($A369,'The List'!$B1:$AS730,29,FALSE)," ")</f>
        <v xml:space="preserve"> </v>
      </c>
      <c r="W369" s="77" t="str">
        <f>IFERROR(VLOOKUP($A369,'The List'!$B1:$AS730,30,FALSE)," ")</f>
        <v xml:space="preserve"> </v>
      </c>
      <c r="X369" s="77" t="str">
        <f>IFERROR(VLOOKUP($A369,'The List'!$B1:$AS730,31,FALSE)," ")</f>
        <v xml:space="preserve"> </v>
      </c>
      <c r="Y369" s="77" t="str">
        <f>IFERROR(VLOOKUP($A369,'The List'!$B1:$AS730,32,FALSE)," ")</f>
        <v xml:space="preserve"> </v>
      </c>
      <c r="Z369" s="77" t="str">
        <f>IFERROR(VLOOKUP($A369,'The List'!$B1:$AS730,33,FALSE)," ")</f>
        <v xml:space="preserve"> </v>
      </c>
      <c r="AA369" s="54"/>
      <c r="AB369" s="59"/>
      <c r="AC369" s="59"/>
      <c r="AD369" s="59"/>
      <c r="AE369" s="59"/>
      <c r="AF369" s="59"/>
    </row>
    <row r="370" spans="1:32" ht="21.2" customHeight="1">
      <c r="A370" s="78"/>
      <c r="B370" s="79"/>
      <c r="C370" s="80"/>
      <c r="D370" s="81"/>
      <c r="E370" s="116" t="str">
        <f>IFERROR(AVERAGE(E350:E369)," ")</f>
        <v xml:space="preserve"> </v>
      </c>
      <c r="F370" s="83">
        <f>SUM(F350:F369)</f>
        <v>0</v>
      </c>
      <c r="G370" s="83">
        <f>SUM(G350:G369)</f>
        <v>0</v>
      </c>
      <c r="H370" s="84"/>
      <c r="I370" s="85">
        <f>SUM(I350:I369)</f>
        <v>0</v>
      </c>
      <c r="J370" s="84" t="e">
        <f>AVERAGE(J350:J369)</f>
        <v>#DIV/0!</v>
      </c>
      <c r="K370" s="85">
        <f t="shared" ref="K370:Y370" si="24">SUM(K350:K369)</f>
        <v>0</v>
      </c>
      <c r="L370" s="85">
        <f t="shared" si="24"/>
        <v>0</v>
      </c>
      <c r="M370" s="85">
        <f t="shared" si="24"/>
        <v>0</v>
      </c>
      <c r="N370" s="85">
        <f t="shared" si="24"/>
        <v>0</v>
      </c>
      <c r="O370" s="85">
        <f t="shared" si="24"/>
        <v>0</v>
      </c>
      <c r="P370" s="85">
        <f t="shared" si="24"/>
        <v>0</v>
      </c>
      <c r="Q370" s="85">
        <f t="shared" si="24"/>
        <v>0</v>
      </c>
      <c r="R370" s="85">
        <f t="shared" si="24"/>
        <v>0</v>
      </c>
      <c r="S370" s="85">
        <f t="shared" si="24"/>
        <v>0</v>
      </c>
      <c r="T370" s="85">
        <f t="shared" si="24"/>
        <v>0</v>
      </c>
      <c r="U370" s="85">
        <f t="shared" si="24"/>
        <v>0</v>
      </c>
      <c r="V370" s="85">
        <f t="shared" si="24"/>
        <v>0</v>
      </c>
      <c r="W370" s="85">
        <f t="shared" si="24"/>
        <v>0</v>
      </c>
      <c r="X370" s="85">
        <f t="shared" si="24"/>
        <v>0</v>
      </c>
      <c r="Y370" s="85">
        <f t="shared" si="24"/>
        <v>0</v>
      </c>
      <c r="Z370" s="86">
        <f>IFERROR(X370/(X370+Y370),0)</f>
        <v>0</v>
      </c>
      <c r="AA370" s="54"/>
      <c r="AB370" s="87"/>
      <c r="AC370" s="87"/>
      <c r="AD370" s="87"/>
      <c r="AE370" s="87"/>
      <c r="AF370" s="87"/>
    </row>
    <row r="371" spans="1:32" ht="21.2" customHeight="1">
      <c r="A371" s="88"/>
      <c r="B371" s="89"/>
      <c r="C371" s="90"/>
      <c r="D371" s="11"/>
      <c r="E371" s="11"/>
      <c r="F371" s="91"/>
      <c r="G371" s="92"/>
      <c r="H371" s="93"/>
      <c r="I371" s="9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9"/>
      <c r="AC371" s="59"/>
      <c r="AD371" s="59"/>
      <c r="AE371" s="59"/>
      <c r="AF371" s="59"/>
    </row>
    <row r="372" spans="1:32" ht="21.2" customHeight="1">
      <c r="A372" s="24" t="s">
        <v>64</v>
      </c>
      <c r="B372" s="231" t="s">
        <v>66</v>
      </c>
      <c r="C372" s="223"/>
      <c r="D372" s="95" t="s">
        <v>67</v>
      </c>
      <c r="E372" s="95" t="s">
        <v>68</v>
      </c>
      <c r="F372" s="96" t="s">
        <v>70</v>
      </c>
      <c r="G372" s="96" t="s">
        <v>72</v>
      </c>
      <c r="H372" s="97"/>
      <c r="I372" s="98" t="s">
        <v>77</v>
      </c>
      <c r="J372" s="98" t="s">
        <v>95</v>
      </c>
      <c r="K372" s="98" t="s">
        <v>96</v>
      </c>
      <c r="L372" s="98" t="s">
        <v>97</v>
      </c>
      <c r="M372" s="98" t="s">
        <v>98</v>
      </c>
      <c r="N372" s="98" t="s">
        <v>99</v>
      </c>
      <c r="O372" s="98" t="s">
        <v>100</v>
      </c>
      <c r="P372" s="98" t="s">
        <v>101</v>
      </c>
      <c r="Q372" s="98" t="s">
        <v>102</v>
      </c>
      <c r="R372" s="54"/>
      <c r="S372" s="54"/>
      <c r="T372" s="54"/>
      <c r="U372" s="231" t="s">
        <v>839</v>
      </c>
      <c r="V372" s="232"/>
      <c r="W372" s="232"/>
      <c r="X372" s="231" t="s">
        <v>840</v>
      </c>
      <c r="Y372" s="232"/>
      <c r="Z372" s="232"/>
      <c r="AA372" s="54"/>
      <c r="AB372" s="54"/>
      <c r="AC372" s="54"/>
      <c r="AD372" s="54"/>
      <c r="AE372" s="54"/>
      <c r="AF372" s="54"/>
    </row>
    <row r="373" spans="1:32" ht="21.2" customHeight="1">
      <c r="A373" s="117"/>
      <c r="B373" s="100" t="str">
        <f>IFERROR(VLOOKUP($A373,'The List'!$B1:$AS730,3,FALSE)," ")</f>
        <v xml:space="preserve"> </v>
      </c>
      <c r="C373" s="118" t="str">
        <f>IFERROR(VLOOKUP($A373,'The List'!$B1:$AS730,4,FALSE)," ")</f>
        <v xml:space="preserve"> </v>
      </c>
      <c r="D373" s="102" t="str">
        <f>IFERROR(VLOOKUP($A373,'The List'!$B1:$AS730,5,FALSE)," ")</f>
        <v xml:space="preserve"> </v>
      </c>
      <c r="E373" s="102" t="str">
        <f>IFERROR(VLOOKUP($A373,'The List'!$B1:$AS730,6,FALSE)," ")</f>
        <v xml:space="preserve"> </v>
      </c>
      <c r="F373" s="119" t="str">
        <f>IFERROR(VLOOKUP($A373,'The List'!$B1:$AS730,8,FALSE)," ")</f>
        <v xml:space="preserve"> </v>
      </c>
      <c r="G373" s="119" t="str">
        <f>IFERROR(VLOOKUP($A373,'The List'!$B1:$AS730,10,FALSE)," ")</f>
        <v xml:space="preserve"> </v>
      </c>
      <c r="H373" s="105"/>
      <c r="I373" s="120" t="str">
        <f>IFERROR(VLOOKUP($A373,'The List'!$B1:$AS730,35,FALSE)," ")</f>
        <v xml:space="preserve"> </v>
      </c>
      <c r="J373" s="120" t="str">
        <f>IFERROR(VLOOKUP($A373,'The List'!$B1:$AS730,36,FALSE)," ")</f>
        <v xml:space="preserve"> </v>
      </c>
      <c r="K373" s="120" t="str">
        <f>IFERROR(VLOOKUP($A373,'The List'!$B1:$AS730,37,FALSE)," ")</f>
        <v xml:space="preserve"> </v>
      </c>
      <c r="L373" s="120" t="str">
        <f>IFERROR(VLOOKUP($A373,'The List'!$B1:$AS730,38,FALSE)," ")</f>
        <v xml:space="preserve"> </v>
      </c>
      <c r="M373" s="120" t="str">
        <f>IFERROR(VLOOKUP($A373,'The List'!$B1:$AS730,39,FALSE)," ")</f>
        <v xml:space="preserve"> </v>
      </c>
      <c r="N373" s="120" t="str">
        <f>IFERROR(VLOOKUP($A373,'The List'!$B1:$AS730,40,FALSE)," ")</f>
        <v xml:space="preserve"> </v>
      </c>
      <c r="O373" s="120" t="str">
        <f>IFERROR(VLOOKUP($A373,'The List'!$B1:$AS730,41,FALSE)," ")</f>
        <v xml:space="preserve"> </v>
      </c>
      <c r="P373" s="120" t="str">
        <f>IFERROR(VLOOKUP($A373,'The List'!$B1:$AS730,42,FALSE)," ")</f>
        <v xml:space="preserve"> </v>
      </c>
      <c r="Q373" s="120" t="str">
        <f>IFERROR(VLOOKUP($A373,'The List'!$B1:$AS730,43,FALSE)," ")</f>
        <v xml:space="preserve"> </v>
      </c>
      <c r="R373" s="54"/>
      <c r="S373" s="54"/>
      <c r="T373" s="109" t="str">
        <f>A320</f>
        <v>Team Mike</v>
      </c>
      <c r="U373" s="230">
        <f>F370+F376</f>
        <v>0</v>
      </c>
      <c r="V373" s="223"/>
      <c r="W373" s="223"/>
      <c r="X373" s="230">
        <f>G376+G370</f>
        <v>0</v>
      </c>
      <c r="Y373" s="223"/>
      <c r="Z373" s="223"/>
      <c r="AA373" s="54"/>
      <c r="AB373" s="54"/>
      <c r="AC373" s="54"/>
      <c r="AD373" s="54"/>
      <c r="AE373" s="54"/>
      <c r="AF373" s="54"/>
    </row>
    <row r="374" spans="1:32" ht="21.2" customHeight="1">
      <c r="A374" s="23"/>
      <c r="B374" s="110" t="str">
        <f>IFERROR(VLOOKUP($A374,'The List'!$B1:$AS730,3,FALSE)," ")</f>
        <v xml:space="preserve"> </v>
      </c>
      <c r="C374" s="111" t="str">
        <f>IFERROR(VLOOKUP($A374,'The List'!$B1:$AS730,4,FALSE)," ")</f>
        <v xml:space="preserve"> </v>
      </c>
      <c r="D374" s="34" t="str">
        <f>IFERROR(VLOOKUP($A374,'The List'!$B1:$AS730,5,FALSE)," ")</f>
        <v xml:space="preserve"> </v>
      </c>
      <c r="E374" s="34" t="str">
        <f>IFERROR(VLOOKUP($A374,'The List'!$B1:$AS730,6,FALSE)," ")</f>
        <v xml:space="preserve"> </v>
      </c>
      <c r="F374" s="49" t="str">
        <f>IFERROR(VLOOKUP($A374,'The List'!$B1:$AS730,8,FALSE)," ")</f>
        <v xml:space="preserve"> </v>
      </c>
      <c r="G374" s="49" t="str">
        <f>IFERROR(VLOOKUP($A374,'The List'!$B1:$AS730,10,FALSE)," ")</f>
        <v xml:space="preserve"> </v>
      </c>
      <c r="H374" s="38"/>
      <c r="I374" s="52" t="str">
        <f>IFERROR(VLOOKUP($A374,'The List'!$B1:$AS730,35,FALSE)," ")</f>
        <v xml:space="preserve"> </v>
      </c>
      <c r="J374" s="52" t="str">
        <f>IFERROR(VLOOKUP($A374,'The List'!$B1:$AS730,36,FALSE)," ")</f>
        <v xml:space="preserve"> </v>
      </c>
      <c r="K374" s="52" t="str">
        <f>IFERROR(VLOOKUP($A374,'The List'!$B1:$AS730,37,FALSE)," ")</f>
        <v xml:space="preserve"> </v>
      </c>
      <c r="L374" s="52" t="str">
        <f>IFERROR(VLOOKUP($A374,'The List'!$B1:$AS730,38,FALSE)," ")</f>
        <v xml:space="preserve"> </v>
      </c>
      <c r="M374" s="52" t="str">
        <f>IFERROR(VLOOKUP($A374,'The List'!$B1:$AS730,39,FALSE)," ")</f>
        <v xml:space="preserve"> </v>
      </c>
      <c r="N374" s="52" t="str">
        <f>IFERROR(VLOOKUP($A374,'The List'!$B1:$AS730,40,FALSE)," ")</f>
        <v xml:space="preserve"> </v>
      </c>
      <c r="O374" s="52" t="str">
        <f>IFERROR(VLOOKUP($A374,'The List'!$B1:$AS730,41,FALSE)," ")</f>
        <v xml:space="preserve"> </v>
      </c>
      <c r="P374" s="52" t="str">
        <f>IFERROR(VLOOKUP($A374,'The List'!$B1:$AS730,42,FALSE)," ")</f>
        <v xml:space="preserve"> </v>
      </c>
      <c r="Q374" s="52" t="str">
        <f>IFERROR(VLOOKUP($A374,'The List'!$B1:$AS730,43,FALSE)," ")</f>
        <v xml:space="preserve"> </v>
      </c>
      <c r="R374" s="54"/>
      <c r="S374" s="54"/>
      <c r="T374" s="54"/>
      <c r="U374" s="223"/>
      <c r="V374" s="223"/>
      <c r="W374" s="223"/>
      <c r="X374" s="223"/>
      <c r="Y374" s="223"/>
      <c r="Z374" s="223"/>
      <c r="AA374" s="54"/>
      <c r="AB374" s="54"/>
      <c r="AC374" s="54"/>
      <c r="AD374" s="54"/>
      <c r="AE374" s="54"/>
      <c r="AF374" s="54"/>
    </row>
    <row r="375" spans="1:32" ht="21.2" customHeight="1">
      <c r="A375" s="71"/>
      <c r="B375" s="112" t="str">
        <f>IFERROR(VLOOKUP($A375,'The List'!$B1:$AS730,3,FALSE)," ")</f>
        <v xml:space="preserve"> </v>
      </c>
      <c r="C375" s="113" t="str">
        <f>IFERROR(VLOOKUP($A375,'The List'!$B1:$AS730,4,FALSE)," ")</f>
        <v xml:space="preserve"> </v>
      </c>
      <c r="D375" s="74" t="str">
        <f>IFERROR(VLOOKUP($A375,'The List'!$B1:$AS730,5,FALSE)," ")</f>
        <v xml:space="preserve"> </v>
      </c>
      <c r="E375" s="74" t="str">
        <f>IFERROR(VLOOKUP($A375,'The List'!$B1:$AS730,6,FALSE)," ")</f>
        <v xml:space="preserve"> </v>
      </c>
      <c r="F375" s="75" t="str">
        <f>IFERROR(VLOOKUP($A375,'The List'!$B1:$AS730,8,FALSE)," ")</f>
        <v xml:space="preserve"> </v>
      </c>
      <c r="G375" s="75" t="str">
        <f>IFERROR(VLOOKUP($A375,'The List'!$B1:$AS730,10,FALSE)," ")</f>
        <v xml:space="preserve"> </v>
      </c>
      <c r="H375" s="76"/>
      <c r="I375" s="77" t="str">
        <f>IFERROR(VLOOKUP($A375,'The List'!$B1:$AS730,35,FALSE)," ")</f>
        <v xml:space="preserve"> </v>
      </c>
      <c r="J375" s="77" t="str">
        <f>IFERROR(VLOOKUP($A375,'The List'!$B1:$AS730,36,FALSE)," ")</f>
        <v xml:space="preserve"> </v>
      </c>
      <c r="K375" s="77" t="str">
        <f>IFERROR(VLOOKUP($A375,'The List'!$B1:$AS730,37,FALSE)," ")</f>
        <v xml:space="preserve"> </v>
      </c>
      <c r="L375" s="77" t="str">
        <f>IFERROR(VLOOKUP($A375,'The List'!$B1:$AS730,38,FALSE)," ")</f>
        <v xml:space="preserve"> </v>
      </c>
      <c r="M375" s="77" t="str">
        <f>IFERROR(VLOOKUP($A375,'The List'!$B1:$AS730,39,FALSE)," ")</f>
        <v xml:space="preserve"> </v>
      </c>
      <c r="N375" s="77" t="str">
        <f>IFERROR(VLOOKUP($A375,'The List'!$B1:$AS730,40,FALSE)," ")</f>
        <v xml:space="preserve"> </v>
      </c>
      <c r="O375" s="77" t="str">
        <f>IFERROR(VLOOKUP($A375,'The List'!$B1:$AS730,41,FALSE)," ")</f>
        <v xml:space="preserve"> </v>
      </c>
      <c r="P375" s="77" t="str">
        <f>IFERROR(VLOOKUP($A375,'The List'!$B1:$AS730,42,FALSE)," ")</f>
        <v xml:space="preserve"> </v>
      </c>
      <c r="Q375" s="77" t="str">
        <f>IFERROR(VLOOKUP($A375,'The List'!$B1:$AS730,43,FALSE)," ")</f>
        <v xml:space="preserve"> </v>
      </c>
      <c r="R375" s="54"/>
      <c r="S375" s="54"/>
      <c r="T375" s="54"/>
      <c r="U375" s="223"/>
      <c r="V375" s="223"/>
      <c r="W375" s="223"/>
      <c r="X375" s="223"/>
      <c r="Y375" s="223"/>
      <c r="Z375" s="223"/>
      <c r="AA375" s="54"/>
      <c r="AB375" s="54"/>
      <c r="AC375" s="54"/>
      <c r="AD375" s="54"/>
      <c r="AE375" s="54"/>
      <c r="AF375" s="54"/>
    </row>
    <row r="376" spans="1:32" ht="21.2" customHeight="1">
      <c r="A376" s="78"/>
      <c r="B376" s="79"/>
      <c r="C376" s="80"/>
      <c r="D376" s="81"/>
      <c r="E376" s="116" t="str">
        <f>IFERROR(AVERAGE(E373:E375)," ")</f>
        <v xml:space="preserve"> </v>
      </c>
      <c r="F376" s="83">
        <f>SUM(F373:F375)</f>
        <v>0</v>
      </c>
      <c r="G376" s="83">
        <f>SUM(G373:G375)</f>
        <v>0</v>
      </c>
      <c r="H376" s="84"/>
      <c r="I376" s="85">
        <f t="shared" ref="I376:O376" si="25">SUM(I373:I375)</f>
        <v>0</v>
      </c>
      <c r="J376" s="84">
        <f t="shared" si="25"/>
        <v>0</v>
      </c>
      <c r="K376" s="85">
        <f t="shared" si="25"/>
        <v>0</v>
      </c>
      <c r="L376" s="85">
        <f t="shared" si="25"/>
        <v>0</v>
      </c>
      <c r="M376" s="85">
        <f t="shared" si="25"/>
        <v>0</v>
      </c>
      <c r="N376" s="85">
        <f t="shared" si="25"/>
        <v>0</v>
      </c>
      <c r="O376" s="85">
        <f t="shared" si="25"/>
        <v>0</v>
      </c>
      <c r="P376" s="114" t="e">
        <f>1-(O376/(N376+O376))</f>
        <v>#DIV/0!</v>
      </c>
      <c r="Q376" s="115" t="e">
        <f>O376/I376</f>
        <v>#DIV/0!</v>
      </c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</row>
    <row r="377" spans="1:32" ht="70.7" customHeight="1">
      <c r="A377" s="88"/>
      <c r="B377" s="89"/>
      <c r="C377" s="90"/>
      <c r="D377" s="11"/>
      <c r="E377" s="11"/>
      <c r="F377" s="91"/>
      <c r="G377" s="92"/>
      <c r="H377" s="93"/>
      <c r="I377" s="9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9"/>
      <c r="AB377" s="59"/>
      <c r="AC377" s="59"/>
      <c r="AD377" s="59"/>
      <c r="AE377" s="59"/>
      <c r="AF377" s="59"/>
    </row>
    <row r="378" spans="1:32" ht="21.2" customHeight="1">
      <c r="A378" s="25" t="s">
        <v>836</v>
      </c>
      <c r="B378" s="229" t="s">
        <v>66</v>
      </c>
      <c r="C378" s="221"/>
      <c r="D378" s="26" t="s">
        <v>67</v>
      </c>
      <c r="E378" s="26" t="s">
        <v>68</v>
      </c>
      <c r="F378" s="27" t="s">
        <v>70</v>
      </c>
      <c r="G378" s="27" t="s">
        <v>72</v>
      </c>
      <c r="H378" s="28"/>
      <c r="I378" s="30" t="s">
        <v>77</v>
      </c>
      <c r="J378" s="30" t="s">
        <v>78</v>
      </c>
      <c r="K378" s="30" t="s">
        <v>79</v>
      </c>
      <c r="L378" s="30" t="s">
        <v>80</v>
      </c>
      <c r="M378" s="30" t="s">
        <v>81</v>
      </c>
      <c r="N378" s="30" t="s">
        <v>82</v>
      </c>
      <c r="O378" s="30" t="s">
        <v>83</v>
      </c>
      <c r="P378" s="30" t="s">
        <v>84</v>
      </c>
      <c r="Q378" s="30" t="s">
        <v>85</v>
      </c>
      <c r="R378" s="30" t="s">
        <v>86</v>
      </c>
      <c r="S378" s="30" t="s">
        <v>87</v>
      </c>
      <c r="T378" s="30" t="s">
        <v>88</v>
      </c>
      <c r="U378" s="30" t="s">
        <v>89</v>
      </c>
      <c r="V378" s="30" t="s">
        <v>90</v>
      </c>
      <c r="W378" s="30" t="s">
        <v>91</v>
      </c>
      <c r="X378" s="30" t="s">
        <v>92</v>
      </c>
      <c r="Y378" s="30" t="s">
        <v>93</v>
      </c>
      <c r="Z378" s="30" t="s">
        <v>94</v>
      </c>
      <c r="AA378" s="54"/>
      <c r="AB378" s="55"/>
      <c r="AC378" s="55"/>
      <c r="AD378" s="55"/>
      <c r="AE378" s="55"/>
      <c r="AF378" s="55"/>
    </row>
    <row r="379" spans="1:32" ht="21.2" customHeight="1">
      <c r="A379" s="23"/>
      <c r="B379" s="56" t="str">
        <f>IFERROR(VLOOKUP($A379,'The List'!$B1:$AS730,3,FALSE)," ")</f>
        <v xml:space="preserve"> </v>
      </c>
      <c r="C379" s="60" t="str">
        <f>IFERROR(VLOOKUP($A379,'The List'!$B1:$AS730,4,FALSE)," ")</f>
        <v xml:space="preserve"> </v>
      </c>
      <c r="D379" s="34" t="str">
        <f>IFERROR(VLOOKUP($A379,'The List'!$B1:$AS730,5,FALSE)," ")</f>
        <v xml:space="preserve"> </v>
      </c>
      <c r="E379" s="34" t="str">
        <f>IFERROR(VLOOKUP($A379,'The List'!$B1:$AS730,6,FALSE)," ")</f>
        <v xml:space="preserve"> </v>
      </c>
      <c r="F379" s="49" t="str">
        <f>IFERROR(VLOOKUP($A379,'The List'!$B1:$AS730,8,FALSE)," ")</f>
        <v xml:space="preserve"> </v>
      </c>
      <c r="G379" s="49" t="str">
        <f>IFERROR(VLOOKUP($A379,'The List'!$B1:$AS730,10,FALSE)," ")</f>
        <v xml:space="preserve"> </v>
      </c>
      <c r="H379" s="38"/>
      <c r="I379" s="52" t="str">
        <f>IFERROR(VLOOKUP($A379,'The List'!$B1:$AS730,16,FALSE)," ")</f>
        <v xml:space="preserve"> </v>
      </c>
      <c r="J379" s="52" t="str">
        <f>IFERROR(VLOOKUP($A379,'The List'!$B1:$AS730,17,FALSE)," ")</f>
        <v xml:space="preserve"> </v>
      </c>
      <c r="K379" s="52" t="str">
        <f>IFERROR(VLOOKUP($A379,'The List'!$B1:$AS730,18,FALSE)," ")</f>
        <v xml:space="preserve"> </v>
      </c>
      <c r="L379" s="52" t="str">
        <f>IFERROR(VLOOKUP($A379,'The List'!$B1:$AS730,19,FALSE)," ")</f>
        <v xml:space="preserve"> </v>
      </c>
      <c r="M379" s="52" t="str">
        <f>IFERROR(VLOOKUP($A379,'The List'!$B1:$AS730,20,FALSE)," ")</f>
        <v xml:space="preserve"> </v>
      </c>
      <c r="N379" s="52" t="str">
        <f>IFERROR(VLOOKUP($A379,'The List'!$B1:$AS730,21,FALSE)," ")</f>
        <v xml:space="preserve"> </v>
      </c>
      <c r="O379" s="52" t="str">
        <f>IFERROR(VLOOKUP($A379,'The List'!$B1:$AS730,22,FALSE)," ")</f>
        <v xml:space="preserve"> </v>
      </c>
      <c r="P379" s="52" t="str">
        <f>IFERROR(VLOOKUP($A379,'The List'!$B1:$AS730,23,FALSE)," ")</f>
        <v xml:space="preserve"> </v>
      </c>
      <c r="Q379" s="52" t="str">
        <f>IFERROR(VLOOKUP($A379,'The List'!$B1:$AS730,24,FALSE)," ")</f>
        <v xml:space="preserve"> </v>
      </c>
      <c r="R379" s="52" t="str">
        <f>IFERROR(VLOOKUP($A379,'The List'!$B1:$AS730,25,FALSE)," ")</f>
        <v xml:space="preserve"> </v>
      </c>
      <c r="S379" s="52" t="str">
        <f>IFERROR(VLOOKUP($A379,'The List'!$B1:$AS730,26,FALSE)," ")</f>
        <v xml:space="preserve"> </v>
      </c>
      <c r="T379" s="52" t="str">
        <f>IFERROR(VLOOKUP($A379,'The List'!$B1:$AS730,27,FALSE)," ")</f>
        <v xml:space="preserve"> </v>
      </c>
      <c r="U379" s="52" t="str">
        <f>IFERROR(VLOOKUP($A379,'The List'!$B1:$AS730,28,FALSE)," ")</f>
        <v xml:space="preserve"> </v>
      </c>
      <c r="V379" s="52" t="str">
        <f>IFERROR(VLOOKUP($A379,'The List'!$B1:$AS730,29,FALSE)," ")</f>
        <v xml:space="preserve"> </v>
      </c>
      <c r="W379" s="52" t="str">
        <f>IFERROR(VLOOKUP($A379,'The List'!$B1:$AS730,30,FALSE)," ")</f>
        <v xml:space="preserve"> </v>
      </c>
      <c r="X379" s="52" t="str">
        <f>IFERROR(VLOOKUP($A379,'The List'!$B1:$AS730,31,FALSE)," ")</f>
        <v xml:space="preserve"> </v>
      </c>
      <c r="Y379" s="52" t="str">
        <f>IFERROR(VLOOKUP($A379,'The List'!$B1:$AS730,32,FALSE)," ")</f>
        <v xml:space="preserve"> </v>
      </c>
      <c r="Z379" s="52" t="str">
        <f>IFERROR(VLOOKUP($A379,'The List'!$B1:$AS730,33,FALSE)," ")</f>
        <v xml:space="preserve"> </v>
      </c>
      <c r="AA379" s="54"/>
      <c r="AB379" s="59"/>
      <c r="AC379" s="59"/>
      <c r="AD379" s="59"/>
      <c r="AE379" s="59"/>
      <c r="AF379" s="59"/>
    </row>
    <row r="380" spans="1:32" ht="21.2" customHeight="1">
      <c r="A380" s="23"/>
      <c r="B380" s="56" t="str">
        <f>IFERROR(VLOOKUP($A380,'The List'!$B1:$AS730,3,FALSE)," ")</f>
        <v xml:space="preserve"> </v>
      </c>
      <c r="C380" s="60" t="str">
        <f>IFERROR(VLOOKUP($A380,'The List'!$B1:$AS730,4,FALSE)," ")</f>
        <v xml:space="preserve"> </v>
      </c>
      <c r="D380" s="34" t="str">
        <f>IFERROR(VLOOKUP($A380,'The List'!$B1:$AS730,5,FALSE)," ")</f>
        <v xml:space="preserve"> </v>
      </c>
      <c r="E380" s="34" t="str">
        <f>IFERROR(VLOOKUP($A380,'The List'!$B1:$AS730,6,FALSE)," ")</f>
        <v xml:space="preserve"> </v>
      </c>
      <c r="F380" s="49" t="str">
        <f>IFERROR(VLOOKUP($A380,'The List'!$B1:$AS730,8,FALSE)," ")</f>
        <v xml:space="preserve"> </v>
      </c>
      <c r="G380" s="49" t="str">
        <f>IFERROR(VLOOKUP($A380,'The List'!$B1:$AS730,10,FALSE)," ")</f>
        <v xml:space="preserve"> </v>
      </c>
      <c r="H380" s="38"/>
      <c r="I380" s="52" t="str">
        <f>IFERROR(VLOOKUP($A380,'The List'!$B1:$AS730,16,FALSE)," ")</f>
        <v xml:space="preserve"> </v>
      </c>
      <c r="J380" s="52" t="str">
        <f>IFERROR(VLOOKUP($A380,'The List'!$B1:$AS730,17,FALSE)," ")</f>
        <v xml:space="preserve"> </v>
      </c>
      <c r="K380" s="52" t="str">
        <f>IFERROR(VLOOKUP($A380,'The List'!$B1:$AS730,18,FALSE)," ")</f>
        <v xml:space="preserve"> </v>
      </c>
      <c r="L380" s="52" t="str">
        <f>IFERROR(VLOOKUP($A380,'The List'!$B1:$AS730,19,FALSE)," ")</f>
        <v xml:space="preserve"> </v>
      </c>
      <c r="M380" s="52" t="str">
        <f>IFERROR(VLOOKUP($A380,'The List'!$B1:$AS730,20,FALSE)," ")</f>
        <v xml:space="preserve"> </v>
      </c>
      <c r="N380" s="52" t="str">
        <f>IFERROR(VLOOKUP($A380,'The List'!$B1:$AS730,21,FALSE)," ")</f>
        <v xml:space="preserve"> </v>
      </c>
      <c r="O380" s="52" t="str">
        <f>IFERROR(VLOOKUP($A380,'The List'!$B1:$AS730,22,FALSE)," ")</f>
        <v xml:space="preserve"> </v>
      </c>
      <c r="P380" s="52" t="str">
        <f>IFERROR(VLOOKUP($A380,'The List'!$B1:$AS730,23,FALSE)," ")</f>
        <v xml:space="preserve"> </v>
      </c>
      <c r="Q380" s="52" t="str">
        <f>IFERROR(VLOOKUP($A380,'The List'!$B1:$AS730,24,FALSE)," ")</f>
        <v xml:space="preserve"> </v>
      </c>
      <c r="R380" s="52" t="str">
        <f>IFERROR(VLOOKUP($A380,'The List'!$B1:$AS730,25,FALSE)," ")</f>
        <v xml:space="preserve"> </v>
      </c>
      <c r="S380" s="52" t="str">
        <f>IFERROR(VLOOKUP($A380,'The List'!$B1:$AS730,26,FALSE)," ")</f>
        <v xml:space="preserve"> </v>
      </c>
      <c r="T380" s="52" t="str">
        <f>IFERROR(VLOOKUP($A380,'The List'!$B1:$AS730,27,FALSE)," ")</f>
        <v xml:space="preserve"> </v>
      </c>
      <c r="U380" s="52" t="str">
        <f>IFERROR(VLOOKUP($A380,'The List'!$B1:$AS730,28,FALSE)," ")</f>
        <v xml:space="preserve"> </v>
      </c>
      <c r="V380" s="52" t="str">
        <f>IFERROR(VLOOKUP($A380,'The List'!$B1:$AS730,29,FALSE)," ")</f>
        <v xml:space="preserve"> </v>
      </c>
      <c r="W380" s="52" t="str">
        <f>IFERROR(VLOOKUP($A380,'The List'!$B1:$AS730,30,FALSE)," ")</f>
        <v xml:space="preserve"> </v>
      </c>
      <c r="X380" s="52" t="str">
        <f>IFERROR(VLOOKUP($A380,'The List'!$B1:$AS730,31,FALSE)," ")</f>
        <v xml:space="preserve"> </v>
      </c>
      <c r="Y380" s="52" t="str">
        <f>IFERROR(VLOOKUP($A380,'The List'!$B1:$AS730,32,FALSE)," ")</f>
        <v xml:space="preserve"> </v>
      </c>
      <c r="Z380" s="52" t="str">
        <f>IFERROR(VLOOKUP($A380,'The List'!$B1:$AS730,33,FALSE)," ")</f>
        <v xml:space="preserve"> </v>
      </c>
      <c r="AA380" s="54"/>
      <c r="AB380" s="59"/>
      <c r="AC380" s="59"/>
      <c r="AD380" s="59"/>
      <c r="AE380" s="59"/>
      <c r="AF380" s="59"/>
    </row>
    <row r="381" spans="1:32" ht="21.2" customHeight="1">
      <c r="A381" s="23"/>
      <c r="B381" s="56" t="str">
        <f>IFERROR(VLOOKUP($A381,'The List'!$B1:$AS730,3,FALSE)," ")</f>
        <v xml:space="preserve"> </v>
      </c>
      <c r="C381" s="60" t="str">
        <f>IFERROR(VLOOKUP($A381,'The List'!$B1:$AS730,4,FALSE)," ")</f>
        <v xml:space="preserve"> </v>
      </c>
      <c r="D381" s="34" t="str">
        <f>IFERROR(VLOOKUP($A381,'The List'!$B1:$AS730,5,FALSE)," ")</f>
        <v xml:space="preserve"> </v>
      </c>
      <c r="E381" s="34" t="str">
        <f>IFERROR(VLOOKUP($A381,'The List'!$B1:$AS730,6,FALSE)," ")</f>
        <v xml:space="preserve"> </v>
      </c>
      <c r="F381" s="49" t="str">
        <f>IFERROR(VLOOKUP($A381,'The List'!$B1:$AS730,8,FALSE)," ")</f>
        <v xml:space="preserve"> </v>
      </c>
      <c r="G381" s="49" t="str">
        <f>IFERROR(VLOOKUP($A381,'The List'!$B1:$AS730,10,FALSE)," ")</f>
        <v xml:space="preserve"> </v>
      </c>
      <c r="H381" s="38"/>
      <c r="I381" s="52" t="str">
        <f>IFERROR(VLOOKUP($A381,'The List'!$B1:$AS730,16,FALSE)," ")</f>
        <v xml:space="preserve"> </v>
      </c>
      <c r="J381" s="52" t="str">
        <f>IFERROR(VLOOKUP($A381,'The List'!$B1:$AS730,17,FALSE)," ")</f>
        <v xml:space="preserve"> </v>
      </c>
      <c r="K381" s="52" t="str">
        <f>IFERROR(VLOOKUP($A381,'The List'!$B1:$AS730,18,FALSE)," ")</f>
        <v xml:space="preserve"> </v>
      </c>
      <c r="L381" s="52" t="str">
        <f>IFERROR(VLOOKUP($A381,'The List'!$B1:$AS730,19,FALSE)," ")</f>
        <v xml:space="preserve"> </v>
      </c>
      <c r="M381" s="52" t="str">
        <f>IFERROR(VLOOKUP($A381,'The List'!$B1:$AS730,20,FALSE)," ")</f>
        <v xml:space="preserve"> </v>
      </c>
      <c r="N381" s="52" t="str">
        <f>IFERROR(VLOOKUP($A381,'The List'!$B1:$AS730,21,FALSE)," ")</f>
        <v xml:space="preserve"> </v>
      </c>
      <c r="O381" s="52" t="str">
        <f>IFERROR(VLOOKUP($A381,'The List'!$B1:$AS730,22,FALSE)," ")</f>
        <v xml:space="preserve"> </v>
      </c>
      <c r="P381" s="52" t="str">
        <f>IFERROR(VLOOKUP($A381,'The List'!$B1:$AS730,23,FALSE)," ")</f>
        <v xml:space="preserve"> </v>
      </c>
      <c r="Q381" s="52" t="str">
        <f>IFERROR(VLOOKUP($A381,'The List'!$B1:$AS730,24,FALSE)," ")</f>
        <v xml:space="preserve"> </v>
      </c>
      <c r="R381" s="52" t="str">
        <f>IFERROR(VLOOKUP($A381,'The List'!$B1:$AS730,25,FALSE)," ")</f>
        <v xml:space="preserve"> </v>
      </c>
      <c r="S381" s="52" t="str">
        <f>IFERROR(VLOOKUP($A381,'The List'!$B1:$AS730,26,FALSE)," ")</f>
        <v xml:space="preserve"> </v>
      </c>
      <c r="T381" s="52" t="str">
        <f>IFERROR(VLOOKUP($A381,'The List'!$B1:$AS730,27,FALSE)," ")</f>
        <v xml:space="preserve"> </v>
      </c>
      <c r="U381" s="52" t="str">
        <f>IFERROR(VLOOKUP($A381,'The List'!$B1:$AS730,28,FALSE)," ")</f>
        <v xml:space="preserve"> </v>
      </c>
      <c r="V381" s="52" t="str">
        <f>IFERROR(VLOOKUP($A381,'The List'!$B1:$AS730,29,FALSE)," ")</f>
        <v xml:space="preserve"> </v>
      </c>
      <c r="W381" s="52" t="str">
        <f>IFERROR(VLOOKUP($A381,'The List'!$B1:$AS730,30,FALSE)," ")</f>
        <v xml:space="preserve"> </v>
      </c>
      <c r="X381" s="52" t="str">
        <f>IFERROR(VLOOKUP($A381,'The List'!$B1:$AS730,31,FALSE)," ")</f>
        <v xml:space="preserve"> </v>
      </c>
      <c r="Y381" s="52" t="str">
        <f>IFERROR(VLOOKUP($A381,'The List'!$B1:$AS730,32,FALSE)," ")</f>
        <v xml:space="preserve"> </v>
      </c>
      <c r="Z381" s="52" t="str">
        <f>IFERROR(VLOOKUP($A381,'The List'!$B1:$AS730,33,FALSE)," ")</f>
        <v xml:space="preserve"> </v>
      </c>
      <c r="AA381" s="54"/>
      <c r="AB381" s="59"/>
      <c r="AC381" s="59"/>
      <c r="AD381" s="59"/>
      <c r="AE381" s="59"/>
      <c r="AF381" s="59"/>
    </row>
    <row r="382" spans="1:32" ht="21.2" customHeight="1">
      <c r="A382" s="23"/>
      <c r="B382" s="56" t="str">
        <f>IFERROR(VLOOKUP($A382,'The List'!$B1:$AS730,3,FALSE)," ")</f>
        <v xml:space="preserve"> </v>
      </c>
      <c r="C382" s="60" t="str">
        <f>IFERROR(VLOOKUP($A382,'The List'!$B1:$AS730,4,FALSE)," ")</f>
        <v xml:space="preserve"> </v>
      </c>
      <c r="D382" s="34" t="str">
        <f>IFERROR(VLOOKUP($A382,'The List'!$B1:$AS730,5,FALSE)," ")</f>
        <v xml:space="preserve"> </v>
      </c>
      <c r="E382" s="34" t="str">
        <f>IFERROR(VLOOKUP($A382,'The List'!$B1:$AS730,6,FALSE)," ")</f>
        <v xml:space="preserve"> </v>
      </c>
      <c r="F382" s="49" t="str">
        <f>IFERROR(VLOOKUP($A382,'The List'!$B1:$AS730,8,FALSE)," ")</f>
        <v xml:space="preserve"> </v>
      </c>
      <c r="G382" s="49" t="str">
        <f>IFERROR(VLOOKUP($A382,'The List'!$B1:$AS730,10,FALSE)," ")</f>
        <v xml:space="preserve"> </v>
      </c>
      <c r="H382" s="38"/>
      <c r="I382" s="52" t="str">
        <f>IFERROR(VLOOKUP($A382,'The List'!$B1:$AS730,16,FALSE)," ")</f>
        <v xml:space="preserve"> </v>
      </c>
      <c r="J382" s="52" t="str">
        <f>IFERROR(VLOOKUP($A382,'The List'!$B1:$AS730,17,FALSE)," ")</f>
        <v xml:space="preserve"> </v>
      </c>
      <c r="K382" s="52" t="str">
        <f>IFERROR(VLOOKUP($A382,'The List'!$B1:$AS730,18,FALSE)," ")</f>
        <v xml:space="preserve"> </v>
      </c>
      <c r="L382" s="52" t="str">
        <f>IFERROR(VLOOKUP($A382,'The List'!$B1:$AS730,19,FALSE)," ")</f>
        <v xml:space="preserve"> </v>
      </c>
      <c r="M382" s="52" t="str">
        <f>IFERROR(VLOOKUP($A382,'The List'!$B1:$AS730,20,FALSE)," ")</f>
        <v xml:space="preserve"> </v>
      </c>
      <c r="N382" s="52" t="str">
        <f>IFERROR(VLOOKUP($A382,'The List'!$B1:$AS730,21,FALSE)," ")</f>
        <v xml:space="preserve"> </v>
      </c>
      <c r="O382" s="52" t="str">
        <f>IFERROR(VLOOKUP($A382,'The List'!$B1:$AS730,22,FALSE)," ")</f>
        <v xml:space="preserve"> </v>
      </c>
      <c r="P382" s="52" t="str">
        <f>IFERROR(VLOOKUP($A382,'The List'!$B1:$AS730,23,FALSE)," ")</f>
        <v xml:space="preserve"> </v>
      </c>
      <c r="Q382" s="52" t="str">
        <f>IFERROR(VLOOKUP($A382,'The List'!$B1:$AS730,24,FALSE)," ")</f>
        <v xml:space="preserve"> </v>
      </c>
      <c r="R382" s="52" t="str">
        <f>IFERROR(VLOOKUP($A382,'The List'!$B1:$AS730,25,FALSE)," ")</f>
        <v xml:space="preserve"> </v>
      </c>
      <c r="S382" s="52" t="str">
        <f>IFERROR(VLOOKUP($A382,'The List'!$B1:$AS730,26,FALSE)," ")</f>
        <v xml:space="preserve"> </v>
      </c>
      <c r="T382" s="52" t="str">
        <f>IFERROR(VLOOKUP($A382,'The List'!$B1:$AS730,27,FALSE)," ")</f>
        <v xml:space="preserve"> </v>
      </c>
      <c r="U382" s="52" t="str">
        <f>IFERROR(VLOOKUP($A382,'The List'!$B1:$AS730,28,FALSE)," ")</f>
        <v xml:space="preserve"> </v>
      </c>
      <c r="V382" s="52" t="str">
        <f>IFERROR(VLOOKUP($A382,'The List'!$B1:$AS730,29,FALSE)," ")</f>
        <v xml:space="preserve"> </v>
      </c>
      <c r="W382" s="52" t="str">
        <f>IFERROR(VLOOKUP($A382,'The List'!$B1:$AS730,30,FALSE)," ")</f>
        <v xml:space="preserve"> </v>
      </c>
      <c r="X382" s="52" t="str">
        <f>IFERROR(VLOOKUP($A382,'The List'!$B1:$AS730,31,FALSE)," ")</f>
        <v xml:space="preserve"> </v>
      </c>
      <c r="Y382" s="52" t="str">
        <f>IFERROR(VLOOKUP($A382,'The List'!$B1:$AS730,32,FALSE)," ")</f>
        <v xml:space="preserve"> </v>
      </c>
      <c r="Z382" s="52" t="str">
        <f>IFERROR(VLOOKUP($A382,'The List'!$B1:$AS730,33,FALSE)," ")</f>
        <v xml:space="preserve"> </v>
      </c>
      <c r="AA382" s="54"/>
      <c r="AB382" s="59"/>
      <c r="AC382" s="59"/>
      <c r="AD382" s="59"/>
      <c r="AE382" s="59"/>
      <c r="AF382" s="59"/>
    </row>
    <row r="383" spans="1:32" ht="21.2" customHeight="1">
      <c r="A383" s="23"/>
      <c r="B383" s="61" t="str">
        <f>IFERROR(VLOOKUP($A383,'The List'!$B1:$AS730,3,FALSE)," ")</f>
        <v xml:space="preserve"> </v>
      </c>
      <c r="C383" s="63" t="str">
        <f>IFERROR(VLOOKUP($A383,'The List'!$B1:$AS730,4,FALSE)," ")</f>
        <v xml:space="preserve"> </v>
      </c>
      <c r="D383" s="34" t="str">
        <f>IFERROR(VLOOKUP($A383,'The List'!$B1:$AS730,5,FALSE)," ")</f>
        <v xml:space="preserve"> </v>
      </c>
      <c r="E383" s="34" t="str">
        <f>IFERROR(VLOOKUP($A383,'The List'!$B1:$AS730,6,FALSE)," ")</f>
        <v xml:space="preserve"> </v>
      </c>
      <c r="F383" s="49" t="str">
        <f>IFERROR(VLOOKUP($A383,'The List'!$B1:$AS730,8,FALSE)," ")</f>
        <v xml:space="preserve"> </v>
      </c>
      <c r="G383" s="49" t="str">
        <f>IFERROR(VLOOKUP($A383,'The List'!$B1:$AS730,10,FALSE)," ")</f>
        <v xml:space="preserve"> </v>
      </c>
      <c r="H383" s="38"/>
      <c r="I383" s="52" t="str">
        <f>IFERROR(VLOOKUP($A383,'The List'!$B1:$AS730,16,FALSE)," ")</f>
        <v xml:space="preserve"> </v>
      </c>
      <c r="J383" s="52" t="str">
        <f>IFERROR(VLOOKUP($A383,'The List'!$B1:$AS730,17,FALSE)," ")</f>
        <v xml:space="preserve"> </v>
      </c>
      <c r="K383" s="52" t="str">
        <f>IFERROR(VLOOKUP($A383,'The List'!$B1:$AS730,18,FALSE)," ")</f>
        <v xml:space="preserve"> </v>
      </c>
      <c r="L383" s="52" t="str">
        <f>IFERROR(VLOOKUP($A383,'The List'!$B1:$AS730,19,FALSE)," ")</f>
        <v xml:space="preserve"> </v>
      </c>
      <c r="M383" s="52" t="str">
        <f>IFERROR(VLOOKUP($A383,'The List'!$B1:$AS730,20,FALSE)," ")</f>
        <v xml:space="preserve"> </v>
      </c>
      <c r="N383" s="52" t="str">
        <f>IFERROR(VLOOKUP($A383,'The List'!$B1:$AS730,21,FALSE)," ")</f>
        <v xml:space="preserve"> </v>
      </c>
      <c r="O383" s="52" t="str">
        <f>IFERROR(VLOOKUP($A383,'The List'!$B1:$AS730,22,FALSE)," ")</f>
        <v xml:space="preserve"> </v>
      </c>
      <c r="P383" s="52" t="str">
        <f>IFERROR(VLOOKUP($A383,'The List'!$B1:$AS730,23,FALSE)," ")</f>
        <v xml:space="preserve"> </v>
      </c>
      <c r="Q383" s="52" t="str">
        <f>IFERROR(VLOOKUP($A383,'The List'!$B1:$AS730,24,FALSE)," ")</f>
        <v xml:space="preserve"> </v>
      </c>
      <c r="R383" s="52" t="str">
        <f>IFERROR(VLOOKUP($A383,'The List'!$B1:$AS730,25,FALSE)," ")</f>
        <v xml:space="preserve"> </v>
      </c>
      <c r="S383" s="52" t="str">
        <f>IFERROR(VLOOKUP($A383,'The List'!$B1:$AS730,26,FALSE)," ")</f>
        <v xml:space="preserve"> </v>
      </c>
      <c r="T383" s="52" t="str">
        <f>IFERROR(VLOOKUP($A383,'The List'!$B1:$AS730,27,FALSE)," ")</f>
        <v xml:space="preserve"> </v>
      </c>
      <c r="U383" s="52" t="str">
        <f>IFERROR(VLOOKUP($A383,'The List'!$B1:$AS730,28,FALSE)," ")</f>
        <v xml:space="preserve"> </v>
      </c>
      <c r="V383" s="52" t="str">
        <f>IFERROR(VLOOKUP($A383,'The List'!$B1:$AS730,29,FALSE)," ")</f>
        <v xml:space="preserve"> </v>
      </c>
      <c r="W383" s="52" t="str">
        <f>IFERROR(VLOOKUP($A383,'The List'!$B1:$AS730,30,FALSE)," ")</f>
        <v xml:space="preserve"> </v>
      </c>
      <c r="X383" s="52" t="str">
        <f>IFERROR(VLOOKUP($A383,'The List'!$B1:$AS730,31,FALSE)," ")</f>
        <v xml:space="preserve"> </v>
      </c>
      <c r="Y383" s="52" t="str">
        <f>IFERROR(VLOOKUP($A383,'The List'!$B1:$AS730,32,FALSE)," ")</f>
        <v xml:space="preserve"> </v>
      </c>
      <c r="Z383" s="52" t="str">
        <f>IFERROR(VLOOKUP($A383,'The List'!$B1:$AS730,33,FALSE)," ")</f>
        <v xml:space="preserve"> </v>
      </c>
      <c r="AA383" s="54"/>
      <c r="AB383" s="59"/>
      <c r="AC383" s="59"/>
      <c r="AD383" s="59"/>
      <c r="AE383" s="59"/>
      <c r="AF383" s="59"/>
    </row>
    <row r="384" spans="1:32" ht="21.2" customHeight="1">
      <c r="A384" s="23"/>
      <c r="B384" s="61" t="str">
        <f>IFERROR(VLOOKUP($A384,'The List'!$B1:$AS730,3,FALSE)," ")</f>
        <v xml:space="preserve"> </v>
      </c>
      <c r="C384" s="63" t="str">
        <f>IFERROR(VLOOKUP($A384,'The List'!$B1:$AS730,4,FALSE)," ")</f>
        <v xml:space="preserve"> </v>
      </c>
      <c r="D384" s="34" t="str">
        <f>IFERROR(VLOOKUP($A384,'The List'!$B1:$AS730,5,FALSE)," ")</f>
        <v xml:space="preserve"> </v>
      </c>
      <c r="E384" s="34" t="str">
        <f>IFERROR(VLOOKUP($A384,'The List'!$B1:$AS730,6,FALSE)," ")</f>
        <v xml:space="preserve"> </v>
      </c>
      <c r="F384" s="49" t="str">
        <f>IFERROR(VLOOKUP($A384,'The List'!$B1:$AS730,8,FALSE)," ")</f>
        <v xml:space="preserve"> </v>
      </c>
      <c r="G384" s="49" t="str">
        <f>IFERROR(VLOOKUP($A384,'The List'!$B1:$AS730,10,FALSE)," ")</f>
        <v xml:space="preserve"> </v>
      </c>
      <c r="H384" s="38"/>
      <c r="I384" s="52" t="str">
        <f>IFERROR(VLOOKUP($A384,'The List'!$B1:$AS730,16,FALSE)," ")</f>
        <v xml:space="preserve"> </v>
      </c>
      <c r="J384" s="52" t="str">
        <f>IFERROR(VLOOKUP($A384,'The List'!$B1:$AS730,17,FALSE)," ")</f>
        <v xml:space="preserve"> </v>
      </c>
      <c r="K384" s="52" t="str">
        <f>IFERROR(VLOOKUP($A384,'The List'!$B1:$AS730,18,FALSE)," ")</f>
        <v xml:space="preserve"> </v>
      </c>
      <c r="L384" s="52" t="str">
        <f>IFERROR(VLOOKUP($A384,'The List'!$B1:$AS730,19,FALSE)," ")</f>
        <v xml:space="preserve"> </v>
      </c>
      <c r="M384" s="52" t="str">
        <f>IFERROR(VLOOKUP($A384,'The List'!$B1:$AS730,20,FALSE)," ")</f>
        <v xml:space="preserve"> </v>
      </c>
      <c r="N384" s="52" t="str">
        <f>IFERROR(VLOOKUP($A384,'The List'!$B1:$AS730,21,FALSE)," ")</f>
        <v xml:space="preserve"> </v>
      </c>
      <c r="O384" s="52" t="str">
        <f>IFERROR(VLOOKUP($A384,'The List'!$B1:$AS730,22,FALSE)," ")</f>
        <v xml:space="preserve"> </v>
      </c>
      <c r="P384" s="52" t="str">
        <f>IFERROR(VLOOKUP($A384,'The List'!$B1:$AS730,23,FALSE)," ")</f>
        <v xml:space="preserve"> </v>
      </c>
      <c r="Q384" s="52" t="str">
        <f>IFERROR(VLOOKUP($A384,'The List'!$B1:$AS730,24,FALSE)," ")</f>
        <v xml:space="preserve"> </v>
      </c>
      <c r="R384" s="52" t="str">
        <f>IFERROR(VLOOKUP($A384,'The List'!$B1:$AS730,25,FALSE)," ")</f>
        <v xml:space="preserve"> </v>
      </c>
      <c r="S384" s="52" t="str">
        <f>IFERROR(VLOOKUP($A384,'The List'!$B1:$AS730,26,FALSE)," ")</f>
        <v xml:space="preserve"> </v>
      </c>
      <c r="T384" s="52" t="str">
        <f>IFERROR(VLOOKUP($A384,'The List'!$B1:$AS730,27,FALSE)," ")</f>
        <v xml:space="preserve"> </v>
      </c>
      <c r="U384" s="52" t="str">
        <f>IFERROR(VLOOKUP($A384,'The List'!$B1:$AS730,28,FALSE)," ")</f>
        <v xml:space="preserve"> </v>
      </c>
      <c r="V384" s="52" t="str">
        <f>IFERROR(VLOOKUP($A384,'The List'!$B1:$AS730,29,FALSE)," ")</f>
        <v xml:space="preserve"> </v>
      </c>
      <c r="W384" s="52" t="str">
        <f>IFERROR(VLOOKUP($A384,'The List'!$B1:$AS730,30,FALSE)," ")</f>
        <v xml:space="preserve"> </v>
      </c>
      <c r="X384" s="52" t="str">
        <f>IFERROR(VLOOKUP($A384,'The List'!$B1:$AS730,31,FALSE)," ")</f>
        <v xml:space="preserve"> </v>
      </c>
      <c r="Y384" s="52" t="str">
        <f>IFERROR(VLOOKUP($A384,'The List'!$B1:$AS730,32,FALSE)," ")</f>
        <v xml:space="preserve"> </v>
      </c>
      <c r="Z384" s="52" t="str">
        <f>IFERROR(VLOOKUP($A384,'The List'!$B1:$AS730,33,FALSE)," ")</f>
        <v xml:space="preserve"> </v>
      </c>
      <c r="AA384" s="54"/>
      <c r="AB384" s="59"/>
      <c r="AC384" s="59"/>
      <c r="AD384" s="59"/>
      <c r="AE384" s="59"/>
      <c r="AF384" s="59"/>
    </row>
    <row r="385" spans="1:32" ht="21.2" customHeight="1">
      <c r="A385" s="23"/>
      <c r="B385" s="61" t="str">
        <f>IFERROR(VLOOKUP($A385,'The List'!$B1:$AS730,3,FALSE)," ")</f>
        <v xml:space="preserve"> </v>
      </c>
      <c r="C385" s="63" t="str">
        <f>IFERROR(VLOOKUP($A385,'The List'!$B1:$AS730,4,FALSE)," ")</f>
        <v xml:space="preserve"> </v>
      </c>
      <c r="D385" s="34" t="str">
        <f>IFERROR(VLOOKUP($A385,'The List'!$B1:$AS730,5,FALSE)," ")</f>
        <v xml:space="preserve"> </v>
      </c>
      <c r="E385" s="34" t="str">
        <f>IFERROR(VLOOKUP($A385,'The List'!$B1:$AS730,6,FALSE)," ")</f>
        <v xml:space="preserve"> </v>
      </c>
      <c r="F385" s="49" t="str">
        <f>IFERROR(VLOOKUP($A385,'The List'!$B1:$AS730,8,FALSE)," ")</f>
        <v xml:space="preserve"> </v>
      </c>
      <c r="G385" s="49" t="str">
        <f>IFERROR(VLOOKUP($A385,'The List'!$B1:$AS730,10,FALSE)," ")</f>
        <v xml:space="preserve"> </v>
      </c>
      <c r="H385" s="38"/>
      <c r="I385" s="52" t="str">
        <f>IFERROR(VLOOKUP($A385,'The List'!$B1:$AS730,16,FALSE)," ")</f>
        <v xml:space="preserve"> </v>
      </c>
      <c r="J385" s="52" t="str">
        <f>IFERROR(VLOOKUP($A385,'The List'!$B1:$AS730,17,FALSE)," ")</f>
        <v xml:space="preserve"> </v>
      </c>
      <c r="K385" s="52" t="str">
        <f>IFERROR(VLOOKUP($A385,'The List'!$B1:$AS730,18,FALSE)," ")</f>
        <v xml:space="preserve"> </v>
      </c>
      <c r="L385" s="52" t="str">
        <f>IFERROR(VLOOKUP($A385,'The List'!$B1:$AS730,19,FALSE)," ")</f>
        <v xml:space="preserve"> </v>
      </c>
      <c r="M385" s="52" t="str">
        <f>IFERROR(VLOOKUP($A385,'The List'!$B1:$AS730,20,FALSE)," ")</f>
        <v xml:space="preserve"> </v>
      </c>
      <c r="N385" s="52" t="str">
        <f>IFERROR(VLOOKUP($A385,'The List'!$B1:$AS730,21,FALSE)," ")</f>
        <v xml:space="preserve"> </v>
      </c>
      <c r="O385" s="52" t="str">
        <f>IFERROR(VLOOKUP($A385,'The List'!$B1:$AS730,22,FALSE)," ")</f>
        <v xml:space="preserve"> </v>
      </c>
      <c r="P385" s="52" t="str">
        <f>IFERROR(VLOOKUP($A385,'The List'!$B1:$AS730,23,FALSE)," ")</f>
        <v xml:space="preserve"> </v>
      </c>
      <c r="Q385" s="52" t="str">
        <f>IFERROR(VLOOKUP($A385,'The List'!$B1:$AS730,24,FALSE)," ")</f>
        <v xml:space="preserve"> </v>
      </c>
      <c r="R385" s="52" t="str">
        <f>IFERROR(VLOOKUP($A385,'The List'!$B1:$AS730,25,FALSE)," ")</f>
        <v xml:space="preserve"> </v>
      </c>
      <c r="S385" s="52" t="str">
        <f>IFERROR(VLOOKUP($A385,'The List'!$B1:$AS730,26,FALSE)," ")</f>
        <v xml:space="preserve"> </v>
      </c>
      <c r="T385" s="52" t="str">
        <f>IFERROR(VLOOKUP($A385,'The List'!$B1:$AS730,27,FALSE)," ")</f>
        <v xml:space="preserve"> </v>
      </c>
      <c r="U385" s="52" t="str">
        <f>IFERROR(VLOOKUP($A385,'The List'!$B1:$AS730,28,FALSE)," ")</f>
        <v xml:space="preserve"> </v>
      </c>
      <c r="V385" s="52" t="str">
        <f>IFERROR(VLOOKUP($A385,'The List'!$B1:$AS730,29,FALSE)," ")</f>
        <v xml:space="preserve"> </v>
      </c>
      <c r="W385" s="52" t="str">
        <f>IFERROR(VLOOKUP($A385,'The List'!$B1:$AS730,30,FALSE)," ")</f>
        <v xml:space="preserve"> </v>
      </c>
      <c r="X385" s="52" t="str">
        <f>IFERROR(VLOOKUP($A385,'The List'!$B1:$AS730,31,FALSE)," ")</f>
        <v xml:space="preserve"> </v>
      </c>
      <c r="Y385" s="52" t="str">
        <f>IFERROR(VLOOKUP($A385,'The List'!$B1:$AS730,32,FALSE)," ")</f>
        <v xml:space="preserve"> </v>
      </c>
      <c r="Z385" s="52" t="str">
        <f>IFERROR(VLOOKUP($A385,'The List'!$B1:$AS730,33,FALSE)," ")</f>
        <v xml:space="preserve"> </v>
      </c>
      <c r="AA385" s="54"/>
      <c r="AB385" s="59"/>
      <c r="AC385" s="59"/>
      <c r="AD385" s="59"/>
      <c r="AE385" s="59"/>
      <c r="AF385" s="59"/>
    </row>
    <row r="386" spans="1:32" ht="21.2" customHeight="1">
      <c r="A386" s="23"/>
      <c r="B386" s="61" t="str">
        <f>IFERROR(VLOOKUP($A386,'The List'!$B1:$AS730,3,FALSE)," ")</f>
        <v xml:space="preserve"> </v>
      </c>
      <c r="C386" s="63" t="str">
        <f>IFERROR(VLOOKUP($A386,'The List'!$B1:$AS730,4,FALSE)," ")</f>
        <v xml:space="preserve"> </v>
      </c>
      <c r="D386" s="34" t="str">
        <f>IFERROR(VLOOKUP($A386,'The List'!$B1:$AS730,5,FALSE)," ")</f>
        <v xml:space="preserve"> </v>
      </c>
      <c r="E386" s="34" t="str">
        <f>IFERROR(VLOOKUP($A386,'The List'!$B1:$AS730,6,FALSE)," ")</f>
        <v xml:space="preserve"> </v>
      </c>
      <c r="F386" s="49" t="str">
        <f>IFERROR(VLOOKUP($A386,'The List'!$B1:$AS730,8,FALSE)," ")</f>
        <v xml:space="preserve"> </v>
      </c>
      <c r="G386" s="49" t="str">
        <f>IFERROR(VLOOKUP($A386,'The List'!$B1:$AS730,10,FALSE)," ")</f>
        <v xml:space="preserve"> </v>
      </c>
      <c r="H386" s="38"/>
      <c r="I386" s="52" t="str">
        <f>IFERROR(VLOOKUP($A386,'The List'!$B1:$AS730,16,FALSE)," ")</f>
        <v xml:space="preserve"> </v>
      </c>
      <c r="J386" s="52" t="str">
        <f>IFERROR(VLOOKUP($A386,'The List'!$B1:$AS730,17,FALSE)," ")</f>
        <v xml:space="preserve"> </v>
      </c>
      <c r="K386" s="52" t="str">
        <f>IFERROR(VLOOKUP($A386,'The List'!$B1:$AS730,18,FALSE)," ")</f>
        <v xml:space="preserve"> </v>
      </c>
      <c r="L386" s="52" t="str">
        <f>IFERROR(VLOOKUP($A386,'The List'!$B1:$AS730,19,FALSE)," ")</f>
        <v xml:space="preserve"> </v>
      </c>
      <c r="M386" s="52" t="str">
        <f>IFERROR(VLOOKUP($A386,'The List'!$B1:$AS730,20,FALSE)," ")</f>
        <v xml:space="preserve"> </v>
      </c>
      <c r="N386" s="52" t="str">
        <f>IFERROR(VLOOKUP($A386,'The List'!$B1:$AS730,21,FALSE)," ")</f>
        <v xml:space="preserve"> </v>
      </c>
      <c r="O386" s="52" t="str">
        <f>IFERROR(VLOOKUP($A386,'The List'!$B1:$AS730,22,FALSE)," ")</f>
        <v xml:space="preserve"> </v>
      </c>
      <c r="P386" s="52" t="str">
        <f>IFERROR(VLOOKUP($A386,'The List'!$B1:$AS730,23,FALSE)," ")</f>
        <v xml:space="preserve"> </v>
      </c>
      <c r="Q386" s="52" t="str">
        <f>IFERROR(VLOOKUP($A386,'The List'!$B1:$AS730,24,FALSE)," ")</f>
        <v xml:space="preserve"> </v>
      </c>
      <c r="R386" s="52" t="str">
        <f>IFERROR(VLOOKUP($A386,'The List'!$B1:$AS730,25,FALSE)," ")</f>
        <v xml:space="preserve"> </v>
      </c>
      <c r="S386" s="52" t="str">
        <f>IFERROR(VLOOKUP($A386,'The List'!$B1:$AS730,26,FALSE)," ")</f>
        <v xml:space="preserve"> </v>
      </c>
      <c r="T386" s="52" t="str">
        <f>IFERROR(VLOOKUP($A386,'The List'!$B1:$AS730,27,FALSE)," ")</f>
        <v xml:space="preserve"> </v>
      </c>
      <c r="U386" s="52" t="str">
        <f>IFERROR(VLOOKUP($A386,'The List'!$B1:$AS730,28,FALSE)," ")</f>
        <v xml:space="preserve"> </v>
      </c>
      <c r="V386" s="52" t="str">
        <f>IFERROR(VLOOKUP($A386,'The List'!$B1:$AS730,29,FALSE)," ")</f>
        <v xml:space="preserve"> </v>
      </c>
      <c r="W386" s="52" t="str">
        <f>IFERROR(VLOOKUP($A386,'The List'!$B1:$AS730,30,FALSE)," ")</f>
        <v xml:space="preserve"> </v>
      </c>
      <c r="X386" s="52" t="str">
        <f>IFERROR(VLOOKUP($A386,'The List'!$B1:$AS730,31,FALSE)," ")</f>
        <v xml:space="preserve"> </v>
      </c>
      <c r="Y386" s="52" t="str">
        <f>IFERROR(VLOOKUP($A386,'The List'!$B1:$AS730,32,FALSE)," ")</f>
        <v xml:space="preserve"> </v>
      </c>
      <c r="Z386" s="52" t="str">
        <f>IFERROR(VLOOKUP($A386,'The List'!$B1:$AS730,33,FALSE)," ")</f>
        <v xml:space="preserve"> </v>
      </c>
      <c r="AA386" s="54"/>
      <c r="AB386" s="59"/>
      <c r="AC386" s="59"/>
      <c r="AD386" s="59"/>
      <c r="AE386" s="59"/>
      <c r="AF386" s="59"/>
    </row>
    <row r="387" spans="1:32" ht="21.2" customHeight="1">
      <c r="A387" s="23"/>
      <c r="B387" s="64" t="str">
        <f>IFERROR(VLOOKUP($A387,'The List'!$B1:$AS730,3,FALSE)," ")</f>
        <v xml:space="preserve"> </v>
      </c>
      <c r="C387" s="66" t="str">
        <f>IFERROR(VLOOKUP($A387,'The List'!$B1:$AS730,4,FALSE)," ")</f>
        <v xml:space="preserve"> </v>
      </c>
      <c r="D387" s="34" t="str">
        <f>IFERROR(VLOOKUP($A387,'The List'!$B1:$AS730,5,FALSE)," ")</f>
        <v xml:space="preserve"> </v>
      </c>
      <c r="E387" s="34" t="str">
        <f>IFERROR(VLOOKUP($A387,'The List'!$B1:$AS730,6,FALSE)," ")</f>
        <v xml:space="preserve"> </v>
      </c>
      <c r="F387" s="49" t="str">
        <f>IFERROR(VLOOKUP($A387,'The List'!$B1:$AS730,8,FALSE)," ")</f>
        <v xml:space="preserve"> </v>
      </c>
      <c r="G387" s="49" t="str">
        <f>IFERROR(VLOOKUP($A387,'The List'!$B1:$AS730,10,FALSE)," ")</f>
        <v xml:space="preserve"> </v>
      </c>
      <c r="H387" s="38"/>
      <c r="I387" s="52" t="str">
        <f>IFERROR(VLOOKUP($A387,'The List'!$B1:$AS730,16,FALSE)," ")</f>
        <v xml:space="preserve"> </v>
      </c>
      <c r="J387" s="52" t="str">
        <f>IFERROR(VLOOKUP($A387,'The List'!$B1:$AS730,17,FALSE)," ")</f>
        <v xml:space="preserve"> </v>
      </c>
      <c r="K387" s="52" t="str">
        <f>IFERROR(VLOOKUP($A387,'The List'!$B1:$AS730,18,FALSE)," ")</f>
        <v xml:space="preserve"> </v>
      </c>
      <c r="L387" s="52" t="str">
        <f>IFERROR(VLOOKUP($A387,'The List'!$B1:$AS730,19,FALSE)," ")</f>
        <v xml:space="preserve"> </v>
      </c>
      <c r="M387" s="52" t="str">
        <f>IFERROR(VLOOKUP($A387,'The List'!$B1:$AS730,20,FALSE)," ")</f>
        <v xml:space="preserve"> </v>
      </c>
      <c r="N387" s="52" t="str">
        <f>IFERROR(VLOOKUP($A387,'The List'!$B1:$AS730,21,FALSE)," ")</f>
        <v xml:space="preserve"> </v>
      </c>
      <c r="O387" s="52" t="str">
        <f>IFERROR(VLOOKUP($A387,'The List'!$B1:$AS730,22,FALSE)," ")</f>
        <v xml:space="preserve"> </v>
      </c>
      <c r="P387" s="52" t="str">
        <f>IFERROR(VLOOKUP($A387,'The List'!$B1:$AS730,23,FALSE)," ")</f>
        <v xml:space="preserve"> </v>
      </c>
      <c r="Q387" s="52" t="str">
        <f>IFERROR(VLOOKUP($A387,'The List'!$B1:$AS730,24,FALSE)," ")</f>
        <v xml:space="preserve"> </v>
      </c>
      <c r="R387" s="52" t="str">
        <f>IFERROR(VLOOKUP($A387,'The List'!$B1:$AS730,25,FALSE)," ")</f>
        <v xml:space="preserve"> </v>
      </c>
      <c r="S387" s="52" t="str">
        <f>IFERROR(VLOOKUP($A387,'The List'!$B1:$AS730,26,FALSE)," ")</f>
        <v xml:space="preserve"> </v>
      </c>
      <c r="T387" s="52" t="str">
        <f>IFERROR(VLOOKUP($A387,'The List'!$B1:$AS730,27,FALSE)," ")</f>
        <v xml:space="preserve"> </v>
      </c>
      <c r="U387" s="52" t="str">
        <f>IFERROR(VLOOKUP($A387,'The List'!$B1:$AS730,28,FALSE)," ")</f>
        <v xml:space="preserve"> </v>
      </c>
      <c r="V387" s="52" t="str">
        <f>IFERROR(VLOOKUP($A387,'The List'!$B1:$AS730,29,FALSE)," ")</f>
        <v xml:space="preserve"> </v>
      </c>
      <c r="W387" s="52" t="str">
        <f>IFERROR(VLOOKUP($A387,'The List'!$B1:$AS730,30,FALSE)," ")</f>
        <v xml:space="preserve"> </v>
      </c>
      <c r="X387" s="52" t="str">
        <f>IFERROR(VLOOKUP($A387,'The List'!$B1:$AS730,31,FALSE)," ")</f>
        <v xml:space="preserve"> </v>
      </c>
      <c r="Y387" s="52" t="str">
        <f>IFERROR(VLOOKUP($A387,'The List'!$B1:$AS730,32,FALSE)," ")</f>
        <v xml:space="preserve"> </v>
      </c>
      <c r="Z387" s="52" t="str">
        <f>IFERROR(VLOOKUP($A387,'The List'!$B1:$AS730,33,FALSE)," ")</f>
        <v xml:space="preserve"> </v>
      </c>
      <c r="AA387" s="54"/>
      <c r="AB387" s="59"/>
      <c r="AC387" s="59"/>
      <c r="AD387" s="59"/>
      <c r="AE387" s="59"/>
      <c r="AF387" s="59"/>
    </row>
    <row r="388" spans="1:32" ht="21.2" customHeight="1">
      <c r="A388" s="23"/>
      <c r="B388" s="64" t="str">
        <f>IFERROR(VLOOKUP($A388,'The List'!$B1:$AS730,3,FALSE)," ")</f>
        <v xml:space="preserve"> </v>
      </c>
      <c r="C388" s="66" t="str">
        <f>IFERROR(VLOOKUP($A388,'The List'!$B1:$AS730,4,FALSE)," ")</f>
        <v xml:space="preserve"> </v>
      </c>
      <c r="D388" s="34" t="str">
        <f>IFERROR(VLOOKUP($A388,'The List'!$B1:$AS730,5,FALSE)," ")</f>
        <v xml:space="preserve"> </v>
      </c>
      <c r="E388" s="34" t="str">
        <f>IFERROR(VLOOKUP($A388,'The List'!$B1:$AS730,6,FALSE)," ")</f>
        <v xml:space="preserve"> </v>
      </c>
      <c r="F388" s="49" t="str">
        <f>IFERROR(VLOOKUP($A388,'The List'!$B1:$AS730,8,FALSE)," ")</f>
        <v xml:space="preserve"> </v>
      </c>
      <c r="G388" s="49" t="str">
        <f>IFERROR(VLOOKUP($A388,'The List'!$B1:$AS730,10,FALSE)," ")</f>
        <v xml:space="preserve"> </v>
      </c>
      <c r="H388" s="38"/>
      <c r="I388" s="52" t="str">
        <f>IFERROR(VLOOKUP($A388,'The List'!$B1:$AS730,16,FALSE)," ")</f>
        <v xml:space="preserve"> </v>
      </c>
      <c r="J388" s="52" t="str">
        <f>IFERROR(VLOOKUP($A388,'The List'!$B1:$AS730,17,FALSE)," ")</f>
        <v xml:space="preserve"> </v>
      </c>
      <c r="K388" s="52" t="str">
        <f>IFERROR(VLOOKUP($A388,'The List'!$B1:$AS730,18,FALSE)," ")</f>
        <v xml:space="preserve"> </v>
      </c>
      <c r="L388" s="52" t="str">
        <f>IFERROR(VLOOKUP($A388,'The List'!$B1:$AS730,19,FALSE)," ")</f>
        <v xml:space="preserve"> </v>
      </c>
      <c r="M388" s="52" t="str">
        <f>IFERROR(VLOOKUP($A388,'The List'!$B1:$AS730,20,FALSE)," ")</f>
        <v xml:space="preserve"> </v>
      </c>
      <c r="N388" s="52" t="str">
        <f>IFERROR(VLOOKUP($A388,'The List'!$B1:$AS730,21,FALSE)," ")</f>
        <v xml:space="preserve"> </v>
      </c>
      <c r="O388" s="52" t="str">
        <f>IFERROR(VLOOKUP($A388,'The List'!$B1:$AS730,22,FALSE)," ")</f>
        <v xml:space="preserve"> </v>
      </c>
      <c r="P388" s="52" t="str">
        <f>IFERROR(VLOOKUP($A388,'The List'!$B1:$AS730,23,FALSE)," ")</f>
        <v xml:space="preserve"> </v>
      </c>
      <c r="Q388" s="52" t="str">
        <f>IFERROR(VLOOKUP($A388,'The List'!$B1:$AS730,24,FALSE)," ")</f>
        <v xml:space="preserve"> </v>
      </c>
      <c r="R388" s="52" t="str">
        <f>IFERROR(VLOOKUP($A388,'The List'!$B1:$AS730,25,FALSE)," ")</f>
        <v xml:space="preserve"> </v>
      </c>
      <c r="S388" s="52" t="str">
        <f>IFERROR(VLOOKUP($A388,'The List'!$B1:$AS730,26,FALSE)," ")</f>
        <v xml:space="preserve"> </v>
      </c>
      <c r="T388" s="52" t="str">
        <f>IFERROR(VLOOKUP($A388,'The List'!$B1:$AS730,27,FALSE)," ")</f>
        <v xml:space="preserve"> </v>
      </c>
      <c r="U388" s="52" t="str">
        <f>IFERROR(VLOOKUP($A388,'The List'!$B1:$AS730,28,FALSE)," ")</f>
        <v xml:space="preserve"> </v>
      </c>
      <c r="V388" s="52" t="str">
        <f>IFERROR(VLOOKUP($A388,'The List'!$B1:$AS730,29,FALSE)," ")</f>
        <v xml:space="preserve"> </v>
      </c>
      <c r="W388" s="52" t="str">
        <f>IFERROR(VLOOKUP($A388,'The List'!$B1:$AS730,30,FALSE)," ")</f>
        <v xml:space="preserve"> </v>
      </c>
      <c r="X388" s="52" t="str">
        <f>IFERROR(VLOOKUP($A388,'The List'!$B1:$AS730,31,FALSE)," ")</f>
        <v xml:space="preserve"> </v>
      </c>
      <c r="Y388" s="52" t="str">
        <f>IFERROR(VLOOKUP($A388,'The List'!$B1:$AS730,32,FALSE)," ")</f>
        <v xml:space="preserve"> </v>
      </c>
      <c r="Z388" s="52" t="str">
        <f>IFERROR(VLOOKUP($A388,'The List'!$B1:$AS730,33,FALSE)," ")</f>
        <v xml:space="preserve"> </v>
      </c>
      <c r="AA388" s="54"/>
      <c r="AB388" s="59"/>
      <c r="AC388" s="59"/>
      <c r="AD388" s="59"/>
      <c r="AE388" s="59"/>
      <c r="AF388" s="59"/>
    </row>
    <row r="389" spans="1:32" ht="21.2" customHeight="1">
      <c r="A389" s="23"/>
      <c r="B389" s="64" t="str">
        <f>IFERROR(VLOOKUP($A389,'The List'!$B1:$AS730,3,FALSE)," ")</f>
        <v xml:space="preserve"> </v>
      </c>
      <c r="C389" s="66" t="str">
        <f>IFERROR(VLOOKUP($A389,'The List'!$B1:$AS730,4,FALSE)," ")</f>
        <v xml:space="preserve"> </v>
      </c>
      <c r="D389" s="34" t="str">
        <f>IFERROR(VLOOKUP($A389,'The List'!$B1:$AS730,5,FALSE)," ")</f>
        <v xml:space="preserve"> </v>
      </c>
      <c r="E389" s="34" t="str">
        <f>IFERROR(VLOOKUP($A389,'The List'!$B1:$AS730,6,FALSE)," ")</f>
        <v xml:space="preserve"> </v>
      </c>
      <c r="F389" s="49" t="str">
        <f>IFERROR(VLOOKUP($A389,'The List'!$B1:$AS730,8,FALSE)," ")</f>
        <v xml:space="preserve"> </v>
      </c>
      <c r="G389" s="49" t="str">
        <f>IFERROR(VLOOKUP($A389,'The List'!$B1:$AS730,10,FALSE)," ")</f>
        <v xml:space="preserve"> </v>
      </c>
      <c r="H389" s="38"/>
      <c r="I389" s="52" t="str">
        <f>IFERROR(VLOOKUP($A389,'The List'!$B1:$AS730,16,FALSE)," ")</f>
        <v xml:space="preserve"> </v>
      </c>
      <c r="J389" s="52" t="str">
        <f>IFERROR(VLOOKUP($A389,'The List'!$B1:$AS730,17,FALSE)," ")</f>
        <v xml:space="preserve"> </v>
      </c>
      <c r="K389" s="52" t="str">
        <f>IFERROR(VLOOKUP($A389,'The List'!$B1:$AS730,18,FALSE)," ")</f>
        <v xml:space="preserve"> </v>
      </c>
      <c r="L389" s="52" t="str">
        <f>IFERROR(VLOOKUP($A389,'The List'!$B1:$AS730,19,FALSE)," ")</f>
        <v xml:space="preserve"> </v>
      </c>
      <c r="M389" s="52" t="str">
        <f>IFERROR(VLOOKUP($A389,'The List'!$B1:$AS730,20,FALSE)," ")</f>
        <v xml:space="preserve"> </v>
      </c>
      <c r="N389" s="52" t="str">
        <f>IFERROR(VLOOKUP($A389,'The List'!$B1:$AS730,21,FALSE)," ")</f>
        <v xml:space="preserve"> </v>
      </c>
      <c r="O389" s="52" t="str">
        <f>IFERROR(VLOOKUP($A389,'The List'!$B1:$AS730,22,FALSE)," ")</f>
        <v xml:space="preserve"> </v>
      </c>
      <c r="P389" s="52" t="str">
        <f>IFERROR(VLOOKUP($A389,'The List'!$B1:$AS730,23,FALSE)," ")</f>
        <v xml:space="preserve"> </v>
      </c>
      <c r="Q389" s="52" t="str">
        <f>IFERROR(VLOOKUP($A389,'The List'!$B1:$AS730,24,FALSE)," ")</f>
        <v xml:space="preserve"> </v>
      </c>
      <c r="R389" s="52" t="str">
        <f>IFERROR(VLOOKUP($A389,'The List'!$B1:$AS730,25,FALSE)," ")</f>
        <v xml:space="preserve"> </v>
      </c>
      <c r="S389" s="52" t="str">
        <f>IFERROR(VLOOKUP($A389,'The List'!$B1:$AS730,26,FALSE)," ")</f>
        <v xml:space="preserve"> </v>
      </c>
      <c r="T389" s="52" t="str">
        <f>IFERROR(VLOOKUP($A389,'The List'!$B1:$AS730,27,FALSE)," ")</f>
        <v xml:space="preserve"> </v>
      </c>
      <c r="U389" s="52" t="str">
        <f>IFERROR(VLOOKUP($A389,'The List'!$B1:$AS730,28,FALSE)," ")</f>
        <v xml:space="preserve"> </v>
      </c>
      <c r="V389" s="52" t="str">
        <f>IFERROR(VLOOKUP($A389,'The List'!$B1:$AS730,29,FALSE)," ")</f>
        <v xml:space="preserve"> </v>
      </c>
      <c r="W389" s="52" t="str">
        <f>IFERROR(VLOOKUP($A389,'The List'!$B1:$AS730,30,FALSE)," ")</f>
        <v xml:space="preserve"> </v>
      </c>
      <c r="X389" s="52" t="str">
        <f>IFERROR(VLOOKUP($A389,'The List'!$B1:$AS730,31,FALSE)," ")</f>
        <v xml:space="preserve"> </v>
      </c>
      <c r="Y389" s="52" t="str">
        <f>IFERROR(VLOOKUP($A389,'The List'!$B1:$AS730,32,FALSE)," ")</f>
        <v xml:space="preserve"> </v>
      </c>
      <c r="Z389" s="52" t="str">
        <f>IFERROR(VLOOKUP($A389,'The List'!$B1:$AS730,33,FALSE)," ")</f>
        <v xml:space="preserve"> </v>
      </c>
      <c r="AA389" s="54"/>
      <c r="AB389" s="59"/>
      <c r="AC389" s="59"/>
      <c r="AD389" s="59"/>
      <c r="AE389" s="59"/>
      <c r="AF389" s="59"/>
    </row>
    <row r="390" spans="1:32" ht="21.2" customHeight="1">
      <c r="A390" s="23"/>
      <c r="B390" s="64" t="str">
        <f>IFERROR(VLOOKUP($A390,'The List'!$B1:$AS730,3,FALSE)," ")</f>
        <v xml:space="preserve"> </v>
      </c>
      <c r="C390" s="66" t="str">
        <f>IFERROR(VLOOKUP($A390,'The List'!$B1:$AS730,4,FALSE)," ")</f>
        <v xml:space="preserve"> </v>
      </c>
      <c r="D390" s="34" t="str">
        <f>IFERROR(VLOOKUP($A390,'The List'!$B1:$AS730,5,FALSE)," ")</f>
        <v xml:space="preserve"> </v>
      </c>
      <c r="E390" s="34" t="str">
        <f>IFERROR(VLOOKUP($A390,'The List'!$B1:$AS730,6,FALSE)," ")</f>
        <v xml:space="preserve"> </v>
      </c>
      <c r="F390" s="49" t="str">
        <f>IFERROR(VLOOKUP($A390,'The List'!$B1:$AS730,8,FALSE)," ")</f>
        <v xml:space="preserve"> </v>
      </c>
      <c r="G390" s="49" t="str">
        <f>IFERROR(VLOOKUP($A390,'The List'!$B1:$AS730,10,FALSE)," ")</f>
        <v xml:space="preserve"> </v>
      </c>
      <c r="H390" s="38"/>
      <c r="I390" s="52" t="str">
        <f>IFERROR(VLOOKUP($A390,'The List'!$B1:$AS730,16,FALSE)," ")</f>
        <v xml:space="preserve"> </v>
      </c>
      <c r="J390" s="52" t="str">
        <f>IFERROR(VLOOKUP($A390,'The List'!$B1:$AS730,17,FALSE)," ")</f>
        <v xml:space="preserve"> </v>
      </c>
      <c r="K390" s="52" t="str">
        <f>IFERROR(VLOOKUP($A390,'The List'!$B1:$AS730,18,FALSE)," ")</f>
        <v xml:space="preserve"> </v>
      </c>
      <c r="L390" s="52" t="str">
        <f>IFERROR(VLOOKUP($A390,'The List'!$B1:$AS730,19,FALSE)," ")</f>
        <v xml:space="preserve"> </v>
      </c>
      <c r="M390" s="52" t="str">
        <f>IFERROR(VLOOKUP($A390,'The List'!$B1:$AS730,20,FALSE)," ")</f>
        <v xml:space="preserve"> </v>
      </c>
      <c r="N390" s="52" t="str">
        <f>IFERROR(VLOOKUP($A390,'The List'!$B1:$AS730,21,FALSE)," ")</f>
        <v xml:space="preserve"> </v>
      </c>
      <c r="O390" s="52" t="str">
        <f>IFERROR(VLOOKUP($A390,'The List'!$B1:$AS730,22,FALSE)," ")</f>
        <v xml:space="preserve"> </v>
      </c>
      <c r="P390" s="52" t="str">
        <f>IFERROR(VLOOKUP($A390,'The List'!$B1:$AS730,23,FALSE)," ")</f>
        <v xml:space="preserve"> </v>
      </c>
      <c r="Q390" s="52" t="str">
        <f>IFERROR(VLOOKUP($A390,'The List'!$B1:$AS730,24,FALSE)," ")</f>
        <v xml:space="preserve"> </v>
      </c>
      <c r="R390" s="52" t="str">
        <f>IFERROR(VLOOKUP($A390,'The List'!$B1:$AS730,25,FALSE)," ")</f>
        <v xml:space="preserve"> </v>
      </c>
      <c r="S390" s="52" t="str">
        <f>IFERROR(VLOOKUP($A390,'The List'!$B1:$AS730,26,FALSE)," ")</f>
        <v xml:space="preserve"> </v>
      </c>
      <c r="T390" s="52" t="str">
        <f>IFERROR(VLOOKUP($A390,'The List'!$B1:$AS730,27,FALSE)," ")</f>
        <v xml:space="preserve"> </v>
      </c>
      <c r="U390" s="52" t="str">
        <f>IFERROR(VLOOKUP($A390,'The List'!$B1:$AS730,28,FALSE)," ")</f>
        <v xml:space="preserve"> </v>
      </c>
      <c r="V390" s="52" t="str">
        <f>IFERROR(VLOOKUP($A390,'The List'!$B1:$AS730,29,FALSE)," ")</f>
        <v xml:space="preserve"> </v>
      </c>
      <c r="W390" s="52" t="str">
        <f>IFERROR(VLOOKUP($A390,'The List'!$B1:$AS730,30,FALSE)," ")</f>
        <v xml:space="preserve"> </v>
      </c>
      <c r="X390" s="52" t="str">
        <f>IFERROR(VLOOKUP($A390,'The List'!$B1:$AS730,31,FALSE)," ")</f>
        <v xml:space="preserve"> </v>
      </c>
      <c r="Y390" s="52" t="str">
        <f>IFERROR(VLOOKUP($A390,'The List'!$B1:$AS730,32,FALSE)," ")</f>
        <v xml:space="preserve"> </v>
      </c>
      <c r="Z390" s="52" t="str">
        <f>IFERROR(VLOOKUP($A390,'The List'!$B1:$AS730,33,FALSE)," ")</f>
        <v xml:space="preserve"> </v>
      </c>
      <c r="AA390" s="54"/>
      <c r="AB390" s="59"/>
      <c r="AC390" s="59"/>
      <c r="AD390" s="59"/>
      <c r="AE390" s="59"/>
      <c r="AF390" s="59"/>
    </row>
    <row r="391" spans="1:32" ht="21.2" customHeight="1">
      <c r="A391" s="23"/>
      <c r="B391" s="67" t="str">
        <f>IFERROR(VLOOKUP($A391,'The List'!$B1:$AS730,3,FALSE)," ")</f>
        <v xml:space="preserve"> </v>
      </c>
      <c r="C391" s="69" t="str">
        <f>IFERROR(VLOOKUP($A391,'The List'!$B1:$AS730,4,FALSE)," ")</f>
        <v xml:space="preserve"> </v>
      </c>
      <c r="D391" s="34" t="str">
        <f>IFERROR(VLOOKUP($A391,'The List'!$B1:$AS730,5,FALSE)," ")</f>
        <v xml:space="preserve"> </v>
      </c>
      <c r="E391" s="34" t="str">
        <f>IFERROR(VLOOKUP($A391,'The List'!$B1:$AS730,6,FALSE)," ")</f>
        <v xml:space="preserve"> </v>
      </c>
      <c r="F391" s="49" t="str">
        <f>IFERROR(VLOOKUP($A391,'The List'!$B1:$AS730,8,FALSE)," ")</f>
        <v xml:space="preserve"> </v>
      </c>
      <c r="G391" s="49" t="str">
        <f>IFERROR(VLOOKUP($A391,'The List'!$B1:$AS730,10,FALSE)," ")</f>
        <v xml:space="preserve"> </v>
      </c>
      <c r="H391" s="38"/>
      <c r="I391" s="52" t="str">
        <f>IFERROR(VLOOKUP($A391,'The List'!$B1:$AS730,16,FALSE)," ")</f>
        <v xml:space="preserve"> </v>
      </c>
      <c r="J391" s="52" t="str">
        <f>IFERROR(VLOOKUP($A391,'The List'!$B1:$AS730,17,FALSE)," ")</f>
        <v xml:space="preserve"> </v>
      </c>
      <c r="K391" s="52" t="str">
        <f>IFERROR(VLOOKUP($A391,'The List'!$B1:$AS730,18,FALSE)," ")</f>
        <v xml:space="preserve"> </v>
      </c>
      <c r="L391" s="52" t="str">
        <f>IFERROR(VLOOKUP($A391,'The List'!$B1:$AS730,19,FALSE)," ")</f>
        <v xml:space="preserve"> </v>
      </c>
      <c r="M391" s="52" t="str">
        <f>IFERROR(VLOOKUP($A391,'The List'!$B1:$AS730,20,FALSE)," ")</f>
        <v xml:space="preserve"> </v>
      </c>
      <c r="N391" s="52" t="str">
        <f>IFERROR(VLOOKUP($A391,'The List'!$B1:$AS730,21,FALSE)," ")</f>
        <v xml:space="preserve"> </v>
      </c>
      <c r="O391" s="52" t="str">
        <f>IFERROR(VLOOKUP($A391,'The List'!$B1:$AS730,22,FALSE)," ")</f>
        <v xml:space="preserve"> </v>
      </c>
      <c r="P391" s="52" t="str">
        <f>IFERROR(VLOOKUP($A391,'The List'!$B1:$AS730,23,FALSE)," ")</f>
        <v xml:space="preserve"> </v>
      </c>
      <c r="Q391" s="52" t="str">
        <f>IFERROR(VLOOKUP($A391,'The List'!$B1:$AS730,24,FALSE)," ")</f>
        <v xml:space="preserve"> </v>
      </c>
      <c r="R391" s="52" t="str">
        <f>IFERROR(VLOOKUP($A391,'The List'!$B1:$AS730,25,FALSE)," ")</f>
        <v xml:space="preserve"> </v>
      </c>
      <c r="S391" s="52" t="str">
        <f>IFERROR(VLOOKUP($A391,'The List'!$B1:$AS730,26,FALSE)," ")</f>
        <v xml:space="preserve"> </v>
      </c>
      <c r="T391" s="52" t="str">
        <f>IFERROR(VLOOKUP($A391,'The List'!$B1:$AS730,27,FALSE)," ")</f>
        <v xml:space="preserve"> </v>
      </c>
      <c r="U391" s="52" t="str">
        <f>IFERROR(VLOOKUP($A391,'The List'!$B1:$AS730,28,FALSE)," ")</f>
        <v xml:space="preserve"> </v>
      </c>
      <c r="V391" s="52" t="str">
        <f>IFERROR(VLOOKUP($A391,'The List'!$B1:$AS730,29,FALSE)," ")</f>
        <v xml:space="preserve"> </v>
      </c>
      <c r="W391" s="52" t="str">
        <f>IFERROR(VLOOKUP($A391,'The List'!$B1:$AS730,30,FALSE)," ")</f>
        <v xml:space="preserve"> </v>
      </c>
      <c r="X391" s="52" t="str">
        <f>IFERROR(VLOOKUP($A391,'The List'!$B1:$AS730,31,FALSE)," ")</f>
        <v xml:space="preserve"> </v>
      </c>
      <c r="Y391" s="52" t="str">
        <f>IFERROR(VLOOKUP($A391,'The List'!$B1:$AS730,32,FALSE)," ")</f>
        <v xml:space="preserve"> </v>
      </c>
      <c r="Z391" s="52" t="str">
        <f>IFERROR(VLOOKUP($A391,'The List'!$B1:$AS730,33,FALSE)," ")</f>
        <v xml:space="preserve"> </v>
      </c>
      <c r="AA391" s="54"/>
      <c r="AB391" s="59"/>
      <c r="AC391" s="59"/>
      <c r="AD391" s="59"/>
      <c r="AE391" s="59"/>
      <c r="AF391" s="59"/>
    </row>
    <row r="392" spans="1:32" ht="21.2" customHeight="1">
      <c r="A392" s="23"/>
      <c r="B392" s="67" t="str">
        <f>IFERROR(VLOOKUP($A392,'The List'!$B1:$AS730,3,FALSE)," ")</f>
        <v xml:space="preserve"> </v>
      </c>
      <c r="C392" s="69" t="str">
        <f>IFERROR(VLOOKUP($A392,'The List'!$B1:$AS730,4,FALSE)," ")</f>
        <v xml:space="preserve"> </v>
      </c>
      <c r="D392" s="34" t="str">
        <f>IFERROR(VLOOKUP($A392,'The List'!$B1:$AS730,5,FALSE)," ")</f>
        <v xml:space="preserve"> </v>
      </c>
      <c r="E392" s="34" t="str">
        <f>IFERROR(VLOOKUP($A392,'The List'!$B1:$AS730,6,FALSE)," ")</f>
        <v xml:space="preserve"> </v>
      </c>
      <c r="F392" s="49" t="str">
        <f>IFERROR(VLOOKUP($A392,'The List'!$B1:$AS730,8,FALSE)," ")</f>
        <v xml:space="preserve"> </v>
      </c>
      <c r="G392" s="49" t="str">
        <f>IFERROR(VLOOKUP($A392,'The List'!$B1:$AS730,10,FALSE)," ")</f>
        <v xml:space="preserve"> </v>
      </c>
      <c r="H392" s="38"/>
      <c r="I392" s="52" t="str">
        <f>IFERROR(VLOOKUP($A392,'The List'!$B1:$AS730,16,FALSE)," ")</f>
        <v xml:space="preserve"> </v>
      </c>
      <c r="J392" s="52" t="str">
        <f>IFERROR(VLOOKUP($A392,'The List'!$B1:$AS730,17,FALSE)," ")</f>
        <v xml:space="preserve"> </v>
      </c>
      <c r="K392" s="52" t="str">
        <f>IFERROR(VLOOKUP($A392,'The List'!$B1:$AS730,18,FALSE)," ")</f>
        <v xml:space="preserve"> </v>
      </c>
      <c r="L392" s="52" t="str">
        <f>IFERROR(VLOOKUP($A392,'The List'!$B1:$AS730,19,FALSE)," ")</f>
        <v xml:space="preserve"> </v>
      </c>
      <c r="M392" s="52" t="str">
        <f>IFERROR(VLOOKUP($A392,'The List'!$B1:$AS730,20,FALSE)," ")</f>
        <v xml:space="preserve"> </v>
      </c>
      <c r="N392" s="52" t="str">
        <f>IFERROR(VLOOKUP($A392,'The List'!$B1:$AS730,21,FALSE)," ")</f>
        <v xml:space="preserve"> </v>
      </c>
      <c r="O392" s="52" t="str">
        <f>IFERROR(VLOOKUP($A392,'The List'!$B1:$AS730,22,FALSE)," ")</f>
        <v xml:space="preserve"> </v>
      </c>
      <c r="P392" s="52" t="str">
        <f>IFERROR(VLOOKUP($A392,'The List'!$B1:$AS730,23,FALSE)," ")</f>
        <v xml:space="preserve"> </v>
      </c>
      <c r="Q392" s="52" t="str">
        <f>IFERROR(VLOOKUP($A392,'The List'!$B1:$AS730,24,FALSE)," ")</f>
        <v xml:space="preserve"> </v>
      </c>
      <c r="R392" s="52" t="str">
        <f>IFERROR(VLOOKUP($A392,'The List'!$B1:$AS730,25,FALSE)," ")</f>
        <v xml:space="preserve"> </v>
      </c>
      <c r="S392" s="52" t="str">
        <f>IFERROR(VLOOKUP($A392,'The List'!$B1:$AS730,26,FALSE)," ")</f>
        <v xml:space="preserve"> </v>
      </c>
      <c r="T392" s="52" t="str">
        <f>IFERROR(VLOOKUP($A392,'The List'!$B1:$AS730,27,FALSE)," ")</f>
        <v xml:space="preserve"> </v>
      </c>
      <c r="U392" s="52" t="str">
        <f>IFERROR(VLOOKUP($A392,'The List'!$B1:$AS730,28,FALSE)," ")</f>
        <v xml:space="preserve"> </v>
      </c>
      <c r="V392" s="52" t="str">
        <f>IFERROR(VLOOKUP($A392,'The List'!$B1:$AS730,29,FALSE)," ")</f>
        <v xml:space="preserve"> </v>
      </c>
      <c r="W392" s="52" t="str">
        <f>IFERROR(VLOOKUP($A392,'The List'!$B1:$AS730,30,FALSE)," ")</f>
        <v xml:space="preserve"> </v>
      </c>
      <c r="X392" s="52" t="str">
        <f>IFERROR(VLOOKUP($A392,'The List'!$B1:$AS730,31,FALSE)," ")</f>
        <v xml:space="preserve"> </v>
      </c>
      <c r="Y392" s="52" t="str">
        <f>IFERROR(VLOOKUP($A392,'The List'!$B1:$AS730,32,FALSE)," ")</f>
        <v xml:space="preserve"> </v>
      </c>
      <c r="Z392" s="52" t="str">
        <f>IFERROR(VLOOKUP($A392,'The List'!$B1:$AS730,33,FALSE)," ")</f>
        <v xml:space="preserve"> </v>
      </c>
      <c r="AA392" s="54"/>
      <c r="AB392" s="59"/>
      <c r="AC392" s="59"/>
      <c r="AD392" s="59"/>
      <c r="AE392" s="59"/>
      <c r="AF392" s="59"/>
    </row>
    <row r="393" spans="1:32" ht="21.2" customHeight="1">
      <c r="A393" s="23"/>
      <c r="B393" s="67" t="str">
        <f>IFERROR(VLOOKUP($A393,'The List'!$B1:$AS730,3,FALSE)," ")</f>
        <v xml:space="preserve"> </v>
      </c>
      <c r="C393" s="69" t="str">
        <f>IFERROR(VLOOKUP($A393,'The List'!$B1:$AS730,4,FALSE)," ")</f>
        <v xml:space="preserve"> </v>
      </c>
      <c r="D393" s="34" t="str">
        <f>IFERROR(VLOOKUP($A393,'The List'!$B1:$AS730,5,FALSE)," ")</f>
        <v xml:space="preserve"> </v>
      </c>
      <c r="E393" s="34" t="str">
        <f>IFERROR(VLOOKUP($A393,'The List'!$B1:$AS730,6,FALSE)," ")</f>
        <v xml:space="preserve"> </v>
      </c>
      <c r="F393" s="49" t="str">
        <f>IFERROR(VLOOKUP($A393,'The List'!$B1:$AS730,8,FALSE)," ")</f>
        <v xml:space="preserve"> </v>
      </c>
      <c r="G393" s="49" t="str">
        <f>IFERROR(VLOOKUP($A393,'The List'!$B1:$AS730,10,FALSE)," ")</f>
        <v xml:space="preserve"> </v>
      </c>
      <c r="H393" s="38"/>
      <c r="I393" s="52" t="str">
        <f>IFERROR(VLOOKUP($A393,'The List'!$B1:$AS730,16,FALSE)," ")</f>
        <v xml:space="preserve"> </v>
      </c>
      <c r="J393" s="52" t="str">
        <f>IFERROR(VLOOKUP($A393,'The List'!$B1:$AS730,17,FALSE)," ")</f>
        <v xml:space="preserve"> </v>
      </c>
      <c r="K393" s="52" t="str">
        <f>IFERROR(VLOOKUP($A393,'The List'!$B1:$AS730,18,FALSE)," ")</f>
        <v xml:space="preserve"> </v>
      </c>
      <c r="L393" s="52" t="str">
        <f>IFERROR(VLOOKUP($A393,'The List'!$B1:$AS730,19,FALSE)," ")</f>
        <v xml:space="preserve"> </v>
      </c>
      <c r="M393" s="52" t="str">
        <f>IFERROR(VLOOKUP($A393,'The List'!$B1:$AS730,20,FALSE)," ")</f>
        <v xml:space="preserve"> </v>
      </c>
      <c r="N393" s="52" t="str">
        <f>IFERROR(VLOOKUP($A393,'The List'!$B1:$AS730,21,FALSE)," ")</f>
        <v xml:space="preserve"> </v>
      </c>
      <c r="O393" s="52" t="str">
        <f>IFERROR(VLOOKUP($A393,'The List'!$B1:$AS730,22,FALSE)," ")</f>
        <v xml:space="preserve"> </v>
      </c>
      <c r="P393" s="52" t="str">
        <f>IFERROR(VLOOKUP($A393,'The List'!$B1:$AS730,23,FALSE)," ")</f>
        <v xml:space="preserve"> </v>
      </c>
      <c r="Q393" s="52" t="str">
        <f>IFERROR(VLOOKUP($A393,'The List'!$B1:$AS730,24,FALSE)," ")</f>
        <v xml:space="preserve"> </v>
      </c>
      <c r="R393" s="52" t="str">
        <f>IFERROR(VLOOKUP($A393,'The List'!$B1:$AS730,25,FALSE)," ")</f>
        <v xml:space="preserve"> </v>
      </c>
      <c r="S393" s="52" t="str">
        <f>IFERROR(VLOOKUP($A393,'The List'!$B1:$AS730,26,FALSE)," ")</f>
        <v xml:space="preserve"> </v>
      </c>
      <c r="T393" s="52" t="str">
        <f>IFERROR(VLOOKUP($A393,'The List'!$B1:$AS730,27,FALSE)," ")</f>
        <v xml:space="preserve"> </v>
      </c>
      <c r="U393" s="52" t="str">
        <f>IFERROR(VLOOKUP($A393,'The List'!$B1:$AS730,28,FALSE)," ")</f>
        <v xml:space="preserve"> </v>
      </c>
      <c r="V393" s="52" t="str">
        <f>IFERROR(VLOOKUP($A393,'The List'!$B1:$AS730,29,FALSE)," ")</f>
        <v xml:space="preserve"> </v>
      </c>
      <c r="W393" s="52" t="str">
        <f>IFERROR(VLOOKUP($A393,'The List'!$B1:$AS730,30,FALSE)," ")</f>
        <v xml:space="preserve"> </v>
      </c>
      <c r="X393" s="52" t="str">
        <f>IFERROR(VLOOKUP($A393,'The List'!$B1:$AS730,31,FALSE)," ")</f>
        <v xml:space="preserve"> </v>
      </c>
      <c r="Y393" s="52" t="str">
        <f>IFERROR(VLOOKUP($A393,'The List'!$B1:$AS730,32,FALSE)," ")</f>
        <v xml:space="preserve"> </v>
      </c>
      <c r="Z393" s="52" t="str">
        <f>IFERROR(VLOOKUP($A393,'The List'!$B1:$AS730,33,FALSE)," ")</f>
        <v xml:space="preserve"> </v>
      </c>
      <c r="AA393" s="54"/>
      <c r="AB393" s="59"/>
      <c r="AC393" s="59"/>
      <c r="AD393" s="59"/>
      <c r="AE393" s="59"/>
      <c r="AF393" s="59"/>
    </row>
    <row r="394" spans="1:32" ht="21.2" customHeight="1">
      <c r="A394" s="23"/>
      <c r="B394" s="67" t="str">
        <f>IFERROR(VLOOKUP($A394,'The List'!$B1:$AS730,3,FALSE)," ")</f>
        <v xml:space="preserve"> </v>
      </c>
      <c r="C394" s="69" t="str">
        <f>IFERROR(VLOOKUP($A394,'The List'!$B1:$AS730,4,FALSE)," ")</f>
        <v xml:space="preserve"> </v>
      </c>
      <c r="D394" s="34" t="str">
        <f>IFERROR(VLOOKUP($A394,'The List'!$B1:$AS730,5,FALSE)," ")</f>
        <v xml:space="preserve"> </v>
      </c>
      <c r="E394" s="34" t="str">
        <f>IFERROR(VLOOKUP($A394,'The List'!$B1:$AS730,6,FALSE)," ")</f>
        <v xml:space="preserve"> </v>
      </c>
      <c r="F394" s="49" t="str">
        <f>IFERROR(VLOOKUP($A394,'The List'!$B1:$AS730,8,FALSE)," ")</f>
        <v xml:space="preserve"> </v>
      </c>
      <c r="G394" s="49" t="str">
        <f>IFERROR(VLOOKUP($A394,'The List'!$B1:$AS730,10,FALSE)," ")</f>
        <v xml:space="preserve"> </v>
      </c>
      <c r="H394" s="38"/>
      <c r="I394" s="52" t="str">
        <f>IFERROR(VLOOKUP($A394,'The List'!$B1:$AS730,16,FALSE)," ")</f>
        <v xml:space="preserve"> </v>
      </c>
      <c r="J394" s="52" t="str">
        <f>IFERROR(VLOOKUP($A394,'The List'!$B1:$AS730,17,FALSE)," ")</f>
        <v xml:space="preserve"> </v>
      </c>
      <c r="K394" s="52" t="str">
        <f>IFERROR(VLOOKUP($A394,'The List'!$B1:$AS730,18,FALSE)," ")</f>
        <v xml:space="preserve"> </v>
      </c>
      <c r="L394" s="52" t="str">
        <f>IFERROR(VLOOKUP($A394,'The List'!$B1:$AS730,19,FALSE)," ")</f>
        <v xml:space="preserve"> </v>
      </c>
      <c r="M394" s="52" t="str">
        <f>IFERROR(VLOOKUP($A394,'The List'!$B1:$AS730,20,FALSE)," ")</f>
        <v xml:space="preserve"> </v>
      </c>
      <c r="N394" s="52" t="str">
        <f>IFERROR(VLOOKUP($A394,'The List'!$B1:$AS730,21,FALSE)," ")</f>
        <v xml:space="preserve"> </v>
      </c>
      <c r="O394" s="52" t="str">
        <f>IFERROR(VLOOKUP($A394,'The List'!$B1:$AS730,22,FALSE)," ")</f>
        <v xml:space="preserve"> </v>
      </c>
      <c r="P394" s="52" t="str">
        <f>IFERROR(VLOOKUP($A394,'The List'!$B1:$AS730,23,FALSE)," ")</f>
        <v xml:space="preserve"> </v>
      </c>
      <c r="Q394" s="52" t="str">
        <f>IFERROR(VLOOKUP($A394,'The List'!$B1:$AS730,24,FALSE)," ")</f>
        <v xml:space="preserve"> </v>
      </c>
      <c r="R394" s="52" t="str">
        <f>IFERROR(VLOOKUP($A394,'The List'!$B1:$AS730,25,FALSE)," ")</f>
        <v xml:space="preserve"> </v>
      </c>
      <c r="S394" s="52" t="str">
        <f>IFERROR(VLOOKUP($A394,'The List'!$B1:$AS730,26,FALSE)," ")</f>
        <v xml:space="preserve"> </v>
      </c>
      <c r="T394" s="52" t="str">
        <f>IFERROR(VLOOKUP($A394,'The List'!$B1:$AS730,27,FALSE)," ")</f>
        <v xml:space="preserve"> </v>
      </c>
      <c r="U394" s="52" t="str">
        <f>IFERROR(VLOOKUP($A394,'The List'!$B1:$AS730,28,FALSE)," ")</f>
        <v xml:space="preserve"> </v>
      </c>
      <c r="V394" s="52" t="str">
        <f>IFERROR(VLOOKUP($A394,'The List'!$B1:$AS730,29,FALSE)," ")</f>
        <v xml:space="preserve"> </v>
      </c>
      <c r="W394" s="52" t="str">
        <f>IFERROR(VLOOKUP($A394,'The List'!$B1:$AS730,30,FALSE)," ")</f>
        <v xml:space="preserve"> </v>
      </c>
      <c r="X394" s="52" t="str">
        <f>IFERROR(VLOOKUP($A394,'The List'!$B1:$AS730,31,FALSE)," ")</f>
        <v xml:space="preserve"> </v>
      </c>
      <c r="Y394" s="52" t="str">
        <f>IFERROR(VLOOKUP($A394,'The List'!$B1:$AS730,32,FALSE)," ")</f>
        <v xml:space="preserve"> </v>
      </c>
      <c r="Z394" s="52" t="str">
        <f>IFERROR(VLOOKUP($A394,'The List'!$B1:$AS730,33,FALSE)," ")</f>
        <v xml:space="preserve"> </v>
      </c>
      <c r="AA394" s="54"/>
      <c r="AB394" s="59"/>
      <c r="AC394" s="59"/>
      <c r="AD394" s="59"/>
      <c r="AE394" s="59"/>
      <c r="AF394" s="59"/>
    </row>
    <row r="395" spans="1:32" ht="21.2" customHeight="1">
      <c r="A395" s="23"/>
      <c r="B395" s="67" t="str">
        <f>IFERROR(VLOOKUP($A395,'The List'!$B1:$AS730,3,FALSE)," ")</f>
        <v xml:space="preserve"> </v>
      </c>
      <c r="C395" s="69" t="str">
        <f>IFERROR(VLOOKUP($A395,'The List'!$B1:$AS730,4,FALSE)," ")</f>
        <v xml:space="preserve"> </v>
      </c>
      <c r="D395" s="34" t="str">
        <f>IFERROR(VLOOKUP($A395,'The List'!$B1:$AS730,5,FALSE)," ")</f>
        <v xml:space="preserve"> </v>
      </c>
      <c r="E395" s="34" t="str">
        <f>IFERROR(VLOOKUP($A395,'The List'!$B1:$AS730,6,FALSE)," ")</f>
        <v xml:space="preserve"> </v>
      </c>
      <c r="F395" s="49" t="str">
        <f>IFERROR(VLOOKUP($A395,'The List'!$B1:$AS730,8,FALSE)," ")</f>
        <v xml:space="preserve"> </v>
      </c>
      <c r="G395" s="49" t="str">
        <f>IFERROR(VLOOKUP($A395,'The List'!$B1:$AS730,10,FALSE)," ")</f>
        <v xml:space="preserve"> </v>
      </c>
      <c r="H395" s="38"/>
      <c r="I395" s="52" t="str">
        <f>IFERROR(VLOOKUP($A395,'The List'!$B1:$AS730,16,FALSE)," ")</f>
        <v xml:space="preserve"> </v>
      </c>
      <c r="J395" s="52" t="str">
        <f>IFERROR(VLOOKUP($A395,'The List'!$B1:$AS730,17,FALSE)," ")</f>
        <v xml:space="preserve"> </v>
      </c>
      <c r="K395" s="52" t="str">
        <f>IFERROR(VLOOKUP($A395,'The List'!$B1:$AS730,18,FALSE)," ")</f>
        <v xml:space="preserve"> </v>
      </c>
      <c r="L395" s="52" t="str">
        <f>IFERROR(VLOOKUP($A395,'The List'!$B1:$AS730,19,FALSE)," ")</f>
        <v xml:space="preserve"> </v>
      </c>
      <c r="M395" s="52" t="str">
        <f>IFERROR(VLOOKUP($A395,'The List'!$B1:$AS730,20,FALSE)," ")</f>
        <v xml:space="preserve"> </v>
      </c>
      <c r="N395" s="52" t="str">
        <f>IFERROR(VLOOKUP($A395,'The List'!$B1:$AS730,21,FALSE)," ")</f>
        <v xml:space="preserve"> </v>
      </c>
      <c r="O395" s="52" t="str">
        <f>IFERROR(VLOOKUP($A395,'The List'!$B1:$AS730,22,FALSE)," ")</f>
        <v xml:space="preserve"> </v>
      </c>
      <c r="P395" s="52" t="str">
        <f>IFERROR(VLOOKUP($A395,'The List'!$B1:$AS730,23,FALSE)," ")</f>
        <v xml:space="preserve"> </v>
      </c>
      <c r="Q395" s="52" t="str">
        <f>IFERROR(VLOOKUP($A395,'The List'!$B1:$AS730,24,FALSE)," ")</f>
        <v xml:space="preserve"> </v>
      </c>
      <c r="R395" s="52" t="str">
        <f>IFERROR(VLOOKUP($A395,'The List'!$B1:$AS730,25,FALSE)," ")</f>
        <v xml:space="preserve"> </v>
      </c>
      <c r="S395" s="52" t="str">
        <f>IFERROR(VLOOKUP($A395,'The List'!$B1:$AS730,26,FALSE)," ")</f>
        <v xml:space="preserve"> </v>
      </c>
      <c r="T395" s="52" t="str">
        <f>IFERROR(VLOOKUP($A395,'The List'!$B1:$AS730,27,FALSE)," ")</f>
        <v xml:space="preserve"> </v>
      </c>
      <c r="U395" s="52" t="str">
        <f>IFERROR(VLOOKUP($A395,'The List'!$B1:$AS730,28,FALSE)," ")</f>
        <v xml:space="preserve"> </v>
      </c>
      <c r="V395" s="52" t="str">
        <f>IFERROR(VLOOKUP($A395,'The List'!$B1:$AS730,29,FALSE)," ")</f>
        <v xml:space="preserve"> </v>
      </c>
      <c r="W395" s="52" t="str">
        <f>IFERROR(VLOOKUP($A395,'The List'!$B1:$AS730,30,FALSE)," ")</f>
        <v xml:space="preserve"> </v>
      </c>
      <c r="X395" s="52" t="str">
        <f>IFERROR(VLOOKUP($A395,'The List'!$B1:$AS730,31,FALSE)," ")</f>
        <v xml:space="preserve"> </v>
      </c>
      <c r="Y395" s="52" t="str">
        <f>IFERROR(VLOOKUP($A395,'The List'!$B1:$AS730,32,FALSE)," ")</f>
        <v xml:space="preserve"> </v>
      </c>
      <c r="Z395" s="52" t="str">
        <f>IFERROR(VLOOKUP($A395,'The List'!$B1:$AS730,33,FALSE)," ")</f>
        <v xml:space="preserve"> </v>
      </c>
      <c r="AA395" s="54"/>
      <c r="AB395" s="59"/>
      <c r="AC395" s="59"/>
      <c r="AD395" s="59"/>
      <c r="AE395" s="59"/>
      <c r="AF395" s="59"/>
    </row>
    <row r="396" spans="1:32" ht="21.2" customHeight="1">
      <c r="A396" s="23"/>
      <c r="B396" s="67" t="str">
        <f>IFERROR(VLOOKUP($A396,'The List'!$B1:$AS730,3,FALSE)," ")</f>
        <v xml:space="preserve"> </v>
      </c>
      <c r="C396" s="69" t="str">
        <f>IFERROR(VLOOKUP($A396,'The List'!$B1:$AS730,4,FALSE)," ")</f>
        <v xml:space="preserve"> </v>
      </c>
      <c r="D396" s="34" t="str">
        <f>IFERROR(VLOOKUP($A396,'The List'!$B1:$AS730,5,FALSE)," ")</f>
        <v xml:space="preserve"> </v>
      </c>
      <c r="E396" s="34" t="str">
        <f>IFERROR(VLOOKUP($A396,'The List'!$B1:$AS730,6,FALSE)," ")</f>
        <v xml:space="preserve"> </v>
      </c>
      <c r="F396" s="49" t="str">
        <f>IFERROR(VLOOKUP($A396,'The List'!$B1:$AS730,8,FALSE)," ")</f>
        <v xml:space="preserve"> </v>
      </c>
      <c r="G396" s="49" t="str">
        <f>IFERROR(VLOOKUP($A396,'The List'!$B1:$AS730,10,FALSE)," ")</f>
        <v xml:space="preserve"> </v>
      </c>
      <c r="H396" s="38"/>
      <c r="I396" s="52" t="str">
        <f>IFERROR(VLOOKUP($A396,'The List'!$B1:$AS730,16,FALSE)," ")</f>
        <v xml:space="preserve"> </v>
      </c>
      <c r="J396" s="52" t="str">
        <f>IFERROR(VLOOKUP($A396,'The List'!$B1:$AS730,17,FALSE)," ")</f>
        <v xml:space="preserve"> </v>
      </c>
      <c r="K396" s="52" t="str">
        <f>IFERROR(VLOOKUP($A396,'The List'!$B1:$AS730,18,FALSE)," ")</f>
        <v xml:space="preserve"> </v>
      </c>
      <c r="L396" s="52" t="str">
        <f>IFERROR(VLOOKUP($A396,'The List'!$B1:$AS730,19,FALSE)," ")</f>
        <v xml:space="preserve"> </v>
      </c>
      <c r="M396" s="52" t="str">
        <f>IFERROR(VLOOKUP($A396,'The List'!$B1:$AS730,20,FALSE)," ")</f>
        <v xml:space="preserve"> </v>
      </c>
      <c r="N396" s="52" t="str">
        <f>IFERROR(VLOOKUP($A396,'The List'!$B1:$AS730,21,FALSE)," ")</f>
        <v xml:space="preserve"> </v>
      </c>
      <c r="O396" s="52" t="str">
        <f>IFERROR(VLOOKUP($A396,'The List'!$B1:$AS730,22,FALSE)," ")</f>
        <v xml:space="preserve"> </v>
      </c>
      <c r="P396" s="52" t="str">
        <f>IFERROR(VLOOKUP($A396,'The List'!$B1:$AS730,23,FALSE)," ")</f>
        <v xml:space="preserve"> </v>
      </c>
      <c r="Q396" s="52" t="str">
        <f>IFERROR(VLOOKUP($A396,'The List'!$B1:$AS730,24,FALSE)," ")</f>
        <v xml:space="preserve"> </v>
      </c>
      <c r="R396" s="52" t="str">
        <f>IFERROR(VLOOKUP($A396,'The List'!$B1:$AS730,25,FALSE)," ")</f>
        <v xml:space="preserve"> </v>
      </c>
      <c r="S396" s="52" t="str">
        <f>IFERROR(VLOOKUP($A396,'The List'!$B1:$AS730,26,FALSE)," ")</f>
        <v xml:space="preserve"> </v>
      </c>
      <c r="T396" s="52" t="str">
        <f>IFERROR(VLOOKUP($A396,'The List'!$B1:$AS730,27,FALSE)," ")</f>
        <v xml:space="preserve"> </v>
      </c>
      <c r="U396" s="52" t="str">
        <f>IFERROR(VLOOKUP($A396,'The List'!$B1:$AS730,28,FALSE)," ")</f>
        <v xml:space="preserve"> </v>
      </c>
      <c r="V396" s="52" t="str">
        <f>IFERROR(VLOOKUP($A396,'The List'!$B1:$AS730,29,FALSE)," ")</f>
        <v xml:space="preserve"> </v>
      </c>
      <c r="W396" s="52" t="str">
        <f>IFERROR(VLOOKUP($A396,'The List'!$B1:$AS730,30,FALSE)," ")</f>
        <v xml:space="preserve"> </v>
      </c>
      <c r="X396" s="52" t="str">
        <f>IFERROR(VLOOKUP($A396,'The List'!$B1:$AS730,31,FALSE)," ")</f>
        <v xml:space="preserve"> </v>
      </c>
      <c r="Y396" s="52" t="str">
        <f>IFERROR(VLOOKUP($A396,'The List'!$B1:$AS730,32,FALSE)," ")</f>
        <v xml:space="preserve"> </v>
      </c>
      <c r="Z396" s="52" t="str">
        <f>IFERROR(VLOOKUP($A396,'The List'!$B1:$AS730,33,FALSE)," ")</f>
        <v xml:space="preserve"> </v>
      </c>
      <c r="AA396" s="54"/>
      <c r="AB396" s="59"/>
      <c r="AC396" s="59"/>
      <c r="AD396" s="59"/>
      <c r="AE396" s="59"/>
      <c r="AF396" s="59"/>
    </row>
    <row r="397" spans="1:32" ht="21.2" customHeight="1">
      <c r="A397" s="23"/>
      <c r="B397" s="67" t="str">
        <f>IFERROR(VLOOKUP($A397,'The List'!$B1:$AS730,3,FALSE)," ")</f>
        <v xml:space="preserve"> </v>
      </c>
      <c r="C397" s="69" t="str">
        <f>IFERROR(VLOOKUP($A397,'The List'!$B1:$AS730,4,FALSE)," ")</f>
        <v xml:space="preserve"> </v>
      </c>
      <c r="D397" s="34" t="str">
        <f>IFERROR(VLOOKUP($A397,'The List'!$B1:$AS730,5,FALSE)," ")</f>
        <v xml:space="preserve"> </v>
      </c>
      <c r="E397" s="34" t="str">
        <f>IFERROR(VLOOKUP($A397,'The List'!$B1:$AS730,6,FALSE)," ")</f>
        <v xml:space="preserve"> </v>
      </c>
      <c r="F397" s="49" t="str">
        <f>IFERROR(VLOOKUP($A397,'The List'!$B1:$AS730,8,FALSE)," ")</f>
        <v xml:space="preserve"> </v>
      </c>
      <c r="G397" s="49" t="str">
        <f>IFERROR(VLOOKUP($A397,'The List'!$B1:$AS730,10,FALSE)," ")</f>
        <v xml:space="preserve"> </v>
      </c>
      <c r="H397" s="38"/>
      <c r="I397" s="52" t="str">
        <f>IFERROR(VLOOKUP($A397,'The List'!$B1:$AS730,16,FALSE)," ")</f>
        <v xml:space="preserve"> </v>
      </c>
      <c r="J397" s="52" t="str">
        <f>IFERROR(VLOOKUP($A397,'The List'!$B1:$AS730,17,FALSE)," ")</f>
        <v xml:space="preserve"> </v>
      </c>
      <c r="K397" s="52" t="str">
        <f>IFERROR(VLOOKUP($A397,'The List'!$B1:$AS730,18,FALSE)," ")</f>
        <v xml:space="preserve"> </v>
      </c>
      <c r="L397" s="52" t="str">
        <f>IFERROR(VLOOKUP($A397,'The List'!$B1:$AS730,19,FALSE)," ")</f>
        <v xml:space="preserve"> </v>
      </c>
      <c r="M397" s="52" t="str">
        <f>IFERROR(VLOOKUP($A397,'The List'!$B1:$AS730,20,FALSE)," ")</f>
        <v xml:space="preserve"> </v>
      </c>
      <c r="N397" s="52" t="str">
        <f>IFERROR(VLOOKUP($A397,'The List'!$B1:$AS730,21,FALSE)," ")</f>
        <v xml:space="preserve"> </v>
      </c>
      <c r="O397" s="52" t="str">
        <f>IFERROR(VLOOKUP($A397,'The List'!$B1:$AS730,22,FALSE)," ")</f>
        <v xml:space="preserve"> </v>
      </c>
      <c r="P397" s="52" t="str">
        <f>IFERROR(VLOOKUP($A397,'The List'!$B1:$AS730,23,FALSE)," ")</f>
        <v xml:space="preserve"> </v>
      </c>
      <c r="Q397" s="52" t="str">
        <f>IFERROR(VLOOKUP($A397,'The List'!$B1:$AS730,24,FALSE)," ")</f>
        <v xml:space="preserve"> </v>
      </c>
      <c r="R397" s="52" t="str">
        <f>IFERROR(VLOOKUP($A397,'The List'!$B1:$AS730,25,FALSE)," ")</f>
        <v xml:space="preserve"> </v>
      </c>
      <c r="S397" s="52" t="str">
        <f>IFERROR(VLOOKUP($A397,'The List'!$B1:$AS730,26,FALSE)," ")</f>
        <v xml:space="preserve"> </v>
      </c>
      <c r="T397" s="52" t="str">
        <f>IFERROR(VLOOKUP($A397,'The List'!$B1:$AS730,27,FALSE)," ")</f>
        <v xml:space="preserve"> </v>
      </c>
      <c r="U397" s="52" t="str">
        <f>IFERROR(VLOOKUP($A397,'The List'!$B1:$AS730,28,FALSE)," ")</f>
        <v xml:space="preserve"> </v>
      </c>
      <c r="V397" s="52" t="str">
        <f>IFERROR(VLOOKUP($A397,'The List'!$B1:$AS730,29,FALSE)," ")</f>
        <v xml:space="preserve"> </v>
      </c>
      <c r="W397" s="52" t="str">
        <f>IFERROR(VLOOKUP($A397,'The List'!$B1:$AS730,30,FALSE)," ")</f>
        <v xml:space="preserve"> </v>
      </c>
      <c r="X397" s="52" t="str">
        <f>IFERROR(VLOOKUP($A397,'The List'!$B1:$AS730,31,FALSE)," ")</f>
        <v xml:space="preserve"> </v>
      </c>
      <c r="Y397" s="52" t="str">
        <f>IFERROR(VLOOKUP($A397,'The List'!$B1:$AS730,32,FALSE)," ")</f>
        <v xml:space="preserve"> </v>
      </c>
      <c r="Z397" s="52" t="str">
        <f>IFERROR(VLOOKUP($A397,'The List'!$B1:$AS730,33,FALSE)," ")</f>
        <v xml:space="preserve"> </v>
      </c>
      <c r="AA397" s="54"/>
      <c r="AB397" s="59"/>
      <c r="AC397" s="59"/>
      <c r="AD397" s="59"/>
      <c r="AE397" s="59"/>
      <c r="AF397" s="59"/>
    </row>
    <row r="398" spans="1:32" ht="21.2" customHeight="1">
      <c r="A398" s="71"/>
      <c r="B398" s="72" t="str">
        <f>IFERROR(VLOOKUP($A398,'The List'!$B1:$AS730,3,FALSE)," ")</f>
        <v xml:space="preserve"> </v>
      </c>
      <c r="C398" s="73" t="str">
        <f>IFERROR(VLOOKUP($A398,'The List'!$B1:$AS730,4,FALSE)," ")</f>
        <v xml:space="preserve"> </v>
      </c>
      <c r="D398" s="74" t="str">
        <f>IFERROR(VLOOKUP($A398,'The List'!$B1:$AS730,5,FALSE)," ")</f>
        <v xml:space="preserve"> </v>
      </c>
      <c r="E398" s="74" t="str">
        <f>IFERROR(VLOOKUP($A398,'The List'!$B1:$AS730,6,FALSE)," ")</f>
        <v xml:space="preserve"> </v>
      </c>
      <c r="F398" s="75" t="str">
        <f>IFERROR(VLOOKUP($A398,'The List'!$B1:$AS730,8,FALSE)," ")</f>
        <v xml:space="preserve"> </v>
      </c>
      <c r="G398" s="75" t="str">
        <f>IFERROR(VLOOKUP($A398,'The List'!$B1:$AS730,10,FALSE)," ")</f>
        <v xml:space="preserve"> </v>
      </c>
      <c r="H398" s="76"/>
      <c r="I398" s="77" t="str">
        <f>IFERROR(VLOOKUP($A398,'The List'!$B1:$AS730,16,FALSE)," ")</f>
        <v xml:space="preserve"> </v>
      </c>
      <c r="J398" s="77" t="str">
        <f>IFERROR(VLOOKUP($A398,'The List'!$B1:$AS730,17,FALSE)," ")</f>
        <v xml:space="preserve"> </v>
      </c>
      <c r="K398" s="77" t="str">
        <f>IFERROR(VLOOKUP($A398,'The List'!$B1:$AS730,18,FALSE)," ")</f>
        <v xml:space="preserve"> </v>
      </c>
      <c r="L398" s="77" t="str">
        <f>IFERROR(VLOOKUP($A398,'The List'!$B1:$AS730,19,FALSE)," ")</f>
        <v xml:space="preserve"> </v>
      </c>
      <c r="M398" s="77" t="str">
        <f>IFERROR(VLOOKUP($A398,'The List'!$B1:$AS730,20,FALSE)," ")</f>
        <v xml:space="preserve"> </v>
      </c>
      <c r="N398" s="77" t="str">
        <f>IFERROR(VLOOKUP($A398,'The List'!$B1:$AS730,21,FALSE)," ")</f>
        <v xml:space="preserve"> </v>
      </c>
      <c r="O398" s="77" t="str">
        <f>IFERROR(VLOOKUP($A398,'The List'!$B1:$AS730,22,FALSE)," ")</f>
        <v xml:space="preserve"> </v>
      </c>
      <c r="P398" s="77" t="str">
        <f>IFERROR(VLOOKUP($A398,'The List'!$B1:$AS730,23,FALSE)," ")</f>
        <v xml:space="preserve"> </v>
      </c>
      <c r="Q398" s="77" t="str">
        <f>IFERROR(VLOOKUP($A398,'The List'!$B1:$AS730,24,FALSE)," ")</f>
        <v xml:space="preserve"> </v>
      </c>
      <c r="R398" s="77" t="str">
        <f>IFERROR(VLOOKUP($A398,'The List'!$B1:$AS730,25,FALSE)," ")</f>
        <v xml:space="preserve"> </v>
      </c>
      <c r="S398" s="77" t="str">
        <f>IFERROR(VLOOKUP($A398,'The List'!$B1:$AS730,26,FALSE)," ")</f>
        <v xml:space="preserve"> </v>
      </c>
      <c r="T398" s="77" t="str">
        <f>IFERROR(VLOOKUP($A398,'The List'!$B1:$AS730,27,FALSE)," ")</f>
        <v xml:space="preserve"> </v>
      </c>
      <c r="U398" s="77" t="str">
        <f>IFERROR(VLOOKUP($A398,'The List'!$B1:$AS730,28,FALSE)," ")</f>
        <v xml:space="preserve"> </v>
      </c>
      <c r="V398" s="77" t="str">
        <f>IFERROR(VLOOKUP($A398,'The List'!$B1:$AS730,29,FALSE)," ")</f>
        <v xml:space="preserve"> </v>
      </c>
      <c r="W398" s="77" t="str">
        <f>IFERROR(VLOOKUP($A398,'The List'!$B1:$AS730,30,FALSE)," ")</f>
        <v xml:space="preserve"> </v>
      </c>
      <c r="X398" s="77" t="str">
        <f>IFERROR(VLOOKUP($A398,'The List'!$B1:$AS730,31,FALSE)," ")</f>
        <v xml:space="preserve"> </v>
      </c>
      <c r="Y398" s="77" t="str">
        <f>IFERROR(VLOOKUP($A398,'The List'!$B1:$AS730,32,FALSE)," ")</f>
        <v xml:space="preserve"> </v>
      </c>
      <c r="Z398" s="77" t="str">
        <f>IFERROR(VLOOKUP($A398,'The List'!$B1:$AS730,33,FALSE)," ")</f>
        <v xml:space="preserve"> </v>
      </c>
      <c r="AA398" s="54"/>
      <c r="AB398" s="59"/>
      <c r="AC398" s="59"/>
      <c r="AD398" s="59"/>
      <c r="AE398" s="59"/>
      <c r="AF398" s="59"/>
    </row>
    <row r="399" spans="1:32" ht="21.2" customHeight="1">
      <c r="A399" s="78"/>
      <c r="B399" s="79"/>
      <c r="C399" s="80"/>
      <c r="D399" s="81"/>
      <c r="E399" s="116" t="str">
        <f>IFERROR(AVERAGE(E379:E398)," ")</f>
        <v xml:space="preserve"> </v>
      </c>
      <c r="F399" s="83">
        <f>SUM(F379:F398)</f>
        <v>0</v>
      </c>
      <c r="G399" s="83">
        <f>SUM(G379:G398)</f>
        <v>0</v>
      </c>
      <c r="H399" s="84"/>
      <c r="I399" s="85">
        <f>SUM(I379:I398)</f>
        <v>0</v>
      </c>
      <c r="J399" s="84" t="e">
        <f>AVERAGE(J379:J398)</f>
        <v>#DIV/0!</v>
      </c>
      <c r="K399" s="85">
        <f t="shared" ref="K399:Y399" si="26">SUM(K379:K398)</f>
        <v>0</v>
      </c>
      <c r="L399" s="85">
        <f t="shared" si="26"/>
        <v>0</v>
      </c>
      <c r="M399" s="85">
        <f t="shared" si="26"/>
        <v>0</v>
      </c>
      <c r="N399" s="85">
        <f t="shared" si="26"/>
        <v>0</v>
      </c>
      <c r="O399" s="85">
        <f t="shared" si="26"/>
        <v>0</v>
      </c>
      <c r="P399" s="85">
        <f t="shared" si="26"/>
        <v>0</v>
      </c>
      <c r="Q399" s="85">
        <f t="shared" si="26"/>
        <v>0</v>
      </c>
      <c r="R399" s="85">
        <f t="shared" si="26"/>
        <v>0</v>
      </c>
      <c r="S399" s="85">
        <f t="shared" si="26"/>
        <v>0</v>
      </c>
      <c r="T399" s="85">
        <f t="shared" si="26"/>
        <v>0</v>
      </c>
      <c r="U399" s="85">
        <f t="shared" si="26"/>
        <v>0</v>
      </c>
      <c r="V399" s="85">
        <f t="shared" si="26"/>
        <v>0</v>
      </c>
      <c r="W399" s="85">
        <f t="shared" si="26"/>
        <v>0</v>
      </c>
      <c r="X399" s="85">
        <f t="shared" si="26"/>
        <v>0</v>
      </c>
      <c r="Y399" s="85">
        <f t="shared" si="26"/>
        <v>0</v>
      </c>
      <c r="Z399" s="86">
        <f>IFERROR(X399/(X399+Y399),0)</f>
        <v>0</v>
      </c>
      <c r="AA399" s="54"/>
      <c r="AB399" s="87"/>
      <c r="AC399" s="87"/>
      <c r="AD399" s="87"/>
      <c r="AE399" s="87"/>
      <c r="AF399" s="87"/>
    </row>
    <row r="400" spans="1:32" ht="21.2" customHeight="1">
      <c r="A400" s="88"/>
      <c r="B400" s="89"/>
      <c r="C400" s="90"/>
      <c r="D400" s="11"/>
      <c r="E400" s="11"/>
      <c r="F400" s="91"/>
      <c r="G400" s="92"/>
      <c r="H400" s="93"/>
      <c r="I400" s="9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9"/>
      <c r="AC400" s="59"/>
      <c r="AD400" s="59"/>
      <c r="AE400" s="59"/>
      <c r="AF400" s="59"/>
    </row>
    <row r="401" spans="1:32" ht="21.2" customHeight="1">
      <c r="A401" s="24" t="s">
        <v>64</v>
      </c>
      <c r="B401" s="231" t="s">
        <v>66</v>
      </c>
      <c r="C401" s="223"/>
      <c r="D401" s="95" t="s">
        <v>67</v>
      </c>
      <c r="E401" s="95" t="s">
        <v>68</v>
      </c>
      <c r="F401" s="96" t="s">
        <v>70</v>
      </c>
      <c r="G401" s="96" t="s">
        <v>72</v>
      </c>
      <c r="H401" s="97"/>
      <c r="I401" s="98" t="s">
        <v>77</v>
      </c>
      <c r="J401" s="98" t="s">
        <v>95</v>
      </c>
      <c r="K401" s="98" t="s">
        <v>96</v>
      </c>
      <c r="L401" s="98" t="s">
        <v>97</v>
      </c>
      <c r="M401" s="98" t="s">
        <v>98</v>
      </c>
      <c r="N401" s="98" t="s">
        <v>99</v>
      </c>
      <c r="O401" s="98" t="s">
        <v>100</v>
      </c>
      <c r="P401" s="98" t="s">
        <v>101</v>
      </c>
      <c r="Q401" s="98" t="s">
        <v>102</v>
      </c>
      <c r="R401" s="54"/>
      <c r="S401" s="54"/>
      <c r="T401" s="54"/>
      <c r="U401" s="231" t="s">
        <v>839</v>
      </c>
      <c r="V401" s="232"/>
      <c r="W401" s="232"/>
      <c r="X401" s="231" t="s">
        <v>840</v>
      </c>
      <c r="Y401" s="232"/>
      <c r="Z401" s="232"/>
      <c r="AA401" s="54"/>
      <c r="AB401" s="54"/>
      <c r="AC401" s="54"/>
      <c r="AD401" s="54"/>
      <c r="AE401" s="54"/>
      <c r="AF401" s="54"/>
    </row>
    <row r="402" spans="1:32" ht="21.2" customHeight="1">
      <c r="A402" s="117"/>
      <c r="B402" s="100" t="str">
        <f>IFERROR(VLOOKUP($A402,'The List'!$B1:$AS730,3,FALSE)," ")</f>
        <v xml:space="preserve"> </v>
      </c>
      <c r="C402" s="118" t="str">
        <f>IFERROR(VLOOKUP($A402,'The List'!$B1:$AS730,4,FALSE)," ")</f>
        <v xml:space="preserve"> </v>
      </c>
      <c r="D402" s="102" t="str">
        <f>IFERROR(VLOOKUP($A402,'The List'!$B1:$AS730,5,FALSE)," ")</f>
        <v xml:space="preserve"> </v>
      </c>
      <c r="E402" s="102" t="str">
        <f>IFERROR(VLOOKUP($A402,'The List'!$B1:$AS730,6,FALSE)," ")</f>
        <v xml:space="preserve"> </v>
      </c>
      <c r="F402" s="119" t="str">
        <f>IFERROR(VLOOKUP($A402,'The List'!$B1:$AS730,8,FALSE)," ")</f>
        <v xml:space="preserve"> </v>
      </c>
      <c r="G402" s="119" t="str">
        <f>IFERROR(VLOOKUP($A402,'The List'!$B1:$AS730,10,FALSE)," ")</f>
        <v xml:space="preserve"> </v>
      </c>
      <c r="H402" s="105"/>
      <c r="I402" s="120" t="str">
        <f>IFERROR(VLOOKUP($A402,'The List'!$B1:$AS730,35,FALSE)," ")</f>
        <v xml:space="preserve"> </v>
      </c>
      <c r="J402" s="120" t="str">
        <f>IFERROR(VLOOKUP($A402,'The List'!$B1:$AS730,36,FALSE)," ")</f>
        <v xml:space="preserve"> </v>
      </c>
      <c r="K402" s="120" t="str">
        <f>IFERROR(VLOOKUP($A402,'The List'!$B1:$AS730,37,FALSE)," ")</f>
        <v xml:space="preserve"> </v>
      </c>
      <c r="L402" s="120" t="str">
        <f>IFERROR(VLOOKUP($A402,'The List'!$B1:$AS730,38,FALSE)," ")</f>
        <v xml:space="preserve"> </v>
      </c>
      <c r="M402" s="120" t="str">
        <f>IFERROR(VLOOKUP($A402,'The List'!$B1:$AS730,39,FALSE)," ")</f>
        <v xml:space="preserve"> </v>
      </c>
      <c r="N402" s="120" t="str">
        <f>IFERROR(VLOOKUP($A402,'The List'!$B1:$AS730,40,FALSE)," ")</f>
        <v xml:space="preserve"> </v>
      </c>
      <c r="O402" s="120" t="str">
        <f>IFERROR(VLOOKUP($A402,'The List'!$B1:$AS730,41,FALSE)," ")</f>
        <v xml:space="preserve"> </v>
      </c>
      <c r="P402" s="120" t="str">
        <f>IFERROR(VLOOKUP($A402,'The List'!$B1:$AS730,42,FALSE)," ")</f>
        <v xml:space="preserve"> </v>
      </c>
      <c r="Q402" s="120" t="str">
        <f>IFERROR(VLOOKUP($A402,'The List'!$B1:$AS730,43,FALSE)," ")</f>
        <v xml:space="preserve"> </v>
      </c>
      <c r="R402" s="54"/>
      <c r="S402" s="54"/>
      <c r="T402" s="109" t="str">
        <f>A349</f>
        <v>TEAM 13</v>
      </c>
      <c r="U402" s="230">
        <f>F399+F405</f>
        <v>0</v>
      </c>
      <c r="V402" s="223"/>
      <c r="W402" s="223"/>
      <c r="X402" s="230">
        <f>G405+G399</f>
        <v>0</v>
      </c>
      <c r="Y402" s="223"/>
      <c r="Z402" s="223"/>
      <c r="AA402" s="54"/>
      <c r="AB402" s="54"/>
      <c r="AC402" s="54"/>
      <c r="AD402" s="54"/>
      <c r="AE402" s="54"/>
      <c r="AF402" s="54"/>
    </row>
    <row r="403" spans="1:32" ht="21.2" customHeight="1">
      <c r="A403" s="23"/>
      <c r="B403" s="110" t="str">
        <f>IFERROR(VLOOKUP($A403,'The List'!$B1:$AS730,3,FALSE)," ")</f>
        <v xml:space="preserve"> </v>
      </c>
      <c r="C403" s="111" t="str">
        <f>IFERROR(VLOOKUP($A403,'The List'!$B1:$AS730,4,FALSE)," ")</f>
        <v xml:space="preserve"> </v>
      </c>
      <c r="D403" s="34" t="str">
        <f>IFERROR(VLOOKUP($A403,'The List'!$B1:$AS730,5,FALSE)," ")</f>
        <v xml:space="preserve"> </v>
      </c>
      <c r="E403" s="34" t="str">
        <f>IFERROR(VLOOKUP($A403,'The List'!$B1:$AS730,6,FALSE)," ")</f>
        <v xml:space="preserve"> </v>
      </c>
      <c r="F403" s="49" t="str">
        <f>IFERROR(VLOOKUP($A403,'The List'!$B1:$AS730,8,FALSE)," ")</f>
        <v xml:space="preserve"> </v>
      </c>
      <c r="G403" s="49" t="str">
        <f>IFERROR(VLOOKUP($A403,'The List'!$B1:$AS730,10,FALSE)," ")</f>
        <v xml:space="preserve"> </v>
      </c>
      <c r="H403" s="38"/>
      <c r="I403" s="52" t="str">
        <f>IFERROR(VLOOKUP($A403,'The List'!$B1:$AS730,35,FALSE)," ")</f>
        <v xml:space="preserve"> </v>
      </c>
      <c r="J403" s="52" t="str">
        <f>IFERROR(VLOOKUP($A403,'The List'!$B1:$AS730,36,FALSE)," ")</f>
        <v xml:space="preserve"> </v>
      </c>
      <c r="K403" s="52" t="str">
        <f>IFERROR(VLOOKUP($A403,'The List'!$B1:$AS730,37,FALSE)," ")</f>
        <v xml:space="preserve"> </v>
      </c>
      <c r="L403" s="52" t="str">
        <f>IFERROR(VLOOKUP($A403,'The List'!$B1:$AS730,38,FALSE)," ")</f>
        <v xml:space="preserve"> </v>
      </c>
      <c r="M403" s="52" t="str">
        <f>IFERROR(VLOOKUP($A403,'The List'!$B1:$AS730,39,FALSE)," ")</f>
        <v xml:space="preserve"> </v>
      </c>
      <c r="N403" s="52" t="str">
        <f>IFERROR(VLOOKUP($A403,'The List'!$B1:$AS730,40,FALSE)," ")</f>
        <v xml:space="preserve"> </v>
      </c>
      <c r="O403" s="52" t="str">
        <f>IFERROR(VLOOKUP($A403,'The List'!$B1:$AS730,41,FALSE)," ")</f>
        <v xml:space="preserve"> </v>
      </c>
      <c r="P403" s="52" t="str">
        <f>IFERROR(VLOOKUP($A403,'The List'!$B1:$AS730,42,FALSE)," ")</f>
        <v xml:space="preserve"> </v>
      </c>
      <c r="Q403" s="52" t="str">
        <f>IFERROR(VLOOKUP($A403,'The List'!$B1:$AS730,43,FALSE)," ")</f>
        <v xml:space="preserve"> </v>
      </c>
      <c r="R403" s="54"/>
      <c r="S403" s="54"/>
      <c r="T403" s="54"/>
      <c r="U403" s="223"/>
      <c r="V403" s="223"/>
      <c r="W403" s="223"/>
      <c r="X403" s="223"/>
      <c r="Y403" s="223"/>
      <c r="Z403" s="223"/>
      <c r="AA403" s="54"/>
      <c r="AB403" s="54"/>
      <c r="AC403" s="54"/>
      <c r="AD403" s="54"/>
      <c r="AE403" s="54"/>
      <c r="AF403" s="54"/>
    </row>
    <row r="404" spans="1:32" ht="21.2" customHeight="1">
      <c r="A404" s="71"/>
      <c r="B404" s="112" t="str">
        <f>IFERROR(VLOOKUP($A404,'The List'!$B1:$AS730,3,FALSE)," ")</f>
        <v xml:space="preserve"> </v>
      </c>
      <c r="C404" s="113" t="str">
        <f>IFERROR(VLOOKUP($A404,'The List'!$B1:$AS730,4,FALSE)," ")</f>
        <v xml:space="preserve"> </v>
      </c>
      <c r="D404" s="74" t="str">
        <f>IFERROR(VLOOKUP($A404,'The List'!$B1:$AS730,5,FALSE)," ")</f>
        <v xml:space="preserve"> </v>
      </c>
      <c r="E404" s="74" t="str">
        <f>IFERROR(VLOOKUP($A404,'The List'!$B1:$AS730,6,FALSE)," ")</f>
        <v xml:space="preserve"> </v>
      </c>
      <c r="F404" s="75" t="str">
        <f>IFERROR(VLOOKUP($A404,'The List'!$B1:$AS730,8,FALSE)," ")</f>
        <v xml:space="preserve"> </v>
      </c>
      <c r="G404" s="75" t="str">
        <f>IFERROR(VLOOKUP($A404,'The List'!$B1:$AS730,10,FALSE)," ")</f>
        <v xml:space="preserve"> </v>
      </c>
      <c r="H404" s="76"/>
      <c r="I404" s="77" t="str">
        <f>IFERROR(VLOOKUP($A404,'The List'!$B1:$AS730,35,FALSE)," ")</f>
        <v xml:space="preserve"> </v>
      </c>
      <c r="J404" s="77" t="str">
        <f>IFERROR(VLOOKUP($A404,'The List'!$B1:$AS730,36,FALSE)," ")</f>
        <v xml:space="preserve"> </v>
      </c>
      <c r="K404" s="77" t="str">
        <f>IFERROR(VLOOKUP($A404,'The List'!$B1:$AS730,37,FALSE)," ")</f>
        <v xml:space="preserve"> </v>
      </c>
      <c r="L404" s="77" t="str">
        <f>IFERROR(VLOOKUP($A404,'The List'!$B1:$AS730,38,FALSE)," ")</f>
        <v xml:space="preserve"> </v>
      </c>
      <c r="M404" s="77" t="str">
        <f>IFERROR(VLOOKUP($A404,'The List'!$B1:$AS730,39,FALSE)," ")</f>
        <v xml:space="preserve"> </v>
      </c>
      <c r="N404" s="77" t="str">
        <f>IFERROR(VLOOKUP($A404,'The List'!$B1:$AS730,40,FALSE)," ")</f>
        <v xml:space="preserve"> </v>
      </c>
      <c r="O404" s="77" t="str">
        <f>IFERROR(VLOOKUP($A404,'The List'!$B1:$AS730,41,FALSE)," ")</f>
        <v xml:space="preserve"> </v>
      </c>
      <c r="P404" s="77" t="str">
        <f>IFERROR(VLOOKUP($A404,'The List'!$B1:$AS730,42,FALSE)," ")</f>
        <v xml:space="preserve"> </v>
      </c>
      <c r="Q404" s="77" t="str">
        <f>IFERROR(VLOOKUP($A404,'The List'!$B1:$AS730,43,FALSE)," ")</f>
        <v xml:space="preserve"> </v>
      </c>
      <c r="R404" s="54"/>
      <c r="S404" s="54"/>
      <c r="T404" s="54"/>
      <c r="U404" s="223"/>
      <c r="V404" s="223"/>
      <c r="W404" s="223"/>
      <c r="X404" s="223"/>
      <c r="Y404" s="223"/>
      <c r="Z404" s="223"/>
      <c r="AA404" s="54"/>
      <c r="AB404" s="54"/>
      <c r="AC404" s="54"/>
      <c r="AD404" s="54"/>
      <c r="AE404" s="54"/>
      <c r="AF404" s="54"/>
    </row>
    <row r="405" spans="1:32" ht="21.2" customHeight="1">
      <c r="A405" s="78"/>
      <c r="B405" s="79"/>
      <c r="C405" s="80"/>
      <c r="D405" s="81"/>
      <c r="E405" s="116" t="str">
        <f>IFERROR(AVERAGE(E402:E404)," ")</f>
        <v xml:space="preserve"> </v>
      </c>
      <c r="F405" s="83">
        <f>SUM(F402:F404)</f>
        <v>0</v>
      </c>
      <c r="G405" s="83">
        <f>SUM(G402:G404)</f>
        <v>0</v>
      </c>
      <c r="H405" s="84"/>
      <c r="I405" s="85">
        <f t="shared" ref="I405:O405" si="27">SUM(I402:I404)</f>
        <v>0</v>
      </c>
      <c r="J405" s="84">
        <f t="shared" si="27"/>
        <v>0</v>
      </c>
      <c r="K405" s="85">
        <f t="shared" si="27"/>
        <v>0</v>
      </c>
      <c r="L405" s="85">
        <f t="shared" si="27"/>
        <v>0</v>
      </c>
      <c r="M405" s="85">
        <f t="shared" si="27"/>
        <v>0</v>
      </c>
      <c r="N405" s="85">
        <f t="shared" si="27"/>
        <v>0</v>
      </c>
      <c r="O405" s="85">
        <f t="shared" si="27"/>
        <v>0</v>
      </c>
      <c r="P405" s="114" t="e">
        <f>1-(O405/(N405+O405))</f>
        <v>#DIV/0!</v>
      </c>
      <c r="Q405" s="115" t="e">
        <f>O405/I405</f>
        <v>#DIV/0!</v>
      </c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</row>
    <row r="406" spans="1:32" ht="70.7" customHeight="1">
      <c r="A406" s="88"/>
      <c r="B406" s="89"/>
      <c r="C406" s="90"/>
      <c r="D406" s="11"/>
      <c r="E406" s="11"/>
      <c r="F406" s="91"/>
      <c r="G406" s="92"/>
      <c r="H406" s="93"/>
      <c r="I406" s="9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9"/>
      <c r="AB406" s="59"/>
      <c r="AC406" s="59"/>
      <c r="AD406" s="59"/>
      <c r="AE406" s="59"/>
      <c r="AF406" s="59"/>
    </row>
    <row r="407" spans="1:32" ht="21.2" customHeight="1">
      <c r="A407" s="25" t="s">
        <v>837</v>
      </c>
      <c r="B407" s="229" t="s">
        <v>66</v>
      </c>
      <c r="C407" s="221"/>
      <c r="D407" s="26" t="s">
        <v>67</v>
      </c>
      <c r="E407" s="26" t="s">
        <v>68</v>
      </c>
      <c r="F407" s="27" t="s">
        <v>70</v>
      </c>
      <c r="G407" s="27" t="s">
        <v>72</v>
      </c>
      <c r="H407" s="28"/>
      <c r="I407" s="30" t="s">
        <v>77</v>
      </c>
      <c r="J407" s="30" t="s">
        <v>78</v>
      </c>
      <c r="K407" s="30" t="s">
        <v>79</v>
      </c>
      <c r="L407" s="30" t="s">
        <v>80</v>
      </c>
      <c r="M407" s="30" t="s">
        <v>81</v>
      </c>
      <c r="N407" s="30" t="s">
        <v>82</v>
      </c>
      <c r="O407" s="30" t="s">
        <v>83</v>
      </c>
      <c r="P407" s="30" t="s">
        <v>84</v>
      </c>
      <c r="Q407" s="30" t="s">
        <v>85</v>
      </c>
      <c r="R407" s="30" t="s">
        <v>86</v>
      </c>
      <c r="S407" s="30" t="s">
        <v>87</v>
      </c>
      <c r="T407" s="30" t="s">
        <v>88</v>
      </c>
      <c r="U407" s="30" t="s">
        <v>89</v>
      </c>
      <c r="V407" s="30" t="s">
        <v>90</v>
      </c>
      <c r="W407" s="30" t="s">
        <v>91</v>
      </c>
      <c r="X407" s="30" t="s">
        <v>92</v>
      </c>
      <c r="Y407" s="30" t="s">
        <v>93</v>
      </c>
      <c r="Z407" s="30" t="s">
        <v>94</v>
      </c>
      <c r="AA407" s="54"/>
      <c r="AB407" s="55"/>
      <c r="AC407" s="55"/>
      <c r="AD407" s="55"/>
      <c r="AE407" s="55"/>
      <c r="AF407" s="55"/>
    </row>
    <row r="408" spans="1:32" ht="21.2" customHeight="1">
      <c r="A408" s="23"/>
      <c r="B408" s="56" t="str">
        <f>IFERROR(VLOOKUP($A408,'The List'!$B1:$AS730,3,FALSE)," ")</f>
        <v xml:space="preserve"> </v>
      </c>
      <c r="C408" s="60" t="str">
        <f>IFERROR(VLOOKUP($A408,'The List'!$B1:$AS730,4,FALSE)," ")</f>
        <v xml:space="preserve"> </v>
      </c>
      <c r="D408" s="34" t="str">
        <f>IFERROR(VLOOKUP($A408,'The List'!$B1:$AS730,5,FALSE)," ")</f>
        <v xml:space="preserve"> </v>
      </c>
      <c r="E408" s="34" t="str">
        <f>IFERROR(VLOOKUP($A408,'The List'!$B1:$AS730,6,FALSE)," ")</f>
        <v xml:space="preserve"> </v>
      </c>
      <c r="F408" s="49" t="str">
        <f>IFERROR(VLOOKUP($A408,'The List'!$B1:$AS730,8,FALSE)," ")</f>
        <v xml:space="preserve"> </v>
      </c>
      <c r="G408" s="49" t="str">
        <f>IFERROR(VLOOKUP($A408,'The List'!$B1:$AS730,10,FALSE)," ")</f>
        <v xml:space="preserve"> </v>
      </c>
      <c r="H408" s="38"/>
      <c r="I408" s="52" t="str">
        <f>IFERROR(VLOOKUP($A408,'The List'!$B1:$AS730,16,FALSE)," ")</f>
        <v xml:space="preserve"> </v>
      </c>
      <c r="J408" s="52" t="str">
        <f>IFERROR(VLOOKUP($A408,'The List'!$B1:$AS730,17,FALSE)," ")</f>
        <v xml:space="preserve"> </v>
      </c>
      <c r="K408" s="52" t="str">
        <f>IFERROR(VLOOKUP($A408,'The List'!$B1:$AS730,18,FALSE)," ")</f>
        <v xml:space="preserve"> </v>
      </c>
      <c r="L408" s="52" t="str">
        <f>IFERROR(VLOOKUP($A408,'The List'!$B1:$AS730,19,FALSE)," ")</f>
        <v xml:space="preserve"> </v>
      </c>
      <c r="M408" s="52" t="str">
        <f>IFERROR(VLOOKUP($A408,'The List'!$B1:$AS730,20,FALSE)," ")</f>
        <v xml:space="preserve"> </v>
      </c>
      <c r="N408" s="52" t="str">
        <f>IFERROR(VLOOKUP($A408,'The List'!$B1:$AS730,21,FALSE)," ")</f>
        <v xml:space="preserve"> </v>
      </c>
      <c r="O408" s="52" t="str">
        <f>IFERROR(VLOOKUP($A408,'The List'!$B1:$AS730,22,FALSE)," ")</f>
        <v xml:space="preserve"> </v>
      </c>
      <c r="P408" s="52" t="str">
        <f>IFERROR(VLOOKUP($A408,'The List'!$B1:$AS730,23,FALSE)," ")</f>
        <v xml:space="preserve"> </v>
      </c>
      <c r="Q408" s="52" t="str">
        <f>IFERROR(VLOOKUP($A408,'The List'!$B1:$AS730,24,FALSE)," ")</f>
        <v xml:space="preserve"> </v>
      </c>
      <c r="R408" s="52" t="str">
        <f>IFERROR(VLOOKUP($A408,'The List'!$B1:$AS730,25,FALSE)," ")</f>
        <v xml:space="preserve"> </v>
      </c>
      <c r="S408" s="52" t="str">
        <f>IFERROR(VLOOKUP($A408,'The List'!$B1:$AS730,26,FALSE)," ")</f>
        <v xml:space="preserve"> </v>
      </c>
      <c r="T408" s="52" t="str">
        <f>IFERROR(VLOOKUP($A408,'The List'!$B1:$AS730,27,FALSE)," ")</f>
        <v xml:space="preserve"> </v>
      </c>
      <c r="U408" s="52" t="str">
        <f>IFERROR(VLOOKUP($A408,'The List'!$B1:$AS730,28,FALSE)," ")</f>
        <v xml:space="preserve"> </v>
      </c>
      <c r="V408" s="52" t="str">
        <f>IFERROR(VLOOKUP($A408,'The List'!$B1:$AS730,29,FALSE)," ")</f>
        <v xml:space="preserve"> </v>
      </c>
      <c r="W408" s="52" t="str">
        <f>IFERROR(VLOOKUP($A408,'The List'!$B1:$AS730,30,FALSE)," ")</f>
        <v xml:space="preserve"> </v>
      </c>
      <c r="X408" s="52" t="str">
        <f>IFERROR(VLOOKUP($A408,'The List'!$B1:$AS730,31,FALSE)," ")</f>
        <v xml:space="preserve"> </v>
      </c>
      <c r="Y408" s="52" t="str">
        <f>IFERROR(VLOOKUP($A408,'The List'!$B1:$AS730,32,FALSE)," ")</f>
        <v xml:space="preserve"> </v>
      </c>
      <c r="Z408" s="52" t="str">
        <f>IFERROR(VLOOKUP($A408,'The List'!$B1:$AS730,33,FALSE)," ")</f>
        <v xml:space="preserve"> </v>
      </c>
      <c r="AA408" s="54"/>
      <c r="AB408" s="59"/>
      <c r="AC408" s="59"/>
      <c r="AD408" s="59"/>
      <c r="AE408" s="59"/>
      <c r="AF408" s="59"/>
    </row>
    <row r="409" spans="1:32" ht="21.2" customHeight="1">
      <c r="A409" s="23"/>
      <c r="B409" s="56" t="str">
        <f>IFERROR(VLOOKUP($A409,'The List'!$B1:$AS730,3,FALSE)," ")</f>
        <v xml:space="preserve"> </v>
      </c>
      <c r="C409" s="60" t="str">
        <f>IFERROR(VLOOKUP($A409,'The List'!$B1:$AS730,4,FALSE)," ")</f>
        <v xml:space="preserve"> </v>
      </c>
      <c r="D409" s="34" t="str">
        <f>IFERROR(VLOOKUP($A409,'The List'!$B1:$AS730,5,FALSE)," ")</f>
        <v xml:space="preserve"> </v>
      </c>
      <c r="E409" s="34" t="str">
        <f>IFERROR(VLOOKUP($A409,'The List'!$B1:$AS730,6,FALSE)," ")</f>
        <v xml:space="preserve"> </v>
      </c>
      <c r="F409" s="49" t="str">
        <f>IFERROR(VLOOKUP($A409,'The List'!$B1:$AS730,8,FALSE)," ")</f>
        <v xml:space="preserve"> </v>
      </c>
      <c r="G409" s="49" t="str">
        <f>IFERROR(VLOOKUP($A409,'The List'!$B1:$AS730,10,FALSE)," ")</f>
        <v xml:space="preserve"> </v>
      </c>
      <c r="H409" s="38"/>
      <c r="I409" s="52" t="str">
        <f>IFERROR(VLOOKUP($A409,'The List'!$B1:$AS730,16,FALSE)," ")</f>
        <v xml:space="preserve"> </v>
      </c>
      <c r="J409" s="52" t="str">
        <f>IFERROR(VLOOKUP($A409,'The List'!$B1:$AS730,17,FALSE)," ")</f>
        <v xml:space="preserve"> </v>
      </c>
      <c r="K409" s="52" t="str">
        <f>IFERROR(VLOOKUP($A409,'The List'!$B1:$AS730,18,FALSE)," ")</f>
        <v xml:space="preserve"> </v>
      </c>
      <c r="L409" s="52" t="str">
        <f>IFERROR(VLOOKUP($A409,'The List'!$B1:$AS730,19,FALSE)," ")</f>
        <v xml:space="preserve"> </v>
      </c>
      <c r="M409" s="52" t="str">
        <f>IFERROR(VLOOKUP($A409,'The List'!$B1:$AS730,20,FALSE)," ")</f>
        <v xml:space="preserve"> </v>
      </c>
      <c r="N409" s="52" t="str">
        <f>IFERROR(VLOOKUP($A409,'The List'!$B1:$AS730,21,FALSE)," ")</f>
        <v xml:space="preserve"> </v>
      </c>
      <c r="O409" s="52" t="str">
        <f>IFERROR(VLOOKUP($A409,'The List'!$B1:$AS730,22,FALSE)," ")</f>
        <v xml:space="preserve"> </v>
      </c>
      <c r="P409" s="52" t="str">
        <f>IFERROR(VLOOKUP($A409,'The List'!$B1:$AS730,23,FALSE)," ")</f>
        <v xml:space="preserve"> </v>
      </c>
      <c r="Q409" s="52" t="str">
        <f>IFERROR(VLOOKUP($A409,'The List'!$B1:$AS730,24,FALSE)," ")</f>
        <v xml:space="preserve"> </v>
      </c>
      <c r="R409" s="52" t="str">
        <f>IFERROR(VLOOKUP($A409,'The List'!$B1:$AS730,25,FALSE)," ")</f>
        <v xml:space="preserve"> </v>
      </c>
      <c r="S409" s="52" t="str">
        <f>IFERROR(VLOOKUP($A409,'The List'!$B1:$AS730,26,FALSE)," ")</f>
        <v xml:space="preserve"> </v>
      </c>
      <c r="T409" s="52" t="str">
        <f>IFERROR(VLOOKUP($A409,'The List'!$B1:$AS730,27,FALSE)," ")</f>
        <v xml:space="preserve"> </v>
      </c>
      <c r="U409" s="52" t="str">
        <f>IFERROR(VLOOKUP($A409,'The List'!$B1:$AS730,28,FALSE)," ")</f>
        <v xml:space="preserve"> </v>
      </c>
      <c r="V409" s="52" t="str">
        <f>IFERROR(VLOOKUP($A409,'The List'!$B1:$AS730,29,FALSE)," ")</f>
        <v xml:space="preserve"> </v>
      </c>
      <c r="W409" s="52" t="str">
        <f>IFERROR(VLOOKUP($A409,'The List'!$B1:$AS730,30,FALSE)," ")</f>
        <v xml:space="preserve"> </v>
      </c>
      <c r="X409" s="52" t="str">
        <f>IFERROR(VLOOKUP($A409,'The List'!$B1:$AS730,31,FALSE)," ")</f>
        <v xml:space="preserve"> </v>
      </c>
      <c r="Y409" s="52" t="str">
        <f>IFERROR(VLOOKUP($A409,'The List'!$B1:$AS730,32,FALSE)," ")</f>
        <v xml:space="preserve"> </v>
      </c>
      <c r="Z409" s="52" t="str">
        <f>IFERROR(VLOOKUP($A409,'The List'!$B1:$AS730,33,FALSE)," ")</f>
        <v xml:space="preserve"> </v>
      </c>
      <c r="AA409" s="54"/>
      <c r="AB409" s="59"/>
      <c r="AC409" s="59"/>
      <c r="AD409" s="59"/>
      <c r="AE409" s="59"/>
      <c r="AF409" s="59"/>
    </row>
    <row r="410" spans="1:32" ht="21.2" customHeight="1">
      <c r="A410" s="23"/>
      <c r="B410" s="56" t="str">
        <f>IFERROR(VLOOKUP($A410,'The List'!$B1:$AS730,3,FALSE)," ")</f>
        <v xml:space="preserve"> </v>
      </c>
      <c r="C410" s="60" t="str">
        <f>IFERROR(VLOOKUP($A410,'The List'!$B1:$AS730,4,FALSE)," ")</f>
        <v xml:space="preserve"> </v>
      </c>
      <c r="D410" s="34" t="str">
        <f>IFERROR(VLOOKUP($A410,'The List'!$B1:$AS730,5,FALSE)," ")</f>
        <v xml:space="preserve"> </v>
      </c>
      <c r="E410" s="34" t="str">
        <f>IFERROR(VLOOKUP($A410,'The List'!$B1:$AS730,6,FALSE)," ")</f>
        <v xml:space="preserve"> </v>
      </c>
      <c r="F410" s="49" t="str">
        <f>IFERROR(VLOOKUP($A410,'The List'!$B1:$AS730,8,FALSE)," ")</f>
        <v xml:space="preserve"> </v>
      </c>
      <c r="G410" s="49" t="str">
        <f>IFERROR(VLOOKUP($A410,'The List'!$B1:$AS730,10,FALSE)," ")</f>
        <v xml:space="preserve"> </v>
      </c>
      <c r="H410" s="38"/>
      <c r="I410" s="52" t="str">
        <f>IFERROR(VLOOKUP($A410,'The List'!$B1:$AS730,16,FALSE)," ")</f>
        <v xml:space="preserve"> </v>
      </c>
      <c r="J410" s="52" t="str">
        <f>IFERROR(VLOOKUP($A410,'The List'!$B1:$AS730,17,FALSE)," ")</f>
        <v xml:space="preserve"> </v>
      </c>
      <c r="K410" s="52" t="str">
        <f>IFERROR(VLOOKUP($A410,'The List'!$B1:$AS730,18,FALSE)," ")</f>
        <v xml:space="preserve"> </v>
      </c>
      <c r="L410" s="52" t="str">
        <f>IFERROR(VLOOKUP($A410,'The List'!$B1:$AS730,19,FALSE)," ")</f>
        <v xml:space="preserve"> </v>
      </c>
      <c r="M410" s="52" t="str">
        <f>IFERROR(VLOOKUP($A410,'The List'!$B1:$AS730,20,FALSE)," ")</f>
        <v xml:space="preserve"> </v>
      </c>
      <c r="N410" s="52" t="str">
        <f>IFERROR(VLOOKUP($A410,'The List'!$B1:$AS730,21,FALSE)," ")</f>
        <v xml:space="preserve"> </v>
      </c>
      <c r="O410" s="52" t="str">
        <f>IFERROR(VLOOKUP($A410,'The List'!$B1:$AS730,22,FALSE)," ")</f>
        <v xml:space="preserve"> </v>
      </c>
      <c r="P410" s="52" t="str">
        <f>IFERROR(VLOOKUP($A410,'The List'!$B1:$AS730,23,FALSE)," ")</f>
        <v xml:space="preserve"> </v>
      </c>
      <c r="Q410" s="52" t="str">
        <f>IFERROR(VLOOKUP($A410,'The List'!$B1:$AS730,24,FALSE)," ")</f>
        <v xml:space="preserve"> </v>
      </c>
      <c r="R410" s="52" t="str">
        <f>IFERROR(VLOOKUP($A410,'The List'!$B1:$AS730,25,FALSE)," ")</f>
        <v xml:space="preserve"> </v>
      </c>
      <c r="S410" s="52" t="str">
        <f>IFERROR(VLOOKUP($A410,'The List'!$B1:$AS730,26,FALSE)," ")</f>
        <v xml:space="preserve"> </v>
      </c>
      <c r="T410" s="52" t="str">
        <f>IFERROR(VLOOKUP($A410,'The List'!$B1:$AS730,27,FALSE)," ")</f>
        <v xml:space="preserve"> </v>
      </c>
      <c r="U410" s="52" t="str">
        <f>IFERROR(VLOOKUP($A410,'The List'!$B1:$AS730,28,FALSE)," ")</f>
        <v xml:space="preserve"> </v>
      </c>
      <c r="V410" s="52" t="str">
        <f>IFERROR(VLOOKUP($A410,'The List'!$B1:$AS730,29,FALSE)," ")</f>
        <v xml:space="preserve"> </v>
      </c>
      <c r="W410" s="52" t="str">
        <f>IFERROR(VLOOKUP($A410,'The List'!$B1:$AS730,30,FALSE)," ")</f>
        <v xml:space="preserve"> </v>
      </c>
      <c r="X410" s="52" t="str">
        <f>IFERROR(VLOOKUP($A410,'The List'!$B1:$AS730,31,FALSE)," ")</f>
        <v xml:space="preserve"> </v>
      </c>
      <c r="Y410" s="52" t="str">
        <f>IFERROR(VLOOKUP($A410,'The List'!$B1:$AS730,32,FALSE)," ")</f>
        <v xml:space="preserve"> </v>
      </c>
      <c r="Z410" s="52" t="str">
        <f>IFERROR(VLOOKUP($A410,'The List'!$B1:$AS730,33,FALSE)," ")</f>
        <v xml:space="preserve"> </v>
      </c>
      <c r="AA410" s="54"/>
      <c r="AB410" s="59"/>
      <c r="AC410" s="59"/>
      <c r="AD410" s="59"/>
      <c r="AE410" s="59"/>
      <c r="AF410" s="59"/>
    </row>
    <row r="411" spans="1:32" ht="21.2" customHeight="1">
      <c r="A411" s="23"/>
      <c r="B411" s="56" t="str">
        <f>IFERROR(VLOOKUP($A411,'The List'!$B1:$AS730,3,FALSE)," ")</f>
        <v xml:space="preserve"> </v>
      </c>
      <c r="C411" s="60" t="str">
        <f>IFERROR(VLOOKUP($A411,'The List'!$B1:$AS730,4,FALSE)," ")</f>
        <v xml:space="preserve"> </v>
      </c>
      <c r="D411" s="34" t="str">
        <f>IFERROR(VLOOKUP($A411,'The List'!$B1:$AS730,5,FALSE)," ")</f>
        <v xml:space="preserve"> </v>
      </c>
      <c r="E411" s="34" t="str">
        <f>IFERROR(VLOOKUP($A411,'The List'!$B1:$AS730,6,FALSE)," ")</f>
        <v xml:space="preserve"> </v>
      </c>
      <c r="F411" s="49" t="str">
        <f>IFERROR(VLOOKUP($A411,'The List'!$B1:$AS730,8,FALSE)," ")</f>
        <v xml:space="preserve"> </v>
      </c>
      <c r="G411" s="49" t="str">
        <f>IFERROR(VLOOKUP($A411,'The List'!$B1:$AS730,10,FALSE)," ")</f>
        <v xml:space="preserve"> </v>
      </c>
      <c r="H411" s="38"/>
      <c r="I411" s="52" t="str">
        <f>IFERROR(VLOOKUP($A411,'The List'!$B1:$AS730,16,FALSE)," ")</f>
        <v xml:space="preserve"> </v>
      </c>
      <c r="J411" s="52" t="str">
        <f>IFERROR(VLOOKUP($A411,'The List'!$B1:$AS730,17,FALSE)," ")</f>
        <v xml:space="preserve"> </v>
      </c>
      <c r="K411" s="52" t="str">
        <f>IFERROR(VLOOKUP($A411,'The List'!$B1:$AS730,18,FALSE)," ")</f>
        <v xml:space="preserve"> </v>
      </c>
      <c r="L411" s="52" t="str">
        <f>IFERROR(VLOOKUP($A411,'The List'!$B1:$AS730,19,FALSE)," ")</f>
        <v xml:space="preserve"> </v>
      </c>
      <c r="M411" s="52" t="str">
        <f>IFERROR(VLOOKUP($A411,'The List'!$B1:$AS730,20,FALSE)," ")</f>
        <v xml:space="preserve"> </v>
      </c>
      <c r="N411" s="52" t="str">
        <f>IFERROR(VLOOKUP($A411,'The List'!$B1:$AS730,21,FALSE)," ")</f>
        <v xml:space="preserve"> </v>
      </c>
      <c r="O411" s="52" t="str">
        <f>IFERROR(VLOOKUP($A411,'The List'!$B1:$AS730,22,FALSE)," ")</f>
        <v xml:space="preserve"> </v>
      </c>
      <c r="P411" s="52" t="str">
        <f>IFERROR(VLOOKUP($A411,'The List'!$B1:$AS730,23,FALSE)," ")</f>
        <v xml:space="preserve"> </v>
      </c>
      <c r="Q411" s="52" t="str">
        <f>IFERROR(VLOOKUP($A411,'The List'!$B1:$AS730,24,FALSE)," ")</f>
        <v xml:space="preserve"> </v>
      </c>
      <c r="R411" s="52" t="str">
        <f>IFERROR(VLOOKUP($A411,'The List'!$B1:$AS730,25,FALSE)," ")</f>
        <v xml:space="preserve"> </v>
      </c>
      <c r="S411" s="52" t="str">
        <f>IFERROR(VLOOKUP($A411,'The List'!$B1:$AS730,26,FALSE)," ")</f>
        <v xml:space="preserve"> </v>
      </c>
      <c r="T411" s="52" t="str">
        <f>IFERROR(VLOOKUP($A411,'The List'!$B1:$AS730,27,FALSE)," ")</f>
        <v xml:space="preserve"> </v>
      </c>
      <c r="U411" s="52" t="str">
        <f>IFERROR(VLOOKUP($A411,'The List'!$B1:$AS730,28,FALSE)," ")</f>
        <v xml:space="preserve"> </v>
      </c>
      <c r="V411" s="52" t="str">
        <f>IFERROR(VLOOKUP($A411,'The List'!$B1:$AS730,29,FALSE)," ")</f>
        <v xml:space="preserve"> </v>
      </c>
      <c r="W411" s="52" t="str">
        <f>IFERROR(VLOOKUP($A411,'The List'!$B1:$AS730,30,FALSE)," ")</f>
        <v xml:space="preserve"> </v>
      </c>
      <c r="X411" s="52" t="str">
        <f>IFERROR(VLOOKUP($A411,'The List'!$B1:$AS730,31,FALSE)," ")</f>
        <v xml:space="preserve"> </v>
      </c>
      <c r="Y411" s="52" t="str">
        <f>IFERROR(VLOOKUP($A411,'The List'!$B1:$AS730,32,FALSE)," ")</f>
        <v xml:space="preserve"> </v>
      </c>
      <c r="Z411" s="52" t="str">
        <f>IFERROR(VLOOKUP($A411,'The List'!$B1:$AS730,33,FALSE)," ")</f>
        <v xml:space="preserve"> </v>
      </c>
      <c r="AA411" s="54"/>
      <c r="AB411" s="59"/>
      <c r="AC411" s="59"/>
      <c r="AD411" s="59"/>
      <c r="AE411" s="59"/>
      <c r="AF411" s="59"/>
    </row>
    <row r="412" spans="1:32" ht="21.2" customHeight="1">
      <c r="A412" s="23"/>
      <c r="B412" s="61" t="str">
        <f>IFERROR(VLOOKUP($A412,'The List'!$B1:$AS730,3,FALSE)," ")</f>
        <v xml:space="preserve"> </v>
      </c>
      <c r="C412" s="63" t="str">
        <f>IFERROR(VLOOKUP($A412,'The List'!$B1:$AS730,4,FALSE)," ")</f>
        <v xml:space="preserve"> </v>
      </c>
      <c r="D412" s="34" t="str">
        <f>IFERROR(VLOOKUP($A412,'The List'!$B1:$AS730,5,FALSE)," ")</f>
        <v xml:space="preserve"> </v>
      </c>
      <c r="E412" s="34" t="str">
        <f>IFERROR(VLOOKUP($A412,'The List'!$B1:$AS730,6,FALSE)," ")</f>
        <v xml:space="preserve"> </v>
      </c>
      <c r="F412" s="49" t="str">
        <f>IFERROR(VLOOKUP($A412,'The List'!$B1:$AS730,8,FALSE)," ")</f>
        <v xml:space="preserve"> </v>
      </c>
      <c r="G412" s="49" t="str">
        <f>IFERROR(VLOOKUP($A412,'The List'!$B1:$AS730,10,FALSE)," ")</f>
        <v xml:space="preserve"> </v>
      </c>
      <c r="H412" s="38"/>
      <c r="I412" s="52" t="str">
        <f>IFERROR(VLOOKUP($A412,'The List'!$B1:$AS730,16,FALSE)," ")</f>
        <v xml:space="preserve"> </v>
      </c>
      <c r="J412" s="52" t="str">
        <f>IFERROR(VLOOKUP($A412,'The List'!$B1:$AS730,17,FALSE)," ")</f>
        <v xml:space="preserve"> </v>
      </c>
      <c r="K412" s="52" t="str">
        <f>IFERROR(VLOOKUP($A412,'The List'!$B1:$AS730,18,FALSE)," ")</f>
        <v xml:space="preserve"> </v>
      </c>
      <c r="L412" s="52" t="str">
        <f>IFERROR(VLOOKUP($A412,'The List'!$B1:$AS730,19,FALSE)," ")</f>
        <v xml:space="preserve"> </v>
      </c>
      <c r="M412" s="52" t="str">
        <f>IFERROR(VLOOKUP($A412,'The List'!$B1:$AS730,20,FALSE)," ")</f>
        <v xml:space="preserve"> </v>
      </c>
      <c r="N412" s="52" t="str">
        <f>IFERROR(VLOOKUP($A412,'The List'!$B1:$AS730,21,FALSE)," ")</f>
        <v xml:space="preserve"> </v>
      </c>
      <c r="O412" s="52" t="str">
        <f>IFERROR(VLOOKUP($A412,'The List'!$B1:$AS730,22,FALSE)," ")</f>
        <v xml:space="preserve"> </v>
      </c>
      <c r="P412" s="52" t="str">
        <f>IFERROR(VLOOKUP($A412,'The List'!$B1:$AS730,23,FALSE)," ")</f>
        <v xml:space="preserve"> </v>
      </c>
      <c r="Q412" s="52" t="str">
        <f>IFERROR(VLOOKUP($A412,'The List'!$B1:$AS730,24,FALSE)," ")</f>
        <v xml:space="preserve"> </v>
      </c>
      <c r="R412" s="52" t="str">
        <f>IFERROR(VLOOKUP($A412,'The List'!$B1:$AS730,25,FALSE)," ")</f>
        <v xml:space="preserve"> </v>
      </c>
      <c r="S412" s="52" t="str">
        <f>IFERROR(VLOOKUP($A412,'The List'!$B1:$AS730,26,FALSE)," ")</f>
        <v xml:space="preserve"> </v>
      </c>
      <c r="T412" s="52" t="str">
        <f>IFERROR(VLOOKUP($A412,'The List'!$B1:$AS730,27,FALSE)," ")</f>
        <v xml:space="preserve"> </v>
      </c>
      <c r="U412" s="52" t="str">
        <f>IFERROR(VLOOKUP($A412,'The List'!$B1:$AS730,28,FALSE)," ")</f>
        <v xml:space="preserve"> </v>
      </c>
      <c r="V412" s="52" t="str">
        <f>IFERROR(VLOOKUP($A412,'The List'!$B1:$AS730,29,FALSE)," ")</f>
        <v xml:space="preserve"> </v>
      </c>
      <c r="W412" s="52" t="str">
        <f>IFERROR(VLOOKUP($A412,'The List'!$B1:$AS730,30,FALSE)," ")</f>
        <v xml:space="preserve"> </v>
      </c>
      <c r="X412" s="52" t="str">
        <f>IFERROR(VLOOKUP($A412,'The List'!$B1:$AS730,31,FALSE)," ")</f>
        <v xml:space="preserve"> </v>
      </c>
      <c r="Y412" s="52" t="str">
        <f>IFERROR(VLOOKUP($A412,'The List'!$B1:$AS730,32,FALSE)," ")</f>
        <v xml:space="preserve"> </v>
      </c>
      <c r="Z412" s="52" t="str">
        <f>IFERROR(VLOOKUP($A412,'The List'!$B1:$AS730,33,FALSE)," ")</f>
        <v xml:space="preserve"> </v>
      </c>
      <c r="AA412" s="54"/>
      <c r="AB412" s="59"/>
      <c r="AC412" s="59"/>
      <c r="AD412" s="59"/>
      <c r="AE412" s="59"/>
      <c r="AF412" s="59"/>
    </row>
    <row r="413" spans="1:32" ht="21.2" customHeight="1">
      <c r="A413" s="23"/>
      <c r="B413" s="61" t="str">
        <f>IFERROR(VLOOKUP($A413,'The List'!$B1:$AS730,3,FALSE)," ")</f>
        <v xml:space="preserve"> </v>
      </c>
      <c r="C413" s="63" t="str">
        <f>IFERROR(VLOOKUP($A413,'The List'!$B1:$AS730,4,FALSE)," ")</f>
        <v xml:space="preserve"> </v>
      </c>
      <c r="D413" s="34" t="str">
        <f>IFERROR(VLOOKUP($A413,'The List'!$B1:$AS730,5,FALSE)," ")</f>
        <v xml:space="preserve"> </v>
      </c>
      <c r="E413" s="34" t="str">
        <f>IFERROR(VLOOKUP($A413,'The List'!$B1:$AS730,6,FALSE)," ")</f>
        <v xml:space="preserve"> </v>
      </c>
      <c r="F413" s="49" t="str">
        <f>IFERROR(VLOOKUP($A413,'The List'!$B1:$AS730,8,FALSE)," ")</f>
        <v xml:space="preserve"> </v>
      </c>
      <c r="G413" s="49" t="str">
        <f>IFERROR(VLOOKUP($A413,'The List'!$B1:$AS730,10,FALSE)," ")</f>
        <v xml:space="preserve"> </v>
      </c>
      <c r="H413" s="38"/>
      <c r="I413" s="52" t="str">
        <f>IFERROR(VLOOKUP($A413,'The List'!$B1:$AS730,16,FALSE)," ")</f>
        <v xml:space="preserve"> </v>
      </c>
      <c r="J413" s="52" t="str">
        <f>IFERROR(VLOOKUP($A413,'The List'!$B1:$AS730,17,FALSE)," ")</f>
        <v xml:space="preserve"> </v>
      </c>
      <c r="K413" s="52" t="str">
        <f>IFERROR(VLOOKUP($A413,'The List'!$B1:$AS730,18,FALSE)," ")</f>
        <v xml:space="preserve"> </v>
      </c>
      <c r="L413" s="52" t="str">
        <f>IFERROR(VLOOKUP($A413,'The List'!$B1:$AS730,19,FALSE)," ")</f>
        <v xml:space="preserve"> </v>
      </c>
      <c r="M413" s="52" t="str">
        <f>IFERROR(VLOOKUP($A413,'The List'!$B1:$AS730,20,FALSE)," ")</f>
        <v xml:space="preserve"> </v>
      </c>
      <c r="N413" s="52" t="str">
        <f>IFERROR(VLOOKUP($A413,'The List'!$B1:$AS730,21,FALSE)," ")</f>
        <v xml:space="preserve"> </v>
      </c>
      <c r="O413" s="52" t="str">
        <f>IFERROR(VLOOKUP($A413,'The List'!$B1:$AS730,22,FALSE)," ")</f>
        <v xml:space="preserve"> </v>
      </c>
      <c r="P413" s="52" t="str">
        <f>IFERROR(VLOOKUP($A413,'The List'!$B1:$AS730,23,FALSE)," ")</f>
        <v xml:space="preserve"> </v>
      </c>
      <c r="Q413" s="52" t="str">
        <f>IFERROR(VLOOKUP($A413,'The List'!$B1:$AS730,24,FALSE)," ")</f>
        <v xml:space="preserve"> </v>
      </c>
      <c r="R413" s="52" t="str">
        <f>IFERROR(VLOOKUP($A413,'The List'!$B1:$AS730,25,FALSE)," ")</f>
        <v xml:space="preserve"> </v>
      </c>
      <c r="S413" s="52" t="str">
        <f>IFERROR(VLOOKUP($A413,'The List'!$B1:$AS730,26,FALSE)," ")</f>
        <v xml:space="preserve"> </v>
      </c>
      <c r="T413" s="52" t="str">
        <f>IFERROR(VLOOKUP($A413,'The List'!$B1:$AS730,27,FALSE)," ")</f>
        <v xml:space="preserve"> </v>
      </c>
      <c r="U413" s="52" t="str">
        <f>IFERROR(VLOOKUP($A413,'The List'!$B1:$AS730,28,FALSE)," ")</f>
        <v xml:space="preserve"> </v>
      </c>
      <c r="V413" s="52" t="str">
        <f>IFERROR(VLOOKUP($A413,'The List'!$B1:$AS730,29,FALSE)," ")</f>
        <v xml:space="preserve"> </v>
      </c>
      <c r="W413" s="52" t="str">
        <f>IFERROR(VLOOKUP($A413,'The List'!$B1:$AS730,30,FALSE)," ")</f>
        <v xml:space="preserve"> </v>
      </c>
      <c r="X413" s="52" t="str">
        <f>IFERROR(VLOOKUP($A413,'The List'!$B1:$AS730,31,FALSE)," ")</f>
        <v xml:space="preserve"> </v>
      </c>
      <c r="Y413" s="52" t="str">
        <f>IFERROR(VLOOKUP($A413,'The List'!$B1:$AS730,32,FALSE)," ")</f>
        <v xml:space="preserve"> </v>
      </c>
      <c r="Z413" s="52" t="str">
        <f>IFERROR(VLOOKUP($A413,'The List'!$B1:$AS730,33,FALSE)," ")</f>
        <v xml:space="preserve"> </v>
      </c>
      <c r="AA413" s="54"/>
      <c r="AB413" s="59"/>
      <c r="AC413" s="59"/>
      <c r="AD413" s="59"/>
      <c r="AE413" s="59"/>
      <c r="AF413" s="59"/>
    </row>
    <row r="414" spans="1:32" ht="21.2" customHeight="1">
      <c r="A414" s="23"/>
      <c r="B414" s="61" t="str">
        <f>IFERROR(VLOOKUP($A414,'The List'!$B1:$AS730,3,FALSE)," ")</f>
        <v xml:space="preserve"> </v>
      </c>
      <c r="C414" s="63" t="str">
        <f>IFERROR(VLOOKUP($A414,'The List'!$B1:$AS730,4,FALSE)," ")</f>
        <v xml:space="preserve"> </v>
      </c>
      <c r="D414" s="34" t="str">
        <f>IFERROR(VLOOKUP($A414,'The List'!$B1:$AS730,5,FALSE)," ")</f>
        <v xml:space="preserve"> </v>
      </c>
      <c r="E414" s="34" t="str">
        <f>IFERROR(VLOOKUP($A414,'The List'!$B1:$AS730,6,FALSE)," ")</f>
        <v xml:space="preserve"> </v>
      </c>
      <c r="F414" s="49" t="str">
        <f>IFERROR(VLOOKUP($A414,'The List'!$B1:$AS730,8,FALSE)," ")</f>
        <v xml:space="preserve"> </v>
      </c>
      <c r="G414" s="49" t="str">
        <f>IFERROR(VLOOKUP($A414,'The List'!$B1:$AS730,10,FALSE)," ")</f>
        <v xml:space="preserve"> </v>
      </c>
      <c r="H414" s="38"/>
      <c r="I414" s="52" t="str">
        <f>IFERROR(VLOOKUP($A414,'The List'!$B1:$AS730,16,FALSE)," ")</f>
        <v xml:space="preserve"> </v>
      </c>
      <c r="J414" s="52" t="str">
        <f>IFERROR(VLOOKUP($A414,'The List'!$B1:$AS730,17,FALSE)," ")</f>
        <v xml:space="preserve"> </v>
      </c>
      <c r="K414" s="52" t="str">
        <f>IFERROR(VLOOKUP($A414,'The List'!$B1:$AS730,18,FALSE)," ")</f>
        <v xml:space="preserve"> </v>
      </c>
      <c r="L414" s="52" t="str">
        <f>IFERROR(VLOOKUP($A414,'The List'!$B1:$AS730,19,FALSE)," ")</f>
        <v xml:space="preserve"> </v>
      </c>
      <c r="M414" s="52" t="str">
        <f>IFERROR(VLOOKUP($A414,'The List'!$B1:$AS730,20,FALSE)," ")</f>
        <v xml:space="preserve"> </v>
      </c>
      <c r="N414" s="52" t="str">
        <f>IFERROR(VLOOKUP($A414,'The List'!$B1:$AS730,21,FALSE)," ")</f>
        <v xml:space="preserve"> </v>
      </c>
      <c r="O414" s="52" t="str">
        <f>IFERROR(VLOOKUP($A414,'The List'!$B1:$AS730,22,FALSE)," ")</f>
        <v xml:space="preserve"> </v>
      </c>
      <c r="P414" s="52" t="str">
        <f>IFERROR(VLOOKUP($A414,'The List'!$B1:$AS730,23,FALSE)," ")</f>
        <v xml:space="preserve"> </v>
      </c>
      <c r="Q414" s="52" t="str">
        <f>IFERROR(VLOOKUP($A414,'The List'!$B1:$AS730,24,FALSE)," ")</f>
        <v xml:space="preserve"> </v>
      </c>
      <c r="R414" s="52" t="str">
        <f>IFERROR(VLOOKUP($A414,'The List'!$B1:$AS730,25,FALSE)," ")</f>
        <v xml:space="preserve"> </v>
      </c>
      <c r="S414" s="52" t="str">
        <f>IFERROR(VLOOKUP($A414,'The List'!$B1:$AS730,26,FALSE)," ")</f>
        <v xml:space="preserve"> </v>
      </c>
      <c r="T414" s="52" t="str">
        <f>IFERROR(VLOOKUP($A414,'The List'!$B1:$AS730,27,FALSE)," ")</f>
        <v xml:space="preserve"> </v>
      </c>
      <c r="U414" s="52" t="str">
        <f>IFERROR(VLOOKUP($A414,'The List'!$B1:$AS730,28,FALSE)," ")</f>
        <v xml:space="preserve"> </v>
      </c>
      <c r="V414" s="52" t="str">
        <f>IFERROR(VLOOKUP($A414,'The List'!$B1:$AS730,29,FALSE)," ")</f>
        <v xml:space="preserve"> </v>
      </c>
      <c r="W414" s="52" t="str">
        <f>IFERROR(VLOOKUP($A414,'The List'!$B1:$AS730,30,FALSE)," ")</f>
        <v xml:space="preserve"> </v>
      </c>
      <c r="X414" s="52" t="str">
        <f>IFERROR(VLOOKUP($A414,'The List'!$B1:$AS730,31,FALSE)," ")</f>
        <v xml:space="preserve"> </v>
      </c>
      <c r="Y414" s="52" t="str">
        <f>IFERROR(VLOOKUP($A414,'The List'!$B1:$AS730,32,FALSE)," ")</f>
        <v xml:space="preserve"> </v>
      </c>
      <c r="Z414" s="52" t="str">
        <f>IFERROR(VLOOKUP($A414,'The List'!$B1:$AS730,33,FALSE)," ")</f>
        <v xml:space="preserve"> </v>
      </c>
      <c r="AA414" s="54"/>
      <c r="AB414" s="59"/>
      <c r="AC414" s="59"/>
      <c r="AD414" s="59"/>
      <c r="AE414" s="59"/>
      <c r="AF414" s="59"/>
    </row>
    <row r="415" spans="1:32" ht="21.2" customHeight="1">
      <c r="A415" s="23"/>
      <c r="B415" s="61" t="str">
        <f>IFERROR(VLOOKUP($A415,'The List'!$B1:$AS730,3,FALSE)," ")</f>
        <v xml:space="preserve"> </v>
      </c>
      <c r="C415" s="63" t="str">
        <f>IFERROR(VLOOKUP($A415,'The List'!$B1:$AS730,4,FALSE)," ")</f>
        <v xml:space="preserve"> </v>
      </c>
      <c r="D415" s="34" t="str">
        <f>IFERROR(VLOOKUP($A415,'The List'!$B1:$AS730,5,FALSE)," ")</f>
        <v xml:space="preserve"> </v>
      </c>
      <c r="E415" s="34" t="str">
        <f>IFERROR(VLOOKUP($A415,'The List'!$B1:$AS730,6,FALSE)," ")</f>
        <v xml:space="preserve"> </v>
      </c>
      <c r="F415" s="49" t="str">
        <f>IFERROR(VLOOKUP($A415,'The List'!$B1:$AS730,8,FALSE)," ")</f>
        <v xml:space="preserve"> </v>
      </c>
      <c r="G415" s="49" t="str">
        <f>IFERROR(VLOOKUP($A415,'The List'!$B1:$AS730,10,FALSE)," ")</f>
        <v xml:space="preserve"> </v>
      </c>
      <c r="H415" s="38"/>
      <c r="I415" s="52" t="str">
        <f>IFERROR(VLOOKUP($A415,'The List'!$B1:$AS730,16,FALSE)," ")</f>
        <v xml:space="preserve"> </v>
      </c>
      <c r="J415" s="52" t="str">
        <f>IFERROR(VLOOKUP($A415,'The List'!$B1:$AS730,17,FALSE)," ")</f>
        <v xml:space="preserve"> </v>
      </c>
      <c r="K415" s="52" t="str">
        <f>IFERROR(VLOOKUP($A415,'The List'!$B1:$AS730,18,FALSE)," ")</f>
        <v xml:space="preserve"> </v>
      </c>
      <c r="L415" s="52" t="str">
        <f>IFERROR(VLOOKUP($A415,'The List'!$B1:$AS730,19,FALSE)," ")</f>
        <v xml:space="preserve"> </v>
      </c>
      <c r="M415" s="52" t="str">
        <f>IFERROR(VLOOKUP($A415,'The List'!$B1:$AS730,20,FALSE)," ")</f>
        <v xml:space="preserve"> </v>
      </c>
      <c r="N415" s="52" t="str">
        <f>IFERROR(VLOOKUP($A415,'The List'!$B1:$AS730,21,FALSE)," ")</f>
        <v xml:space="preserve"> </v>
      </c>
      <c r="O415" s="52" t="str">
        <f>IFERROR(VLOOKUP($A415,'The List'!$B1:$AS730,22,FALSE)," ")</f>
        <v xml:space="preserve"> </v>
      </c>
      <c r="P415" s="52" t="str">
        <f>IFERROR(VLOOKUP($A415,'The List'!$B1:$AS730,23,FALSE)," ")</f>
        <v xml:space="preserve"> </v>
      </c>
      <c r="Q415" s="52" t="str">
        <f>IFERROR(VLOOKUP($A415,'The List'!$B1:$AS730,24,FALSE)," ")</f>
        <v xml:space="preserve"> </v>
      </c>
      <c r="R415" s="52" t="str">
        <f>IFERROR(VLOOKUP($A415,'The List'!$B1:$AS730,25,FALSE)," ")</f>
        <v xml:space="preserve"> </v>
      </c>
      <c r="S415" s="52" t="str">
        <f>IFERROR(VLOOKUP($A415,'The List'!$B1:$AS730,26,FALSE)," ")</f>
        <v xml:space="preserve"> </v>
      </c>
      <c r="T415" s="52" t="str">
        <f>IFERROR(VLOOKUP($A415,'The List'!$B1:$AS730,27,FALSE)," ")</f>
        <v xml:space="preserve"> </v>
      </c>
      <c r="U415" s="52" t="str">
        <f>IFERROR(VLOOKUP($A415,'The List'!$B1:$AS730,28,FALSE)," ")</f>
        <v xml:space="preserve"> </v>
      </c>
      <c r="V415" s="52" t="str">
        <f>IFERROR(VLOOKUP($A415,'The List'!$B1:$AS730,29,FALSE)," ")</f>
        <v xml:space="preserve"> </v>
      </c>
      <c r="W415" s="52" t="str">
        <f>IFERROR(VLOOKUP($A415,'The List'!$B1:$AS730,30,FALSE)," ")</f>
        <v xml:space="preserve"> </v>
      </c>
      <c r="X415" s="52" t="str">
        <f>IFERROR(VLOOKUP($A415,'The List'!$B1:$AS730,31,FALSE)," ")</f>
        <v xml:space="preserve"> </v>
      </c>
      <c r="Y415" s="52" t="str">
        <f>IFERROR(VLOOKUP($A415,'The List'!$B1:$AS730,32,FALSE)," ")</f>
        <v xml:space="preserve"> </v>
      </c>
      <c r="Z415" s="52" t="str">
        <f>IFERROR(VLOOKUP($A415,'The List'!$B1:$AS730,33,FALSE)," ")</f>
        <v xml:space="preserve"> </v>
      </c>
      <c r="AA415" s="54"/>
      <c r="AB415" s="59"/>
      <c r="AC415" s="59"/>
      <c r="AD415" s="59"/>
      <c r="AE415" s="59"/>
      <c r="AF415" s="59"/>
    </row>
    <row r="416" spans="1:32" ht="21.2" customHeight="1">
      <c r="A416" s="23"/>
      <c r="B416" s="64" t="str">
        <f>IFERROR(VLOOKUP($A416,'The List'!$B1:$AS730,3,FALSE)," ")</f>
        <v xml:space="preserve"> </v>
      </c>
      <c r="C416" s="66" t="str">
        <f>IFERROR(VLOOKUP($A416,'The List'!$B1:$AS730,4,FALSE)," ")</f>
        <v xml:space="preserve"> </v>
      </c>
      <c r="D416" s="34" t="str">
        <f>IFERROR(VLOOKUP($A416,'The List'!$B1:$AS730,5,FALSE)," ")</f>
        <v xml:space="preserve"> </v>
      </c>
      <c r="E416" s="34" t="str">
        <f>IFERROR(VLOOKUP($A416,'The List'!$B1:$AS730,6,FALSE)," ")</f>
        <v xml:space="preserve"> </v>
      </c>
      <c r="F416" s="49" t="str">
        <f>IFERROR(VLOOKUP($A416,'The List'!$B1:$AS730,8,FALSE)," ")</f>
        <v xml:space="preserve"> </v>
      </c>
      <c r="G416" s="49" t="str">
        <f>IFERROR(VLOOKUP($A416,'The List'!$B1:$AS730,10,FALSE)," ")</f>
        <v xml:space="preserve"> </v>
      </c>
      <c r="H416" s="38"/>
      <c r="I416" s="52" t="str">
        <f>IFERROR(VLOOKUP($A416,'The List'!$B1:$AS730,16,FALSE)," ")</f>
        <v xml:space="preserve"> </v>
      </c>
      <c r="J416" s="52" t="str">
        <f>IFERROR(VLOOKUP($A416,'The List'!$B1:$AS730,17,FALSE)," ")</f>
        <v xml:space="preserve"> </v>
      </c>
      <c r="K416" s="52" t="str">
        <f>IFERROR(VLOOKUP($A416,'The List'!$B1:$AS730,18,FALSE)," ")</f>
        <v xml:space="preserve"> </v>
      </c>
      <c r="L416" s="52" t="str">
        <f>IFERROR(VLOOKUP($A416,'The List'!$B1:$AS730,19,FALSE)," ")</f>
        <v xml:space="preserve"> </v>
      </c>
      <c r="M416" s="52" t="str">
        <f>IFERROR(VLOOKUP($A416,'The List'!$B1:$AS730,20,FALSE)," ")</f>
        <v xml:space="preserve"> </v>
      </c>
      <c r="N416" s="52" t="str">
        <f>IFERROR(VLOOKUP($A416,'The List'!$B1:$AS730,21,FALSE)," ")</f>
        <v xml:space="preserve"> </v>
      </c>
      <c r="O416" s="52" t="str">
        <f>IFERROR(VLOOKUP($A416,'The List'!$B1:$AS730,22,FALSE)," ")</f>
        <v xml:space="preserve"> </v>
      </c>
      <c r="P416" s="52" t="str">
        <f>IFERROR(VLOOKUP($A416,'The List'!$B1:$AS730,23,FALSE)," ")</f>
        <v xml:space="preserve"> </v>
      </c>
      <c r="Q416" s="52" t="str">
        <f>IFERROR(VLOOKUP($A416,'The List'!$B1:$AS730,24,FALSE)," ")</f>
        <v xml:space="preserve"> </v>
      </c>
      <c r="R416" s="52" t="str">
        <f>IFERROR(VLOOKUP($A416,'The List'!$B1:$AS730,25,FALSE)," ")</f>
        <v xml:space="preserve"> </v>
      </c>
      <c r="S416" s="52" t="str">
        <f>IFERROR(VLOOKUP($A416,'The List'!$B1:$AS730,26,FALSE)," ")</f>
        <v xml:space="preserve"> </v>
      </c>
      <c r="T416" s="52" t="str">
        <f>IFERROR(VLOOKUP($A416,'The List'!$B1:$AS730,27,FALSE)," ")</f>
        <v xml:space="preserve"> </v>
      </c>
      <c r="U416" s="52" t="str">
        <f>IFERROR(VLOOKUP($A416,'The List'!$B1:$AS730,28,FALSE)," ")</f>
        <v xml:space="preserve"> </v>
      </c>
      <c r="V416" s="52" t="str">
        <f>IFERROR(VLOOKUP($A416,'The List'!$B1:$AS730,29,FALSE)," ")</f>
        <v xml:space="preserve"> </v>
      </c>
      <c r="W416" s="52" t="str">
        <f>IFERROR(VLOOKUP($A416,'The List'!$B1:$AS730,30,FALSE)," ")</f>
        <v xml:space="preserve"> </v>
      </c>
      <c r="X416" s="52" t="str">
        <f>IFERROR(VLOOKUP($A416,'The List'!$B1:$AS730,31,FALSE)," ")</f>
        <v xml:space="preserve"> </v>
      </c>
      <c r="Y416" s="52" t="str">
        <f>IFERROR(VLOOKUP($A416,'The List'!$B1:$AS730,32,FALSE)," ")</f>
        <v xml:space="preserve"> </v>
      </c>
      <c r="Z416" s="52" t="str">
        <f>IFERROR(VLOOKUP($A416,'The List'!$B1:$AS730,33,FALSE)," ")</f>
        <v xml:space="preserve"> </v>
      </c>
      <c r="AA416" s="54"/>
      <c r="AB416" s="59"/>
      <c r="AC416" s="59"/>
      <c r="AD416" s="59"/>
      <c r="AE416" s="59"/>
      <c r="AF416" s="59"/>
    </row>
    <row r="417" spans="1:32" ht="21.2" customHeight="1">
      <c r="A417" s="23"/>
      <c r="B417" s="64" t="str">
        <f>IFERROR(VLOOKUP($A417,'The List'!$B1:$AS730,3,FALSE)," ")</f>
        <v xml:space="preserve"> </v>
      </c>
      <c r="C417" s="66" t="str">
        <f>IFERROR(VLOOKUP($A417,'The List'!$B1:$AS730,4,FALSE)," ")</f>
        <v xml:space="preserve"> </v>
      </c>
      <c r="D417" s="34" t="str">
        <f>IFERROR(VLOOKUP($A417,'The List'!$B1:$AS730,5,FALSE)," ")</f>
        <v xml:space="preserve"> </v>
      </c>
      <c r="E417" s="34" t="str">
        <f>IFERROR(VLOOKUP($A417,'The List'!$B1:$AS730,6,FALSE)," ")</f>
        <v xml:space="preserve"> </v>
      </c>
      <c r="F417" s="49" t="str">
        <f>IFERROR(VLOOKUP($A417,'The List'!$B1:$AS730,8,FALSE)," ")</f>
        <v xml:space="preserve"> </v>
      </c>
      <c r="G417" s="49" t="str">
        <f>IFERROR(VLOOKUP($A417,'The List'!$B1:$AS730,10,FALSE)," ")</f>
        <v xml:space="preserve"> </v>
      </c>
      <c r="H417" s="38"/>
      <c r="I417" s="52" t="str">
        <f>IFERROR(VLOOKUP($A417,'The List'!$B1:$AS730,16,FALSE)," ")</f>
        <v xml:space="preserve"> </v>
      </c>
      <c r="J417" s="52" t="str">
        <f>IFERROR(VLOOKUP($A417,'The List'!$B1:$AS730,17,FALSE)," ")</f>
        <v xml:space="preserve"> </v>
      </c>
      <c r="K417" s="52" t="str">
        <f>IFERROR(VLOOKUP($A417,'The List'!$B1:$AS730,18,FALSE)," ")</f>
        <v xml:space="preserve"> </v>
      </c>
      <c r="L417" s="52" t="str">
        <f>IFERROR(VLOOKUP($A417,'The List'!$B1:$AS730,19,FALSE)," ")</f>
        <v xml:space="preserve"> </v>
      </c>
      <c r="M417" s="52" t="str">
        <f>IFERROR(VLOOKUP($A417,'The List'!$B1:$AS730,20,FALSE)," ")</f>
        <v xml:space="preserve"> </v>
      </c>
      <c r="N417" s="52" t="str">
        <f>IFERROR(VLOOKUP($A417,'The List'!$B1:$AS730,21,FALSE)," ")</f>
        <v xml:space="preserve"> </v>
      </c>
      <c r="O417" s="52" t="str">
        <f>IFERROR(VLOOKUP($A417,'The List'!$B1:$AS730,22,FALSE)," ")</f>
        <v xml:space="preserve"> </v>
      </c>
      <c r="P417" s="52" t="str">
        <f>IFERROR(VLOOKUP($A417,'The List'!$B1:$AS730,23,FALSE)," ")</f>
        <v xml:space="preserve"> </v>
      </c>
      <c r="Q417" s="52" t="str">
        <f>IFERROR(VLOOKUP($A417,'The List'!$B1:$AS730,24,FALSE)," ")</f>
        <v xml:space="preserve"> </v>
      </c>
      <c r="R417" s="52" t="str">
        <f>IFERROR(VLOOKUP($A417,'The List'!$B1:$AS730,25,FALSE)," ")</f>
        <v xml:space="preserve"> </v>
      </c>
      <c r="S417" s="52" t="str">
        <f>IFERROR(VLOOKUP($A417,'The List'!$B1:$AS730,26,FALSE)," ")</f>
        <v xml:space="preserve"> </v>
      </c>
      <c r="T417" s="52" t="str">
        <f>IFERROR(VLOOKUP($A417,'The List'!$B1:$AS730,27,FALSE)," ")</f>
        <v xml:space="preserve"> </v>
      </c>
      <c r="U417" s="52" t="str">
        <f>IFERROR(VLOOKUP($A417,'The List'!$B1:$AS730,28,FALSE)," ")</f>
        <v xml:space="preserve"> </v>
      </c>
      <c r="V417" s="52" t="str">
        <f>IFERROR(VLOOKUP($A417,'The List'!$B1:$AS730,29,FALSE)," ")</f>
        <v xml:space="preserve"> </v>
      </c>
      <c r="W417" s="52" t="str">
        <f>IFERROR(VLOOKUP($A417,'The List'!$B1:$AS730,30,FALSE)," ")</f>
        <v xml:space="preserve"> </v>
      </c>
      <c r="X417" s="52" t="str">
        <f>IFERROR(VLOOKUP($A417,'The List'!$B1:$AS730,31,FALSE)," ")</f>
        <v xml:space="preserve"> </v>
      </c>
      <c r="Y417" s="52" t="str">
        <f>IFERROR(VLOOKUP($A417,'The List'!$B1:$AS730,32,FALSE)," ")</f>
        <v xml:space="preserve"> </v>
      </c>
      <c r="Z417" s="52" t="str">
        <f>IFERROR(VLOOKUP($A417,'The List'!$B1:$AS730,33,FALSE)," ")</f>
        <v xml:space="preserve"> </v>
      </c>
      <c r="AA417" s="54"/>
      <c r="AB417" s="59"/>
      <c r="AC417" s="59"/>
      <c r="AD417" s="59"/>
      <c r="AE417" s="59"/>
      <c r="AF417" s="59"/>
    </row>
    <row r="418" spans="1:32" ht="21.2" customHeight="1">
      <c r="A418" s="23"/>
      <c r="B418" s="64" t="str">
        <f>IFERROR(VLOOKUP($A418,'The List'!$B1:$AS730,3,FALSE)," ")</f>
        <v xml:space="preserve"> </v>
      </c>
      <c r="C418" s="66" t="str">
        <f>IFERROR(VLOOKUP($A418,'The List'!$B1:$AS730,4,FALSE)," ")</f>
        <v xml:space="preserve"> </v>
      </c>
      <c r="D418" s="34" t="str">
        <f>IFERROR(VLOOKUP($A418,'The List'!$B1:$AS730,5,FALSE)," ")</f>
        <v xml:space="preserve"> </v>
      </c>
      <c r="E418" s="34" t="str">
        <f>IFERROR(VLOOKUP($A418,'The List'!$B1:$AS730,6,FALSE)," ")</f>
        <v xml:space="preserve"> </v>
      </c>
      <c r="F418" s="49" t="str">
        <f>IFERROR(VLOOKUP($A418,'The List'!$B1:$AS730,8,FALSE)," ")</f>
        <v xml:space="preserve"> </v>
      </c>
      <c r="G418" s="49" t="str">
        <f>IFERROR(VLOOKUP($A418,'The List'!$B1:$AS730,10,FALSE)," ")</f>
        <v xml:space="preserve"> </v>
      </c>
      <c r="H418" s="38"/>
      <c r="I418" s="52" t="str">
        <f>IFERROR(VLOOKUP($A418,'The List'!$B1:$AS730,16,FALSE)," ")</f>
        <v xml:space="preserve"> </v>
      </c>
      <c r="J418" s="52" t="str">
        <f>IFERROR(VLOOKUP($A418,'The List'!$B1:$AS730,17,FALSE)," ")</f>
        <v xml:space="preserve"> </v>
      </c>
      <c r="K418" s="52" t="str">
        <f>IFERROR(VLOOKUP($A418,'The List'!$B1:$AS730,18,FALSE)," ")</f>
        <v xml:space="preserve"> </v>
      </c>
      <c r="L418" s="52" t="str">
        <f>IFERROR(VLOOKUP($A418,'The List'!$B1:$AS730,19,FALSE)," ")</f>
        <v xml:space="preserve"> </v>
      </c>
      <c r="M418" s="52" t="str">
        <f>IFERROR(VLOOKUP($A418,'The List'!$B1:$AS730,20,FALSE)," ")</f>
        <v xml:space="preserve"> </v>
      </c>
      <c r="N418" s="52" t="str">
        <f>IFERROR(VLOOKUP($A418,'The List'!$B1:$AS730,21,FALSE)," ")</f>
        <v xml:space="preserve"> </v>
      </c>
      <c r="O418" s="52" t="str">
        <f>IFERROR(VLOOKUP($A418,'The List'!$B1:$AS730,22,FALSE)," ")</f>
        <v xml:space="preserve"> </v>
      </c>
      <c r="P418" s="52" t="str">
        <f>IFERROR(VLOOKUP($A418,'The List'!$B1:$AS730,23,FALSE)," ")</f>
        <v xml:space="preserve"> </v>
      </c>
      <c r="Q418" s="52" t="str">
        <f>IFERROR(VLOOKUP($A418,'The List'!$B1:$AS730,24,FALSE)," ")</f>
        <v xml:space="preserve"> </v>
      </c>
      <c r="R418" s="52" t="str">
        <f>IFERROR(VLOOKUP($A418,'The List'!$B1:$AS730,25,FALSE)," ")</f>
        <v xml:space="preserve"> </v>
      </c>
      <c r="S418" s="52" t="str">
        <f>IFERROR(VLOOKUP($A418,'The List'!$B1:$AS730,26,FALSE)," ")</f>
        <v xml:space="preserve"> </v>
      </c>
      <c r="T418" s="52" t="str">
        <f>IFERROR(VLOOKUP($A418,'The List'!$B1:$AS730,27,FALSE)," ")</f>
        <v xml:space="preserve"> </v>
      </c>
      <c r="U418" s="52" t="str">
        <f>IFERROR(VLOOKUP($A418,'The List'!$B1:$AS730,28,FALSE)," ")</f>
        <v xml:space="preserve"> </v>
      </c>
      <c r="V418" s="52" t="str">
        <f>IFERROR(VLOOKUP($A418,'The List'!$B1:$AS730,29,FALSE)," ")</f>
        <v xml:space="preserve"> </v>
      </c>
      <c r="W418" s="52" t="str">
        <f>IFERROR(VLOOKUP($A418,'The List'!$B1:$AS730,30,FALSE)," ")</f>
        <v xml:space="preserve"> </v>
      </c>
      <c r="X418" s="52" t="str">
        <f>IFERROR(VLOOKUP($A418,'The List'!$B1:$AS730,31,FALSE)," ")</f>
        <v xml:space="preserve"> </v>
      </c>
      <c r="Y418" s="52" t="str">
        <f>IFERROR(VLOOKUP($A418,'The List'!$B1:$AS730,32,FALSE)," ")</f>
        <v xml:space="preserve"> </v>
      </c>
      <c r="Z418" s="52" t="str">
        <f>IFERROR(VLOOKUP($A418,'The List'!$B1:$AS730,33,FALSE)," ")</f>
        <v xml:space="preserve"> </v>
      </c>
      <c r="AA418" s="54"/>
      <c r="AB418" s="59"/>
      <c r="AC418" s="59"/>
      <c r="AD418" s="59"/>
      <c r="AE418" s="59"/>
      <c r="AF418" s="59"/>
    </row>
    <row r="419" spans="1:32" ht="21.2" customHeight="1">
      <c r="A419" s="23"/>
      <c r="B419" s="64" t="str">
        <f>IFERROR(VLOOKUP($A419,'The List'!$B1:$AS730,3,FALSE)," ")</f>
        <v xml:space="preserve"> </v>
      </c>
      <c r="C419" s="66" t="str">
        <f>IFERROR(VLOOKUP($A419,'The List'!$B1:$AS730,4,FALSE)," ")</f>
        <v xml:space="preserve"> </v>
      </c>
      <c r="D419" s="34" t="str">
        <f>IFERROR(VLOOKUP($A419,'The List'!$B1:$AS730,5,FALSE)," ")</f>
        <v xml:space="preserve"> </v>
      </c>
      <c r="E419" s="34" t="str">
        <f>IFERROR(VLOOKUP($A419,'The List'!$B1:$AS730,6,FALSE)," ")</f>
        <v xml:space="preserve"> </v>
      </c>
      <c r="F419" s="49" t="str">
        <f>IFERROR(VLOOKUP($A419,'The List'!$B1:$AS730,8,FALSE)," ")</f>
        <v xml:space="preserve"> </v>
      </c>
      <c r="G419" s="49" t="str">
        <f>IFERROR(VLOOKUP($A419,'The List'!$B1:$AS730,10,FALSE)," ")</f>
        <v xml:space="preserve"> </v>
      </c>
      <c r="H419" s="38"/>
      <c r="I419" s="52" t="str">
        <f>IFERROR(VLOOKUP($A419,'The List'!$B1:$AS730,16,FALSE)," ")</f>
        <v xml:space="preserve"> </v>
      </c>
      <c r="J419" s="52" t="str">
        <f>IFERROR(VLOOKUP($A419,'The List'!$B1:$AS730,17,FALSE)," ")</f>
        <v xml:space="preserve"> </v>
      </c>
      <c r="K419" s="52" t="str">
        <f>IFERROR(VLOOKUP($A419,'The List'!$B1:$AS730,18,FALSE)," ")</f>
        <v xml:space="preserve"> </v>
      </c>
      <c r="L419" s="52" t="str">
        <f>IFERROR(VLOOKUP($A419,'The List'!$B1:$AS730,19,FALSE)," ")</f>
        <v xml:space="preserve"> </v>
      </c>
      <c r="M419" s="52" t="str">
        <f>IFERROR(VLOOKUP($A419,'The List'!$B1:$AS730,20,FALSE)," ")</f>
        <v xml:space="preserve"> </v>
      </c>
      <c r="N419" s="52" t="str">
        <f>IFERROR(VLOOKUP($A419,'The List'!$B1:$AS730,21,FALSE)," ")</f>
        <v xml:space="preserve"> </v>
      </c>
      <c r="O419" s="52" t="str">
        <f>IFERROR(VLOOKUP($A419,'The List'!$B1:$AS730,22,FALSE)," ")</f>
        <v xml:space="preserve"> </v>
      </c>
      <c r="P419" s="52" t="str">
        <f>IFERROR(VLOOKUP($A419,'The List'!$B1:$AS730,23,FALSE)," ")</f>
        <v xml:space="preserve"> </v>
      </c>
      <c r="Q419" s="52" t="str">
        <f>IFERROR(VLOOKUP($A419,'The List'!$B1:$AS730,24,FALSE)," ")</f>
        <v xml:space="preserve"> </v>
      </c>
      <c r="R419" s="52" t="str">
        <f>IFERROR(VLOOKUP($A419,'The List'!$B1:$AS730,25,FALSE)," ")</f>
        <v xml:space="preserve"> </v>
      </c>
      <c r="S419" s="52" t="str">
        <f>IFERROR(VLOOKUP($A419,'The List'!$B1:$AS730,26,FALSE)," ")</f>
        <v xml:space="preserve"> </v>
      </c>
      <c r="T419" s="52" t="str">
        <f>IFERROR(VLOOKUP($A419,'The List'!$B1:$AS730,27,FALSE)," ")</f>
        <v xml:space="preserve"> </v>
      </c>
      <c r="U419" s="52" t="str">
        <f>IFERROR(VLOOKUP($A419,'The List'!$B1:$AS730,28,FALSE)," ")</f>
        <v xml:space="preserve"> </v>
      </c>
      <c r="V419" s="52" t="str">
        <f>IFERROR(VLOOKUP($A419,'The List'!$B1:$AS730,29,FALSE)," ")</f>
        <v xml:space="preserve"> </v>
      </c>
      <c r="W419" s="52" t="str">
        <f>IFERROR(VLOOKUP($A419,'The List'!$B1:$AS730,30,FALSE)," ")</f>
        <v xml:space="preserve"> </v>
      </c>
      <c r="X419" s="52" t="str">
        <f>IFERROR(VLOOKUP($A419,'The List'!$B1:$AS730,31,FALSE)," ")</f>
        <v xml:space="preserve"> </v>
      </c>
      <c r="Y419" s="52" t="str">
        <f>IFERROR(VLOOKUP($A419,'The List'!$B1:$AS730,32,FALSE)," ")</f>
        <v xml:space="preserve"> </v>
      </c>
      <c r="Z419" s="52" t="str">
        <f>IFERROR(VLOOKUP($A419,'The List'!$B1:$AS730,33,FALSE)," ")</f>
        <v xml:space="preserve"> </v>
      </c>
      <c r="AA419" s="54"/>
      <c r="AB419" s="59"/>
      <c r="AC419" s="59"/>
      <c r="AD419" s="59"/>
      <c r="AE419" s="59"/>
      <c r="AF419" s="59"/>
    </row>
    <row r="420" spans="1:32" ht="21.2" customHeight="1">
      <c r="A420" s="23"/>
      <c r="B420" s="67" t="str">
        <f>IFERROR(VLOOKUP($A420,'The List'!$B1:$AS730,3,FALSE)," ")</f>
        <v xml:space="preserve"> </v>
      </c>
      <c r="C420" s="69" t="str">
        <f>IFERROR(VLOOKUP($A420,'The List'!$B1:$AS730,4,FALSE)," ")</f>
        <v xml:space="preserve"> </v>
      </c>
      <c r="D420" s="34" t="str">
        <f>IFERROR(VLOOKUP($A420,'The List'!$B1:$AS730,5,FALSE)," ")</f>
        <v xml:space="preserve"> </v>
      </c>
      <c r="E420" s="34" t="str">
        <f>IFERROR(VLOOKUP($A420,'The List'!$B1:$AS730,6,FALSE)," ")</f>
        <v xml:space="preserve"> </v>
      </c>
      <c r="F420" s="49" t="str">
        <f>IFERROR(VLOOKUP($A420,'The List'!$B1:$AS730,8,FALSE)," ")</f>
        <v xml:space="preserve"> </v>
      </c>
      <c r="G420" s="49" t="str">
        <f>IFERROR(VLOOKUP($A420,'The List'!$B1:$AS730,10,FALSE)," ")</f>
        <v xml:space="preserve"> </v>
      </c>
      <c r="H420" s="38"/>
      <c r="I420" s="52" t="str">
        <f>IFERROR(VLOOKUP($A420,'The List'!$B1:$AS730,16,FALSE)," ")</f>
        <v xml:space="preserve"> </v>
      </c>
      <c r="J420" s="52" t="str">
        <f>IFERROR(VLOOKUP($A420,'The List'!$B1:$AS730,17,FALSE)," ")</f>
        <v xml:space="preserve"> </v>
      </c>
      <c r="K420" s="52" t="str">
        <f>IFERROR(VLOOKUP($A420,'The List'!$B1:$AS730,18,FALSE)," ")</f>
        <v xml:space="preserve"> </v>
      </c>
      <c r="L420" s="52" t="str">
        <f>IFERROR(VLOOKUP($A420,'The List'!$B1:$AS730,19,FALSE)," ")</f>
        <v xml:space="preserve"> </v>
      </c>
      <c r="M420" s="52" t="str">
        <f>IFERROR(VLOOKUP($A420,'The List'!$B1:$AS730,20,FALSE)," ")</f>
        <v xml:space="preserve"> </v>
      </c>
      <c r="N420" s="52" t="str">
        <f>IFERROR(VLOOKUP($A420,'The List'!$B1:$AS730,21,FALSE)," ")</f>
        <v xml:space="preserve"> </v>
      </c>
      <c r="O420" s="52" t="str">
        <f>IFERROR(VLOOKUP($A420,'The List'!$B1:$AS730,22,FALSE)," ")</f>
        <v xml:space="preserve"> </v>
      </c>
      <c r="P420" s="52" t="str">
        <f>IFERROR(VLOOKUP($A420,'The List'!$B1:$AS730,23,FALSE)," ")</f>
        <v xml:space="preserve"> </v>
      </c>
      <c r="Q420" s="52" t="str">
        <f>IFERROR(VLOOKUP($A420,'The List'!$B1:$AS730,24,FALSE)," ")</f>
        <v xml:space="preserve"> </v>
      </c>
      <c r="R420" s="52" t="str">
        <f>IFERROR(VLOOKUP($A420,'The List'!$B1:$AS730,25,FALSE)," ")</f>
        <v xml:space="preserve"> </v>
      </c>
      <c r="S420" s="52" t="str">
        <f>IFERROR(VLOOKUP($A420,'The List'!$B1:$AS730,26,FALSE)," ")</f>
        <v xml:space="preserve"> </v>
      </c>
      <c r="T420" s="52" t="str">
        <f>IFERROR(VLOOKUP($A420,'The List'!$B1:$AS730,27,FALSE)," ")</f>
        <v xml:space="preserve"> </v>
      </c>
      <c r="U420" s="52" t="str">
        <f>IFERROR(VLOOKUP($A420,'The List'!$B1:$AS730,28,FALSE)," ")</f>
        <v xml:space="preserve"> </v>
      </c>
      <c r="V420" s="52" t="str">
        <f>IFERROR(VLOOKUP($A420,'The List'!$B1:$AS730,29,FALSE)," ")</f>
        <v xml:space="preserve"> </v>
      </c>
      <c r="W420" s="52" t="str">
        <f>IFERROR(VLOOKUP($A420,'The List'!$B1:$AS730,30,FALSE)," ")</f>
        <v xml:space="preserve"> </v>
      </c>
      <c r="X420" s="52" t="str">
        <f>IFERROR(VLOOKUP($A420,'The List'!$B1:$AS730,31,FALSE)," ")</f>
        <v xml:space="preserve"> </v>
      </c>
      <c r="Y420" s="52" t="str">
        <f>IFERROR(VLOOKUP($A420,'The List'!$B1:$AS730,32,FALSE)," ")</f>
        <v xml:space="preserve"> </v>
      </c>
      <c r="Z420" s="52" t="str">
        <f>IFERROR(VLOOKUP($A420,'The List'!$B1:$AS730,33,FALSE)," ")</f>
        <v xml:space="preserve"> </v>
      </c>
      <c r="AA420" s="54"/>
      <c r="AB420" s="59"/>
      <c r="AC420" s="59"/>
      <c r="AD420" s="59"/>
      <c r="AE420" s="59"/>
      <c r="AF420" s="59"/>
    </row>
    <row r="421" spans="1:32" ht="21.2" customHeight="1">
      <c r="A421" s="23"/>
      <c r="B421" s="67" t="str">
        <f>IFERROR(VLOOKUP($A421,'The List'!$B1:$AS730,3,FALSE)," ")</f>
        <v xml:space="preserve"> </v>
      </c>
      <c r="C421" s="69" t="str">
        <f>IFERROR(VLOOKUP($A421,'The List'!$B1:$AS730,4,FALSE)," ")</f>
        <v xml:space="preserve"> </v>
      </c>
      <c r="D421" s="34" t="str">
        <f>IFERROR(VLOOKUP($A421,'The List'!$B1:$AS730,5,FALSE)," ")</f>
        <v xml:space="preserve"> </v>
      </c>
      <c r="E421" s="34" t="str">
        <f>IFERROR(VLOOKUP($A421,'The List'!$B1:$AS730,6,FALSE)," ")</f>
        <v xml:space="preserve"> </v>
      </c>
      <c r="F421" s="49" t="str">
        <f>IFERROR(VLOOKUP($A421,'The List'!$B1:$AS730,8,FALSE)," ")</f>
        <v xml:space="preserve"> </v>
      </c>
      <c r="G421" s="49" t="str">
        <f>IFERROR(VLOOKUP($A421,'The List'!$B1:$AS730,10,FALSE)," ")</f>
        <v xml:space="preserve"> </v>
      </c>
      <c r="H421" s="38"/>
      <c r="I421" s="52" t="str">
        <f>IFERROR(VLOOKUP($A421,'The List'!$B1:$AS730,16,FALSE)," ")</f>
        <v xml:space="preserve"> </v>
      </c>
      <c r="J421" s="52" t="str">
        <f>IFERROR(VLOOKUP($A421,'The List'!$B1:$AS730,17,FALSE)," ")</f>
        <v xml:space="preserve"> </v>
      </c>
      <c r="K421" s="52" t="str">
        <f>IFERROR(VLOOKUP($A421,'The List'!$B1:$AS730,18,FALSE)," ")</f>
        <v xml:space="preserve"> </v>
      </c>
      <c r="L421" s="52" t="str">
        <f>IFERROR(VLOOKUP($A421,'The List'!$B1:$AS730,19,FALSE)," ")</f>
        <v xml:space="preserve"> </v>
      </c>
      <c r="M421" s="52" t="str">
        <f>IFERROR(VLOOKUP($A421,'The List'!$B1:$AS730,20,FALSE)," ")</f>
        <v xml:space="preserve"> </v>
      </c>
      <c r="N421" s="52" t="str">
        <f>IFERROR(VLOOKUP($A421,'The List'!$B1:$AS730,21,FALSE)," ")</f>
        <v xml:space="preserve"> </v>
      </c>
      <c r="O421" s="52" t="str">
        <f>IFERROR(VLOOKUP($A421,'The List'!$B1:$AS730,22,FALSE)," ")</f>
        <v xml:space="preserve"> </v>
      </c>
      <c r="P421" s="52" t="str">
        <f>IFERROR(VLOOKUP($A421,'The List'!$B1:$AS730,23,FALSE)," ")</f>
        <v xml:space="preserve"> </v>
      </c>
      <c r="Q421" s="52" t="str">
        <f>IFERROR(VLOOKUP($A421,'The List'!$B1:$AS730,24,FALSE)," ")</f>
        <v xml:space="preserve"> </v>
      </c>
      <c r="R421" s="52" t="str">
        <f>IFERROR(VLOOKUP($A421,'The List'!$B1:$AS730,25,FALSE)," ")</f>
        <v xml:space="preserve"> </v>
      </c>
      <c r="S421" s="52" t="str">
        <f>IFERROR(VLOOKUP($A421,'The List'!$B1:$AS730,26,FALSE)," ")</f>
        <v xml:space="preserve"> </v>
      </c>
      <c r="T421" s="52" t="str">
        <f>IFERROR(VLOOKUP($A421,'The List'!$B1:$AS730,27,FALSE)," ")</f>
        <v xml:space="preserve"> </v>
      </c>
      <c r="U421" s="52" t="str">
        <f>IFERROR(VLOOKUP($A421,'The List'!$B1:$AS730,28,FALSE)," ")</f>
        <v xml:space="preserve"> </v>
      </c>
      <c r="V421" s="52" t="str">
        <f>IFERROR(VLOOKUP($A421,'The List'!$B1:$AS730,29,FALSE)," ")</f>
        <v xml:space="preserve"> </v>
      </c>
      <c r="W421" s="52" t="str">
        <f>IFERROR(VLOOKUP($A421,'The List'!$B1:$AS730,30,FALSE)," ")</f>
        <v xml:space="preserve"> </v>
      </c>
      <c r="X421" s="52" t="str">
        <f>IFERROR(VLOOKUP($A421,'The List'!$B1:$AS730,31,FALSE)," ")</f>
        <v xml:space="preserve"> </v>
      </c>
      <c r="Y421" s="52" t="str">
        <f>IFERROR(VLOOKUP($A421,'The List'!$B1:$AS730,32,FALSE)," ")</f>
        <v xml:space="preserve"> </v>
      </c>
      <c r="Z421" s="52" t="str">
        <f>IFERROR(VLOOKUP($A421,'The List'!$B1:$AS730,33,FALSE)," ")</f>
        <v xml:space="preserve"> </v>
      </c>
      <c r="AA421" s="54"/>
      <c r="AB421" s="59"/>
      <c r="AC421" s="59"/>
      <c r="AD421" s="59"/>
      <c r="AE421" s="59"/>
      <c r="AF421" s="59"/>
    </row>
    <row r="422" spans="1:32" ht="21.2" customHeight="1">
      <c r="A422" s="23"/>
      <c r="B422" s="67" t="str">
        <f>IFERROR(VLOOKUP($A422,'The List'!$B1:$AS730,3,FALSE)," ")</f>
        <v xml:space="preserve"> </v>
      </c>
      <c r="C422" s="69" t="str">
        <f>IFERROR(VLOOKUP($A422,'The List'!$B1:$AS730,4,FALSE)," ")</f>
        <v xml:space="preserve"> </v>
      </c>
      <c r="D422" s="34" t="str">
        <f>IFERROR(VLOOKUP($A422,'The List'!$B1:$AS730,5,FALSE)," ")</f>
        <v xml:space="preserve"> </v>
      </c>
      <c r="E422" s="34" t="str">
        <f>IFERROR(VLOOKUP($A422,'The List'!$B1:$AS730,6,FALSE)," ")</f>
        <v xml:space="preserve"> </v>
      </c>
      <c r="F422" s="49" t="str">
        <f>IFERROR(VLOOKUP($A422,'The List'!$B1:$AS730,8,FALSE)," ")</f>
        <v xml:space="preserve"> </v>
      </c>
      <c r="G422" s="49" t="str">
        <f>IFERROR(VLOOKUP($A422,'The List'!$B1:$AS730,10,FALSE)," ")</f>
        <v xml:space="preserve"> </v>
      </c>
      <c r="H422" s="38"/>
      <c r="I422" s="52" t="str">
        <f>IFERROR(VLOOKUP($A422,'The List'!$B1:$AS730,16,FALSE)," ")</f>
        <v xml:space="preserve"> </v>
      </c>
      <c r="J422" s="52" t="str">
        <f>IFERROR(VLOOKUP($A422,'The List'!$B1:$AS730,17,FALSE)," ")</f>
        <v xml:space="preserve"> </v>
      </c>
      <c r="K422" s="52" t="str">
        <f>IFERROR(VLOOKUP($A422,'The List'!$B1:$AS730,18,FALSE)," ")</f>
        <v xml:space="preserve"> </v>
      </c>
      <c r="L422" s="52" t="str">
        <f>IFERROR(VLOOKUP($A422,'The List'!$B1:$AS730,19,FALSE)," ")</f>
        <v xml:space="preserve"> </v>
      </c>
      <c r="M422" s="52" t="str">
        <f>IFERROR(VLOOKUP($A422,'The List'!$B1:$AS730,20,FALSE)," ")</f>
        <v xml:space="preserve"> </v>
      </c>
      <c r="N422" s="52" t="str">
        <f>IFERROR(VLOOKUP($A422,'The List'!$B1:$AS730,21,FALSE)," ")</f>
        <v xml:space="preserve"> </v>
      </c>
      <c r="O422" s="52" t="str">
        <f>IFERROR(VLOOKUP($A422,'The List'!$B1:$AS730,22,FALSE)," ")</f>
        <v xml:space="preserve"> </v>
      </c>
      <c r="P422" s="52" t="str">
        <f>IFERROR(VLOOKUP($A422,'The List'!$B1:$AS730,23,FALSE)," ")</f>
        <v xml:space="preserve"> </v>
      </c>
      <c r="Q422" s="52" t="str">
        <f>IFERROR(VLOOKUP($A422,'The List'!$B1:$AS730,24,FALSE)," ")</f>
        <v xml:space="preserve"> </v>
      </c>
      <c r="R422" s="52" t="str">
        <f>IFERROR(VLOOKUP($A422,'The List'!$B1:$AS730,25,FALSE)," ")</f>
        <v xml:space="preserve"> </v>
      </c>
      <c r="S422" s="52" t="str">
        <f>IFERROR(VLOOKUP($A422,'The List'!$B1:$AS730,26,FALSE)," ")</f>
        <v xml:space="preserve"> </v>
      </c>
      <c r="T422" s="52" t="str">
        <f>IFERROR(VLOOKUP($A422,'The List'!$B1:$AS730,27,FALSE)," ")</f>
        <v xml:space="preserve"> </v>
      </c>
      <c r="U422" s="52" t="str">
        <f>IFERROR(VLOOKUP($A422,'The List'!$B1:$AS730,28,FALSE)," ")</f>
        <v xml:space="preserve"> </v>
      </c>
      <c r="V422" s="52" t="str">
        <f>IFERROR(VLOOKUP($A422,'The List'!$B1:$AS730,29,FALSE)," ")</f>
        <v xml:space="preserve"> </v>
      </c>
      <c r="W422" s="52" t="str">
        <f>IFERROR(VLOOKUP($A422,'The List'!$B1:$AS730,30,FALSE)," ")</f>
        <v xml:space="preserve"> </v>
      </c>
      <c r="X422" s="52" t="str">
        <f>IFERROR(VLOOKUP($A422,'The List'!$B1:$AS730,31,FALSE)," ")</f>
        <v xml:space="preserve"> </v>
      </c>
      <c r="Y422" s="52" t="str">
        <f>IFERROR(VLOOKUP($A422,'The List'!$B1:$AS730,32,FALSE)," ")</f>
        <v xml:space="preserve"> </v>
      </c>
      <c r="Z422" s="52" t="str">
        <f>IFERROR(VLOOKUP($A422,'The List'!$B1:$AS730,33,FALSE)," ")</f>
        <v xml:space="preserve"> </v>
      </c>
      <c r="AA422" s="54"/>
      <c r="AB422" s="59"/>
      <c r="AC422" s="59"/>
      <c r="AD422" s="59"/>
      <c r="AE422" s="59"/>
      <c r="AF422" s="59"/>
    </row>
    <row r="423" spans="1:32" ht="21.2" customHeight="1">
      <c r="A423" s="23"/>
      <c r="B423" s="67" t="str">
        <f>IFERROR(VLOOKUP($A423,'The List'!$B1:$AS730,3,FALSE)," ")</f>
        <v xml:space="preserve"> </v>
      </c>
      <c r="C423" s="69" t="str">
        <f>IFERROR(VLOOKUP($A423,'The List'!$B1:$AS730,4,FALSE)," ")</f>
        <v xml:space="preserve"> </v>
      </c>
      <c r="D423" s="34" t="str">
        <f>IFERROR(VLOOKUP($A423,'The List'!$B1:$AS730,5,FALSE)," ")</f>
        <v xml:space="preserve"> </v>
      </c>
      <c r="E423" s="34" t="str">
        <f>IFERROR(VLOOKUP($A423,'The List'!$B1:$AS730,6,FALSE)," ")</f>
        <v xml:space="preserve"> </v>
      </c>
      <c r="F423" s="49" t="str">
        <f>IFERROR(VLOOKUP($A423,'The List'!$B1:$AS730,8,FALSE)," ")</f>
        <v xml:space="preserve"> </v>
      </c>
      <c r="G423" s="49" t="str">
        <f>IFERROR(VLOOKUP($A423,'The List'!$B1:$AS730,10,FALSE)," ")</f>
        <v xml:space="preserve"> </v>
      </c>
      <c r="H423" s="38"/>
      <c r="I423" s="52" t="str">
        <f>IFERROR(VLOOKUP($A423,'The List'!$B1:$AS730,16,FALSE)," ")</f>
        <v xml:space="preserve"> </v>
      </c>
      <c r="J423" s="52" t="str">
        <f>IFERROR(VLOOKUP($A423,'The List'!$B1:$AS730,17,FALSE)," ")</f>
        <v xml:space="preserve"> </v>
      </c>
      <c r="K423" s="52" t="str">
        <f>IFERROR(VLOOKUP($A423,'The List'!$B1:$AS730,18,FALSE)," ")</f>
        <v xml:space="preserve"> </v>
      </c>
      <c r="L423" s="52" t="str">
        <f>IFERROR(VLOOKUP($A423,'The List'!$B1:$AS730,19,FALSE)," ")</f>
        <v xml:space="preserve"> </v>
      </c>
      <c r="M423" s="52" t="str">
        <f>IFERROR(VLOOKUP($A423,'The List'!$B1:$AS730,20,FALSE)," ")</f>
        <v xml:space="preserve"> </v>
      </c>
      <c r="N423" s="52" t="str">
        <f>IFERROR(VLOOKUP($A423,'The List'!$B1:$AS730,21,FALSE)," ")</f>
        <v xml:space="preserve"> </v>
      </c>
      <c r="O423" s="52" t="str">
        <f>IFERROR(VLOOKUP($A423,'The List'!$B1:$AS730,22,FALSE)," ")</f>
        <v xml:space="preserve"> </v>
      </c>
      <c r="P423" s="52" t="str">
        <f>IFERROR(VLOOKUP($A423,'The List'!$B1:$AS730,23,FALSE)," ")</f>
        <v xml:space="preserve"> </v>
      </c>
      <c r="Q423" s="52" t="str">
        <f>IFERROR(VLOOKUP($A423,'The List'!$B1:$AS730,24,FALSE)," ")</f>
        <v xml:space="preserve"> </v>
      </c>
      <c r="R423" s="52" t="str">
        <f>IFERROR(VLOOKUP($A423,'The List'!$B1:$AS730,25,FALSE)," ")</f>
        <v xml:space="preserve"> </v>
      </c>
      <c r="S423" s="52" t="str">
        <f>IFERROR(VLOOKUP($A423,'The List'!$B1:$AS730,26,FALSE)," ")</f>
        <v xml:space="preserve"> </v>
      </c>
      <c r="T423" s="52" t="str">
        <f>IFERROR(VLOOKUP($A423,'The List'!$B1:$AS730,27,FALSE)," ")</f>
        <v xml:space="preserve"> </v>
      </c>
      <c r="U423" s="52" t="str">
        <f>IFERROR(VLOOKUP($A423,'The List'!$B1:$AS730,28,FALSE)," ")</f>
        <v xml:space="preserve"> </v>
      </c>
      <c r="V423" s="52" t="str">
        <f>IFERROR(VLOOKUP($A423,'The List'!$B1:$AS730,29,FALSE)," ")</f>
        <v xml:space="preserve"> </v>
      </c>
      <c r="W423" s="52" t="str">
        <f>IFERROR(VLOOKUP($A423,'The List'!$B1:$AS730,30,FALSE)," ")</f>
        <v xml:space="preserve"> </v>
      </c>
      <c r="X423" s="52" t="str">
        <f>IFERROR(VLOOKUP($A423,'The List'!$B1:$AS730,31,FALSE)," ")</f>
        <v xml:space="preserve"> </v>
      </c>
      <c r="Y423" s="52" t="str">
        <f>IFERROR(VLOOKUP($A423,'The List'!$B1:$AS730,32,FALSE)," ")</f>
        <v xml:space="preserve"> </v>
      </c>
      <c r="Z423" s="52" t="str">
        <f>IFERROR(VLOOKUP($A423,'The List'!$B1:$AS730,33,FALSE)," ")</f>
        <v xml:space="preserve"> </v>
      </c>
      <c r="AA423" s="54"/>
      <c r="AB423" s="59"/>
      <c r="AC423" s="59"/>
      <c r="AD423" s="59"/>
      <c r="AE423" s="59"/>
      <c r="AF423" s="59"/>
    </row>
    <row r="424" spans="1:32" ht="21.2" customHeight="1">
      <c r="A424" s="23"/>
      <c r="B424" s="67" t="str">
        <f>IFERROR(VLOOKUP($A424,'The List'!$B1:$AS730,3,FALSE)," ")</f>
        <v xml:space="preserve"> </v>
      </c>
      <c r="C424" s="69" t="str">
        <f>IFERROR(VLOOKUP($A424,'The List'!$B1:$AS730,4,FALSE)," ")</f>
        <v xml:space="preserve"> </v>
      </c>
      <c r="D424" s="34" t="str">
        <f>IFERROR(VLOOKUP($A424,'The List'!$B1:$AS730,5,FALSE)," ")</f>
        <v xml:space="preserve"> </v>
      </c>
      <c r="E424" s="34" t="str">
        <f>IFERROR(VLOOKUP($A424,'The List'!$B1:$AS730,6,FALSE)," ")</f>
        <v xml:space="preserve"> </v>
      </c>
      <c r="F424" s="49" t="str">
        <f>IFERROR(VLOOKUP($A424,'The List'!$B1:$AS730,8,FALSE)," ")</f>
        <v xml:space="preserve"> </v>
      </c>
      <c r="G424" s="49" t="str">
        <f>IFERROR(VLOOKUP($A424,'The List'!$B1:$AS730,10,FALSE)," ")</f>
        <v xml:space="preserve"> </v>
      </c>
      <c r="H424" s="38"/>
      <c r="I424" s="52" t="str">
        <f>IFERROR(VLOOKUP($A424,'The List'!$B1:$AS730,16,FALSE)," ")</f>
        <v xml:space="preserve"> </v>
      </c>
      <c r="J424" s="52" t="str">
        <f>IFERROR(VLOOKUP($A424,'The List'!$B1:$AS730,17,FALSE)," ")</f>
        <v xml:space="preserve"> </v>
      </c>
      <c r="K424" s="52" t="str">
        <f>IFERROR(VLOOKUP($A424,'The List'!$B1:$AS730,18,FALSE)," ")</f>
        <v xml:space="preserve"> </v>
      </c>
      <c r="L424" s="52" t="str">
        <f>IFERROR(VLOOKUP($A424,'The List'!$B1:$AS730,19,FALSE)," ")</f>
        <v xml:space="preserve"> </v>
      </c>
      <c r="M424" s="52" t="str">
        <f>IFERROR(VLOOKUP($A424,'The List'!$B1:$AS730,20,FALSE)," ")</f>
        <v xml:space="preserve"> </v>
      </c>
      <c r="N424" s="52" t="str">
        <f>IFERROR(VLOOKUP($A424,'The List'!$B1:$AS730,21,FALSE)," ")</f>
        <v xml:space="preserve"> </v>
      </c>
      <c r="O424" s="52" t="str">
        <f>IFERROR(VLOOKUP($A424,'The List'!$B1:$AS730,22,FALSE)," ")</f>
        <v xml:space="preserve"> </v>
      </c>
      <c r="P424" s="52" t="str">
        <f>IFERROR(VLOOKUP($A424,'The List'!$B1:$AS730,23,FALSE)," ")</f>
        <v xml:space="preserve"> </v>
      </c>
      <c r="Q424" s="52" t="str">
        <f>IFERROR(VLOOKUP($A424,'The List'!$B1:$AS730,24,FALSE)," ")</f>
        <v xml:space="preserve"> </v>
      </c>
      <c r="R424" s="52" t="str">
        <f>IFERROR(VLOOKUP($A424,'The List'!$B1:$AS730,25,FALSE)," ")</f>
        <v xml:space="preserve"> </v>
      </c>
      <c r="S424" s="52" t="str">
        <f>IFERROR(VLOOKUP($A424,'The List'!$B1:$AS730,26,FALSE)," ")</f>
        <v xml:space="preserve"> </v>
      </c>
      <c r="T424" s="52" t="str">
        <f>IFERROR(VLOOKUP($A424,'The List'!$B1:$AS730,27,FALSE)," ")</f>
        <v xml:space="preserve"> </v>
      </c>
      <c r="U424" s="52" t="str">
        <f>IFERROR(VLOOKUP($A424,'The List'!$B1:$AS730,28,FALSE)," ")</f>
        <v xml:space="preserve"> </v>
      </c>
      <c r="V424" s="52" t="str">
        <f>IFERROR(VLOOKUP($A424,'The List'!$B1:$AS730,29,FALSE)," ")</f>
        <v xml:space="preserve"> </v>
      </c>
      <c r="W424" s="52" t="str">
        <f>IFERROR(VLOOKUP($A424,'The List'!$B1:$AS730,30,FALSE)," ")</f>
        <v xml:space="preserve"> </v>
      </c>
      <c r="X424" s="52" t="str">
        <f>IFERROR(VLOOKUP($A424,'The List'!$B1:$AS730,31,FALSE)," ")</f>
        <v xml:space="preserve"> </v>
      </c>
      <c r="Y424" s="52" t="str">
        <f>IFERROR(VLOOKUP($A424,'The List'!$B1:$AS730,32,FALSE)," ")</f>
        <v xml:space="preserve"> </v>
      </c>
      <c r="Z424" s="52" t="str">
        <f>IFERROR(VLOOKUP($A424,'The List'!$B1:$AS730,33,FALSE)," ")</f>
        <v xml:space="preserve"> </v>
      </c>
      <c r="AA424" s="54"/>
      <c r="AB424" s="59"/>
      <c r="AC424" s="59"/>
      <c r="AD424" s="59"/>
      <c r="AE424" s="59"/>
      <c r="AF424" s="59"/>
    </row>
    <row r="425" spans="1:32" ht="21.2" customHeight="1">
      <c r="A425" s="23"/>
      <c r="B425" s="67" t="str">
        <f>IFERROR(VLOOKUP($A425,'The List'!$B1:$AS730,3,FALSE)," ")</f>
        <v xml:space="preserve"> </v>
      </c>
      <c r="C425" s="69" t="str">
        <f>IFERROR(VLOOKUP($A425,'The List'!$B1:$AS730,4,FALSE)," ")</f>
        <v xml:space="preserve"> </v>
      </c>
      <c r="D425" s="34" t="str">
        <f>IFERROR(VLOOKUP($A425,'The List'!$B1:$AS730,5,FALSE)," ")</f>
        <v xml:space="preserve"> </v>
      </c>
      <c r="E425" s="34" t="str">
        <f>IFERROR(VLOOKUP($A425,'The List'!$B1:$AS730,6,FALSE)," ")</f>
        <v xml:space="preserve"> </v>
      </c>
      <c r="F425" s="49" t="str">
        <f>IFERROR(VLOOKUP($A425,'The List'!$B1:$AS730,8,FALSE)," ")</f>
        <v xml:space="preserve"> </v>
      </c>
      <c r="G425" s="49" t="str">
        <f>IFERROR(VLOOKUP($A425,'The List'!$B1:$AS730,10,FALSE)," ")</f>
        <v xml:space="preserve"> </v>
      </c>
      <c r="H425" s="38"/>
      <c r="I425" s="52" t="str">
        <f>IFERROR(VLOOKUP($A425,'The List'!$B1:$AS730,16,FALSE)," ")</f>
        <v xml:space="preserve"> </v>
      </c>
      <c r="J425" s="52" t="str">
        <f>IFERROR(VLOOKUP($A425,'The List'!$B1:$AS730,17,FALSE)," ")</f>
        <v xml:space="preserve"> </v>
      </c>
      <c r="K425" s="52" t="str">
        <f>IFERROR(VLOOKUP($A425,'The List'!$B1:$AS730,18,FALSE)," ")</f>
        <v xml:space="preserve"> </v>
      </c>
      <c r="L425" s="52" t="str">
        <f>IFERROR(VLOOKUP($A425,'The List'!$B1:$AS730,19,FALSE)," ")</f>
        <v xml:space="preserve"> </v>
      </c>
      <c r="M425" s="52" t="str">
        <f>IFERROR(VLOOKUP($A425,'The List'!$B1:$AS730,20,FALSE)," ")</f>
        <v xml:space="preserve"> </v>
      </c>
      <c r="N425" s="52" t="str">
        <f>IFERROR(VLOOKUP($A425,'The List'!$B1:$AS730,21,FALSE)," ")</f>
        <v xml:space="preserve"> </v>
      </c>
      <c r="O425" s="52" t="str">
        <f>IFERROR(VLOOKUP($A425,'The List'!$B1:$AS730,22,FALSE)," ")</f>
        <v xml:space="preserve"> </v>
      </c>
      <c r="P425" s="52" t="str">
        <f>IFERROR(VLOOKUP($A425,'The List'!$B1:$AS730,23,FALSE)," ")</f>
        <v xml:space="preserve"> </v>
      </c>
      <c r="Q425" s="52" t="str">
        <f>IFERROR(VLOOKUP($A425,'The List'!$B1:$AS730,24,FALSE)," ")</f>
        <v xml:space="preserve"> </v>
      </c>
      <c r="R425" s="52" t="str">
        <f>IFERROR(VLOOKUP($A425,'The List'!$B1:$AS730,25,FALSE)," ")</f>
        <v xml:space="preserve"> </v>
      </c>
      <c r="S425" s="52" t="str">
        <f>IFERROR(VLOOKUP($A425,'The List'!$B1:$AS730,26,FALSE)," ")</f>
        <v xml:space="preserve"> </v>
      </c>
      <c r="T425" s="52" t="str">
        <f>IFERROR(VLOOKUP($A425,'The List'!$B1:$AS730,27,FALSE)," ")</f>
        <v xml:space="preserve"> </v>
      </c>
      <c r="U425" s="52" t="str">
        <f>IFERROR(VLOOKUP($A425,'The List'!$B1:$AS730,28,FALSE)," ")</f>
        <v xml:space="preserve"> </v>
      </c>
      <c r="V425" s="52" t="str">
        <f>IFERROR(VLOOKUP($A425,'The List'!$B1:$AS730,29,FALSE)," ")</f>
        <v xml:space="preserve"> </v>
      </c>
      <c r="W425" s="52" t="str">
        <f>IFERROR(VLOOKUP($A425,'The List'!$B1:$AS730,30,FALSE)," ")</f>
        <v xml:space="preserve"> </v>
      </c>
      <c r="X425" s="52" t="str">
        <f>IFERROR(VLOOKUP($A425,'The List'!$B1:$AS730,31,FALSE)," ")</f>
        <v xml:space="preserve"> </v>
      </c>
      <c r="Y425" s="52" t="str">
        <f>IFERROR(VLOOKUP($A425,'The List'!$B1:$AS730,32,FALSE)," ")</f>
        <v xml:space="preserve"> </v>
      </c>
      <c r="Z425" s="52" t="str">
        <f>IFERROR(VLOOKUP($A425,'The List'!$B1:$AS730,33,FALSE)," ")</f>
        <v xml:space="preserve"> </v>
      </c>
      <c r="AA425" s="54"/>
      <c r="AB425" s="59"/>
      <c r="AC425" s="59"/>
      <c r="AD425" s="59"/>
      <c r="AE425" s="59"/>
      <c r="AF425" s="59"/>
    </row>
    <row r="426" spans="1:32" ht="21.2" customHeight="1">
      <c r="A426" s="23"/>
      <c r="B426" s="67" t="str">
        <f>IFERROR(VLOOKUP($A426,'The List'!$B1:$AS730,3,FALSE)," ")</f>
        <v xml:space="preserve"> </v>
      </c>
      <c r="C426" s="69" t="str">
        <f>IFERROR(VLOOKUP($A426,'The List'!$B1:$AS730,4,FALSE)," ")</f>
        <v xml:space="preserve"> </v>
      </c>
      <c r="D426" s="34" t="str">
        <f>IFERROR(VLOOKUP($A426,'The List'!$B1:$AS730,5,FALSE)," ")</f>
        <v xml:space="preserve"> </v>
      </c>
      <c r="E426" s="34" t="str">
        <f>IFERROR(VLOOKUP($A426,'The List'!$B1:$AS730,6,FALSE)," ")</f>
        <v xml:space="preserve"> </v>
      </c>
      <c r="F426" s="49" t="str">
        <f>IFERROR(VLOOKUP($A426,'The List'!$B1:$AS730,8,FALSE)," ")</f>
        <v xml:space="preserve"> </v>
      </c>
      <c r="G426" s="49" t="str">
        <f>IFERROR(VLOOKUP($A426,'The List'!$B1:$AS730,10,FALSE)," ")</f>
        <v xml:space="preserve"> </v>
      </c>
      <c r="H426" s="38"/>
      <c r="I426" s="52" t="str">
        <f>IFERROR(VLOOKUP($A426,'The List'!$B1:$AS730,16,FALSE)," ")</f>
        <v xml:space="preserve"> </v>
      </c>
      <c r="J426" s="52" t="str">
        <f>IFERROR(VLOOKUP($A426,'The List'!$B1:$AS730,17,FALSE)," ")</f>
        <v xml:space="preserve"> </v>
      </c>
      <c r="K426" s="52" t="str">
        <f>IFERROR(VLOOKUP($A426,'The List'!$B1:$AS730,18,FALSE)," ")</f>
        <v xml:space="preserve"> </v>
      </c>
      <c r="L426" s="52" t="str">
        <f>IFERROR(VLOOKUP($A426,'The List'!$B1:$AS730,19,FALSE)," ")</f>
        <v xml:space="preserve"> </v>
      </c>
      <c r="M426" s="52" t="str">
        <f>IFERROR(VLOOKUP($A426,'The List'!$B1:$AS730,20,FALSE)," ")</f>
        <v xml:space="preserve"> </v>
      </c>
      <c r="N426" s="52" t="str">
        <f>IFERROR(VLOOKUP($A426,'The List'!$B1:$AS730,21,FALSE)," ")</f>
        <v xml:space="preserve"> </v>
      </c>
      <c r="O426" s="52" t="str">
        <f>IFERROR(VLOOKUP($A426,'The List'!$B1:$AS730,22,FALSE)," ")</f>
        <v xml:space="preserve"> </v>
      </c>
      <c r="P426" s="52" t="str">
        <f>IFERROR(VLOOKUP($A426,'The List'!$B1:$AS730,23,FALSE)," ")</f>
        <v xml:space="preserve"> </v>
      </c>
      <c r="Q426" s="52" t="str">
        <f>IFERROR(VLOOKUP($A426,'The List'!$B1:$AS730,24,FALSE)," ")</f>
        <v xml:space="preserve"> </v>
      </c>
      <c r="R426" s="52" t="str">
        <f>IFERROR(VLOOKUP($A426,'The List'!$B1:$AS730,25,FALSE)," ")</f>
        <v xml:space="preserve"> </v>
      </c>
      <c r="S426" s="52" t="str">
        <f>IFERROR(VLOOKUP($A426,'The List'!$B1:$AS730,26,FALSE)," ")</f>
        <v xml:space="preserve"> </v>
      </c>
      <c r="T426" s="52" t="str">
        <f>IFERROR(VLOOKUP($A426,'The List'!$B1:$AS730,27,FALSE)," ")</f>
        <v xml:space="preserve"> </v>
      </c>
      <c r="U426" s="52" t="str">
        <f>IFERROR(VLOOKUP($A426,'The List'!$B1:$AS730,28,FALSE)," ")</f>
        <v xml:space="preserve"> </v>
      </c>
      <c r="V426" s="52" t="str">
        <f>IFERROR(VLOOKUP($A426,'The List'!$B1:$AS730,29,FALSE)," ")</f>
        <v xml:space="preserve"> </v>
      </c>
      <c r="W426" s="52" t="str">
        <f>IFERROR(VLOOKUP($A426,'The List'!$B1:$AS730,30,FALSE)," ")</f>
        <v xml:space="preserve"> </v>
      </c>
      <c r="X426" s="52" t="str">
        <f>IFERROR(VLOOKUP($A426,'The List'!$B1:$AS730,31,FALSE)," ")</f>
        <v xml:space="preserve"> </v>
      </c>
      <c r="Y426" s="52" t="str">
        <f>IFERROR(VLOOKUP($A426,'The List'!$B1:$AS730,32,FALSE)," ")</f>
        <v xml:space="preserve"> </v>
      </c>
      <c r="Z426" s="52" t="str">
        <f>IFERROR(VLOOKUP($A426,'The List'!$B1:$AS730,33,FALSE)," ")</f>
        <v xml:space="preserve"> </v>
      </c>
      <c r="AA426" s="54"/>
      <c r="AB426" s="59"/>
      <c r="AC426" s="59"/>
      <c r="AD426" s="59"/>
      <c r="AE426" s="59"/>
      <c r="AF426" s="59"/>
    </row>
    <row r="427" spans="1:32" ht="21.2" customHeight="1">
      <c r="A427" s="71"/>
      <c r="B427" s="72" t="str">
        <f>IFERROR(VLOOKUP($A427,'The List'!$B1:$AS730,3,FALSE)," ")</f>
        <v xml:space="preserve"> </v>
      </c>
      <c r="C427" s="73" t="str">
        <f>IFERROR(VLOOKUP($A427,'The List'!$B1:$AS730,4,FALSE)," ")</f>
        <v xml:space="preserve"> </v>
      </c>
      <c r="D427" s="74" t="str">
        <f>IFERROR(VLOOKUP($A427,'The List'!$B1:$AS730,5,FALSE)," ")</f>
        <v xml:space="preserve"> </v>
      </c>
      <c r="E427" s="74" t="str">
        <f>IFERROR(VLOOKUP($A427,'The List'!$B1:$AS730,6,FALSE)," ")</f>
        <v xml:space="preserve"> </v>
      </c>
      <c r="F427" s="75" t="str">
        <f>IFERROR(VLOOKUP($A427,'The List'!$B1:$AS730,8,FALSE)," ")</f>
        <v xml:space="preserve"> </v>
      </c>
      <c r="G427" s="75" t="str">
        <f>IFERROR(VLOOKUP($A427,'The List'!$B1:$AS730,10,FALSE)," ")</f>
        <v xml:space="preserve"> </v>
      </c>
      <c r="H427" s="76"/>
      <c r="I427" s="77" t="str">
        <f>IFERROR(VLOOKUP($A427,'The List'!$B1:$AS730,16,FALSE)," ")</f>
        <v xml:space="preserve"> </v>
      </c>
      <c r="J427" s="77" t="str">
        <f>IFERROR(VLOOKUP($A427,'The List'!$B1:$AS730,17,FALSE)," ")</f>
        <v xml:space="preserve"> </v>
      </c>
      <c r="K427" s="77" t="str">
        <f>IFERROR(VLOOKUP($A427,'The List'!$B1:$AS730,18,FALSE)," ")</f>
        <v xml:space="preserve"> </v>
      </c>
      <c r="L427" s="77" t="str">
        <f>IFERROR(VLOOKUP($A427,'The List'!$B1:$AS730,19,FALSE)," ")</f>
        <v xml:space="preserve"> </v>
      </c>
      <c r="M427" s="77" t="str">
        <f>IFERROR(VLOOKUP($A427,'The List'!$B1:$AS730,20,FALSE)," ")</f>
        <v xml:space="preserve"> </v>
      </c>
      <c r="N427" s="77" t="str">
        <f>IFERROR(VLOOKUP($A427,'The List'!$B1:$AS730,21,FALSE)," ")</f>
        <v xml:space="preserve"> </v>
      </c>
      <c r="O427" s="77" t="str">
        <f>IFERROR(VLOOKUP($A427,'The List'!$B1:$AS730,22,FALSE)," ")</f>
        <v xml:space="preserve"> </v>
      </c>
      <c r="P427" s="77" t="str">
        <f>IFERROR(VLOOKUP($A427,'The List'!$B1:$AS730,23,FALSE)," ")</f>
        <v xml:space="preserve"> </v>
      </c>
      <c r="Q427" s="77" t="str">
        <f>IFERROR(VLOOKUP($A427,'The List'!$B1:$AS730,24,FALSE)," ")</f>
        <v xml:space="preserve"> </v>
      </c>
      <c r="R427" s="77" t="str">
        <f>IFERROR(VLOOKUP($A427,'The List'!$B1:$AS730,25,FALSE)," ")</f>
        <v xml:space="preserve"> </v>
      </c>
      <c r="S427" s="77" t="str">
        <f>IFERROR(VLOOKUP($A427,'The List'!$B1:$AS730,26,FALSE)," ")</f>
        <v xml:space="preserve"> </v>
      </c>
      <c r="T427" s="77" t="str">
        <f>IFERROR(VLOOKUP($A427,'The List'!$B1:$AS730,27,FALSE)," ")</f>
        <v xml:space="preserve"> </v>
      </c>
      <c r="U427" s="77" t="str">
        <f>IFERROR(VLOOKUP($A427,'The List'!$B1:$AS730,28,FALSE)," ")</f>
        <v xml:space="preserve"> </v>
      </c>
      <c r="V427" s="77" t="str">
        <f>IFERROR(VLOOKUP($A427,'The List'!$B1:$AS730,29,FALSE)," ")</f>
        <v xml:space="preserve"> </v>
      </c>
      <c r="W427" s="77" t="str">
        <f>IFERROR(VLOOKUP($A427,'The List'!$B1:$AS730,30,FALSE)," ")</f>
        <v xml:space="preserve"> </v>
      </c>
      <c r="X427" s="77" t="str">
        <f>IFERROR(VLOOKUP($A427,'The List'!$B1:$AS730,31,FALSE)," ")</f>
        <v xml:space="preserve"> </v>
      </c>
      <c r="Y427" s="77" t="str">
        <f>IFERROR(VLOOKUP($A427,'The List'!$B1:$AS730,32,FALSE)," ")</f>
        <v xml:space="preserve"> </v>
      </c>
      <c r="Z427" s="77" t="str">
        <f>IFERROR(VLOOKUP($A427,'The List'!$B1:$AS730,33,FALSE)," ")</f>
        <v xml:space="preserve"> </v>
      </c>
      <c r="AA427" s="54"/>
      <c r="AB427" s="59"/>
      <c r="AC427" s="59"/>
      <c r="AD427" s="59"/>
      <c r="AE427" s="59"/>
      <c r="AF427" s="59"/>
    </row>
    <row r="428" spans="1:32" ht="21.2" customHeight="1">
      <c r="A428" s="78"/>
      <c r="B428" s="79"/>
      <c r="C428" s="80"/>
      <c r="D428" s="81"/>
      <c r="E428" s="116" t="str">
        <f>IFERROR(AVERAGE(E408:E427)," ")</f>
        <v xml:space="preserve"> </v>
      </c>
      <c r="F428" s="83">
        <f>SUM(F408:F427)</f>
        <v>0</v>
      </c>
      <c r="G428" s="83">
        <f>SUM(G408:G427)</f>
        <v>0</v>
      </c>
      <c r="H428" s="84"/>
      <c r="I428" s="85">
        <f>SUM(I408:I427)</f>
        <v>0</v>
      </c>
      <c r="J428" s="84" t="e">
        <f>AVERAGE(J408:J427)</f>
        <v>#DIV/0!</v>
      </c>
      <c r="K428" s="85">
        <f t="shared" ref="K428:Y428" si="28">SUM(K408:K427)</f>
        <v>0</v>
      </c>
      <c r="L428" s="85">
        <f t="shared" si="28"/>
        <v>0</v>
      </c>
      <c r="M428" s="85">
        <f t="shared" si="28"/>
        <v>0</v>
      </c>
      <c r="N428" s="85">
        <f t="shared" si="28"/>
        <v>0</v>
      </c>
      <c r="O428" s="85">
        <f t="shared" si="28"/>
        <v>0</v>
      </c>
      <c r="P428" s="85">
        <f t="shared" si="28"/>
        <v>0</v>
      </c>
      <c r="Q428" s="85">
        <f t="shared" si="28"/>
        <v>0</v>
      </c>
      <c r="R428" s="85">
        <f t="shared" si="28"/>
        <v>0</v>
      </c>
      <c r="S428" s="85">
        <f t="shared" si="28"/>
        <v>0</v>
      </c>
      <c r="T428" s="85">
        <f t="shared" si="28"/>
        <v>0</v>
      </c>
      <c r="U428" s="85">
        <f t="shared" si="28"/>
        <v>0</v>
      </c>
      <c r="V428" s="85">
        <f t="shared" si="28"/>
        <v>0</v>
      </c>
      <c r="W428" s="85">
        <f t="shared" si="28"/>
        <v>0</v>
      </c>
      <c r="X428" s="85">
        <f t="shared" si="28"/>
        <v>0</v>
      </c>
      <c r="Y428" s="85">
        <f t="shared" si="28"/>
        <v>0</v>
      </c>
      <c r="Z428" s="86">
        <f>IFERROR(X428/(X428+Y428),0)</f>
        <v>0</v>
      </c>
      <c r="AA428" s="54"/>
      <c r="AB428" s="87"/>
      <c r="AC428" s="87"/>
      <c r="AD428" s="87"/>
      <c r="AE428" s="87"/>
      <c r="AF428" s="87"/>
    </row>
    <row r="429" spans="1:32" ht="21.2" customHeight="1">
      <c r="A429" s="88"/>
      <c r="B429" s="89"/>
      <c r="C429" s="90"/>
      <c r="D429" s="11"/>
      <c r="E429" s="11"/>
      <c r="F429" s="91"/>
      <c r="G429" s="92"/>
      <c r="H429" s="93"/>
      <c r="I429" s="9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9"/>
      <c r="AC429" s="59"/>
      <c r="AD429" s="59"/>
      <c r="AE429" s="59"/>
      <c r="AF429" s="59"/>
    </row>
    <row r="430" spans="1:32" ht="21.2" customHeight="1">
      <c r="A430" s="24" t="s">
        <v>64</v>
      </c>
      <c r="B430" s="231" t="s">
        <v>66</v>
      </c>
      <c r="C430" s="223"/>
      <c r="D430" s="95" t="s">
        <v>67</v>
      </c>
      <c r="E430" s="95" t="s">
        <v>68</v>
      </c>
      <c r="F430" s="96" t="s">
        <v>70</v>
      </c>
      <c r="G430" s="96" t="s">
        <v>72</v>
      </c>
      <c r="H430" s="97"/>
      <c r="I430" s="98" t="s">
        <v>77</v>
      </c>
      <c r="J430" s="98" t="s">
        <v>95</v>
      </c>
      <c r="K430" s="98" t="s">
        <v>96</v>
      </c>
      <c r="L430" s="98" t="s">
        <v>97</v>
      </c>
      <c r="M430" s="98" t="s">
        <v>98</v>
      </c>
      <c r="N430" s="98" t="s">
        <v>99</v>
      </c>
      <c r="O430" s="98" t="s">
        <v>100</v>
      </c>
      <c r="P430" s="98" t="s">
        <v>101</v>
      </c>
      <c r="Q430" s="98" t="s">
        <v>102</v>
      </c>
      <c r="R430" s="54"/>
      <c r="S430" s="54"/>
      <c r="T430" s="54"/>
      <c r="U430" s="231" t="s">
        <v>839</v>
      </c>
      <c r="V430" s="232"/>
      <c r="W430" s="232"/>
      <c r="X430" s="231" t="s">
        <v>840</v>
      </c>
      <c r="Y430" s="232"/>
      <c r="Z430" s="232"/>
      <c r="AA430" s="54"/>
      <c r="AB430" s="54"/>
      <c r="AC430" s="54"/>
      <c r="AD430" s="54"/>
      <c r="AE430" s="54"/>
      <c r="AF430" s="54"/>
    </row>
    <row r="431" spans="1:32" ht="21.2" customHeight="1">
      <c r="A431" s="117"/>
      <c r="B431" s="100" t="str">
        <f>IFERROR(VLOOKUP($A431,'The List'!$B1:$AS730,3,FALSE)," ")</f>
        <v xml:space="preserve"> </v>
      </c>
      <c r="C431" s="118" t="str">
        <f>IFERROR(VLOOKUP($A431,'The List'!$B1:$AS730,4,FALSE)," ")</f>
        <v xml:space="preserve"> </v>
      </c>
      <c r="D431" s="102" t="str">
        <f>IFERROR(VLOOKUP($A431,'The List'!$B1:$AS730,5,FALSE)," ")</f>
        <v xml:space="preserve"> </v>
      </c>
      <c r="E431" s="102" t="str">
        <f>IFERROR(VLOOKUP($A431,'The List'!$B1:$AS730,6,FALSE)," ")</f>
        <v xml:space="preserve"> </v>
      </c>
      <c r="F431" s="119" t="str">
        <f>IFERROR(VLOOKUP($A431,'The List'!$B1:$AS730,8,FALSE)," ")</f>
        <v xml:space="preserve"> </v>
      </c>
      <c r="G431" s="119" t="str">
        <f>IFERROR(VLOOKUP($A431,'The List'!$B1:$AS730,10,FALSE)," ")</f>
        <v xml:space="preserve"> </v>
      </c>
      <c r="H431" s="105"/>
      <c r="I431" s="120" t="str">
        <f>IFERROR(VLOOKUP($A431,'The List'!$B1:$AS730,35,FALSE)," ")</f>
        <v xml:space="preserve"> </v>
      </c>
      <c r="J431" s="120" t="str">
        <f>IFERROR(VLOOKUP($A431,'The List'!$B1:$AS730,36,FALSE)," ")</f>
        <v xml:space="preserve"> </v>
      </c>
      <c r="K431" s="120" t="str">
        <f>IFERROR(VLOOKUP($A431,'The List'!$B1:$AS730,37,FALSE)," ")</f>
        <v xml:space="preserve"> </v>
      </c>
      <c r="L431" s="120" t="str">
        <f>IFERROR(VLOOKUP($A431,'The List'!$B1:$AS730,38,FALSE)," ")</f>
        <v xml:space="preserve"> </v>
      </c>
      <c r="M431" s="120" t="str">
        <f>IFERROR(VLOOKUP($A431,'The List'!$B1:$AS730,39,FALSE)," ")</f>
        <v xml:space="preserve"> </v>
      </c>
      <c r="N431" s="120" t="str">
        <f>IFERROR(VLOOKUP($A431,'The List'!$B1:$AS730,40,FALSE)," ")</f>
        <v xml:space="preserve"> </v>
      </c>
      <c r="O431" s="120" t="str">
        <f>IFERROR(VLOOKUP($A431,'The List'!$B1:$AS730,41,FALSE)," ")</f>
        <v xml:space="preserve"> </v>
      </c>
      <c r="P431" s="120" t="str">
        <f>IFERROR(VLOOKUP($A431,'The List'!$B1:$AS730,42,FALSE)," ")</f>
        <v xml:space="preserve"> </v>
      </c>
      <c r="Q431" s="120" t="str">
        <f>IFERROR(VLOOKUP($A431,'The List'!$B1:$AS730,43,FALSE)," ")</f>
        <v xml:space="preserve"> </v>
      </c>
      <c r="R431" s="54"/>
      <c r="S431" s="54"/>
      <c r="T431" s="109" t="str">
        <f>A378</f>
        <v>TEAM 14</v>
      </c>
      <c r="U431" s="230">
        <f>F428+F434</f>
        <v>0</v>
      </c>
      <c r="V431" s="223"/>
      <c r="W431" s="223"/>
      <c r="X431" s="230">
        <f>G434+G428</f>
        <v>0</v>
      </c>
      <c r="Y431" s="223"/>
      <c r="Z431" s="223"/>
      <c r="AA431" s="54"/>
      <c r="AB431" s="54"/>
      <c r="AC431" s="54"/>
      <c r="AD431" s="54"/>
      <c r="AE431" s="54"/>
      <c r="AF431" s="54"/>
    </row>
    <row r="432" spans="1:32" ht="21.2" customHeight="1">
      <c r="A432" s="23"/>
      <c r="B432" s="110" t="str">
        <f>IFERROR(VLOOKUP($A432,'The List'!$B1:$AS730,3,FALSE)," ")</f>
        <v xml:space="preserve"> </v>
      </c>
      <c r="C432" s="111" t="str">
        <f>IFERROR(VLOOKUP($A432,'The List'!$B1:$AS730,4,FALSE)," ")</f>
        <v xml:space="preserve"> </v>
      </c>
      <c r="D432" s="34" t="str">
        <f>IFERROR(VLOOKUP($A432,'The List'!$B1:$AS730,5,FALSE)," ")</f>
        <v xml:space="preserve"> </v>
      </c>
      <c r="E432" s="34" t="str">
        <f>IFERROR(VLOOKUP($A432,'The List'!$B1:$AS730,6,FALSE)," ")</f>
        <v xml:space="preserve"> </v>
      </c>
      <c r="F432" s="49" t="str">
        <f>IFERROR(VLOOKUP($A432,'The List'!$B1:$AS730,8,FALSE)," ")</f>
        <v xml:space="preserve"> </v>
      </c>
      <c r="G432" s="49" t="str">
        <f>IFERROR(VLOOKUP($A432,'The List'!$B1:$AS730,10,FALSE)," ")</f>
        <v xml:space="preserve"> </v>
      </c>
      <c r="H432" s="38"/>
      <c r="I432" s="52" t="str">
        <f>IFERROR(VLOOKUP($A432,'The List'!$B1:$AS730,35,FALSE)," ")</f>
        <v xml:space="preserve"> </v>
      </c>
      <c r="J432" s="52" t="str">
        <f>IFERROR(VLOOKUP($A432,'The List'!$B1:$AS730,36,FALSE)," ")</f>
        <v xml:space="preserve"> </v>
      </c>
      <c r="K432" s="52" t="str">
        <f>IFERROR(VLOOKUP($A432,'The List'!$B1:$AS730,37,FALSE)," ")</f>
        <v xml:space="preserve"> </v>
      </c>
      <c r="L432" s="52" t="str">
        <f>IFERROR(VLOOKUP($A432,'The List'!$B1:$AS730,38,FALSE)," ")</f>
        <v xml:space="preserve"> </v>
      </c>
      <c r="M432" s="52" t="str">
        <f>IFERROR(VLOOKUP($A432,'The List'!$B1:$AS730,39,FALSE)," ")</f>
        <v xml:space="preserve"> </v>
      </c>
      <c r="N432" s="52" t="str">
        <f>IFERROR(VLOOKUP($A432,'The List'!$B1:$AS730,40,FALSE)," ")</f>
        <v xml:space="preserve"> </v>
      </c>
      <c r="O432" s="52" t="str">
        <f>IFERROR(VLOOKUP($A432,'The List'!$B1:$AS730,41,FALSE)," ")</f>
        <v xml:space="preserve"> </v>
      </c>
      <c r="P432" s="52" t="str">
        <f>IFERROR(VLOOKUP($A432,'The List'!$B1:$AS730,42,FALSE)," ")</f>
        <v xml:space="preserve"> </v>
      </c>
      <c r="Q432" s="52" t="str">
        <f>IFERROR(VLOOKUP($A432,'The List'!$B1:$AS730,43,FALSE)," ")</f>
        <v xml:space="preserve"> </v>
      </c>
      <c r="R432" s="54"/>
      <c r="S432" s="54"/>
      <c r="T432" s="54"/>
      <c r="U432" s="223"/>
      <c r="V432" s="223"/>
      <c r="W432" s="223"/>
      <c r="X432" s="223"/>
      <c r="Y432" s="223"/>
      <c r="Z432" s="223"/>
      <c r="AA432" s="54"/>
      <c r="AB432" s="54"/>
      <c r="AC432" s="54"/>
      <c r="AD432" s="54"/>
      <c r="AE432" s="54"/>
      <c r="AF432" s="54"/>
    </row>
    <row r="433" spans="1:32" ht="21.2" customHeight="1">
      <c r="A433" s="71"/>
      <c r="B433" s="112" t="str">
        <f>IFERROR(VLOOKUP($A433,'The List'!$B1:$AS730,3,FALSE)," ")</f>
        <v xml:space="preserve"> </v>
      </c>
      <c r="C433" s="113" t="str">
        <f>IFERROR(VLOOKUP($A433,'The List'!$B1:$AS730,4,FALSE)," ")</f>
        <v xml:space="preserve"> </v>
      </c>
      <c r="D433" s="74" t="str">
        <f>IFERROR(VLOOKUP($A433,'The List'!$B1:$AS730,5,FALSE)," ")</f>
        <v xml:space="preserve"> </v>
      </c>
      <c r="E433" s="74" t="str">
        <f>IFERROR(VLOOKUP($A433,'The List'!$B1:$AS730,6,FALSE)," ")</f>
        <v xml:space="preserve"> </v>
      </c>
      <c r="F433" s="75" t="str">
        <f>IFERROR(VLOOKUP($A433,'The List'!$B1:$AS730,8,FALSE)," ")</f>
        <v xml:space="preserve"> </v>
      </c>
      <c r="G433" s="75" t="str">
        <f>IFERROR(VLOOKUP($A433,'The List'!$B1:$AS730,10,FALSE)," ")</f>
        <v xml:space="preserve"> </v>
      </c>
      <c r="H433" s="76"/>
      <c r="I433" s="77" t="str">
        <f>IFERROR(VLOOKUP($A433,'The List'!$B1:$AS730,35,FALSE)," ")</f>
        <v xml:space="preserve"> </v>
      </c>
      <c r="J433" s="77" t="str">
        <f>IFERROR(VLOOKUP($A433,'The List'!$B1:$AS730,36,FALSE)," ")</f>
        <v xml:space="preserve"> </v>
      </c>
      <c r="K433" s="77" t="str">
        <f>IFERROR(VLOOKUP($A433,'The List'!$B1:$AS730,37,FALSE)," ")</f>
        <v xml:space="preserve"> </v>
      </c>
      <c r="L433" s="77" t="str">
        <f>IFERROR(VLOOKUP($A433,'The List'!$B1:$AS730,38,FALSE)," ")</f>
        <v xml:space="preserve"> </v>
      </c>
      <c r="M433" s="77" t="str">
        <f>IFERROR(VLOOKUP($A433,'The List'!$B1:$AS730,39,FALSE)," ")</f>
        <v xml:space="preserve"> </v>
      </c>
      <c r="N433" s="77" t="str">
        <f>IFERROR(VLOOKUP($A433,'The List'!$B1:$AS730,40,FALSE)," ")</f>
        <v xml:space="preserve"> </v>
      </c>
      <c r="O433" s="77" t="str">
        <f>IFERROR(VLOOKUP($A433,'The List'!$B1:$AS730,41,FALSE)," ")</f>
        <v xml:space="preserve"> </v>
      </c>
      <c r="P433" s="77" t="str">
        <f>IFERROR(VLOOKUP($A433,'The List'!$B1:$AS730,42,FALSE)," ")</f>
        <v xml:space="preserve"> </v>
      </c>
      <c r="Q433" s="77" t="str">
        <f>IFERROR(VLOOKUP($A433,'The List'!$B1:$AS730,43,FALSE)," ")</f>
        <v xml:space="preserve"> </v>
      </c>
      <c r="R433" s="54"/>
      <c r="S433" s="54"/>
      <c r="T433" s="54"/>
      <c r="U433" s="223"/>
      <c r="V433" s="223"/>
      <c r="W433" s="223"/>
      <c r="X433" s="223"/>
      <c r="Y433" s="223"/>
      <c r="Z433" s="223"/>
      <c r="AA433" s="54"/>
      <c r="AB433" s="54"/>
      <c r="AC433" s="54"/>
      <c r="AD433" s="54"/>
      <c r="AE433" s="54"/>
      <c r="AF433" s="54"/>
    </row>
    <row r="434" spans="1:32" ht="21.2" customHeight="1">
      <c r="A434" s="78"/>
      <c r="B434" s="79"/>
      <c r="C434" s="80"/>
      <c r="D434" s="81"/>
      <c r="E434" s="116" t="str">
        <f>IFERROR(AVERAGE(E431:E433)," ")</f>
        <v xml:space="preserve"> </v>
      </c>
      <c r="F434" s="83">
        <f>SUM(F431:F433)</f>
        <v>0</v>
      </c>
      <c r="G434" s="83">
        <f>SUM(G431:G433)</f>
        <v>0</v>
      </c>
      <c r="H434" s="84"/>
      <c r="I434" s="85">
        <f t="shared" ref="I434:O434" si="29">SUM(I431:I433)</f>
        <v>0</v>
      </c>
      <c r="J434" s="84">
        <f t="shared" si="29"/>
        <v>0</v>
      </c>
      <c r="K434" s="85">
        <f t="shared" si="29"/>
        <v>0</v>
      </c>
      <c r="L434" s="85">
        <f t="shared" si="29"/>
        <v>0</v>
      </c>
      <c r="M434" s="85">
        <f t="shared" si="29"/>
        <v>0</v>
      </c>
      <c r="N434" s="85">
        <f t="shared" si="29"/>
        <v>0</v>
      </c>
      <c r="O434" s="85">
        <f t="shared" si="29"/>
        <v>0</v>
      </c>
      <c r="P434" s="114" t="e">
        <f>1-(O434/(N434+O434))</f>
        <v>#DIV/0!</v>
      </c>
      <c r="Q434" s="115" t="e">
        <f>O434/I434</f>
        <v>#DIV/0!</v>
      </c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</row>
    <row r="435" spans="1:32" ht="70.7" customHeight="1">
      <c r="A435" s="88"/>
      <c r="B435" s="89"/>
      <c r="C435" s="90"/>
      <c r="D435" s="11"/>
      <c r="E435" s="11"/>
      <c r="F435" s="91"/>
      <c r="G435" s="92"/>
      <c r="H435" s="93"/>
      <c r="I435" s="9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9"/>
      <c r="AB435" s="59"/>
      <c r="AC435" s="59"/>
      <c r="AD435" s="59"/>
      <c r="AE435" s="59"/>
      <c r="AF435" s="59"/>
    </row>
    <row r="436" spans="1:32" ht="21.2" customHeight="1">
      <c r="A436" s="25" t="s">
        <v>838</v>
      </c>
      <c r="B436" s="229" t="s">
        <v>66</v>
      </c>
      <c r="C436" s="221"/>
      <c r="D436" s="26" t="s">
        <v>67</v>
      </c>
      <c r="E436" s="26" t="s">
        <v>68</v>
      </c>
      <c r="F436" s="27" t="s">
        <v>70</v>
      </c>
      <c r="G436" s="27" t="s">
        <v>72</v>
      </c>
      <c r="H436" s="28"/>
      <c r="I436" s="30" t="s">
        <v>77</v>
      </c>
      <c r="J436" s="30" t="s">
        <v>78</v>
      </c>
      <c r="K436" s="30" t="s">
        <v>79</v>
      </c>
      <c r="L436" s="30" t="s">
        <v>80</v>
      </c>
      <c r="M436" s="30" t="s">
        <v>81</v>
      </c>
      <c r="N436" s="30" t="s">
        <v>82</v>
      </c>
      <c r="O436" s="30" t="s">
        <v>83</v>
      </c>
      <c r="P436" s="30" t="s">
        <v>84</v>
      </c>
      <c r="Q436" s="30" t="s">
        <v>85</v>
      </c>
      <c r="R436" s="30" t="s">
        <v>86</v>
      </c>
      <c r="S436" s="30" t="s">
        <v>87</v>
      </c>
      <c r="T436" s="30" t="s">
        <v>88</v>
      </c>
      <c r="U436" s="30" t="s">
        <v>89</v>
      </c>
      <c r="V436" s="30" t="s">
        <v>90</v>
      </c>
      <c r="W436" s="30" t="s">
        <v>91</v>
      </c>
      <c r="X436" s="30" t="s">
        <v>92</v>
      </c>
      <c r="Y436" s="30" t="s">
        <v>93</v>
      </c>
      <c r="Z436" s="30" t="s">
        <v>94</v>
      </c>
      <c r="AA436" s="54"/>
      <c r="AB436" s="55"/>
      <c r="AC436" s="55"/>
      <c r="AD436" s="55"/>
      <c r="AE436" s="55"/>
      <c r="AF436" s="55"/>
    </row>
    <row r="437" spans="1:32" ht="21.2" customHeight="1">
      <c r="A437" s="23"/>
      <c r="B437" s="56" t="str">
        <f>IFERROR(VLOOKUP($A437,'The List'!$B1:$AS730,3,FALSE)," ")</f>
        <v xml:space="preserve"> </v>
      </c>
      <c r="C437" s="60" t="str">
        <f>IFERROR(VLOOKUP($A437,'The List'!$B1:$AS730,4,FALSE)," ")</f>
        <v xml:space="preserve"> </v>
      </c>
      <c r="D437" s="34" t="str">
        <f>IFERROR(VLOOKUP($A437,'The List'!$B1:$AS730,5,FALSE)," ")</f>
        <v xml:space="preserve"> </v>
      </c>
      <c r="E437" s="34" t="str">
        <f>IFERROR(VLOOKUP($A437,'The List'!$B1:$AS730,6,FALSE)," ")</f>
        <v xml:space="preserve"> </v>
      </c>
      <c r="F437" s="49" t="str">
        <f>IFERROR(VLOOKUP($A437,'The List'!$B1:$AS730,8,FALSE)," ")</f>
        <v xml:space="preserve"> </v>
      </c>
      <c r="G437" s="49" t="str">
        <f>IFERROR(VLOOKUP($A437,'The List'!$B1:$AS730,10,FALSE)," ")</f>
        <v xml:space="preserve"> </v>
      </c>
      <c r="H437" s="38"/>
      <c r="I437" s="52" t="str">
        <f>IFERROR(VLOOKUP($A437,'The List'!$B1:$AS730,16,FALSE)," ")</f>
        <v xml:space="preserve"> </v>
      </c>
      <c r="J437" s="52" t="str">
        <f>IFERROR(VLOOKUP($A437,'The List'!$B1:$AS730,17,FALSE)," ")</f>
        <v xml:space="preserve"> </v>
      </c>
      <c r="K437" s="52" t="str">
        <f>IFERROR(VLOOKUP($A437,'The List'!$B1:$AS730,18,FALSE)," ")</f>
        <v xml:space="preserve"> </v>
      </c>
      <c r="L437" s="52" t="str">
        <f>IFERROR(VLOOKUP($A437,'The List'!$B1:$AS730,19,FALSE)," ")</f>
        <v xml:space="preserve"> </v>
      </c>
      <c r="M437" s="52" t="str">
        <f>IFERROR(VLOOKUP($A437,'The List'!$B1:$AS730,20,FALSE)," ")</f>
        <v xml:space="preserve"> </v>
      </c>
      <c r="N437" s="52" t="str">
        <f>IFERROR(VLOOKUP($A437,'The List'!$B1:$AS730,21,FALSE)," ")</f>
        <v xml:space="preserve"> </v>
      </c>
      <c r="O437" s="52" t="str">
        <f>IFERROR(VLOOKUP($A437,'The List'!$B1:$AS730,22,FALSE)," ")</f>
        <v xml:space="preserve"> </v>
      </c>
      <c r="P437" s="52" t="str">
        <f>IFERROR(VLOOKUP($A437,'The List'!$B1:$AS730,23,FALSE)," ")</f>
        <v xml:space="preserve"> </v>
      </c>
      <c r="Q437" s="52" t="str">
        <f>IFERROR(VLOOKUP($A437,'The List'!$B1:$AS730,24,FALSE)," ")</f>
        <v xml:space="preserve"> </v>
      </c>
      <c r="R437" s="52" t="str">
        <f>IFERROR(VLOOKUP($A437,'The List'!$B1:$AS730,25,FALSE)," ")</f>
        <v xml:space="preserve"> </v>
      </c>
      <c r="S437" s="52" t="str">
        <f>IFERROR(VLOOKUP($A437,'The List'!$B1:$AS730,26,FALSE)," ")</f>
        <v xml:space="preserve"> </v>
      </c>
      <c r="T437" s="52" t="str">
        <f>IFERROR(VLOOKUP($A437,'The List'!$B1:$AS730,27,FALSE)," ")</f>
        <v xml:space="preserve"> </v>
      </c>
      <c r="U437" s="52" t="str">
        <f>IFERROR(VLOOKUP($A437,'The List'!$B1:$AS730,28,FALSE)," ")</f>
        <v xml:space="preserve"> </v>
      </c>
      <c r="V437" s="52" t="str">
        <f>IFERROR(VLOOKUP($A437,'The List'!$B1:$AS730,29,FALSE)," ")</f>
        <v xml:space="preserve"> </v>
      </c>
      <c r="W437" s="52" t="str">
        <f>IFERROR(VLOOKUP($A437,'The List'!$B1:$AS730,30,FALSE)," ")</f>
        <v xml:space="preserve"> </v>
      </c>
      <c r="X437" s="52" t="str">
        <f>IFERROR(VLOOKUP($A437,'The List'!$B1:$AS730,31,FALSE)," ")</f>
        <v xml:space="preserve"> </v>
      </c>
      <c r="Y437" s="52" t="str">
        <f>IFERROR(VLOOKUP($A437,'The List'!$B1:$AS730,32,FALSE)," ")</f>
        <v xml:space="preserve"> </v>
      </c>
      <c r="Z437" s="52" t="str">
        <f>IFERROR(VLOOKUP($A437,'The List'!$B1:$AS730,33,FALSE)," ")</f>
        <v xml:space="preserve"> </v>
      </c>
      <c r="AA437" s="54"/>
      <c r="AB437" s="59"/>
      <c r="AC437" s="59"/>
      <c r="AD437" s="59"/>
      <c r="AE437" s="59"/>
      <c r="AF437" s="59"/>
    </row>
    <row r="438" spans="1:32" ht="21.2" customHeight="1">
      <c r="A438" s="23"/>
      <c r="B438" s="56" t="str">
        <f>IFERROR(VLOOKUP($A438,'The List'!$B1:$AS730,3,FALSE)," ")</f>
        <v xml:space="preserve"> </v>
      </c>
      <c r="C438" s="60" t="str">
        <f>IFERROR(VLOOKUP($A438,'The List'!$B1:$AS730,4,FALSE)," ")</f>
        <v xml:space="preserve"> </v>
      </c>
      <c r="D438" s="34" t="str">
        <f>IFERROR(VLOOKUP($A438,'The List'!$B1:$AS730,5,FALSE)," ")</f>
        <v xml:space="preserve"> </v>
      </c>
      <c r="E438" s="34" t="str">
        <f>IFERROR(VLOOKUP($A438,'The List'!$B1:$AS730,6,FALSE)," ")</f>
        <v xml:space="preserve"> </v>
      </c>
      <c r="F438" s="49" t="str">
        <f>IFERROR(VLOOKUP($A438,'The List'!$B1:$AS730,8,FALSE)," ")</f>
        <v xml:space="preserve"> </v>
      </c>
      <c r="G438" s="49" t="str">
        <f>IFERROR(VLOOKUP($A438,'The List'!$B1:$AS730,10,FALSE)," ")</f>
        <v xml:space="preserve"> </v>
      </c>
      <c r="H438" s="38"/>
      <c r="I438" s="52" t="str">
        <f>IFERROR(VLOOKUP($A438,'The List'!$B1:$AS730,16,FALSE)," ")</f>
        <v xml:space="preserve"> </v>
      </c>
      <c r="J438" s="52" t="str">
        <f>IFERROR(VLOOKUP($A438,'The List'!$B1:$AS730,17,FALSE)," ")</f>
        <v xml:space="preserve"> </v>
      </c>
      <c r="K438" s="52" t="str">
        <f>IFERROR(VLOOKUP($A438,'The List'!$B1:$AS730,18,FALSE)," ")</f>
        <v xml:space="preserve"> </v>
      </c>
      <c r="L438" s="52" t="str">
        <f>IFERROR(VLOOKUP($A438,'The List'!$B1:$AS730,19,FALSE)," ")</f>
        <v xml:space="preserve"> </v>
      </c>
      <c r="M438" s="52" t="str">
        <f>IFERROR(VLOOKUP($A438,'The List'!$B1:$AS730,20,FALSE)," ")</f>
        <v xml:space="preserve"> </v>
      </c>
      <c r="N438" s="52" t="str">
        <f>IFERROR(VLOOKUP($A438,'The List'!$B1:$AS730,21,FALSE)," ")</f>
        <v xml:space="preserve"> </v>
      </c>
      <c r="O438" s="52" t="str">
        <f>IFERROR(VLOOKUP($A438,'The List'!$B1:$AS730,22,FALSE)," ")</f>
        <v xml:space="preserve"> </v>
      </c>
      <c r="P438" s="52" t="str">
        <f>IFERROR(VLOOKUP($A438,'The List'!$B1:$AS730,23,FALSE)," ")</f>
        <v xml:space="preserve"> </v>
      </c>
      <c r="Q438" s="52" t="str">
        <f>IFERROR(VLOOKUP($A438,'The List'!$B1:$AS730,24,FALSE)," ")</f>
        <v xml:space="preserve"> </v>
      </c>
      <c r="R438" s="52" t="str">
        <f>IFERROR(VLOOKUP($A438,'The List'!$B1:$AS730,25,FALSE)," ")</f>
        <v xml:space="preserve"> </v>
      </c>
      <c r="S438" s="52" t="str">
        <f>IFERROR(VLOOKUP($A438,'The List'!$B1:$AS730,26,FALSE)," ")</f>
        <v xml:space="preserve"> </v>
      </c>
      <c r="T438" s="52" t="str">
        <f>IFERROR(VLOOKUP($A438,'The List'!$B1:$AS730,27,FALSE)," ")</f>
        <v xml:space="preserve"> </v>
      </c>
      <c r="U438" s="52" t="str">
        <f>IFERROR(VLOOKUP($A438,'The List'!$B1:$AS730,28,FALSE)," ")</f>
        <v xml:space="preserve"> </v>
      </c>
      <c r="V438" s="52" t="str">
        <f>IFERROR(VLOOKUP($A438,'The List'!$B1:$AS730,29,FALSE)," ")</f>
        <v xml:space="preserve"> </v>
      </c>
      <c r="W438" s="52" t="str">
        <f>IFERROR(VLOOKUP($A438,'The List'!$B1:$AS730,30,FALSE)," ")</f>
        <v xml:space="preserve"> </v>
      </c>
      <c r="X438" s="52" t="str">
        <f>IFERROR(VLOOKUP($A438,'The List'!$B1:$AS730,31,FALSE)," ")</f>
        <v xml:space="preserve"> </v>
      </c>
      <c r="Y438" s="52" t="str">
        <f>IFERROR(VLOOKUP($A438,'The List'!$B1:$AS730,32,FALSE)," ")</f>
        <v xml:space="preserve"> </v>
      </c>
      <c r="Z438" s="52" t="str">
        <f>IFERROR(VLOOKUP($A438,'The List'!$B1:$AS730,33,FALSE)," ")</f>
        <v xml:space="preserve"> </v>
      </c>
      <c r="AA438" s="54"/>
      <c r="AB438" s="59"/>
      <c r="AC438" s="59"/>
      <c r="AD438" s="59"/>
      <c r="AE438" s="59"/>
      <c r="AF438" s="59"/>
    </row>
    <row r="439" spans="1:32" ht="21.2" customHeight="1">
      <c r="A439" s="23"/>
      <c r="B439" s="56" t="str">
        <f>IFERROR(VLOOKUP($A439,'The List'!$B1:$AS730,3,FALSE)," ")</f>
        <v xml:space="preserve"> </v>
      </c>
      <c r="C439" s="60" t="str">
        <f>IFERROR(VLOOKUP($A439,'The List'!$B1:$AS730,4,FALSE)," ")</f>
        <v xml:space="preserve"> </v>
      </c>
      <c r="D439" s="34" t="str">
        <f>IFERROR(VLOOKUP($A439,'The List'!$B1:$AS730,5,FALSE)," ")</f>
        <v xml:space="preserve"> </v>
      </c>
      <c r="E439" s="34" t="str">
        <f>IFERROR(VLOOKUP($A439,'The List'!$B1:$AS730,6,FALSE)," ")</f>
        <v xml:space="preserve"> </v>
      </c>
      <c r="F439" s="49" t="str">
        <f>IFERROR(VLOOKUP($A439,'The List'!$B1:$AS730,8,FALSE)," ")</f>
        <v xml:space="preserve"> </v>
      </c>
      <c r="G439" s="49" t="str">
        <f>IFERROR(VLOOKUP($A439,'The List'!$B1:$AS730,10,FALSE)," ")</f>
        <v xml:space="preserve"> </v>
      </c>
      <c r="H439" s="38"/>
      <c r="I439" s="52" t="str">
        <f>IFERROR(VLOOKUP($A439,'The List'!$B1:$AS730,16,FALSE)," ")</f>
        <v xml:space="preserve"> </v>
      </c>
      <c r="J439" s="52" t="str">
        <f>IFERROR(VLOOKUP($A439,'The List'!$B1:$AS730,17,FALSE)," ")</f>
        <v xml:space="preserve"> </v>
      </c>
      <c r="K439" s="52" t="str">
        <f>IFERROR(VLOOKUP($A439,'The List'!$B1:$AS730,18,FALSE)," ")</f>
        <v xml:space="preserve"> </v>
      </c>
      <c r="L439" s="52" t="str">
        <f>IFERROR(VLOOKUP($A439,'The List'!$B1:$AS730,19,FALSE)," ")</f>
        <v xml:space="preserve"> </v>
      </c>
      <c r="M439" s="52" t="str">
        <f>IFERROR(VLOOKUP($A439,'The List'!$B1:$AS730,20,FALSE)," ")</f>
        <v xml:space="preserve"> </v>
      </c>
      <c r="N439" s="52" t="str">
        <f>IFERROR(VLOOKUP($A439,'The List'!$B1:$AS730,21,FALSE)," ")</f>
        <v xml:space="preserve"> </v>
      </c>
      <c r="O439" s="52" t="str">
        <f>IFERROR(VLOOKUP($A439,'The List'!$B1:$AS730,22,FALSE)," ")</f>
        <v xml:space="preserve"> </v>
      </c>
      <c r="P439" s="52" t="str">
        <f>IFERROR(VLOOKUP($A439,'The List'!$B1:$AS730,23,FALSE)," ")</f>
        <v xml:space="preserve"> </v>
      </c>
      <c r="Q439" s="52" t="str">
        <f>IFERROR(VLOOKUP($A439,'The List'!$B1:$AS730,24,FALSE)," ")</f>
        <v xml:space="preserve"> </v>
      </c>
      <c r="R439" s="52" t="str">
        <f>IFERROR(VLOOKUP($A439,'The List'!$B1:$AS730,25,FALSE)," ")</f>
        <v xml:space="preserve"> </v>
      </c>
      <c r="S439" s="52" t="str">
        <f>IFERROR(VLOOKUP($A439,'The List'!$B1:$AS730,26,FALSE)," ")</f>
        <v xml:space="preserve"> </v>
      </c>
      <c r="T439" s="52" t="str">
        <f>IFERROR(VLOOKUP($A439,'The List'!$B1:$AS730,27,FALSE)," ")</f>
        <v xml:space="preserve"> </v>
      </c>
      <c r="U439" s="52" t="str">
        <f>IFERROR(VLOOKUP($A439,'The List'!$B1:$AS730,28,FALSE)," ")</f>
        <v xml:space="preserve"> </v>
      </c>
      <c r="V439" s="52" t="str">
        <f>IFERROR(VLOOKUP($A439,'The List'!$B1:$AS730,29,FALSE)," ")</f>
        <v xml:space="preserve"> </v>
      </c>
      <c r="W439" s="52" t="str">
        <f>IFERROR(VLOOKUP($A439,'The List'!$B1:$AS730,30,FALSE)," ")</f>
        <v xml:space="preserve"> </v>
      </c>
      <c r="X439" s="52" t="str">
        <f>IFERROR(VLOOKUP($A439,'The List'!$B1:$AS730,31,FALSE)," ")</f>
        <v xml:space="preserve"> </v>
      </c>
      <c r="Y439" s="52" t="str">
        <f>IFERROR(VLOOKUP($A439,'The List'!$B1:$AS730,32,FALSE)," ")</f>
        <v xml:space="preserve"> </v>
      </c>
      <c r="Z439" s="52" t="str">
        <f>IFERROR(VLOOKUP($A439,'The List'!$B1:$AS730,33,FALSE)," ")</f>
        <v xml:space="preserve"> </v>
      </c>
      <c r="AA439" s="54"/>
      <c r="AB439" s="59"/>
      <c r="AC439" s="59"/>
      <c r="AD439" s="59"/>
      <c r="AE439" s="59"/>
      <c r="AF439" s="59"/>
    </row>
    <row r="440" spans="1:32" ht="21.2" customHeight="1">
      <c r="A440" s="23"/>
      <c r="B440" s="56" t="str">
        <f>IFERROR(VLOOKUP($A440,'The List'!$B1:$AS730,3,FALSE)," ")</f>
        <v xml:space="preserve"> </v>
      </c>
      <c r="C440" s="60" t="str">
        <f>IFERROR(VLOOKUP($A440,'The List'!$B1:$AS730,4,FALSE)," ")</f>
        <v xml:space="preserve"> </v>
      </c>
      <c r="D440" s="34" t="str">
        <f>IFERROR(VLOOKUP($A440,'The List'!$B1:$AS730,5,FALSE)," ")</f>
        <v xml:space="preserve"> </v>
      </c>
      <c r="E440" s="34" t="str">
        <f>IFERROR(VLOOKUP($A440,'The List'!$B1:$AS730,6,FALSE)," ")</f>
        <v xml:space="preserve"> </v>
      </c>
      <c r="F440" s="49" t="str">
        <f>IFERROR(VLOOKUP($A440,'The List'!$B1:$AS730,8,FALSE)," ")</f>
        <v xml:space="preserve"> </v>
      </c>
      <c r="G440" s="49" t="str">
        <f>IFERROR(VLOOKUP($A440,'The List'!$B1:$AS730,10,FALSE)," ")</f>
        <v xml:space="preserve"> </v>
      </c>
      <c r="H440" s="38"/>
      <c r="I440" s="52" t="str">
        <f>IFERROR(VLOOKUP($A440,'The List'!$B1:$AS730,16,FALSE)," ")</f>
        <v xml:space="preserve"> </v>
      </c>
      <c r="J440" s="52" t="str">
        <f>IFERROR(VLOOKUP($A440,'The List'!$B1:$AS730,17,FALSE)," ")</f>
        <v xml:space="preserve"> </v>
      </c>
      <c r="K440" s="52" t="str">
        <f>IFERROR(VLOOKUP($A440,'The List'!$B1:$AS730,18,FALSE)," ")</f>
        <v xml:space="preserve"> </v>
      </c>
      <c r="L440" s="52" t="str">
        <f>IFERROR(VLOOKUP($A440,'The List'!$B1:$AS730,19,FALSE)," ")</f>
        <v xml:space="preserve"> </v>
      </c>
      <c r="M440" s="52" t="str">
        <f>IFERROR(VLOOKUP($A440,'The List'!$B1:$AS730,20,FALSE)," ")</f>
        <v xml:space="preserve"> </v>
      </c>
      <c r="N440" s="52" t="str">
        <f>IFERROR(VLOOKUP($A440,'The List'!$B1:$AS730,21,FALSE)," ")</f>
        <v xml:space="preserve"> </v>
      </c>
      <c r="O440" s="52" t="str">
        <f>IFERROR(VLOOKUP($A440,'The List'!$B1:$AS730,22,FALSE)," ")</f>
        <v xml:space="preserve"> </v>
      </c>
      <c r="P440" s="52" t="str">
        <f>IFERROR(VLOOKUP($A440,'The List'!$B1:$AS730,23,FALSE)," ")</f>
        <v xml:space="preserve"> </v>
      </c>
      <c r="Q440" s="52" t="str">
        <f>IFERROR(VLOOKUP($A440,'The List'!$B1:$AS730,24,FALSE)," ")</f>
        <v xml:space="preserve"> </v>
      </c>
      <c r="R440" s="52" t="str">
        <f>IFERROR(VLOOKUP($A440,'The List'!$B1:$AS730,25,FALSE)," ")</f>
        <v xml:space="preserve"> </v>
      </c>
      <c r="S440" s="52" t="str">
        <f>IFERROR(VLOOKUP($A440,'The List'!$B1:$AS730,26,FALSE)," ")</f>
        <v xml:space="preserve"> </v>
      </c>
      <c r="T440" s="52" t="str">
        <f>IFERROR(VLOOKUP($A440,'The List'!$B1:$AS730,27,FALSE)," ")</f>
        <v xml:space="preserve"> </v>
      </c>
      <c r="U440" s="52" t="str">
        <f>IFERROR(VLOOKUP($A440,'The List'!$B1:$AS730,28,FALSE)," ")</f>
        <v xml:space="preserve"> </v>
      </c>
      <c r="V440" s="52" t="str">
        <f>IFERROR(VLOOKUP($A440,'The List'!$B1:$AS730,29,FALSE)," ")</f>
        <v xml:space="preserve"> </v>
      </c>
      <c r="W440" s="52" t="str">
        <f>IFERROR(VLOOKUP($A440,'The List'!$B1:$AS730,30,FALSE)," ")</f>
        <v xml:space="preserve"> </v>
      </c>
      <c r="X440" s="52" t="str">
        <f>IFERROR(VLOOKUP($A440,'The List'!$B1:$AS730,31,FALSE)," ")</f>
        <v xml:space="preserve"> </v>
      </c>
      <c r="Y440" s="52" t="str">
        <f>IFERROR(VLOOKUP($A440,'The List'!$B1:$AS730,32,FALSE)," ")</f>
        <v xml:space="preserve"> </v>
      </c>
      <c r="Z440" s="52" t="str">
        <f>IFERROR(VLOOKUP($A440,'The List'!$B1:$AS730,33,FALSE)," ")</f>
        <v xml:space="preserve"> </v>
      </c>
      <c r="AA440" s="54"/>
      <c r="AB440" s="59"/>
      <c r="AC440" s="59"/>
      <c r="AD440" s="59"/>
      <c r="AE440" s="59"/>
      <c r="AF440" s="59"/>
    </row>
    <row r="441" spans="1:32" ht="21.2" customHeight="1">
      <c r="A441" s="23"/>
      <c r="B441" s="61" t="str">
        <f>IFERROR(VLOOKUP($A441,'The List'!$B1:$AS730,3,FALSE)," ")</f>
        <v xml:space="preserve"> </v>
      </c>
      <c r="C441" s="63" t="str">
        <f>IFERROR(VLOOKUP($A441,'The List'!$B1:$AS730,4,FALSE)," ")</f>
        <v xml:space="preserve"> </v>
      </c>
      <c r="D441" s="34" t="str">
        <f>IFERROR(VLOOKUP($A441,'The List'!$B1:$AS730,5,FALSE)," ")</f>
        <v xml:space="preserve"> </v>
      </c>
      <c r="E441" s="34" t="str">
        <f>IFERROR(VLOOKUP($A441,'The List'!$B1:$AS730,6,FALSE)," ")</f>
        <v xml:space="preserve"> </v>
      </c>
      <c r="F441" s="49" t="str">
        <f>IFERROR(VLOOKUP($A441,'The List'!$B1:$AS730,8,FALSE)," ")</f>
        <v xml:space="preserve"> </v>
      </c>
      <c r="G441" s="49" t="str">
        <f>IFERROR(VLOOKUP($A441,'The List'!$B1:$AS730,10,FALSE)," ")</f>
        <v xml:space="preserve"> </v>
      </c>
      <c r="H441" s="38"/>
      <c r="I441" s="52" t="str">
        <f>IFERROR(VLOOKUP($A441,'The List'!$B1:$AS730,16,FALSE)," ")</f>
        <v xml:space="preserve"> </v>
      </c>
      <c r="J441" s="52" t="str">
        <f>IFERROR(VLOOKUP($A441,'The List'!$B1:$AS730,17,FALSE)," ")</f>
        <v xml:space="preserve"> </v>
      </c>
      <c r="K441" s="52" t="str">
        <f>IFERROR(VLOOKUP($A441,'The List'!$B1:$AS730,18,FALSE)," ")</f>
        <v xml:space="preserve"> </v>
      </c>
      <c r="L441" s="52" t="str">
        <f>IFERROR(VLOOKUP($A441,'The List'!$B1:$AS730,19,FALSE)," ")</f>
        <v xml:space="preserve"> </v>
      </c>
      <c r="M441" s="52" t="str">
        <f>IFERROR(VLOOKUP($A441,'The List'!$B1:$AS730,20,FALSE)," ")</f>
        <v xml:space="preserve"> </v>
      </c>
      <c r="N441" s="52" t="str">
        <f>IFERROR(VLOOKUP($A441,'The List'!$B1:$AS730,21,FALSE)," ")</f>
        <v xml:space="preserve"> </v>
      </c>
      <c r="O441" s="52" t="str">
        <f>IFERROR(VLOOKUP($A441,'The List'!$B1:$AS730,22,FALSE)," ")</f>
        <v xml:space="preserve"> </v>
      </c>
      <c r="P441" s="52" t="str">
        <f>IFERROR(VLOOKUP($A441,'The List'!$B1:$AS730,23,FALSE)," ")</f>
        <v xml:space="preserve"> </v>
      </c>
      <c r="Q441" s="52" t="str">
        <f>IFERROR(VLOOKUP($A441,'The List'!$B1:$AS730,24,FALSE)," ")</f>
        <v xml:space="preserve"> </v>
      </c>
      <c r="R441" s="52" t="str">
        <f>IFERROR(VLOOKUP($A441,'The List'!$B1:$AS730,25,FALSE)," ")</f>
        <v xml:space="preserve"> </v>
      </c>
      <c r="S441" s="52" t="str">
        <f>IFERROR(VLOOKUP($A441,'The List'!$B1:$AS730,26,FALSE)," ")</f>
        <v xml:space="preserve"> </v>
      </c>
      <c r="T441" s="52" t="str">
        <f>IFERROR(VLOOKUP($A441,'The List'!$B1:$AS730,27,FALSE)," ")</f>
        <v xml:space="preserve"> </v>
      </c>
      <c r="U441" s="52" t="str">
        <f>IFERROR(VLOOKUP($A441,'The List'!$B1:$AS730,28,FALSE)," ")</f>
        <v xml:space="preserve"> </v>
      </c>
      <c r="V441" s="52" t="str">
        <f>IFERROR(VLOOKUP($A441,'The List'!$B1:$AS730,29,FALSE)," ")</f>
        <v xml:space="preserve"> </v>
      </c>
      <c r="W441" s="52" t="str">
        <f>IFERROR(VLOOKUP($A441,'The List'!$B1:$AS730,30,FALSE)," ")</f>
        <v xml:space="preserve"> </v>
      </c>
      <c r="X441" s="52" t="str">
        <f>IFERROR(VLOOKUP($A441,'The List'!$B1:$AS730,31,FALSE)," ")</f>
        <v xml:space="preserve"> </v>
      </c>
      <c r="Y441" s="52" t="str">
        <f>IFERROR(VLOOKUP($A441,'The List'!$B1:$AS730,32,FALSE)," ")</f>
        <v xml:space="preserve"> </v>
      </c>
      <c r="Z441" s="52" t="str">
        <f>IFERROR(VLOOKUP($A441,'The List'!$B1:$AS730,33,FALSE)," ")</f>
        <v xml:space="preserve"> </v>
      </c>
      <c r="AA441" s="54"/>
      <c r="AB441" s="59"/>
      <c r="AC441" s="59"/>
      <c r="AD441" s="59"/>
      <c r="AE441" s="59"/>
      <c r="AF441" s="59"/>
    </row>
    <row r="442" spans="1:32" ht="21.2" customHeight="1">
      <c r="A442" s="23"/>
      <c r="B442" s="61" t="str">
        <f>IFERROR(VLOOKUP($A442,'The List'!$B1:$AS730,3,FALSE)," ")</f>
        <v xml:space="preserve"> </v>
      </c>
      <c r="C442" s="63" t="str">
        <f>IFERROR(VLOOKUP($A442,'The List'!$B1:$AS730,4,FALSE)," ")</f>
        <v xml:space="preserve"> </v>
      </c>
      <c r="D442" s="34" t="str">
        <f>IFERROR(VLOOKUP($A442,'The List'!$B1:$AS730,5,FALSE)," ")</f>
        <v xml:space="preserve"> </v>
      </c>
      <c r="E442" s="34" t="str">
        <f>IFERROR(VLOOKUP($A442,'The List'!$B1:$AS730,6,FALSE)," ")</f>
        <v xml:space="preserve"> </v>
      </c>
      <c r="F442" s="49" t="str">
        <f>IFERROR(VLOOKUP($A442,'The List'!$B1:$AS730,8,FALSE)," ")</f>
        <v xml:space="preserve"> </v>
      </c>
      <c r="G442" s="49" t="str">
        <f>IFERROR(VLOOKUP($A442,'The List'!$B1:$AS730,10,FALSE)," ")</f>
        <v xml:space="preserve"> </v>
      </c>
      <c r="H442" s="38"/>
      <c r="I442" s="52" t="str">
        <f>IFERROR(VLOOKUP($A442,'The List'!$B1:$AS730,16,FALSE)," ")</f>
        <v xml:space="preserve"> </v>
      </c>
      <c r="J442" s="52" t="str">
        <f>IFERROR(VLOOKUP($A442,'The List'!$B1:$AS730,17,FALSE)," ")</f>
        <v xml:space="preserve"> </v>
      </c>
      <c r="K442" s="52" t="str">
        <f>IFERROR(VLOOKUP($A442,'The List'!$B1:$AS730,18,FALSE)," ")</f>
        <v xml:space="preserve"> </v>
      </c>
      <c r="L442" s="52" t="str">
        <f>IFERROR(VLOOKUP($A442,'The List'!$B1:$AS730,19,FALSE)," ")</f>
        <v xml:space="preserve"> </v>
      </c>
      <c r="M442" s="52" t="str">
        <f>IFERROR(VLOOKUP($A442,'The List'!$B1:$AS730,20,FALSE)," ")</f>
        <v xml:space="preserve"> </v>
      </c>
      <c r="N442" s="52" t="str">
        <f>IFERROR(VLOOKUP($A442,'The List'!$B1:$AS730,21,FALSE)," ")</f>
        <v xml:space="preserve"> </v>
      </c>
      <c r="O442" s="52" t="str">
        <f>IFERROR(VLOOKUP($A442,'The List'!$B1:$AS730,22,FALSE)," ")</f>
        <v xml:space="preserve"> </v>
      </c>
      <c r="P442" s="52" t="str">
        <f>IFERROR(VLOOKUP($A442,'The List'!$B1:$AS730,23,FALSE)," ")</f>
        <v xml:space="preserve"> </v>
      </c>
      <c r="Q442" s="52" t="str">
        <f>IFERROR(VLOOKUP($A442,'The List'!$B1:$AS730,24,FALSE)," ")</f>
        <v xml:space="preserve"> </v>
      </c>
      <c r="R442" s="52" t="str">
        <f>IFERROR(VLOOKUP($A442,'The List'!$B1:$AS730,25,FALSE)," ")</f>
        <v xml:space="preserve"> </v>
      </c>
      <c r="S442" s="52" t="str">
        <f>IFERROR(VLOOKUP($A442,'The List'!$B1:$AS730,26,FALSE)," ")</f>
        <v xml:space="preserve"> </v>
      </c>
      <c r="T442" s="52" t="str">
        <f>IFERROR(VLOOKUP($A442,'The List'!$B1:$AS730,27,FALSE)," ")</f>
        <v xml:space="preserve"> </v>
      </c>
      <c r="U442" s="52" t="str">
        <f>IFERROR(VLOOKUP($A442,'The List'!$B1:$AS730,28,FALSE)," ")</f>
        <v xml:space="preserve"> </v>
      </c>
      <c r="V442" s="52" t="str">
        <f>IFERROR(VLOOKUP($A442,'The List'!$B1:$AS730,29,FALSE)," ")</f>
        <v xml:space="preserve"> </v>
      </c>
      <c r="W442" s="52" t="str">
        <f>IFERROR(VLOOKUP($A442,'The List'!$B1:$AS730,30,FALSE)," ")</f>
        <v xml:space="preserve"> </v>
      </c>
      <c r="X442" s="52" t="str">
        <f>IFERROR(VLOOKUP($A442,'The List'!$B1:$AS730,31,FALSE)," ")</f>
        <v xml:space="preserve"> </v>
      </c>
      <c r="Y442" s="52" t="str">
        <f>IFERROR(VLOOKUP($A442,'The List'!$B1:$AS730,32,FALSE)," ")</f>
        <v xml:space="preserve"> </v>
      </c>
      <c r="Z442" s="52" t="str">
        <f>IFERROR(VLOOKUP($A442,'The List'!$B1:$AS730,33,FALSE)," ")</f>
        <v xml:space="preserve"> </v>
      </c>
      <c r="AA442" s="54"/>
      <c r="AB442" s="59"/>
      <c r="AC442" s="59"/>
      <c r="AD442" s="59"/>
      <c r="AE442" s="59"/>
      <c r="AF442" s="59"/>
    </row>
    <row r="443" spans="1:32" ht="21.2" customHeight="1">
      <c r="A443" s="23"/>
      <c r="B443" s="61" t="str">
        <f>IFERROR(VLOOKUP($A443,'The List'!$B1:$AS730,3,FALSE)," ")</f>
        <v xml:space="preserve"> </v>
      </c>
      <c r="C443" s="63" t="str">
        <f>IFERROR(VLOOKUP($A443,'The List'!$B1:$AS730,4,FALSE)," ")</f>
        <v xml:space="preserve"> </v>
      </c>
      <c r="D443" s="34" t="str">
        <f>IFERROR(VLOOKUP($A443,'The List'!$B1:$AS730,5,FALSE)," ")</f>
        <v xml:space="preserve"> </v>
      </c>
      <c r="E443" s="34" t="str">
        <f>IFERROR(VLOOKUP($A443,'The List'!$B1:$AS730,6,FALSE)," ")</f>
        <v xml:space="preserve"> </v>
      </c>
      <c r="F443" s="49" t="str">
        <f>IFERROR(VLOOKUP($A443,'The List'!$B1:$AS730,8,FALSE)," ")</f>
        <v xml:space="preserve"> </v>
      </c>
      <c r="G443" s="49" t="str">
        <f>IFERROR(VLOOKUP($A443,'The List'!$B1:$AS730,10,FALSE)," ")</f>
        <v xml:space="preserve"> </v>
      </c>
      <c r="H443" s="38"/>
      <c r="I443" s="52" t="str">
        <f>IFERROR(VLOOKUP($A443,'The List'!$B1:$AS730,16,FALSE)," ")</f>
        <v xml:space="preserve"> </v>
      </c>
      <c r="J443" s="52" t="str">
        <f>IFERROR(VLOOKUP($A443,'The List'!$B1:$AS730,17,FALSE)," ")</f>
        <v xml:space="preserve"> </v>
      </c>
      <c r="K443" s="52" t="str">
        <f>IFERROR(VLOOKUP($A443,'The List'!$B1:$AS730,18,FALSE)," ")</f>
        <v xml:space="preserve"> </v>
      </c>
      <c r="L443" s="52" t="str">
        <f>IFERROR(VLOOKUP($A443,'The List'!$B1:$AS730,19,FALSE)," ")</f>
        <v xml:space="preserve"> </v>
      </c>
      <c r="M443" s="52" t="str">
        <f>IFERROR(VLOOKUP($A443,'The List'!$B1:$AS730,20,FALSE)," ")</f>
        <v xml:space="preserve"> </v>
      </c>
      <c r="N443" s="52" t="str">
        <f>IFERROR(VLOOKUP($A443,'The List'!$B1:$AS730,21,FALSE)," ")</f>
        <v xml:space="preserve"> </v>
      </c>
      <c r="O443" s="52" t="str">
        <f>IFERROR(VLOOKUP($A443,'The List'!$B1:$AS730,22,FALSE)," ")</f>
        <v xml:space="preserve"> </v>
      </c>
      <c r="P443" s="52" t="str">
        <f>IFERROR(VLOOKUP($A443,'The List'!$B1:$AS730,23,FALSE)," ")</f>
        <v xml:space="preserve"> </v>
      </c>
      <c r="Q443" s="52" t="str">
        <f>IFERROR(VLOOKUP($A443,'The List'!$B1:$AS730,24,FALSE)," ")</f>
        <v xml:space="preserve"> </v>
      </c>
      <c r="R443" s="52" t="str">
        <f>IFERROR(VLOOKUP($A443,'The List'!$B1:$AS730,25,FALSE)," ")</f>
        <v xml:space="preserve"> </v>
      </c>
      <c r="S443" s="52" t="str">
        <f>IFERROR(VLOOKUP($A443,'The List'!$B1:$AS730,26,FALSE)," ")</f>
        <v xml:space="preserve"> </v>
      </c>
      <c r="T443" s="52" t="str">
        <f>IFERROR(VLOOKUP($A443,'The List'!$B1:$AS730,27,FALSE)," ")</f>
        <v xml:space="preserve"> </v>
      </c>
      <c r="U443" s="52" t="str">
        <f>IFERROR(VLOOKUP($A443,'The List'!$B1:$AS730,28,FALSE)," ")</f>
        <v xml:space="preserve"> </v>
      </c>
      <c r="V443" s="52" t="str">
        <f>IFERROR(VLOOKUP($A443,'The List'!$B1:$AS730,29,FALSE)," ")</f>
        <v xml:space="preserve"> </v>
      </c>
      <c r="W443" s="52" t="str">
        <f>IFERROR(VLOOKUP($A443,'The List'!$B1:$AS730,30,FALSE)," ")</f>
        <v xml:space="preserve"> </v>
      </c>
      <c r="X443" s="52" t="str">
        <f>IFERROR(VLOOKUP($A443,'The List'!$B1:$AS730,31,FALSE)," ")</f>
        <v xml:space="preserve"> </v>
      </c>
      <c r="Y443" s="52" t="str">
        <f>IFERROR(VLOOKUP($A443,'The List'!$B1:$AS730,32,FALSE)," ")</f>
        <v xml:space="preserve"> </v>
      </c>
      <c r="Z443" s="52" t="str">
        <f>IFERROR(VLOOKUP($A443,'The List'!$B1:$AS730,33,FALSE)," ")</f>
        <v xml:space="preserve"> </v>
      </c>
      <c r="AA443" s="54"/>
      <c r="AB443" s="59"/>
      <c r="AC443" s="59"/>
      <c r="AD443" s="59"/>
      <c r="AE443" s="59"/>
      <c r="AF443" s="59"/>
    </row>
    <row r="444" spans="1:32" ht="21.2" customHeight="1">
      <c r="A444" s="23"/>
      <c r="B444" s="61" t="str">
        <f>IFERROR(VLOOKUP($A444,'The List'!$B1:$AS730,3,FALSE)," ")</f>
        <v xml:space="preserve"> </v>
      </c>
      <c r="C444" s="63" t="str">
        <f>IFERROR(VLOOKUP($A444,'The List'!$B1:$AS730,4,FALSE)," ")</f>
        <v xml:space="preserve"> </v>
      </c>
      <c r="D444" s="34" t="str">
        <f>IFERROR(VLOOKUP($A444,'The List'!$B1:$AS730,5,FALSE)," ")</f>
        <v xml:space="preserve"> </v>
      </c>
      <c r="E444" s="34" t="str">
        <f>IFERROR(VLOOKUP($A444,'The List'!$B1:$AS730,6,FALSE)," ")</f>
        <v xml:space="preserve"> </v>
      </c>
      <c r="F444" s="49" t="str">
        <f>IFERROR(VLOOKUP($A444,'The List'!$B1:$AS730,8,FALSE)," ")</f>
        <v xml:space="preserve"> </v>
      </c>
      <c r="G444" s="49" t="str">
        <f>IFERROR(VLOOKUP($A444,'The List'!$B1:$AS730,10,FALSE)," ")</f>
        <v xml:space="preserve"> </v>
      </c>
      <c r="H444" s="38"/>
      <c r="I444" s="52" t="str">
        <f>IFERROR(VLOOKUP($A444,'The List'!$B1:$AS730,16,FALSE)," ")</f>
        <v xml:space="preserve"> </v>
      </c>
      <c r="J444" s="52" t="str">
        <f>IFERROR(VLOOKUP($A444,'The List'!$B1:$AS730,17,FALSE)," ")</f>
        <v xml:space="preserve"> </v>
      </c>
      <c r="K444" s="52" t="str">
        <f>IFERROR(VLOOKUP($A444,'The List'!$B1:$AS730,18,FALSE)," ")</f>
        <v xml:space="preserve"> </v>
      </c>
      <c r="L444" s="52" t="str">
        <f>IFERROR(VLOOKUP($A444,'The List'!$B1:$AS730,19,FALSE)," ")</f>
        <v xml:space="preserve"> </v>
      </c>
      <c r="M444" s="52" t="str">
        <f>IFERROR(VLOOKUP($A444,'The List'!$B1:$AS730,20,FALSE)," ")</f>
        <v xml:space="preserve"> </v>
      </c>
      <c r="N444" s="52" t="str">
        <f>IFERROR(VLOOKUP($A444,'The List'!$B1:$AS730,21,FALSE)," ")</f>
        <v xml:space="preserve"> </v>
      </c>
      <c r="O444" s="52" t="str">
        <f>IFERROR(VLOOKUP($A444,'The List'!$B1:$AS730,22,FALSE)," ")</f>
        <v xml:space="preserve"> </v>
      </c>
      <c r="P444" s="52" t="str">
        <f>IFERROR(VLOOKUP($A444,'The List'!$B1:$AS730,23,FALSE)," ")</f>
        <v xml:space="preserve"> </v>
      </c>
      <c r="Q444" s="52" t="str">
        <f>IFERROR(VLOOKUP($A444,'The List'!$B1:$AS730,24,FALSE)," ")</f>
        <v xml:space="preserve"> </v>
      </c>
      <c r="R444" s="52" t="str">
        <f>IFERROR(VLOOKUP($A444,'The List'!$B1:$AS730,25,FALSE)," ")</f>
        <v xml:space="preserve"> </v>
      </c>
      <c r="S444" s="52" t="str">
        <f>IFERROR(VLOOKUP($A444,'The List'!$B1:$AS730,26,FALSE)," ")</f>
        <v xml:space="preserve"> </v>
      </c>
      <c r="T444" s="52" t="str">
        <f>IFERROR(VLOOKUP($A444,'The List'!$B1:$AS730,27,FALSE)," ")</f>
        <v xml:space="preserve"> </v>
      </c>
      <c r="U444" s="52" t="str">
        <f>IFERROR(VLOOKUP($A444,'The List'!$B1:$AS730,28,FALSE)," ")</f>
        <v xml:space="preserve"> </v>
      </c>
      <c r="V444" s="52" t="str">
        <f>IFERROR(VLOOKUP($A444,'The List'!$B1:$AS730,29,FALSE)," ")</f>
        <v xml:space="preserve"> </v>
      </c>
      <c r="W444" s="52" t="str">
        <f>IFERROR(VLOOKUP($A444,'The List'!$B1:$AS730,30,FALSE)," ")</f>
        <v xml:space="preserve"> </v>
      </c>
      <c r="X444" s="52" t="str">
        <f>IFERROR(VLOOKUP($A444,'The List'!$B1:$AS730,31,FALSE)," ")</f>
        <v xml:space="preserve"> </v>
      </c>
      <c r="Y444" s="52" t="str">
        <f>IFERROR(VLOOKUP($A444,'The List'!$B1:$AS730,32,FALSE)," ")</f>
        <v xml:space="preserve"> </v>
      </c>
      <c r="Z444" s="52" t="str">
        <f>IFERROR(VLOOKUP($A444,'The List'!$B1:$AS730,33,FALSE)," ")</f>
        <v xml:space="preserve"> </v>
      </c>
      <c r="AA444" s="54"/>
      <c r="AB444" s="59"/>
      <c r="AC444" s="59"/>
      <c r="AD444" s="59"/>
      <c r="AE444" s="59"/>
      <c r="AF444" s="59"/>
    </row>
    <row r="445" spans="1:32" ht="21.2" customHeight="1">
      <c r="A445" s="23"/>
      <c r="B445" s="64" t="str">
        <f>IFERROR(VLOOKUP($A445,'The List'!$B1:$AS730,3,FALSE)," ")</f>
        <v xml:space="preserve"> </v>
      </c>
      <c r="C445" s="66" t="str">
        <f>IFERROR(VLOOKUP($A445,'The List'!$B1:$AS730,4,FALSE)," ")</f>
        <v xml:space="preserve"> </v>
      </c>
      <c r="D445" s="34" t="str">
        <f>IFERROR(VLOOKUP($A445,'The List'!$B1:$AS730,5,FALSE)," ")</f>
        <v xml:space="preserve"> </v>
      </c>
      <c r="E445" s="34" t="str">
        <f>IFERROR(VLOOKUP($A445,'The List'!$B1:$AS730,6,FALSE)," ")</f>
        <v xml:space="preserve"> </v>
      </c>
      <c r="F445" s="49" t="str">
        <f>IFERROR(VLOOKUP($A445,'The List'!$B1:$AS730,8,FALSE)," ")</f>
        <v xml:space="preserve"> </v>
      </c>
      <c r="G445" s="49" t="str">
        <f>IFERROR(VLOOKUP($A445,'The List'!$B1:$AS730,10,FALSE)," ")</f>
        <v xml:space="preserve"> </v>
      </c>
      <c r="H445" s="38"/>
      <c r="I445" s="52" t="str">
        <f>IFERROR(VLOOKUP($A445,'The List'!$B1:$AS730,16,FALSE)," ")</f>
        <v xml:space="preserve"> </v>
      </c>
      <c r="J445" s="52" t="str">
        <f>IFERROR(VLOOKUP($A445,'The List'!$B1:$AS730,17,FALSE)," ")</f>
        <v xml:space="preserve"> </v>
      </c>
      <c r="K445" s="52" t="str">
        <f>IFERROR(VLOOKUP($A445,'The List'!$B1:$AS730,18,FALSE)," ")</f>
        <v xml:space="preserve"> </v>
      </c>
      <c r="L445" s="52" t="str">
        <f>IFERROR(VLOOKUP($A445,'The List'!$B1:$AS730,19,FALSE)," ")</f>
        <v xml:space="preserve"> </v>
      </c>
      <c r="M445" s="52" t="str">
        <f>IFERROR(VLOOKUP($A445,'The List'!$B1:$AS730,20,FALSE)," ")</f>
        <v xml:space="preserve"> </v>
      </c>
      <c r="N445" s="52" t="str">
        <f>IFERROR(VLOOKUP($A445,'The List'!$B1:$AS730,21,FALSE)," ")</f>
        <v xml:space="preserve"> </v>
      </c>
      <c r="O445" s="52" t="str">
        <f>IFERROR(VLOOKUP($A445,'The List'!$B1:$AS730,22,FALSE)," ")</f>
        <v xml:space="preserve"> </v>
      </c>
      <c r="P445" s="52" t="str">
        <f>IFERROR(VLOOKUP($A445,'The List'!$B1:$AS730,23,FALSE)," ")</f>
        <v xml:space="preserve"> </v>
      </c>
      <c r="Q445" s="52" t="str">
        <f>IFERROR(VLOOKUP($A445,'The List'!$B1:$AS730,24,FALSE)," ")</f>
        <v xml:space="preserve"> </v>
      </c>
      <c r="R445" s="52" t="str">
        <f>IFERROR(VLOOKUP($A445,'The List'!$B1:$AS730,25,FALSE)," ")</f>
        <v xml:space="preserve"> </v>
      </c>
      <c r="S445" s="52" t="str">
        <f>IFERROR(VLOOKUP($A445,'The List'!$B1:$AS730,26,FALSE)," ")</f>
        <v xml:space="preserve"> </v>
      </c>
      <c r="T445" s="52" t="str">
        <f>IFERROR(VLOOKUP($A445,'The List'!$B1:$AS730,27,FALSE)," ")</f>
        <v xml:space="preserve"> </v>
      </c>
      <c r="U445" s="52" t="str">
        <f>IFERROR(VLOOKUP($A445,'The List'!$B1:$AS730,28,FALSE)," ")</f>
        <v xml:space="preserve"> </v>
      </c>
      <c r="V445" s="52" t="str">
        <f>IFERROR(VLOOKUP($A445,'The List'!$B1:$AS730,29,FALSE)," ")</f>
        <v xml:space="preserve"> </v>
      </c>
      <c r="W445" s="52" t="str">
        <f>IFERROR(VLOOKUP($A445,'The List'!$B1:$AS730,30,FALSE)," ")</f>
        <v xml:space="preserve"> </v>
      </c>
      <c r="X445" s="52" t="str">
        <f>IFERROR(VLOOKUP($A445,'The List'!$B1:$AS730,31,FALSE)," ")</f>
        <v xml:space="preserve"> </v>
      </c>
      <c r="Y445" s="52" t="str">
        <f>IFERROR(VLOOKUP($A445,'The List'!$B1:$AS730,32,FALSE)," ")</f>
        <v xml:space="preserve"> </v>
      </c>
      <c r="Z445" s="52" t="str">
        <f>IFERROR(VLOOKUP($A445,'The List'!$B1:$AS730,33,FALSE)," ")</f>
        <v xml:space="preserve"> </v>
      </c>
      <c r="AA445" s="54"/>
      <c r="AB445" s="59"/>
      <c r="AC445" s="59"/>
      <c r="AD445" s="59"/>
      <c r="AE445" s="59"/>
      <c r="AF445" s="59"/>
    </row>
    <row r="446" spans="1:32" ht="21.2" customHeight="1">
      <c r="A446" s="23"/>
      <c r="B446" s="64" t="str">
        <f>IFERROR(VLOOKUP($A446,'The List'!$B1:$AS730,3,FALSE)," ")</f>
        <v xml:space="preserve"> </v>
      </c>
      <c r="C446" s="66" t="str">
        <f>IFERROR(VLOOKUP($A446,'The List'!$B1:$AS730,4,FALSE)," ")</f>
        <v xml:space="preserve"> </v>
      </c>
      <c r="D446" s="34" t="str">
        <f>IFERROR(VLOOKUP($A446,'The List'!$B1:$AS730,5,FALSE)," ")</f>
        <v xml:space="preserve"> </v>
      </c>
      <c r="E446" s="34" t="str">
        <f>IFERROR(VLOOKUP($A446,'The List'!$B1:$AS730,6,FALSE)," ")</f>
        <v xml:space="preserve"> </v>
      </c>
      <c r="F446" s="49" t="str">
        <f>IFERROR(VLOOKUP($A446,'The List'!$B1:$AS730,8,FALSE)," ")</f>
        <v xml:space="preserve"> </v>
      </c>
      <c r="G446" s="49" t="str">
        <f>IFERROR(VLOOKUP($A446,'The List'!$B1:$AS730,10,FALSE)," ")</f>
        <v xml:space="preserve"> </v>
      </c>
      <c r="H446" s="38"/>
      <c r="I446" s="52" t="str">
        <f>IFERROR(VLOOKUP($A446,'The List'!$B1:$AS730,16,FALSE)," ")</f>
        <v xml:space="preserve"> </v>
      </c>
      <c r="J446" s="52" t="str">
        <f>IFERROR(VLOOKUP($A446,'The List'!$B1:$AS730,17,FALSE)," ")</f>
        <v xml:space="preserve"> </v>
      </c>
      <c r="K446" s="52" t="str">
        <f>IFERROR(VLOOKUP($A446,'The List'!$B1:$AS730,18,FALSE)," ")</f>
        <v xml:space="preserve"> </v>
      </c>
      <c r="L446" s="52" t="str">
        <f>IFERROR(VLOOKUP($A446,'The List'!$B1:$AS730,19,FALSE)," ")</f>
        <v xml:space="preserve"> </v>
      </c>
      <c r="M446" s="52" t="str">
        <f>IFERROR(VLOOKUP($A446,'The List'!$B1:$AS730,20,FALSE)," ")</f>
        <v xml:space="preserve"> </v>
      </c>
      <c r="N446" s="52" t="str">
        <f>IFERROR(VLOOKUP($A446,'The List'!$B1:$AS730,21,FALSE)," ")</f>
        <v xml:space="preserve"> </v>
      </c>
      <c r="O446" s="52" t="str">
        <f>IFERROR(VLOOKUP($A446,'The List'!$B1:$AS730,22,FALSE)," ")</f>
        <v xml:space="preserve"> </v>
      </c>
      <c r="P446" s="52" t="str">
        <f>IFERROR(VLOOKUP($A446,'The List'!$B1:$AS730,23,FALSE)," ")</f>
        <v xml:space="preserve"> </v>
      </c>
      <c r="Q446" s="52" t="str">
        <f>IFERROR(VLOOKUP($A446,'The List'!$B1:$AS730,24,FALSE)," ")</f>
        <v xml:space="preserve"> </v>
      </c>
      <c r="R446" s="52" t="str">
        <f>IFERROR(VLOOKUP($A446,'The List'!$B1:$AS730,25,FALSE)," ")</f>
        <v xml:space="preserve"> </v>
      </c>
      <c r="S446" s="52" t="str">
        <f>IFERROR(VLOOKUP($A446,'The List'!$B1:$AS730,26,FALSE)," ")</f>
        <v xml:space="preserve"> </v>
      </c>
      <c r="T446" s="52" t="str">
        <f>IFERROR(VLOOKUP($A446,'The List'!$B1:$AS730,27,FALSE)," ")</f>
        <v xml:space="preserve"> </v>
      </c>
      <c r="U446" s="52" t="str">
        <f>IFERROR(VLOOKUP($A446,'The List'!$B1:$AS730,28,FALSE)," ")</f>
        <v xml:space="preserve"> </v>
      </c>
      <c r="V446" s="52" t="str">
        <f>IFERROR(VLOOKUP($A446,'The List'!$B1:$AS730,29,FALSE)," ")</f>
        <v xml:space="preserve"> </v>
      </c>
      <c r="W446" s="52" t="str">
        <f>IFERROR(VLOOKUP($A446,'The List'!$B1:$AS730,30,FALSE)," ")</f>
        <v xml:space="preserve"> </v>
      </c>
      <c r="X446" s="52" t="str">
        <f>IFERROR(VLOOKUP($A446,'The List'!$B1:$AS730,31,FALSE)," ")</f>
        <v xml:space="preserve"> </v>
      </c>
      <c r="Y446" s="52" t="str">
        <f>IFERROR(VLOOKUP($A446,'The List'!$B1:$AS730,32,FALSE)," ")</f>
        <v xml:space="preserve"> </v>
      </c>
      <c r="Z446" s="52" t="str">
        <f>IFERROR(VLOOKUP($A446,'The List'!$B1:$AS730,33,FALSE)," ")</f>
        <v xml:space="preserve"> </v>
      </c>
      <c r="AA446" s="54"/>
      <c r="AB446" s="59"/>
      <c r="AC446" s="59"/>
      <c r="AD446" s="59"/>
      <c r="AE446" s="59"/>
      <c r="AF446" s="59"/>
    </row>
    <row r="447" spans="1:32" ht="21.2" customHeight="1">
      <c r="A447" s="23"/>
      <c r="B447" s="64" t="str">
        <f>IFERROR(VLOOKUP($A447,'The List'!$B1:$AS730,3,FALSE)," ")</f>
        <v xml:space="preserve"> </v>
      </c>
      <c r="C447" s="66" t="str">
        <f>IFERROR(VLOOKUP($A447,'The List'!$B1:$AS730,4,FALSE)," ")</f>
        <v xml:space="preserve"> </v>
      </c>
      <c r="D447" s="34" t="str">
        <f>IFERROR(VLOOKUP($A447,'The List'!$B1:$AS730,5,FALSE)," ")</f>
        <v xml:space="preserve"> </v>
      </c>
      <c r="E447" s="34" t="str">
        <f>IFERROR(VLOOKUP($A447,'The List'!$B1:$AS730,6,FALSE)," ")</f>
        <v xml:space="preserve"> </v>
      </c>
      <c r="F447" s="49" t="str">
        <f>IFERROR(VLOOKUP($A447,'The List'!$B1:$AS730,8,FALSE)," ")</f>
        <v xml:space="preserve"> </v>
      </c>
      <c r="G447" s="49" t="str">
        <f>IFERROR(VLOOKUP($A447,'The List'!$B1:$AS730,10,FALSE)," ")</f>
        <v xml:space="preserve"> </v>
      </c>
      <c r="H447" s="38"/>
      <c r="I447" s="52" t="str">
        <f>IFERROR(VLOOKUP($A447,'The List'!$B1:$AS730,16,FALSE)," ")</f>
        <v xml:space="preserve"> </v>
      </c>
      <c r="J447" s="52" t="str">
        <f>IFERROR(VLOOKUP($A447,'The List'!$B1:$AS730,17,FALSE)," ")</f>
        <v xml:space="preserve"> </v>
      </c>
      <c r="K447" s="52" t="str">
        <f>IFERROR(VLOOKUP($A447,'The List'!$B1:$AS730,18,FALSE)," ")</f>
        <v xml:space="preserve"> </v>
      </c>
      <c r="L447" s="52" t="str">
        <f>IFERROR(VLOOKUP($A447,'The List'!$B1:$AS730,19,FALSE)," ")</f>
        <v xml:space="preserve"> </v>
      </c>
      <c r="M447" s="52" t="str">
        <f>IFERROR(VLOOKUP($A447,'The List'!$B1:$AS730,20,FALSE)," ")</f>
        <v xml:space="preserve"> </v>
      </c>
      <c r="N447" s="52" t="str">
        <f>IFERROR(VLOOKUP($A447,'The List'!$B1:$AS730,21,FALSE)," ")</f>
        <v xml:space="preserve"> </v>
      </c>
      <c r="O447" s="52" t="str">
        <f>IFERROR(VLOOKUP($A447,'The List'!$B1:$AS730,22,FALSE)," ")</f>
        <v xml:space="preserve"> </v>
      </c>
      <c r="P447" s="52" t="str">
        <f>IFERROR(VLOOKUP($A447,'The List'!$B1:$AS730,23,FALSE)," ")</f>
        <v xml:space="preserve"> </v>
      </c>
      <c r="Q447" s="52" t="str">
        <f>IFERROR(VLOOKUP($A447,'The List'!$B1:$AS730,24,FALSE)," ")</f>
        <v xml:space="preserve"> </v>
      </c>
      <c r="R447" s="52" t="str">
        <f>IFERROR(VLOOKUP($A447,'The List'!$B1:$AS730,25,FALSE)," ")</f>
        <v xml:space="preserve"> </v>
      </c>
      <c r="S447" s="52" t="str">
        <f>IFERROR(VLOOKUP($A447,'The List'!$B1:$AS730,26,FALSE)," ")</f>
        <v xml:space="preserve"> </v>
      </c>
      <c r="T447" s="52" t="str">
        <f>IFERROR(VLOOKUP($A447,'The List'!$B1:$AS730,27,FALSE)," ")</f>
        <v xml:space="preserve"> </v>
      </c>
      <c r="U447" s="52" t="str">
        <f>IFERROR(VLOOKUP($A447,'The List'!$B1:$AS730,28,FALSE)," ")</f>
        <v xml:space="preserve"> </v>
      </c>
      <c r="V447" s="52" t="str">
        <f>IFERROR(VLOOKUP($A447,'The List'!$B1:$AS730,29,FALSE)," ")</f>
        <v xml:space="preserve"> </v>
      </c>
      <c r="W447" s="52" t="str">
        <f>IFERROR(VLOOKUP($A447,'The List'!$B1:$AS730,30,FALSE)," ")</f>
        <v xml:space="preserve"> </v>
      </c>
      <c r="X447" s="52" t="str">
        <f>IFERROR(VLOOKUP($A447,'The List'!$B1:$AS730,31,FALSE)," ")</f>
        <v xml:space="preserve"> </v>
      </c>
      <c r="Y447" s="52" t="str">
        <f>IFERROR(VLOOKUP($A447,'The List'!$B1:$AS730,32,FALSE)," ")</f>
        <v xml:space="preserve"> </v>
      </c>
      <c r="Z447" s="52" t="str">
        <f>IFERROR(VLOOKUP($A447,'The List'!$B1:$AS730,33,FALSE)," ")</f>
        <v xml:space="preserve"> </v>
      </c>
      <c r="AA447" s="54"/>
      <c r="AB447" s="59"/>
      <c r="AC447" s="59"/>
      <c r="AD447" s="59"/>
      <c r="AE447" s="59"/>
      <c r="AF447" s="59"/>
    </row>
    <row r="448" spans="1:32" ht="21.2" customHeight="1">
      <c r="A448" s="23"/>
      <c r="B448" s="64" t="str">
        <f>IFERROR(VLOOKUP($A448,'The List'!$B1:$AS730,3,FALSE)," ")</f>
        <v xml:space="preserve"> </v>
      </c>
      <c r="C448" s="66" t="str">
        <f>IFERROR(VLOOKUP($A448,'The List'!$B1:$AS730,4,FALSE)," ")</f>
        <v xml:space="preserve"> </v>
      </c>
      <c r="D448" s="34" t="str">
        <f>IFERROR(VLOOKUP($A448,'The List'!$B1:$AS730,5,FALSE)," ")</f>
        <v xml:space="preserve"> </v>
      </c>
      <c r="E448" s="34" t="str">
        <f>IFERROR(VLOOKUP($A448,'The List'!$B1:$AS730,6,FALSE)," ")</f>
        <v xml:space="preserve"> </v>
      </c>
      <c r="F448" s="49" t="str">
        <f>IFERROR(VLOOKUP($A448,'The List'!$B1:$AS730,8,FALSE)," ")</f>
        <v xml:space="preserve"> </v>
      </c>
      <c r="G448" s="49" t="str">
        <f>IFERROR(VLOOKUP($A448,'The List'!$B1:$AS730,10,FALSE)," ")</f>
        <v xml:space="preserve"> </v>
      </c>
      <c r="H448" s="38"/>
      <c r="I448" s="52" t="str">
        <f>IFERROR(VLOOKUP($A448,'The List'!$B1:$AS730,16,FALSE)," ")</f>
        <v xml:space="preserve"> </v>
      </c>
      <c r="J448" s="52" t="str">
        <f>IFERROR(VLOOKUP($A448,'The List'!$B1:$AS730,17,FALSE)," ")</f>
        <v xml:space="preserve"> </v>
      </c>
      <c r="K448" s="52" t="str">
        <f>IFERROR(VLOOKUP($A448,'The List'!$B1:$AS730,18,FALSE)," ")</f>
        <v xml:space="preserve"> </v>
      </c>
      <c r="L448" s="52" t="str">
        <f>IFERROR(VLOOKUP($A448,'The List'!$B1:$AS730,19,FALSE)," ")</f>
        <v xml:space="preserve"> </v>
      </c>
      <c r="M448" s="52" t="str">
        <f>IFERROR(VLOOKUP($A448,'The List'!$B1:$AS730,20,FALSE)," ")</f>
        <v xml:space="preserve"> </v>
      </c>
      <c r="N448" s="52" t="str">
        <f>IFERROR(VLOOKUP($A448,'The List'!$B1:$AS730,21,FALSE)," ")</f>
        <v xml:space="preserve"> </v>
      </c>
      <c r="O448" s="52" t="str">
        <f>IFERROR(VLOOKUP($A448,'The List'!$B1:$AS730,22,FALSE)," ")</f>
        <v xml:space="preserve"> </v>
      </c>
      <c r="P448" s="52" t="str">
        <f>IFERROR(VLOOKUP($A448,'The List'!$B1:$AS730,23,FALSE)," ")</f>
        <v xml:space="preserve"> </v>
      </c>
      <c r="Q448" s="52" t="str">
        <f>IFERROR(VLOOKUP($A448,'The List'!$B1:$AS730,24,FALSE)," ")</f>
        <v xml:space="preserve"> </v>
      </c>
      <c r="R448" s="52" t="str">
        <f>IFERROR(VLOOKUP($A448,'The List'!$B1:$AS730,25,FALSE)," ")</f>
        <v xml:space="preserve"> </v>
      </c>
      <c r="S448" s="52" t="str">
        <f>IFERROR(VLOOKUP($A448,'The List'!$B1:$AS730,26,FALSE)," ")</f>
        <v xml:space="preserve"> </v>
      </c>
      <c r="T448" s="52" t="str">
        <f>IFERROR(VLOOKUP($A448,'The List'!$B1:$AS730,27,FALSE)," ")</f>
        <v xml:space="preserve"> </v>
      </c>
      <c r="U448" s="52" t="str">
        <f>IFERROR(VLOOKUP($A448,'The List'!$B1:$AS730,28,FALSE)," ")</f>
        <v xml:space="preserve"> </v>
      </c>
      <c r="V448" s="52" t="str">
        <f>IFERROR(VLOOKUP($A448,'The List'!$B1:$AS730,29,FALSE)," ")</f>
        <v xml:space="preserve"> </v>
      </c>
      <c r="W448" s="52" t="str">
        <f>IFERROR(VLOOKUP($A448,'The List'!$B1:$AS730,30,FALSE)," ")</f>
        <v xml:space="preserve"> </v>
      </c>
      <c r="X448" s="52" t="str">
        <f>IFERROR(VLOOKUP($A448,'The List'!$B1:$AS730,31,FALSE)," ")</f>
        <v xml:space="preserve"> </v>
      </c>
      <c r="Y448" s="52" t="str">
        <f>IFERROR(VLOOKUP($A448,'The List'!$B1:$AS730,32,FALSE)," ")</f>
        <v xml:space="preserve"> </v>
      </c>
      <c r="Z448" s="52" t="str">
        <f>IFERROR(VLOOKUP($A448,'The List'!$B1:$AS730,33,FALSE)," ")</f>
        <v xml:space="preserve"> </v>
      </c>
      <c r="AA448" s="54"/>
      <c r="AB448" s="59"/>
      <c r="AC448" s="59"/>
      <c r="AD448" s="59"/>
      <c r="AE448" s="59"/>
      <c r="AF448" s="59"/>
    </row>
    <row r="449" spans="1:32" ht="21.2" customHeight="1">
      <c r="A449" s="23"/>
      <c r="B449" s="67" t="str">
        <f>IFERROR(VLOOKUP($A449,'The List'!$B1:$AS730,3,FALSE)," ")</f>
        <v xml:space="preserve"> </v>
      </c>
      <c r="C449" s="69" t="str">
        <f>IFERROR(VLOOKUP($A449,'The List'!$B1:$AS730,4,FALSE)," ")</f>
        <v xml:space="preserve"> </v>
      </c>
      <c r="D449" s="34" t="str">
        <f>IFERROR(VLOOKUP($A449,'The List'!$B1:$AS730,5,FALSE)," ")</f>
        <v xml:space="preserve"> </v>
      </c>
      <c r="E449" s="34" t="str">
        <f>IFERROR(VLOOKUP($A449,'The List'!$B1:$AS730,6,FALSE)," ")</f>
        <v xml:space="preserve"> </v>
      </c>
      <c r="F449" s="49" t="str">
        <f>IFERROR(VLOOKUP($A449,'The List'!$B1:$AS730,8,FALSE)," ")</f>
        <v xml:space="preserve"> </v>
      </c>
      <c r="G449" s="49" t="str">
        <f>IFERROR(VLOOKUP($A449,'The List'!$B1:$AS730,10,FALSE)," ")</f>
        <v xml:space="preserve"> </v>
      </c>
      <c r="H449" s="38"/>
      <c r="I449" s="52" t="str">
        <f>IFERROR(VLOOKUP($A449,'The List'!$B1:$AS730,16,FALSE)," ")</f>
        <v xml:space="preserve"> </v>
      </c>
      <c r="J449" s="52" t="str">
        <f>IFERROR(VLOOKUP($A449,'The List'!$B1:$AS730,17,FALSE)," ")</f>
        <v xml:space="preserve"> </v>
      </c>
      <c r="K449" s="52" t="str">
        <f>IFERROR(VLOOKUP($A449,'The List'!$B1:$AS730,18,FALSE)," ")</f>
        <v xml:space="preserve"> </v>
      </c>
      <c r="L449" s="52" t="str">
        <f>IFERROR(VLOOKUP($A449,'The List'!$B1:$AS730,19,FALSE)," ")</f>
        <v xml:space="preserve"> </v>
      </c>
      <c r="M449" s="52" t="str">
        <f>IFERROR(VLOOKUP($A449,'The List'!$B1:$AS730,20,FALSE)," ")</f>
        <v xml:space="preserve"> </v>
      </c>
      <c r="N449" s="52" t="str">
        <f>IFERROR(VLOOKUP($A449,'The List'!$B1:$AS730,21,FALSE)," ")</f>
        <v xml:space="preserve"> </v>
      </c>
      <c r="O449" s="52" t="str">
        <f>IFERROR(VLOOKUP($A449,'The List'!$B1:$AS730,22,FALSE)," ")</f>
        <v xml:space="preserve"> </v>
      </c>
      <c r="P449" s="52" t="str">
        <f>IFERROR(VLOOKUP($A449,'The List'!$B1:$AS730,23,FALSE)," ")</f>
        <v xml:space="preserve"> </v>
      </c>
      <c r="Q449" s="52" t="str">
        <f>IFERROR(VLOOKUP($A449,'The List'!$B1:$AS730,24,FALSE)," ")</f>
        <v xml:space="preserve"> </v>
      </c>
      <c r="R449" s="52" t="str">
        <f>IFERROR(VLOOKUP($A449,'The List'!$B1:$AS730,25,FALSE)," ")</f>
        <v xml:space="preserve"> </v>
      </c>
      <c r="S449" s="52" t="str">
        <f>IFERROR(VLOOKUP($A449,'The List'!$B1:$AS730,26,FALSE)," ")</f>
        <v xml:space="preserve"> </v>
      </c>
      <c r="T449" s="52" t="str">
        <f>IFERROR(VLOOKUP($A449,'The List'!$B1:$AS730,27,FALSE)," ")</f>
        <v xml:space="preserve"> </v>
      </c>
      <c r="U449" s="52" t="str">
        <f>IFERROR(VLOOKUP($A449,'The List'!$B1:$AS730,28,FALSE)," ")</f>
        <v xml:space="preserve"> </v>
      </c>
      <c r="V449" s="52" t="str">
        <f>IFERROR(VLOOKUP($A449,'The List'!$B1:$AS730,29,FALSE)," ")</f>
        <v xml:space="preserve"> </v>
      </c>
      <c r="W449" s="52" t="str">
        <f>IFERROR(VLOOKUP($A449,'The List'!$B1:$AS730,30,FALSE)," ")</f>
        <v xml:space="preserve"> </v>
      </c>
      <c r="X449" s="52" t="str">
        <f>IFERROR(VLOOKUP($A449,'The List'!$B1:$AS730,31,FALSE)," ")</f>
        <v xml:space="preserve"> </v>
      </c>
      <c r="Y449" s="52" t="str">
        <f>IFERROR(VLOOKUP($A449,'The List'!$B1:$AS730,32,FALSE)," ")</f>
        <v xml:space="preserve"> </v>
      </c>
      <c r="Z449" s="52" t="str">
        <f>IFERROR(VLOOKUP($A449,'The List'!$B1:$AS730,33,FALSE)," ")</f>
        <v xml:space="preserve"> </v>
      </c>
      <c r="AA449" s="54"/>
      <c r="AB449" s="59"/>
      <c r="AC449" s="59"/>
      <c r="AD449" s="59"/>
      <c r="AE449" s="59"/>
      <c r="AF449" s="59"/>
    </row>
    <row r="450" spans="1:32" ht="21.2" customHeight="1">
      <c r="A450" s="23"/>
      <c r="B450" s="67" t="str">
        <f>IFERROR(VLOOKUP($A450,'The List'!$B1:$AS730,3,FALSE)," ")</f>
        <v xml:space="preserve"> </v>
      </c>
      <c r="C450" s="69" t="str">
        <f>IFERROR(VLOOKUP($A450,'The List'!$B1:$AS730,4,FALSE)," ")</f>
        <v xml:space="preserve"> </v>
      </c>
      <c r="D450" s="34" t="str">
        <f>IFERROR(VLOOKUP($A450,'The List'!$B1:$AS730,5,FALSE)," ")</f>
        <v xml:space="preserve"> </v>
      </c>
      <c r="E450" s="34" t="str">
        <f>IFERROR(VLOOKUP($A450,'The List'!$B1:$AS730,6,FALSE)," ")</f>
        <v xml:space="preserve"> </v>
      </c>
      <c r="F450" s="49" t="str">
        <f>IFERROR(VLOOKUP($A450,'The List'!$B1:$AS730,8,FALSE)," ")</f>
        <v xml:space="preserve"> </v>
      </c>
      <c r="G450" s="49" t="str">
        <f>IFERROR(VLOOKUP($A450,'The List'!$B1:$AS730,10,FALSE)," ")</f>
        <v xml:space="preserve"> </v>
      </c>
      <c r="H450" s="38"/>
      <c r="I450" s="52" t="str">
        <f>IFERROR(VLOOKUP($A450,'The List'!$B1:$AS730,16,FALSE)," ")</f>
        <v xml:space="preserve"> </v>
      </c>
      <c r="J450" s="52" t="str">
        <f>IFERROR(VLOOKUP($A450,'The List'!$B1:$AS730,17,FALSE)," ")</f>
        <v xml:space="preserve"> </v>
      </c>
      <c r="K450" s="52" t="str">
        <f>IFERROR(VLOOKUP($A450,'The List'!$B1:$AS730,18,FALSE)," ")</f>
        <v xml:space="preserve"> </v>
      </c>
      <c r="L450" s="52" t="str">
        <f>IFERROR(VLOOKUP($A450,'The List'!$B1:$AS730,19,FALSE)," ")</f>
        <v xml:space="preserve"> </v>
      </c>
      <c r="M450" s="52" t="str">
        <f>IFERROR(VLOOKUP($A450,'The List'!$B1:$AS730,20,FALSE)," ")</f>
        <v xml:space="preserve"> </v>
      </c>
      <c r="N450" s="52" t="str">
        <f>IFERROR(VLOOKUP($A450,'The List'!$B1:$AS730,21,FALSE)," ")</f>
        <v xml:space="preserve"> </v>
      </c>
      <c r="O450" s="52" t="str">
        <f>IFERROR(VLOOKUP($A450,'The List'!$B1:$AS730,22,FALSE)," ")</f>
        <v xml:space="preserve"> </v>
      </c>
      <c r="P450" s="52" t="str">
        <f>IFERROR(VLOOKUP($A450,'The List'!$B1:$AS730,23,FALSE)," ")</f>
        <v xml:space="preserve"> </v>
      </c>
      <c r="Q450" s="52" t="str">
        <f>IFERROR(VLOOKUP($A450,'The List'!$B1:$AS730,24,FALSE)," ")</f>
        <v xml:space="preserve"> </v>
      </c>
      <c r="R450" s="52" t="str">
        <f>IFERROR(VLOOKUP($A450,'The List'!$B1:$AS730,25,FALSE)," ")</f>
        <v xml:space="preserve"> </v>
      </c>
      <c r="S450" s="52" t="str">
        <f>IFERROR(VLOOKUP($A450,'The List'!$B1:$AS730,26,FALSE)," ")</f>
        <v xml:space="preserve"> </v>
      </c>
      <c r="T450" s="52" t="str">
        <f>IFERROR(VLOOKUP($A450,'The List'!$B1:$AS730,27,FALSE)," ")</f>
        <v xml:space="preserve"> </v>
      </c>
      <c r="U450" s="52" t="str">
        <f>IFERROR(VLOOKUP($A450,'The List'!$B1:$AS730,28,FALSE)," ")</f>
        <v xml:space="preserve"> </v>
      </c>
      <c r="V450" s="52" t="str">
        <f>IFERROR(VLOOKUP($A450,'The List'!$B1:$AS730,29,FALSE)," ")</f>
        <v xml:space="preserve"> </v>
      </c>
      <c r="W450" s="52" t="str">
        <f>IFERROR(VLOOKUP($A450,'The List'!$B1:$AS730,30,FALSE)," ")</f>
        <v xml:space="preserve"> </v>
      </c>
      <c r="X450" s="52" t="str">
        <f>IFERROR(VLOOKUP($A450,'The List'!$B1:$AS730,31,FALSE)," ")</f>
        <v xml:space="preserve"> </v>
      </c>
      <c r="Y450" s="52" t="str">
        <f>IFERROR(VLOOKUP($A450,'The List'!$B1:$AS730,32,FALSE)," ")</f>
        <v xml:space="preserve"> </v>
      </c>
      <c r="Z450" s="52" t="str">
        <f>IFERROR(VLOOKUP($A450,'The List'!$B1:$AS730,33,FALSE)," ")</f>
        <v xml:space="preserve"> </v>
      </c>
      <c r="AA450" s="54"/>
      <c r="AB450" s="59"/>
      <c r="AC450" s="59"/>
      <c r="AD450" s="59"/>
      <c r="AE450" s="59"/>
      <c r="AF450" s="59"/>
    </row>
    <row r="451" spans="1:32" ht="21.2" customHeight="1">
      <c r="A451" s="23"/>
      <c r="B451" s="67" t="str">
        <f>IFERROR(VLOOKUP($A451,'The List'!$B1:$AS730,3,FALSE)," ")</f>
        <v xml:space="preserve"> </v>
      </c>
      <c r="C451" s="69" t="str">
        <f>IFERROR(VLOOKUP($A451,'The List'!$B1:$AS730,4,FALSE)," ")</f>
        <v xml:space="preserve"> </v>
      </c>
      <c r="D451" s="34" t="str">
        <f>IFERROR(VLOOKUP($A451,'The List'!$B1:$AS730,5,FALSE)," ")</f>
        <v xml:space="preserve"> </v>
      </c>
      <c r="E451" s="34" t="str">
        <f>IFERROR(VLOOKUP($A451,'The List'!$B1:$AS730,6,FALSE)," ")</f>
        <v xml:space="preserve"> </v>
      </c>
      <c r="F451" s="49" t="str">
        <f>IFERROR(VLOOKUP($A451,'The List'!$B1:$AS730,8,FALSE)," ")</f>
        <v xml:space="preserve"> </v>
      </c>
      <c r="G451" s="49" t="str">
        <f>IFERROR(VLOOKUP($A451,'The List'!$B1:$AS730,10,FALSE)," ")</f>
        <v xml:space="preserve"> </v>
      </c>
      <c r="H451" s="38"/>
      <c r="I451" s="52" t="str">
        <f>IFERROR(VLOOKUP($A451,'The List'!$B1:$AS730,16,FALSE)," ")</f>
        <v xml:space="preserve"> </v>
      </c>
      <c r="J451" s="52" t="str">
        <f>IFERROR(VLOOKUP($A451,'The List'!$B1:$AS730,17,FALSE)," ")</f>
        <v xml:space="preserve"> </v>
      </c>
      <c r="K451" s="52" t="str">
        <f>IFERROR(VLOOKUP($A451,'The List'!$B1:$AS730,18,FALSE)," ")</f>
        <v xml:space="preserve"> </v>
      </c>
      <c r="L451" s="52" t="str">
        <f>IFERROR(VLOOKUP($A451,'The List'!$B1:$AS730,19,FALSE)," ")</f>
        <v xml:space="preserve"> </v>
      </c>
      <c r="M451" s="52" t="str">
        <f>IFERROR(VLOOKUP($A451,'The List'!$B1:$AS730,20,FALSE)," ")</f>
        <v xml:space="preserve"> </v>
      </c>
      <c r="N451" s="52" t="str">
        <f>IFERROR(VLOOKUP($A451,'The List'!$B1:$AS730,21,FALSE)," ")</f>
        <v xml:space="preserve"> </v>
      </c>
      <c r="O451" s="52" t="str">
        <f>IFERROR(VLOOKUP($A451,'The List'!$B1:$AS730,22,FALSE)," ")</f>
        <v xml:space="preserve"> </v>
      </c>
      <c r="P451" s="52" t="str">
        <f>IFERROR(VLOOKUP($A451,'The List'!$B1:$AS730,23,FALSE)," ")</f>
        <v xml:space="preserve"> </v>
      </c>
      <c r="Q451" s="52" t="str">
        <f>IFERROR(VLOOKUP($A451,'The List'!$B1:$AS730,24,FALSE)," ")</f>
        <v xml:space="preserve"> </v>
      </c>
      <c r="R451" s="52" t="str">
        <f>IFERROR(VLOOKUP($A451,'The List'!$B1:$AS730,25,FALSE)," ")</f>
        <v xml:space="preserve"> </v>
      </c>
      <c r="S451" s="52" t="str">
        <f>IFERROR(VLOOKUP($A451,'The List'!$B1:$AS730,26,FALSE)," ")</f>
        <v xml:space="preserve"> </v>
      </c>
      <c r="T451" s="52" t="str">
        <f>IFERROR(VLOOKUP($A451,'The List'!$B1:$AS730,27,FALSE)," ")</f>
        <v xml:space="preserve"> </v>
      </c>
      <c r="U451" s="52" t="str">
        <f>IFERROR(VLOOKUP($A451,'The List'!$B1:$AS730,28,FALSE)," ")</f>
        <v xml:space="preserve"> </v>
      </c>
      <c r="V451" s="52" t="str">
        <f>IFERROR(VLOOKUP($A451,'The List'!$B1:$AS730,29,FALSE)," ")</f>
        <v xml:space="preserve"> </v>
      </c>
      <c r="W451" s="52" t="str">
        <f>IFERROR(VLOOKUP($A451,'The List'!$B1:$AS730,30,FALSE)," ")</f>
        <v xml:space="preserve"> </v>
      </c>
      <c r="X451" s="52" t="str">
        <f>IFERROR(VLOOKUP($A451,'The List'!$B1:$AS730,31,FALSE)," ")</f>
        <v xml:space="preserve"> </v>
      </c>
      <c r="Y451" s="52" t="str">
        <f>IFERROR(VLOOKUP($A451,'The List'!$B1:$AS730,32,FALSE)," ")</f>
        <v xml:space="preserve"> </v>
      </c>
      <c r="Z451" s="52" t="str">
        <f>IFERROR(VLOOKUP($A451,'The List'!$B1:$AS730,33,FALSE)," ")</f>
        <v xml:space="preserve"> </v>
      </c>
      <c r="AA451" s="54"/>
      <c r="AB451" s="59"/>
      <c r="AC451" s="59"/>
      <c r="AD451" s="59"/>
      <c r="AE451" s="59"/>
      <c r="AF451" s="59"/>
    </row>
    <row r="452" spans="1:32" ht="21.2" customHeight="1">
      <c r="A452" s="23"/>
      <c r="B452" s="67" t="str">
        <f>IFERROR(VLOOKUP($A452,'The List'!$B1:$AS730,3,FALSE)," ")</f>
        <v xml:space="preserve"> </v>
      </c>
      <c r="C452" s="69" t="str">
        <f>IFERROR(VLOOKUP($A452,'The List'!$B1:$AS730,4,FALSE)," ")</f>
        <v xml:space="preserve"> </v>
      </c>
      <c r="D452" s="34" t="str">
        <f>IFERROR(VLOOKUP($A452,'The List'!$B1:$AS730,5,FALSE)," ")</f>
        <v xml:space="preserve"> </v>
      </c>
      <c r="E452" s="34" t="str">
        <f>IFERROR(VLOOKUP($A452,'The List'!$B1:$AS730,6,FALSE)," ")</f>
        <v xml:space="preserve"> </v>
      </c>
      <c r="F452" s="49" t="str">
        <f>IFERROR(VLOOKUP($A452,'The List'!$B1:$AS730,8,FALSE)," ")</f>
        <v xml:space="preserve"> </v>
      </c>
      <c r="G452" s="49" t="str">
        <f>IFERROR(VLOOKUP($A452,'The List'!$B1:$AS730,10,FALSE)," ")</f>
        <v xml:space="preserve"> </v>
      </c>
      <c r="H452" s="38"/>
      <c r="I452" s="52" t="str">
        <f>IFERROR(VLOOKUP($A452,'The List'!$B1:$AS730,16,FALSE)," ")</f>
        <v xml:space="preserve"> </v>
      </c>
      <c r="J452" s="52" t="str">
        <f>IFERROR(VLOOKUP($A452,'The List'!$B1:$AS730,17,FALSE)," ")</f>
        <v xml:space="preserve"> </v>
      </c>
      <c r="K452" s="52" t="str">
        <f>IFERROR(VLOOKUP($A452,'The List'!$B1:$AS730,18,FALSE)," ")</f>
        <v xml:space="preserve"> </v>
      </c>
      <c r="L452" s="52" t="str">
        <f>IFERROR(VLOOKUP($A452,'The List'!$B1:$AS730,19,FALSE)," ")</f>
        <v xml:space="preserve"> </v>
      </c>
      <c r="M452" s="52" t="str">
        <f>IFERROR(VLOOKUP($A452,'The List'!$B1:$AS730,20,FALSE)," ")</f>
        <v xml:space="preserve"> </v>
      </c>
      <c r="N452" s="52" t="str">
        <f>IFERROR(VLOOKUP($A452,'The List'!$B1:$AS730,21,FALSE)," ")</f>
        <v xml:space="preserve"> </v>
      </c>
      <c r="O452" s="52" t="str">
        <f>IFERROR(VLOOKUP($A452,'The List'!$B1:$AS730,22,FALSE)," ")</f>
        <v xml:space="preserve"> </v>
      </c>
      <c r="P452" s="52" t="str">
        <f>IFERROR(VLOOKUP($A452,'The List'!$B1:$AS730,23,FALSE)," ")</f>
        <v xml:space="preserve"> </v>
      </c>
      <c r="Q452" s="52" t="str">
        <f>IFERROR(VLOOKUP($A452,'The List'!$B1:$AS730,24,FALSE)," ")</f>
        <v xml:space="preserve"> </v>
      </c>
      <c r="R452" s="52" t="str">
        <f>IFERROR(VLOOKUP($A452,'The List'!$B1:$AS730,25,FALSE)," ")</f>
        <v xml:space="preserve"> </v>
      </c>
      <c r="S452" s="52" t="str">
        <f>IFERROR(VLOOKUP($A452,'The List'!$B1:$AS730,26,FALSE)," ")</f>
        <v xml:space="preserve"> </v>
      </c>
      <c r="T452" s="52" t="str">
        <f>IFERROR(VLOOKUP($A452,'The List'!$B1:$AS730,27,FALSE)," ")</f>
        <v xml:space="preserve"> </v>
      </c>
      <c r="U452" s="52" t="str">
        <f>IFERROR(VLOOKUP($A452,'The List'!$B1:$AS730,28,FALSE)," ")</f>
        <v xml:space="preserve"> </v>
      </c>
      <c r="V452" s="52" t="str">
        <f>IFERROR(VLOOKUP($A452,'The List'!$B1:$AS730,29,FALSE)," ")</f>
        <v xml:space="preserve"> </v>
      </c>
      <c r="W452" s="52" t="str">
        <f>IFERROR(VLOOKUP($A452,'The List'!$B1:$AS730,30,FALSE)," ")</f>
        <v xml:space="preserve"> </v>
      </c>
      <c r="X452" s="52" t="str">
        <f>IFERROR(VLOOKUP($A452,'The List'!$B1:$AS730,31,FALSE)," ")</f>
        <v xml:space="preserve"> </v>
      </c>
      <c r="Y452" s="52" t="str">
        <f>IFERROR(VLOOKUP($A452,'The List'!$B1:$AS730,32,FALSE)," ")</f>
        <v xml:space="preserve"> </v>
      </c>
      <c r="Z452" s="52" t="str">
        <f>IFERROR(VLOOKUP($A452,'The List'!$B1:$AS730,33,FALSE)," ")</f>
        <v xml:space="preserve"> </v>
      </c>
      <c r="AA452" s="54"/>
      <c r="AB452" s="59"/>
      <c r="AC452" s="59"/>
      <c r="AD452" s="59"/>
      <c r="AE452" s="59"/>
      <c r="AF452" s="59"/>
    </row>
    <row r="453" spans="1:32" ht="21.2" customHeight="1">
      <c r="A453" s="23"/>
      <c r="B453" s="67" t="str">
        <f>IFERROR(VLOOKUP($A453,'The List'!$B1:$AS730,3,FALSE)," ")</f>
        <v xml:space="preserve"> </v>
      </c>
      <c r="C453" s="69" t="str">
        <f>IFERROR(VLOOKUP($A453,'The List'!$B1:$AS730,4,FALSE)," ")</f>
        <v xml:space="preserve"> </v>
      </c>
      <c r="D453" s="34" t="str">
        <f>IFERROR(VLOOKUP($A453,'The List'!$B1:$AS730,5,FALSE)," ")</f>
        <v xml:space="preserve"> </v>
      </c>
      <c r="E453" s="34" t="str">
        <f>IFERROR(VLOOKUP($A453,'The List'!$B1:$AS730,6,FALSE)," ")</f>
        <v xml:space="preserve"> </v>
      </c>
      <c r="F453" s="49" t="str">
        <f>IFERROR(VLOOKUP($A453,'The List'!$B1:$AS730,8,FALSE)," ")</f>
        <v xml:space="preserve"> </v>
      </c>
      <c r="G453" s="49" t="str">
        <f>IFERROR(VLOOKUP($A453,'The List'!$B1:$AS730,10,FALSE)," ")</f>
        <v xml:space="preserve"> </v>
      </c>
      <c r="H453" s="38"/>
      <c r="I453" s="52" t="str">
        <f>IFERROR(VLOOKUP($A453,'The List'!$B1:$AS730,16,FALSE)," ")</f>
        <v xml:space="preserve"> </v>
      </c>
      <c r="J453" s="52" t="str">
        <f>IFERROR(VLOOKUP($A453,'The List'!$B1:$AS730,17,FALSE)," ")</f>
        <v xml:space="preserve"> </v>
      </c>
      <c r="K453" s="52" t="str">
        <f>IFERROR(VLOOKUP($A453,'The List'!$B1:$AS730,18,FALSE)," ")</f>
        <v xml:space="preserve"> </v>
      </c>
      <c r="L453" s="52" t="str">
        <f>IFERROR(VLOOKUP($A453,'The List'!$B1:$AS730,19,FALSE)," ")</f>
        <v xml:space="preserve"> </v>
      </c>
      <c r="M453" s="52" t="str">
        <f>IFERROR(VLOOKUP($A453,'The List'!$B1:$AS730,20,FALSE)," ")</f>
        <v xml:space="preserve"> </v>
      </c>
      <c r="N453" s="52" t="str">
        <f>IFERROR(VLOOKUP($A453,'The List'!$B1:$AS730,21,FALSE)," ")</f>
        <v xml:space="preserve"> </v>
      </c>
      <c r="O453" s="52" t="str">
        <f>IFERROR(VLOOKUP($A453,'The List'!$B1:$AS730,22,FALSE)," ")</f>
        <v xml:space="preserve"> </v>
      </c>
      <c r="P453" s="52" t="str">
        <f>IFERROR(VLOOKUP($A453,'The List'!$B1:$AS730,23,FALSE)," ")</f>
        <v xml:space="preserve"> </v>
      </c>
      <c r="Q453" s="52" t="str">
        <f>IFERROR(VLOOKUP($A453,'The List'!$B1:$AS730,24,FALSE)," ")</f>
        <v xml:space="preserve"> </v>
      </c>
      <c r="R453" s="52" t="str">
        <f>IFERROR(VLOOKUP($A453,'The List'!$B1:$AS730,25,FALSE)," ")</f>
        <v xml:space="preserve"> </v>
      </c>
      <c r="S453" s="52" t="str">
        <f>IFERROR(VLOOKUP($A453,'The List'!$B1:$AS730,26,FALSE)," ")</f>
        <v xml:space="preserve"> </v>
      </c>
      <c r="T453" s="52" t="str">
        <f>IFERROR(VLOOKUP($A453,'The List'!$B1:$AS730,27,FALSE)," ")</f>
        <v xml:space="preserve"> </v>
      </c>
      <c r="U453" s="52" t="str">
        <f>IFERROR(VLOOKUP($A453,'The List'!$B1:$AS730,28,FALSE)," ")</f>
        <v xml:space="preserve"> </v>
      </c>
      <c r="V453" s="52" t="str">
        <f>IFERROR(VLOOKUP($A453,'The List'!$B1:$AS730,29,FALSE)," ")</f>
        <v xml:space="preserve"> </v>
      </c>
      <c r="W453" s="52" t="str">
        <f>IFERROR(VLOOKUP($A453,'The List'!$B1:$AS730,30,FALSE)," ")</f>
        <v xml:space="preserve"> </v>
      </c>
      <c r="X453" s="52" t="str">
        <f>IFERROR(VLOOKUP($A453,'The List'!$B1:$AS730,31,FALSE)," ")</f>
        <v xml:space="preserve"> </v>
      </c>
      <c r="Y453" s="52" t="str">
        <f>IFERROR(VLOOKUP($A453,'The List'!$B1:$AS730,32,FALSE)," ")</f>
        <v xml:space="preserve"> </v>
      </c>
      <c r="Z453" s="52" t="str">
        <f>IFERROR(VLOOKUP($A453,'The List'!$B1:$AS730,33,FALSE)," ")</f>
        <v xml:space="preserve"> </v>
      </c>
      <c r="AA453" s="54"/>
      <c r="AB453" s="59"/>
      <c r="AC453" s="59"/>
      <c r="AD453" s="59"/>
      <c r="AE453" s="59"/>
      <c r="AF453" s="59"/>
    </row>
    <row r="454" spans="1:32" ht="21.2" customHeight="1">
      <c r="A454" s="23"/>
      <c r="B454" s="67" t="str">
        <f>IFERROR(VLOOKUP($A454,'The List'!$B1:$AS730,3,FALSE)," ")</f>
        <v xml:space="preserve"> </v>
      </c>
      <c r="C454" s="69" t="str">
        <f>IFERROR(VLOOKUP($A454,'The List'!$B1:$AS730,4,FALSE)," ")</f>
        <v xml:space="preserve"> </v>
      </c>
      <c r="D454" s="34" t="str">
        <f>IFERROR(VLOOKUP($A454,'The List'!$B1:$AS730,5,FALSE)," ")</f>
        <v xml:space="preserve"> </v>
      </c>
      <c r="E454" s="34" t="str">
        <f>IFERROR(VLOOKUP($A454,'The List'!$B1:$AS730,6,FALSE)," ")</f>
        <v xml:space="preserve"> </v>
      </c>
      <c r="F454" s="49" t="str">
        <f>IFERROR(VLOOKUP($A454,'The List'!$B1:$AS730,8,FALSE)," ")</f>
        <v xml:space="preserve"> </v>
      </c>
      <c r="G454" s="49" t="str">
        <f>IFERROR(VLOOKUP($A454,'The List'!$B1:$AS730,10,FALSE)," ")</f>
        <v xml:space="preserve"> </v>
      </c>
      <c r="H454" s="38"/>
      <c r="I454" s="52" t="str">
        <f>IFERROR(VLOOKUP($A454,'The List'!$B1:$AS730,16,FALSE)," ")</f>
        <v xml:space="preserve"> </v>
      </c>
      <c r="J454" s="52" t="str">
        <f>IFERROR(VLOOKUP($A454,'The List'!$B1:$AS730,17,FALSE)," ")</f>
        <v xml:space="preserve"> </v>
      </c>
      <c r="K454" s="52" t="str">
        <f>IFERROR(VLOOKUP($A454,'The List'!$B1:$AS730,18,FALSE)," ")</f>
        <v xml:space="preserve"> </v>
      </c>
      <c r="L454" s="52" t="str">
        <f>IFERROR(VLOOKUP($A454,'The List'!$B1:$AS730,19,FALSE)," ")</f>
        <v xml:space="preserve"> </v>
      </c>
      <c r="M454" s="52" t="str">
        <f>IFERROR(VLOOKUP($A454,'The List'!$B1:$AS730,20,FALSE)," ")</f>
        <v xml:space="preserve"> </v>
      </c>
      <c r="N454" s="52" t="str">
        <f>IFERROR(VLOOKUP($A454,'The List'!$B1:$AS730,21,FALSE)," ")</f>
        <v xml:space="preserve"> </v>
      </c>
      <c r="O454" s="52" t="str">
        <f>IFERROR(VLOOKUP($A454,'The List'!$B1:$AS730,22,FALSE)," ")</f>
        <v xml:space="preserve"> </v>
      </c>
      <c r="P454" s="52" t="str">
        <f>IFERROR(VLOOKUP($A454,'The List'!$B1:$AS730,23,FALSE)," ")</f>
        <v xml:space="preserve"> </v>
      </c>
      <c r="Q454" s="52" t="str">
        <f>IFERROR(VLOOKUP($A454,'The List'!$B1:$AS730,24,FALSE)," ")</f>
        <v xml:space="preserve"> </v>
      </c>
      <c r="R454" s="52" t="str">
        <f>IFERROR(VLOOKUP($A454,'The List'!$B1:$AS730,25,FALSE)," ")</f>
        <v xml:space="preserve"> </v>
      </c>
      <c r="S454" s="52" t="str">
        <f>IFERROR(VLOOKUP($A454,'The List'!$B1:$AS730,26,FALSE)," ")</f>
        <v xml:space="preserve"> </v>
      </c>
      <c r="T454" s="52" t="str">
        <f>IFERROR(VLOOKUP($A454,'The List'!$B1:$AS730,27,FALSE)," ")</f>
        <v xml:space="preserve"> </v>
      </c>
      <c r="U454" s="52" t="str">
        <f>IFERROR(VLOOKUP($A454,'The List'!$B1:$AS730,28,FALSE)," ")</f>
        <v xml:space="preserve"> </v>
      </c>
      <c r="V454" s="52" t="str">
        <f>IFERROR(VLOOKUP($A454,'The List'!$B1:$AS730,29,FALSE)," ")</f>
        <v xml:space="preserve"> </v>
      </c>
      <c r="W454" s="52" t="str">
        <f>IFERROR(VLOOKUP($A454,'The List'!$B1:$AS730,30,FALSE)," ")</f>
        <v xml:space="preserve"> </v>
      </c>
      <c r="X454" s="52" t="str">
        <f>IFERROR(VLOOKUP($A454,'The List'!$B1:$AS730,31,FALSE)," ")</f>
        <v xml:space="preserve"> </v>
      </c>
      <c r="Y454" s="52" t="str">
        <f>IFERROR(VLOOKUP($A454,'The List'!$B1:$AS730,32,FALSE)," ")</f>
        <v xml:space="preserve"> </v>
      </c>
      <c r="Z454" s="52" t="str">
        <f>IFERROR(VLOOKUP($A454,'The List'!$B1:$AS730,33,FALSE)," ")</f>
        <v xml:space="preserve"> </v>
      </c>
      <c r="AA454" s="54"/>
      <c r="AB454" s="59"/>
      <c r="AC454" s="59"/>
      <c r="AD454" s="59"/>
      <c r="AE454" s="59"/>
      <c r="AF454" s="59"/>
    </row>
    <row r="455" spans="1:32" ht="21.2" customHeight="1">
      <c r="A455" s="23"/>
      <c r="B455" s="67" t="str">
        <f>IFERROR(VLOOKUP($A455,'The List'!$B1:$AS730,3,FALSE)," ")</f>
        <v xml:space="preserve"> </v>
      </c>
      <c r="C455" s="69" t="str">
        <f>IFERROR(VLOOKUP($A455,'The List'!$B1:$AS730,4,FALSE)," ")</f>
        <v xml:space="preserve"> </v>
      </c>
      <c r="D455" s="34" t="str">
        <f>IFERROR(VLOOKUP($A455,'The List'!$B1:$AS730,5,FALSE)," ")</f>
        <v xml:space="preserve"> </v>
      </c>
      <c r="E455" s="34" t="str">
        <f>IFERROR(VLOOKUP($A455,'The List'!$B1:$AS730,6,FALSE)," ")</f>
        <v xml:space="preserve"> </v>
      </c>
      <c r="F455" s="49" t="str">
        <f>IFERROR(VLOOKUP($A455,'The List'!$B1:$AS730,8,FALSE)," ")</f>
        <v xml:space="preserve"> </v>
      </c>
      <c r="G455" s="49" t="str">
        <f>IFERROR(VLOOKUP($A455,'The List'!$B1:$AS730,10,FALSE)," ")</f>
        <v xml:space="preserve"> </v>
      </c>
      <c r="H455" s="38"/>
      <c r="I455" s="52" t="str">
        <f>IFERROR(VLOOKUP($A455,'The List'!$B1:$AS730,16,FALSE)," ")</f>
        <v xml:space="preserve"> </v>
      </c>
      <c r="J455" s="52" t="str">
        <f>IFERROR(VLOOKUP($A455,'The List'!$B1:$AS730,17,FALSE)," ")</f>
        <v xml:space="preserve"> </v>
      </c>
      <c r="K455" s="52" t="str">
        <f>IFERROR(VLOOKUP($A455,'The List'!$B1:$AS730,18,FALSE)," ")</f>
        <v xml:space="preserve"> </v>
      </c>
      <c r="L455" s="52" t="str">
        <f>IFERROR(VLOOKUP($A455,'The List'!$B1:$AS730,19,FALSE)," ")</f>
        <v xml:space="preserve"> </v>
      </c>
      <c r="M455" s="52" t="str">
        <f>IFERROR(VLOOKUP($A455,'The List'!$B1:$AS730,20,FALSE)," ")</f>
        <v xml:space="preserve"> </v>
      </c>
      <c r="N455" s="52" t="str">
        <f>IFERROR(VLOOKUP($A455,'The List'!$B1:$AS730,21,FALSE)," ")</f>
        <v xml:space="preserve"> </v>
      </c>
      <c r="O455" s="52" t="str">
        <f>IFERROR(VLOOKUP($A455,'The List'!$B1:$AS730,22,FALSE)," ")</f>
        <v xml:space="preserve"> </v>
      </c>
      <c r="P455" s="52" t="str">
        <f>IFERROR(VLOOKUP($A455,'The List'!$B1:$AS730,23,FALSE)," ")</f>
        <v xml:space="preserve"> </v>
      </c>
      <c r="Q455" s="52" t="str">
        <f>IFERROR(VLOOKUP($A455,'The List'!$B1:$AS730,24,FALSE)," ")</f>
        <v xml:space="preserve"> </v>
      </c>
      <c r="R455" s="52" t="str">
        <f>IFERROR(VLOOKUP($A455,'The List'!$B1:$AS730,25,FALSE)," ")</f>
        <v xml:space="preserve"> </v>
      </c>
      <c r="S455" s="52" t="str">
        <f>IFERROR(VLOOKUP($A455,'The List'!$B1:$AS730,26,FALSE)," ")</f>
        <v xml:space="preserve"> </v>
      </c>
      <c r="T455" s="52" t="str">
        <f>IFERROR(VLOOKUP($A455,'The List'!$B1:$AS730,27,FALSE)," ")</f>
        <v xml:space="preserve"> </v>
      </c>
      <c r="U455" s="52" t="str">
        <f>IFERROR(VLOOKUP($A455,'The List'!$B1:$AS730,28,FALSE)," ")</f>
        <v xml:space="preserve"> </v>
      </c>
      <c r="V455" s="52" t="str">
        <f>IFERROR(VLOOKUP($A455,'The List'!$B1:$AS730,29,FALSE)," ")</f>
        <v xml:space="preserve"> </v>
      </c>
      <c r="W455" s="52" t="str">
        <f>IFERROR(VLOOKUP($A455,'The List'!$B1:$AS730,30,FALSE)," ")</f>
        <v xml:space="preserve"> </v>
      </c>
      <c r="X455" s="52" t="str">
        <f>IFERROR(VLOOKUP($A455,'The List'!$B1:$AS730,31,FALSE)," ")</f>
        <v xml:space="preserve"> </v>
      </c>
      <c r="Y455" s="52" t="str">
        <f>IFERROR(VLOOKUP($A455,'The List'!$B1:$AS730,32,FALSE)," ")</f>
        <v xml:space="preserve"> </v>
      </c>
      <c r="Z455" s="52" t="str">
        <f>IFERROR(VLOOKUP($A455,'The List'!$B1:$AS730,33,FALSE)," ")</f>
        <v xml:space="preserve"> </v>
      </c>
      <c r="AA455" s="54"/>
      <c r="AB455" s="59"/>
      <c r="AC455" s="59"/>
      <c r="AD455" s="59"/>
      <c r="AE455" s="59"/>
      <c r="AF455" s="59"/>
    </row>
    <row r="456" spans="1:32" ht="21.2" customHeight="1">
      <c r="A456" s="71"/>
      <c r="B456" s="72" t="str">
        <f>IFERROR(VLOOKUP($A456,'The List'!$B1:$AS730,3,FALSE)," ")</f>
        <v xml:space="preserve"> </v>
      </c>
      <c r="C456" s="73" t="str">
        <f>IFERROR(VLOOKUP($A456,'The List'!$B1:$AS730,4,FALSE)," ")</f>
        <v xml:space="preserve"> </v>
      </c>
      <c r="D456" s="74" t="str">
        <f>IFERROR(VLOOKUP($A456,'The List'!$B1:$AS730,5,FALSE)," ")</f>
        <v xml:space="preserve"> </v>
      </c>
      <c r="E456" s="74" t="str">
        <f>IFERROR(VLOOKUP($A456,'The List'!$B1:$AS730,6,FALSE)," ")</f>
        <v xml:space="preserve"> </v>
      </c>
      <c r="F456" s="75" t="str">
        <f>IFERROR(VLOOKUP($A456,'The List'!$B1:$AS730,8,FALSE)," ")</f>
        <v xml:space="preserve"> </v>
      </c>
      <c r="G456" s="75" t="str">
        <f>IFERROR(VLOOKUP($A456,'The List'!$B1:$AS730,10,FALSE)," ")</f>
        <v xml:space="preserve"> </v>
      </c>
      <c r="H456" s="76"/>
      <c r="I456" s="77" t="str">
        <f>IFERROR(VLOOKUP($A456,'The List'!$B1:$AS730,16,FALSE)," ")</f>
        <v xml:space="preserve"> </v>
      </c>
      <c r="J456" s="77" t="str">
        <f>IFERROR(VLOOKUP($A456,'The List'!$B1:$AS730,17,FALSE)," ")</f>
        <v xml:space="preserve"> </v>
      </c>
      <c r="K456" s="77" t="str">
        <f>IFERROR(VLOOKUP($A456,'The List'!$B1:$AS730,18,FALSE)," ")</f>
        <v xml:space="preserve"> </v>
      </c>
      <c r="L456" s="77" t="str">
        <f>IFERROR(VLOOKUP($A456,'The List'!$B1:$AS730,19,FALSE)," ")</f>
        <v xml:space="preserve"> </v>
      </c>
      <c r="M456" s="77" t="str">
        <f>IFERROR(VLOOKUP($A456,'The List'!$B1:$AS730,20,FALSE)," ")</f>
        <v xml:space="preserve"> </v>
      </c>
      <c r="N456" s="77" t="str">
        <f>IFERROR(VLOOKUP($A456,'The List'!$B1:$AS730,21,FALSE)," ")</f>
        <v xml:space="preserve"> </v>
      </c>
      <c r="O456" s="77" t="str">
        <f>IFERROR(VLOOKUP($A456,'The List'!$B1:$AS730,22,FALSE)," ")</f>
        <v xml:space="preserve"> </v>
      </c>
      <c r="P456" s="77" t="str">
        <f>IFERROR(VLOOKUP($A456,'The List'!$B1:$AS730,23,FALSE)," ")</f>
        <v xml:space="preserve"> </v>
      </c>
      <c r="Q456" s="77" t="str">
        <f>IFERROR(VLOOKUP($A456,'The List'!$B1:$AS730,24,FALSE)," ")</f>
        <v xml:space="preserve"> </v>
      </c>
      <c r="R456" s="77" t="str">
        <f>IFERROR(VLOOKUP($A456,'The List'!$B1:$AS730,25,FALSE)," ")</f>
        <v xml:space="preserve"> </v>
      </c>
      <c r="S456" s="77" t="str">
        <f>IFERROR(VLOOKUP($A456,'The List'!$B1:$AS730,26,FALSE)," ")</f>
        <v xml:space="preserve"> </v>
      </c>
      <c r="T456" s="77" t="str">
        <f>IFERROR(VLOOKUP($A456,'The List'!$B1:$AS730,27,FALSE)," ")</f>
        <v xml:space="preserve"> </v>
      </c>
      <c r="U456" s="77" t="str">
        <f>IFERROR(VLOOKUP($A456,'The List'!$B1:$AS730,28,FALSE)," ")</f>
        <v xml:space="preserve"> </v>
      </c>
      <c r="V456" s="77" t="str">
        <f>IFERROR(VLOOKUP($A456,'The List'!$B1:$AS730,29,FALSE)," ")</f>
        <v xml:space="preserve"> </v>
      </c>
      <c r="W456" s="77" t="str">
        <f>IFERROR(VLOOKUP($A456,'The List'!$B1:$AS730,30,FALSE)," ")</f>
        <v xml:space="preserve"> </v>
      </c>
      <c r="X456" s="77" t="str">
        <f>IFERROR(VLOOKUP($A456,'The List'!$B1:$AS730,31,FALSE)," ")</f>
        <v xml:space="preserve"> </v>
      </c>
      <c r="Y456" s="77" t="str">
        <f>IFERROR(VLOOKUP($A456,'The List'!$B1:$AS730,32,FALSE)," ")</f>
        <v xml:space="preserve"> </v>
      </c>
      <c r="Z456" s="77" t="str">
        <f>IFERROR(VLOOKUP($A456,'The List'!$B1:$AS730,33,FALSE)," ")</f>
        <v xml:space="preserve"> </v>
      </c>
      <c r="AA456" s="54"/>
      <c r="AB456" s="59"/>
      <c r="AC456" s="59"/>
      <c r="AD456" s="59"/>
      <c r="AE456" s="59"/>
      <c r="AF456" s="59"/>
    </row>
    <row r="457" spans="1:32" ht="21.2" customHeight="1">
      <c r="A457" s="78"/>
      <c r="B457" s="79"/>
      <c r="C457" s="80"/>
      <c r="D457" s="81"/>
      <c r="E457" s="116" t="str">
        <f>IFERROR(AVERAGE(E437:E456)," ")</f>
        <v xml:space="preserve"> </v>
      </c>
      <c r="F457" s="83">
        <f>SUM(F437:F456)</f>
        <v>0</v>
      </c>
      <c r="G457" s="83">
        <f>SUM(G437:G456)</f>
        <v>0</v>
      </c>
      <c r="H457" s="84"/>
      <c r="I457" s="85">
        <f>SUM(I437:I456)</f>
        <v>0</v>
      </c>
      <c r="J457" s="84" t="e">
        <f>AVERAGE(J437:J456)</f>
        <v>#DIV/0!</v>
      </c>
      <c r="K457" s="85">
        <f t="shared" ref="K457:Y457" si="30">SUM(K437:K456)</f>
        <v>0</v>
      </c>
      <c r="L457" s="85">
        <f t="shared" si="30"/>
        <v>0</v>
      </c>
      <c r="M457" s="85">
        <f t="shared" si="30"/>
        <v>0</v>
      </c>
      <c r="N457" s="85">
        <f t="shared" si="30"/>
        <v>0</v>
      </c>
      <c r="O457" s="85">
        <f t="shared" si="30"/>
        <v>0</v>
      </c>
      <c r="P457" s="85">
        <f t="shared" si="30"/>
        <v>0</v>
      </c>
      <c r="Q457" s="85">
        <f t="shared" si="30"/>
        <v>0</v>
      </c>
      <c r="R457" s="85">
        <f t="shared" si="30"/>
        <v>0</v>
      </c>
      <c r="S457" s="85">
        <f t="shared" si="30"/>
        <v>0</v>
      </c>
      <c r="T457" s="85">
        <f t="shared" si="30"/>
        <v>0</v>
      </c>
      <c r="U457" s="85">
        <f t="shared" si="30"/>
        <v>0</v>
      </c>
      <c r="V457" s="85">
        <f t="shared" si="30"/>
        <v>0</v>
      </c>
      <c r="W457" s="85">
        <f t="shared" si="30"/>
        <v>0</v>
      </c>
      <c r="X457" s="85">
        <f t="shared" si="30"/>
        <v>0</v>
      </c>
      <c r="Y457" s="85">
        <f t="shared" si="30"/>
        <v>0</v>
      </c>
      <c r="Z457" s="86">
        <f>IFERROR(X457/(X457+Y457),0)</f>
        <v>0</v>
      </c>
      <c r="AA457" s="54"/>
      <c r="AB457" s="87"/>
      <c r="AC457" s="87"/>
      <c r="AD457" s="87"/>
      <c r="AE457" s="87"/>
      <c r="AF457" s="87"/>
    </row>
    <row r="458" spans="1:32" ht="21.2" customHeight="1">
      <c r="A458" s="88"/>
      <c r="B458" s="89"/>
      <c r="C458" s="90"/>
      <c r="D458" s="11"/>
      <c r="E458" s="11"/>
      <c r="F458" s="91"/>
      <c r="G458" s="92"/>
      <c r="H458" s="93"/>
      <c r="I458" s="9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9"/>
      <c r="AC458" s="59"/>
      <c r="AD458" s="59"/>
      <c r="AE458" s="59"/>
      <c r="AF458" s="59"/>
    </row>
    <row r="459" spans="1:32" ht="21.2" customHeight="1">
      <c r="A459" s="24" t="s">
        <v>64</v>
      </c>
      <c r="B459" s="231" t="s">
        <v>66</v>
      </c>
      <c r="C459" s="223"/>
      <c r="D459" s="95" t="s">
        <v>67</v>
      </c>
      <c r="E459" s="95" t="s">
        <v>68</v>
      </c>
      <c r="F459" s="96" t="s">
        <v>70</v>
      </c>
      <c r="G459" s="96" t="s">
        <v>72</v>
      </c>
      <c r="H459" s="97"/>
      <c r="I459" s="98" t="s">
        <v>77</v>
      </c>
      <c r="J459" s="98" t="s">
        <v>95</v>
      </c>
      <c r="K459" s="98" t="s">
        <v>96</v>
      </c>
      <c r="L459" s="98" t="s">
        <v>97</v>
      </c>
      <c r="M459" s="98" t="s">
        <v>98</v>
      </c>
      <c r="N459" s="98" t="s">
        <v>99</v>
      </c>
      <c r="O459" s="98" t="s">
        <v>100</v>
      </c>
      <c r="P459" s="98" t="s">
        <v>101</v>
      </c>
      <c r="Q459" s="98" t="s">
        <v>102</v>
      </c>
      <c r="R459" s="54"/>
      <c r="S459" s="54"/>
      <c r="T459" s="54"/>
      <c r="U459" s="231" t="s">
        <v>839</v>
      </c>
      <c r="V459" s="232"/>
      <c r="W459" s="232"/>
      <c r="X459" s="231" t="s">
        <v>840</v>
      </c>
      <c r="Y459" s="232"/>
      <c r="Z459" s="232"/>
      <c r="AA459" s="54"/>
      <c r="AB459" s="54"/>
      <c r="AC459" s="54"/>
      <c r="AD459" s="54"/>
      <c r="AE459" s="54"/>
      <c r="AF459" s="54"/>
    </row>
    <row r="460" spans="1:32" ht="21.2" customHeight="1">
      <c r="A460" s="117"/>
      <c r="B460" s="100" t="str">
        <f>IFERROR(VLOOKUP($A460,'The List'!$B1:$AS730,3,FALSE)," ")</f>
        <v xml:space="preserve"> </v>
      </c>
      <c r="C460" s="118" t="str">
        <f>IFERROR(VLOOKUP($A460,'The List'!$B1:$AS730,4,FALSE)," ")</f>
        <v xml:space="preserve"> </v>
      </c>
      <c r="D460" s="102" t="str">
        <f>IFERROR(VLOOKUP($A460,'The List'!$B1:$AS730,5,FALSE)," ")</f>
        <v xml:space="preserve"> </v>
      </c>
      <c r="E460" s="102" t="str">
        <f>IFERROR(VLOOKUP($A460,'The List'!$B1:$AS730,6,FALSE)," ")</f>
        <v xml:space="preserve"> </v>
      </c>
      <c r="F460" s="119" t="str">
        <f>IFERROR(VLOOKUP($A460,'The List'!$B1:$AS730,8,FALSE)," ")</f>
        <v xml:space="preserve"> </v>
      </c>
      <c r="G460" s="119" t="str">
        <f>IFERROR(VLOOKUP($A460,'The List'!$B1:$AS730,10,FALSE)," ")</f>
        <v xml:space="preserve"> </v>
      </c>
      <c r="H460" s="105"/>
      <c r="I460" s="120" t="str">
        <f>IFERROR(VLOOKUP($A460,'The List'!$B1:$AS730,35,FALSE)," ")</f>
        <v xml:space="preserve"> </v>
      </c>
      <c r="J460" s="120" t="str">
        <f>IFERROR(VLOOKUP($A460,'The List'!$B1:$AS730,36,FALSE)," ")</f>
        <v xml:space="preserve"> </v>
      </c>
      <c r="K460" s="120" t="str">
        <f>IFERROR(VLOOKUP($A460,'The List'!$B1:$AS730,37,FALSE)," ")</f>
        <v xml:space="preserve"> </v>
      </c>
      <c r="L460" s="120" t="str">
        <f>IFERROR(VLOOKUP($A460,'The List'!$B1:$AS730,38,FALSE)," ")</f>
        <v xml:space="preserve"> </v>
      </c>
      <c r="M460" s="120" t="str">
        <f>IFERROR(VLOOKUP($A460,'The List'!$B1:$AS730,39,FALSE)," ")</f>
        <v xml:space="preserve"> </v>
      </c>
      <c r="N460" s="120" t="str">
        <f>IFERROR(VLOOKUP($A460,'The List'!$B1:$AS730,40,FALSE)," ")</f>
        <v xml:space="preserve"> </v>
      </c>
      <c r="O460" s="120" t="str">
        <f>IFERROR(VLOOKUP($A460,'The List'!$B1:$AS730,41,FALSE)," ")</f>
        <v xml:space="preserve"> </v>
      </c>
      <c r="P460" s="120" t="str">
        <f>IFERROR(VLOOKUP($A460,'The List'!$B1:$AS730,42,FALSE)," ")</f>
        <v xml:space="preserve"> </v>
      </c>
      <c r="Q460" s="120" t="str">
        <f>IFERROR(VLOOKUP($A460,'The List'!$B1:$AS730,43,FALSE)," ")</f>
        <v xml:space="preserve"> </v>
      </c>
      <c r="R460" s="54"/>
      <c r="S460" s="54"/>
      <c r="T460" s="109" t="str">
        <f>A407</f>
        <v>TEAM 15</v>
      </c>
      <c r="U460" s="230">
        <f>F457+F463</f>
        <v>0</v>
      </c>
      <c r="V460" s="223"/>
      <c r="W460" s="223"/>
      <c r="X460" s="230">
        <f>G463+G457</f>
        <v>0</v>
      </c>
      <c r="Y460" s="223"/>
      <c r="Z460" s="223"/>
      <c r="AA460" s="54"/>
      <c r="AB460" s="54"/>
      <c r="AC460" s="54"/>
      <c r="AD460" s="54"/>
      <c r="AE460" s="54"/>
      <c r="AF460" s="54"/>
    </row>
    <row r="461" spans="1:32" ht="21.2" customHeight="1">
      <c r="A461" s="23"/>
      <c r="B461" s="110" t="str">
        <f>IFERROR(VLOOKUP($A461,'The List'!$B1:$AS730,3,FALSE)," ")</f>
        <v xml:space="preserve"> </v>
      </c>
      <c r="C461" s="111" t="str">
        <f>IFERROR(VLOOKUP($A461,'The List'!$B1:$AS730,4,FALSE)," ")</f>
        <v xml:space="preserve"> </v>
      </c>
      <c r="D461" s="34" t="str">
        <f>IFERROR(VLOOKUP($A461,'The List'!$B1:$AS730,5,FALSE)," ")</f>
        <v xml:space="preserve"> </v>
      </c>
      <c r="E461" s="34" t="str">
        <f>IFERROR(VLOOKUP($A461,'The List'!$B1:$AS730,6,FALSE)," ")</f>
        <v xml:space="preserve"> </v>
      </c>
      <c r="F461" s="49" t="str">
        <f>IFERROR(VLOOKUP($A461,'The List'!$B1:$AS730,8,FALSE)," ")</f>
        <v xml:space="preserve"> </v>
      </c>
      <c r="G461" s="49" t="str">
        <f>IFERROR(VLOOKUP($A461,'The List'!$B1:$AS730,10,FALSE)," ")</f>
        <v xml:space="preserve"> </v>
      </c>
      <c r="H461" s="38"/>
      <c r="I461" s="52" t="str">
        <f>IFERROR(VLOOKUP($A461,'The List'!$B1:$AS730,35,FALSE)," ")</f>
        <v xml:space="preserve"> </v>
      </c>
      <c r="J461" s="52" t="str">
        <f>IFERROR(VLOOKUP($A461,'The List'!$B1:$AS730,36,FALSE)," ")</f>
        <v xml:space="preserve"> </v>
      </c>
      <c r="K461" s="52" t="str">
        <f>IFERROR(VLOOKUP($A461,'The List'!$B1:$AS730,37,FALSE)," ")</f>
        <v xml:space="preserve"> </v>
      </c>
      <c r="L461" s="52" t="str">
        <f>IFERROR(VLOOKUP($A461,'The List'!$B1:$AS730,38,FALSE)," ")</f>
        <v xml:space="preserve"> </v>
      </c>
      <c r="M461" s="52" t="str">
        <f>IFERROR(VLOOKUP($A461,'The List'!$B1:$AS730,39,FALSE)," ")</f>
        <v xml:space="preserve"> </v>
      </c>
      <c r="N461" s="52" t="str">
        <f>IFERROR(VLOOKUP($A461,'The List'!$B1:$AS730,40,FALSE)," ")</f>
        <v xml:space="preserve"> </v>
      </c>
      <c r="O461" s="52" t="str">
        <f>IFERROR(VLOOKUP($A461,'The List'!$B1:$AS730,41,FALSE)," ")</f>
        <v xml:space="preserve"> </v>
      </c>
      <c r="P461" s="52" t="str">
        <f>IFERROR(VLOOKUP($A461,'The List'!$B1:$AS730,42,FALSE)," ")</f>
        <v xml:space="preserve"> </v>
      </c>
      <c r="Q461" s="52" t="str">
        <f>IFERROR(VLOOKUP($A461,'The List'!$B1:$AS730,43,FALSE)," ")</f>
        <v xml:space="preserve"> </v>
      </c>
      <c r="R461" s="54"/>
      <c r="S461" s="54"/>
      <c r="T461" s="54"/>
      <c r="U461" s="223"/>
      <c r="V461" s="223"/>
      <c r="W461" s="223"/>
      <c r="X461" s="223"/>
      <c r="Y461" s="223"/>
      <c r="Z461" s="223"/>
      <c r="AA461" s="54"/>
      <c r="AB461" s="54"/>
      <c r="AC461" s="54"/>
      <c r="AD461" s="54"/>
      <c r="AE461" s="54"/>
      <c r="AF461" s="54"/>
    </row>
    <row r="462" spans="1:32" ht="21.2" customHeight="1">
      <c r="A462" s="71"/>
      <c r="B462" s="112" t="str">
        <f>IFERROR(VLOOKUP($A462,'The List'!$B1:$AS730,3,FALSE)," ")</f>
        <v xml:space="preserve"> </v>
      </c>
      <c r="C462" s="113" t="str">
        <f>IFERROR(VLOOKUP($A462,'The List'!$B1:$AS730,4,FALSE)," ")</f>
        <v xml:space="preserve"> </v>
      </c>
      <c r="D462" s="74" t="str">
        <f>IFERROR(VLOOKUP($A462,'The List'!$B1:$AS730,5,FALSE)," ")</f>
        <v xml:space="preserve"> </v>
      </c>
      <c r="E462" s="74" t="str">
        <f>IFERROR(VLOOKUP($A462,'The List'!$B1:$AS730,6,FALSE)," ")</f>
        <v xml:space="preserve"> </v>
      </c>
      <c r="F462" s="75" t="str">
        <f>IFERROR(VLOOKUP($A462,'The List'!$B1:$AS730,8,FALSE)," ")</f>
        <v xml:space="preserve"> </v>
      </c>
      <c r="G462" s="75" t="str">
        <f>IFERROR(VLOOKUP($A462,'The List'!$B1:$AS730,10,FALSE)," ")</f>
        <v xml:space="preserve"> </v>
      </c>
      <c r="H462" s="76"/>
      <c r="I462" s="77" t="str">
        <f>IFERROR(VLOOKUP($A462,'The List'!$B1:$AS730,35,FALSE)," ")</f>
        <v xml:space="preserve"> </v>
      </c>
      <c r="J462" s="77" t="str">
        <f>IFERROR(VLOOKUP($A462,'The List'!$B1:$AS730,36,FALSE)," ")</f>
        <v xml:space="preserve"> </v>
      </c>
      <c r="K462" s="77" t="str">
        <f>IFERROR(VLOOKUP($A462,'The List'!$B1:$AS730,37,FALSE)," ")</f>
        <v xml:space="preserve"> </v>
      </c>
      <c r="L462" s="77" t="str">
        <f>IFERROR(VLOOKUP($A462,'The List'!$B1:$AS730,38,FALSE)," ")</f>
        <v xml:space="preserve"> </v>
      </c>
      <c r="M462" s="77" t="str">
        <f>IFERROR(VLOOKUP($A462,'The List'!$B1:$AS730,39,FALSE)," ")</f>
        <v xml:space="preserve"> </v>
      </c>
      <c r="N462" s="77" t="str">
        <f>IFERROR(VLOOKUP($A462,'The List'!$B1:$AS730,40,FALSE)," ")</f>
        <v xml:space="preserve"> </v>
      </c>
      <c r="O462" s="77" t="str">
        <f>IFERROR(VLOOKUP($A462,'The List'!$B1:$AS730,41,FALSE)," ")</f>
        <v xml:space="preserve"> </v>
      </c>
      <c r="P462" s="77" t="str">
        <f>IFERROR(VLOOKUP($A462,'The List'!$B1:$AS730,42,FALSE)," ")</f>
        <v xml:space="preserve"> </v>
      </c>
      <c r="Q462" s="77" t="str">
        <f>IFERROR(VLOOKUP($A462,'The List'!$B1:$AS730,43,FALSE)," ")</f>
        <v xml:space="preserve"> </v>
      </c>
      <c r="R462" s="54"/>
      <c r="S462" s="54"/>
      <c r="T462" s="54"/>
      <c r="U462" s="223"/>
      <c r="V462" s="223"/>
      <c r="W462" s="223"/>
      <c r="X462" s="223"/>
      <c r="Y462" s="223"/>
      <c r="Z462" s="223"/>
      <c r="AA462" s="54"/>
      <c r="AB462" s="54"/>
      <c r="AC462" s="54"/>
      <c r="AD462" s="54"/>
      <c r="AE462" s="54"/>
      <c r="AF462" s="54"/>
    </row>
    <row r="463" spans="1:32" ht="21.2" customHeight="1">
      <c r="A463" s="78"/>
      <c r="B463" s="79"/>
      <c r="C463" s="80"/>
      <c r="D463" s="81"/>
      <c r="E463" s="116" t="str">
        <f>IFERROR(AVERAGE(E460:E462)," ")</f>
        <v xml:space="preserve"> </v>
      </c>
      <c r="F463" s="83">
        <f>SUM(F460:F462)</f>
        <v>0</v>
      </c>
      <c r="G463" s="83">
        <f>SUM(G460:G462)</f>
        <v>0</v>
      </c>
      <c r="H463" s="84"/>
      <c r="I463" s="85">
        <f t="shared" ref="I463:O463" si="31">SUM(I460:I462)</f>
        <v>0</v>
      </c>
      <c r="J463" s="84">
        <f t="shared" si="31"/>
        <v>0</v>
      </c>
      <c r="K463" s="85">
        <f t="shared" si="31"/>
        <v>0</v>
      </c>
      <c r="L463" s="85">
        <f t="shared" si="31"/>
        <v>0</v>
      </c>
      <c r="M463" s="85">
        <f t="shared" si="31"/>
        <v>0</v>
      </c>
      <c r="N463" s="85">
        <f t="shared" si="31"/>
        <v>0</v>
      </c>
      <c r="O463" s="85">
        <f t="shared" si="31"/>
        <v>0</v>
      </c>
      <c r="P463" s="114" t="e">
        <f>1-(O463/(N463+O463))</f>
        <v>#DIV/0!</v>
      </c>
      <c r="Q463" s="115" t="e">
        <f>O463/I463</f>
        <v>#DIV/0!</v>
      </c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</row>
    <row r="464" spans="1:32" ht="21.2" customHeight="1">
      <c r="A464" s="88"/>
      <c r="B464" s="89"/>
      <c r="C464" s="90"/>
      <c r="D464" s="11"/>
      <c r="E464" s="11"/>
      <c r="F464" s="91"/>
      <c r="G464" s="92"/>
      <c r="H464" s="93"/>
      <c r="I464" s="9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9"/>
      <c r="AB464" s="59"/>
      <c r="AC464" s="59"/>
      <c r="AD464" s="59"/>
      <c r="AE464" s="59"/>
      <c r="AF464" s="59"/>
    </row>
  </sheetData>
  <mergeCells count="96">
    <mergeCell ref="B1:C1"/>
    <mergeCell ref="B24:C24"/>
    <mergeCell ref="U24:W24"/>
    <mergeCell ref="U25:W27"/>
    <mergeCell ref="X24:Z24"/>
    <mergeCell ref="X25:Z27"/>
    <mergeCell ref="B30:C30"/>
    <mergeCell ref="B59:C59"/>
    <mergeCell ref="B88:C88"/>
    <mergeCell ref="B117:C117"/>
    <mergeCell ref="B146:C146"/>
    <mergeCell ref="B53:C53"/>
    <mergeCell ref="U53:W53"/>
    <mergeCell ref="U54:W56"/>
    <mergeCell ref="X53:Z53"/>
    <mergeCell ref="X54:Z56"/>
    <mergeCell ref="B82:C82"/>
    <mergeCell ref="U82:W82"/>
    <mergeCell ref="U83:W85"/>
    <mergeCell ref="X82:Z82"/>
    <mergeCell ref="X83:Z85"/>
    <mergeCell ref="B111:C111"/>
    <mergeCell ref="U111:W111"/>
    <mergeCell ref="U112:W114"/>
    <mergeCell ref="X111:Z111"/>
    <mergeCell ref="X112:Z114"/>
    <mergeCell ref="B140:C140"/>
    <mergeCell ref="U140:W140"/>
    <mergeCell ref="U141:W143"/>
    <mergeCell ref="X140:Z140"/>
    <mergeCell ref="X141:Z143"/>
    <mergeCell ref="B169:C169"/>
    <mergeCell ref="U169:W169"/>
    <mergeCell ref="U170:W172"/>
    <mergeCell ref="X169:Z169"/>
    <mergeCell ref="X170:Z172"/>
    <mergeCell ref="B198:C198"/>
    <mergeCell ref="U198:W198"/>
    <mergeCell ref="B175:C175"/>
    <mergeCell ref="U199:W201"/>
    <mergeCell ref="X198:Z198"/>
    <mergeCell ref="X199:Z201"/>
    <mergeCell ref="B227:C227"/>
    <mergeCell ref="U227:W227"/>
    <mergeCell ref="B204:C204"/>
    <mergeCell ref="U228:W230"/>
    <mergeCell ref="X227:Z227"/>
    <mergeCell ref="X228:Z230"/>
    <mergeCell ref="B256:C256"/>
    <mergeCell ref="U256:W256"/>
    <mergeCell ref="B233:C233"/>
    <mergeCell ref="U257:W259"/>
    <mergeCell ref="X256:Z256"/>
    <mergeCell ref="X257:Z259"/>
    <mergeCell ref="B285:C285"/>
    <mergeCell ref="U285:W285"/>
    <mergeCell ref="B262:C262"/>
    <mergeCell ref="U286:W288"/>
    <mergeCell ref="X285:Z285"/>
    <mergeCell ref="X286:Z288"/>
    <mergeCell ref="B314:C314"/>
    <mergeCell ref="U314:W314"/>
    <mergeCell ref="B291:C291"/>
    <mergeCell ref="U315:W317"/>
    <mergeCell ref="X314:Z314"/>
    <mergeCell ref="X315:Z317"/>
    <mergeCell ref="B343:C343"/>
    <mergeCell ref="U343:W343"/>
    <mergeCell ref="B320:C320"/>
    <mergeCell ref="U344:W346"/>
    <mergeCell ref="X343:Z343"/>
    <mergeCell ref="X344:Z346"/>
    <mergeCell ref="B372:C372"/>
    <mergeCell ref="U372:W372"/>
    <mergeCell ref="B349:C349"/>
    <mergeCell ref="U373:W375"/>
    <mergeCell ref="X372:Z372"/>
    <mergeCell ref="X373:Z375"/>
    <mergeCell ref="B401:C401"/>
    <mergeCell ref="U401:W401"/>
    <mergeCell ref="B378:C378"/>
    <mergeCell ref="B459:C459"/>
    <mergeCell ref="U459:W459"/>
    <mergeCell ref="U402:W404"/>
    <mergeCell ref="X401:Z401"/>
    <mergeCell ref="X402:Z404"/>
    <mergeCell ref="B430:C430"/>
    <mergeCell ref="U430:W430"/>
    <mergeCell ref="B407:C407"/>
    <mergeCell ref="B436:C436"/>
    <mergeCell ref="U460:W462"/>
    <mergeCell ref="X459:Z459"/>
    <mergeCell ref="X460:Z462"/>
    <mergeCell ref="U431:W433"/>
    <mergeCell ref="X430:Z430"/>
    <mergeCell ref="X431:Z433"/>
  </mergeCells>
  <conditionalFormatting sqref="C2:C23 C25:C29 C31:C52 C54:C58 C60:C81 C83:C87 C89:C110 C112:C116 C118:C139 C141:C145 C147:C168 C170:C174 C176:C197 C199:C203 C205:C226 C228:C232 C234:C255 C257:C261 C263:C284 C286:C290 C292:C313 C315:C319 C321:C342 C344:C348 C350:C371 C373:C377 C379:C400 C402:C406 C408:C429 C431:C435 C437:C458 C460:C464">
    <cfRule type="containsText" dxfId="41" priority="1" stopIfTrue="1" operator="containsText" text="/">
      <formula>NOT(ISERROR(FIND(UPPER("/"),UPPER(C2))))</formula>
      <formula>"/"</formula>
    </cfRule>
    <cfRule type="containsText" dxfId="40" priority="2" stopIfTrue="1" operator="containsText" text="C">
      <formula>NOT(ISERROR(FIND(UPPER("C"),UPPER(C2))))</formula>
      <formula>"C"</formula>
    </cfRule>
    <cfRule type="containsText" dxfId="39" priority="3" stopIfTrue="1" operator="containsText" text="D">
      <formula>NOT(ISERROR(FIND(UPPER("D"),UPPER(C2))))</formula>
      <formula>"D"</formula>
    </cfRule>
    <cfRule type="containsText" dxfId="38" priority="4" stopIfTrue="1" operator="containsText" text="LW">
      <formula>NOT(ISERROR(FIND(UPPER("LW"),UPPER(C2))))</formula>
      <formula>"LW"</formula>
    </cfRule>
    <cfRule type="containsText" dxfId="37" priority="5" stopIfTrue="1" operator="containsText" text="RW">
      <formula>NOT(ISERROR(FIND(UPPER("RW"),UPPER(C2))))</formula>
      <formula>"RW"</formula>
    </cfRule>
    <cfRule type="containsText" dxfId="36" priority="6" stopIfTrue="1" operator="containsText" text="G">
      <formula>NOT(ISERROR(FIND(UPPER("G"),UPPER(C2))))</formula>
      <formula>"G"</formula>
    </cfRule>
  </conditionalFormatting>
  <pageMargins left="1" right="1" top="1" bottom="1" header="0.25" footer="0.25"/>
  <pageSetup orientation="portrait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DC2CD-7E94-45A5-A402-60723D0306D1}">
  <dimension ref="B2:S16"/>
  <sheetViews>
    <sheetView tabSelected="1" zoomScale="160" zoomScaleNormal="160" workbookViewId="0">
      <selection activeCell="F17" sqref="F17"/>
    </sheetView>
  </sheetViews>
  <sheetFormatPr defaultColWidth="9.140625" defaultRowHeight="12.75"/>
  <cols>
    <col min="1" max="1" width="9.140625" style="166"/>
    <col min="2" max="2" width="9.140625" style="166" customWidth="1"/>
    <col min="3" max="3" width="11.28515625" style="166" customWidth="1"/>
    <col min="4" max="16384" width="9.140625" style="166"/>
  </cols>
  <sheetData>
    <row r="2" spans="2:19">
      <c r="D2" s="233" t="s">
        <v>896</v>
      </c>
      <c r="E2" s="234"/>
      <c r="F2" s="234"/>
      <c r="G2" s="234"/>
      <c r="H2" s="234"/>
      <c r="I2" s="234"/>
      <c r="J2" s="234"/>
      <c r="K2" s="234"/>
      <c r="L2" s="234"/>
      <c r="N2" s="235" t="s">
        <v>897</v>
      </c>
      <c r="O2" s="235"/>
      <c r="P2" s="235"/>
      <c r="Q2" s="235"/>
    </row>
    <row r="3" spans="2:19" ht="15">
      <c r="B3" s="167" t="s">
        <v>67</v>
      </c>
      <c r="C3" s="168"/>
      <c r="D3" s="169" t="s">
        <v>79</v>
      </c>
      <c r="E3" s="169" t="s">
        <v>80</v>
      </c>
      <c r="F3" s="169" t="s">
        <v>81</v>
      </c>
      <c r="G3" s="169" t="s">
        <v>82</v>
      </c>
      <c r="H3" s="169" t="s">
        <v>84</v>
      </c>
      <c r="I3" s="169" t="s">
        <v>898</v>
      </c>
      <c r="J3" s="169" t="s">
        <v>899</v>
      </c>
      <c r="K3" s="170" t="s">
        <v>900</v>
      </c>
      <c r="L3" s="171" t="s">
        <v>92</v>
      </c>
      <c r="M3" s="170"/>
      <c r="N3" s="169" t="s">
        <v>95</v>
      </c>
      <c r="O3" s="169" t="s">
        <v>102</v>
      </c>
      <c r="P3" s="169" t="s">
        <v>101</v>
      </c>
      <c r="Q3" s="169" t="s">
        <v>99</v>
      </c>
      <c r="S3" s="170"/>
    </row>
    <row r="4" spans="2:19" ht="15">
      <c r="B4" s="172" t="s">
        <v>918</v>
      </c>
      <c r="C4" s="173"/>
      <c r="D4" s="174">
        <f>'Team Comparison'!K22</f>
        <v>54.505642928069591</v>
      </c>
      <c r="E4" s="174">
        <f>'Team Comparison'!L22</f>
        <v>87.49715841053613</v>
      </c>
      <c r="F4" s="174">
        <f>'Team Comparison'!M22</f>
        <v>142.00280133860571</v>
      </c>
      <c r="G4" s="174">
        <f>'Team Comparison'!N22</f>
        <v>334.38161399802379</v>
      </c>
      <c r="H4" s="174">
        <f>'Team Comparison'!P22</f>
        <v>59.243254422710805</v>
      </c>
      <c r="I4" s="174">
        <f>'Team Comparison'!V22</f>
        <v>36.216017924291862</v>
      </c>
      <c r="J4" s="174">
        <f>'Team Comparison'!T22</f>
        <v>83.075500854608379</v>
      </c>
      <c r="K4" s="174">
        <f>'Team Comparison'!S22</f>
        <v>36.833005957746629</v>
      </c>
      <c r="L4" s="174">
        <f>'Team Comparison'!X22</f>
        <v>526.80581738492037</v>
      </c>
      <c r="N4" s="175">
        <f>'Team Comparison'!J28</f>
        <v>0</v>
      </c>
      <c r="O4" s="175" t="e">
        <f>'Team Comparison'!Q28</f>
        <v>#DIV/0!</v>
      </c>
      <c r="P4" s="176" t="e">
        <f>'Team Comparison'!P28</f>
        <v>#DIV/0!</v>
      </c>
      <c r="Q4" s="177">
        <f>'Team Comparison'!N28</f>
        <v>0</v>
      </c>
    </row>
    <row r="5" spans="2:19" ht="15">
      <c r="B5" s="172" t="s">
        <v>901</v>
      </c>
      <c r="C5" s="173"/>
      <c r="D5" s="174">
        <f>'Team Comparison'!K51</f>
        <v>51.981084731157395</v>
      </c>
      <c r="E5" s="174">
        <f>'Team Comparison'!L51</f>
        <v>69.378428896977795</v>
      </c>
      <c r="F5" s="174">
        <f>'Team Comparison'!M51</f>
        <v>121.35951362813519</v>
      </c>
      <c r="G5" s="174">
        <f>'Team Comparison'!N51</f>
        <v>257.49083886271075</v>
      </c>
      <c r="H5" s="174">
        <f>'Team Comparison'!P51</f>
        <v>52.992491695157177</v>
      </c>
      <c r="I5" s="174">
        <f>'Team Comparison'!V51</f>
        <v>32.878843682531915</v>
      </c>
      <c r="J5" s="174">
        <f>'Team Comparison'!T51</f>
        <v>62.091642125414133</v>
      </c>
      <c r="K5" s="174">
        <f>'Team Comparison'!S51</f>
        <v>35.531567872484771</v>
      </c>
      <c r="L5" s="174">
        <v>1723</v>
      </c>
      <c r="N5" s="175">
        <f>'Team Comparison'!J57</f>
        <v>0</v>
      </c>
      <c r="O5" s="175" t="e">
        <f>'Team Comparison'!Q57</f>
        <v>#DIV/0!</v>
      </c>
      <c r="P5" s="176" t="e">
        <f>'Team Comparison'!P57</f>
        <v>#DIV/0!</v>
      </c>
      <c r="Q5" s="177">
        <f>'Team Comparison'!N57</f>
        <v>0</v>
      </c>
    </row>
    <row r="6" spans="2:19" ht="15">
      <c r="B6" s="172" t="s">
        <v>902</v>
      </c>
      <c r="C6" s="173"/>
      <c r="D6" s="174">
        <f>'Team Comparison'!K80</f>
        <v>315.41354590036423</v>
      </c>
      <c r="E6" s="174">
        <f>'Team Comparison'!L80</f>
        <v>554.23250657309825</v>
      </c>
      <c r="F6" s="174">
        <f>'Team Comparison'!M80</f>
        <v>869.64605247346242</v>
      </c>
      <c r="G6" s="174">
        <f>'Team Comparison'!N80</f>
        <v>2672.8879186274348</v>
      </c>
      <c r="H6" s="174">
        <f>'Team Comparison'!P80</f>
        <v>253.32159049930402</v>
      </c>
      <c r="I6" s="174">
        <f>'Team Comparison'!V80</f>
        <v>460.23255655564878</v>
      </c>
      <c r="J6" s="174">
        <f>'Team Comparison'!T80</f>
        <v>1388.9315624914086</v>
      </c>
      <c r="K6" s="174">
        <f>'Team Comparison'!S80</f>
        <v>1001.2974792072208</v>
      </c>
      <c r="L6" s="174">
        <f>'Team Comparison'!X80</f>
        <v>2989.7821886100983</v>
      </c>
      <c r="N6" s="175">
        <f>'Team Comparison'!J86</f>
        <v>63.250480520048882</v>
      </c>
      <c r="O6" s="175">
        <f>'Team Comparison'!Q86</f>
        <v>2.6280461615090771</v>
      </c>
      <c r="P6" s="176">
        <f>'Team Comparison'!P86</f>
        <v>0.91437321585294973</v>
      </c>
      <c r="Q6" s="177">
        <f>'Team Comparison'!N86</f>
        <v>3143.1483143173218</v>
      </c>
    </row>
    <row r="7" spans="2:19" ht="15">
      <c r="B7" s="172" t="s">
        <v>903</v>
      </c>
      <c r="C7" s="173"/>
      <c r="D7" s="174">
        <f>'Team Comparison'!K109</f>
        <v>364.9819927915272</v>
      </c>
      <c r="E7" s="174">
        <f>'Team Comparison'!L109</f>
        <v>577.93356167941738</v>
      </c>
      <c r="F7" s="174">
        <f>'Team Comparison'!M109</f>
        <v>942.91555447094447</v>
      </c>
      <c r="G7" s="174">
        <f>'Team Comparison'!N109</f>
        <v>3063.0296974935382</v>
      </c>
      <c r="H7" s="174">
        <f>'Team Comparison'!P109</f>
        <v>284.74243318103589</v>
      </c>
      <c r="I7" s="174">
        <f>'Team Comparison'!V109</f>
        <v>438.92608841283595</v>
      </c>
      <c r="J7" s="174">
        <f>'Team Comparison'!T109</f>
        <v>964.34497842536257</v>
      </c>
      <c r="K7" s="174">
        <f>'Team Comparison'!S109</f>
        <v>909.30915100274262</v>
      </c>
      <c r="L7" s="174">
        <f>'Team Comparison'!X109</f>
        <v>1858.0130494535615</v>
      </c>
      <c r="N7" s="175">
        <f>'Team Comparison'!J115</f>
        <v>63.820475724960019</v>
      </c>
      <c r="O7" s="175">
        <f>'Team Comparison'!Q115</f>
        <v>2.6961655388135592</v>
      </c>
      <c r="P7" s="176">
        <f>'Team Comparison'!P115</f>
        <v>0.91189661936649247</v>
      </c>
      <c r="Q7" s="177">
        <f>'Team Comparison'!N115</f>
        <v>3181.2986216377512</v>
      </c>
    </row>
    <row r="8" spans="2:19" s="178" customFormat="1" ht="15">
      <c r="B8" s="172" t="s">
        <v>904</v>
      </c>
      <c r="C8" s="173"/>
      <c r="D8" s="174">
        <f>'Team Comparison'!K138</f>
        <v>385.35811143194047</v>
      </c>
      <c r="E8" s="174">
        <f>'Team Comparison'!L138</f>
        <v>634.21924804070602</v>
      </c>
      <c r="F8" s="174">
        <f>'Team Comparison'!M138</f>
        <v>1019.5773594726465</v>
      </c>
      <c r="G8" s="174">
        <f>'Team Comparison'!N138</f>
        <v>3064.0260891066305</v>
      </c>
      <c r="H8" s="174">
        <f>'Team Comparison'!P138</f>
        <v>298.19355366094078</v>
      </c>
      <c r="I8" s="174">
        <f>'Team Comparison'!V138</f>
        <v>549.03585537318588</v>
      </c>
      <c r="J8" s="174">
        <f>'Team Comparison'!T138</f>
        <v>1152.9435012926538</v>
      </c>
      <c r="K8" s="174">
        <f>'Team Comparison'!S138</f>
        <v>869.17884279128145</v>
      </c>
      <c r="L8" s="174">
        <f>'Team Comparison'!X138</f>
        <v>3468.7586451636912</v>
      </c>
      <c r="N8" s="175">
        <f>'Team Comparison'!J144</f>
        <v>60.192033193125056</v>
      </c>
      <c r="O8" s="175">
        <f>'Team Comparison'!Q144</f>
        <v>2.6752017092652149</v>
      </c>
      <c r="P8" s="176">
        <f>'Team Comparison'!P144</f>
        <v>0.91136059860098217</v>
      </c>
      <c r="Q8" s="177">
        <f>'Team Comparison'!N144</f>
        <v>3025.6079485183286</v>
      </c>
    </row>
    <row r="9" spans="2:19" s="178" customFormat="1" ht="15">
      <c r="B9" s="172" t="s">
        <v>905</v>
      </c>
      <c r="C9" s="173"/>
      <c r="D9" s="174">
        <f>'Team Comparison'!K167</f>
        <v>376.27186457822461</v>
      </c>
      <c r="E9" s="174">
        <f>'Team Comparison'!L167</f>
        <v>555.84947402256137</v>
      </c>
      <c r="F9" s="174">
        <f>'Team Comparison'!M167</f>
        <v>932.12133860078586</v>
      </c>
      <c r="G9" s="174">
        <f>'Team Comparison'!N167</f>
        <v>3294.6607256794109</v>
      </c>
      <c r="H9" s="174">
        <f>'Team Comparison'!P167</f>
        <v>312.11837866675506</v>
      </c>
      <c r="I9" s="174">
        <f>'Team Comparison'!V167</f>
        <v>519.90970565455927</v>
      </c>
      <c r="J9" s="174">
        <f>'Team Comparison'!T167</f>
        <v>1300.8607953046539</v>
      </c>
      <c r="K9" s="174">
        <f>'Team Comparison'!S167</f>
        <v>799.51555531885799</v>
      </c>
      <c r="L9" s="174">
        <f>'Team Comparison'!X167</f>
        <v>2357.8925874867964</v>
      </c>
      <c r="N9" s="175">
        <f>'Team Comparison'!J173</f>
        <v>55.746051941923575</v>
      </c>
      <c r="O9" s="175">
        <f>'Team Comparison'!Q173</f>
        <v>2.6400126011100737</v>
      </c>
      <c r="P9" s="176">
        <f>'Team Comparison'!P173</f>
        <v>0.91465755191493026</v>
      </c>
      <c r="Q9" s="177">
        <f>'Team Comparison'!N173</f>
        <v>2603.07843937287</v>
      </c>
    </row>
    <row r="10" spans="2:19" s="178" customFormat="1" ht="15">
      <c r="B10" s="172" t="s">
        <v>906</v>
      </c>
      <c r="C10" s="173"/>
      <c r="D10" s="174">
        <f>'Team Comparison'!K196</f>
        <v>361.9716051242641</v>
      </c>
      <c r="E10" s="174">
        <f>'Team Comparison'!L196</f>
        <v>517.7578324644968</v>
      </c>
      <c r="F10" s="174">
        <f>'Team Comparison'!M196</f>
        <v>879.7294375887609</v>
      </c>
      <c r="G10" s="174">
        <f>'Team Comparison'!N196</f>
        <v>2916.4125883447336</v>
      </c>
      <c r="H10" s="174">
        <f>'Team Comparison'!P196</f>
        <v>254.33584435285704</v>
      </c>
      <c r="I10" s="174">
        <f>'Team Comparison'!V196</f>
        <v>524.4316448737743</v>
      </c>
      <c r="J10" s="174">
        <f>'Team Comparison'!T196</f>
        <v>1388.0844040865868</v>
      </c>
      <c r="K10" s="174">
        <f>'Team Comparison'!S196</f>
        <v>1043.1317202378918</v>
      </c>
      <c r="L10" s="174">
        <f>'Team Comparison'!X196</f>
        <v>2746.5445135685559</v>
      </c>
      <c r="N10" s="175">
        <f>'Team Comparison'!J202</f>
        <v>59.964144231338175</v>
      </c>
      <c r="O10" s="175">
        <f>'Team Comparison'!Q202</f>
        <v>2.5764256534904892</v>
      </c>
      <c r="P10" s="176">
        <f>'Team Comparison'!P202</f>
        <v>0.91774058714294393</v>
      </c>
      <c r="Q10" s="177">
        <f>'Team Comparison'!N202</f>
        <v>3219.3631671090693</v>
      </c>
    </row>
    <row r="11" spans="2:19" s="178" customFormat="1" ht="15">
      <c r="B11" s="172" t="s">
        <v>907</v>
      </c>
      <c r="C11" s="173"/>
      <c r="D11" s="174">
        <f>'Team Comparison'!K225</f>
        <v>332.94981974776908</v>
      </c>
      <c r="E11" s="174">
        <f>'Team Comparison'!L225</f>
        <v>639.03696221860582</v>
      </c>
      <c r="F11" s="174">
        <f>'Team Comparison'!M225</f>
        <v>971.98678196637479</v>
      </c>
      <c r="G11" s="174">
        <f>'Team Comparison'!N225</f>
        <v>3010.5992129290503</v>
      </c>
      <c r="H11" s="174">
        <f>'Team Comparison'!P225</f>
        <v>312.70958450439434</v>
      </c>
      <c r="I11" s="174">
        <f>'Team Comparison'!V225</f>
        <v>575.35613893579193</v>
      </c>
      <c r="J11" s="174">
        <f>'Team Comparison'!T225</f>
        <v>1291.6673541584105</v>
      </c>
      <c r="K11" s="174">
        <f>'Team Comparison'!S225</f>
        <v>939.21598947728705</v>
      </c>
      <c r="L11" s="174">
        <f>'Team Comparison'!X225</f>
        <v>3112.7481523470328</v>
      </c>
      <c r="N11" s="175">
        <f>'Team Comparison'!J231</f>
        <v>49.89457578973672</v>
      </c>
      <c r="O11" s="175">
        <f>'Team Comparison'!Q231</f>
        <v>2.7357484694967291</v>
      </c>
      <c r="P11" s="176">
        <f>'Team Comparison'!P231</f>
        <v>0.91233108231159743</v>
      </c>
      <c r="Q11" s="177">
        <f>'Team Comparison'!N231</f>
        <v>2391.4553520811583</v>
      </c>
    </row>
    <row r="12" spans="2:19" s="178" customFormat="1" ht="15">
      <c r="B12" s="172" t="s">
        <v>908</v>
      </c>
      <c r="C12" s="173"/>
      <c r="D12" s="174">
        <f>'Team Comparison'!K254</f>
        <v>343.81193733556017</v>
      </c>
      <c r="E12" s="174">
        <f>'Team Comparison'!L254</f>
        <v>564.00025867192107</v>
      </c>
      <c r="F12" s="174">
        <f>'Team Comparison'!M254</f>
        <v>907.81219600748113</v>
      </c>
      <c r="G12" s="174">
        <f>'Team Comparison'!N254</f>
        <v>2953.6426039045323</v>
      </c>
      <c r="H12" s="174">
        <f>'Team Comparison'!P254</f>
        <v>292.32269675810295</v>
      </c>
      <c r="I12" s="174">
        <f>'Team Comparison'!V254</f>
        <v>534.5398684820583</v>
      </c>
      <c r="J12" s="174">
        <f>'Team Comparison'!T254</f>
        <v>1410.0845281133033</v>
      </c>
      <c r="K12" s="174">
        <f>'Team Comparison'!S254</f>
        <v>908.94875530817149</v>
      </c>
      <c r="L12" s="174">
        <f>'Team Comparison'!X254</f>
        <v>4186.5525232396667</v>
      </c>
      <c r="N12" s="175">
        <f>'Team Comparison'!J260</f>
        <v>46.53688424019316</v>
      </c>
      <c r="O12" s="175">
        <f>'Team Comparison'!Q260</f>
        <v>2.7480408389381994</v>
      </c>
      <c r="P12" s="176">
        <f>'Team Comparison'!P260</f>
        <v>0.91325891531513792</v>
      </c>
      <c r="Q12" s="177">
        <f>'Team Comparison'!N260</f>
        <v>2719.6944062119637</v>
      </c>
    </row>
    <row r="13" spans="2:19" s="178" customFormat="1" ht="15">
      <c r="B13" s="172" t="s">
        <v>909</v>
      </c>
      <c r="C13" s="173"/>
      <c r="D13" s="174">
        <f>'Team Comparison'!K283</f>
        <v>398.55430201833565</v>
      </c>
      <c r="E13" s="174">
        <f>'Team Comparison'!L283</f>
        <v>657.79543910027519</v>
      </c>
      <c r="F13" s="174">
        <f>'Team Comparison'!M283</f>
        <v>1056.3497411186106</v>
      </c>
      <c r="G13" s="174">
        <f>'Team Comparison'!N283</f>
        <v>3248.4642449293192</v>
      </c>
      <c r="H13" s="174">
        <f>'Team Comparison'!P283</f>
        <v>371.54596329908134</v>
      </c>
      <c r="I13" s="174">
        <f>'Team Comparison'!V283</f>
        <v>498.91092484157679</v>
      </c>
      <c r="J13" s="174">
        <f>'Team Comparison'!T283</f>
        <v>1022.2244329677529</v>
      </c>
      <c r="K13" s="174">
        <f>'Team Comparison'!S283</f>
        <v>809.85677509461186</v>
      </c>
      <c r="L13" s="174">
        <f>'Team Comparison'!X283</f>
        <v>2012.471116697167</v>
      </c>
      <c r="N13" s="175">
        <f>'Team Comparison'!J289</f>
        <v>41.957260480108737</v>
      </c>
      <c r="O13" s="175">
        <f>'Team Comparison'!Q289</f>
        <v>2.8260798282979787</v>
      </c>
      <c r="P13" s="176">
        <f>'Team Comparison'!P289</f>
        <v>0.90732315121564511</v>
      </c>
      <c r="Q13" s="177">
        <f>'Team Comparison'!N289</f>
        <v>2102.755373822853</v>
      </c>
    </row>
    <row r="14" spans="2:19" s="178" customFormat="1" ht="15">
      <c r="B14" s="172" t="s">
        <v>910</v>
      </c>
      <c r="C14" s="173"/>
      <c r="D14" s="174">
        <f>'Team Comparison'!K312</f>
        <v>360.18977443891134</v>
      </c>
      <c r="E14" s="174">
        <f>'Team Comparison'!L312</f>
        <v>585.57350637077002</v>
      </c>
      <c r="F14" s="174">
        <f>'Team Comparison'!M312</f>
        <v>945.76328080968165</v>
      </c>
      <c r="G14" s="174">
        <f>'Team Comparison'!N312</f>
        <v>2976.3363395547876</v>
      </c>
      <c r="H14" s="174">
        <f>'Team Comparison'!P312</f>
        <v>288.38143931578975</v>
      </c>
      <c r="I14" s="174">
        <f>'Team Comparison'!V312</f>
        <v>520.85111201190489</v>
      </c>
      <c r="J14" s="174">
        <f>'Team Comparison'!T312</f>
        <v>1252.0272647332811</v>
      </c>
      <c r="K14" s="174">
        <f>'Team Comparison'!S312</f>
        <v>894.51730608691787</v>
      </c>
      <c r="L14" s="174">
        <f>'Team Comparison'!X312</f>
        <v>2289.6003285081874</v>
      </c>
      <c r="N14" s="175">
        <f>'Team Comparison'!J318</f>
        <v>62.170638440925536</v>
      </c>
      <c r="O14" s="175">
        <f>'Team Comparison'!Q318</f>
        <v>2.5495784605170297</v>
      </c>
      <c r="P14" s="176">
        <f>'Team Comparison'!P318</f>
        <v>0.91623601903885998</v>
      </c>
      <c r="Q14" s="177">
        <f>'Team Comparison'!N318</f>
        <v>2705.1426213563391</v>
      </c>
    </row>
    <row r="15" spans="2:19" ht="15">
      <c r="B15" s="172" t="s">
        <v>911</v>
      </c>
      <c r="C15" s="173"/>
      <c r="D15" s="174">
        <f>'Team Comparison'!K341</f>
        <v>383.57768278609319</v>
      </c>
      <c r="E15" s="174">
        <f>'Team Comparison'!L341</f>
        <v>590.62688722948985</v>
      </c>
      <c r="F15" s="174">
        <f>'Team Comparison'!M341</f>
        <v>974.20457001558316</v>
      </c>
      <c r="G15" s="174">
        <f>'Team Comparison'!N341</f>
        <v>3058.8736754133947</v>
      </c>
      <c r="H15" s="174">
        <f>'Team Comparison'!P341</f>
        <v>324.05249732137548</v>
      </c>
      <c r="I15" s="174">
        <f>'Team Comparison'!V341</f>
        <v>463.46509786756735</v>
      </c>
      <c r="J15" s="174">
        <f>'Team Comparison'!T341</f>
        <v>1131.0743391886317</v>
      </c>
      <c r="K15" s="174">
        <f>'Team Comparison'!S341</f>
        <v>843.18865172328958</v>
      </c>
      <c r="L15" s="174">
        <f>'Team Comparison'!X341</f>
        <v>3993.1797116721973</v>
      </c>
      <c r="N15" s="175">
        <f>'Team Comparison'!J347</f>
        <v>55.451498578329662</v>
      </c>
      <c r="O15" s="175">
        <f>'Team Comparison'!Q347</f>
        <v>2.6476115961419637</v>
      </c>
      <c r="P15" s="176">
        <f>'Team Comparison'!P347</f>
        <v>0.91379091047419536</v>
      </c>
      <c r="Q15" s="177">
        <f>'Team Comparison'!N347</f>
        <v>2974.7735764152894</v>
      </c>
    </row>
    <row r="16" spans="2:19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</row>
  </sheetData>
  <mergeCells count="2">
    <mergeCell ref="D2:L2"/>
    <mergeCell ref="N2:Q2"/>
  </mergeCells>
  <conditionalFormatting sqref="D4:D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E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:G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J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K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4:P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:Q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J431"/>
  <sheetViews>
    <sheetView showGridLines="0" workbookViewId="0">
      <pane ySplit="2" topLeftCell="A3" activePane="bottomLeft" state="frozen"/>
      <selection pane="bottomLeft"/>
    </sheetView>
  </sheetViews>
  <sheetFormatPr defaultColWidth="8" defaultRowHeight="16.350000000000001" customHeight="1"/>
  <cols>
    <col min="1" max="1" width="33" style="1" customWidth="1"/>
    <col min="2" max="2" width="7.140625" style="1" customWidth="1"/>
    <col min="3" max="3" width="6" style="1" customWidth="1"/>
    <col min="4" max="6" width="8.28515625" style="1" customWidth="1"/>
    <col min="7" max="10" width="1.28515625" style="1" customWidth="1"/>
    <col min="11" max="11" width="8" style="1" customWidth="1"/>
    <col min="12" max="16384" width="8" style="1"/>
  </cols>
  <sheetData>
    <row r="1" spans="1:10" ht="28.35" customHeight="1">
      <c r="A1" s="121" t="s">
        <v>841</v>
      </c>
      <c r="B1" s="122" t="s">
        <v>842</v>
      </c>
      <c r="C1" s="123"/>
      <c r="D1" s="4" t="s">
        <v>843</v>
      </c>
      <c r="E1" s="124" t="s">
        <v>844</v>
      </c>
      <c r="F1" s="122" t="s">
        <v>72</v>
      </c>
      <c r="G1" s="125"/>
      <c r="H1" s="126"/>
      <c r="I1" s="127" t="s">
        <v>845</v>
      </c>
      <c r="J1" s="128" t="s">
        <v>72</v>
      </c>
    </row>
    <row r="2" spans="1:10" ht="28.35" customHeight="1">
      <c r="A2" s="129" t="s">
        <v>40</v>
      </c>
      <c r="B2" s="130">
        <f>Settings!F2+Settings!F3+Settings!F4</f>
        <v>106</v>
      </c>
      <c r="C2" s="131"/>
      <c r="D2" s="132"/>
      <c r="E2" s="133"/>
      <c r="F2" s="133"/>
      <c r="G2" s="133"/>
      <c r="H2" s="134"/>
      <c r="I2" s="135"/>
      <c r="J2" s="135"/>
    </row>
    <row r="3" spans="1:10" ht="21.2" customHeight="1">
      <c r="A3" s="8" t="s">
        <v>103</v>
      </c>
      <c r="B3" s="136" t="str">
        <f>VLOOKUP(A3,'The List'!B1:D730,3,FALSE)</f>
        <v>C</v>
      </c>
      <c r="C3" s="137">
        <f>IF(Settings!$E$15="POINTS",RANK(E3,E3:E431),H3)</f>
        <v>1</v>
      </c>
      <c r="D3" s="34" t="str">
        <f>VLOOKUP(A3,'The List'!B1:F730,5,FALSE)</f>
        <v>EDM</v>
      </c>
      <c r="E3" s="38">
        <f>VLOOKUP(A3,'The List'!B1:I730,8,FALSE)</f>
        <v>21.26693059622556</v>
      </c>
      <c r="F3" s="38">
        <f>IF(Settings!$E$15="POINTS",E3-VLOOKUP(B$2,C1:E431,3,FALSE),J3)</f>
        <v>17.133103509093168</v>
      </c>
      <c r="G3" s="38"/>
      <c r="H3" s="138">
        <f>RANK(I3,I3:I431)</f>
        <v>1</v>
      </c>
      <c r="I3" s="139">
        <f>VLOOKUP(A3,'Standard Deviations'!A1:C731,3,FALSE)</f>
        <v>21.26693059622556</v>
      </c>
      <c r="J3" s="139">
        <f>I3-VLOOKUP(B$2,H1:J431,2,FALSE)</f>
        <v>17.133103509093168</v>
      </c>
    </row>
    <row r="4" spans="1:10" ht="21.2" customHeight="1">
      <c r="A4" s="8" t="s">
        <v>105</v>
      </c>
      <c r="B4" s="136" t="str">
        <f>VLOOKUP(A4,'The List'!B1:D730,3,FALSE)</f>
        <v>C,LW</v>
      </c>
      <c r="C4" s="137">
        <f>IF(Settings!$E$15="POINTS",RANK(E4,E3:E431),H4)</f>
        <v>3</v>
      </c>
      <c r="D4" s="34" t="str">
        <f>VLOOKUP(A4,'The List'!B1:F730,5,FALSE)</f>
        <v>EDM</v>
      </c>
      <c r="E4" s="38">
        <f>VLOOKUP(A4,'The List'!B1:I730,8,FALSE)</f>
        <v>16.883257255265598</v>
      </c>
      <c r="F4" s="38">
        <f>IF(Settings!$E$15="POINTS",E4-VLOOKUP(B$2,C1:E431,3,FALSE),J4)</f>
        <v>12.749430168133207</v>
      </c>
      <c r="G4" s="38"/>
      <c r="H4" s="138">
        <f>RANK(I4,I3:I431)</f>
        <v>3</v>
      </c>
      <c r="I4" s="139">
        <f>VLOOKUP(A4,'Standard Deviations'!A1:C731,3,FALSE)</f>
        <v>16.883257255265598</v>
      </c>
      <c r="J4" s="139">
        <f>I4-VLOOKUP(B$2,H1:J431,2,FALSE)</f>
        <v>12.749430168133207</v>
      </c>
    </row>
    <row r="5" spans="1:10" ht="21.2" customHeight="1">
      <c r="A5" s="8" t="s">
        <v>106</v>
      </c>
      <c r="B5" s="136" t="str">
        <f>VLOOKUP(A5,'The List'!B1:D730,3,FALSE)</f>
        <v>C</v>
      </c>
      <c r="C5" s="137">
        <f>IF(Settings!$E$15="POINTS",RANK(E5,E3:E431),H5)</f>
        <v>2</v>
      </c>
      <c r="D5" s="34" t="str">
        <f>VLOOKUP(A5,'The List'!B1:F730,5,FALSE)</f>
        <v>COL</v>
      </c>
      <c r="E5" s="38">
        <f>VLOOKUP(A5,'The List'!B1:I730,8,FALSE)</f>
        <v>17.302036611371435</v>
      </c>
      <c r="F5" s="38">
        <f>IF(Settings!$E$15="POINTS",E5-VLOOKUP(B$2,C1:E431,3,FALSE),J5)</f>
        <v>13.168209524239044</v>
      </c>
      <c r="G5" s="38"/>
      <c r="H5" s="138">
        <f>RANK(I5,I3:I431)</f>
        <v>2</v>
      </c>
      <c r="I5" s="139">
        <f>VLOOKUP(A5,'Standard Deviations'!A1:C731,3,FALSE)</f>
        <v>17.302036611371435</v>
      </c>
      <c r="J5" s="139">
        <f>I5-VLOOKUP(B$2,H1:J431,2,FALSE)</f>
        <v>13.168209524239044</v>
      </c>
    </row>
    <row r="6" spans="1:10" ht="21.2" customHeight="1">
      <c r="A6" s="8" t="s">
        <v>108</v>
      </c>
      <c r="B6" s="136" t="str">
        <f>VLOOKUP(A6,'The List'!B1:D730,3,FALSE)</f>
        <v>C</v>
      </c>
      <c r="C6" s="137">
        <f>IF(Settings!$E$15="POINTS",RANK(E6,E3:E431),H6)</f>
        <v>4</v>
      </c>
      <c r="D6" s="34" t="str">
        <f>VLOOKUP(A6,'The List'!B1:F730,5,FALSE)</f>
        <v>TOR</v>
      </c>
      <c r="E6" s="38">
        <f>VLOOKUP(A6,'The List'!B1:I730,8,FALSE)</f>
        <v>15.483290898810141</v>
      </c>
      <c r="F6" s="38">
        <f>IF(Settings!$E$15="POINTS",E6-VLOOKUP(B$2,C1:E431,3,FALSE),J6)</f>
        <v>11.349463811677751</v>
      </c>
      <c r="G6" s="38"/>
      <c r="H6" s="138">
        <f>RANK(I6,I3:I431)</f>
        <v>4</v>
      </c>
      <c r="I6" s="139">
        <f>VLOOKUP(A6,'Standard Deviations'!A1:C731,3,FALSE)</f>
        <v>15.483290898810141</v>
      </c>
      <c r="J6" s="139">
        <f>I6-VLOOKUP(B$2,H1:J431,2,FALSE)</f>
        <v>11.349463811677751</v>
      </c>
    </row>
    <row r="7" spans="1:10" ht="21.2" customHeight="1">
      <c r="A7" s="8" t="s">
        <v>107</v>
      </c>
      <c r="B7" s="136" t="str">
        <f>VLOOKUP(A7,'The List'!B1:D730,3,FALSE)</f>
        <v>LW,RW</v>
      </c>
      <c r="C7" s="137">
        <f>IF(Settings!$E$15="POINTS",RANK(E7,E3:E431),H7)</f>
        <v>8</v>
      </c>
      <c r="D7" s="34" t="str">
        <f>VLOOKUP(A7,'The List'!B1:F730,5,FALSE)</f>
        <v>FLA</v>
      </c>
      <c r="E7" s="38">
        <f>VLOOKUP(A7,'The List'!B1:I730,8,FALSE)</f>
        <v>14.152386882929994</v>
      </c>
      <c r="F7" s="38">
        <f>IF(Settings!$E$15="POINTS",E7-VLOOKUP(B$2,C1:E431,3,FALSE),J7)</f>
        <v>10.018559795797604</v>
      </c>
      <c r="G7" s="38"/>
      <c r="H7" s="138">
        <f>RANK(I7,I3:I431)</f>
        <v>8</v>
      </c>
      <c r="I7" s="139">
        <f>VLOOKUP(A7,'Standard Deviations'!A1:C731,3,FALSE)</f>
        <v>14.152386882929994</v>
      </c>
      <c r="J7" s="139">
        <f>I7-VLOOKUP(B$2,H1:J431,2,FALSE)</f>
        <v>10.018559795797604</v>
      </c>
    </row>
    <row r="8" spans="1:10" ht="21.2" customHeight="1">
      <c r="A8" s="8" t="s">
        <v>109</v>
      </c>
      <c r="B8" s="136" t="str">
        <f>VLOOKUP(A8,'The List'!B1:D730,3,FALSE)</f>
        <v>RW</v>
      </c>
      <c r="C8" s="137">
        <f>IF(Settings!$E$15="POINTS",RANK(E8,E3:E431),H8)</f>
        <v>6</v>
      </c>
      <c r="D8" s="34" t="str">
        <f>VLOOKUP(A8,'The List'!B1:F730,5,FALSE)</f>
        <v>BOS</v>
      </c>
      <c r="E8" s="38">
        <f>VLOOKUP(A8,'The List'!B1:I730,8,FALSE)</f>
        <v>14.307865123333888</v>
      </c>
      <c r="F8" s="38">
        <f>IF(Settings!$E$15="POINTS",E8-VLOOKUP(B$2,C1:E431,3,FALSE),J8)</f>
        <v>10.174038036201498</v>
      </c>
      <c r="G8" s="38"/>
      <c r="H8" s="138">
        <f>RANK(I8,I3:I431)</f>
        <v>6</v>
      </c>
      <c r="I8" s="139">
        <f>VLOOKUP(A8,'Standard Deviations'!A1:C731,3,FALSE)</f>
        <v>14.307865123333888</v>
      </c>
      <c r="J8" s="139">
        <f>I8-VLOOKUP(B$2,H1:J431,2,FALSE)</f>
        <v>10.174038036201498</v>
      </c>
    </row>
    <row r="9" spans="1:10" ht="21.2" customHeight="1">
      <c r="A9" s="8" t="s">
        <v>110</v>
      </c>
      <c r="B9" s="136" t="str">
        <f>VLOOKUP(A9,'The List'!B1:D730,3,FALSE)</f>
        <v>RW</v>
      </c>
      <c r="C9" s="137">
        <f>IF(Settings!$E$15="POINTS",RANK(E9,E3:E431),H9)</f>
        <v>5</v>
      </c>
      <c r="D9" s="34" t="str">
        <f>VLOOKUP(A9,'The List'!B1:F730,5,FALSE)</f>
        <v>TBL</v>
      </c>
      <c r="E9" s="38">
        <f>VLOOKUP(A9,'The List'!B1:I730,8,FALSE)</f>
        <v>14.394723954666029</v>
      </c>
      <c r="F9" s="38">
        <f>IF(Settings!$E$15="POINTS",E9-VLOOKUP(B$2,C1:E431,3,FALSE),J9)</f>
        <v>10.260896867533638</v>
      </c>
      <c r="G9" s="38"/>
      <c r="H9" s="138">
        <f>RANK(I9,I3:I431)</f>
        <v>5</v>
      </c>
      <c r="I9" s="139">
        <f>VLOOKUP(A9,'Standard Deviations'!A1:C731,3,FALSE)</f>
        <v>14.394723954666029</v>
      </c>
      <c r="J9" s="139">
        <f>I9-VLOOKUP(B$2,H1:J431,2,FALSE)</f>
        <v>10.260896867533638</v>
      </c>
    </row>
    <row r="10" spans="1:10" ht="21.2" customHeight="1">
      <c r="A10" s="8" t="s">
        <v>111</v>
      </c>
      <c r="B10" s="136" t="str">
        <f>VLOOKUP(A10,'The List'!B1:D730,3,FALSE)</f>
        <v>C,RW</v>
      </c>
      <c r="C10" s="137">
        <f>IF(Settings!$E$15="POINTS",RANK(E10,E3:E431),H10)</f>
        <v>9</v>
      </c>
      <c r="D10" s="34" t="str">
        <f>VLOOKUP(A10,'The List'!B1:F730,5,FALSE)</f>
        <v>COL</v>
      </c>
      <c r="E10" s="38">
        <f>VLOOKUP(A10,'The List'!B1:I730,8,FALSE)</f>
        <v>13.949350066699878</v>
      </c>
      <c r="F10" s="38">
        <f>IF(Settings!$E$15="POINTS",E10-VLOOKUP(B$2,C1:E431,3,FALSE),J10)</f>
        <v>9.8155229795674881</v>
      </c>
      <c r="G10" s="38"/>
      <c r="H10" s="138">
        <f>RANK(I10,I3:I431)</f>
        <v>9</v>
      </c>
      <c r="I10" s="139">
        <f>VLOOKUP(A10,'Standard Deviations'!A1:C731,3,FALSE)</f>
        <v>13.949350066699878</v>
      </c>
      <c r="J10" s="139">
        <f>I10-VLOOKUP(B$2,H1:J431,2,FALSE)</f>
        <v>9.8155229795674881</v>
      </c>
    </row>
    <row r="11" spans="1:10" ht="21.2" customHeight="1">
      <c r="A11" s="8" t="s">
        <v>114</v>
      </c>
      <c r="B11" s="136" t="str">
        <f>VLOOKUP(A11,'The List'!B1:D730,3,FALSE)</f>
        <v>C</v>
      </c>
      <c r="C11" s="137">
        <f>IF(Settings!$E$15="POINTS",RANK(E11,E3:E431),H11)</f>
        <v>7</v>
      </c>
      <c r="D11" s="34" t="str">
        <f>VLOOKUP(A11,'The List'!B1:F730,5,FALSE)</f>
        <v>NJD</v>
      </c>
      <c r="E11" s="38">
        <f>VLOOKUP(A11,'The List'!B1:I730,8,FALSE)</f>
        <v>14.198780832601393</v>
      </c>
      <c r="F11" s="38">
        <f>IF(Settings!$E$15="POINTS",E11-VLOOKUP(B$2,C1:E431,3,FALSE),J11)</f>
        <v>10.064953745469003</v>
      </c>
      <c r="G11" s="38"/>
      <c r="H11" s="138">
        <f>RANK(I11,I3:I431)</f>
        <v>7</v>
      </c>
      <c r="I11" s="139">
        <f>VLOOKUP(A11,'Standard Deviations'!A1:C731,3,FALSE)</f>
        <v>14.198780832601393</v>
      </c>
      <c r="J11" s="139">
        <f>I11-VLOOKUP(B$2,H1:J431,2,FALSE)</f>
        <v>10.064953745469003</v>
      </c>
    </row>
    <row r="12" spans="1:10" ht="21.2" customHeight="1">
      <c r="A12" s="8" t="s">
        <v>115</v>
      </c>
      <c r="B12" s="136" t="str">
        <f>VLOOKUP(A12,'The List'!B1:D730,3,FALSE)</f>
        <v>LW</v>
      </c>
      <c r="C12" s="137">
        <f>IF(Settings!$E$15="POINTS",RANK(E12,E3:E431),H12)</f>
        <v>10</v>
      </c>
      <c r="D12" s="34" t="str">
        <f>VLOOKUP(A12,'The List'!B1:F730,5,FALSE)</f>
        <v>MIN</v>
      </c>
      <c r="E12" s="38">
        <f>VLOOKUP(A12,'The List'!B1:I730,8,FALSE)</f>
        <v>13.407467811139265</v>
      </c>
      <c r="F12" s="38">
        <f>IF(Settings!$E$15="POINTS",E12-VLOOKUP(B$2,C1:E431,3,FALSE),J12)</f>
        <v>9.2736407240068743</v>
      </c>
      <c r="G12" s="38"/>
      <c r="H12" s="138">
        <f>RANK(I12,I3:I431)</f>
        <v>10</v>
      </c>
      <c r="I12" s="139">
        <f>VLOOKUP(A12,'Standard Deviations'!A1:C731,3,FALSE)</f>
        <v>13.407467811139265</v>
      </c>
      <c r="J12" s="139">
        <f>I12-VLOOKUP(B$2,H1:J431,2,FALSE)</f>
        <v>9.2736407240068743</v>
      </c>
    </row>
    <row r="13" spans="1:10" ht="21.2" customHeight="1">
      <c r="A13" s="8" t="s">
        <v>117</v>
      </c>
      <c r="B13" s="136" t="str">
        <f>VLOOKUP(A13,'The List'!B1:D730,3,FALSE)</f>
        <v>LW</v>
      </c>
      <c r="C13" s="137">
        <f>IF(Settings!$E$15="POINTS",RANK(E13,E3:E431),H13)</f>
        <v>11</v>
      </c>
      <c r="D13" s="34" t="str">
        <f>VLOOKUP(A13,'The List'!B1:F730,5,FALSE)</f>
        <v>DAL</v>
      </c>
      <c r="E13" s="38">
        <f>VLOOKUP(A13,'The List'!B1:I730,8,FALSE)</f>
        <v>12.964649656239818</v>
      </c>
      <c r="F13" s="38">
        <f>IF(Settings!$E$15="POINTS",E13-VLOOKUP(B$2,C1:E431,3,FALSE),J13)</f>
        <v>8.8308225691074274</v>
      </c>
      <c r="G13" s="38"/>
      <c r="H13" s="138">
        <f>RANK(I13,I3:I431)</f>
        <v>11</v>
      </c>
      <c r="I13" s="139">
        <f>VLOOKUP(A13,'Standard Deviations'!A1:C731,3,FALSE)</f>
        <v>12.964649656239818</v>
      </c>
      <c r="J13" s="139">
        <f>I13-VLOOKUP(B$2,H1:J431,2,FALSE)</f>
        <v>8.8308225691074274</v>
      </c>
    </row>
    <row r="14" spans="1:10" ht="21.2" customHeight="1">
      <c r="A14" s="8" t="s">
        <v>116</v>
      </c>
      <c r="B14" s="136" t="str">
        <f>VLOOKUP(A14,'The List'!B1:D730,3,FALSE)</f>
        <v>C,RW</v>
      </c>
      <c r="C14" s="137">
        <f>IF(Settings!$E$15="POINTS",RANK(E14,E3:E431),H14)</f>
        <v>12</v>
      </c>
      <c r="D14" s="34" t="str">
        <f>VLOOKUP(A14,'The List'!B1:F730,5,FALSE)</f>
        <v>BUF</v>
      </c>
      <c r="E14" s="38">
        <f>VLOOKUP(A14,'The List'!B1:I730,8,FALSE)</f>
        <v>12.847352372708929</v>
      </c>
      <c r="F14" s="38">
        <f>IF(Settings!$E$15="POINTS",E14-VLOOKUP(B$2,C1:E431,3,FALSE),J14)</f>
        <v>8.713525285576539</v>
      </c>
      <c r="G14" s="38"/>
      <c r="H14" s="138">
        <f>RANK(I14,I3:I431)</f>
        <v>12</v>
      </c>
      <c r="I14" s="139">
        <f>VLOOKUP(A14,'Standard Deviations'!A1:C731,3,FALSE)</f>
        <v>12.847352372708929</v>
      </c>
      <c r="J14" s="139">
        <f>I14-VLOOKUP(B$2,H1:J431,2,FALSE)</f>
        <v>8.713525285576539</v>
      </c>
    </row>
    <row r="15" spans="1:10" ht="21.2" customHeight="1">
      <c r="A15" s="8" t="s">
        <v>118</v>
      </c>
      <c r="B15" s="136" t="str">
        <f>VLOOKUP(A15,'The List'!B1:D730,3,FALSE)</f>
        <v>RW</v>
      </c>
      <c r="C15" s="137">
        <f>IF(Settings!$E$15="POINTS",RANK(E15,E3:E431),H15)</f>
        <v>13</v>
      </c>
      <c r="D15" s="34" t="str">
        <f>VLOOKUP(A15,'The List'!B1:F730,5,FALSE)</f>
        <v>TOR</v>
      </c>
      <c r="E15" s="38">
        <f>VLOOKUP(A15,'The List'!B1:I730,8,FALSE)</f>
        <v>11.769975097882236</v>
      </c>
      <c r="F15" s="38">
        <f>IF(Settings!$E$15="POINTS",E15-VLOOKUP(B$2,C1:E431,3,FALSE),J15)</f>
        <v>7.6361480107498458</v>
      </c>
      <c r="G15" s="38"/>
      <c r="H15" s="138">
        <f>RANK(I15,I3:I431)</f>
        <v>13</v>
      </c>
      <c r="I15" s="139">
        <f>VLOOKUP(A15,'Standard Deviations'!A1:C731,3,FALSE)</f>
        <v>11.769975097882236</v>
      </c>
      <c r="J15" s="139">
        <f>I15-VLOOKUP(B$2,H1:J431,2,FALSE)</f>
        <v>7.6361480107498458</v>
      </c>
    </row>
    <row r="16" spans="1:10" ht="21.2" customHeight="1">
      <c r="A16" s="8" t="s">
        <v>120</v>
      </c>
      <c r="B16" s="136" t="str">
        <f>VLOOKUP(A16,'The List'!B1:D730,3,FALSE)</f>
        <v>LW,RW</v>
      </c>
      <c r="C16" s="137">
        <f>IF(Settings!$E$15="POINTS",RANK(E16,E3:E431),H16)</f>
        <v>15</v>
      </c>
      <c r="D16" s="34" t="str">
        <f>VLOOKUP(A16,'The List'!B1:F730,5,FALSE)</f>
        <v>TOR</v>
      </c>
      <c r="E16" s="38">
        <f>VLOOKUP(A16,'The List'!B1:I730,8,FALSE)</f>
        <v>11.115775079553083</v>
      </c>
      <c r="F16" s="38">
        <f>IF(Settings!$E$15="POINTS",E16-VLOOKUP(B$2,C1:E431,3,FALSE),J16)</f>
        <v>6.9819479924206931</v>
      </c>
      <c r="G16" s="38"/>
      <c r="H16" s="138">
        <f>RANK(I16,I3:I431)</f>
        <v>15</v>
      </c>
      <c r="I16" s="139">
        <f>VLOOKUP(A16,'Standard Deviations'!A1:C731,3,FALSE)</f>
        <v>11.115775079553083</v>
      </c>
      <c r="J16" s="139">
        <f>I16-VLOOKUP(B$2,H1:J431,2,FALSE)</f>
        <v>6.9819479924206931</v>
      </c>
    </row>
    <row r="17" spans="1:10" ht="21.2" customHeight="1">
      <c r="A17" s="8" t="s">
        <v>128</v>
      </c>
      <c r="B17" s="136" t="str">
        <f>VLOOKUP(A17,'The List'!B1:D730,3,FALSE)</f>
        <v>C</v>
      </c>
      <c r="C17" s="137">
        <f>IF(Settings!$E$15="POINTS",RANK(E17,E3:E431),H17)</f>
        <v>20</v>
      </c>
      <c r="D17" s="34" t="str">
        <f>VLOOKUP(A17,'The List'!B1:F730,5,FALSE)</f>
        <v>NYR</v>
      </c>
      <c r="E17" s="38">
        <f>VLOOKUP(A17,'The List'!B1:I730,8,FALSE)</f>
        <v>10.395967367905438</v>
      </c>
      <c r="F17" s="38">
        <f>IF(Settings!$E$15="POINTS",E17-VLOOKUP(B$2,C1:E431,3,FALSE),J17)</f>
        <v>6.262140280773048</v>
      </c>
      <c r="G17" s="38"/>
      <c r="H17" s="138">
        <f>RANK(I17,I3:I431)</f>
        <v>20</v>
      </c>
      <c r="I17" s="139">
        <f>VLOOKUP(A17,'Standard Deviations'!A1:C731,3,FALSE)</f>
        <v>10.395967367905438</v>
      </c>
      <c r="J17" s="139">
        <f>I17-VLOOKUP(B$2,H1:J431,2,FALSE)</f>
        <v>6.262140280773048</v>
      </c>
    </row>
    <row r="18" spans="1:10" ht="21.2" customHeight="1">
      <c r="A18" s="8" t="s">
        <v>127</v>
      </c>
      <c r="B18" s="136" t="str">
        <f>VLOOKUP(A18,'The List'!B1:D730,3,FALSE)</f>
        <v>C,LW</v>
      </c>
      <c r="C18" s="137">
        <f>IF(Settings!$E$15="POINTS",RANK(E18,E3:E431),H18)</f>
        <v>16</v>
      </c>
      <c r="D18" s="34" t="str">
        <f>VLOOKUP(A18,'The List'!B1:F730,5,FALSE)</f>
        <v>VAN</v>
      </c>
      <c r="E18" s="38">
        <f>VLOOKUP(A18,'The List'!B1:I730,8,FALSE)</f>
        <v>10.987775194501642</v>
      </c>
      <c r="F18" s="38">
        <f>IF(Settings!$E$15="POINTS",E18-VLOOKUP(B$2,C1:E431,3,FALSE),J18)</f>
        <v>6.8539481073692521</v>
      </c>
      <c r="G18" s="38"/>
      <c r="H18" s="138">
        <f>RANK(I18,I3:I431)</f>
        <v>16</v>
      </c>
      <c r="I18" s="139">
        <f>VLOOKUP(A18,'Standard Deviations'!A1:C731,3,FALSE)</f>
        <v>10.987775194501642</v>
      </c>
      <c r="J18" s="139">
        <f>I18-VLOOKUP(B$2,H1:J431,2,FALSE)</f>
        <v>6.8539481073692521</v>
      </c>
    </row>
    <row r="19" spans="1:10" ht="21.2" customHeight="1">
      <c r="A19" s="8" t="s">
        <v>132</v>
      </c>
      <c r="B19" s="136" t="str">
        <f>VLOOKUP(A19,'The List'!B1:D730,3,FALSE)</f>
        <v>C</v>
      </c>
      <c r="C19" s="137">
        <f>IF(Settings!$E$15="POINTS",RANK(E19,E3:E431),H19)</f>
        <v>14</v>
      </c>
      <c r="D19" s="34" t="str">
        <f>VLOOKUP(A19,'The List'!B1:F730,5,FALSE)</f>
        <v>FLA</v>
      </c>
      <c r="E19" s="38">
        <f>VLOOKUP(A19,'The List'!B1:I730,8,FALSE)</f>
        <v>11.334952203384766</v>
      </c>
      <c r="F19" s="38">
        <f>IF(Settings!$E$15="POINTS",E19-VLOOKUP(B$2,C1:E431,3,FALSE),J19)</f>
        <v>7.2011251162523759</v>
      </c>
      <c r="G19" s="38"/>
      <c r="H19" s="138">
        <f>RANK(I19,I3:I431)</f>
        <v>14</v>
      </c>
      <c r="I19" s="139">
        <f>VLOOKUP(A19,'Standard Deviations'!A1:C731,3,FALSE)</f>
        <v>11.334952203384766</v>
      </c>
      <c r="J19" s="139">
        <f>I19-VLOOKUP(B$2,H1:J431,2,FALSE)</f>
        <v>7.2011251162523759</v>
      </c>
    </row>
    <row r="20" spans="1:10" ht="21.2" customHeight="1">
      <c r="A20" s="8" t="s">
        <v>139</v>
      </c>
      <c r="B20" s="136" t="str">
        <f>VLOOKUP(A20,'The List'!B1:D730,3,FALSE)</f>
        <v>C</v>
      </c>
      <c r="C20" s="137">
        <f>IF(Settings!$E$15="POINTS",RANK(E20,E3:E431),H20)</f>
        <v>21</v>
      </c>
      <c r="D20" s="34" t="str">
        <f>VLOOKUP(A20,'The List'!B1:F730,5,FALSE)</f>
        <v>PIT</v>
      </c>
      <c r="E20" s="38">
        <f>VLOOKUP(A20,'The List'!B1:I730,8,FALSE)</f>
        <v>10.322588449458125</v>
      </c>
      <c r="F20" s="38">
        <f>IF(Settings!$E$15="POINTS",E20-VLOOKUP(B$2,C1:E431,3,FALSE),J20)</f>
        <v>6.1887613623257351</v>
      </c>
      <c r="G20" s="38"/>
      <c r="H20" s="138">
        <f>RANK(I20,I3:I431)</f>
        <v>21</v>
      </c>
      <c r="I20" s="139">
        <f>VLOOKUP(A20,'Standard Deviations'!A1:C731,3,FALSE)</f>
        <v>10.322588449458125</v>
      </c>
      <c r="J20" s="139">
        <f>I20-VLOOKUP(B$2,H1:J431,2,FALSE)</f>
        <v>6.1887613623257351</v>
      </c>
    </row>
    <row r="21" spans="1:10" ht="21.2" customHeight="1">
      <c r="A21" s="8" t="s">
        <v>131</v>
      </c>
      <c r="B21" s="136" t="str">
        <f>VLOOKUP(A21,'The List'!B1:D730,3,FALSE)</f>
        <v>LW</v>
      </c>
      <c r="C21" s="137">
        <f>IF(Settings!$E$15="POINTS",RANK(E21,E3:E431),H21)</f>
        <v>17</v>
      </c>
      <c r="D21" s="34" t="str">
        <f>VLOOKUP(A21,'The List'!B1:F730,5,FALSE)</f>
        <v>WSH</v>
      </c>
      <c r="E21" s="38">
        <f>VLOOKUP(A21,'The List'!B1:I730,8,FALSE)</f>
        <v>10.835142614339283</v>
      </c>
      <c r="F21" s="38">
        <f>IF(Settings!$E$15="POINTS",E21-VLOOKUP(B$2,C1:E431,3,FALSE),J21)</f>
        <v>6.7013155272068925</v>
      </c>
      <c r="G21" s="38"/>
      <c r="H21" s="138">
        <f>RANK(I21,I3:I431)</f>
        <v>17</v>
      </c>
      <c r="I21" s="139">
        <f>VLOOKUP(A21,'Standard Deviations'!A1:C731,3,FALSE)</f>
        <v>10.835142614339283</v>
      </c>
      <c r="J21" s="139">
        <f>I21-VLOOKUP(B$2,H1:J431,2,FALSE)</f>
        <v>6.7013155272068925</v>
      </c>
    </row>
    <row r="22" spans="1:10" ht="21.2" customHeight="1">
      <c r="A22" s="8" t="s">
        <v>140</v>
      </c>
      <c r="B22" s="136" t="str">
        <f>VLOOKUP(A22,'The List'!B1:D730,3,FALSE)</f>
        <v>C</v>
      </c>
      <c r="C22" s="137">
        <f>IF(Settings!$E$15="POINTS",RANK(E22,E3:E431),H22)</f>
        <v>19</v>
      </c>
      <c r="D22" s="34" t="str">
        <f>VLOOKUP(A22,'The List'!B1:F730,5,FALSE)</f>
        <v>TBL</v>
      </c>
      <c r="E22" s="38">
        <f>VLOOKUP(A22,'The List'!B1:I730,8,FALSE)</f>
        <v>10.568697180365518</v>
      </c>
      <c r="F22" s="38">
        <f>IF(Settings!$E$15="POINTS",E22-VLOOKUP(B$2,C1:E431,3,FALSE),J22)</f>
        <v>6.434870093233128</v>
      </c>
      <c r="G22" s="38"/>
      <c r="H22" s="138">
        <f>RANK(I22,I3:I431)</f>
        <v>19</v>
      </c>
      <c r="I22" s="139">
        <f>VLOOKUP(A22,'Standard Deviations'!A1:C731,3,FALSE)</f>
        <v>10.568697180365518</v>
      </c>
      <c r="J22" s="139">
        <f>I22-VLOOKUP(B$2,H1:J431,2,FALSE)</f>
        <v>6.434870093233128</v>
      </c>
    </row>
    <row r="23" spans="1:10" ht="21.2" customHeight="1">
      <c r="A23" s="8" t="s">
        <v>133</v>
      </c>
      <c r="B23" s="136" t="str">
        <f>VLOOKUP(A23,'The List'!B1:D730,3,FALSE)</f>
        <v>LW</v>
      </c>
      <c r="C23" s="137">
        <f>IF(Settings!$E$15="POINTS",RANK(E23,E3:E431),H23)</f>
        <v>22</v>
      </c>
      <c r="D23" s="34" t="str">
        <f>VLOOKUP(A23,'The List'!B1:F730,5,FALSE)</f>
        <v>WPG</v>
      </c>
      <c r="E23" s="38">
        <f>VLOOKUP(A23,'The List'!B1:I730,8,FALSE)</f>
        <v>10.06630112250282</v>
      </c>
      <c r="F23" s="38">
        <f>IF(Settings!$E$15="POINTS",E23-VLOOKUP(B$2,C1:E431,3,FALSE),J23)</f>
        <v>5.9324740353704293</v>
      </c>
      <c r="G23" s="38"/>
      <c r="H23" s="138">
        <f>RANK(I23,I3:I431)</f>
        <v>22</v>
      </c>
      <c r="I23" s="139">
        <f>VLOOKUP(A23,'Standard Deviations'!A1:C731,3,FALSE)</f>
        <v>10.06630112250282</v>
      </c>
      <c r="J23" s="139">
        <f>I23-VLOOKUP(B$2,H1:J431,2,FALSE)</f>
        <v>5.9324740353704293</v>
      </c>
    </row>
    <row r="24" spans="1:10" ht="21.2" customHeight="1">
      <c r="A24" s="8" t="s">
        <v>135</v>
      </c>
      <c r="B24" s="136" t="str">
        <f>VLOOKUP(A24,'The List'!B1:D730,3,FALSE)</f>
        <v>C,LW</v>
      </c>
      <c r="C24" s="137">
        <f>IF(Settings!$E$15="POINTS",RANK(E24,E3:E431),H24)</f>
        <v>23</v>
      </c>
      <c r="D24" s="34" t="str">
        <f>VLOOKUP(A24,'The List'!B1:F730,5,FALSE)</f>
        <v>OTT</v>
      </c>
      <c r="E24" s="38">
        <f>VLOOKUP(A24,'The List'!B1:I730,8,FALSE)</f>
        <v>9.837350072092196</v>
      </c>
      <c r="F24" s="38">
        <f>IF(Settings!$E$15="POINTS",E24-VLOOKUP(B$2,C1:E431,3,FALSE),J24)</f>
        <v>5.7035229849598057</v>
      </c>
      <c r="G24" s="38"/>
      <c r="H24" s="138">
        <f>RANK(I24,I3:I431)</f>
        <v>23</v>
      </c>
      <c r="I24" s="139">
        <f>VLOOKUP(A24,'Standard Deviations'!A1:C731,3,FALSE)</f>
        <v>9.837350072092196</v>
      </c>
      <c r="J24" s="139">
        <f>I24-VLOOKUP(B$2,H1:J431,2,FALSE)</f>
        <v>5.7035229849598057</v>
      </c>
    </row>
    <row r="25" spans="1:10" ht="21.2" customHeight="1">
      <c r="A25" s="8" t="s">
        <v>136</v>
      </c>
      <c r="B25" s="136" t="str">
        <f>VLOOKUP(A25,'The List'!B1:D730,3,FALSE)</f>
        <v>LW</v>
      </c>
      <c r="C25" s="137">
        <f>IF(Settings!$E$15="POINTS",RANK(E25,E3:E431),H25)</f>
        <v>18</v>
      </c>
      <c r="D25" s="34" t="str">
        <f>VLOOKUP(A25,'The List'!B1:F730,5,FALSE)</f>
        <v>NYR</v>
      </c>
      <c r="E25" s="38">
        <f>VLOOKUP(A25,'The List'!B1:I730,8,FALSE)</f>
        <v>10.796490301217734</v>
      </c>
      <c r="F25" s="38">
        <f>IF(Settings!$E$15="POINTS",E25-VLOOKUP(B$2,C1:E431,3,FALSE),J25)</f>
        <v>6.6626632140853435</v>
      </c>
      <c r="G25" s="38"/>
      <c r="H25" s="138">
        <f>RANK(I25,I3:I431)</f>
        <v>18</v>
      </c>
      <c r="I25" s="139">
        <f>VLOOKUP(A25,'Standard Deviations'!A1:C731,3,FALSE)</f>
        <v>10.796490301217734</v>
      </c>
      <c r="J25" s="139">
        <f>I25-VLOOKUP(B$2,H1:J431,2,FALSE)</f>
        <v>6.6626632140853435</v>
      </c>
    </row>
    <row r="26" spans="1:10" ht="21.2" customHeight="1">
      <c r="A26" s="8" t="s">
        <v>144</v>
      </c>
      <c r="B26" s="136" t="str">
        <f>VLOOKUP(A26,'The List'!B1:D730,3,FALSE)</f>
        <v>LW</v>
      </c>
      <c r="C26" s="137">
        <f>IF(Settings!$E$15="POINTS",RANK(E26,E3:E431),H26)</f>
        <v>34</v>
      </c>
      <c r="D26" s="34" t="str">
        <f>VLOOKUP(A26,'The List'!B1:F730,5,FALSE)</f>
        <v>OTT</v>
      </c>
      <c r="E26" s="38">
        <f>VLOOKUP(A26,'The List'!B1:I730,8,FALSE)</f>
        <v>9.0165551983056726</v>
      </c>
      <c r="F26" s="38">
        <f>IF(Settings!$E$15="POINTS",E26-VLOOKUP(B$2,C1:E431,3,FALSE),J26)</f>
        <v>4.8827281111732823</v>
      </c>
      <c r="G26" s="38"/>
      <c r="H26" s="138">
        <f>RANK(I26,I3:I431)</f>
        <v>34</v>
      </c>
      <c r="I26" s="139">
        <f>VLOOKUP(A26,'Standard Deviations'!A1:C731,3,FALSE)</f>
        <v>9.0165551983056726</v>
      </c>
      <c r="J26" s="139">
        <f>I26-VLOOKUP(B$2,H1:J431,2,FALSE)</f>
        <v>4.8827281111732823</v>
      </c>
    </row>
    <row r="27" spans="1:10" ht="21.2" customHeight="1">
      <c r="A27" s="8" t="s">
        <v>145</v>
      </c>
      <c r="B27" s="136" t="str">
        <f>VLOOKUP(A27,'The List'!B1:D730,3,FALSE)</f>
        <v>C,LW</v>
      </c>
      <c r="C27" s="137">
        <f>IF(Settings!$E$15="POINTS",RANK(E27,E3:E431),H27)</f>
        <v>24</v>
      </c>
      <c r="D27" s="34" t="str">
        <f>VLOOKUP(A27,'The List'!B1:F730,5,FALSE)</f>
        <v>TBL</v>
      </c>
      <c r="E27" s="38">
        <f>VLOOKUP(A27,'The List'!B1:I730,8,FALSE)</f>
        <v>9.7577666144233852</v>
      </c>
      <c r="F27" s="38">
        <f>IF(Settings!$E$15="POINTS",E27-VLOOKUP(B$2,C1:E431,3,FALSE),J27)</f>
        <v>5.6239395272909949</v>
      </c>
      <c r="G27" s="38"/>
      <c r="H27" s="138">
        <f>RANK(I27,I3:I431)</f>
        <v>24</v>
      </c>
      <c r="I27" s="139">
        <f>VLOOKUP(A27,'Standard Deviations'!A1:C731,3,FALSE)</f>
        <v>9.7577666144233852</v>
      </c>
      <c r="J27" s="139">
        <f>I27-VLOOKUP(B$2,H1:J431,2,FALSE)</f>
        <v>5.6239395272909949</v>
      </c>
    </row>
    <row r="28" spans="1:10" ht="21.2" customHeight="1">
      <c r="A28" s="8" t="s">
        <v>138</v>
      </c>
      <c r="B28" s="136" t="str">
        <f>VLOOKUP(A28,'The List'!B1:D730,3,FALSE)</f>
        <v>LW,RW</v>
      </c>
      <c r="C28" s="137">
        <f>IF(Settings!$E$15="POINTS",RANK(E28,E3:E431),H28)</f>
        <v>28</v>
      </c>
      <c r="D28" s="34" t="str">
        <f>VLOOKUP(A28,'The List'!B1:F730,5,FALSE)</f>
        <v>NJD</v>
      </c>
      <c r="E28" s="38">
        <f>VLOOKUP(A28,'The List'!B1:I730,8,FALSE)</f>
        <v>9.2215876069536442</v>
      </c>
      <c r="F28" s="38">
        <f>IF(Settings!$E$15="POINTS",E28-VLOOKUP(B$2,C1:E431,3,FALSE),J28)</f>
        <v>5.0877605198212539</v>
      </c>
      <c r="G28" s="38"/>
      <c r="H28" s="138">
        <f>RANK(I28,I3:I431)</f>
        <v>28</v>
      </c>
      <c r="I28" s="139">
        <f>VLOOKUP(A28,'Standard Deviations'!A1:C731,3,FALSE)</f>
        <v>9.2215876069536442</v>
      </c>
      <c r="J28" s="139">
        <f>I28-VLOOKUP(B$2,H1:J431,2,FALSE)</f>
        <v>5.0877605198212539</v>
      </c>
    </row>
    <row r="29" spans="1:10" ht="21.2" customHeight="1">
      <c r="A29" s="8" t="s">
        <v>147</v>
      </c>
      <c r="B29" s="136" t="str">
        <f>VLOOKUP(A29,'The List'!B1:D730,3,FALSE)</f>
        <v>C,LW</v>
      </c>
      <c r="C29" s="137">
        <f>IF(Settings!$E$15="POINTS",RANK(E29,E3:E431),H29)</f>
        <v>25</v>
      </c>
      <c r="D29" s="34" t="str">
        <f>VLOOKUP(A29,'The List'!B1:F730,5,FALSE)</f>
        <v>EDM</v>
      </c>
      <c r="E29" s="38">
        <f>VLOOKUP(A29,'The List'!B1:I730,8,FALSE)</f>
        <v>9.6760867611712325</v>
      </c>
      <c r="F29" s="38">
        <f>IF(Settings!$E$15="POINTS",E29-VLOOKUP(B$2,C1:E431,3,FALSE),J29)</f>
        <v>5.5422596740388421</v>
      </c>
      <c r="G29" s="38"/>
      <c r="H29" s="138">
        <f>RANK(I29,I3:I431)</f>
        <v>25</v>
      </c>
      <c r="I29" s="139">
        <f>VLOOKUP(A29,'Standard Deviations'!A1:C731,3,FALSE)</f>
        <v>9.6760867611712325</v>
      </c>
      <c r="J29" s="139">
        <f>I29-VLOOKUP(B$2,H1:J431,2,FALSE)</f>
        <v>5.5422596740388421</v>
      </c>
    </row>
    <row r="30" spans="1:10" ht="21.2" customHeight="1">
      <c r="A30" s="8" t="s">
        <v>158</v>
      </c>
      <c r="B30" s="136" t="str">
        <f>VLOOKUP(A30,'The List'!B1:D730,3,FALSE)</f>
        <v>C</v>
      </c>
      <c r="C30" s="137">
        <f>IF(Settings!$E$15="POINTS",RANK(E30,E3:E431),H30)</f>
        <v>33</v>
      </c>
      <c r="D30" s="34" t="str">
        <f>VLOOKUP(A30,'The List'!B1:F730,5,FALSE)</f>
        <v>NJD</v>
      </c>
      <c r="E30" s="38">
        <f>VLOOKUP(A30,'The List'!B1:I730,8,FALSE)</f>
        <v>9.0265837039570425</v>
      </c>
      <c r="F30" s="38">
        <f>IF(Settings!$E$15="POINTS",E30-VLOOKUP(B$2,C1:E431,3,FALSE),J30)</f>
        <v>4.8927566168246521</v>
      </c>
      <c r="G30" s="38"/>
      <c r="H30" s="138">
        <f>RANK(I30,I3:I431)</f>
        <v>33</v>
      </c>
      <c r="I30" s="139">
        <f>VLOOKUP(A30,'Standard Deviations'!A1:C731,3,FALSE)</f>
        <v>9.0265837039570425</v>
      </c>
      <c r="J30" s="139">
        <f>I30-VLOOKUP(B$2,H1:J431,2,FALSE)</f>
        <v>4.8927566168246521</v>
      </c>
    </row>
    <row r="31" spans="1:10" ht="21.2" customHeight="1">
      <c r="A31" s="8" t="s">
        <v>149</v>
      </c>
      <c r="B31" s="136" t="str">
        <f>VLOOKUP(A31,'The List'!B1:D730,3,FALSE)</f>
        <v>C,LW</v>
      </c>
      <c r="C31" s="137">
        <f>IF(Settings!$E$15="POINTS",RANK(E31,E3:E431),H31)</f>
        <v>30</v>
      </c>
      <c r="D31" s="34" t="str">
        <f>VLOOKUP(A31,'The List'!B1:F730,5,FALSE)</f>
        <v>TOR</v>
      </c>
      <c r="E31" s="38">
        <f>VLOOKUP(A31,'The List'!B1:I730,8,FALSE)</f>
        <v>9.0998103631039911</v>
      </c>
      <c r="F31" s="38">
        <f>IF(Settings!$E$15="POINTS",E31-VLOOKUP(B$2,C1:E431,3,FALSE),J31)</f>
        <v>4.9659832759716007</v>
      </c>
      <c r="G31" s="38"/>
      <c r="H31" s="138">
        <f>RANK(I31,I3:I431)</f>
        <v>30</v>
      </c>
      <c r="I31" s="139">
        <f>VLOOKUP(A31,'Standard Deviations'!A1:C731,3,FALSE)</f>
        <v>9.0998103631039911</v>
      </c>
      <c r="J31" s="139">
        <f>I31-VLOOKUP(B$2,H1:J431,2,FALSE)</f>
        <v>4.9659832759716007</v>
      </c>
    </row>
    <row r="32" spans="1:10" ht="21.2" customHeight="1">
      <c r="A32" s="8" t="s">
        <v>159</v>
      </c>
      <c r="B32" s="136" t="str">
        <f>VLOOKUP(A32,'The List'!B1:D730,3,FALSE)</f>
        <v>C</v>
      </c>
      <c r="C32" s="137">
        <f>IF(Settings!$E$15="POINTS",RANK(E32,E3:E431),H32)</f>
        <v>26</v>
      </c>
      <c r="D32" s="34" t="str">
        <f>VLOOKUP(A32,'The List'!B1:F730,5,FALSE)</f>
        <v>DET</v>
      </c>
      <c r="E32" s="38">
        <f>VLOOKUP(A32,'The List'!B1:I730,8,FALSE)</f>
        <v>9.577719019407807</v>
      </c>
      <c r="F32" s="38">
        <f>IF(Settings!$E$15="POINTS",E32-VLOOKUP(B$2,C1:E431,3,FALSE),J32)</f>
        <v>5.4438919322754167</v>
      </c>
      <c r="G32" s="38"/>
      <c r="H32" s="138">
        <f>RANK(I32,I3:I431)</f>
        <v>26</v>
      </c>
      <c r="I32" s="139">
        <f>VLOOKUP(A32,'Standard Deviations'!A1:C731,3,FALSE)</f>
        <v>9.577719019407807</v>
      </c>
      <c r="J32" s="139">
        <f>I32-VLOOKUP(B$2,H1:J431,2,FALSE)</f>
        <v>5.4438919322754167</v>
      </c>
    </row>
    <row r="33" spans="1:10" ht="21.2" customHeight="1">
      <c r="A33" s="8" t="s">
        <v>152</v>
      </c>
      <c r="B33" s="136" t="str">
        <f>VLOOKUP(A33,'The List'!B1:D730,3,FALSE)</f>
        <v>LW</v>
      </c>
      <c r="C33" s="137">
        <f>IF(Settings!$E$15="POINTS",RANK(E33,E3:E431),H33)</f>
        <v>32</v>
      </c>
      <c r="D33" s="34" t="str">
        <f>VLOOKUP(A33,'The List'!B1:F730,5,FALSE)</f>
        <v>PIT</v>
      </c>
      <c r="E33" s="38">
        <f>VLOOKUP(A33,'The List'!B1:I730,8,FALSE)</f>
        <v>9.0538933501089804</v>
      </c>
      <c r="F33" s="38">
        <f>IF(Settings!$E$15="POINTS",E33-VLOOKUP(B$2,C1:E431,3,FALSE),J33)</f>
        <v>4.9200662629765901</v>
      </c>
      <c r="G33" s="38"/>
      <c r="H33" s="138">
        <f>RANK(I33,I3:I431)</f>
        <v>32</v>
      </c>
      <c r="I33" s="139">
        <f>VLOOKUP(A33,'Standard Deviations'!A1:C731,3,FALSE)</f>
        <v>9.0538933501089804</v>
      </c>
      <c r="J33" s="139">
        <f>I33-VLOOKUP(B$2,H1:J431,2,FALSE)</f>
        <v>4.9200662629765901</v>
      </c>
    </row>
    <row r="34" spans="1:10" ht="21.2" customHeight="1">
      <c r="A34" s="8" t="s">
        <v>141</v>
      </c>
      <c r="B34" s="136" t="str">
        <f>VLOOKUP(A34,'The List'!B1:D730,3,FALSE)</f>
        <v>LW,RW</v>
      </c>
      <c r="C34" s="137">
        <f>IF(Settings!$E$15="POINTS",RANK(E34,E3:E431),H34)</f>
        <v>27</v>
      </c>
      <c r="D34" s="34" t="str">
        <f>VLOOKUP(A34,'The List'!B1:F730,5,FALSE)</f>
        <v>MIN</v>
      </c>
      <c r="E34" s="38">
        <f>VLOOKUP(A34,'The List'!B1:I730,8,FALSE)</f>
        <v>9.3029657940042263</v>
      </c>
      <c r="F34" s="38">
        <f>IF(Settings!$E$15="POINTS",E34-VLOOKUP(B$2,C1:E431,3,FALSE),J34)</f>
        <v>5.169138706871836</v>
      </c>
      <c r="G34" s="38"/>
      <c r="H34" s="138">
        <f>RANK(I34,I3:I431)</f>
        <v>27</v>
      </c>
      <c r="I34" s="139">
        <f>VLOOKUP(A34,'Standard Deviations'!A1:C731,3,FALSE)</f>
        <v>9.3029657940042263</v>
      </c>
      <c r="J34" s="139">
        <f>I34-VLOOKUP(B$2,H1:J431,2,FALSE)</f>
        <v>5.169138706871836</v>
      </c>
    </row>
    <row r="35" spans="1:10" ht="21.2" customHeight="1">
      <c r="A35" s="8" t="s">
        <v>156</v>
      </c>
      <c r="B35" s="136" t="str">
        <f>VLOOKUP(A35,'The List'!B1:D730,3,FALSE)</f>
        <v>LW</v>
      </c>
      <c r="C35" s="137">
        <f>IF(Settings!$E$15="POINTS",RANK(E35,E3:E431),H35)</f>
        <v>37</v>
      </c>
      <c r="D35" s="34" t="str">
        <f>VLOOKUP(A35,'The List'!B1:F730,5,FALSE)</f>
        <v>CBJ</v>
      </c>
      <c r="E35" s="38">
        <f>VLOOKUP(A35,'The List'!B1:I730,8,FALSE)</f>
        <v>8.6351776949320627</v>
      </c>
      <c r="F35" s="38">
        <f>IF(Settings!$E$15="POINTS",E35-VLOOKUP(B$2,C1:E431,3,FALSE),J35)</f>
        <v>4.5013506077996723</v>
      </c>
      <c r="G35" s="38"/>
      <c r="H35" s="138">
        <f>RANK(I35,I3:I431)</f>
        <v>37</v>
      </c>
      <c r="I35" s="139">
        <f>VLOOKUP(A35,'Standard Deviations'!A1:C731,3,FALSE)</f>
        <v>8.6351776949320627</v>
      </c>
      <c r="J35" s="139">
        <f>I35-VLOOKUP(B$2,H1:J431,2,FALSE)</f>
        <v>4.5013506077996723</v>
      </c>
    </row>
    <row r="36" spans="1:10" ht="21.2" customHeight="1">
      <c r="A36" s="8" t="s">
        <v>146</v>
      </c>
      <c r="B36" s="136" t="str">
        <f>VLOOKUP(A36,'The List'!B1:D730,3,FALSE)</f>
        <v>C,LW,RW</v>
      </c>
      <c r="C36" s="137">
        <f>IF(Settings!$E$15="POINTS",RANK(E36,E3:E431),H36)</f>
        <v>42</v>
      </c>
      <c r="D36" s="34" t="str">
        <f>VLOOKUP(A36,'The List'!B1:F730,5,FALSE)</f>
        <v>VAN</v>
      </c>
      <c r="E36" s="38">
        <f>VLOOKUP(A36,'The List'!B1:I730,8,FALSE)</f>
        <v>8.466166617614391</v>
      </c>
      <c r="F36" s="38">
        <f>IF(Settings!$E$15="POINTS",E36-VLOOKUP(B$2,C1:E431,3,FALSE),J36)</f>
        <v>4.3323395304820007</v>
      </c>
      <c r="G36" s="38"/>
      <c r="H36" s="138">
        <f>RANK(I36,I3:I431)</f>
        <v>42</v>
      </c>
      <c r="I36" s="139">
        <f>VLOOKUP(A36,'Standard Deviations'!A1:C731,3,FALSE)</f>
        <v>8.466166617614391</v>
      </c>
      <c r="J36" s="139">
        <f>I36-VLOOKUP(B$2,H1:J431,2,FALSE)</f>
        <v>4.3323395304820007</v>
      </c>
    </row>
    <row r="37" spans="1:10" ht="21.2" customHeight="1">
      <c r="A37" s="8" t="s">
        <v>148</v>
      </c>
      <c r="B37" s="136" t="str">
        <f>VLOOKUP(A37,'The List'!B1:D730,3,FALSE)</f>
        <v>LW,RW</v>
      </c>
      <c r="C37" s="137">
        <f>IF(Settings!$E$15="POINTS",RANK(E37,E3:E431),H37)</f>
        <v>35</v>
      </c>
      <c r="D37" s="34" t="str">
        <f>VLOOKUP(A37,'The List'!B1:F730,5,FALSE)</f>
        <v>LAK</v>
      </c>
      <c r="E37" s="38">
        <f>VLOOKUP(A37,'The List'!B1:I730,8,FALSE)</f>
        <v>8.9300965081651817</v>
      </c>
      <c r="F37" s="38">
        <f>IF(Settings!$E$15="POINTS",E37-VLOOKUP(B$2,C1:E431,3,FALSE),J37)</f>
        <v>4.7962694210327914</v>
      </c>
      <c r="G37" s="38"/>
      <c r="H37" s="138">
        <f>RANK(I37,I3:I431)</f>
        <v>35</v>
      </c>
      <c r="I37" s="139">
        <f>VLOOKUP(A37,'Standard Deviations'!A1:C731,3,FALSE)</f>
        <v>8.9300965081651817</v>
      </c>
      <c r="J37" s="139">
        <f>I37-VLOOKUP(B$2,H1:J431,2,FALSE)</f>
        <v>4.7962694210327914</v>
      </c>
    </row>
    <row r="38" spans="1:10" ht="21.2" customHeight="1">
      <c r="A38" s="8" t="s">
        <v>164</v>
      </c>
      <c r="B38" s="136" t="str">
        <f>VLOOKUP(A38,'The List'!B1:D730,3,FALSE)</f>
        <v>C</v>
      </c>
      <c r="C38" s="137">
        <f>IF(Settings!$E$15="POINTS",RANK(E38,E3:E431),H38)</f>
        <v>39</v>
      </c>
      <c r="D38" s="34" t="str">
        <f>VLOOKUP(A38,'The List'!B1:F730,5,FALSE)</f>
        <v>CAR</v>
      </c>
      <c r="E38" s="38">
        <f>VLOOKUP(A38,'The List'!B1:I730,8,FALSE)</f>
        <v>8.4957451159382327</v>
      </c>
      <c r="F38" s="38">
        <f>IF(Settings!$E$15="POINTS",E38-VLOOKUP(B$2,C1:E431,3,FALSE),J38)</f>
        <v>4.3619180288058423</v>
      </c>
      <c r="G38" s="38"/>
      <c r="H38" s="138">
        <f>RANK(I38,I3:I431)</f>
        <v>39</v>
      </c>
      <c r="I38" s="139">
        <f>VLOOKUP(A38,'Standard Deviations'!A1:C731,3,FALSE)</f>
        <v>8.4957451159382327</v>
      </c>
      <c r="J38" s="139">
        <f>I38-VLOOKUP(B$2,H1:J431,2,FALSE)</f>
        <v>4.3619180288058423</v>
      </c>
    </row>
    <row r="39" spans="1:10" ht="21.2" customHeight="1">
      <c r="A39" s="8" t="s">
        <v>153</v>
      </c>
      <c r="B39" s="136" t="str">
        <f>VLOOKUP(A39,'The List'!B1:D730,3,FALSE)</f>
        <v>LW,RW</v>
      </c>
      <c r="C39" s="137">
        <f>IF(Settings!$E$15="POINTS",RANK(E39,E3:E431),H39)</f>
        <v>43</v>
      </c>
      <c r="D39" s="34" t="str">
        <f>VLOOKUP(A39,'The List'!B1:F730,5,FALSE)</f>
        <v>ARI</v>
      </c>
      <c r="E39" s="38">
        <f>VLOOKUP(A39,'The List'!B1:I730,8,FALSE)</f>
        <v>8.4498309474357942</v>
      </c>
      <c r="F39" s="38">
        <f>IF(Settings!$E$15="POINTS",E39-VLOOKUP(B$2,C1:E431,3,FALSE),J39)</f>
        <v>4.3160038603034039</v>
      </c>
      <c r="G39" s="38"/>
      <c r="H39" s="138">
        <f>RANK(I39,I3:I431)</f>
        <v>43</v>
      </c>
      <c r="I39" s="139">
        <f>VLOOKUP(A39,'Standard Deviations'!A1:C731,3,FALSE)</f>
        <v>8.4498309474357942</v>
      </c>
      <c r="J39" s="139">
        <f>I39-VLOOKUP(B$2,H1:J431,2,FALSE)</f>
        <v>4.3160038603034039</v>
      </c>
    </row>
    <row r="40" spans="1:10" ht="21.2" customHeight="1">
      <c r="A40" s="8" t="s">
        <v>154</v>
      </c>
      <c r="B40" s="136" t="str">
        <f>VLOOKUP(A40,'The List'!B1:D730,3,FALSE)</f>
        <v>RW</v>
      </c>
      <c r="C40" s="137">
        <f>IF(Settings!$E$15="POINTS",RANK(E40,E3:E431),H40)</f>
        <v>45</v>
      </c>
      <c r="D40" s="34" t="str">
        <f>VLOOKUP(A40,'The List'!B1:F730,5,FALSE)</f>
        <v>STL</v>
      </c>
      <c r="E40" s="38">
        <f>VLOOKUP(A40,'The List'!B1:I730,8,FALSE)</f>
        <v>8.3735546652097597</v>
      </c>
      <c r="F40" s="38">
        <f>IF(Settings!$E$15="POINTS",E40-VLOOKUP(B$2,C1:E431,3,FALSE),J40)</f>
        <v>4.2397275780773693</v>
      </c>
      <c r="G40" s="38"/>
      <c r="H40" s="138">
        <f>RANK(I40,I3:I431)</f>
        <v>45</v>
      </c>
      <c r="I40" s="139">
        <f>VLOOKUP(A40,'Standard Deviations'!A1:C731,3,FALSE)</f>
        <v>8.3735546652097597</v>
      </c>
      <c r="J40" s="139">
        <f>I40-VLOOKUP(B$2,H1:J431,2,FALSE)</f>
        <v>4.2397275780773693</v>
      </c>
    </row>
    <row r="41" spans="1:10" ht="21.2" customHeight="1">
      <c r="A41" s="8" t="s">
        <v>172</v>
      </c>
      <c r="B41" s="136" t="str">
        <f>VLOOKUP(A41,'The List'!B1:D730,3,FALSE)</f>
        <v>C</v>
      </c>
      <c r="C41" s="137">
        <f>IF(Settings!$E$15="POINTS",RANK(E41,E3:E431),H41)</f>
        <v>49</v>
      </c>
      <c r="D41" s="34" t="str">
        <f>VLOOKUP(A41,'The List'!B1:F730,5,FALSE)</f>
        <v>BUF</v>
      </c>
      <c r="E41" s="38">
        <f>VLOOKUP(A41,'The List'!B1:I730,8,FALSE)</f>
        <v>7.9993564400938268</v>
      </c>
      <c r="F41" s="38">
        <f>IF(Settings!$E$15="POINTS",E41-VLOOKUP(B$2,C1:E431,3,FALSE),J41)</f>
        <v>3.8655293529614365</v>
      </c>
      <c r="G41" s="38"/>
      <c r="H41" s="138">
        <f>RANK(I41,I3:I431)</f>
        <v>49</v>
      </c>
      <c r="I41" s="139">
        <f>VLOOKUP(A41,'Standard Deviations'!A1:C731,3,FALSE)</f>
        <v>7.9993564400938268</v>
      </c>
      <c r="J41" s="139">
        <f>I41-VLOOKUP(B$2,H1:J431,2,FALSE)</f>
        <v>3.8655293529614365</v>
      </c>
    </row>
    <row r="42" spans="1:10" ht="21.2" customHeight="1">
      <c r="A42" s="8" t="s">
        <v>157</v>
      </c>
      <c r="B42" s="136" t="str">
        <f>VLOOKUP(A42,'The List'!B1:D730,3,FALSE)</f>
        <v>LW,RW</v>
      </c>
      <c r="C42" s="137">
        <f>IF(Settings!$E$15="POINTS",RANK(E42,E3:E431),H42)</f>
        <v>38</v>
      </c>
      <c r="D42" s="34" t="str">
        <f>VLOOKUP(A42,'The List'!B1:F730,5,FALSE)</f>
        <v>EDM</v>
      </c>
      <c r="E42" s="38">
        <f>VLOOKUP(A42,'The List'!B1:I730,8,FALSE)</f>
        <v>8.6077746386592171</v>
      </c>
      <c r="F42" s="38">
        <f>IF(Settings!$E$15="POINTS",E42-VLOOKUP(B$2,C1:E431,3,FALSE),J42)</f>
        <v>4.4739475515268268</v>
      </c>
      <c r="G42" s="38"/>
      <c r="H42" s="138">
        <f>RANK(I42,I3:I431)</f>
        <v>38</v>
      </c>
      <c r="I42" s="139">
        <f>VLOOKUP(A42,'Standard Deviations'!A1:C731,3,FALSE)</f>
        <v>8.6077746386592171</v>
      </c>
      <c r="J42" s="139">
        <f>I42-VLOOKUP(B$2,H1:J431,2,FALSE)</f>
        <v>4.4739475515268268</v>
      </c>
    </row>
    <row r="43" spans="1:10" ht="21.2" customHeight="1">
      <c r="A43" s="8" t="s">
        <v>176</v>
      </c>
      <c r="B43" s="136" t="str">
        <f>VLOOKUP(A43,'The List'!B1:D730,3,FALSE)</f>
        <v>C</v>
      </c>
      <c r="C43" s="137">
        <f>IF(Settings!$E$15="POINTS",RANK(E43,E3:E431),H43)</f>
        <v>36</v>
      </c>
      <c r="D43" s="34" t="str">
        <f>VLOOKUP(A43,'The List'!B1:F730,5,FALSE)</f>
        <v>DAL</v>
      </c>
      <c r="E43" s="38">
        <f>VLOOKUP(A43,'The List'!B1:I730,8,FALSE)</f>
        <v>8.6525189060530554</v>
      </c>
      <c r="F43" s="38">
        <f>IF(Settings!$E$15="POINTS",E43-VLOOKUP(B$2,C1:E431,3,FALSE),J43)</f>
        <v>4.5186918189206651</v>
      </c>
      <c r="G43" s="38"/>
      <c r="H43" s="138">
        <f>RANK(I43,I3:I431)</f>
        <v>36</v>
      </c>
      <c r="I43" s="139">
        <f>VLOOKUP(A43,'Standard Deviations'!A1:C731,3,FALSE)</f>
        <v>8.6525189060530554</v>
      </c>
      <c r="J43" s="139">
        <f>I43-VLOOKUP(B$2,H1:J431,2,FALSE)</f>
        <v>4.5186918189206651</v>
      </c>
    </row>
    <row r="44" spans="1:10" ht="21.2" customHeight="1">
      <c r="A44" s="8" t="s">
        <v>160</v>
      </c>
      <c r="B44" s="136" t="str">
        <f>VLOOKUP(A44,'The List'!B1:D730,3,FALSE)</f>
        <v>LW,RW</v>
      </c>
      <c r="C44" s="137">
        <f>IF(Settings!$E$15="POINTS",RANK(E44,E3:E431),H44)</f>
        <v>41</v>
      </c>
      <c r="D44" s="34" t="str">
        <f>VLOOKUP(A44,'The List'!B1:F730,5,FALSE)</f>
        <v>CAR</v>
      </c>
      <c r="E44" s="38">
        <f>VLOOKUP(A44,'The List'!B1:I730,8,FALSE)</f>
        <v>8.4864292448964616</v>
      </c>
      <c r="F44" s="38">
        <f>IF(Settings!$E$15="POINTS",E44-VLOOKUP(B$2,C1:E431,3,FALSE),J44)</f>
        <v>4.3526021577640712</v>
      </c>
      <c r="G44" s="38"/>
      <c r="H44" s="138">
        <f>RANK(I44,I3:I431)</f>
        <v>41</v>
      </c>
      <c r="I44" s="139">
        <f>VLOOKUP(A44,'Standard Deviations'!A1:C731,3,FALSE)</f>
        <v>8.4864292448964616</v>
      </c>
      <c r="J44" s="139">
        <f>I44-VLOOKUP(B$2,H1:J431,2,FALSE)</f>
        <v>4.3526021577640712</v>
      </c>
    </row>
    <row r="45" spans="1:10" ht="21.2" customHeight="1">
      <c r="A45" s="8" t="s">
        <v>190</v>
      </c>
      <c r="B45" s="136" t="str">
        <f>VLOOKUP(A45,'The List'!B1:D730,3,FALSE)</f>
        <v>C</v>
      </c>
      <c r="C45" s="137">
        <f>IF(Settings!$E$15="POINTS",RANK(E45,E3:E431),H45)</f>
        <v>53</v>
      </c>
      <c r="D45" s="34" t="str">
        <f>VLOOKUP(A45,'The List'!B1:F730,5,FALSE)</f>
        <v>NYI</v>
      </c>
      <c r="E45" s="38">
        <f>VLOOKUP(A45,'The List'!B1:I730,8,FALSE)</f>
        <v>7.6940355983686546</v>
      </c>
      <c r="F45" s="38">
        <f>IF(Settings!$E$15="POINTS",E45-VLOOKUP(B$2,C1:E431,3,FALSE),J45)</f>
        <v>3.5602085112362643</v>
      </c>
      <c r="G45" s="38"/>
      <c r="H45" s="138">
        <f>RANK(I45,I3:I431)</f>
        <v>53</v>
      </c>
      <c r="I45" s="139">
        <f>VLOOKUP(A45,'Standard Deviations'!A1:C731,3,FALSE)</f>
        <v>7.6940355983686546</v>
      </c>
      <c r="J45" s="139">
        <f>I45-VLOOKUP(B$2,H1:J431,2,FALSE)</f>
        <v>3.5602085112362643</v>
      </c>
    </row>
    <row r="46" spans="1:10" ht="21.2" customHeight="1">
      <c r="A46" s="8" t="s">
        <v>162</v>
      </c>
      <c r="B46" s="136" t="str">
        <f>VLOOKUP(A46,'The List'!B1:D730,3,FALSE)</f>
        <v>RW</v>
      </c>
      <c r="C46" s="137">
        <f>IF(Settings!$E$15="POINTS",RANK(E46,E3:E431),H46)</f>
        <v>46</v>
      </c>
      <c r="D46" s="34" t="str">
        <f>VLOOKUP(A46,'The List'!B1:F730,5,FALSE)</f>
        <v>BUF</v>
      </c>
      <c r="E46" s="38">
        <f>VLOOKUP(A46,'The List'!B1:I730,8,FALSE)</f>
        <v>8.3103855162907294</v>
      </c>
      <c r="F46" s="38">
        <f>IF(Settings!$E$15="POINTS",E46-VLOOKUP(B$2,C1:E431,3,FALSE),J46)</f>
        <v>4.1765584291583391</v>
      </c>
      <c r="G46" s="38"/>
      <c r="H46" s="138">
        <f>RANK(I46,I3:I431)</f>
        <v>46</v>
      </c>
      <c r="I46" s="139">
        <f>VLOOKUP(A46,'Standard Deviations'!A1:C731,3,FALSE)</f>
        <v>8.3103855162907294</v>
      </c>
      <c r="J46" s="139">
        <f>I46-VLOOKUP(B$2,H1:J431,2,FALSE)</f>
        <v>4.1765584291583391</v>
      </c>
    </row>
    <row r="47" spans="1:10" ht="21.2" customHeight="1">
      <c r="A47" s="8" t="s">
        <v>195</v>
      </c>
      <c r="B47" s="136" t="str">
        <f>VLOOKUP(A47,'The List'!B1:D730,3,FALSE)</f>
        <v>C</v>
      </c>
      <c r="C47" s="137">
        <f>IF(Settings!$E$15="POINTS",RANK(E47,E3:E431),H47)</f>
        <v>31</v>
      </c>
      <c r="D47" s="34" t="str">
        <f>VLOOKUP(A47,'The List'!B1:F730,5,FALSE)</f>
        <v>VGK</v>
      </c>
      <c r="E47" s="38">
        <f>VLOOKUP(A47,'The List'!B1:I730,8,FALSE)</f>
        <v>9.0706381514518206</v>
      </c>
      <c r="F47" s="38">
        <f>IF(Settings!$E$15="POINTS",E47-VLOOKUP(B$2,C1:E431,3,FALSE),J47)</f>
        <v>4.9368110643194303</v>
      </c>
      <c r="G47" s="38"/>
      <c r="H47" s="138">
        <f>RANK(I47,I3:I431)</f>
        <v>31</v>
      </c>
      <c r="I47" s="139">
        <f>VLOOKUP(A47,'Standard Deviations'!A1:C731,3,FALSE)</f>
        <v>9.0706381514518206</v>
      </c>
      <c r="J47" s="139">
        <f>I47-VLOOKUP(B$2,H1:J431,2,FALSE)</f>
        <v>4.9368110643194303</v>
      </c>
    </row>
    <row r="48" spans="1:10" ht="21.2" customHeight="1">
      <c r="A48" s="8" t="s">
        <v>163</v>
      </c>
      <c r="B48" s="136" t="str">
        <f>VLOOKUP(A48,'The List'!B1:D730,3,FALSE)</f>
        <v>LW,RW</v>
      </c>
      <c r="C48" s="137">
        <f>IF(Settings!$E$15="POINTS",RANK(E48,E3:E431),H48)</f>
        <v>47</v>
      </c>
      <c r="D48" s="34" t="str">
        <f>VLOOKUP(A48,'The List'!B1:F730,5,FALSE)</f>
        <v>STL</v>
      </c>
      <c r="E48" s="38">
        <f>VLOOKUP(A48,'The List'!B1:I730,8,FALSE)</f>
        <v>8.1517737192623727</v>
      </c>
      <c r="F48" s="38">
        <f>IF(Settings!$E$15="POINTS",E48-VLOOKUP(B$2,C1:E431,3,FALSE),J48)</f>
        <v>4.0179466321299824</v>
      </c>
      <c r="G48" s="38"/>
      <c r="H48" s="138">
        <f>RANK(I48,I3:I431)</f>
        <v>47</v>
      </c>
      <c r="I48" s="139">
        <f>VLOOKUP(A48,'Standard Deviations'!A1:C731,3,FALSE)</f>
        <v>8.1517737192623727</v>
      </c>
      <c r="J48" s="139">
        <f>I48-VLOOKUP(B$2,H1:J431,2,FALSE)</f>
        <v>4.0179466321299824</v>
      </c>
    </row>
    <row r="49" spans="1:10" ht="21.2" customHeight="1">
      <c r="A49" s="8" t="s">
        <v>179</v>
      </c>
      <c r="B49" s="136" t="str">
        <f>VLOOKUP(A49,'The List'!B1:D730,3,FALSE)</f>
        <v>LW</v>
      </c>
      <c r="C49" s="137">
        <f>IF(Settings!$E$15="POINTS",RANK(E49,E3:E431),H49)</f>
        <v>48</v>
      </c>
      <c r="D49" s="34" t="str">
        <f>VLOOKUP(A49,'The List'!B1:F730,5,FALSE)</f>
        <v>BOS</v>
      </c>
      <c r="E49" s="38">
        <f>VLOOKUP(A49,'The List'!B1:I730,8,FALSE)</f>
        <v>8.1381961935848466</v>
      </c>
      <c r="F49" s="38">
        <f>IF(Settings!$E$15="POINTS",E49-VLOOKUP(B$2,C1:E431,3,FALSE),J49)</f>
        <v>4.0043691064524563</v>
      </c>
      <c r="G49" s="38"/>
      <c r="H49" s="138">
        <f>RANK(I49,I3:I431)</f>
        <v>48</v>
      </c>
      <c r="I49" s="139">
        <f>VLOOKUP(A49,'Standard Deviations'!A1:C731,3,FALSE)</f>
        <v>8.1381961935848466</v>
      </c>
      <c r="J49" s="139">
        <f>I49-VLOOKUP(B$2,H1:J431,2,FALSE)</f>
        <v>4.0043691064524563</v>
      </c>
    </row>
    <row r="50" spans="1:10" ht="21.2" customHeight="1">
      <c r="A50" s="8" t="s">
        <v>198</v>
      </c>
      <c r="B50" s="136" t="str">
        <f>VLOOKUP(A50,'The List'!B1:D730,3,FALSE)</f>
        <v>C</v>
      </c>
      <c r="C50" s="137">
        <f>IF(Settings!$E$15="POINTS",RANK(E50,E3:E431),H50)</f>
        <v>50</v>
      </c>
      <c r="D50" s="34" t="str">
        <f>VLOOKUP(A50,'The List'!B1:F730,5,FALSE)</f>
        <v>WPG</v>
      </c>
      <c r="E50" s="38">
        <f>VLOOKUP(A50,'The List'!B1:I730,8,FALSE)</f>
        <v>7.8859465772544128</v>
      </c>
      <c r="F50" s="38">
        <f>IF(Settings!$E$15="POINTS",E50-VLOOKUP(B$2,C1:E431,3,FALSE),J50)</f>
        <v>3.7521194901220225</v>
      </c>
      <c r="G50" s="38"/>
      <c r="H50" s="138">
        <f>RANK(I50,I3:I431)</f>
        <v>50</v>
      </c>
      <c r="I50" s="139">
        <f>VLOOKUP(A50,'Standard Deviations'!A1:C731,3,FALSE)</f>
        <v>7.8859465772544128</v>
      </c>
      <c r="J50" s="139">
        <f>I50-VLOOKUP(B$2,H1:J431,2,FALSE)</f>
        <v>3.7521194901220225</v>
      </c>
    </row>
    <row r="51" spans="1:10" ht="21.2" customHeight="1">
      <c r="A51" s="8" t="s">
        <v>166</v>
      </c>
      <c r="B51" s="136" t="str">
        <f>VLOOKUP(A51,'The List'!B1:D730,3,FALSE)</f>
        <v>LW,RW</v>
      </c>
      <c r="C51" s="137">
        <f>IF(Settings!$E$15="POINTS",RANK(E51,E3:E431),H51)</f>
        <v>56</v>
      </c>
      <c r="D51" s="34" t="str">
        <f>VLOOKUP(A51,'The List'!B1:F730,5,FALSE)</f>
        <v>DET</v>
      </c>
      <c r="E51" s="38">
        <f>VLOOKUP(A51,'The List'!B1:I730,8,FALSE)</f>
        <v>7.3446174527156405</v>
      </c>
      <c r="F51" s="38">
        <f>IF(Settings!$E$15="POINTS",E51-VLOOKUP(B$2,C1:E431,3,FALSE),J51)</f>
        <v>3.2107903655832501</v>
      </c>
      <c r="G51" s="38"/>
      <c r="H51" s="138">
        <f>RANK(I51,I3:I431)</f>
        <v>56</v>
      </c>
      <c r="I51" s="139">
        <f>VLOOKUP(A51,'Standard Deviations'!A1:C731,3,FALSE)</f>
        <v>7.3446174527156405</v>
      </c>
      <c r="J51" s="139">
        <f>I51-VLOOKUP(B$2,H1:J431,2,FALSE)</f>
        <v>3.2107903655832501</v>
      </c>
    </row>
    <row r="52" spans="1:10" ht="21.2" customHeight="1">
      <c r="A52" s="8" t="s">
        <v>201</v>
      </c>
      <c r="B52" s="136" t="str">
        <f>VLOOKUP(A52,'The List'!B1:D730,3,FALSE)</f>
        <v>C</v>
      </c>
      <c r="C52" s="137">
        <f>IF(Settings!$E$15="POINTS",RANK(E52,E3:E431),H52)</f>
        <v>63</v>
      </c>
      <c r="D52" s="34" t="str">
        <f>VLOOKUP(A52,'The List'!B1:F730,5,FALSE)</f>
        <v>MIN</v>
      </c>
      <c r="E52" s="38">
        <f>VLOOKUP(A52,'The List'!B1:I730,8,FALSE)</f>
        <v>6.9679984875936958</v>
      </c>
      <c r="F52" s="38">
        <f>IF(Settings!$E$15="POINTS",E52-VLOOKUP(B$2,C1:E431,3,FALSE),J52)</f>
        <v>2.8341714004613054</v>
      </c>
      <c r="G52" s="38"/>
      <c r="H52" s="138">
        <f>RANK(I52,I3:I431)</f>
        <v>63</v>
      </c>
      <c r="I52" s="139">
        <f>VLOOKUP(A52,'Standard Deviations'!A1:C731,3,FALSE)</f>
        <v>6.9679984875936958</v>
      </c>
      <c r="J52" s="139">
        <f>I52-VLOOKUP(B$2,H1:J431,2,FALSE)</f>
        <v>2.8341714004613054</v>
      </c>
    </row>
    <row r="53" spans="1:10" ht="21.2" customHeight="1">
      <c r="A53" s="8" t="s">
        <v>203</v>
      </c>
      <c r="B53" s="136" t="str">
        <f>VLOOKUP(A53,'The List'!B1:D730,3,FALSE)</f>
        <v>C</v>
      </c>
      <c r="C53" s="137">
        <f>IF(Settings!$E$15="POINTS",RANK(E53,E3:E431),H53)</f>
        <v>29</v>
      </c>
      <c r="D53" s="34" t="str">
        <f>VLOOKUP(A53,'The List'!B1:F730,5,FALSE)</f>
        <v>PIT</v>
      </c>
      <c r="E53" s="38">
        <f>VLOOKUP(A53,'The List'!B1:I730,8,FALSE)</f>
        <v>9.1129813337351067</v>
      </c>
      <c r="F53" s="38">
        <f>IF(Settings!$E$15="POINTS",E53-VLOOKUP(B$2,C1:E431,3,FALSE),J53)</f>
        <v>4.9791542466027163</v>
      </c>
      <c r="G53" s="38"/>
      <c r="H53" s="138">
        <f>RANK(I53,I3:I431)</f>
        <v>29</v>
      </c>
      <c r="I53" s="139">
        <f>VLOOKUP(A53,'Standard Deviations'!A1:C731,3,FALSE)</f>
        <v>9.1129813337351067</v>
      </c>
      <c r="J53" s="139">
        <f>I53-VLOOKUP(B$2,H1:J431,2,FALSE)</f>
        <v>4.9791542466027163</v>
      </c>
    </row>
    <row r="54" spans="1:10" ht="21.2" customHeight="1">
      <c r="A54" s="8" t="s">
        <v>186</v>
      </c>
      <c r="B54" s="136" t="str">
        <f>VLOOKUP(A54,'The List'!B1:D730,3,FALSE)</f>
        <v>C,LW</v>
      </c>
      <c r="C54" s="137">
        <f>IF(Settings!$E$15="POINTS",RANK(E54,E3:E431),H54)</f>
        <v>61</v>
      </c>
      <c r="D54" s="34" t="str">
        <f>VLOOKUP(A54,'The List'!B1:F730,5,FALSE)</f>
        <v>ANA</v>
      </c>
      <c r="E54" s="38">
        <f>VLOOKUP(A54,'The List'!B1:I730,8,FALSE)</f>
        <v>7.2104285715631136</v>
      </c>
      <c r="F54" s="38">
        <f>IF(Settings!$E$15="POINTS",E54-VLOOKUP(B$2,C1:E431,3,FALSE),J54)</f>
        <v>3.0766014844307232</v>
      </c>
      <c r="G54" s="38"/>
      <c r="H54" s="138">
        <f>RANK(I54,I3:I431)</f>
        <v>61</v>
      </c>
      <c r="I54" s="139">
        <f>VLOOKUP(A54,'Standard Deviations'!A1:C731,3,FALSE)</f>
        <v>7.2104285715631136</v>
      </c>
      <c r="J54" s="139">
        <f>I54-VLOOKUP(B$2,H1:J431,2,FALSE)</f>
        <v>3.0766014844307232</v>
      </c>
    </row>
    <row r="55" spans="1:10" ht="21.2" customHeight="1">
      <c r="A55" s="8" t="s">
        <v>170</v>
      </c>
      <c r="B55" s="136" t="str">
        <f>VLOOKUP(A55,'The List'!B1:D730,3,FALSE)</f>
        <v>RW</v>
      </c>
      <c r="C55" s="137">
        <f>IF(Settings!$E$15="POINTS",RANK(E55,E3:E431),H55)</f>
        <v>58</v>
      </c>
      <c r="D55" s="34" t="str">
        <f>VLOOKUP(A55,'The List'!B1:F730,5,FALSE)</f>
        <v>PHI</v>
      </c>
      <c r="E55" s="38">
        <f>VLOOKUP(A55,'The List'!B1:I730,8,FALSE)</f>
        <v>7.3121074765195431</v>
      </c>
      <c r="F55" s="38">
        <f>IF(Settings!$E$15="POINTS",E55-VLOOKUP(B$2,C1:E431,3,FALSE),J55)</f>
        <v>3.1782803893871527</v>
      </c>
      <c r="G55" s="38"/>
      <c r="H55" s="138">
        <f>RANK(I55,I3:I431)</f>
        <v>58</v>
      </c>
      <c r="I55" s="139">
        <f>VLOOKUP(A55,'Standard Deviations'!A1:C731,3,FALSE)</f>
        <v>7.3121074765195431</v>
      </c>
      <c r="J55" s="139">
        <f>I55-VLOOKUP(B$2,H1:J431,2,FALSE)</f>
        <v>3.1782803893871527</v>
      </c>
    </row>
    <row r="56" spans="1:10" ht="21.2" customHeight="1">
      <c r="A56" s="8" t="s">
        <v>204</v>
      </c>
      <c r="B56" s="136" t="str">
        <f>VLOOKUP(A56,'The List'!B1:D730,3,FALSE)</f>
        <v>C</v>
      </c>
      <c r="C56" s="137">
        <f>IF(Settings!$E$15="POINTS",RANK(E56,E3:E431),H56)</f>
        <v>51</v>
      </c>
      <c r="D56" s="34" t="str">
        <f>VLOOKUP(A56,'The List'!B1:F730,5,FALSE)</f>
        <v>CHI</v>
      </c>
      <c r="E56" s="38">
        <f>VLOOKUP(A56,'The List'!B1:I730,8,FALSE)</f>
        <v>7.8748236583444715</v>
      </c>
      <c r="F56" s="38">
        <f>IF(Settings!$E$15="POINTS",E56-VLOOKUP(B$2,C1:E431,3,FALSE),J56)</f>
        <v>3.7409965712120812</v>
      </c>
      <c r="G56" s="38"/>
      <c r="H56" s="138">
        <f>RANK(I56,I3:I431)</f>
        <v>51</v>
      </c>
      <c r="I56" s="139">
        <f>VLOOKUP(A56,'Standard Deviations'!A1:C731,3,FALSE)</f>
        <v>7.8748236583444715</v>
      </c>
      <c r="J56" s="139">
        <f>I56-VLOOKUP(B$2,H1:J431,2,FALSE)</f>
        <v>3.7409965712120812</v>
      </c>
    </row>
    <row r="57" spans="1:10" ht="21.2" customHeight="1">
      <c r="A57" s="8" t="s">
        <v>191</v>
      </c>
      <c r="B57" s="136" t="str">
        <f>VLOOKUP(A57,'The List'!B1:D730,3,FALSE)</f>
        <v>LW</v>
      </c>
      <c r="C57" s="137">
        <f>IF(Settings!$E$15="POINTS",RANK(E57,E3:E431),H57)</f>
        <v>60</v>
      </c>
      <c r="D57" s="34" t="str">
        <f>VLOOKUP(A57,'The List'!B1:F730,5,FALSE)</f>
        <v>BUF</v>
      </c>
      <c r="E57" s="38">
        <f>VLOOKUP(A57,'The List'!B1:I730,8,FALSE)</f>
        <v>7.2723688109085423</v>
      </c>
      <c r="F57" s="38">
        <f>IF(Settings!$E$15="POINTS",E57-VLOOKUP(B$2,C1:E431,3,FALSE),J57)</f>
        <v>3.1385417237761519</v>
      </c>
      <c r="G57" s="38"/>
      <c r="H57" s="138">
        <f>RANK(I57,I3:I431)</f>
        <v>60</v>
      </c>
      <c r="I57" s="139">
        <f>VLOOKUP(A57,'Standard Deviations'!A1:C731,3,FALSE)</f>
        <v>7.2723688109085423</v>
      </c>
      <c r="J57" s="139">
        <f>I57-VLOOKUP(B$2,H1:J431,2,FALSE)</f>
        <v>3.1385417237761519</v>
      </c>
    </row>
    <row r="58" spans="1:10" ht="21.2" customHeight="1">
      <c r="A58" s="8" t="s">
        <v>173</v>
      </c>
      <c r="B58" s="136" t="str">
        <f>VLOOKUP(A58,'The List'!B1:D730,3,FALSE)</f>
        <v>LW,RW</v>
      </c>
      <c r="C58" s="137">
        <f>IF(Settings!$E$15="POINTS",RANK(E58,E3:E431),H58)</f>
        <v>57</v>
      </c>
      <c r="D58" s="34" t="str">
        <f>VLOOKUP(A58,'The List'!B1:F730,5,FALSE)</f>
        <v>NJD</v>
      </c>
      <c r="E58" s="38">
        <f>VLOOKUP(A58,'The List'!B1:I730,8,FALSE)</f>
        <v>7.3232050734584915</v>
      </c>
      <c r="F58" s="38">
        <f>IF(Settings!$E$15="POINTS",E58-VLOOKUP(B$2,C1:E431,3,FALSE),J58)</f>
        <v>3.1893779863261011</v>
      </c>
      <c r="G58" s="38"/>
      <c r="H58" s="138">
        <f>RANK(I58,I3:I431)</f>
        <v>57</v>
      </c>
      <c r="I58" s="139">
        <f>VLOOKUP(A58,'Standard Deviations'!A1:C731,3,FALSE)</f>
        <v>7.3232050734584915</v>
      </c>
      <c r="J58" s="139">
        <f>I58-VLOOKUP(B$2,H1:J431,2,FALSE)</f>
        <v>3.1893779863261011</v>
      </c>
    </row>
    <row r="59" spans="1:10" ht="21.2" customHeight="1">
      <c r="A59" s="8" t="s">
        <v>197</v>
      </c>
      <c r="B59" s="136" t="str">
        <f>VLOOKUP(A59,'The List'!B1:D730,3,FALSE)</f>
        <v>LW</v>
      </c>
      <c r="C59" s="137">
        <f>IF(Settings!$E$15="POINTS",RANK(E59,E3:E431),H59)</f>
        <v>59</v>
      </c>
      <c r="D59" s="34" t="str">
        <f>VLOOKUP(A59,'The List'!B1:F730,5,FALSE)</f>
        <v>FLA</v>
      </c>
      <c r="E59" s="38">
        <f>VLOOKUP(A59,'The List'!B1:I730,8,FALSE)</f>
        <v>7.311458974838196</v>
      </c>
      <c r="F59" s="38">
        <f>IF(Settings!$E$15="POINTS",E59-VLOOKUP(B$2,C1:E431,3,FALSE),J59)</f>
        <v>3.1776318877058056</v>
      </c>
      <c r="G59" s="38"/>
      <c r="H59" s="138">
        <f>RANK(I59,I3:I431)</f>
        <v>59</v>
      </c>
      <c r="I59" s="139">
        <f>VLOOKUP(A59,'Standard Deviations'!A1:C731,3,FALSE)</f>
        <v>7.311458974838196</v>
      </c>
      <c r="J59" s="139">
        <f>I59-VLOOKUP(B$2,H1:J431,2,FALSE)</f>
        <v>3.1776318877058056</v>
      </c>
    </row>
    <row r="60" spans="1:10" ht="21.2" customHeight="1">
      <c r="A60" s="8" t="s">
        <v>174</v>
      </c>
      <c r="B60" s="136" t="str">
        <f>VLOOKUP(A60,'The List'!B1:D730,3,FALSE)</f>
        <v>LW,RW</v>
      </c>
      <c r="C60" s="137">
        <f>IF(Settings!$E$15="POINTS",RANK(E60,E3:E431),H60)</f>
        <v>44</v>
      </c>
      <c r="D60" s="34" t="str">
        <f>VLOOKUP(A60,'The List'!B1:F730,5,FALSE)</f>
        <v>CBJ</v>
      </c>
      <c r="E60" s="38">
        <f>VLOOKUP(A60,'The List'!B1:I730,8,FALSE)</f>
        <v>8.4488457205773173</v>
      </c>
      <c r="F60" s="38">
        <f>IF(Settings!$E$15="POINTS",E60-VLOOKUP(B$2,C1:E431,3,FALSE),J60)</f>
        <v>4.315018633444927</v>
      </c>
      <c r="G60" s="38"/>
      <c r="H60" s="138">
        <f>RANK(I60,I3:I431)</f>
        <v>44</v>
      </c>
      <c r="I60" s="139">
        <f>VLOOKUP(A60,'Standard Deviations'!A1:C731,3,FALSE)</f>
        <v>8.4488457205773173</v>
      </c>
      <c r="J60" s="139">
        <f>I60-VLOOKUP(B$2,H1:J431,2,FALSE)</f>
        <v>4.315018633444927</v>
      </c>
    </row>
    <row r="61" spans="1:10" ht="21.2" customHeight="1">
      <c r="A61" s="8" t="s">
        <v>175</v>
      </c>
      <c r="B61" s="136" t="str">
        <f>VLOOKUP(A61,'The List'!B1:D730,3,FALSE)</f>
        <v>RW</v>
      </c>
      <c r="C61" s="137">
        <f>IF(Settings!$E$15="POINTS",RANK(E61,E3:E431),H61)</f>
        <v>65</v>
      </c>
      <c r="D61" s="34" t="str">
        <f>VLOOKUP(A61,'The List'!B1:F730,5,FALSE)</f>
        <v>FLA</v>
      </c>
      <c r="E61" s="38">
        <f>VLOOKUP(A61,'The List'!B1:I730,8,FALSE)</f>
        <v>6.8556134373671789</v>
      </c>
      <c r="F61" s="38">
        <f>IF(Settings!$E$15="POINTS",E61-VLOOKUP(B$2,C1:E431,3,FALSE),J61)</f>
        <v>2.7217863502347885</v>
      </c>
      <c r="G61" s="38"/>
      <c r="H61" s="138">
        <f>RANK(I61,I3:I431)</f>
        <v>65</v>
      </c>
      <c r="I61" s="139">
        <f>VLOOKUP(A61,'Standard Deviations'!A1:C731,3,FALSE)</f>
        <v>6.8556134373671789</v>
      </c>
      <c r="J61" s="139">
        <f>I61-VLOOKUP(B$2,H1:J431,2,FALSE)</f>
        <v>2.7217863502347885</v>
      </c>
    </row>
    <row r="62" spans="1:10" ht="21.2" customHeight="1">
      <c r="A62" s="8" t="s">
        <v>212</v>
      </c>
      <c r="B62" s="136" t="str">
        <f>VLOOKUP(A62,'The List'!B1:D730,3,FALSE)</f>
        <v>C</v>
      </c>
      <c r="C62" s="137">
        <f>IF(Settings!$E$15="POINTS",RANK(E62,E3:E431),H62)</f>
        <v>71</v>
      </c>
      <c r="D62" s="34" t="str">
        <f>VLOOKUP(A62,'The List'!B1:F730,5,FALSE)</f>
        <v>CGY</v>
      </c>
      <c r="E62" s="38">
        <f>VLOOKUP(A62,'The List'!B1:I730,8,FALSE)</f>
        <v>6.5910859387786429</v>
      </c>
      <c r="F62" s="38">
        <f>IF(Settings!$E$15="POINTS",E62-VLOOKUP(B$2,C1:E431,3,FALSE),J62)</f>
        <v>2.4572588516462526</v>
      </c>
      <c r="G62" s="38"/>
      <c r="H62" s="138">
        <f>RANK(I62,I3:I431)</f>
        <v>71</v>
      </c>
      <c r="I62" s="139">
        <f>VLOOKUP(A62,'Standard Deviations'!A1:C731,3,FALSE)</f>
        <v>6.5910859387786429</v>
      </c>
      <c r="J62" s="139">
        <f>I62-VLOOKUP(B$2,H1:J431,2,FALSE)</f>
        <v>2.4572588516462526</v>
      </c>
    </row>
    <row r="63" spans="1:10" ht="21.2" customHeight="1">
      <c r="A63" s="8" t="s">
        <v>185</v>
      </c>
      <c r="B63" s="136" t="str">
        <f>VLOOKUP(A63,'The List'!B1:D730,3,FALSE)</f>
        <v>C,RW</v>
      </c>
      <c r="C63" s="137">
        <f>IF(Settings!$E$15="POINTS",RANK(E63,E3:E431),H63)</f>
        <v>73</v>
      </c>
      <c r="D63" s="34" t="str">
        <f>VLOOKUP(A63,'The List'!B1:F730,5,FALSE)</f>
        <v>DAL</v>
      </c>
      <c r="E63" s="38">
        <f>VLOOKUP(A63,'The List'!B1:I730,8,FALSE)</f>
        <v>6.4454207757164905</v>
      </c>
      <c r="F63" s="38">
        <f>IF(Settings!$E$15="POINTS",E63-VLOOKUP(B$2,C1:E431,3,FALSE),J63)</f>
        <v>2.3115936885841002</v>
      </c>
      <c r="G63" s="38"/>
      <c r="H63" s="138">
        <f>RANK(I63,I3:I431)</f>
        <v>73</v>
      </c>
      <c r="I63" s="139">
        <f>VLOOKUP(A63,'Standard Deviations'!A1:C731,3,FALSE)</f>
        <v>6.4454207757164905</v>
      </c>
      <c r="J63" s="139">
        <f>I63-VLOOKUP(B$2,H1:J431,2,FALSE)</f>
        <v>2.3115936885841002</v>
      </c>
    </row>
    <row r="64" spans="1:10" ht="21.2" customHeight="1">
      <c r="A64" s="8" t="s">
        <v>187</v>
      </c>
      <c r="B64" s="136" t="str">
        <f>VLOOKUP(A64,'The List'!B1:D730,3,FALSE)</f>
        <v>RW</v>
      </c>
      <c r="C64" s="137">
        <f>IF(Settings!$E$15="POINTS",RANK(E64,E3:E431),H64)</f>
        <v>62</v>
      </c>
      <c r="D64" s="34" t="str">
        <f>VLOOKUP(A64,'The List'!B1:F730,5,FALSE)</f>
        <v>ANA</v>
      </c>
      <c r="E64" s="38">
        <f>VLOOKUP(A64,'The List'!B1:I730,8,FALSE)</f>
        <v>7.1688647251580715</v>
      </c>
      <c r="F64" s="38">
        <f>IF(Settings!$E$15="POINTS",E64-VLOOKUP(B$2,C1:E431,3,FALSE),J64)</f>
        <v>3.0350376380256812</v>
      </c>
      <c r="G64" s="38"/>
      <c r="H64" s="138">
        <f>RANK(I64,I3:I431)</f>
        <v>62</v>
      </c>
      <c r="I64" s="139">
        <f>VLOOKUP(A64,'Standard Deviations'!A1:C731,3,FALSE)</f>
        <v>7.1688647251580715</v>
      </c>
      <c r="J64" s="139">
        <f>I64-VLOOKUP(B$2,H1:J431,2,FALSE)</f>
        <v>3.0350376380256812</v>
      </c>
    </row>
    <row r="65" spans="1:10" ht="21.2" customHeight="1">
      <c r="A65" s="8" t="s">
        <v>205</v>
      </c>
      <c r="B65" s="136" t="str">
        <f>VLOOKUP(A65,'The List'!B1:D730,3,FALSE)</f>
        <v>LW</v>
      </c>
      <c r="C65" s="137">
        <f>IF(Settings!$E$15="POINTS",RANK(E65,E3:E431),H65)</f>
        <v>40</v>
      </c>
      <c r="D65" s="34" t="str">
        <f>VLOOKUP(A65,'The List'!B1:F730,5,FALSE)</f>
        <v>NSH</v>
      </c>
      <c r="E65" s="38">
        <f>VLOOKUP(A65,'The List'!B1:I730,8,FALSE)</f>
        <v>8.4953956584473396</v>
      </c>
      <c r="F65" s="38">
        <f>IF(Settings!$E$15="POINTS",E65-VLOOKUP(B$2,C1:E431,3,FALSE),J65)</f>
        <v>4.3615685713149492</v>
      </c>
      <c r="G65" s="38"/>
      <c r="H65" s="138">
        <f>RANK(I65,I3:I431)</f>
        <v>40</v>
      </c>
      <c r="I65" s="139">
        <f>VLOOKUP(A65,'Standard Deviations'!A1:C731,3,FALSE)</f>
        <v>8.4953956584473396</v>
      </c>
      <c r="J65" s="139">
        <f>I65-VLOOKUP(B$2,H1:J431,2,FALSE)</f>
        <v>4.3615685713149492</v>
      </c>
    </row>
    <row r="66" spans="1:10" ht="21.2" customHeight="1">
      <c r="A66" s="8" t="s">
        <v>188</v>
      </c>
      <c r="B66" s="136" t="str">
        <f>VLOOKUP(A66,'The List'!B1:D730,3,FALSE)</f>
        <v>C,RW</v>
      </c>
      <c r="C66" s="137">
        <f>IF(Settings!$E$15="POINTS",RANK(E66,E3:E431),H66)</f>
        <v>55</v>
      </c>
      <c r="D66" s="34" t="str">
        <f>VLOOKUP(A66,'The List'!B1:F730,5,FALSE)</f>
        <v>NYI</v>
      </c>
      <c r="E66" s="38">
        <f>VLOOKUP(A66,'The List'!B1:I730,8,FALSE)</f>
        <v>7.4930103346588677</v>
      </c>
      <c r="F66" s="38">
        <f>IF(Settings!$E$15="POINTS",E66-VLOOKUP(B$2,C1:E431,3,FALSE),J66)</f>
        <v>3.3591832475264773</v>
      </c>
      <c r="G66" s="38"/>
      <c r="H66" s="138">
        <f>RANK(I66,I3:I431)</f>
        <v>55</v>
      </c>
      <c r="I66" s="139">
        <f>VLOOKUP(A66,'Standard Deviations'!A1:C731,3,FALSE)</f>
        <v>7.4930103346588677</v>
      </c>
      <c r="J66" s="139">
        <f>I66-VLOOKUP(B$2,H1:J431,2,FALSE)</f>
        <v>3.3591832475264773</v>
      </c>
    </row>
    <row r="67" spans="1:10" ht="21.2" customHeight="1">
      <c r="A67" s="8" t="s">
        <v>189</v>
      </c>
      <c r="B67" s="136" t="str">
        <f>VLOOKUP(A67,'The List'!B1:D730,3,FALSE)</f>
        <v>LW,RW</v>
      </c>
      <c r="C67" s="137">
        <f>IF(Settings!$E$15="POINTS",RANK(E67,E3:E431),H67)</f>
        <v>66</v>
      </c>
      <c r="D67" s="34" t="str">
        <f>VLOOKUP(A67,'The List'!B1:F730,5,FALSE)</f>
        <v>VGK</v>
      </c>
      <c r="E67" s="38">
        <f>VLOOKUP(A67,'The List'!B1:I730,8,FALSE)</f>
        <v>6.8198689629503599</v>
      </c>
      <c r="F67" s="38">
        <f>IF(Settings!$E$15="POINTS",E67-VLOOKUP(B$2,C1:E431,3,FALSE),J67)</f>
        <v>2.6860418758179696</v>
      </c>
      <c r="G67" s="38"/>
      <c r="H67" s="138">
        <f>RANK(I67,I3:I431)</f>
        <v>66</v>
      </c>
      <c r="I67" s="139">
        <f>VLOOKUP(A67,'Standard Deviations'!A1:C731,3,FALSE)</f>
        <v>6.8198689629503599</v>
      </c>
      <c r="J67" s="139">
        <f>I67-VLOOKUP(B$2,H1:J431,2,FALSE)</f>
        <v>2.6860418758179696</v>
      </c>
    </row>
    <row r="68" spans="1:10" ht="21.2" customHeight="1">
      <c r="A68" s="8" t="s">
        <v>194</v>
      </c>
      <c r="B68" s="136" t="str">
        <f>VLOOKUP(A68,'The List'!B1:D730,3,FALSE)</f>
        <v>LW,RW</v>
      </c>
      <c r="C68" s="137">
        <f>IF(Settings!$E$15="POINTS",RANK(E68,E3:E431),H68)</f>
        <v>68</v>
      </c>
      <c r="D68" s="34" t="str">
        <f>VLOOKUP(A68,'The List'!B1:F730,5,FALSE)</f>
        <v>CGY</v>
      </c>
      <c r="E68" s="38">
        <f>VLOOKUP(A68,'The List'!B1:I730,8,FALSE)</f>
        <v>6.6546690441244012</v>
      </c>
      <c r="F68" s="38">
        <f>IF(Settings!$E$15="POINTS",E68-VLOOKUP(B$2,C1:E431,3,FALSE),J68)</f>
        <v>2.5208419569920109</v>
      </c>
      <c r="G68" s="38"/>
      <c r="H68" s="138">
        <f>RANK(I68,I3:I431)</f>
        <v>68</v>
      </c>
      <c r="I68" s="139">
        <f>VLOOKUP(A68,'Standard Deviations'!A1:C731,3,FALSE)</f>
        <v>6.6546690441244012</v>
      </c>
      <c r="J68" s="139">
        <f>I68-VLOOKUP(B$2,H1:J431,2,FALSE)</f>
        <v>2.5208419569920109</v>
      </c>
    </row>
    <row r="69" spans="1:10" ht="21.2" customHeight="1">
      <c r="A69" s="8" t="s">
        <v>196</v>
      </c>
      <c r="B69" s="136" t="str">
        <f>VLOOKUP(A69,'The List'!B1:D730,3,FALSE)</f>
        <v>RW</v>
      </c>
      <c r="C69" s="137">
        <f>IF(Settings!$E$15="POINTS",RANK(E69,E3:E431),H69)</f>
        <v>74</v>
      </c>
      <c r="D69" s="34" t="str">
        <f>VLOOKUP(A69,'The List'!B1:F730,5,FALSE)</f>
        <v>CAR</v>
      </c>
      <c r="E69" s="38">
        <f>VLOOKUP(A69,'The List'!B1:I730,8,FALSE)</f>
        <v>6.4441422120163754</v>
      </c>
      <c r="F69" s="38">
        <f>IF(Settings!$E$15="POINTS",E69-VLOOKUP(B$2,C1:E431,3,FALSE),J69)</f>
        <v>2.310315124883985</v>
      </c>
      <c r="G69" s="38"/>
      <c r="H69" s="138">
        <f>RANK(I69,I3:I431)</f>
        <v>74</v>
      </c>
      <c r="I69" s="139">
        <f>VLOOKUP(A69,'Standard Deviations'!A1:C731,3,FALSE)</f>
        <v>6.4441422120163754</v>
      </c>
      <c r="J69" s="139">
        <f>I69-VLOOKUP(B$2,H1:J431,2,FALSE)</f>
        <v>2.310315124883985</v>
      </c>
    </row>
    <row r="70" spans="1:10" ht="21.2" customHeight="1">
      <c r="A70" s="8" t="s">
        <v>224</v>
      </c>
      <c r="B70" s="136" t="str">
        <f>VLOOKUP(A70,'The List'!B1:D730,3,FALSE)</f>
        <v>C</v>
      </c>
      <c r="C70" s="137">
        <f>IF(Settings!$E$15="POINTS",RANK(E70,E3:E431),H70)</f>
        <v>72</v>
      </c>
      <c r="D70" s="34" t="str">
        <f>VLOOKUP(A70,'The List'!B1:F730,5,FALSE)</f>
        <v>NYI</v>
      </c>
      <c r="E70" s="38">
        <f>VLOOKUP(A70,'The List'!B1:I730,8,FALSE)</f>
        <v>6.547987422203728</v>
      </c>
      <c r="F70" s="38">
        <f>IF(Settings!$E$15="POINTS",E70-VLOOKUP(B$2,C1:E431,3,FALSE),J70)</f>
        <v>2.4141603350713376</v>
      </c>
      <c r="G70" s="38"/>
      <c r="H70" s="138">
        <f>RANK(I70,I3:I431)</f>
        <v>72</v>
      </c>
      <c r="I70" s="139">
        <f>VLOOKUP(A70,'Standard Deviations'!A1:C731,3,FALSE)</f>
        <v>6.547987422203728</v>
      </c>
      <c r="J70" s="139">
        <f>I70-VLOOKUP(B$2,H1:J431,2,FALSE)</f>
        <v>2.4141603350713376</v>
      </c>
    </row>
    <row r="71" spans="1:10" ht="21.2" customHeight="1">
      <c r="A71" s="8" t="s">
        <v>218</v>
      </c>
      <c r="B71" s="136" t="str">
        <f>VLOOKUP(A71,'The List'!B1:D730,3,FALSE)</f>
        <v>LW</v>
      </c>
      <c r="C71" s="137">
        <f>IF(Settings!$E$15="POINTS",RANK(E71,E3:E431),H71)</f>
        <v>75</v>
      </c>
      <c r="D71" s="34" t="str">
        <f>VLOOKUP(A71,'The List'!B1:F730,5,FALSE)</f>
        <v>NYR</v>
      </c>
      <c r="E71" s="38">
        <f>VLOOKUP(A71,'The List'!B1:I730,8,FALSE)</f>
        <v>6.340118520658363</v>
      </c>
      <c r="F71" s="38">
        <f>IF(Settings!$E$15="POINTS",E71-VLOOKUP(B$2,C1:E431,3,FALSE),J71)</f>
        <v>2.2062914335259727</v>
      </c>
      <c r="G71" s="38"/>
      <c r="H71" s="138">
        <f>RANK(I71,I3:I431)</f>
        <v>75</v>
      </c>
      <c r="I71" s="139">
        <f>VLOOKUP(A71,'Standard Deviations'!A1:C731,3,FALSE)</f>
        <v>6.340118520658363</v>
      </c>
      <c r="J71" s="139">
        <f>I71-VLOOKUP(B$2,H1:J431,2,FALSE)</f>
        <v>2.2062914335259727</v>
      </c>
    </row>
    <row r="72" spans="1:10" ht="21.2" customHeight="1">
      <c r="A72" s="8" t="s">
        <v>202</v>
      </c>
      <c r="B72" s="136" t="str">
        <f>VLOOKUP(A72,'The List'!B1:D730,3,FALSE)</f>
        <v>RW</v>
      </c>
      <c r="C72" s="137">
        <f>IF(Settings!$E$15="POINTS",RANK(E72,E3:E431),H72)</f>
        <v>67</v>
      </c>
      <c r="D72" s="34" t="str">
        <f>VLOOKUP(A72,'The List'!B1:F730,5,FALSE)</f>
        <v>MIN</v>
      </c>
      <c r="E72" s="38">
        <f>VLOOKUP(A72,'The List'!B1:I730,8,FALSE)</f>
        <v>6.6879968532464398</v>
      </c>
      <c r="F72" s="38">
        <f>IF(Settings!$E$15="POINTS",E72-VLOOKUP(B$2,C1:E431,3,FALSE),J72)</f>
        <v>2.5541697661140494</v>
      </c>
      <c r="G72" s="38"/>
      <c r="H72" s="138">
        <f>RANK(I72,I3:I431)</f>
        <v>67</v>
      </c>
      <c r="I72" s="139">
        <f>VLOOKUP(A72,'Standard Deviations'!A1:C731,3,FALSE)</f>
        <v>6.6879968532464398</v>
      </c>
      <c r="J72" s="139">
        <f>I72-VLOOKUP(B$2,H1:J431,2,FALSE)</f>
        <v>2.5541697661140494</v>
      </c>
    </row>
    <row r="73" spans="1:10" ht="21.2" customHeight="1">
      <c r="A73" s="8" t="s">
        <v>228</v>
      </c>
      <c r="B73" s="136" t="str">
        <f>VLOOKUP(A73,'The List'!B1:D730,3,FALSE)</f>
        <v>C</v>
      </c>
      <c r="C73" s="137">
        <f>IF(Settings!$E$15="POINTS",RANK(E73,E3:E431),H73)</f>
        <v>79</v>
      </c>
      <c r="D73" s="34" t="str">
        <f>VLOOKUP(A73,'The List'!B1:F730,5,FALSE)</f>
        <v>SEA</v>
      </c>
      <c r="E73" s="38">
        <f>VLOOKUP(A73,'The List'!B1:I730,8,FALSE)</f>
        <v>6.0122623371438388</v>
      </c>
      <c r="F73" s="38">
        <f>IF(Settings!$E$15="POINTS",E73-VLOOKUP(B$2,C1:E431,3,FALSE),J73)</f>
        <v>1.8784352500114485</v>
      </c>
      <c r="G73" s="38"/>
      <c r="H73" s="138">
        <f>RANK(I73,I3:I431)</f>
        <v>79</v>
      </c>
      <c r="I73" s="139">
        <f>VLOOKUP(A73,'Standard Deviations'!A1:C731,3,FALSE)</f>
        <v>6.0122623371438388</v>
      </c>
      <c r="J73" s="139">
        <f>I73-VLOOKUP(B$2,H1:J431,2,FALSE)</f>
        <v>1.8784352500114485</v>
      </c>
    </row>
    <row r="74" spans="1:10" ht="21.2" customHeight="1">
      <c r="A74" s="8" t="s">
        <v>229</v>
      </c>
      <c r="B74" s="136" t="str">
        <f>VLOOKUP(A74,'The List'!B1:D730,3,FALSE)</f>
        <v>C</v>
      </c>
      <c r="C74" s="137">
        <f>IF(Settings!$E$15="POINTS",RANK(E74,E3:E431),H74)</f>
        <v>85</v>
      </c>
      <c r="D74" s="34" t="str">
        <f>VLOOKUP(A74,'The List'!B1:F730,5,FALSE)</f>
        <v>MTL</v>
      </c>
      <c r="E74" s="38">
        <f>VLOOKUP(A74,'The List'!B1:I730,8,FALSE)</f>
        <v>5.6526972314709631</v>
      </c>
      <c r="F74" s="38">
        <f>IF(Settings!$E$15="POINTS",E74-VLOOKUP(B$2,C1:E431,3,FALSE),J74)</f>
        <v>1.5188701443385728</v>
      </c>
      <c r="G74" s="38"/>
      <c r="H74" s="138">
        <f>RANK(I74,I3:I431)</f>
        <v>85</v>
      </c>
      <c r="I74" s="139">
        <f>VLOOKUP(A74,'Standard Deviations'!A1:C731,3,FALSE)</f>
        <v>5.6526972314709631</v>
      </c>
      <c r="J74" s="139">
        <f>I74-VLOOKUP(B$2,H1:J431,2,FALSE)</f>
        <v>1.5188701443385728</v>
      </c>
    </row>
    <row r="75" spans="1:10" ht="21.2" customHeight="1">
      <c r="A75" s="8" t="s">
        <v>230</v>
      </c>
      <c r="B75" s="136" t="str">
        <f>VLOOKUP(A75,'The List'!B1:D730,3,FALSE)</f>
        <v>C</v>
      </c>
      <c r="C75" s="137">
        <f>IF(Settings!$E$15="POINTS",RANK(E75,E3:E431),H75)</f>
        <v>81</v>
      </c>
      <c r="D75" s="34" t="str">
        <f>VLOOKUP(A75,'The List'!B1:F730,5,FALSE)</f>
        <v>CGY</v>
      </c>
      <c r="E75" s="38">
        <f>VLOOKUP(A75,'The List'!B1:I730,8,FALSE)</f>
        <v>5.983039518460199</v>
      </c>
      <c r="F75" s="38">
        <f>IF(Settings!$E$15="POINTS",E75-VLOOKUP(B$2,C1:E431,3,FALSE),J75)</f>
        <v>1.8492124313278087</v>
      </c>
      <c r="G75" s="38"/>
      <c r="H75" s="138">
        <f>RANK(I75,I3:I431)</f>
        <v>81</v>
      </c>
      <c r="I75" s="139">
        <f>VLOOKUP(A75,'Standard Deviations'!A1:C731,3,FALSE)</f>
        <v>5.983039518460199</v>
      </c>
      <c r="J75" s="139">
        <f>I75-VLOOKUP(B$2,H1:J431,2,FALSE)</f>
        <v>1.8492124313278087</v>
      </c>
    </row>
    <row r="76" spans="1:10" ht="21.2" customHeight="1">
      <c r="A76" s="8" t="s">
        <v>206</v>
      </c>
      <c r="B76" s="136" t="str">
        <f>VLOOKUP(A76,'The List'!B1:D730,3,FALSE)</f>
        <v>LW,RW</v>
      </c>
      <c r="C76" s="137">
        <f>IF(Settings!$E$15="POINTS",RANK(E76,E3:E431),H76)</f>
        <v>82</v>
      </c>
      <c r="D76" s="34" t="str">
        <f>VLOOKUP(A76,'The List'!B1:F730,5,FALSE)</f>
        <v>LAK</v>
      </c>
      <c r="E76" s="38">
        <f>VLOOKUP(A76,'The List'!B1:I730,8,FALSE)</f>
        <v>5.8516478790792794</v>
      </c>
      <c r="F76" s="38">
        <f>IF(Settings!$E$15="POINTS",E76-VLOOKUP(B$2,C1:E431,3,FALSE),J76)</f>
        <v>1.7178207919468891</v>
      </c>
      <c r="G76" s="38"/>
      <c r="H76" s="138">
        <f>RANK(I76,I3:I431)</f>
        <v>82</v>
      </c>
      <c r="I76" s="139">
        <f>VLOOKUP(A76,'Standard Deviations'!A1:C731,3,FALSE)</f>
        <v>5.8516478790792794</v>
      </c>
      <c r="J76" s="139">
        <f>I76-VLOOKUP(B$2,H1:J431,2,FALSE)</f>
        <v>1.7178207919468891</v>
      </c>
    </row>
    <row r="77" spans="1:10" ht="21.2" customHeight="1">
      <c r="A77" s="8" t="s">
        <v>221</v>
      </c>
      <c r="B77" s="136" t="str">
        <f>VLOOKUP(A77,'The List'!B1:D730,3,FALSE)</f>
        <v>C,LW</v>
      </c>
      <c r="C77" s="137">
        <f>IF(Settings!$E$15="POINTS",RANK(E77,E3:E431),H77)</f>
        <v>77</v>
      </c>
      <c r="D77" s="34" t="str">
        <f>VLOOKUP(A77,'The List'!B1:F730,5,FALSE)</f>
        <v>LAK</v>
      </c>
      <c r="E77" s="38">
        <f>VLOOKUP(A77,'The List'!B1:I730,8,FALSE)</f>
        <v>6.2939538141798721</v>
      </c>
      <c r="F77" s="38">
        <f>IF(Settings!$E$15="POINTS",E77-VLOOKUP(B$2,C1:E431,3,FALSE),J77)</f>
        <v>2.1601267270474818</v>
      </c>
      <c r="G77" s="38"/>
      <c r="H77" s="138">
        <f>RANK(I77,I3:I431)</f>
        <v>77</v>
      </c>
      <c r="I77" s="139">
        <f>VLOOKUP(A77,'Standard Deviations'!A1:C731,3,FALSE)</f>
        <v>6.2939538141798721</v>
      </c>
      <c r="J77" s="139">
        <f>I77-VLOOKUP(B$2,H1:J431,2,FALSE)</f>
        <v>2.1601267270474818</v>
      </c>
    </row>
    <row r="78" spans="1:10" ht="21.2" customHeight="1">
      <c r="A78" s="8" t="s">
        <v>207</v>
      </c>
      <c r="B78" s="136" t="str">
        <f>VLOOKUP(A78,'The List'!B1:D730,3,FALSE)</f>
        <v>RW</v>
      </c>
      <c r="C78" s="137">
        <f>IF(Settings!$E$15="POINTS",RANK(E78,E3:E431),H78)</f>
        <v>64</v>
      </c>
      <c r="D78" s="34" t="str">
        <f>VLOOKUP(A78,'The List'!B1:F730,5,FALSE)</f>
        <v>COL</v>
      </c>
      <c r="E78" s="38">
        <f>VLOOKUP(A78,'The List'!B1:I730,8,FALSE)</f>
        <v>6.9041112406426972</v>
      </c>
      <c r="F78" s="38">
        <f>IF(Settings!$E$15="POINTS",E78-VLOOKUP(B$2,C1:E431,3,FALSE),J78)</f>
        <v>2.7702841535103069</v>
      </c>
      <c r="G78" s="38"/>
      <c r="H78" s="138">
        <f>RANK(I78,I3:I431)</f>
        <v>64</v>
      </c>
      <c r="I78" s="139">
        <f>VLOOKUP(A78,'Standard Deviations'!A1:C731,3,FALSE)</f>
        <v>6.9041112406426972</v>
      </c>
      <c r="J78" s="139">
        <f>I78-VLOOKUP(B$2,H1:J431,2,FALSE)</f>
        <v>2.7702841535103069</v>
      </c>
    </row>
    <row r="79" spans="1:10" ht="21.2" customHeight="1">
      <c r="A79" s="8" t="s">
        <v>208</v>
      </c>
      <c r="B79" s="136" t="str">
        <f>VLOOKUP(A79,'The List'!B1:D730,3,FALSE)</f>
        <v>LW,RW</v>
      </c>
      <c r="C79" s="137">
        <f>IF(Settings!$E$15="POINTS",RANK(E79,E3:E431),H79)</f>
        <v>54</v>
      </c>
      <c r="D79" s="34" t="str">
        <f>VLOOKUP(A79,'The List'!B1:F730,5,FALSE)</f>
        <v>MTL</v>
      </c>
      <c r="E79" s="38">
        <f>VLOOKUP(A79,'The List'!B1:I730,8,FALSE)</f>
        <v>7.6906294626593015</v>
      </c>
      <c r="F79" s="38">
        <f>IF(Settings!$E$15="POINTS",E79-VLOOKUP(B$2,C1:E431,3,FALSE),J79)</f>
        <v>3.5568023755269111</v>
      </c>
      <c r="G79" s="38"/>
      <c r="H79" s="138">
        <f>RANK(I79,I3:I431)</f>
        <v>54</v>
      </c>
      <c r="I79" s="139">
        <f>VLOOKUP(A79,'Standard Deviations'!A1:C731,3,FALSE)</f>
        <v>7.6906294626593015</v>
      </c>
      <c r="J79" s="139">
        <f>I79-VLOOKUP(B$2,H1:J431,2,FALSE)</f>
        <v>3.5568023755269111</v>
      </c>
    </row>
    <row r="80" spans="1:10" ht="21.2" customHeight="1">
      <c r="A80" s="8" t="s">
        <v>211</v>
      </c>
      <c r="B80" s="136" t="str">
        <f>VLOOKUP(A80,'The List'!B1:D730,3,FALSE)</f>
        <v>LW,RW</v>
      </c>
      <c r="C80" s="137">
        <f>IF(Settings!$E$15="POINTS",RANK(E80,E3:E431),H80)</f>
        <v>52</v>
      </c>
      <c r="D80" s="34" t="str">
        <f>VLOOKUP(A80,'The List'!B1:F730,5,FALSE)</f>
        <v>WPG</v>
      </c>
      <c r="E80" s="38">
        <f>VLOOKUP(A80,'The List'!B1:I730,8,FALSE)</f>
        <v>7.7011674187222674</v>
      </c>
      <c r="F80" s="38">
        <f>IF(Settings!$E$15="POINTS",E80-VLOOKUP(B$2,C1:E431,3,FALSE),J80)</f>
        <v>3.5673403315898771</v>
      </c>
      <c r="G80" s="38"/>
      <c r="H80" s="138">
        <f>RANK(I80,I3:I431)</f>
        <v>52</v>
      </c>
      <c r="I80" s="139">
        <f>VLOOKUP(A80,'Standard Deviations'!A1:C731,3,FALSE)</f>
        <v>7.7011674187222674</v>
      </c>
      <c r="J80" s="139">
        <f>I80-VLOOKUP(B$2,H1:J431,2,FALSE)</f>
        <v>3.5673403315898771</v>
      </c>
    </row>
    <row r="81" spans="1:10" ht="21.2" customHeight="1">
      <c r="A81" s="8" t="s">
        <v>225</v>
      </c>
      <c r="B81" s="136" t="str">
        <f>VLOOKUP(A81,'The List'!B1:D730,3,FALSE)</f>
        <v>C,LW</v>
      </c>
      <c r="C81" s="137">
        <f>IF(Settings!$E$15="POINTS",RANK(E81,E3:E431),H81)</f>
        <v>76</v>
      </c>
      <c r="D81" s="34" t="str">
        <f>VLOOKUP(A81,'The List'!B1:F730,5,FALSE)</f>
        <v>SEA</v>
      </c>
      <c r="E81" s="38">
        <f>VLOOKUP(A81,'The List'!B1:I730,8,FALSE)</f>
        <v>6.3370507242066028</v>
      </c>
      <c r="F81" s="38">
        <f>IF(Settings!$E$15="POINTS",E81-VLOOKUP(B$2,C1:E431,3,FALSE),J81)</f>
        <v>2.2032236370742124</v>
      </c>
      <c r="G81" s="38"/>
      <c r="H81" s="138">
        <f>RANK(I81,I3:I431)</f>
        <v>76</v>
      </c>
      <c r="I81" s="139">
        <f>VLOOKUP(A81,'Standard Deviations'!A1:C731,3,FALSE)</f>
        <v>6.3370507242066028</v>
      </c>
      <c r="J81" s="139">
        <f>I81-VLOOKUP(B$2,H1:J431,2,FALSE)</f>
        <v>2.2032236370742124</v>
      </c>
    </row>
    <row r="82" spans="1:10" ht="21.2" customHeight="1">
      <c r="A82" s="8" t="s">
        <v>242</v>
      </c>
      <c r="B82" s="136" t="str">
        <f>VLOOKUP(A82,'The List'!B1:D730,3,FALSE)</f>
        <v>C</v>
      </c>
      <c r="C82" s="137">
        <f>IF(Settings!$E$15="POINTS",RANK(E82,E3:E431),H82)</f>
        <v>91</v>
      </c>
      <c r="D82" s="34" t="str">
        <f>VLOOKUP(A82,'The List'!B1:F730,5,FALSE)</f>
        <v>LAK</v>
      </c>
      <c r="E82" s="38">
        <f>VLOOKUP(A82,'The List'!B1:I730,8,FALSE)</f>
        <v>5.2664090249396196</v>
      </c>
      <c r="F82" s="38">
        <f>IF(Settings!$E$15="POINTS",E82-VLOOKUP(B$2,C1:E431,3,FALSE),J82)</f>
        <v>1.1325819378072293</v>
      </c>
      <c r="G82" s="38"/>
      <c r="H82" s="138">
        <f>RANK(I82,I3:I431)</f>
        <v>91</v>
      </c>
      <c r="I82" s="139">
        <f>VLOOKUP(A82,'Standard Deviations'!A1:C731,3,FALSE)</f>
        <v>5.2664090249396196</v>
      </c>
      <c r="J82" s="139">
        <f>I82-VLOOKUP(B$2,H1:J431,2,FALSE)</f>
        <v>1.1325819378072293</v>
      </c>
    </row>
    <row r="83" spans="1:10" ht="21.2" customHeight="1">
      <c r="A83" s="8" t="s">
        <v>215</v>
      </c>
      <c r="B83" s="136" t="str">
        <f>VLOOKUP(A83,'The List'!B1:D730,3,FALSE)</f>
        <v>C,RW</v>
      </c>
      <c r="C83" s="137">
        <f>IF(Settings!$E$15="POINTS",RANK(E83,E3:E431),H83)</f>
        <v>69</v>
      </c>
      <c r="D83" s="34" t="str">
        <f>VLOOKUP(A83,'The List'!B1:F730,5,FALSE)</f>
        <v>STL</v>
      </c>
      <c r="E83" s="38">
        <f>VLOOKUP(A83,'The List'!B1:I730,8,FALSE)</f>
        <v>6.6371557313535909</v>
      </c>
      <c r="F83" s="38">
        <f>IF(Settings!$E$15="POINTS",E83-VLOOKUP(B$2,C1:E431,3,FALSE),J83)</f>
        <v>2.5033286442212006</v>
      </c>
      <c r="G83" s="38"/>
      <c r="H83" s="138">
        <f>RANK(I83,I3:I431)</f>
        <v>69</v>
      </c>
      <c r="I83" s="139">
        <f>VLOOKUP(A83,'Standard Deviations'!A1:C731,3,FALSE)</f>
        <v>6.6371557313535909</v>
      </c>
      <c r="J83" s="139">
        <f>I83-VLOOKUP(B$2,H1:J431,2,FALSE)</f>
        <v>2.5033286442212006</v>
      </c>
    </row>
    <row r="84" spans="1:10" ht="21.2" customHeight="1">
      <c r="A84" s="8" t="s">
        <v>217</v>
      </c>
      <c r="B84" s="136" t="str">
        <f>VLOOKUP(A84,'The List'!B1:D730,3,FALSE)</f>
        <v>C,LW,RW</v>
      </c>
      <c r="C84" s="137">
        <f>IF(Settings!$E$15="POINTS",RANK(E84,E3:E431),H84)</f>
        <v>83</v>
      </c>
      <c r="D84" s="34" t="str">
        <f>VLOOKUP(A84,'The List'!B1:F730,5,FALSE)</f>
        <v>OTT</v>
      </c>
      <c r="E84" s="38">
        <f>VLOOKUP(A84,'The List'!B1:I730,8,FALSE)</f>
        <v>5.7530863445599101</v>
      </c>
      <c r="F84" s="38">
        <f>IF(Settings!$E$15="POINTS",E84-VLOOKUP(B$2,C1:E431,3,FALSE),J84)</f>
        <v>1.6192592574275197</v>
      </c>
      <c r="G84" s="38"/>
      <c r="H84" s="138">
        <f>RANK(I84,I3:I431)</f>
        <v>83</v>
      </c>
      <c r="I84" s="139">
        <f>VLOOKUP(A84,'Standard Deviations'!A1:C731,3,FALSE)</f>
        <v>5.7530863445599101</v>
      </c>
      <c r="J84" s="139">
        <f>I84-VLOOKUP(B$2,H1:J431,2,FALSE)</f>
        <v>1.6192592574275197</v>
      </c>
    </row>
    <row r="85" spans="1:10" ht="21.2" customHeight="1">
      <c r="A85" s="8" t="s">
        <v>245</v>
      </c>
      <c r="B85" s="136" t="str">
        <f>VLOOKUP(A85,'The List'!B1:D730,3,FALSE)</f>
        <v>C</v>
      </c>
      <c r="C85" s="137">
        <f>IF(Settings!$E$15="POINTS",RANK(E85,E3:E431),H85)</f>
        <v>84</v>
      </c>
      <c r="D85" s="34" t="str">
        <f>VLOOKUP(A85,'The List'!B1:F730,5,FALSE)</f>
        <v>SJS</v>
      </c>
      <c r="E85" s="38">
        <f>VLOOKUP(A85,'The List'!B1:I730,8,FALSE)</f>
        <v>5.7253304720063483</v>
      </c>
      <c r="F85" s="38">
        <f>IF(Settings!$E$15="POINTS",E85-VLOOKUP(B$2,C1:E431,3,FALSE),J85)</f>
        <v>1.5915033848739579</v>
      </c>
      <c r="G85" s="38"/>
      <c r="H85" s="138">
        <f>RANK(I85,I3:I431)</f>
        <v>84</v>
      </c>
      <c r="I85" s="139">
        <f>VLOOKUP(A85,'Standard Deviations'!A1:C731,3,FALSE)</f>
        <v>5.7253304720063483</v>
      </c>
      <c r="J85" s="139">
        <f>I85-VLOOKUP(B$2,H1:J431,2,FALSE)</f>
        <v>1.5915033848739579</v>
      </c>
    </row>
    <row r="86" spans="1:10" ht="21.2" customHeight="1">
      <c r="A86" s="8" t="s">
        <v>227</v>
      </c>
      <c r="B86" s="136" t="str">
        <f>VLOOKUP(A86,'The List'!B1:D730,3,FALSE)</f>
        <v>LW</v>
      </c>
      <c r="C86" s="137">
        <f>IF(Settings!$E$15="POINTS",RANK(E86,E3:E431),H86)</f>
        <v>90</v>
      </c>
      <c r="D86" s="34" t="str">
        <f>VLOOKUP(A86,'The List'!B1:F730,5,FALSE)</f>
        <v>TBL</v>
      </c>
      <c r="E86" s="38">
        <f>VLOOKUP(A86,'The List'!B1:I730,8,FALSE)</f>
        <v>5.3159553373323458</v>
      </c>
      <c r="F86" s="38">
        <f>IF(Settings!$E$15="POINTS",E86-VLOOKUP(B$2,C1:E431,3,FALSE),J86)</f>
        <v>1.1821282501999555</v>
      </c>
      <c r="G86" s="38"/>
      <c r="H86" s="138">
        <f>RANK(I86,I3:I431)</f>
        <v>90</v>
      </c>
      <c r="I86" s="139">
        <f>VLOOKUP(A86,'Standard Deviations'!A1:C731,3,FALSE)</f>
        <v>5.3159553373323458</v>
      </c>
      <c r="J86" s="139">
        <f>I86-VLOOKUP(B$2,H1:J431,2,FALSE)</f>
        <v>1.1821282501999555</v>
      </c>
    </row>
    <row r="87" spans="1:10" ht="21.2" customHeight="1">
      <c r="A87" s="8" t="s">
        <v>222</v>
      </c>
      <c r="B87" s="136" t="str">
        <f>VLOOKUP(A87,'The List'!B1:D730,3,FALSE)</f>
        <v>RW</v>
      </c>
      <c r="C87" s="137">
        <f>IF(Settings!$E$15="POINTS",RANK(E87,E3:E431),H87)</f>
        <v>80</v>
      </c>
      <c r="D87" s="34" t="str">
        <f>VLOOKUP(A87,'The List'!B1:F730,5,FALSE)</f>
        <v>OTT</v>
      </c>
      <c r="E87" s="38">
        <f>VLOOKUP(A87,'The List'!B1:I730,8,FALSE)</f>
        <v>6.0082347341506273</v>
      </c>
      <c r="F87" s="38">
        <f>IF(Settings!$E$15="POINTS",E87-VLOOKUP(B$2,C1:E431,3,FALSE),J87)</f>
        <v>1.8744076470182369</v>
      </c>
      <c r="G87" s="38"/>
      <c r="H87" s="138">
        <f>RANK(I87,I3:I431)</f>
        <v>80</v>
      </c>
      <c r="I87" s="139">
        <f>VLOOKUP(A87,'Standard Deviations'!A1:C731,3,FALSE)</f>
        <v>6.0082347341506273</v>
      </c>
      <c r="J87" s="139">
        <f>I87-VLOOKUP(B$2,H1:J431,2,FALSE)</f>
        <v>1.8744076470182369</v>
      </c>
    </row>
    <row r="88" spans="1:10" ht="21.2" customHeight="1">
      <c r="A88" s="8" t="s">
        <v>223</v>
      </c>
      <c r="B88" s="136" t="str">
        <f>VLOOKUP(A88,'The List'!B1:D730,3,FALSE)</f>
        <v>C,LW,RW</v>
      </c>
      <c r="C88" s="137">
        <f>IF(Settings!$E$15="POINTS",RANK(E88,E3:E431),H88)</f>
        <v>78</v>
      </c>
      <c r="D88" s="34" t="str">
        <f>VLOOKUP(A88,'The List'!B1:F730,5,FALSE)</f>
        <v>ARI</v>
      </c>
      <c r="E88" s="38">
        <f>VLOOKUP(A88,'The List'!B1:I730,8,FALSE)</f>
        <v>6.2802587190110808</v>
      </c>
      <c r="F88" s="38">
        <f>IF(Settings!$E$15="POINTS",E88-VLOOKUP(B$2,C1:E431,3,FALSE),J88)</f>
        <v>2.1464316318786905</v>
      </c>
      <c r="G88" s="38"/>
      <c r="H88" s="138">
        <f>RANK(I88,I3:I431)</f>
        <v>78</v>
      </c>
      <c r="I88" s="139">
        <f>VLOOKUP(A88,'Standard Deviations'!A1:C731,3,FALSE)</f>
        <v>6.2802587190110808</v>
      </c>
      <c r="J88" s="139">
        <f>I88-VLOOKUP(B$2,H1:J431,2,FALSE)</f>
        <v>2.1464316318786905</v>
      </c>
    </row>
    <row r="89" spans="1:10" ht="21.2" customHeight="1">
      <c r="A89" s="8" t="s">
        <v>239</v>
      </c>
      <c r="B89" s="136" t="str">
        <f>VLOOKUP(A89,'The List'!B1:D730,3,FALSE)</f>
        <v>LW</v>
      </c>
      <c r="C89" s="137">
        <f>IF(Settings!$E$15="POINTS",RANK(E89,E3:E431),H89)</f>
        <v>88</v>
      </c>
      <c r="D89" s="34" t="str">
        <f>VLOOKUP(A89,'The List'!B1:F730,5,FALSE)</f>
        <v>CHI</v>
      </c>
      <c r="E89" s="38">
        <f>VLOOKUP(A89,'The List'!B1:I730,8,FALSE)</f>
        <v>5.5732687830407812</v>
      </c>
      <c r="F89" s="38">
        <f>IF(Settings!$E$15="POINTS",E89-VLOOKUP(B$2,C1:E431,3,FALSE),J89)</f>
        <v>1.4394416959083909</v>
      </c>
      <c r="G89" s="38"/>
      <c r="H89" s="138">
        <f>RANK(I89,I3:I431)</f>
        <v>88</v>
      </c>
      <c r="I89" s="139">
        <f>VLOOKUP(A89,'Standard Deviations'!A1:C731,3,FALSE)</f>
        <v>5.5732687830407812</v>
      </c>
      <c r="J89" s="139">
        <f>I89-VLOOKUP(B$2,H1:J431,2,FALSE)</f>
        <v>1.4394416959083909</v>
      </c>
    </row>
    <row r="90" spans="1:10" ht="21.2" customHeight="1">
      <c r="A90" s="8" t="s">
        <v>261</v>
      </c>
      <c r="B90" s="136" t="str">
        <f>VLOOKUP(A90,'The List'!B1:D730,3,FALSE)</f>
        <v>C</v>
      </c>
      <c r="C90" s="137">
        <f>IF(Settings!$E$15="POINTS",RANK(E90,E3:E431),H90)</f>
        <v>99</v>
      </c>
      <c r="D90" s="34" t="str">
        <f>VLOOKUP(A90,'The List'!B1:F730,5,FALSE)</f>
        <v>SJS</v>
      </c>
      <c r="E90" s="38">
        <f>VLOOKUP(A90,'The List'!B1:I730,8,FALSE)</f>
        <v>4.9497396664926105</v>
      </c>
      <c r="F90" s="38">
        <f>IF(Settings!$E$15="POINTS",E90-VLOOKUP(B$2,C1:E431,3,FALSE),J90)</f>
        <v>0.81591257936022021</v>
      </c>
      <c r="G90" s="38"/>
      <c r="H90" s="138">
        <f>RANK(I90,I3:I431)</f>
        <v>99</v>
      </c>
      <c r="I90" s="139">
        <f>VLOOKUP(A90,'Standard Deviations'!A1:C731,3,FALSE)</f>
        <v>4.9497396664926105</v>
      </c>
      <c r="J90" s="139">
        <f>I90-VLOOKUP(B$2,H1:J431,2,FALSE)</f>
        <v>0.81591257936022021</v>
      </c>
    </row>
    <row r="91" spans="1:10" ht="21.2" customHeight="1">
      <c r="A91" s="8" t="s">
        <v>248</v>
      </c>
      <c r="B91" s="136" t="str">
        <f>VLOOKUP(A91,'The List'!B1:D730,3,FALSE)</f>
        <v>LW</v>
      </c>
      <c r="C91" s="137">
        <f>IF(Settings!$E$15="POINTS",RANK(E91,E3:E431),H91)</f>
        <v>86</v>
      </c>
      <c r="D91" s="34" t="str">
        <f>VLOOKUP(A91,'The List'!B1:F730,5,FALSE)</f>
        <v>COL</v>
      </c>
      <c r="E91" s="38">
        <f>VLOOKUP(A91,'The List'!B1:I730,8,FALSE)</f>
        <v>5.6387525030219958</v>
      </c>
      <c r="F91" s="38">
        <f>IF(Settings!$E$15="POINTS",E91-VLOOKUP(B$2,C1:E431,3,FALSE),J91)</f>
        <v>1.5049254158896055</v>
      </c>
      <c r="G91" s="38"/>
      <c r="H91" s="138">
        <f>RANK(I91,I3:I431)</f>
        <v>86</v>
      </c>
      <c r="I91" s="139">
        <f>VLOOKUP(A91,'Standard Deviations'!A1:C731,3,FALSE)</f>
        <v>5.6387525030219958</v>
      </c>
      <c r="J91" s="139">
        <f>I91-VLOOKUP(B$2,H1:J431,2,FALSE)</f>
        <v>1.5049254158896055</v>
      </c>
    </row>
    <row r="92" spans="1:10" ht="21.2" customHeight="1">
      <c r="A92" s="8" t="s">
        <v>231</v>
      </c>
      <c r="B92" s="136" t="str">
        <f>VLOOKUP(A92,'The List'!B1:D730,3,FALSE)</f>
        <v>RW</v>
      </c>
      <c r="C92" s="137">
        <f>IF(Settings!$E$15="POINTS",RANK(E92,E3:E431),H92)</f>
        <v>93</v>
      </c>
      <c r="D92" s="34" t="str">
        <f>VLOOKUP(A92,'The List'!B1:F730,5,FALSE)</f>
        <v>UFA</v>
      </c>
      <c r="E92" s="38">
        <f>VLOOKUP(A92,'The List'!B1:I730,8,FALSE)</f>
        <v>5.0986563421658717</v>
      </c>
      <c r="F92" s="38">
        <f>IF(Settings!$E$15="POINTS",E92-VLOOKUP(B$2,C1:E431,3,FALSE),J92)</f>
        <v>0.96482925503348138</v>
      </c>
      <c r="G92" s="38"/>
      <c r="H92" s="138">
        <f>RANK(I92,I3:I431)</f>
        <v>93</v>
      </c>
      <c r="I92" s="139">
        <f>VLOOKUP(A92,'Standard Deviations'!A1:C731,3,FALSE)</f>
        <v>5.0986563421658717</v>
      </c>
      <c r="J92" s="139">
        <f>I92-VLOOKUP(B$2,H1:J431,2,FALSE)</f>
        <v>0.96482925503348138</v>
      </c>
    </row>
    <row r="93" spans="1:10" ht="21.2" customHeight="1">
      <c r="A93" s="8" t="s">
        <v>256</v>
      </c>
      <c r="B93" s="136" t="str">
        <f>VLOOKUP(A93,'The List'!B1:D730,3,FALSE)</f>
        <v>C,LW</v>
      </c>
      <c r="C93" s="137">
        <f>IF(Settings!$E$15="POINTS",RANK(E93,E3:E431),H93)</f>
        <v>100</v>
      </c>
      <c r="D93" s="34" t="str">
        <f>VLOOKUP(A93,'The List'!B1:F730,5,FALSE)</f>
        <v>DAL</v>
      </c>
      <c r="E93" s="38">
        <f>VLOOKUP(A93,'The List'!B1:I730,8,FALSE)</f>
        <v>4.5240276912220887</v>
      </c>
      <c r="F93" s="38">
        <f>IF(Settings!$E$15="POINTS",E93-VLOOKUP(B$2,C1:E431,3,FALSE),J93)</f>
        <v>0.39020060408969837</v>
      </c>
      <c r="G93" s="38"/>
      <c r="H93" s="138">
        <f>RANK(I93,I3:I431)</f>
        <v>100</v>
      </c>
      <c r="I93" s="139">
        <f>VLOOKUP(A93,'Standard Deviations'!A1:C731,3,FALSE)</f>
        <v>4.5240276912220887</v>
      </c>
      <c r="J93" s="139">
        <f>I93-VLOOKUP(B$2,H1:J431,2,FALSE)</f>
        <v>0.39020060408969837</v>
      </c>
    </row>
    <row r="94" spans="1:10" ht="21.2" customHeight="1">
      <c r="A94" s="8" t="s">
        <v>258</v>
      </c>
      <c r="B94" s="136" t="str">
        <f>VLOOKUP(A94,'The List'!B1:D730,3,FALSE)</f>
        <v>C,LW</v>
      </c>
      <c r="C94" s="137">
        <f>IF(Settings!$E$15="POINTS",RANK(E94,E3:E431),H94)</f>
        <v>97</v>
      </c>
      <c r="D94" s="34" t="str">
        <f>VLOOKUP(A94,'The List'!B1:F730,5,FALSE)</f>
        <v>BOS</v>
      </c>
      <c r="E94" s="38">
        <f>VLOOKUP(A94,'The List'!B1:I730,8,FALSE)</f>
        <v>4.9802623630289942</v>
      </c>
      <c r="F94" s="38">
        <f>IF(Settings!$E$15="POINTS",E94-VLOOKUP(B$2,C1:E431,3,FALSE),J94)</f>
        <v>0.84643527589660383</v>
      </c>
      <c r="G94" s="38"/>
      <c r="H94" s="138">
        <f>RANK(I94,I3:I431)</f>
        <v>97</v>
      </c>
      <c r="I94" s="139">
        <f>VLOOKUP(A94,'Standard Deviations'!A1:C731,3,FALSE)</f>
        <v>4.9802623630289942</v>
      </c>
      <c r="J94" s="139">
        <f>I94-VLOOKUP(B$2,H1:J431,2,FALSE)</f>
        <v>0.84643527589660383</v>
      </c>
    </row>
    <row r="95" spans="1:10" ht="21.2" customHeight="1">
      <c r="A95" s="8" t="s">
        <v>236</v>
      </c>
      <c r="B95" s="136" t="str">
        <f>VLOOKUP(A95,'The List'!B1:D730,3,FALSE)</f>
        <v>LW,RW</v>
      </c>
      <c r="C95" s="137">
        <f>IF(Settings!$E$15="POINTS",RANK(E95,E3:E431),H95)</f>
        <v>96</v>
      </c>
      <c r="D95" s="34" t="str">
        <f>VLOOKUP(A95,'The List'!B1:F730,5,FALSE)</f>
        <v>VAN</v>
      </c>
      <c r="E95" s="38">
        <f>VLOOKUP(A95,'The List'!B1:I730,8,FALSE)</f>
        <v>5.0042319918234188</v>
      </c>
      <c r="F95" s="38">
        <f>IF(Settings!$E$15="POINTS",E95-VLOOKUP(B$2,C1:E431,3,FALSE),J95)</f>
        <v>0.87040490469102849</v>
      </c>
      <c r="G95" s="38"/>
      <c r="H95" s="138">
        <f>RANK(I95,I3:I431)</f>
        <v>96</v>
      </c>
      <c r="I95" s="139">
        <f>VLOOKUP(A95,'Standard Deviations'!A1:C731,3,FALSE)</f>
        <v>5.0042319918234188</v>
      </c>
      <c r="J95" s="139">
        <f>I95-VLOOKUP(B$2,H1:J431,2,FALSE)</f>
        <v>0.87040490469102849</v>
      </c>
    </row>
    <row r="96" spans="1:10" ht="21.2" customHeight="1">
      <c r="A96" s="8" t="s">
        <v>237</v>
      </c>
      <c r="B96" s="136" t="str">
        <f>VLOOKUP(A96,'The List'!B1:D730,3,FALSE)</f>
        <v>LW,RW</v>
      </c>
      <c r="C96" s="137">
        <f>IF(Settings!$E$15="POINTS",RANK(E96,E3:E431),H96)</f>
        <v>89</v>
      </c>
      <c r="D96" s="34" t="str">
        <f>VLOOKUP(A96,'The List'!B1:F730,5,FALSE)</f>
        <v>BOS</v>
      </c>
      <c r="E96" s="38">
        <f>VLOOKUP(A96,'The List'!B1:I730,8,FALSE)</f>
        <v>5.4794471040127481</v>
      </c>
      <c r="F96" s="38">
        <f>IF(Settings!$E$15="POINTS",E96-VLOOKUP(B$2,C1:E431,3,FALSE),J96)</f>
        <v>1.3456200168803578</v>
      </c>
      <c r="G96" s="38"/>
      <c r="H96" s="138">
        <f>RANK(I96,I3:I431)</f>
        <v>89</v>
      </c>
      <c r="I96" s="139">
        <f>VLOOKUP(A96,'Standard Deviations'!A1:C731,3,FALSE)</f>
        <v>5.4794471040127481</v>
      </c>
      <c r="J96" s="139">
        <f>I96-VLOOKUP(B$2,H1:J431,2,FALSE)</f>
        <v>1.3456200168803578</v>
      </c>
    </row>
    <row r="97" spans="1:10" ht="21.2" customHeight="1">
      <c r="A97" s="8" t="s">
        <v>240</v>
      </c>
      <c r="B97" s="136" t="str">
        <f>VLOOKUP(A97,'The List'!B1:D730,3,FALSE)</f>
        <v>LW,RW</v>
      </c>
      <c r="C97" s="137">
        <f>IF(Settings!$E$15="POINTS",RANK(E97,E3:E431),H97)</f>
        <v>95</v>
      </c>
      <c r="D97" s="34" t="str">
        <f>VLOOKUP(A97,'The List'!B1:F730,5,FALSE)</f>
        <v>DET</v>
      </c>
      <c r="E97" s="38">
        <f>VLOOKUP(A97,'The List'!B1:I730,8,FALSE)</f>
        <v>5.036515804325699</v>
      </c>
      <c r="F97" s="38">
        <f>IF(Settings!$E$15="POINTS",E97-VLOOKUP(B$2,C1:E431,3,FALSE),J97)</f>
        <v>0.90268871719330868</v>
      </c>
      <c r="G97" s="38"/>
      <c r="H97" s="138">
        <f>RANK(I97,I3:I431)</f>
        <v>95</v>
      </c>
      <c r="I97" s="139">
        <f>VLOOKUP(A97,'Standard Deviations'!A1:C731,3,FALSE)</f>
        <v>5.036515804325699</v>
      </c>
      <c r="J97" s="139">
        <f>I97-VLOOKUP(B$2,H1:J431,2,FALSE)</f>
        <v>0.90268871719330868</v>
      </c>
    </row>
    <row r="98" spans="1:10" ht="21.2" customHeight="1">
      <c r="A98" s="8" t="s">
        <v>244</v>
      </c>
      <c r="B98" s="136" t="str">
        <f>VLOOKUP(A98,'The List'!B1:D730,3,FALSE)</f>
        <v>RW</v>
      </c>
      <c r="C98" s="137">
        <f>IF(Settings!$E$15="POINTS",RANK(E98,E3:E431),H98)</f>
        <v>70</v>
      </c>
      <c r="D98" s="34" t="str">
        <f>VLOOKUP(A98,'The List'!B1:F730,5,FALSE)</f>
        <v>VGK</v>
      </c>
      <c r="E98" s="38">
        <f>VLOOKUP(A98,'The List'!B1:I730,8,FALSE)</f>
        <v>6.6284226913136504</v>
      </c>
      <c r="F98" s="38">
        <f>IF(Settings!$E$15="POINTS",E98-VLOOKUP(B$2,C1:E431,3,FALSE),J98)</f>
        <v>2.49459560418126</v>
      </c>
      <c r="G98" s="38"/>
      <c r="H98" s="138">
        <f>RANK(I98,I3:I431)</f>
        <v>70</v>
      </c>
      <c r="I98" s="139">
        <f>VLOOKUP(A98,'Standard Deviations'!A1:C731,3,FALSE)</f>
        <v>6.6284226913136504</v>
      </c>
      <c r="J98" s="139">
        <f>I98-VLOOKUP(B$2,H1:J431,2,FALSE)</f>
        <v>2.49459560418126</v>
      </c>
    </row>
    <row r="99" spans="1:10" ht="21.2" customHeight="1">
      <c r="A99" s="8" t="s">
        <v>247</v>
      </c>
      <c r="B99" s="136" t="str">
        <f>VLOOKUP(A99,'The List'!B1:D730,3,FALSE)</f>
        <v>LW,RW</v>
      </c>
      <c r="C99" s="137">
        <f>IF(Settings!$E$15="POINTS",RANK(E99,E3:E431),H99)</f>
        <v>98</v>
      </c>
      <c r="D99" s="34" t="str">
        <f>VLOOKUP(A99,'The List'!B1:F730,5,FALSE)</f>
        <v>DET</v>
      </c>
      <c r="E99" s="38">
        <f>VLOOKUP(A99,'The List'!B1:I730,8,FALSE)</f>
        <v>4.9639097019045106</v>
      </c>
      <c r="F99" s="38">
        <f>IF(Settings!$E$15="POINTS",E99-VLOOKUP(B$2,C1:E431,3,FALSE),J99)</f>
        <v>0.83008261477212031</v>
      </c>
      <c r="G99" s="38"/>
      <c r="H99" s="138">
        <f>RANK(I99,I3:I431)</f>
        <v>98</v>
      </c>
      <c r="I99" s="139">
        <f>VLOOKUP(A99,'Standard Deviations'!A1:C731,3,FALSE)</f>
        <v>4.9639097019045106</v>
      </c>
      <c r="J99" s="139">
        <f>I99-VLOOKUP(B$2,H1:J431,2,FALSE)</f>
        <v>0.83008261477212031</v>
      </c>
    </row>
    <row r="100" spans="1:10" ht="21.2" customHeight="1">
      <c r="A100" s="8" t="s">
        <v>254</v>
      </c>
      <c r="B100" s="136" t="str">
        <f>VLOOKUP(A100,'The List'!B1:D730,3,FALSE)</f>
        <v>C,RW</v>
      </c>
      <c r="C100" s="137">
        <f>IF(Settings!$E$15="POINTS",RANK(E100,E3:E431),H100)</f>
        <v>112</v>
      </c>
      <c r="D100" s="34" t="str">
        <f>VLOOKUP(A100,'The List'!B1:F730,5,FALSE)</f>
        <v>NJD</v>
      </c>
      <c r="E100" s="38">
        <f>VLOOKUP(A100,'The List'!B1:I730,8,FALSE)</f>
        <v>3.7326427499068129</v>
      </c>
      <c r="F100" s="38">
        <f>IF(Settings!$E$15="POINTS",E100-VLOOKUP(B$2,C1:E431,3,FALSE),J100)</f>
        <v>-0.40118433722557745</v>
      </c>
      <c r="G100" s="38"/>
      <c r="H100" s="138">
        <f>RANK(I100,I3:I431)</f>
        <v>112</v>
      </c>
      <c r="I100" s="139">
        <f>VLOOKUP(A100,'Standard Deviations'!A1:C731,3,FALSE)</f>
        <v>3.7326427499068129</v>
      </c>
      <c r="J100" s="139">
        <f>I100-VLOOKUP(B$2,H1:J431,2,FALSE)</f>
        <v>-0.40118433722557745</v>
      </c>
    </row>
    <row r="101" spans="1:10" ht="21.2" customHeight="1">
      <c r="A101" s="8" t="s">
        <v>271</v>
      </c>
      <c r="B101" s="136" t="str">
        <f>VLOOKUP(A101,'The List'!B1:D730,3,FALSE)</f>
        <v>C,LW</v>
      </c>
      <c r="C101" s="137">
        <f>IF(Settings!$E$15="POINTS",RANK(E101,E3:E431),H101)</f>
        <v>105</v>
      </c>
      <c r="D101" s="34" t="str">
        <f>VLOOKUP(A101,'The List'!B1:F730,5,FALSE)</f>
        <v>ANA</v>
      </c>
      <c r="E101" s="38">
        <f>VLOOKUP(A101,'The List'!B1:I730,8,FALSE)</f>
        <v>4.1500178457372492</v>
      </c>
      <c r="F101" s="38">
        <f>IF(Settings!$E$15="POINTS",E101-VLOOKUP(B$2,C1:E431,3,FALSE),J101)</f>
        <v>1.6190758604858857E-2</v>
      </c>
      <c r="G101" s="38"/>
      <c r="H101" s="138">
        <f>RANK(I101,I3:I431)</f>
        <v>105</v>
      </c>
      <c r="I101" s="139">
        <f>VLOOKUP(A101,'Standard Deviations'!A1:C731,3,FALSE)</f>
        <v>4.1500178457372492</v>
      </c>
      <c r="J101" s="139">
        <f>I101-VLOOKUP(B$2,H1:J431,2,FALSE)</f>
        <v>1.6190758604858857E-2</v>
      </c>
    </row>
    <row r="102" spans="1:10" ht="21.2" customHeight="1">
      <c r="A102" s="8" t="s">
        <v>257</v>
      </c>
      <c r="B102" s="136" t="str">
        <f>VLOOKUP(A102,'The List'!B1:D730,3,FALSE)</f>
        <v>RW</v>
      </c>
      <c r="C102" s="137">
        <f>IF(Settings!$E$15="POINTS",RANK(E102,E3:E431),H102)</f>
        <v>106</v>
      </c>
      <c r="D102" s="34" t="str">
        <f>VLOOKUP(A102,'The List'!B1:F730,5,FALSE)</f>
        <v>NJD</v>
      </c>
      <c r="E102" s="38">
        <f>VLOOKUP(A102,'The List'!B1:I730,8,FALSE)</f>
        <v>4.1338270871323903</v>
      </c>
      <c r="F102" s="38">
        <f>IF(Settings!$E$15="POINTS",E102-VLOOKUP(B$2,C1:E431,3,FALSE),J102)</f>
        <v>0</v>
      </c>
      <c r="G102" s="38"/>
      <c r="H102" s="138">
        <f>RANK(I102,I3:I431)</f>
        <v>106</v>
      </c>
      <c r="I102" s="139">
        <f>VLOOKUP(A102,'Standard Deviations'!A1:C731,3,FALSE)</f>
        <v>4.1338270871323903</v>
      </c>
      <c r="J102" s="139">
        <f>I102-VLOOKUP(B$2,H1:J431,2,FALSE)</f>
        <v>0</v>
      </c>
    </row>
    <row r="103" spans="1:10" ht="21.2" customHeight="1">
      <c r="A103" s="8" t="s">
        <v>259</v>
      </c>
      <c r="B103" s="136" t="str">
        <f>VLOOKUP(A103,'The List'!B1:D730,3,FALSE)</f>
        <v>RW</v>
      </c>
      <c r="C103" s="137">
        <f>IF(Settings!$E$15="POINTS",RANK(E103,E3:E431),H103)</f>
        <v>102</v>
      </c>
      <c r="D103" s="34" t="str">
        <f>VLOOKUP(A103,'The List'!B1:F730,5,FALSE)</f>
        <v>PHI</v>
      </c>
      <c r="E103" s="38">
        <f>VLOOKUP(A103,'The List'!B1:I730,8,FALSE)</f>
        <v>4.4518812384863455</v>
      </c>
      <c r="F103" s="38">
        <f>IF(Settings!$E$15="POINTS",E103-VLOOKUP(B$2,C1:E431,3,FALSE),J103)</f>
        <v>0.31805415135395521</v>
      </c>
      <c r="G103" s="38"/>
      <c r="H103" s="138">
        <f>RANK(I103,I3:I431)</f>
        <v>102</v>
      </c>
      <c r="I103" s="139">
        <f>VLOOKUP(A103,'Standard Deviations'!A1:C731,3,FALSE)</f>
        <v>4.4518812384863455</v>
      </c>
      <c r="J103" s="139">
        <f>I103-VLOOKUP(B$2,H1:J431,2,FALSE)</f>
        <v>0.31805415135395521</v>
      </c>
    </row>
    <row r="104" spans="1:10" ht="21.2" customHeight="1">
      <c r="A104" s="8" t="s">
        <v>260</v>
      </c>
      <c r="B104" s="136" t="str">
        <f>VLOOKUP(A104,'The List'!B1:D730,3,FALSE)</f>
        <v>LW,RW</v>
      </c>
      <c r="C104" s="137">
        <f>IF(Settings!$E$15="POINTS",RANK(E104,E3:E431),H104)</f>
        <v>107</v>
      </c>
      <c r="D104" s="34" t="str">
        <f>VLOOKUP(A104,'The List'!B1:F730,5,FALSE)</f>
        <v>PIT</v>
      </c>
      <c r="E104" s="38">
        <f>VLOOKUP(A104,'The List'!B1:I730,8,FALSE)</f>
        <v>4.0574487696802191</v>
      </c>
      <c r="F104" s="38">
        <f>IF(Settings!$E$15="POINTS",E104-VLOOKUP(B$2,C1:E431,3,FALSE),J104)</f>
        <v>-7.6378317452171274E-2</v>
      </c>
      <c r="G104" s="38"/>
      <c r="H104" s="138">
        <f>RANK(I104,I3:I431)</f>
        <v>107</v>
      </c>
      <c r="I104" s="139">
        <f>VLOOKUP(A104,'Standard Deviations'!A1:C731,3,FALSE)</f>
        <v>4.0574487696802191</v>
      </c>
      <c r="J104" s="139">
        <f>I104-VLOOKUP(B$2,H1:J431,2,FALSE)</f>
        <v>-7.6378317452171274E-2</v>
      </c>
    </row>
    <row r="105" spans="1:10" ht="21.2" customHeight="1">
      <c r="A105" s="8" t="s">
        <v>283</v>
      </c>
      <c r="B105" s="136" t="str">
        <f>VLOOKUP(A105,'The List'!B1:D730,3,FALSE)</f>
        <v>C</v>
      </c>
      <c r="C105" s="137">
        <f>IF(Settings!$E$15="POINTS",RANK(E105,E3:E431),H105)</f>
        <v>110</v>
      </c>
      <c r="D105" s="34" t="str">
        <f>VLOOKUP(A105,'The List'!B1:F730,5,FALSE)</f>
        <v>VGK</v>
      </c>
      <c r="E105" s="38">
        <f>VLOOKUP(A105,'The List'!B1:I730,8,FALSE)</f>
        <v>3.8165359357510233</v>
      </c>
      <c r="F105" s="38">
        <f>IF(Settings!$E$15="POINTS",E105-VLOOKUP(B$2,C1:E431,3,FALSE),J105)</f>
        <v>-0.31729115138136699</v>
      </c>
      <c r="G105" s="38"/>
      <c r="H105" s="138">
        <f>RANK(I105,I3:I431)</f>
        <v>110</v>
      </c>
      <c r="I105" s="139">
        <f>VLOOKUP(A105,'Standard Deviations'!A1:C731,3,FALSE)</f>
        <v>3.8165359357510233</v>
      </c>
      <c r="J105" s="139">
        <f>I105-VLOOKUP(B$2,H1:J431,2,FALSE)</f>
        <v>-0.31729115138136699</v>
      </c>
    </row>
    <row r="106" spans="1:10" ht="21.2" customHeight="1">
      <c r="A106" s="8" t="s">
        <v>272</v>
      </c>
      <c r="B106" s="136" t="str">
        <f>VLOOKUP(A106,'The List'!B1:D730,3,FALSE)</f>
        <v>LW</v>
      </c>
      <c r="C106" s="137">
        <f>IF(Settings!$E$15="POINTS",RANK(E106,E3:E431),H106)</f>
        <v>92</v>
      </c>
      <c r="D106" s="34" t="str">
        <f>VLOOKUP(A106,'The List'!B1:F730,5,FALSE)</f>
        <v>SEA</v>
      </c>
      <c r="E106" s="38">
        <f>VLOOKUP(A106,'The List'!B1:I730,8,FALSE)</f>
        <v>5.1548211754052202</v>
      </c>
      <c r="F106" s="38">
        <f>IF(Settings!$E$15="POINTS",E106-VLOOKUP(B$2,C1:E431,3,FALSE),J106)</f>
        <v>1.0209940882728299</v>
      </c>
      <c r="G106" s="38"/>
      <c r="H106" s="138">
        <f>RANK(I106,I3:I431)</f>
        <v>92</v>
      </c>
      <c r="I106" s="139">
        <f>VLOOKUP(A106,'Standard Deviations'!A1:C731,3,FALSE)</f>
        <v>5.1548211754052202</v>
      </c>
      <c r="J106" s="139">
        <f>I106-VLOOKUP(B$2,H1:J431,2,FALSE)</f>
        <v>1.0209940882728299</v>
      </c>
    </row>
    <row r="107" spans="1:10" ht="21.2" customHeight="1">
      <c r="A107" s="8" t="s">
        <v>262</v>
      </c>
      <c r="B107" s="136" t="str">
        <f>VLOOKUP(A107,'The List'!B1:D730,3,FALSE)</f>
        <v>RW</v>
      </c>
      <c r="C107" s="137">
        <f>IF(Settings!$E$15="POINTS",RANK(E107,E3:E431),H107)</f>
        <v>94</v>
      </c>
      <c r="D107" s="34" t="str">
        <f>VLOOKUP(A107,'The List'!B1:F730,5,FALSE)</f>
        <v>UFA</v>
      </c>
      <c r="E107" s="38">
        <f>VLOOKUP(A107,'The List'!B1:I730,8,FALSE)</f>
        <v>5.0930817875009531</v>
      </c>
      <c r="F107" s="38">
        <f>IF(Settings!$E$15="POINTS",E107-VLOOKUP(B$2,C1:E431,3,FALSE),J107)</f>
        <v>0.95925470036856275</v>
      </c>
      <c r="G107" s="38"/>
      <c r="H107" s="138">
        <f>RANK(I107,I3:I431)</f>
        <v>94</v>
      </c>
      <c r="I107" s="139">
        <f>VLOOKUP(A107,'Standard Deviations'!A1:C731,3,FALSE)</f>
        <v>5.0930817875009531</v>
      </c>
      <c r="J107" s="139">
        <f>I107-VLOOKUP(B$2,H1:J431,2,FALSE)</f>
        <v>0.95925470036856275</v>
      </c>
    </row>
    <row r="108" spans="1:10" ht="21.2" customHeight="1">
      <c r="A108" s="8" t="s">
        <v>264</v>
      </c>
      <c r="B108" s="136" t="str">
        <f>VLOOKUP(A108,'The List'!B1:D730,3,FALSE)</f>
        <v>LW,RW</v>
      </c>
      <c r="C108" s="137">
        <f>IF(Settings!$E$15="POINTS",RANK(E108,E3:E431),H108)</f>
        <v>104</v>
      </c>
      <c r="D108" s="34" t="str">
        <f>VLOOKUP(A108,'The List'!B1:F730,5,FALSE)</f>
        <v>LAK</v>
      </c>
      <c r="E108" s="38">
        <f>VLOOKUP(A108,'The List'!B1:I730,8,FALSE)</f>
        <v>4.1748489384192276</v>
      </c>
      <c r="F108" s="38">
        <f>IF(Settings!$E$15="POINTS",E108-VLOOKUP(B$2,C1:E431,3,FALSE),J108)</f>
        <v>4.1021851286837219E-2</v>
      </c>
      <c r="G108" s="38"/>
      <c r="H108" s="138">
        <f>RANK(I108,I3:I431)</f>
        <v>104</v>
      </c>
      <c r="I108" s="139">
        <f>VLOOKUP(A108,'Standard Deviations'!A1:C731,3,FALSE)</f>
        <v>4.1748489384192276</v>
      </c>
      <c r="J108" s="139">
        <f>I108-VLOOKUP(B$2,H1:J431,2,FALSE)</f>
        <v>4.1021851286837219E-2</v>
      </c>
    </row>
    <row r="109" spans="1:10" ht="21.2" customHeight="1">
      <c r="A109" s="8" t="s">
        <v>302</v>
      </c>
      <c r="B109" s="136" t="str">
        <f>VLOOKUP(A109,'The List'!B1:D730,3,FALSE)</f>
        <v>C</v>
      </c>
      <c r="C109" s="137">
        <f>IF(Settings!$E$15="POINTS",RANK(E109,E3:E431),H109)</f>
        <v>111</v>
      </c>
      <c r="D109" s="34" t="str">
        <f>VLOOKUP(A109,'The List'!B1:F730,5,FALSE)</f>
        <v>FLA</v>
      </c>
      <c r="E109" s="38">
        <f>VLOOKUP(A109,'The List'!B1:I730,8,FALSE)</f>
        <v>3.7885439718766327</v>
      </c>
      <c r="F109" s="38">
        <f>IF(Settings!$E$15="POINTS",E109-VLOOKUP(B$2,C1:E431,3,FALSE),J109)</f>
        <v>-0.34528311525575761</v>
      </c>
      <c r="G109" s="38"/>
      <c r="H109" s="138">
        <f>RANK(I109,I3:I431)</f>
        <v>111</v>
      </c>
      <c r="I109" s="139">
        <f>VLOOKUP(A109,'Standard Deviations'!A1:C731,3,FALSE)</f>
        <v>3.7885439718766327</v>
      </c>
      <c r="J109" s="139">
        <f>I109-VLOOKUP(B$2,H1:J431,2,FALSE)</f>
        <v>-0.34528311525575761</v>
      </c>
    </row>
    <row r="110" spans="1:10" ht="21.2" customHeight="1">
      <c r="A110" s="8" t="s">
        <v>276</v>
      </c>
      <c r="B110" s="136" t="str">
        <f>VLOOKUP(A110,'The List'!B1:D730,3,FALSE)</f>
        <v>RW</v>
      </c>
      <c r="C110" s="137">
        <f>IF(Settings!$E$15="POINTS",RANK(E110,E3:E431),H110)</f>
        <v>114</v>
      </c>
      <c r="D110" s="34" t="str">
        <f>VLOOKUP(A110,'The List'!B1:F730,5,FALSE)</f>
        <v>VAN</v>
      </c>
      <c r="E110" s="38">
        <f>VLOOKUP(A110,'The List'!B1:I730,8,FALSE)</f>
        <v>3.6121416210440778</v>
      </c>
      <c r="F110" s="38">
        <f>IF(Settings!$E$15="POINTS",E110-VLOOKUP(B$2,C1:E431,3,FALSE),J110)</f>
        <v>-0.52168546608831257</v>
      </c>
      <c r="G110" s="38"/>
      <c r="H110" s="138">
        <f>RANK(I110,I3:I431)</f>
        <v>114</v>
      </c>
      <c r="I110" s="139">
        <f>VLOOKUP(A110,'Standard Deviations'!A1:C731,3,FALSE)</f>
        <v>3.6121416210440778</v>
      </c>
      <c r="J110" s="139">
        <f>I110-VLOOKUP(B$2,H1:J431,2,FALSE)</f>
        <v>-0.52168546608831257</v>
      </c>
    </row>
    <row r="111" spans="1:10" ht="21.2" customHeight="1">
      <c r="A111" s="8" t="s">
        <v>304</v>
      </c>
      <c r="B111" s="136" t="str">
        <f>VLOOKUP(A111,'The List'!B1:D730,3,FALSE)</f>
        <v>C</v>
      </c>
      <c r="C111" s="137">
        <f>IF(Settings!$E$15="POINTS",RANK(E111,E3:E431),H111)</f>
        <v>120</v>
      </c>
      <c r="D111" s="34" t="str">
        <f>VLOOKUP(A111,'The List'!B1:F730,5,FALSE)</f>
        <v>WSH</v>
      </c>
      <c r="E111" s="38">
        <f>VLOOKUP(A111,'The List'!B1:I730,8,FALSE)</f>
        <v>3.3379141082979009</v>
      </c>
      <c r="F111" s="38">
        <f>IF(Settings!$E$15="POINTS",E111-VLOOKUP(B$2,C1:E431,3,FALSE),J111)</f>
        <v>-0.79591297883448942</v>
      </c>
      <c r="G111" s="38"/>
      <c r="H111" s="138">
        <f>RANK(I111,I3:I431)</f>
        <v>120</v>
      </c>
      <c r="I111" s="139">
        <f>VLOOKUP(A111,'Standard Deviations'!A1:C731,3,FALSE)</f>
        <v>3.3379141082979009</v>
      </c>
      <c r="J111" s="139">
        <f>I111-VLOOKUP(B$2,H1:J431,2,FALSE)</f>
        <v>-0.79591297883448942</v>
      </c>
    </row>
    <row r="112" spans="1:10" ht="21.2" customHeight="1">
      <c r="A112" s="8" t="s">
        <v>277</v>
      </c>
      <c r="B112" s="136" t="str">
        <f>VLOOKUP(A112,'The List'!B1:D730,3,FALSE)</f>
        <v>LW,RW</v>
      </c>
      <c r="C112" s="137">
        <f>IF(Settings!$E$15="POINTS",RANK(E112,E3:E431),H112)</f>
        <v>126</v>
      </c>
      <c r="D112" s="34" t="str">
        <f>VLOOKUP(A112,'The List'!B1:F730,5,FALSE)</f>
        <v>ANA</v>
      </c>
      <c r="E112" s="38">
        <f>VLOOKUP(A112,'The List'!B1:I730,8,FALSE)</f>
        <v>3.1174885233035683</v>
      </c>
      <c r="F112" s="38">
        <f>IF(Settings!$E$15="POINTS",E112-VLOOKUP(B$2,C1:E431,3,FALSE),J112)</f>
        <v>-1.016338563828822</v>
      </c>
      <c r="G112" s="38"/>
      <c r="H112" s="138">
        <f>RANK(I112,I3:I431)</f>
        <v>126</v>
      </c>
      <c r="I112" s="139">
        <f>VLOOKUP(A112,'Standard Deviations'!A1:C731,3,FALSE)</f>
        <v>3.1174885233035683</v>
      </c>
      <c r="J112" s="139">
        <f>I112-VLOOKUP(B$2,H1:J431,2,FALSE)</f>
        <v>-1.016338563828822</v>
      </c>
    </row>
    <row r="113" spans="1:10" ht="21.2" customHeight="1">
      <c r="A113" s="8" t="s">
        <v>306</v>
      </c>
      <c r="B113" s="136" t="str">
        <f>VLOOKUP(A113,'The List'!B1:D730,3,FALSE)</f>
        <v>C</v>
      </c>
      <c r="C113" s="137">
        <f>IF(Settings!$E$15="POINTS",RANK(E113,E3:E431),H113)</f>
        <v>124</v>
      </c>
      <c r="D113" s="34" t="str">
        <f>VLOOKUP(A113,'The List'!B1:F730,5,FALSE)</f>
        <v>NYR</v>
      </c>
      <c r="E113" s="38">
        <f>VLOOKUP(A113,'The List'!B1:I730,8,FALSE)</f>
        <v>3.1744456712616489</v>
      </c>
      <c r="F113" s="38">
        <f>IF(Settings!$E$15="POINTS",E113-VLOOKUP(B$2,C1:E431,3,FALSE),J113)</f>
        <v>-0.95938141587074144</v>
      </c>
      <c r="G113" s="38"/>
      <c r="H113" s="138">
        <f>RANK(I113,I3:I431)</f>
        <v>124</v>
      </c>
      <c r="I113" s="139">
        <f>VLOOKUP(A113,'Standard Deviations'!A1:C731,3,FALSE)</f>
        <v>3.1744456712616489</v>
      </c>
      <c r="J113" s="139">
        <f>I113-VLOOKUP(B$2,H1:J431,2,FALSE)</f>
        <v>-0.95938141587074144</v>
      </c>
    </row>
    <row r="114" spans="1:10" ht="21.2" customHeight="1">
      <c r="A114" s="8" t="s">
        <v>293</v>
      </c>
      <c r="B114" s="136" t="str">
        <f>VLOOKUP(A114,'The List'!B1:D730,3,FALSE)</f>
        <v>C,LW</v>
      </c>
      <c r="C114" s="137">
        <f>IF(Settings!$E$15="POINTS",RANK(E114,E3:E431),H114)</f>
        <v>115</v>
      </c>
      <c r="D114" s="34" t="str">
        <f>VLOOKUP(A114,'The List'!B1:F730,5,FALSE)</f>
        <v>STL</v>
      </c>
      <c r="E114" s="38">
        <f>VLOOKUP(A114,'The List'!B1:I730,8,FALSE)</f>
        <v>3.602259782883471</v>
      </c>
      <c r="F114" s="38">
        <f>IF(Settings!$E$15="POINTS",E114-VLOOKUP(B$2,C1:E431,3,FALSE),J114)</f>
        <v>-0.53156730424891929</v>
      </c>
      <c r="G114" s="38"/>
      <c r="H114" s="138">
        <f>RANK(I114,I3:I431)</f>
        <v>115</v>
      </c>
      <c r="I114" s="139">
        <f>VLOOKUP(A114,'Standard Deviations'!A1:C731,3,FALSE)</f>
        <v>3.602259782883471</v>
      </c>
      <c r="J114" s="139">
        <f>I114-VLOOKUP(B$2,H1:J431,2,FALSE)</f>
        <v>-0.53156730424891929</v>
      </c>
    </row>
    <row r="115" spans="1:10" ht="21.2" customHeight="1">
      <c r="A115" s="8" t="s">
        <v>307</v>
      </c>
      <c r="B115" s="136" t="str">
        <f>VLOOKUP(A115,'The List'!B1:D730,3,FALSE)</f>
        <v>C</v>
      </c>
      <c r="C115" s="137">
        <f>IF(Settings!$E$15="POINTS",RANK(E115,E3:E431),H115)</f>
        <v>113</v>
      </c>
      <c r="D115" s="34" t="str">
        <f>VLOOKUP(A115,'The List'!B1:F730,5,FALSE)</f>
        <v>ARI</v>
      </c>
      <c r="E115" s="38">
        <f>VLOOKUP(A115,'The List'!B1:I730,8,FALSE)</f>
        <v>3.7268522457751323</v>
      </c>
      <c r="F115" s="38">
        <f>IF(Settings!$E$15="POINTS",E115-VLOOKUP(B$2,C1:E431,3,FALSE),J115)</f>
        <v>-0.40697484135725803</v>
      </c>
      <c r="G115" s="38"/>
      <c r="H115" s="138">
        <f>RANK(I115,I3:I431)</f>
        <v>113</v>
      </c>
      <c r="I115" s="139">
        <f>VLOOKUP(A115,'Standard Deviations'!A1:C731,3,FALSE)</f>
        <v>3.7268522457751323</v>
      </c>
      <c r="J115" s="139">
        <f>I115-VLOOKUP(B$2,H1:J431,2,FALSE)</f>
        <v>-0.40697484135725803</v>
      </c>
    </row>
    <row r="116" spans="1:10" ht="21.2" customHeight="1">
      <c r="A116" s="8" t="s">
        <v>311</v>
      </c>
      <c r="B116" s="136" t="str">
        <f>VLOOKUP(A116,'The List'!B1:D730,3,FALSE)</f>
        <v>C</v>
      </c>
      <c r="C116" s="137">
        <f>IF(Settings!$E$15="POINTS",RANK(E116,E3:E431),H116)</f>
        <v>141</v>
      </c>
      <c r="D116" s="34" t="str">
        <f>VLOOKUP(A116,'The List'!B1:F730,5,FALSE)</f>
        <v>CGY</v>
      </c>
      <c r="E116" s="38">
        <f>VLOOKUP(A116,'The List'!B1:I730,8,FALSE)</f>
        <v>2.5440194089903927</v>
      </c>
      <c r="F116" s="38">
        <f>IF(Settings!$E$15="POINTS",E116-VLOOKUP(B$2,C1:E431,3,FALSE),J116)</f>
        <v>-1.5898076781419976</v>
      </c>
      <c r="G116" s="38"/>
      <c r="H116" s="138">
        <f>RANK(I116,I3:I431)</f>
        <v>141</v>
      </c>
      <c r="I116" s="139">
        <f>VLOOKUP(A116,'Standard Deviations'!A1:C731,3,FALSE)</f>
        <v>2.5440194089903927</v>
      </c>
      <c r="J116" s="139">
        <f>I116-VLOOKUP(B$2,H1:J431,2,FALSE)</f>
        <v>-1.5898076781419976</v>
      </c>
    </row>
    <row r="117" spans="1:10" ht="21.2" customHeight="1">
      <c r="A117" s="8" t="s">
        <v>280</v>
      </c>
      <c r="B117" s="136" t="str">
        <f>VLOOKUP(A117,'The List'!B1:D730,3,FALSE)</f>
        <v>RW</v>
      </c>
      <c r="C117" s="137">
        <f>IF(Settings!$E$15="POINTS",RANK(E117,E3:E431),H117)</f>
        <v>125</v>
      </c>
      <c r="D117" s="34" t="str">
        <f>VLOOKUP(A117,'The List'!B1:F730,5,FALSE)</f>
        <v>CAR</v>
      </c>
      <c r="E117" s="38">
        <f>VLOOKUP(A117,'The List'!B1:I730,8,FALSE)</f>
        <v>3.1362584876266308</v>
      </c>
      <c r="F117" s="38">
        <f>IF(Settings!$E$15="POINTS",E117-VLOOKUP(B$2,C1:E431,3,FALSE),J117)</f>
        <v>-0.99756859950575949</v>
      </c>
      <c r="G117" s="38"/>
      <c r="H117" s="138">
        <f>RANK(I117,I3:I431)</f>
        <v>125</v>
      </c>
      <c r="I117" s="139">
        <f>VLOOKUP(A117,'Standard Deviations'!A1:C731,3,FALSE)</f>
        <v>3.1362584876266308</v>
      </c>
      <c r="J117" s="139">
        <f>I117-VLOOKUP(B$2,H1:J431,2,FALSE)</f>
        <v>-0.99756859950575949</v>
      </c>
    </row>
    <row r="118" spans="1:10" ht="21.2" customHeight="1">
      <c r="A118" s="8" t="s">
        <v>320</v>
      </c>
      <c r="B118" s="136" t="str">
        <f>VLOOKUP(A118,'The List'!B1:D730,3,FALSE)</f>
        <v>C</v>
      </c>
      <c r="C118" s="137">
        <f>IF(Settings!$E$15="POINTS",RANK(E118,E3:E431),H118)</f>
        <v>103</v>
      </c>
      <c r="D118" s="34" t="str">
        <f>VLOOKUP(A118,'The List'!B1:F730,5,FALSE)</f>
        <v>NSH</v>
      </c>
      <c r="E118" s="38">
        <f>VLOOKUP(A118,'The List'!B1:I730,8,FALSE)</f>
        <v>4.3375037055034404</v>
      </c>
      <c r="F118" s="38">
        <f>IF(Settings!$E$15="POINTS",E118-VLOOKUP(B$2,C1:E431,3,FALSE),J118)</f>
        <v>0.20367661837105011</v>
      </c>
      <c r="G118" s="38"/>
      <c r="H118" s="138">
        <f>RANK(I118,I3:I431)</f>
        <v>103</v>
      </c>
      <c r="I118" s="139">
        <f>VLOOKUP(A118,'Standard Deviations'!A1:C731,3,FALSE)</f>
        <v>4.3375037055034404</v>
      </c>
      <c r="J118" s="139">
        <f>I118-VLOOKUP(B$2,H1:J431,2,FALSE)</f>
        <v>0.20367661837105011</v>
      </c>
    </row>
    <row r="119" spans="1:10" ht="21.2" customHeight="1">
      <c r="A119" s="8" t="s">
        <v>323</v>
      </c>
      <c r="B119" s="136" t="str">
        <f>VLOOKUP(A119,'The List'!B1:D730,3,FALSE)</f>
        <v>C</v>
      </c>
      <c r="C119" s="137">
        <f>IF(Settings!$E$15="POINTS",RANK(E119,E3:E431),H119)</f>
        <v>101</v>
      </c>
      <c r="D119" s="34" t="str">
        <f>VLOOKUP(A119,'The List'!B1:F730,5,FALSE)</f>
        <v>OTT</v>
      </c>
      <c r="E119" s="38">
        <f>VLOOKUP(A119,'The List'!B1:I730,8,FALSE)</f>
        <v>4.518530660735772</v>
      </c>
      <c r="F119" s="38">
        <f>IF(Settings!$E$15="POINTS",E119-VLOOKUP(B$2,C1:E431,3,FALSE),J119)</f>
        <v>0.3847035736033817</v>
      </c>
      <c r="G119" s="38"/>
      <c r="H119" s="138">
        <f>RANK(I119,I3:I431)</f>
        <v>101</v>
      </c>
      <c r="I119" s="139">
        <f>VLOOKUP(A119,'Standard Deviations'!A1:C731,3,FALSE)</f>
        <v>4.518530660735772</v>
      </c>
      <c r="J119" s="139">
        <f>I119-VLOOKUP(B$2,H1:J431,2,FALSE)</f>
        <v>0.3847035736033817</v>
      </c>
    </row>
    <row r="120" spans="1:10" ht="21.2" customHeight="1">
      <c r="A120" s="8" t="s">
        <v>296</v>
      </c>
      <c r="B120" s="136" t="str">
        <f>VLOOKUP(A120,'The List'!B1:D730,3,FALSE)</f>
        <v>LW</v>
      </c>
      <c r="C120" s="137">
        <f>IF(Settings!$E$15="POINTS",RANK(E120,E3:E431),H120)</f>
        <v>118</v>
      </c>
      <c r="D120" s="34" t="str">
        <f>VLOOKUP(A120,'The List'!B1:F730,5,FALSE)</f>
        <v>NYI</v>
      </c>
      <c r="E120" s="38">
        <f>VLOOKUP(A120,'The List'!B1:I730,8,FALSE)</f>
        <v>3.4793713744958863</v>
      </c>
      <c r="F120" s="38">
        <f>IF(Settings!$E$15="POINTS",E120-VLOOKUP(B$2,C1:E431,3,FALSE),J120)</f>
        <v>-0.65445571263650404</v>
      </c>
      <c r="G120" s="38"/>
      <c r="H120" s="138">
        <f>RANK(I120,I3:I431)</f>
        <v>118</v>
      </c>
      <c r="I120" s="139">
        <f>VLOOKUP(A120,'Standard Deviations'!A1:C731,3,FALSE)</f>
        <v>3.4793713744958863</v>
      </c>
      <c r="J120" s="139">
        <f>I120-VLOOKUP(B$2,H1:J431,2,FALSE)</f>
        <v>-0.65445571263650404</v>
      </c>
    </row>
    <row r="121" spans="1:10" ht="21.2" customHeight="1">
      <c r="A121" s="8" t="s">
        <v>285</v>
      </c>
      <c r="B121" s="136" t="str">
        <f>VLOOKUP(A121,'The List'!B1:D730,3,FALSE)</f>
        <v>LW,RW</v>
      </c>
      <c r="C121" s="137">
        <f>IF(Settings!$E$15="POINTS",RANK(E121,E3:E431),H121)</f>
        <v>139</v>
      </c>
      <c r="D121" s="34" t="str">
        <f>VLOOKUP(A121,'The List'!B1:F730,5,FALSE)</f>
        <v>CGY</v>
      </c>
      <c r="E121" s="38">
        <f>VLOOKUP(A121,'The List'!B1:I730,8,FALSE)</f>
        <v>2.6355153002385889</v>
      </c>
      <c r="F121" s="38">
        <f>IF(Settings!$E$15="POINTS",E121-VLOOKUP(B$2,C1:E431,3,FALSE),J121)</f>
        <v>-1.4983117868938014</v>
      </c>
      <c r="G121" s="38"/>
      <c r="H121" s="138">
        <f>RANK(I121,I3:I431)</f>
        <v>139</v>
      </c>
      <c r="I121" s="139">
        <f>VLOOKUP(A121,'Standard Deviations'!A1:C731,3,FALSE)</f>
        <v>2.6355153002385889</v>
      </c>
      <c r="J121" s="139">
        <f>I121-VLOOKUP(B$2,H1:J431,2,FALSE)</f>
        <v>-1.4983117868938014</v>
      </c>
    </row>
    <row r="122" spans="1:10" ht="21.2" customHeight="1">
      <c r="A122" s="8" t="s">
        <v>300</v>
      </c>
      <c r="B122" s="136" t="str">
        <f>VLOOKUP(A122,'The List'!B1:D730,3,FALSE)</f>
        <v>C,LW</v>
      </c>
      <c r="C122" s="137">
        <f>IF(Settings!$E$15="POINTS",RANK(E122,E3:E431),H122)</f>
        <v>121</v>
      </c>
      <c r="D122" s="34" t="str">
        <f>VLOOKUP(A122,'The List'!B1:F730,5,FALSE)</f>
        <v>BUF</v>
      </c>
      <c r="E122" s="38">
        <f>VLOOKUP(A122,'The List'!B1:I730,8,FALSE)</f>
        <v>3.3242502705640726</v>
      </c>
      <c r="F122" s="38">
        <f>IF(Settings!$E$15="POINTS",E122-VLOOKUP(B$2,C1:E431,3,FALSE),J122)</f>
        <v>-0.8095768165683177</v>
      </c>
      <c r="G122" s="38"/>
      <c r="H122" s="138">
        <f>RANK(I122,I3:I431)</f>
        <v>121</v>
      </c>
      <c r="I122" s="139">
        <f>VLOOKUP(A122,'Standard Deviations'!A1:C731,3,FALSE)</f>
        <v>3.3242502705640726</v>
      </c>
      <c r="J122" s="139">
        <f>I122-VLOOKUP(B$2,H1:J431,2,FALSE)</f>
        <v>-0.8095768165683177</v>
      </c>
    </row>
    <row r="123" spans="1:10" ht="21.2" customHeight="1">
      <c r="A123" s="8" t="s">
        <v>290</v>
      </c>
      <c r="B123" s="136" t="str">
        <f>VLOOKUP(A123,'The List'!B1:D730,3,FALSE)</f>
        <v>RW</v>
      </c>
      <c r="C123" s="137">
        <f>IF(Settings!$E$15="POINTS",RANK(E123,E3:E431),H123)</f>
        <v>138</v>
      </c>
      <c r="D123" s="34" t="str">
        <f>VLOOKUP(A123,'The List'!B1:F730,5,FALSE)</f>
        <v>SEA</v>
      </c>
      <c r="E123" s="38">
        <f>VLOOKUP(A123,'The List'!B1:I730,8,FALSE)</f>
        <v>2.6791340713561493</v>
      </c>
      <c r="F123" s="38">
        <f>IF(Settings!$E$15="POINTS",E123-VLOOKUP(B$2,C1:E431,3,FALSE),J123)</f>
        <v>-1.454693015776241</v>
      </c>
      <c r="G123" s="38"/>
      <c r="H123" s="138">
        <f>RANK(I123,I3:I431)</f>
        <v>138</v>
      </c>
      <c r="I123" s="139">
        <f>VLOOKUP(A123,'Standard Deviations'!A1:C731,3,FALSE)</f>
        <v>2.6791340713561493</v>
      </c>
      <c r="J123" s="139">
        <f>I123-VLOOKUP(B$2,H1:J431,2,FALSE)</f>
        <v>-1.454693015776241</v>
      </c>
    </row>
    <row r="124" spans="1:10" ht="21.2" customHeight="1">
      <c r="A124" s="8" t="s">
        <v>291</v>
      </c>
      <c r="B124" s="136" t="str">
        <f>VLOOKUP(A124,'The List'!B1:D730,3,FALSE)</f>
        <v>RW</v>
      </c>
      <c r="C124" s="137">
        <f>IF(Settings!$E$15="POINTS",RANK(E124,E3:E431),H124)</f>
        <v>137</v>
      </c>
      <c r="D124" s="34" t="str">
        <f>VLOOKUP(A124,'The List'!B1:F730,5,FALSE)</f>
        <v>PIT</v>
      </c>
      <c r="E124" s="38">
        <f>VLOOKUP(A124,'The List'!B1:I730,8,FALSE)</f>
        <v>2.766194022323075</v>
      </c>
      <c r="F124" s="38">
        <f>IF(Settings!$E$15="POINTS",E124-VLOOKUP(B$2,C1:E431,3,FALSE),J124)</f>
        <v>-1.3676330648093153</v>
      </c>
      <c r="G124" s="38"/>
      <c r="H124" s="138">
        <f>RANK(I124,I3:I431)</f>
        <v>137</v>
      </c>
      <c r="I124" s="139">
        <f>VLOOKUP(A124,'Standard Deviations'!A1:C731,3,FALSE)</f>
        <v>2.766194022323075</v>
      </c>
      <c r="J124" s="139">
        <f>I124-VLOOKUP(B$2,H1:J431,2,FALSE)</f>
        <v>-1.3676330648093153</v>
      </c>
    </row>
    <row r="125" spans="1:10" ht="21.2" customHeight="1">
      <c r="A125" s="8" t="s">
        <v>352</v>
      </c>
      <c r="B125" s="136" t="str">
        <f>VLOOKUP(A125,'The List'!B1:D730,3,FALSE)</f>
        <v>C</v>
      </c>
      <c r="C125" s="137">
        <f>IF(Settings!$E$15="POINTS",RANK(E125,E3:E431),H125)</f>
        <v>151</v>
      </c>
      <c r="D125" s="34" t="str">
        <f>VLOOKUP(A125,'The List'!B1:F730,5,FALSE)</f>
        <v>LAK</v>
      </c>
      <c r="E125" s="38">
        <f>VLOOKUP(A125,'The List'!B1:I730,8,FALSE)</f>
        <v>2.1476600641781207</v>
      </c>
      <c r="F125" s="38">
        <f>IF(Settings!$E$15="POINTS",E125-VLOOKUP(B$2,C1:E431,3,FALSE),J125)</f>
        <v>-1.9861670229542696</v>
      </c>
      <c r="G125" s="38"/>
      <c r="H125" s="138">
        <f>RANK(I125,I3:I431)</f>
        <v>151</v>
      </c>
      <c r="I125" s="139">
        <f>VLOOKUP(A125,'Standard Deviations'!A1:C731,3,FALSE)</f>
        <v>2.1476600641781207</v>
      </c>
      <c r="J125" s="139">
        <f>I125-VLOOKUP(B$2,H1:J431,2,FALSE)</f>
        <v>-1.9861670229542696</v>
      </c>
    </row>
    <row r="126" spans="1:10" ht="21.2" customHeight="1">
      <c r="A126" s="8" t="s">
        <v>331</v>
      </c>
      <c r="B126" s="136" t="str">
        <f>VLOOKUP(A126,'The List'!B1:D730,3,FALSE)</f>
        <v>LW</v>
      </c>
      <c r="C126" s="137">
        <f>IF(Settings!$E$15="POINTS",RANK(E126,E3:E431),H126)</f>
        <v>117</v>
      </c>
      <c r="D126" s="34" t="str">
        <f>VLOOKUP(A126,'The List'!B1:F730,5,FALSE)</f>
        <v>CHI</v>
      </c>
      <c r="E126" s="38">
        <f>VLOOKUP(A126,'The List'!B1:I730,8,FALSE)</f>
        <v>3.5381743079370715</v>
      </c>
      <c r="F126" s="38">
        <f>IF(Settings!$E$15="POINTS",E126-VLOOKUP(B$2,C1:E431,3,FALSE),J126)</f>
        <v>-0.59565277919531878</v>
      </c>
      <c r="G126" s="38"/>
      <c r="H126" s="138">
        <f>RANK(I126,I3:I431)</f>
        <v>117</v>
      </c>
      <c r="I126" s="139">
        <f>VLOOKUP(A126,'Standard Deviations'!A1:C731,3,FALSE)</f>
        <v>3.5381743079370715</v>
      </c>
      <c r="J126" s="139">
        <f>I126-VLOOKUP(B$2,H1:J431,2,FALSE)</f>
        <v>-0.59565277919531878</v>
      </c>
    </row>
    <row r="127" spans="1:10" ht="21.2" customHeight="1">
      <c r="A127" s="8" t="s">
        <v>359</v>
      </c>
      <c r="B127" s="136" t="str">
        <f>VLOOKUP(A127,'The List'!B1:D730,3,FALSE)</f>
        <v>C</v>
      </c>
      <c r="C127" s="137">
        <f>IF(Settings!$E$15="POINTS",RANK(E127,E3:E431),H127)</f>
        <v>131</v>
      </c>
      <c r="D127" s="34" t="str">
        <f>VLOOKUP(A127,'The List'!B1:F730,5,FALSE)</f>
        <v>CBJ</v>
      </c>
      <c r="E127" s="38">
        <f>VLOOKUP(A127,'The List'!B1:I730,8,FALSE)</f>
        <v>2.8546313639836831</v>
      </c>
      <c r="F127" s="38">
        <f>IF(Settings!$E$15="POINTS",E127-VLOOKUP(B$2,C1:E431,3,FALSE),J127)</f>
        <v>-1.2791957231487072</v>
      </c>
      <c r="G127" s="38"/>
      <c r="H127" s="138">
        <f>RANK(I127,I3:I431)</f>
        <v>131</v>
      </c>
      <c r="I127" s="139">
        <f>VLOOKUP(A127,'Standard Deviations'!A1:C731,3,FALSE)</f>
        <v>2.8546313639836831</v>
      </c>
      <c r="J127" s="139">
        <f>I127-VLOOKUP(B$2,H1:J431,2,FALSE)</f>
        <v>-1.2791957231487072</v>
      </c>
    </row>
    <row r="128" spans="1:10" ht="21.2" customHeight="1">
      <c r="A128" s="8" t="s">
        <v>295</v>
      </c>
      <c r="B128" s="136" t="str">
        <f>VLOOKUP(A128,'The List'!B1:D730,3,FALSE)</f>
        <v>C,RW</v>
      </c>
      <c r="C128" s="137">
        <f>IF(Settings!$E$15="POINTS",RANK(E128,E3:E431),H128)</f>
        <v>127</v>
      </c>
      <c r="D128" s="34" t="str">
        <f>VLOOKUP(A128,'The List'!B1:F730,5,FALSE)</f>
        <v>DAL</v>
      </c>
      <c r="E128" s="38">
        <f>VLOOKUP(A128,'The List'!B1:I730,8,FALSE)</f>
        <v>3.1171217542416638</v>
      </c>
      <c r="F128" s="38">
        <f>IF(Settings!$E$15="POINTS",E128-VLOOKUP(B$2,C1:E431,3,FALSE),J128)</f>
        <v>-1.0167053328907265</v>
      </c>
      <c r="G128" s="38"/>
      <c r="H128" s="138">
        <f>RANK(I128,I3:I431)</f>
        <v>127</v>
      </c>
      <c r="I128" s="139">
        <f>VLOOKUP(A128,'Standard Deviations'!A1:C731,3,FALSE)</f>
        <v>3.1171217542416638</v>
      </c>
      <c r="J128" s="139">
        <f>I128-VLOOKUP(B$2,H1:J431,2,FALSE)</f>
        <v>-1.0167053328907265</v>
      </c>
    </row>
    <row r="129" spans="1:10" ht="21.2" customHeight="1">
      <c r="A129" s="8" t="s">
        <v>297</v>
      </c>
      <c r="B129" s="136" t="str">
        <f>VLOOKUP(A129,'The List'!B1:D730,3,FALSE)</f>
        <v>RW</v>
      </c>
      <c r="C129" s="137">
        <f>IF(Settings!$E$15="POINTS",RANK(E129,E3:E431),H129)</f>
        <v>147</v>
      </c>
      <c r="D129" s="34" t="str">
        <f>VLOOKUP(A129,'The List'!B1:F730,5,FALSE)</f>
        <v>PIT</v>
      </c>
      <c r="E129" s="38">
        <f>VLOOKUP(A129,'The List'!B1:I730,8,FALSE)</f>
        <v>2.348026173315596</v>
      </c>
      <c r="F129" s="38">
        <f>IF(Settings!$E$15="POINTS",E129-VLOOKUP(B$2,C1:E431,3,FALSE),J129)</f>
        <v>-1.7858009138167943</v>
      </c>
      <c r="G129" s="38"/>
      <c r="H129" s="138">
        <f>RANK(I129,I3:I431)</f>
        <v>147</v>
      </c>
      <c r="I129" s="139">
        <f>VLOOKUP(A129,'Standard Deviations'!A1:C731,3,FALSE)</f>
        <v>2.348026173315596</v>
      </c>
      <c r="J129" s="139">
        <f>I129-VLOOKUP(B$2,H1:J431,2,FALSE)</f>
        <v>-1.7858009138167943</v>
      </c>
    </row>
    <row r="130" spans="1:10" ht="21.2" customHeight="1">
      <c r="A130" s="8" t="s">
        <v>363</v>
      </c>
      <c r="B130" s="136" t="str">
        <f>VLOOKUP(A130,'The List'!B1:D730,3,FALSE)</f>
        <v>C</v>
      </c>
      <c r="C130" s="137">
        <f>IF(Settings!$E$15="POINTS",RANK(E130,E3:E431),H130)</f>
        <v>133</v>
      </c>
      <c r="D130" s="34" t="str">
        <f>VLOOKUP(A130,'The List'!B1:F730,5,FALSE)</f>
        <v>CBJ</v>
      </c>
      <c r="E130" s="38">
        <f>VLOOKUP(A130,'The List'!B1:I730,8,FALSE)</f>
        <v>2.793472323315016</v>
      </c>
      <c r="F130" s="38">
        <f>IF(Settings!$E$15="POINTS",E130-VLOOKUP(B$2,C1:E431,3,FALSE),J130)</f>
        <v>-1.3403547638173743</v>
      </c>
      <c r="G130" s="38"/>
      <c r="H130" s="138">
        <f>RANK(I130,I3:I431)</f>
        <v>133</v>
      </c>
      <c r="I130" s="139">
        <f>VLOOKUP(A130,'Standard Deviations'!A1:C731,3,FALSE)</f>
        <v>2.793472323315016</v>
      </c>
      <c r="J130" s="139">
        <f>I130-VLOOKUP(B$2,H1:J431,2,FALSE)</f>
        <v>-1.3403547638173743</v>
      </c>
    </row>
    <row r="131" spans="1:10" ht="21.2" customHeight="1">
      <c r="A131" s="8" t="s">
        <v>299</v>
      </c>
      <c r="B131" s="136" t="str">
        <f>VLOOKUP(A131,'The List'!B1:D730,3,FALSE)</f>
        <v>C,RW</v>
      </c>
      <c r="C131" s="137">
        <f>IF(Settings!$E$15="POINTS",RANK(E131,E3:E431),H131)</f>
        <v>136</v>
      </c>
      <c r="D131" s="34" t="str">
        <f>VLOOKUP(A131,'The List'!B1:F730,5,FALSE)</f>
        <v>WSH</v>
      </c>
      <c r="E131" s="38">
        <f>VLOOKUP(A131,'The List'!B1:I730,8,FALSE)</f>
        <v>2.7745477204679556</v>
      </c>
      <c r="F131" s="38">
        <f>IF(Settings!$E$15="POINTS",E131-VLOOKUP(B$2,C1:E431,3,FALSE),J131)</f>
        <v>-1.3592793666644347</v>
      </c>
      <c r="G131" s="38"/>
      <c r="H131" s="138">
        <f>RANK(I131,I3:I431)</f>
        <v>136</v>
      </c>
      <c r="I131" s="139">
        <f>VLOOKUP(A131,'Standard Deviations'!A1:C731,3,FALSE)</f>
        <v>2.7745477204679556</v>
      </c>
      <c r="J131" s="139">
        <f>I131-VLOOKUP(B$2,H1:J431,2,FALSE)</f>
        <v>-1.3592793666644347</v>
      </c>
    </row>
    <row r="132" spans="1:10" ht="21.2" customHeight="1">
      <c r="A132" s="8" t="s">
        <v>343</v>
      </c>
      <c r="B132" s="136" t="str">
        <f>VLOOKUP(A132,'The List'!B1:D730,3,FALSE)</f>
        <v>LW</v>
      </c>
      <c r="C132" s="137">
        <f>IF(Settings!$E$15="POINTS",RANK(E132,E3:E431),H132)</f>
        <v>108</v>
      </c>
      <c r="D132" s="34" t="str">
        <f>VLOOKUP(A132,'The List'!B1:F730,5,FALSE)</f>
        <v>STL</v>
      </c>
      <c r="E132" s="38">
        <f>VLOOKUP(A132,'The List'!B1:I730,8,FALSE)</f>
        <v>4.0319065601259849</v>
      </c>
      <c r="F132" s="38">
        <f>IF(Settings!$E$15="POINTS",E132-VLOOKUP(B$2,C1:E431,3,FALSE),J132)</f>
        <v>-0.10192052700640541</v>
      </c>
      <c r="G132" s="38"/>
      <c r="H132" s="138">
        <f>RANK(I132,I3:I431)</f>
        <v>108</v>
      </c>
      <c r="I132" s="139">
        <f>VLOOKUP(A132,'Standard Deviations'!A1:C731,3,FALSE)</f>
        <v>4.0319065601259849</v>
      </c>
      <c r="J132" s="139">
        <f>I132-VLOOKUP(B$2,H1:J431,2,FALSE)</f>
        <v>-0.10192052700640541</v>
      </c>
    </row>
    <row r="133" spans="1:10" ht="21.2" customHeight="1">
      <c r="A133" s="8" t="s">
        <v>369</v>
      </c>
      <c r="B133" s="136" t="str">
        <f>VLOOKUP(A133,'The List'!B1:D730,3,FALSE)</f>
        <v>C</v>
      </c>
      <c r="C133" s="137">
        <f>IF(Settings!$E$15="POINTS",RANK(E133,E3:E431),H133)</f>
        <v>149</v>
      </c>
      <c r="D133" s="34" t="str">
        <f>VLOOKUP(A133,'The List'!B1:F730,5,FALSE)</f>
        <v>DAL</v>
      </c>
      <c r="E133" s="38">
        <f>VLOOKUP(A133,'The List'!B1:I730,8,FALSE)</f>
        <v>2.1771678867997832</v>
      </c>
      <c r="F133" s="38">
        <f>IF(Settings!$E$15="POINTS",E133-VLOOKUP(B$2,C1:E431,3,FALSE),J133)</f>
        <v>-1.9566592003326071</v>
      </c>
      <c r="G133" s="38"/>
      <c r="H133" s="138">
        <f>RANK(I133,I3:I431)</f>
        <v>149</v>
      </c>
      <c r="I133" s="139">
        <f>VLOOKUP(A133,'Standard Deviations'!A1:C731,3,FALSE)</f>
        <v>2.1771678867997832</v>
      </c>
      <c r="J133" s="139">
        <f>I133-VLOOKUP(B$2,H1:J431,2,FALSE)</f>
        <v>-1.9566592003326071</v>
      </c>
    </row>
    <row r="134" spans="1:10" ht="21.2" customHeight="1">
      <c r="A134" s="8" t="s">
        <v>309</v>
      </c>
      <c r="B134" s="136" t="str">
        <f>VLOOKUP(A134,'The List'!B1:D730,3,FALSE)</f>
        <v>C,LW,RW</v>
      </c>
      <c r="C134" s="137">
        <f>IF(Settings!$E$15="POINTS",RANK(E134,E3:E431),H134)</f>
        <v>148</v>
      </c>
      <c r="D134" s="34" t="str">
        <f>VLOOKUP(A134,'The List'!B1:F730,5,FALSE)</f>
        <v>CBJ</v>
      </c>
      <c r="E134" s="38">
        <f>VLOOKUP(A134,'The List'!B1:I730,8,FALSE)</f>
        <v>2.2297803244112213</v>
      </c>
      <c r="F134" s="38">
        <f>IF(Settings!$E$15="POINTS",E134-VLOOKUP(B$2,C1:E431,3,FALSE),J134)</f>
        <v>-1.904046762721169</v>
      </c>
      <c r="G134" s="38"/>
      <c r="H134" s="138">
        <f>RANK(I134,I3:I431)</f>
        <v>148</v>
      </c>
      <c r="I134" s="139">
        <f>VLOOKUP(A134,'Standard Deviations'!A1:C731,3,FALSE)</f>
        <v>2.2297803244112213</v>
      </c>
      <c r="J134" s="139">
        <f>I134-VLOOKUP(B$2,H1:J431,2,FALSE)</f>
        <v>-1.904046762721169</v>
      </c>
    </row>
    <row r="135" spans="1:10" ht="21.2" customHeight="1">
      <c r="A135" s="8" t="s">
        <v>347</v>
      </c>
      <c r="B135" s="136" t="str">
        <f>VLOOKUP(A135,'The List'!B1:D730,3,FALSE)</f>
        <v>C,LW</v>
      </c>
      <c r="C135" s="137">
        <f>IF(Settings!$E$15="POINTS",RANK(E135,E3:E431),H135)</f>
        <v>129</v>
      </c>
      <c r="D135" s="34" t="str">
        <f>VLOOKUP(A135,'The List'!B1:F730,5,FALSE)</f>
        <v>ANA</v>
      </c>
      <c r="E135" s="38">
        <f>VLOOKUP(A135,'The List'!B1:I730,8,FALSE)</f>
        <v>2.8890221651686572</v>
      </c>
      <c r="F135" s="38">
        <f>IF(Settings!$E$15="POINTS",E135-VLOOKUP(B$2,C1:E431,3,FALSE),J135)</f>
        <v>-1.2448049219637332</v>
      </c>
      <c r="G135" s="38"/>
      <c r="H135" s="138">
        <f>RANK(I135,I3:I431)</f>
        <v>129</v>
      </c>
      <c r="I135" s="139">
        <f>VLOOKUP(A135,'Standard Deviations'!A1:C731,3,FALSE)</f>
        <v>2.8890221651686572</v>
      </c>
      <c r="J135" s="139">
        <f>I135-VLOOKUP(B$2,H1:J431,2,FALSE)</f>
        <v>-1.2448049219637332</v>
      </c>
    </row>
    <row r="136" spans="1:10" ht="21.2" customHeight="1">
      <c r="A136" s="8" t="s">
        <v>312</v>
      </c>
      <c r="B136" s="136" t="str">
        <f>VLOOKUP(A136,'The List'!B1:D730,3,FALSE)</f>
        <v>RW</v>
      </c>
      <c r="C136" s="137">
        <f>IF(Settings!$E$15="POINTS",RANK(E136,E3:E431),H136)</f>
        <v>156</v>
      </c>
      <c r="D136" s="34" t="str">
        <f>VLOOKUP(A136,'The List'!B1:F730,5,FALSE)</f>
        <v>SEA</v>
      </c>
      <c r="E136" s="38">
        <f>VLOOKUP(A136,'The List'!B1:I730,8,FALSE)</f>
        <v>1.9427837536120243</v>
      </c>
      <c r="F136" s="38">
        <f>IF(Settings!$E$15="POINTS",E136-VLOOKUP(B$2,C1:E431,3,FALSE),J136)</f>
        <v>-2.1910433335203661</v>
      </c>
      <c r="G136" s="38"/>
      <c r="H136" s="138">
        <f>RANK(I136,I3:I431)</f>
        <v>156</v>
      </c>
      <c r="I136" s="139">
        <f>VLOOKUP(A136,'Standard Deviations'!A1:C731,3,FALSE)</f>
        <v>1.9427837536120243</v>
      </c>
      <c r="J136" s="139">
        <f>I136-VLOOKUP(B$2,H1:J431,2,FALSE)</f>
        <v>-2.1910433335203661</v>
      </c>
    </row>
    <row r="137" spans="1:10" ht="21.2" customHeight="1">
      <c r="A137" s="8" t="s">
        <v>313</v>
      </c>
      <c r="B137" s="136" t="str">
        <f>VLOOKUP(A137,'The List'!B1:D730,3,FALSE)</f>
        <v>C,RW</v>
      </c>
      <c r="C137" s="137">
        <f>IF(Settings!$E$15="POINTS",RANK(E137,E3:E431),H137)</f>
        <v>154</v>
      </c>
      <c r="D137" s="34" t="str">
        <f>VLOOKUP(A137,'The List'!B1:F730,5,FALSE)</f>
        <v>MIN</v>
      </c>
      <c r="E137" s="38">
        <f>VLOOKUP(A137,'The List'!B1:I730,8,FALSE)</f>
        <v>2.0391096416805512</v>
      </c>
      <c r="F137" s="38">
        <f>IF(Settings!$E$15="POINTS",E137-VLOOKUP(B$2,C1:E431,3,FALSE),J137)</f>
        <v>-2.0947174454518391</v>
      </c>
      <c r="G137" s="38"/>
      <c r="H137" s="138">
        <f>RANK(I137,I3:I431)</f>
        <v>154</v>
      </c>
      <c r="I137" s="139">
        <f>VLOOKUP(A137,'Standard Deviations'!A1:C731,3,FALSE)</f>
        <v>2.0391096416805512</v>
      </c>
      <c r="J137" s="139">
        <f>I137-VLOOKUP(B$2,H1:J431,2,FALSE)</f>
        <v>-2.0947174454518391</v>
      </c>
    </row>
    <row r="138" spans="1:10" ht="21.2" customHeight="1">
      <c r="A138" s="8" t="s">
        <v>351</v>
      </c>
      <c r="B138" s="136" t="str">
        <f>VLOOKUP(A138,'The List'!B1:D730,3,FALSE)</f>
        <v>LW</v>
      </c>
      <c r="C138" s="137">
        <f>IF(Settings!$E$15="POINTS",RANK(E138,E3:E431),H138)</f>
        <v>123</v>
      </c>
      <c r="D138" s="34" t="str">
        <f>VLOOKUP(A138,'The List'!B1:F730,5,FALSE)</f>
        <v>ARI</v>
      </c>
      <c r="E138" s="38">
        <f>VLOOKUP(A138,'The List'!B1:I730,8,FALSE)</f>
        <v>3.2061589803211241</v>
      </c>
      <c r="F138" s="38">
        <f>IF(Settings!$E$15="POINTS",E138-VLOOKUP(B$2,C1:E431,3,FALSE),J138)</f>
        <v>-0.92766810681126621</v>
      </c>
      <c r="G138" s="38"/>
      <c r="H138" s="138">
        <f>RANK(I138,I3:I431)</f>
        <v>123</v>
      </c>
      <c r="I138" s="139">
        <f>VLOOKUP(A138,'Standard Deviations'!A1:C731,3,FALSE)</f>
        <v>3.2061589803211241</v>
      </c>
      <c r="J138" s="139">
        <f>I138-VLOOKUP(B$2,H1:J431,2,FALSE)</f>
        <v>-0.92766810681126621</v>
      </c>
    </row>
    <row r="139" spans="1:10" ht="21.2" customHeight="1">
      <c r="A139" s="8" t="s">
        <v>318</v>
      </c>
      <c r="B139" s="136" t="str">
        <f>VLOOKUP(A139,'The List'!B1:D730,3,FALSE)</f>
        <v>RW</v>
      </c>
      <c r="C139" s="137">
        <f>IF(Settings!$E$15="POINTS",RANK(E139,E3:E431),H139)</f>
        <v>122</v>
      </c>
      <c r="D139" s="34" t="str">
        <f>VLOOKUP(A139,'The List'!B1:F730,5,FALSE)</f>
        <v>NSH</v>
      </c>
      <c r="E139" s="38">
        <f>VLOOKUP(A139,'The List'!B1:I730,8,FALSE)</f>
        <v>3.2517709157274171</v>
      </c>
      <c r="F139" s="38">
        <f>IF(Settings!$E$15="POINTS",E139-VLOOKUP(B$2,C1:E431,3,FALSE),J139)</f>
        <v>-0.88205617140497328</v>
      </c>
      <c r="G139" s="38"/>
      <c r="H139" s="138">
        <f>RANK(I139,I3:I431)</f>
        <v>122</v>
      </c>
      <c r="I139" s="139">
        <f>VLOOKUP(A139,'Standard Deviations'!A1:C731,3,FALSE)</f>
        <v>3.2517709157274171</v>
      </c>
      <c r="J139" s="139">
        <f>I139-VLOOKUP(B$2,H1:J431,2,FALSE)</f>
        <v>-0.88205617140497328</v>
      </c>
    </row>
    <row r="140" spans="1:10" ht="21.2" customHeight="1">
      <c r="A140" s="8" t="s">
        <v>319</v>
      </c>
      <c r="B140" s="136" t="str">
        <f>VLOOKUP(A140,'The List'!B1:D730,3,FALSE)</f>
        <v>LW,RW</v>
      </c>
      <c r="C140" s="137">
        <f>IF(Settings!$E$15="POINTS",RANK(E140,E3:E431),H140)</f>
        <v>109</v>
      </c>
      <c r="D140" s="34" t="str">
        <f>VLOOKUP(A140,'The List'!B1:F730,5,FALSE)</f>
        <v>TOR</v>
      </c>
      <c r="E140" s="38">
        <f>VLOOKUP(A140,'The List'!B1:I730,8,FALSE)</f>
        <v>3.9996377274450081</v>
      </c>
      <c r="F140" s="38">
        <f>IF(Settings!$E$15="POINTS",E140-VLOOKUP(B$2,C1:E431,3,FALSE),J140)</f>
        <v>-0.13418935968738221</v>
      </c>
      <c r="G140" s="38"/>
      <c r="H140" s="138">
        <f>RANK(I140,I3:I431)</f>
        <v>109</v>
      </c>
      <c r="I140" s="139">
        <f>VLOOKUP(A140,'Standard Deviations'!A1:C731,3,FALSE)</f>
        <v>3.9996377274450081</v>
      </c>
      <c r="J140" s="139">
        <f>I140-VLOOKUP(B$2,H1:J431,2,FALSE)</f>
        <v>-0.13418935968738221</v>
      </c>
    </row>
    <row r="141" spans="1:10" ht="21.2" customHeight="1">
      <c r="A141" s="8" t="s">
        <v>324</v>
      </c>
      <c r="B141" s="136" t="str">
        <f>VLOOKUP(A141,'The List'!B1:D730,3,FALSE)</f>
        <v>RW</v>
      </c>
      <c r="C141" s="137">
        <f>IF(Settings!$E$15="POINTS",RANK(E141,E3:E431),H141)</f>
        <v>128</v>
      </c>
      <c r="D141" s="34" t="str">
        <f>VLOOKUP(A141,'The List'!B1:F730,5,FALSE)</f>
        <v>WSH</v>
      </c>
      <c r="E141" s="38">
        <f>VLOOKUP(A141,'The List'!B1:I730,8,FALSE)</f>
        <v>3.0788320137153238</v>
      </c>
      <c r="F141" s="38">
        <f>IF(Settings!$E$15="POINTS",E141-VLOOKUP(B$2,C1:E431,3,FALSE),J141)</f>
        <v>-1.0549950734170666</v>
      </c>
      <c r="G141" s="38"/>
      <c r="H141" s="138">
        <f>RANK(I141,I3:I431)</f>
        <v>128</v>
      </c>
      <c r="I141" s="139">
        <f>VLOOKUP(A141,'Standard Deviations'!A1:C731,3,FALSE)</f>
        <v>3.0788320137153238</v>
      </c>
      <c r="J141" s="139">
        <f>I141-VLOOKUP(B$2,H1:J431,2,FALSE)</f>
        <v>-1.0549950734170666</v>
      </c>
    </row>
    <row r="142" spans="1:10" ht="21.2" customHeight="1">
      <c r="A142" s="8" t="s">
        <v>383</v>
      </c>
      <c r="B142" s="136" t="str">
        <f>VLOOKUP(A142,'The List'!B1:D730,3,FALSE)</f>
        <v>C</v>
      </c>
      <c r="C142" s="137">
        <f>IF(Settings!$E$15="POINTS",RANK(E142,E3:E431),H142)</f>
        <v>87</v>
      </c>
      <c r="D142" s="34" t="str">
        <f>VLOOKUP(A142,'The List'!B1:F730,5,FALSE)</f>
        <v>PHI</v>
      </c>
      <c r="E142" s="38">
        <f>VLOOKUP(A142,'The List'!B1:I730,8,FALSE)</f>
        <v>5.6205791164881322</v>
      </c>
      <c r="F142" s="38">
        <f>IF(Settings!$E$15="POINTS",E142-VLOOKUP(B$2,C1:E431,3,FALSE),J142)</f>
        <v>1.4867520293557419</v>
      </c>
      <c r="G142" s="38"/>
      <c r="H142" s="138">
        <f>RANK(I142,I3:I431)</f>
        <v>87</v>
      </c>
      <c r="I142" s="139">
        <f>VLOOKUP(A142,'Standard Deviations'!A1:C731,3,FALSE)</f>
        <v>5.6205791164881322</v>
      </c>
      <c r="J142" s="139">
        <f>I142-VLOOKUP(B$2,H1:J431,2,FALSE)</f>
        <v>1.4867520293557419</v>
      </c>
    </row>
    <row r="143" spans="1:10" ht="21.2" customHeight="1">
      <c r="A143" s="8" t="s">
        <v>384</v>
      </c>
      <c r="B143" s="136" t="str">
        <f>VLOOKUP(A143,'The List'!B1:D730,3,FALSE)</f>
        <v>C</v>
      </c>
      <c r="C143" s="137">
        <f>IF(Settings!$E$15="POINTS",RANK(E143,E3:E431),H143)</f>
        <v>171</v>
      </c>
      <c r="D143" s="34" t="str">
        <f>VLOOKUP(A143,'The List'!B1:F730,5,FALSE)</f>
        <v>VGK</v>
      </c>
      <c r="E143" s="38">
        <f>VLOOKUP(A143,'The List'!B1:I730,8,FALSE)</f>
        <v>1.4385726371349721</v>
      </c>
      <c r="F143" s="38">
        <f>IF(Settings!$E$15="POINTS",E143-VLOOKUP(B$2,C1:E431,3,FALSE),J143)</f>
        <v>-2.6952544499974183</v>
      </c>
      <c r="G143" s="38"/>
      <c r="H143" s="138">
        <f>RANK(I143,I3:I431)</f>
        <v>171</v>
      </c>
      <c r="I143" s="139">
        <f>VLOOKUP(A143,'Standard Deviations'!A1:C731,3,FALSE)</f>
        <v>1.4385726371349721</v>
      </c>
      <c r="J143" s="139">
        <f>I143-VLOOKUP(B$2,H1:J431,2,FALSE)</f>
        <v>-2.6952544499974183</v>
      </c>
    </row>
    <row r="144" spans="1:10" ht="21.2" customHeight="1">
      <c r="A144" s="8" t="s">
        <v>327</v>
      </c>
      <c r="B144" s="136" t="str">
        <f>VLOOKUP(A144,'The List'!B1:D730,3,FALSE)</f>
        <v>C,RW</v>
      </c>
      <c r="C144" s="137">
        <f>IF(Settings!$E$15="POINTS",RANK(E144,E3:E431),H144)</f>
        <v>119</v>
      </c>
      <c r="D144" s="34" t="str">
        <f>VLOOKUP(A144,'The List'!B1:F730,5,FALSE)</f>
        <v>MTL</v>
      </c>
      <c r="E144" s="38">
        <f>VLOOKUP(A144,'The List'!B1:I730,8,FALSE)</f>
        <v>3.41087557349221</v>
      </c>
      <c r="F144" s="38">
        <f>IF(Settings!$E$15="POINTS",E144-VLOOKUP(B$2,C1:E431,3,FALSE),J144)</f>
        <v>-0.72295151364018029</v>
      </c>
      <c r="G144" s="38"/>
      <c r="H144" s="138">
        <f>RANK(I144,I3:I431)</f>
        <v>119</v>
      </c>
      <c r="I144" s="139">
        <f>VLOOKUP(A144,'Standard Deviations'!A1:C731,3,FALSE)</f>
        <v>3.41087557349221</v>
      </c>
      <c r="J144" s="139">
        <f>I144-VLOOKUP(B$2,H1:J431,2,FALSE)</f>
        <v>-0.72295151364018029</v>
      </c>
    </row>
    <row r="145" spans="1:10" ht="21.2" customHeight="1">
      <c r="A145" s="8" t="s">
        <v>329</v>
      </c>
      <c r="B145" s="136" t="str">
        <f>VLOOKUP(A145,'The List'!B1:D730,3,FALSE)</f>
        <v>LW,RW</v>
      </c>
      <c r="C145" s="137">
        <f>IF(Settings!$E$15="POINTS",RANK(E145,E3:E431),H145)</f>
        <v>155</v>
      </c>
      <c r="D145" s="34" t="str">
        <f>VLOOKUP(A145,'The List'!B1:F730,5,FALSE)</f>
        <v>VAN</v>
      </c>
      <c r="E145" s="38">
        <f>VLOOKUP(A145,'The List'!B1:I730,8,FALSE)</f>
        <v>2.0269604016104097</v>
      </c>
      <c r="F145" s="38">
        <f>IF(Settings!$E$15="POINTS",E145-VLOOKUP(B$2,C1:E431,3,FALSE),J145)</f>
        <v>-2.1068666855219806</v>
      </c>
      <c r="G145" s="38"/>
      <c r="H145" s="138">
        <f>RANK(I145,I3:I431)</f>
        <v>155</v>
      </c>
      <c r="I145" s="139">
        <f>VLOOKUP(A145,'Standard Deviations'!A1:C731,3,FALSE)</f>
        <v>2.0269604016104097</v>
      </c>
      <c r="J145" s="139">
        <f>I145-VLOOKUP(B$2,H1:J431,2,FALSE)</f>
        <v>-2.1068666855219806</v>
      </c>
    </row>
    <row r="146" spans="1:10" ht="21.2" customHeight="1">
      <c r="A146" s="8" t="s">
        <v>360</v>
      </c>
      <c r="B146" s="136" t="str">
        <f>VLOOKUP(A146,'The List'!B1:D730,3,FALSE)</f>
        <v>LW</v>
      </c>
      <c r="C146" s="137">
        <f>IF(Settings!$E$15="POINTS",RANK(E146,E3:E431),H146)</f>
        <v>142</v>
      </c>
      <c r="D146" s="34" t="str">
        <f>VLOOKUP(A146,'The List'!B1:F730,5,FALSE)</f>
        <v>CAR</v>
      </c>
      <c r="E146" s="38">
        <f>VLOOKUP(A146,'The List'!B1:I730,8,FALSE)</f>
        <v>2.5350095114518889</v>
      </c>
      <c r="F146" s="38">
        <f>IF(Settings!$E$15="POINTS",E146-VLOOKUP(B$2,C1:E431,3,FALSE),J146)</f>
        <v>-1.5988175756805014</v>
      </c>
      <c r="G146" s="38"/>
      <c r="H146" s="138">
        <f>RANK(I146,I3:I431)</f>
        <v>142</v>
      </c>
      <c r="I146" s="139">
        <f>VLOOKUP(A146,'Standard Deviations'!A1:C731,3,FALSE)</f>
        <v>2.5350095114518889</v>
      </c>
      <c r="J146" s="139">
        <f>I146-VLOOKUP(B$2,H1:J431,2,FALSE)</f>
        <v>-1.5988175756805014</v>
      </c>
    </row>
    <row r="147" spans="1:10" ht="21.2" customHeight="1">
      <c r="A147" s="8" t="s">
        <v>335</v>
      </c>
      <c r="B147" s="136" t="str">
        <f>VLOOKUP(A147,'The List'!B1:D730,3,FALSE)</f>
        <v>LW,RW</v>
      </c>
      <c r="C147" s="137">
        <f>IF(Settings!$E$15="POINTS",RANK(E147,E3:E431),H147)</f>
        <v>159</v>
      </c>
      <c r="D147" s="34" t="str">
        <f>VLOOKUP(A147,'The List'!B1:F730,5,FALSE)</f>
        <v>VAN</v>
      </c>
      <c r="E147" s="38">
        <f>VLOOKUP(A147,'The List'!B1:I730,8,FALSE)</f>
        <v>1.8195772606404146</v>
      </c>
      <c r="F147" s="38">
        <f>IF(Settings!$E$15="POINTS",E147-VLOOKUP(B$2,C1:E431,3,FALSE),J147)</f>
        <v>-2.3142498264919755</v>
      </c>
      <c r="G147" s="38"/>
      <c r="H147" s="138">
        <f>RANK(I147,I3:I431)</f>
        <v>159</v>
      </c>
      <c r="I147" s="139">
        <f>VLOOKUP(A147,'Standard Deviations'!A1:C731,3,FALSE)</f>
        <v>1.8195772606404146</v>
      </c>
      <c r="J147" s="139">
        <f>I147-VLOOKUP(B$2,H1:J431,2,FALSE)</f>
        <v>-2.3142498264919755</v>
      </c>
    </row>
    <row r="148" spans="1:10" ht="21.2" customHeight="1">
      <c r="A148" s="8" t="s">
        <v>336</v>
      </c>
      <c r="B148" s="136" t="str">
        <f>VLOOKUP(A148,'The List'!B1:D730,3,FALSE)</f>
        <v>LW,RW</v>
      </c>
      <c r="C148" s="137">
        <f>IF(Settings!$E$15="POINTS",RANK(E148,E3:E431),H148)</f>
        <v>143</v>
      </c>
      <c r="D148" s="34" t="str">
        <f>VLOOKUP(A148,'The List'!B1:F730,5,FALSE)</f>
        <v>CAR</v>
      </c>
      <c r="E148" s="38">
        <f>VLOOKUP(A148,'The List'!B1:I730,8,FALSE)</f>
        <v>2.4864447378146495</v>
      </c>
      <c r="F148" s="38">
        <f>IF(Settings!$E$15="POINTS",E148-VLOOKUP(B$2,C1:E431,3,FALSE),J148)</f>
        <v>-1.6473823493177409</v>
      </c>
      <c r="G148" s="38"/>
      <c r="H148" s="138">
        <f>RANK(I148,I3:I431)</f>
        <v>143</v>
      </c>
      <c r="I148" s="139">
        <f>VLOOKUP(A148,'Standard Deviations'!A1:C731,3,FALSE)</f>
        <v>2.4864447378146495</v>
      </c>
      <c r="J148" s="139">
        <f>I148-VLOOKUP(B$2,H1:J431,2,FALSE)</f>
        <v>-1.6473823493177409</v>
      </c>
    </row>
    <row r="149" spans="1:10" ht="21.2" customHeight="1">
      <c r="A149" s="8" t="s">
        <v>394</v>
      </c>
      <c r="B149" s="136" t="str">
        <f>VLOOKUP(A149,'The List'!B1:D730,3,FALSE)</f>
        <v>C</v>
      </c>
      <c r="C149" s="137">
        <f>IF(Settings!$E$15="POINTS",RANK(E149,E3:E431),H149)</f>
        <v>150</v>
      </c>
      <c r="D149" s="34" t="str">
        <f>VLOOKUP(A149,'The List'!B1:F730,5,FALSE)</f>
        <v>NSH</v>
      </c>
      <c r="E149" s="38">
        <f>VLOOKUP(A149,'The List'!B1:I730,8,FALSE)</f>
        <v>2.1557682259631124</v>
      </c>
      <c r="F149" s="38">
        <f>IF(Settings!$E$15="POINTS",E149-VLOOKUP(B$2,C1:E431,3,FALSE),J149)</f>
        <v>-1.978058861169278</v>
      </c>
      <c r="G149" s="38"/>
      <c r="H149" s="138">
        <f>RANK(I149,I3:I431)</f>
        <v>150</v>
      </c>
      <c r="I149" s="139">
        <f>VLOOKUP(A149,'Standard Deviations'!A1:C731,3,FALSE)</f>
        <v>2.1557682259631124</v>
      </c>
      <c r="J149" s="139">
        <f>I149-VLOOKUP(B$2,H1:J431,2,FALSE)</f>
        <v>-1.978058861169278</v>
      </c>
    </row>
    <row r="150" spans="1:10" ht="21.2" customHeight="1">
      <c r="A150" s="8" t="s">
        <v>338</v>
      </c>
      <c r="B150" s="136" t="str">
        <f>VLOOKUP(A150,'The List'!B1:D730,3,FALSE)</f>
        <v>LW,RW</v>
      </c>
      <c r="C150" s="137">
        <f>IF(Settings!$E$15="POINTS",RANK(E150,E3:E431),H150)</f>
        <v>168</v>
      </c>
      <c r="D150" s="34" t="str">
        <f>VLOOKUP(A150,'The List'!B1:F730,5,FALSE)</f>
        <v>LAK</v>
      </c>
      <c r="E150" s="38">
        <f>VLOOKUP(A150,'The List'!B1:I730,8,FALSE)</f>
        <v>1.532331179249053</v>
      </c>
      <c r="F150" s="38">
        <f>IF(Settings!$E$15="POINTS",E150-VLOOKUP(B$2,C1:E431,3,FALSE),J150)</f>
        <v>-2.6014959078833373</v>
      </c>
      <c r="G150" s="38"/>
      <c r="H150" s="138">
        <f>RANK(I150,I3:I431)</f>
        <v>168</v>
      </c>
      <c r="I150" s="139">
        <f>VLOOKUP(A150,'Standard Deviations'!A1:C731,3,FALSE)</f>
        <v>1.532331179249053</v>
      </c>
      <c r="J150" s="139">
        <f>I150-VLOOKUP(B$2,H1:J431,2,FALSE)</f>
        <v>-2.6014959078833373</v>
      </c>
    </row>
    <row r="151" spans="1:10" ht="21.2" customHeight="1">
      <c r="A151" s="8" t="s">
        <v>341</v>
      </c>
      <c r="B151" s="136" t="str">
        <f>VLOOKUP(A151,'The List'!B1:D730,3,FALSE)</f>
        <v>C,LW,RW</v>
      </c>
      <c r="C151" s="137">
        <f>IF(Settings!$E$15="POINTS",RANK(E151,E3:E431),H151)</f>
        <v>162</v>
      </c>
      <c r="D151" s="34" t="str">
        <f>VLOOKUP(A151,'The List'!B1:F730,5,FALSE)</f>
        <v>VGK</v>
      </c>
      <c r="E151" s="38">
        <f>VLOOKUP(A151,'The List'!B1:I730,8,FALSE)</f>
        <v>1.7549357413741777</v>
      </c>
      <c r="F151" s="38">
        <f>IF(Settings!$E$15="POINTS",E151-VLOOKUP(B$2,C1:E431,3,FALSE),J151)</f>
        <v>-2.3788913457582126</v>
      </c>
      <c r="G151" s="38"/>
      <c r="H151" s="138">
        <f>RANK(I151,I3:I431)</f>
        <v>162</v>
      </c>
      <c r="I151" s="139">
        <f>VLOOKUP(A151,'Standard Deviations'!A1:C731,3,FALSE)</f>
        <v>1.7549357413741777</v>
      </c>
      <c r="J151" s="139">
        <f>I151-VLOOKUP(B$2,H1:J431,2,FALSE)</f>
        <v>-2.3788913457582126</v>
      </c>
    </row>
    <row r="152" spans="1:10" ht="21.2" customHeight="1">
      <c r="A152" s="8" t="s">
        <v>344</v>
      </c>
      <c r="B152" s="136" t="str">
        <f>VLOOKUP(A152,'The List'!B1:D730,3,FALSE)</f>
        <v>RW</v>
      </c>
      <c r="C152" s="137">
        <f>IF(Settings!$E$15="POINTS",RANK(E152,E3:E431),H152)</f>
        <v>152</v>
      </c>
      <c r="D152" s="34" t="str">
        <f>VLOOKUP(A152,'The List'!B1:F730,5,FALSE)</f>
        <v>NYR</v>
      </c>
      <c r="E152" s="38">
        <f>VLOOKUP(A152,'The List'!B1:I730,8,FALSE)</f>
        <v>2.1356922715073319</v>
      </c>
      <c r="F152" s="38">
        <f>IF(Settings!$E$15="POINTS",E152-VLOOKUP(B$2,C1:E431,3,FALSE),J152)</f>
        <v>-1.9981348156250585</v>
      </c>
      <c r="G152" s="38"/>
      <c r="H152" s="138">
        <f>RANK(I152,I3:I431)</f>
        <v>152</v>
      </c>
      <c r="I152" s="139">
        <f>VLOOKUP(A152,'Standard Deviations'!A1:C731,3,FALSE)</f>
        <v>2.1356922715073319</v>
      </c>
      <c r="J152" s="139">
        <f>I152-VLOOKUP(B$2,H1:J431,2,FALSE)</f>
        <v>-1.9981348156250585</v>
      </c>
    </row>
    <row r="153" spans="1:10" ht="21.2" customHeight="1">
      <c r="A153" s="8" t="s">
        <v>374</v>
      </c>
      <c r="B153" s="136" t="str">
        <f>VLOOKUP(A153,'The List'!B1:D730,3,FALSE)</f>
        <v>C,LW</v>
      </c>
      <c r="C153" s="137">
        <f>IF(Settings!$E$15="POINTS",RANK(E153,E3:E431),H153)</f>
        <v>166</v>
      </c>
      <c r="D153" s="34" t="str">
        <f>VLOOKUP(A153,'The List'!B1:F730,5,FALSE)</f>
        <v>FLA</v>
      </c>
      <c r="E153" s="38">
        <f>VLOOKUP(A153,'The List'!B1:I730,8,FALSE)</f>
        <v>1.6094259932220911</v>
      </c>
      <c r="F153" s="38">
        <f>IF(Settings!$E$15="POINTS",E153-VLOOKUP(B$2,C1:E431,3,FALSE),J153)</f>
        <v>-2.5244010939102992</v>
      </c>
      <c r="G153" s="38"/>
      <c r="H153" s="138">
        <f>RANK(I153,I3:I431)</f>
        <v>166</v>
      </c>
      <c r="I153" s="139">
        <f>VLOOKUP(A153,'Standard Deviations'!A1:C731,3,FALSE)</f>
        <v>1.6094259932220911</v>
      </c>
      <c r="J153" s="139">
        <f>I153-VLOOKUP(B$2,H1:J431,2,FALSE)</f>
        <v>-2.5244010939102992</v>
      </c>
    </row>
    <row r="154" spans="1:10" ht="21.2" customHeight="1">
      <c r="A154" s="8" t="s">
        <v>349</v>
      </c>
      <c r="B154" s="136" t="str">
        <f>VLOOKUP(A154,'The List'!B1:D730,3,FALSE)</f>
        <v>C,RW</v>
      </c>
      <c r="C154" s="137">
        <f>IF(Settings!$E$15="POINTS",RANK(E154,E3:E431),H154)</f>
        <v>146</v>
      </c>
      <c r="D154" s="34" t="str">
        <f>VLOOKUP(A154,'The List'!B1:F730,5,FALSE)</f>
        <v>DAL</v>
      </c>
      <c r="E154" s="38">
        <f>VLOOKUP(A154,'The List'!B1:I730,8,FALSE)</f>
        <v>2.348789467429456</v>
      </c>
      <c r="F154" s="38">
        <f>IF(Settings!$E$15="POINTS",E154-VLOOKUP(B$2,C1:E431,3,FALSE),J154)</f>
        <v>-1.7850376197029343</v>
      </c>
      <c r="G154" s="38"/>
      <c r="H154" s="138">
        <f>RANK(I154,I3:I431)</f>
        <v>146</v>
      </c>
      <c r="I154" s="139">
        <f>VLOOKUP(A154,'Standard Deviations'!A1:C731,3,FALSE)</f>
        <v>2.348789467429456</v>
      </c>
      <c r="J154" s="139">
        <f>I154-VLOOKUP(B$2,H1:J431,2,FALSE)</f>
        <v>-1.7850376197029343</v>
      </c>
    </row>
    <row r="155" spans="1:10" ht="21.2" customHeight="1">
      <c r="A155" s="8" t="s">
        <v>379</v>
      </c>
      <c r="B155" s="136" t="str">
        <f>VLOOKUP(A155,'The List'!B1:D730,3,FALSE)</f>
        <v>LW</v>
      </c>
      <c r="C155" s="137">
        <f>IF(Settings!$E$15="POINTS",RANK(E155,E3:E431),H155)</f>
        <v>132</v>
      </c>
      <c r="D155" s="34" t="str">
        <f>VLOOKUP(A155,'The List'!B1:F730,5,FALSE)</f>
        <v>EDM</v>
      </c>
      <c r="E155" s="38">
        <f>VLOOKUP(A155,'The List'!B1:I730,8,FALSE)</f>
        <v>2.8180413842784593</v>
      </c>
      <c r="F155" s="38">
        <f>IF(Settings!$E$15="POINTS",E155-VLOOKUP(B$2,C1:E431,3,FALSE),J155)</f>
        <v>-1.315785702853931</v>
      </c>
      <c r="G155" s="38"/>
      <c r="H155" s="138">
        <f>RANK(I155,I3:I431)</f>
        <v>132</v>
      </c>
      <c r="I155" s="139">
        <f>VLOOKUP(A155,'Standard Deviations'!A1:C731,3,FALSE)</f>
        <v>2.8180413842784593</v>
      </c>
      <c r="J155" s="139">
        <f>I155-VLOOKUP(B$2,H1:J431,2,FALSE)</f>
        <v>-1.315785702853931</v>
      </c>
    </row>
    <row r="156" spans="1:10" ht="21.2" customHeight="1">
      <c r="A156" s="8" t="s">
        <v>404</v>
      </c>
      <c r="B156" s="136" t="str">
        <f>VLOOKUP(A156,'The List'!B1:D730,3,FALSE)</f>
        <v>C</v>
      </c>
      <c r="C156" s="137">
        <f>IF(Settings!$E$15="POINTS",RANK(E156,E3:E431),H156)</f>
        <v>158</v>
      </c>
      <c r="D156" s="34" t="str">
        <f>VLOOKUP(A156,'The List'!B1:F730,5,FALSE)</f>
        <v>ARI</v>
      </c>
      <c r="E156" s="38">
        <f>VLOOKUP(A156,'The List'!B1:I730,8,FALSE)</f>
        <v>1.8735331282164676</v>
      </c>
      <c r="F156" s="38">
        <f>IF(Settings!$E$15="POINTS",E156-VLOOKUP(B$2,C1:E431,3,FALSE),J156)</f>
        <v>-2.2602939589159226</v>
      </c>
      <c r="G156" s="38"/>
      <c r="H156" s="138">
        <f>RANK(I156,I3:I431)</f>
        <v>158</v>
      </c>
      <c r="I156" s="139">
        <f>VLOOKUP(A156,'Standard Deviations'!A1:C731,3,FALSE)</f>
        <v>1.8735331282164676</v>
      </c>
      <c r="J156" s="139">
        <f>I156-VLOOKUP(B$2,H1:J431,2,FALSE)</f>
        <v>-2.2602939589159226</v>
      </c>
    </row>
    <row r="157" spans="1:10" ht="21.2" customHeight="1">
      <c r="A157" s="8" t="s">
        <v>353</v>
      </c>
      <c r="B157" s="136" t="str">
        <f>VLOOKUP(A157,'The List'!B1:D730,3,FALSE)</f>
        <v>LW,RW</v>
      </c>
      <c r="C157" s="137">
        <f>IF(Settings!$E$15="POINTS",RANK(E157,E3:E431),H157)</f>
        <v>161</v>
      </c>
      <c r="D157" s="34" t="str">
        <f>VLOOKUP(A157,'The List'!B1:F730,5,FALSE)</f>
        <v>CBJ</v>
      </c>
      <c r="E157" s="38">
        <f>VLOOKUP(A157,'The List'!B1:I730,8,FALSE)</f>
        <v>1.7550229536737803</v>
      </c>
      <c r="F157" s="38">
        <f>IF(Settings!$E$15="POINTS",E157-VLOOKUP(B$2,C1:E431,3,FALSE),J157)</f>
        <v>-2.3788041334586101</v>
      </c>
      <c r="G157" s="38"/>
      <c r="H157" s="138">
        <f>RANK(I157,I3:I431)</f>
        <v>161</v>
      </c>
      <c r="I157" s="139">
        <f>VLOOKUP(A157,'Standard Deviations'!A1:C731,3,FALSE)</f>
        <v>1.7550229536737803</v>
      </c>
      <c r="J157" s="139">
        <f>I157-VLOOKUP(B$2,H1:J431,2,FALSE)</f>
        <v>-2.3788041334586101</v>
      </c>
    </row>
    <row r="158" spans="1:10" ht="21.2" customHeight="1">
      <c r="A158" s="8" t="s">
        <v>388</v>
      </c>
      <c r="B158" s="136" t="str">
        <f>VLOOKUP(A158,'The List'!B1:D730,3,FALSE)</f>
        <v>C,LW</v>
      </c>
      <c r="C158" s="137">
        <f>IF(Settings!$E$15="POINTS",RANK(E158,E3:E431),H158)</f>
        <v>182</v>
      </c>
      <c r="D158" s="34" t="str">
        <f>VLOOKUP(A158,'The List'!B1:F730,5,FALSE)</f>
        <v>PHI</v>
      </c>
      <c r="E158" s="38">
        <f>VLOOKUP(A158,'The List'!B1:I730,8,FALSE)</f>
        <v>0.92653645545850416</v>
      </c>
      <c r="F158" s="38">
        <f>IF(Settings!$E$15="POINTS",E158-VLOOKUP(B$2,C1:E431,3,FALSE),J158)</f>
        <v>-3.2072906316738861</v>
      </c>
      <c r="G158" s="38"/>
      <c r="H158" s="138">
        <f>RANK(I158,I3:I431)</f>
        <v>182</v>
      </c>
      <c r="I158" s="139">
        <f>VLOOKUP(A158,'Standard Deviations'!A1:C731,3,FALSE)</f>
        <v>0.92653645545850416</v>
      </c>
      <c r="J158" s="139">
        <f>I158-VLOOKUP(B$2,H1:J431,2,FALSE)</f>
        <v>-3.2072906316738861</v>
      </c>
    </row>
    <row r="159" spans="1:10" ht="21.2" customHeight="1">
      <c r="A159" s="8" t="s">
        <v>357</v>
      </c>
      <c r="B159" s="136" t="str">
        <f>VLOOKUP(A159,'The List'!B1:D730,3,FALSE)</f>
        <v>LW,RW</v>
      </c>
      <c r="C159" s="137">
        <f>IF(Settings!$E$15="POINTS",RANK(E159,E3:E431),H159)</f>
        <v>170</v>
      </c>
      <c r="D159" s="34" t="str">
        <f>VLOOKUP(A159,'The List'!B1:F730,5,FALSE)</f>
        <v>WPG</v>
      </c>
      <c r="E159" s="38">
        <f>VLOOKUP(A159,'The List'!B1:I730,8,FALSE)</f>
        <v>1.4803147672945323</v>
      </c>
      <c r="F159" s="38">
        <f>IF(Settings!$E$15="POINTS",E159-VLOOKUP(B$2,C1:E431,3,FALSE),J159)</f>
        <v>-2.6535123198378581</v>
      </c>
      <c r="G159" s="38"/>
      <c r="H159" s="138">
        <f>RANK(I159,I3:I431)</f>
        <v>170</v>
      </c>
      <c r="I159" s="139">
        <f>VLOOKUP(A159,'Standard Deviations'!A1:C731,3,FALSE)</f>
        <v>1.4803147672945323</v>
      </c>
      <c r="J159" s="139">
        <f>I159-VLOOKUP(B$2,H1:J431,2,FALSE)</f>
        <v>-2.6535123198378581</v>
      </c>
    </row>
    <row r="160" spans="1:10" ht="21.2" customHeight="1">
      <c r="A160" s="8" t="s">
        <v>358</v>
      </c>
      <c r="B160" s="136" t="str">
        <f>VLOOKUP(A160,'The List'!B1:D730,3,FALSE)</f>
        <v>LW,RW</v>
      </c>
      <c r="C160" s="137">
        <f>IF(Settings!$E$15="POINTS",RANK(E160,E3:E431),H160)</f>
        <v>179</v>
      </c>
      <c r="D160" s="34" t="str">
        <f>VLOOKUP(A160,'The List'!B1:F730,5,FALSE)</f>
        <v>ANA</v>
      </c>
      <c r="E160" s="38">
        <f>VLOOKUP(A160,'The List'!B1:I730,8,FALSE)</f>
        <v>0.99335241394041851</v>
      </c>
      <c r="F160" s="38">
        <f>IF(Settings!$E$15="POINTS",E160-VLOOKUP(B$2,C1:E431,3,FALSE),J160)</f>
        <v>-3.1404746731919717</v>
      </c>
      <c r="G160" s="38"/>
      <c r="H160" s="138">
        <f>RANK(I160,I3:I431)</f>
        <v>179</v>
      </c>
      <c r="I160" s="139">
        <f>VLOOKUP(A160,'Standard Deviations'!A1:C731,3,FALSE)</f>
        <v>0.99335241394041851</v>
      </c>
      <c r="J160" s="139">
        <f>I160-VLOOKUP(B$2,H1:J431,2,FALSE)</f>
        <v>-3.1404746731919717</v>
      </c>
    </row>
    <row r="161" spans="1:10" ht="21.2" customHeight="1">
      <c r="A161" s="8" t="s">
        <v>410</v>
      </c>
      <c r="B161" s="136" t="str">
        <f>VLOOKUP(A161,'The List'!B1:D730,3,FALSE)</f>
        <v>C</v>
      </c>
      <c r="C161" s="137">
        <f>IF(Settings!$E$15="POINTS",RANK(E161,E3:E431),H161)</f>
        <v>176</v>
      </c>
      <c r="D161" s="34" t="str">
        <f>VLOOKUP(A161,'The List'!B1:F730,5,FALSE)</f>
        <v>CBJ</v>
      </c>
      <c r="E161" s="38">
        <f>VLOOKUP(A161,'The List'!B1:I730,8,FALSE)</f>
        <v>1.0345234903989839</v>
      </c>
      <c r="F161" s="38">
        <f>IF(Settings!$E$15="POINTS",E161-VLOOKUP(B$2,C1:E431,3,FALSE),J161)</f>
        <v>-3.0993035967334066</v>
      </c>
      <c r="G161" s="38"/>
      <c r="H161" s="138">
        <f>RANK(I161,I3:I431)</f>
        <v>176</v>
      </c>
      <c r="I161" s="139">
        <f>VLOOKUP(A161,'Standard Deviations'!A1:C731,3,FALSE)</f>
        <v>1.0345234903989839</v>
      </c>
      <c r="J161" s="139">
        <f>I161-VLOOKUP(B$2,H1:J431,2,FALSE)</f>
        <v>-3.0993035967334066</v>
      </c>
    </row>
    <row r="162" spans="1:10" ht="21.2" customHeight="1">
      <c r="A162" s="8" t="s">
        <v>413</v>
      </c>
      <c r="B162" s="136" t="str">
        <f>VLOOKUP(A162,'The List'!B1:D730,3,FALSE)</f>
        <v>C</v>
      </c>
      <c r="C162" s="137">
        <f>IF(Settings!$E$15="POINTS",RANK(E162,E3:E431),H162)</f>
        <v>165</v>
      </c>
      <c r="D162" s="34" t="str">
        <f>VLOOKUP(A162,'The List'!B1:F730,5,FALSE)</f>
        <v>STL</v>
      </c>
      <c r="E162" s="38">
        <f>VLOOKUP(A162,'The List'!B1:I730,8,FALSE)</f>
        <v>1.628679847574904</v>
      </c>
      <c r="F162" s="38">
        <f>IF(Settings!$E$15="POINTS",E162-VLOOKUP(B$2,C1:E431,3,FALSE),J162)</f>
        <v>-2.5051472395574863</v>
      </c>
      <c r="G162" s="38"/>
      <c r="H162" s="138">
        <f>RANK(I162,I3:I431)</f>
        <v>165</v>
      </c>
      <c r="I162" s="139">
        <f>VLOOKUP(A162,'Standard Deviations'!A1:C731,3,FALSE)</f>
        <v>1.628679847574904</v>
      </c>
      <c r="J162" s="139">
        <f>I162-VLOOKUP(B$2,H1:J431,2,FALSE)</f>
        <v>-2.5051472395574863</v>
      </c>
    </row>
    <row r="163" spans="1:10" ht="21.2" customHeight="1">
      <c r="A163" s="8" t="s">
        <v>362</v>
      </c>
      <c r="B163" s="136" t="str">
        <f>VLOOKUP(A163,'The List'!B1:D730,3,FALSE)</f>
        <v>C,RW</v>
      </c>
      <c r="C163" s="137">
        <f>IF(Settings!$E$15="POINTS",RANK(E163,E3:E431),H163)</f>
        <v>135</v>
      </c>
      <c r="D163" s="34" t="str">
        <f>VLOOKUP(A163,'The List'!B1:F730,5,FALSE)</f>
        <v>WPG</v>
      </c>
      <c r="E163" s="38">
        <f>VLOOKUP(A163,'The List'!B1:I730,8,FALSE)</f>
        <v>2.7758076656657602</v>
      </c>
      <c r="F163" s="38">
        <f>IF(Settings!$E$15="POINTS",E163-VLOOKUP(B$2,C1:E431,3,FALSE),J163)</f>
        <v>-1.3580194214666301</v>
      </c>
      <c r="G163" s="38"/>
      <c r="H163" s="138">
        <f>RANK(I163,I3:I431)</f>
        <v>135</v>
      </c>
      <c r="I163" s="139">
        <f>VLOOKUP(A163,'Standard Deviations'!A1:C731,3,FALSE)</f>
        <v>2.7758076656657602</v>
      </c>
      <c r="J163" s="139">
        <f>I163-VLOOKUP(B$2,H1:J431,2,FALSE)</f>
        <v>-1.3580194214666301</v>
      </c>
    </row>
    <row r="164" spans="1:10" ht="21.2" customHeight="1">
      <c r="A164" s="8" t="s">
        <v>365</v>
      </c>
      <c r="B164" s="136" t="str">
        <f>VLOOKUP(A164,'The List'!B1:D730,3,FALSE)</f>
        <v>C,RW</v>
      </c>
      <c r="C164" s="137">
        <f>IF(Settings!$E$15="POINTS",RANK(E164,E3:E431),H164)</f>
        <v>193</v>
      </c>
      <c r="D164" s="34" t="str">
        <f>VLOOKUP(A164,'The List'!B1:F730,5,FALSE)</f>
        <v>BOS</v>
      </c>
      <c r="E164" s="38">
        <f>VLOOKUP(A164,'The List'!B1:I730,8,FALSE)</f>
        <v>0.61619896704392985</v>
      </c>
      <c r="F164" s="38">
        <f>IF(Settings!$E$15="POINTS",E164-VLOOKUP(B$2,C1:E431,3,FALSE),J164)</f>
        <v>-3.5176281200884603</v>
      </c>
      <c r="G164" s="38"/>
      <c r="H164" s="138">
        <f>RANK(I164,I3:I431)</f>
        <v>193</v>
      </c>
      <c r="I164" s="139">
        <f>VLOOKUP(A164,'Standard Deviations'!A1:C731,3,FALSE)</f>
        <v>0.61619896704392985</v>
      </c>
      <c r="J164" s="139">
        <f>I164-VLOOKUP(B$2,H1:J431,2,FALSE)</f>
        <v>-3.5176281200884603</v>
      </c>
    </row>
    <row r="165" spans="1:10" ht="21.2" customHeight="1">
      <c r="A165" s="8" t="s">
        <v>367</v>
      </c>
      <c r="B165" s="136" t="str">
        <f>VLOOKUP(A165,'The List'!B1:D730,3,FALSE)</f>
        <v>C,RW</v>
      </c>
      <c r="C165" s="137">
        <f>IF(Settings!$E$15="POINTS",RANK(E165,E3:E431),H165)</f>
        <v>140</v>
      </c>
      <c r="D165" s="34" t="str">
        <f>VLOOKUP(A165,'The List'!B1:F730,5,FALSE)</f>
        <v>NSH</v>
      </c>
      <c r="E165" s="38">
        <f>VLOOKUP(A165,'The List'!B1:I730,8,FALSE)</f>
        <v>2.5671777929696864</v>
      </c>
      <c r="F165" s="38">
        <f>IF(Settings!$E$15="POINTS",E165-VLOOKUP(B$2,C1:E431,3,FALSE),J165)</f>
        <v>-1.5666492941627039</v>
      </c>
      <c r="G165" s="38"/>
      <c r="H165" s="138">
        <f>RANK(I165,I3:I431)</f>
        <v>140</v>
      </c>
      <c r="I165" s="139">
        <f>VLOOKUP(A165,'Standard Deviations'!A1:C731,3,FALSE)</f>
        <v>2.5671777929696864</v>
      </c>
      <c r="J165" s="139">
        <f>I165-VLOOKUP(B$2,H1:J431,2,FALSE)</f>
        <v>-1.5666492941627039</v>
      </c>
    </row>
    <row r="166" spans="1:10" ht="21.2" customHeight="1">
      <c r="A166" s="8" t="s">
        <v>368</v>
      </c>
      <c r="B166" s="136" t="str">
        <f>VLOOKUP(A166,'The List'!B1:D730,3,FALSE)</f>
        <v>LW,RW</v>
      </c>
      <c r="C166" s="137">
        <f>IF(Settings!$E$15="POINTS",RANK(E166,E3:E431),H166)</f>
        <v>153</v>
      </c>
      <c r="D166" s="34" t="str">
        <f>VLOOKUP(A166,'The List'!B1:F730,5,FALSE)</f>
        <v>SJS</v>
      </c>
      <c r="E166" s="38">
        <f>VLOOKUP(A166,'The List'!B1:I730,8,FALSE)</f>
        <v>2.0406029877718854</v>
      </c>
      <c r="F166" s="38">
        <f>IF(Settings!$E$15="POINTS",E166-VLOOKUP(B$2,C1:E431,3,FALSE),J166)</f>
        <v>-2.0932240993605049</v>
      </c>
      <c r="G166" s="38"/>
      <c r="H166" s="138">
        <f>RANK(I166,I3:I431)</f>
        <v>153</v>
      </c>
      <c r="I166" s="139">
        <f>VLOOKUP(A166,'Standard Deviations'!A1:C731,3,FALSE)</f>
        <v>2.0406029877718854</v>
      </c>
      <c r="J166" s="139">
        <f>I166-VLOOKUP(B$2,H1:J431,2,FALSE)</f>
        <v>-2.0932240993605049</v>
      </c>
    </row>
    <row r="167" spans="1:10" ht="21.2" customHeight="1">
      <c r="A167" s="8" t="s">
        <v>400</v>
      </c>
      <c r="B167" s="136" t="str">
        <f>VLOOKUP(A167,'The List'!B1:D730,3,FALSE)</f>
        <v>LW</v>
      </c>
      <c r="C167" s="137">
        <f>IF(Settings!$E$15="POINTS",RANK(E167,E3:E431),H167)</f>
        <v>175</v>
      </c>
      <c r="D167" s="34" t="str">
        <f>VLOOKUP(A167,'The List'!B1:F730,5,FALSE)</f>
        <v>PHI</v>
      </c>
      <c r="E167" s="38">
        <f>VLOOKUP(A167,'The List'!B1:I730,8,FALSE)</f>
        <v>1.0440946871425323</v>
      </c>
      <c r="F167" s="38">
        <f>IF(Settings!$E$15="POINTS",E167-VLOOKUP(B$2,C1:E431,3,FALSE),J167)</f>
        <v>-3.0897323999898578</v>
      </c>
      <c r="G167" s="38"/>
      <c r="H167" s="138">
        <f>RANK(I167,I3:I431)</f>
        <v>175</v>
      </c>
      <c r="I167" s="139">
        <f>VLOOKUP(A167,'Standard Deviations'!A1:C731,3,FALSE)</f>
        <v>1.0440946871425323</v>
      </c>
      <c r="J167" s="139">
        <f>I167-VLOOKUP(B$2,H1:J431,2,FALSE)</f>
        <v>-3.0897323999898578</v>
      </c>
    </row>
    <row r="168" spans="1:10" ht="21.2" customHeight="1">
      <c r="A168" s="8" t="s">
        <v>437</v>
      </c>
      <c r="B168" s="136" t="str">
        <f>VLOOKUP(A168,'The List'!B1:D730,3,FALSE)</f>
        <v>C</v>
      </c>
      <c r="C168" s="137">
        <f>IF(Settings!$E$15="POINTS",RANK(E168,E3:E431),H168)</f>
        <v>172</v>
      </c>
      <c r="D168" s="34" t="str">
        <f>VLOOKUP(A168,'The List'!B1:F730,5,FALSE)</f>
        <v>NYR</v>
      </c>
      <c r="E168" s="38">
        <f>VLOOKUP(A168,'The List'!B1:I730,8,FALSE)</f>
        <v>1.2915016150561998</v>
      </c>
      <c r="F168" s="38">
        <f>IF(Settings!$E$15="POINTS",E168-VLOOKUP(B$2,C1:E431,3,FALSE),J168)</f>
        <v>-2.8423254720761904</v>
      </c>
      <c r="G168" s="38"/>
      <c r="H168" s="138">
        <f>RANK(I168,I3:I431)</f>
        <v>172</v>
      </c>
      <c r="I168" s="139">
        <f>VLOOKUP(A168,'Standard Deviations'!A1:C731,3,FALSE)</f>
        <v>1.2915016150561998</v>
      </c>
      <c r="J168" s="139">
        <f>I168-VLOOKUP(B$2,H1:J431,2,FALSE)</f>
        <v>-2.8423254720761904</v>
      </c>
    </row>
    <row r="169" spans="1:10" ht="21.2" customHeight="1">
      <c r="A169" s="8" t="s">
        <v>372</v>
      </c>
      <c r="B169" s="136" t="str">
        <f>VLOOKUP(A169,'The List'!B1:D730,3,FALSE)</f>
        <v>LW,RW</v>
      </c>
      <c r="C169" s="137">
        <f>IF(Settings!$E$15="POINTS",RANK(E169,E3:E431),H169)</f>
        <v>177</v>
      </c>
      <c r="D169" s="34" t="str">
        <f>VLOOKUP(A169,'The List'!B1:F730,5,FALSE)</f>
        <v>OTT</v>
      </c>
      <c r="E169" s="38">
        <f>VLOOKUP(A169,'The List'!B1:I730,8,FALSE)</f>
        <v>0.99964981291964239</v>
      </c>
      <c r="F169" s="38">
        <f>IF(Settings!$E$15="POINTS",E169-VLOOKUP(B$2,C1:E431,3,FALSE),J169)</f>
        <v>-3.1341772742127478</v>
      </c>
      <c r="G169" s="38"/>
      <c r="H169" s="138">
        <f>RANK(I169,I3:I431)</f>
        <v>177</v>
      </c>
      <c r="I169" s="139">
        <f>VLOOKUP(A169,'Standard Deviations'!A1:C731,3,FALSE)</f>
        <v>0.99964981291964239</v>
      </c>
      <c r="J169" s="139">
        <f>I169-VLOOKUP(B$2,H1:J431,2,FALSE)</f>
        <v>-3.1341772742127478</v>
      </c>
    </row>
    <row r="170" spans="1:10" ht="21.2" customHeight="1">
      <c r="A170" s="8" t="s">
        <v>381</v>
      </c>
      <c r="B170" s="136" t="str">
        <f>VLOOKUP(A170,'The List'!B1:D730,3,FALSE)</f>
        <v>C,LW,RW</v>
      </c>
      <c r="C170" s="137">
        <f>IF(Settings!$E$15="POINTS",RANK(E170,E3:E431),H170)</f>
        <v>188</v>
      </c>
      <c r="D170" s="34" t="str">
        <f>VLOOKUP(A170,'The List'!B1:F730,5,FALSE)</f>
        <v>CGY</v>
      </c>
      <c r="E170" s="38">
        <f>VLOOKUP(A170,'The List'!B1:I730,8,FALSE)</f>
        <v>0.73644007223529417</v>
      </c>
      <c r="F170" s="38">
        <f>IF(Settings!$E$15="POINTS",E170-VLOOKUP(B$2,C1:E431,3,FALSE),J170)</f>
        <v>-3.3973870148970962</v>
      </c>
      <c r="G170" s="38"/>
      <c r="H170" s="138">
        <f>RANK(I170,I3:I431)</f>
        <v>188</v>
      </c>
      <c r="I170" s="139">
        <f>VLOOKUP(A170,'Standard Deviations'!A1:C731,3,FALSE)</f>
        <v>0.73644007223529417</v>
      </c>
      <c r="J170" s="139">
        <f>I170-VLOOKUP(B$2,H1:J431,2,FALSE)</f>
        <v>-3.3973870148970962</v>
      </c>
    </row>
    <row r="171" spans="1:10" ht="21.2" customHeight="1">
      <c r="A171" s="8" t="s">
        <v>385</v>
      </c>
      <c r="B171" s="136" t="str">
        <f>VLOOKUP(A171,'The List'!B1:D730,3,FALSE)</f>
        <v>RW</v>
      </c>
      <c r="C171" s="137">
        <f>IF(Settings!$E$15="POINTS",RANK(E171,E3:E431),H171)</f>
        <v>164</v>
      </c>
      <c r="D171" s="34" t="str">
        <f>VLOOKUP(A171,'The List'!B1:F730,5,FALSE)</f>
        <v>DET</v>
      </c>
      <c r="E171" s="38">
        <f>VLOOKUP(A171,'The List'!B1:I730,8,FALSE)</f>
        <v>1.6891318392193773</v>
      </c>
      <c r="F171" s="38">
        <f>IF(Settings!$E$15="POINTS",E171-VLOOKUP(B$2,C1:E431,3,FALSE),J171)</f>
        <v>-2.4446952479130131</v>
      </c>
      <c r="G171" s="38"/>
      <c r="H171" s="138">
        <f>RANK(I171,I3:I431)</f>
        <v>164</v>
      </c>
      <c r="I171" s="139">
        <f>VLOOKUP(A171,'Standard Deviations'!A1:C731,3,FALSE)</f>
        <v>1.6891318392193773</v>
      </c>
      <c r="J171" s="139">
        <f>I171-VLOOKUP(B$2,H1:J431,2,FALSE)</f>
        <v>-2.4446952479130131</v>
      </c>
    </row>
    <row r="172" spans="1:10" ht="21.2" customHeight="1">
      <c r="A172" s="8" t="s">
        <v>387</v>
      </c>
      <c r="B172" s="136" t="str">
        <f>VLOOKUP(A172,'The List'!B1:D730,3,FALSE)</f>
        <v>RW</v>
      </c>
      <c r="C172" s="137">
        <f>IF(Settings!$E$15="POINTS",RANK(E172,E3:E431),H172)</f>
        <v>134</v>
      </c>
      <c r="D172" s="34" t="str">
        <f>VLOOKUP(A172,'The List'!B1:F730,5,FALSE)</f>
        <v>SJS</v>
      </c>
      <c r="E172" s="38">
        <f>VLOOKUP(A172,'The List'!B1:I730,8,FALSE)</f>
        <v>2.7884992695077098</v>
      </c>
      <c r="F172" s="38">
        <f>IF(Settings!$E$15="POINTS",E172-VLOOKUP(B$2,C1:E431,3,FALSE),J172)</f>
        <v>-1.3453278176246806</v>
      </c>
      <c r="G172" s="38"/>
      <c r="H172" s="138">
        <f>RANK(I172,I3:I431)</f>
        <v>134</v>
      </c>
      <c r="I172" s="139">
        <f>VLOOKUP(A172,'Standard Deviations'!A1:C731,3,FALSE)</f>
        <v>2.7884992695077098</v>
      </c>
      <c r="J172" s="139">
        <f>I172-VLOOKUP(B$2,H1:J431,2,FALSE)</f>
        <v>-1.3453278176246806</v>
      </c>
    </row>
    <row r="173" spans="1:10" ht="21.2" customHeight="1">
      <c r="A173" s="8" t="s">
        <v>412</v>
      </c>
      <c r="B173" s="136" t="str">
        <f>VLOOKUP(A173,'The List'!B1:D730,3,FALSE)</f>
        <v>LW</v>
      </c>
      <c r="C173" s="137">
        <f>IF(Settings!$E$15="POINTS",RANK(E173,E3:E431),H173)</f>
        <v>180</v>
      </c>
      <c r="D173" s="34" t="str">
        <f>VLOOKUP(A173,'The List'!B1:F730,5,FALSE)</f>
        <v>STL</v>
      </c>
      <c r="E173" s="38">
        <f>VLOOKUP(A173,'The List'!B1:I730,8,FALSE)</f>
        <v>0.98596496014632373</v>
      </c>
      <c r="F173" s="38">
        <f>IF(Settings!$E$15="POINTS",E173-VLOOKUP(B$2,C1:E431,3,FALSE),J173)</f>
        <v>-3.1478621269860665</v>
      </c>
      <c r="G173" s="38"/>
      <c r="H173" s="138">
        <f>RANK(I173,I3:I431)</f>
        <v>180</v>
      </c>
      <c r="I173" s="139">
        <f>VLOOKUP(A173,'Standard Deviations'!A1:C731,3,FALSE)</f>
        <v>0.98596496014632373</v>
      </c>
      <c r="J173" s="139">
        <f>I173-VLOOKUP(B$2,H1:J431,2,FALSE)</f>
        <v>-3.1478621269860665</v>
      </c>
    </row>
    <row r="174" spans="1:10" ht="21.2" customHeight="1">
      <c r="A174" s="8" t="s">
        <v>389</v>
      </c>
      <c r="B174" s="136" t="str">
        <f>VLOOKUP(A174,'The List'!B1:D730,3,FALSE)</f>
        <v>C,LW,RW</v>
      </c>
      <c r="C174" s="137">
        <f>IF(Settings!$E$15="POINTS",RANK(E174,E3:E431),H174)</f>
        <v>174</v>
      </c>
      <c r="D174" s="34" t="str">
        <f>VLOOKUP(A174,'The List'!B1:F730,5,FALSE)</f>
        <v>FLA</v>
      </c>
      <c r="E174" s="38">
        <f>VLOOKUP(A174,'The List'!B1:I730,8,FALSE)</f>
        <v>1.0766132214619046</v>
      </c>
      <c r="F174" s="38">
        <f>IF(Settings!$E$15="POINTS",E174-VLOOKUP(B$2,C1:E431,3,FALSE),J174)</f>
        <v>-3.0572138656704855</v>
      </c>
      <c r="G174" s="38"/>
      <c r="H174" s="138">
        <f>RANK(I174,I3:I431)</f>
        <v>174</v>
      </c>
      <c r="I174" s="139">
        <f>VLOOKUP(A174,'Standard Deviations'!A1:C731,3,FALSE)</f>
        <v>1.0766132214619046</v>
      </c>
      <c r="J174" s="139">
        <f>I174-VLOOKUP(B$2,H1:J431,2,FALSE)</f>
        <v>-3.0572138656704855</v>
      </c>
    </row>
    <row r="175" spans="1:10" ht="21.2" customHeight="1">
      <c r="A175" s="8" t="s">
        <v>463</v>
      </c>
      <c r="B175" s="136" t="str">
        <f>VLOOKUP(A175,'The List'!B1:D730,3,FALSE)</f>
        <v>C</v>
      </c>
      <c r="C175" s="137">
        <f>IF(Settings!$E$15="POINTS",RANK(E175,E3:E431),H175)</f>
        <v>187</v>
      </c>
      <c r="D175" s="34" t="str">
        <f>VLOOKUP(A175,'The List'!B1:F730,5,FALSE)</f>
        <v>TBL</v>
      </c>
      <c r="E175" s="38">
        <f>VLOOKUP(A175,'The List'!B1:I730,8,FALSE)</f>
        <v>0.73936425661006222</v>
      </c>
      <c r="F175" s="38">
        <f>IF(Settings!$E$15="POINTS",E175-VLOOKUP(B$2,C1:E431,3,FALSE),J175)</f>
        <v>-3.3944628305223281</v>
      </c>
      <c r="G175" s="38"/>
      <c r="H175" s="138">
        <f>RANK(I175,I3:I431)</f>
        <v>187</v>
      </c>
      <c r="I175" s="139">
        <f>VLOOKUP(A175,'Standard Deviations'!A1:C731,3,FALSE)</f>
        <v>0.73936425661006222</v>
      </c>
      <c r="J175" s="139">
        <f>I175-VLOOKUP(B$2,H1:J431,2,FALSE)</f>
        <v>-3.3944628305223281</v>
      </c>
    </row>
    <row r="176" spans="1:10" ht="21.2" customHeight="1">
      <c r="A176" s="8" t="s">
        <v>420</v>
      </c>
      <c r="B176" s="136" t="str">
        <f>VLOOKUP(A176,'The List'!B1:D730,3,FALSE)</f>
        <v>LW</v>
      </c>
      <c r="C176" s="137">
        <f>IF(Settings!$E$15="POINTS",RANK(E176,E3:E431),H176)</f>
        <v>203</v>
      </c>
      <c r="D176" s="34" t="str">
        <f>VLOOKUP(A176,'The List'!B1:F730,5,FALSE)</f>
        <v>CGY</v>
      </c>
      <c r="E176" s="38">
        <f>VLOOKUP(A176,'The List'!B1:I730,8,FALSE)</f>
        <v>0.38521266617499261</v>
      </c>
      <c r="F176" s="38">
        <f>IF(Settings!$E$15="POINTS",E176-VLOOKUP(B$2,C1:E431,3,FALSE),J176)</f>
        <v>-3.7486144209573977</v>
      </c>
      <c r="G176" s="38"/>
      <c r="H176" s="138">
        <f>RANK(I176,I3:I431)</f>
        <v>203</v>
      </c>
      <c r="I176" s="139">
        <f>VLOOKUP(A176,'Standard Deviations'!A1:C731,3,FALSE)</f>
        <v>0.38521266617499261</v>
      </c>
      <c r="J176" s="139">
        <f>I176-VLOOKUP(B$2,H1:J431,2,FALSE)</f>
        <v>-3.7486144209573977</v>
      </c>
    </row>
    <row r="177" spans="1:10" ht="21.2" customHeight="1">
      <c r="A177" s="8" t="s">
        <v>391</v>
      </c>
      <c r="B177" s="136" t="str">
        <f>VLOOKUP(A177,'The List'!B1:D730,3,FALSE)</f>
        <v>RW</v>
      </c>
      <c r="C177" s="137">
        <f>IF(Settings!$E$15="POINTS",RANK(E177,E3:E431),H177)</f>
        <v>144</v>
      </c>
      <c r="D177" s="34" t="str">
        <f>VLOOKUP(A177,'The List'!B1:F730,5,FALSE)</f>
        <v>PHI</v>
      </c>
      <c r="E177" s="38">
        <f>VLOOKUP(A177,'The List'!B1:I730,8,FALSE)</f>
        <v>2.4729723519051721</v>
      </c>
      <c r="F177" s="38">
        <f>IF(Settings!$E$15="POINTS",E177-VLOOKUP(B$2,C1:E431,3,FALSE),J177)</f>
        <v>-1.6608547352272183</v>
      </c>
      <c r="G177" s="38"/>
      <c r="H177" s="138">
        <f>RANK(I177,I3:I431)</f>
        <v>144</v>
      </c>
      <c r="I177" s="139">
        <f>VLOOKUP(A177,'Standard Deviations'!A1:C731,3,FALSE)</f>
        <v>2.4729723519051721</v>
      </c>
      <c r="J177" s="139">
        <f>I177-VLOOKUP(B$2,H1:J431,2,FALSE)</f>
        <v>-1.6608547352272183</v>
      </c>
    </row>
    <row r="178" spans="1:10" ht="21.2" customHeight="1">
      <c r="A178" s="8" t="s">
        <v>428</v>
      </c>
      <c r="B178" s="136" t="str">
        <f>VLOOKUP(A178,'The List'!B1:D730,3,FALSE)</f>
        <v>C,LW</v>
      </c>
      <c r="C178" s="137">
        <f>IF(Settings!$E$15="POINTS",RANK(E178,E3:E431),H178)</f>
        <v>160</v>
      </c>
      <c r="D178" s="34" t="str">
        <f>VLOOKUP(A178,'The List'!B1:F730,5,FALSE)</f>
        <v>LAK</v>
      </c>
      <c r="E178" s="38">
        <f>VLOOKUP(A178,'The List'!B1:I730,8,FALSE)</f>
        <v>1.772556233377534</v>
      </c>
      <c r="F178" s="38">
        <f>IF(Settings!$E$15="POINTS",E178-VLOOKUP(B$2,C1:E431,3,FALSE),J178)</f>
        <v>-2.3612708537548563</v>
      </c>
      <c r="G178" s="38"/>
      <c r="H178" s="138">
        <f>RANK(I178,I3:I431)</f>
        <v>160</v>
      </c>
      <c r="I178" s="139">
        <f>VLOOKUP(A178,'Standard Deviations'!A1:C731,3,FALSE)</f>
        <v>1.772556233377534</v>
      </c>
      <c r="J178" s="139">
        <f>I178-VLOOKUP(B$2,H1:J431,2,FALSE)</f>
        <v>-2.3612708537548563</v>
      </c>
    </row>
    <row r="179" spans="1:10" ht="21.2" customHeight="1">
      <c r="A179" s="8" t="s">
        <v>429</v>
      </c>
      <c r="B179" s="136" t="str">
        <f>VLOOKUP(A179,'The List'!B1:D730,3,FALSE)</f>
        <v>C,LW</v>
      </c>
      <c r="C179" s="137">
        <f>IF(Settings!$E$15="POINTS",RANK(E179,E3:E431),H179)</f>
        <v>185</v>
      </c>
      <c r="D179" s="34" t="str">
        <f>VLOOKUP(A179,'The List'!B1:F730,5,FALSE)</f>
        <v>CAR</v>
      </c>
      <c r="E179" s="38">
        <f>VLOOKUP(A179,'The List'!B1:I730,8,FALSE)</f>
        <v>0.78602511540802422</v>
      </c>
      <c r="F179" s="38">
        <f>IF(Settings!$E$15="POINTS",E179-VLOOKUP(B$2,C1:E431,3,FALSE),J179)</f>
        <v>-3.3478019717243663</v>
      </c>
      <c r="G179" s="38"/>
      <c r="H179" s="138">
        <f>RANK(I179,I3:I431)</f>
        <v>185</v>
      </c>
      <c r="I179" s="139">
        <f>VLOOKUP(A179,'Standard Deviations'!A1:C731,3,FALSE)</f>
        <v>0.78602511540802422</v>
      </c>
      <c r="J179" s="139">
        <f>I179-VLOOKUP(B$2,H1:J431,2,FALSE)</f>
        <v>-3.3478019717243663</v>
      </c>
    </row>
    <row r="180" spans="1:10" ht="21.2" customHeight="1">
      <c r="A180" s="8" t="s">
        <v>396</v>
      </c>
      <c r="B180" s="136" t="str">
        <f>VLOOKUP(A180,'The List'!B1:D730,3,FALSE)</f>
        <v>LW,RW</v>
      </c>
      <c r="C180" s="137">
        <f>IF(Settings!$E$15="POINTS",RANK(E180,E3:E431),H180)</f>
        <v>195</v>
      </c>
      <c r="D180" s="34" t="str">
        <f>VLOOKUP(A180,'The List'!B1:F730,5,FALSE)</f>
        <v>NYR</v>
      </c>
      <c r="E180" s="38">
        <f>VLOOKUP(A180,'The List'!B1:I730,8,FALSE)</f>
        <v>0.55521426503630367</v>
      </c>
      <c r="F180" s="38">
        <f>IF(Settings!$E$15="POINTS",E180-VLOOKUP(B$2,C1:E431,3,FALSE),J180)</f>
        <v>-3.5786128220960869</v>
      </c>
      <c r="G180" s="38"/>
      <c r="H180" s="138">
        <f>RANK(I180,I3:I431)</f>
        <v>195</v>
      </c>
      <c r="I180" s="139">
        <f>VLOOKUP(A180,'Standard Deviations'!A1:C731,3,FALSE)</f>
        <v>0.55521426503630367</v>
      </c>
      <c r="J180" s="139">
        <f>I180-VLOOKUP(B$2,H1:J431,2,FALSE)</f>
        <v>-3.5786128220960869</v>
      </c>
    </row>
    <row r="181" spans="1:10" ht="21.2" customHeight="1">
      <c r="A181" s="8" t="s">
        <v>398</v>
      </c>
      <c r="B181" s="136" t="str">
        <f>VLOOKUP(A181,'The List'!B1:D730,3,FALSE)</f>
        <v>LW,RW</v>
      </c>
      <c r="C181" s="137">
        <f>IF(Settings!$E$15="POINTS",RANK(E181,E3:E431),H181)</f>
        <v>169</v>
      </c>
      <c r="D181" s="34" t="str">
        <f>VLOOKUP(A181,'The List'!B1:F730,5,FALSE)</f>
        <v>VAN</v>
      </c>
      <c r="E181" s="38">
        <f>VLOOKUP(A181,'The List'!B1:I730,8,FALSE)</f>
        <v>1.496402365959153</v>
      </c>
      <c r="F181" s="38">
        <f>IF(Settings!$E$15="POINTS",E181-VLOOKUP(B$2,C1:E431,3,FALSE),J181)</f>
        <v>-2.6374247211732373</v>
      </c>
      <c r="G181" s="38"/>
      <c r="H181" s="138">
        <f>RANK(I181,I3:I431)</f>
        <v>169</v>
      </c>
      <c r="I181" s="139">
        <f>VLOOKUP(A181,'Standard Deviations'!A1:C731,3,FALSE)</f>
        <v>1.496402365959153</v>
      </c>
      <c r="J181" s="139">
        <f>I181-VLOOKUP(B$2,H1:J431,2,FALSE)</f>
        <v>-2.6374247211732373</v>
      </c>
    </row>
    <row r="182" spans="1:10" ht="21.2" customHeight="1">
      <c r="A182" s="8" t="s">
        <v>431</v>
      </c>
      <c r="B182" s="136" t="str">
        <f>VLOOKUP(A182,'The List'!B1:D730,3,FALSE)</f>
        <v>C,LW</v>
      </c>
      <c r="C182" s="137">
        <f>IF(Settings!$E$15="POINTS",RANK(E182,E3:E431),H182)</f>
        <v>191</v>
      </c>
      <c r="D182" s="34" t="str">
        <f>VLOOKUP(A182,'The List'!B1:F730,5,FALSE)</f>
        <v>TOR</v>
      </c>
      <c r="E182" s="38">
        <f>VLOOKUP(A182,'The List'!B1:I730,8,FALSE)</f>
        <v>0.63989116236940913</v>
      </c>
      <c r="F182" s="38">
        <f>IF(Settings!$E$15="POINTS",E182-VLOOKUP(B$2,C1:E431,3,FALSE),J182)</f>
        <v>-3.4939359247629813</v>
      </c>
      <c r="G182" s="38"/>
      <c r="H182" s="138">
        <f>RANK(I182,I3:I431)</f>
        <v>191</v>
      </c>
      <c r="I182" s="139">
        <f>VLOOKUP(A182,'Standard Deviations'!A1:C731,3,FALSE)</f>
        <v>0.63989116236940913</v>
      </c>
      <c r="J182" s="139">
        <f>I182-VLOOKUP(B$2,H1:J431,2,FALSE)</f>
        <v>-3.4939359247629813</v>
      </c>
    </row>
    <row r="183" spans="1:10" ht="21.2" customHeight="1">
      <c r="A183" s="8" t="s">
        <v>478</v>
      </c>
      <c r="B183" s="136" t="str">
        <f>VLOOKUP(A183,'The List'!B1:D730,3,FALSE)</f>
        <v>C</v>
      </c>
      <c r="C183" s="137">
        <f>IF(Settings!$E$15="POINTS",RANK(E183,E3:E431),H183)</f>
        <v>213</v>
      </c>
      <c r="D183" s="34" t="str">
        <f>VLOOKUP(A183,'The List'!B1:F730,5,FALSE)</f>
        <v>SEA</v>
      </c>
      <c r="E183" s="38">
        <f>VLOOKUP(A183,'The List'!B1:I730,8,FALSE)</f>
        <v>0.10607561065742976</v>
      </c>
      <c r="F183" s="38">
        <f>IF(Settings!$E$15="POINTS",E183-VLOOKUP(B$2,C1:E431,3,FALSE),J183)</f>
        <v>-4.0277514764749602</v>
      </c>
      <c r="G183" s="38"/>
      <c r="H183" s="138">
        <f>RANK(I183,I3:I431)</f>
        <v>213</v>
      </c>
      <c r="I183" s="139">
        <f>VLOOKUP(A183,'Standard Deviations'!A1:C731,3,FALSE)</f>
        <v>0.10607561065742976</v>
      </c>
      <c r="J183" s="139">
        <f>I183-VLOOKUP(B$2,H1:J431,2,FALSE)</f>
        <v>-4.0277514764749602</v>
      </c>
    </row>
    <row r="184" spans="1:10" ht="21.2" customHeight="1">
      <c r="A184" s="8" t="s">
        <v>401</v>
      </c>
      <c r="B184" s="136" t="str">
        <f>VLOOKUP(A184,'The List'!B1:D730,3,FALSE)</f>
        <v>RW</v>
      </c>
      <c r="C184" s="137">
        <f>IF(Settings!$E$15="POINTS",RANK(E184,E3:E431),H184)</f>
        <v>167</v>
      </c>
      <c r="D184" s="34" t="str">
        <f>VLOOKUP(A184,'The List'!B1:F730,5,FALSE)</f>
        <v>WSH</v>
      </c>
      <c r="E184" s="38">
        <f>VLOOKUP(A184,'The List'!B1:I730,8,FALSE)</f>
        <v>1.573525419067165</v>
      </c>
      <c r="F184" s="38">
        <f>IF(Settings!$E$15="POINTS",E184-VLOOKUP(B$2,C1:E431,3,FALSE),J184)</f>
        <v>-2.5603016680652253</v>
      </c>
      <c r="G184" s="38"/>
      <c r="H184" s="138">
        <f>RANK(I184,I3:I431)</f>
        <v>167</v>
      </c>
      <c r="I184" s="139">
        <f>VLOOKUP(A184,'Standard Deviations'!A1:C731,3,FALSE)</f>
        <v>1.573525419067165</v>
      </c>
      <c r="J184" s="139">
        <f>I184-VLOOKUP(B$2,H1:J431,2,FALSE)</f>
        <v>-2.5603016680652253</v>
      </c>
    </row>
    <row r="185" spans="1:10" ht="21.2" customHeight="1">
      <c r="A185" s="8" t="s">
        <v>402</v>
      </c>
      <c r="B185" s="136" t="str">
        <f>VLOOKUP(A185,'The List'!B1:D730,3,FALSE)</f>
        <v>LW,RW</v>
      </c>
      <c r="C185" s="137">
        <f>IF(Settings!$E$15="POINTS",RANK(E185,E3:E431),H185)</f>
        <v>186</v>
      </c>
      <c r="D185" s="34" t="str">
        <f>VLOOKUP(A185,'The List'!B1:F730,5,FALSE)</f>
        <v>BUF</v>
      </c>
      <c r="E185" s="38">
        <f>VLOOKUP(A185,'The List'!B1:I730,8,FALSE)</f>
        <v>0.77435578813392303</v>
      </c>
      <c r="F185" s="38">
        <f>IF(Settings!$E$15="POINTS",E185-VLOOKUP(B$2,C1:E431,3,FALSE),J185)</f>
        <v>-3.3594712989984674</v>
      </c>
      <c r="G185" s="38"/>
      <c r="H185" s="138">
        <f>RANK(I185,I3:I431)</f>
        <v>186</v>
      </c>
      <c r="I185" s="139">
        <f>VLOOKUP(A185,'Standard Deviations'!A1:C731,3,FALSE)</f>
        <v>0.77435578813392303</v>
      </c>
      <c r="J185" s="139">
        <f>I185-VLOOKUP(B$2,H1:J431,2,FALSE)</f>
        <v>-3.3594712989984674</v>
      </c>
    </row>
    <row r="186" spans="1:10" ht="21.2" customHeight="1">
      <c r="A186" s="8" t="s">
        <v>491</v>
      </c>
      <c r="B186" s="136" t="str">
        <f>VLOOKUP(A186,'The List'!B1:D730,3,FALSE)</f>
        <v>C</v>
      </c>
      <c r="C186" s="137">
        <f>IF(Settings!$E$15="POINTS",RANK(E186,E3:E431),H186)</f>
        <v>145</v>
      </c>
      <c r="D186" s="34" t="str">
        <f>VLOOKUP(A186,'The List'!B1:F730,5,FALSE)</f>
        <v>WSH</v>
      </c>
      <c r="E186" s="38">
        <f>VLOOKUP(A186,'The List'!B1:I730,8,FALSE)</f>
        <v>2.3844870982587514</v>
      </c>
      <c r="F186" s="38">
        <f>IF(Settings!$E$15="POINTS",E186-VLOOKUP(B$2,C1:E431,3,FALSE),J186)</f>
        <v>-1.749339988873639</v>
      </c>
      <c r="G186" s="38"/>
      <c r="H186" s="138">
        <f>RANK(I186,I3:I431)</f>
        <v>145</v>
      </c>
      <c r="I186" s="139">
        <f>VLOOKUP(A186,'Standard Deviations'!A1:C731,3,FALSE)</f>
        <v>2.3844870982587514</v>
      </c>
      <c r="J186" s="139">
        <f>I186-VLOOKUP(B$2,H1:J431,2,FALSE)</f>
        <v>-1.749339988873639</v>
      </c>
    </row>
    <row r="187" spans="1:10" ht="21.2" customHeight="1">
      <c r="A187" s="8" t="s">
        <v>405</v>
      </c>
      <c r="B187" s="136" t="str">
        <f>VLOOKUP(A187,'The List'!B1:D730,3,FALSE)</f>
        <v>LW,RW</v>
      </c>
      <c r="C187" s="137">
        <f>IF(Settings!$E$15="POINTS",RANK(E187,E3:E431),H187)</f>
        <v>198</v>
      </c>
      <c r="D187" s="34" t="str">
        <f>VLOOKUP(A187,'The List'!B1:F730,5,FALSE)</f>
        <v>ARI</v>
      </c>
      <c r="E187" s="38">
        <f>VLOOKUP(A187,'The List'!B1:I730,8,FALSE)</f>
        <v>0.45234264417587711</v>
      </c>
      <c r="F187" s="38">
        <f>IF(Settings!$E$15="POINTS",E187-VLOOKUP(B$2,C1:E431,3,FALSE),J187)</f>
        <v>-3.6814844429565134</v>
      </c>
      <c r="G187" s="38"/>
      <c r="H187" s="138">
        <f>RANK(I187,I3:I431)</f>
        <v>198</v>
      </c>
      <c r="I187" s="139">
        <f>VLOOKUP(A187,'Standard Deviations'!A1:C731,3,FALSE)</f>
        <v>0.45234264417587711</v>
      </c>
      <c r="J187" s="139">
        <f>I187-VLOOKUP(B$2,H1:J431,2,FALSE)</f>
        <v>-3.6814844429565134</v>
      </c>
    </row>
    <row r="188" spans="1:10" ht="21.2" customHeight="1">
      <c r="A188" s="8" t="s">
        <v>501</v>
      </c>
      <c r="B188" s="136" t="str">
        <f>VLOOKUP(A188,'The List'!B1:D730,3,FALSE)</f>
        <v>C</v>
      </c>
      <c r="C188" s="137">
        <f>IF(Settings!$E$15="POINTS",RANK(E188,E3:E431),H188)</f>
        <v>190</v>
      </c>
      <c r="D188" s="34" t="str">
        <f>VLOOKUP(A188,'The List'!B1:F730,5,FALSE)</f>
        <v>PHI</v>
      </c>
      <c r="E188" s="38">
        <f>VLOOKUP(A188,'The List'!B1:I730,8,FALSE)</f>
        <v>0.68763210299067468</v>
      </c>
      <c r="F188" s="38">
        <f>IF(Settings!$E$15="POINTS",E188-VLOOKUP(B$2,C1:E431,3,FALSE),J188)</f>
        <v>-3.4461949841417159</v>
      </c>
      <c r="G188" s="38"/>
      <c r="H188" s="138">
        <f>RANK(I188,I3:I431)</f>
        <v>190</v>
      </c>
      <c r="I188" s="139">
        <f>VLOOKUP(A188,'Standard Deviations'!A1:C731,3,FALSE)</f>
        <v>0.68763210299067468</v>
      </c>
      <c r="J188" s="139">
        <f>I188-VLOOKUP(B$2,H1:J431,2,FALSE)</f>
        <v>-3.4461949841417159</v>
      </c>
    </row>
    <row r="189" spans="1:10" ht="21.2" customHeight="1">
      <c r="A189" s="8" t="s">
        <v>458</v>
      </c>
      <c r="B189" s="136" t="str">
        <f>VLOOKUP(A189,'The List'!B1:D730,3,FALSE)</f>
        <v>C,LW</v>
      </c>
      <c r="C189" s="137">
        <f>IF(Settings!$E$15="POINTS",RANK(E189,E3:E431),H189)</f>
        <v>217</v>
      </c>
      <c r="D189" s="34" t="str">
        <f>VLOOKUP(A189,'The List'!B1:F730,5,FALSE)</f>
        <v>DET</v>
      </c>
      <c r="E189" s="38">
        <f>VLOOKUP(A189,'The List'!B1:I730,8,FALSE)</f>
        <v>5.791815359645458E-2</v>
      </c>
      <c r="F189" s="38">
        <f>IF(Settings!$E$15="POINTS",E189-VLOOKUP(B$2,C1:E431,3,FALSE),J189)</f>
        <v>-4.0759089335359358</v>
      </c>
      <c r="G189" s="38"/>
      <c r="H189" s="138">
        <f>RANK(I189,I3:I431)</f>
        <v>217</v>
      </c>
      <c r="I189" s="139">
        <f>VLOOKUP(A189,'Standard Deviations'!A1:C731,3,FALSE)</f>
        <v>5.791815359645458E-2</v>
      </c>
      <c r="J189" s="139">
        <f>I189-VLOOKUP(B$2,H1:J431,2,FALSE)</f>
        <v>-4.0759089335359358</v>
      </c>
    </row>
    <row r="190" spans="1:10" ht="21.2" customHeight="1">
      <c r="A190" s="8" t="s">
        <v>462</v>
      </c>
      <c r="B190" s="136" t="str">
        <f>VLOOKUP(A190,'The List'!B1:D730,3,FALSE)</f>
        <v>LW</v>
      </c>
      <c r="C190" s="137">
        <f>IF(Settings!$E$15="POINTS",RANK(E190,E3:E431),H190)</f>
        <v>192</v>
      </c>
      <c r="D190" s="34" t="str">
        <f>VLOOKUP(A190,'The List'!B1:F730,5,FALSE)</f>
        <v>SJS</v>
      </c>
      <c r="E190" s="38">
        <f>VLOOKUP(A190,'The List'!B1:I730,8,FALSE)</f>
        <v>0.62198929305437045</v>
      </c>
      <c r="F190" s="38">
        <f>IF(Settings!$E$15="POINTS",E190-VLOOKUP(B$2,C1:E431,3,FALSE),J190)</f>
        <v>-3.5118377940780201</v>
      </c>
      <c r="G190" s="38"/>
      <c r="H190" s="138">
        <f>RANK(I190,I3:I431)</f>
        <v>192</v>
      </c>
      <c r="I190" s="139">
        <f>VLOOKUP(A190,'Standard Deviations'!A1:C731,3,FALSE)</f>
        <v>0.62198929305437045</v>
      </c>
      <c r="J190" s="139">
        <f>I190-VLOOKUP(B$2,H1:J431,2,FALSE)</f>
        <v>-3.5118377940780201</v>
      </c>
    </row>
    <row r="191" spans="1:10" ht="21.2" customHeight="1">
      <c r="A191" s="8" t="s">
        <v>411</v>
      </c>
      <c r="B191" s="136" t="str">
        <f>VLOOKUP(A191,'The List'!B1:D730,3,FALSE)</f>
        <v>LW,RW</v>
      </c>
      <c r="C191" s="137">
        <f>IF(Settings!$E$15="POINTS",RANK(E191,E3:E431),H191)</f>
        <v>163</v>
      </c>
      <c r="D191" s="34" t="str">
        <f>VLOOKUP(A191,'The List'!B1:F730,5,FALSE)</f>
        <v>WPG</v>
      </c>
      <c r="E191" s="38">
        <f>VLOOKUP(A191,'The List'!B1:I730,8,FALSE)</f>
        <v>1.7146893879121561</v>
      </c>
      <c r="F191" s="38">
        <f>IF(Settings!$E$15="POINTS",E191-VLOOKUP(B$2,C1:E431,3,FALSE),J191)</f>
        <v>-2.4191376992202342</v>
      </c>
      <c r="G191" s="38"/>
      <c r="H191" s="138">
        <f>RANK(I191,I3:I431)</f>
        <v>163</v>
      </c>
      <c r="I191" s="139">
        <f>VLOOKUP(A191,'Standard Deviations'!A1:C731,3,FALSE)</f>
        <v>1.7146893879121561</v>
      </c>
      <c r="J191" s="139">
        <f>I191-VLOOKUP(B$2,H1:J431,2,FALSE)</f>
        <v>-2.4191376992202342</v>
      </c>
    </row>
    <row r="192" spans="1:10" ht="21.2" customHeight="1">
      <c r="A192" s="8" t="s">
        <v>417</v>
      </c>
      <c r="B192" s="136" t="str">
        <f>VLOOKUP(A192,'The List'!B1:D730,3,FALSE)</f>
        <v>LW,RW</v>
      </c>
      <c r="C192" s="137">
        <f>IF(Settings!$E$15="POINTS",RANK(E192,E3:E431),H192)</f>
        <v>219</v>
      </c>
      <c r="D192" s="34" t="str">
        <f>VLOOKUP(A192,'The List'!B1:F730,5,FALSE)</f>
        <v>TBL</v>
      </c>
      <c r="E192" s="38">
        <f>VLOOKUP(A192,'The List'!B1:I730,8,FALSE)</f>
        <v>1.2910040615504742E-2</v>
      </c>
      <c r="F192" s="38">
        <f>IF(Settings!$E$15="POINTS",E192-VLOOKUP(B$2,C1:E431,3,FALSE),J192)</f>
        <v>-4.1209170465168858</v>
      </c>
      <c r="G192" s="38"/>
      <c r="H192" s="138">
        <f>RANK(I192,I3:I431)</f>
        <v>219</v>
      </c>
      <c r="I192" s="139">
        <f>VLOOKUP(A192,'Standard Deviations'!A1:C731,3,FALSE)</f>
        <v>1.2910040615504742E-2</v>
      </c>
      <c r="J192" s="139">
        <f>I192-VLOOKUP(B$2,H1:J431,2,FALSE)</f>
        <v>-4.1209170465168858</v>
      </c>
    </row>
    <row r="193" spans="1:10" ht="21.2" customHeight="1">
      <c r="A193" s="8" t="s">
        <v>419</v>
      </c>
      <c r="B193" s="136" t="str">
        <f>VLOOKUP(A193,'The List'!B1:D730,3,FALSE)</f>
        <v>RW</v>
      </c>
      <c r="C193" s="137">
        <f>IF(Settings!$E$15="POINTS",RANK(E193,E3:E431),H193)</f>
        <v>209</v>
      </c>
      <c r="D193" s="34" t="str">
        <f>VLOOKUP(A193,'The List'!B1:F730,5,FALSE)</f>
        <v>MTL</v>
      </c>
      <c r="E193" s="38">
        <f>VLOOKUP(A193,'The List'!B1:I730,8,FALSE)</f>
        <v>0.19409268236957888</v>
      </c>
      <c r="F193" s="38">
        <f>IF(Settings!$E$15="POINTS",E193-VLOOKUP(B$2,C1:E431,3,FALSE),J193)</f>
        <v>-3.9397344047628113</v>
      </c>
      <c r="G193" s="38"/>
      <c r="H193" s="138">
        <f>RANK(I193,I3:I431)</f>
        <v>209</v>
      </c>
      <c r="I193" s="139">
        <f>VLOOKUP(A193,'Standard Deviations'!A1:C731,3,FALSE)</f>
        <v>0.19409268236957888</v>
      </c>
      <c r="J193" s="139">
        <f>I193-VLOOKUP(B$2,H1:J431,2,FALSE)</f>
        <v>-3.9397344047628113</v>
      </c>
    </row>
    <row r="194" spans="1:10" ht="21.2" customHeight="1">
      <c r="A194" s="8" t="s">
        <v>466</v>
      </c>
      <c r="B194" s="136" t="str">
        <f>VLOOKUP(A194,'The List'!B1:D730,3,FALSE)</f>
        <v>C,LW</v>
      </c>
      <c r="C194" s="137">
        <f>IF(Settings!$E$15="POINTS",RANK(E194,E3:E431),H194)</f>
        <v>201</v>
      </c>
      <c r="D194" s="34" t="str">
        <f>VLOOKUP(A194,'The List'!B1:F730,5,FALSE)</f>
        <v>COL</v>
      </c>
      <c r="E194" s="38">
        <f>VLOOKUP(A194,'The List'!B1:I730,8,FALSE)</f>
        <v>0.42819644101530807</v>
      </c>
      <c r="F194" s="38">
        <f>IF(Settings!$E$15="POINTS",E194-VLOOKUP(B$2,C1:E431,3,FALSE),J194)</f>
        <v>-3.7056306461170823</v>
      </c>
      <c r="G194" s="38"/>
      <c r="H194" s="138">
        <f>RANK(I194,I3:I431)</f>
        <v>201</v>
      </c>
      <c r="I194" s="139">
        <f>VLOOKUP(A194,'Standard Deviations'!A1:C731,3,FALSE)</f>
        <v>0.42819644101530807</v>
      </c>
      <c r="J194" s="139">
        <f>I194-VLOOKUP(B$2,H1:J431,2,FALSE)</f>
        <v>-3.7056306461170823</v>
      </c>
    </row>
    <row r="195" spans="1:10" ht="21.2" customHeight="1">
      <c r="A195" s="8" t="s">
        <v>467</v>
      </c>
      <c r="B195" s="136" t="str">
        <f>VLOOKUP(A195,'The List'!B1:D730,3,FALSE)</f>
        <v>C,LW</v>
      </c>
      <c r="C195" s="137">
        <f>IF(Settings!$E$15="POINTS",RANK(E195,E3:E431),H195)</f>
        <v>207</v>
      </c>
      <c r="D195" s="34" t="str">
        <f>VLOOKUP(A195,'The List'!B1:F730,5,FALSE)</f>
        <v>CHI</v>
      </c>
      <c r="E195" s="38">
        <f>VLOOKUP(A195,'The List'!B1:I730,8,FALSE)</f>
        <v>0.20470761957327416</v>
      </c>
      <c r="F195" s="38">
        <f>IF(Settings!$E$15="POINTS",E195-VLOOKUP(B$2,C1:E431,3,FALSE),J195)</f>
        <v>-3.9291194675591163</v>
      </c>
      <c r="G195" s="38"/>
      <c r="H195" s="138">
        <f>RANK(I195,I3:I431)</f>
        <v>207</v>
      </c>
      <c r="I195" s="139">
        <f>VLOOKUP(A195,'Standard Deviations'!A1:C731,3,FALSE)</f>
        <v>0.20470761957327416</v>
      </c>
      <c r="J195" s="139">
        <f>I195-VLOOKUP(B$2,H1:J431,2,FALSE)</f>
        <v>-3.9291194675591163</v>
      </c>
    </row>
    <row r="196" spans="1:10" ht="21.2" customHeight="1">
      <c r="A196" s="8" t="s">
        <v>512</v>
      </c>
      <c r="B196" s="136" t="str">
        <f>VLOOKUP(A196,'The List'!B1:D730,3,FALSE)</f>
        <v>C</v>
      </c>
      <c r="C196" s="137">
        <f>IF(Settings!$E$15="POINTS",RANK(E196,E3:E431),H196)</f>
        <v>223</v>
      </c>
      <c r="D196" s="34" t="str">
        <f>VLOOKUP(A196,'The List'!B1:F730,5,FALSE)</f>
        <v>NYI</v>
      </c>
      <c r="E196" s="38">
        <f>VLOOKUP(A196,'The List'!B1:I730,8,FALSE)</f>
        <v>-0.21533339657211931</v>
      </c>
      <c r="F196" s="38">
        <f>IF(Settings!$E$15="POINTS",E196-VLOOKUP(B$2,C1:E431,3,FALSE),J196)</f>
        <v>-4.3491604837045097</v>
      </c>
      <c r="G196" s="38"/>
      <c r="H196" s="138">
        <f>RANK(I196,I3:I431)</f>
        <v>223</v>
      </c>
      <c r="I196" s="139">
        <f>VLOOKUP(A196,'Standard Deviations'!A1:C731,3,FALSE)</f>
        <v>-0.21533339657211931</v>
      </c>
      <c r="J196" s="139">
        <f>I196-VLOOKUP(B$2,H1:J431,2,FALSE)</f>
        <v>-4.3491604837045097</v>
      </c>
    </row>
    <row r="197" spans="1:10" ht="21.2" customHeight="1">
      <c r="A197" s="8" t="s">
        <v>468</v>
      </c>
      <c r="B197" s="136" t="str">
        <f>VLOOKUP(A197,'The List'!B1:D730,3,FALSE)</f>
        <v>LW</v>
      </c>
      <c r="C197" s="137">
        <f>IF(Settings!$E$15="POINTS",RANK(E197,E3:E431),H197)</f>
        <v>196</v>
      </c>
      <c r="D197" s="34" t="str">
        <f>VLOOKUP(A197,'The List'!B1:F730,5,FALSE)</f>
        <v>PHI</v>
      </c>
      <c r="E197" s="38">
        <f>VLOOKUP(A197,'The List'!B1:I730,8,FALSE)</f>
        <v>0.53953715834264759</v>
      </c>
      <c r="F197" s="38">
        <f>IF(Settings!$E$15="POINTS",E197-VLOOKUP(B$2,C1:E431,3,FALSE),J197)</f>
        <v>-3.5942899287897427</v>
      </c>
      <c r="G197" s="38"/>
      <c r="H197" s="138">
        <f>RANK(I197,I3:I431)</f>
        <v>196</v>
      </c>
      <c r="I197" s="139">
        <f>VLOOKUP(A197,'Standard Deviations'!A1:C731,3,FALSE)</f>
        <v>0.53953715834264759</v>
      </c>
      <c r="J197" s="139">
        <f>I197-VLOOKUP(B$2,H1:J431,2,FALSE)</f>
        <v>-3.5942899287897427</v>
      </c>
    </row>
    <row r="198" spans="1:10" ht="21.2" customHeight="1">
      <c r="A198" s="8" t="s">
        <v>471</v>
      </c>
      <c r="B198" s="136" t="str">
        <f>VLOOKUP(A198,'The List'!B1:D730,3,FALSE)</f>
        <v>C,LW</v>
      </c>
      <c r="C198" s="137">
        <f>IF(Settings!$E$15="POINTS",RANK(E198,E3:E431),H198)</f>
        <v>183</v>
      </c>
      <c r="D198" s="34" t="str">
        <f>VLOOKUP(A198,'The List'!B1:F730,5,FALSE)</f>
        <v>CHI</v>
      </c>
      <c r="E198" s="38">
        <f>VLOOKUP(A198,'The List'!B1:I730,8,FALSE)</f>
        <v>0.83890492506299474</v>
      </c>
      <c r="F198" s="38">
        <f>IF(Settings!$E$15="POINTS",E198-VLOOKUP(B$2,C1:E431,3,FALSE),J198)</f>
        <v>-3.2949221620693958</v>
      </c>
      <c r="G198" s="38"/>
      <c r="H198" s="138">
        <f>RANK(I198,I3:I431)</f>
        <v>183</v>
      </c>
      <c r="I198" s="139">
        <f>VLOOKUP(A198,'Standard Deviations'!A1:C731,3,FALSE)</f>
        <v>0.83890492506299474</v>
      </c>
      <c r="J198" s="139">
        <f>I198-VLOOKUP(B$2,H1:J431,2,FALSE)</f>
        <v>-3.2949221620693958</v>
      </c>
    </row>
    <row r="199" spans="1:10" ht="21.2" customHeight="1">
      <c r="A199" s="8" t="s">
        <v>427</v>
      </c>
      <c r="B199" s="136" t="str">
        <f>VLOOKUP(A199,'The List'!B1:D730,3,FALSE)</f>
        <v>C,LW,RW</v>
      </c>
      <c r="C199" s="137">
        <f>IF(Settings!$E$15="POINTS",RANK(E199,E3:E431),H199)</f>
        <v>216</v>
      </c>
      <c r="D199" s="34" t="str">
        <f>VLOOKUP(A199,'The List'!B1:F730,5,FALSE)</f>
        <v>ANA</v>
      </c>
      <c r="E199" s="38">
        <f>VLOOKUP(A199,'The List'!B1:I730,8,FALSE)</f>
        <v>6.0623168759821058E-2</v>
      </c>
      <c r="F199" s="38">
        <f>IF(Settings!$E$15="POINTS",E199-VLOOKUP(B$2,C1:E431,3,FALSE),J199)</f>
        <v>-4.0732039183725695</v>
      </c>
      <c r="G199" s="38"/>
      <c r="H199" s="138">
        <f>RANK(I199,I3:I431)</f>
        <v>216</v>
      </c>
      <c r="I199" s="139">
        <f>VLOOKUP(A199,'Standard Deviations'!A1:C731,3,FALSE)</f>
        <v>6.0623168759821058E-2</v>
      </c>
      <c r="J199" s="139">
        <f>I199-VLOOKUP(B$2,H1:J431,2,FALSE)</f>
        <v>-4.0732039183725695</v>
      </c>
    </row>
    <row r="200" spans="1:10" ht="21.2" customHeight="1">
      <c r="A200" s="8" t="s">
        <v>480</v>
      </c>
      <c r="B200" s="136" t="str">
        <f>VLOOKUP(A200,'The List'!B1:D730,3,FALSE)</f>
        <v>LW</v>
      </c>
      <c r="C200" s="137">
        <f>IF(Settings!$E$15="POINTS",RANK(E200,E3:E431),H200)</f>
        <v>157</v>
      </c>
      <c r="D200" s="34" t="str">
        <f>VLOOKUP(A200,'The List'!B1:F730,5,FALSE)</f>
        <v>SJS</v>
      </c>
      <c r="E200" s="38">
        <f>VLOOKUP(A200,'The List'!B1:I730,8,FALSE)</f>
        <v>1.9204458945272571</v>
      </c>
      <c r="F200" s="38">
        <f>IF(Settings!$E$15="POINTS",E200-VLOOKUP(B$2,C1:E431,3,FALSE),J200)</f>
        <v>-2.2133811926051332</v>
      </c>
      <c r="G200" s="38"/>
      <c r="H200" s="138">
        <f>RANK(I200,I3:I431)</f>
        <v>157</v>
      </c>
      <c r="I200" s="139">
        <f>VLOOKUP(A200,'Standard Deviations'!A1:C731,3,FALSE)</f>
        <v>1.9204458945272571</v>
      </c>
      <c r="J200" s="139">
        <f>I200-VLOOKUP(B$2,H1:J431,2,FALSE)</f>
        <v>-2.2133811926051332</v>
      </c>
    </row>
    <row r="201" spans="1:10" ht="21.2" customHeight="1">
      <c r="A201" s="8" t="s">
        <v>430</v>
      </c>
      <c r="B201" s="136" t="str">
        <f>VLOOKUP(A201,'The List'!B1:D730,3,FALSE)</f>
        <v>LW,RW</v>
      </c>
      <c r="C201" s="137">
        <f>IF(Settings!$E$15="POINTS",RANK(E201,E3:E431),H201)</f>
        <v>205</v>
      </c>
      <c r="D201" s="34" t="str">
        <f>VLOOKUP(A201,'The List'!B1:F730,5,FALSE)</f>
        <v>NSH</v>
      </c>
      <c r="E201" s="38">
        <f>VLOOKUP(A201,'The List'!B1:I730,8,FALSE)</f>
        <v>0.30395373302398276</v>
      </c>
      <c r="F201" s="38">
        <f>IF(Settings!$E$15="POINTS",E201-VLOOKUP(B$2,C1:E431,3,FALSE),J201)</f>
        <v>-3.8298733541084076</v>
      </c>
      <c r="G201" s="38"/>
      <c r="H201" s="138">
        <f>RANK(I201,I3:I431)</f>
        <v>205</v>
      </c>
      <c r="I201" s="139">
        <f>VLOOKUP(A201,'Standard Deviations'!A1:C731,3,FALSE)</f>
        <v>0.30395373302398276</v>
      </c>
      <c r="J201" s="139">
        <f>I201-VLOOKUP(B$2,H1:J431,2,FALSE)</f>
        <v>-3.8298733541084076</v>
      </c>
    </row>
    <row r="202" spans="1:10" ht="21.2" customHeight="1">
      <c r="A202" s="8" t="s">
        <v>433</v>
      </c>
      <c r="B202" s="136" t="str">
        <f>VLOOKUP(A202,'The List'!B1:D730,3,FALSE)</f>
        <v>LW,RW</v>
      </c>
      <c r="C202" s="137">
        <f>IF(Settings!$E$15="POINTS",RANK(E202,E3:E431),H202)</f>
        <v>238</v>
      </c>
      <c r="D202" s="34" t="str">
        <f>VLOOKUP(A202,'The List'!B1:F730,5,FALSE)</f>
        <v>CGY</v>
      </c>
      <c r="E202" s="38">
        <f>VLOOKUP(A202,'The List'!B1:I730,8,FALSE)</f>
        <v>-0.5981205346971552</v>
      </c>
      <c r="F202" s="38">
        <f>IF(Settings!$E$15="POINTS",E202-VLOOKUP(B$2,C1:E431,3,FALSE),J202)</f>
        <v>-4.731947621829546</v>
      </c>
      <c r="G202" s="38"/>
      <c r="H202" s="138">
        <f>RANK(I202,I3:I431)</f>
        <v>238</v>
      </c>
      <c r="I202" s="139">
        <f>VLOOKUP(A202,'Standard Deviations'!A1:C731,3,FALSE)</f>
        <v>-0.5981205346971552</v>
      </c>
      <c r="J202" s="139">
        <f>I202-VLOOKUP(B$2,H1:J431,2,FALSE)</f>
        <v>-4.731947621829546</v>
      </c>
    </row>
    <row r="203" spans="1:10" ht="21.2" customHeight="1">
      <c r="A203" s="8" t="s">
        <v>434</v>
      </c>
      <c r="B203" s="136" t="str">
        <f>VLOOKUP(A203,'The List'!B1:D730,3,FALSE)</f>
        <v>C,LW,RW</v>
      </c>
      <c r="C203" s="137">
        <f>IF(Settings!$E$15="POINTS",RANK(E203,E3:E431),H203)</f>
        <v>230</v>
      </c>
      <c r="D203" s="34" t="str">
        <f>VLOOKUP(A203,'The List'!B1:F730,5,FALSE)</f>
        <v>DET</v>
      </c>
      <c r="E203" s="38">
        <f>VLOOKUP(A203,'The List'!B1:I730,8,FALSE)</f>
        <v>-0.40479022619704474</v>
      </c>
      <c r="F203" s="38">
        <f>IF(Settings!$E$15="POINTS",E203-VLOOKUP(B$2,C1:E431,3,FALSE),J203)</f>
        <v>-4.5386173133294347</v>
      </c>
      <c r="G203" s="38"/>
      <c r="H203" s="138">
        <f>RANK(I203,I3:I431)</f>
        <v>230</v>
      </c>
      <c r="I203" s="139">
        <f>VLOOKUP(A203,'Standard Deviations'!A1:C731,3,FALSE)</f>
        <v>-0.40479022619704474</v>
      </c>
      <c r="J203" s="139">
        <f>I203-VLOOKUP(B$2,H1:J431,2,FALSE)</f>
        <v>-4.5386173133294347</v>
      </c>
    </row>
    <row r="204" spans="1:10" ht="21.2" customHeight="1">
      <c r="A204" s="8" t="s">
        <v>527</v>
      </c>
      <c r="B204" s="136" t="str">
        <f>VLOOKUP(A204,'The List'!B1:D730,3,FALSE)</f>
        <v>C</v>
      </c>
      <c r="C204" s="137">
        <f>IF(Settings!$E$15="POINTS",RANK(E204,E3:E431),H204)</f>
        <v>194</v>
      </c>
      <c r="D204" s="34" t="str">
        <f>VLOOKUP(A204,'The List'!B1:F730,5,FALSE)</f>
        <v>COL</v>
      </c>
      <c r="E204" s="38">
        <f>VLOOKUP(A204,'The List'!B1:I730,8,FALSE)</f>
        <v>0.60828126035906882</v>
      </c>
      <c r="F204" s="38">
        <f>IF(Settings!$E$15="POINTS",E204-VLOOKUP(B$2,C1:E431,3,FALSE),J204)</f>
        <v>-3.5255458267733215</v>
      </c>
      <c r="G204" s="38"/>
      <c r="H204" s="138">
        <f>RANK(I204,I3:I431)</f>
        <v>194</v>
      </c>
      <c r="I204" s="139">
        <f>VLOOKUP(A204,'Standard Deviations'!A1:C731,3,FALSE)</f>
        <v>0.60828126035906882</v>
      </c>
      <c r="J204" s="139">
        <f>I204-VLOOKUP(B$2,H1:J431,2,FALSE)</f>
        <v>-3.5255458267733215</v>
      </c>
    </row>
    <row r="205" spans="1:10" ht="21.2" customHeight="1">
      <c r="A205" s="8" t="s">
        <v>486</v>
      </c>
      <c r="B205" s="136" t="str">
        <f>VLOOKUP(A205,'The List'!B1:D730,3,FALSE)</f>
        <v>LW</v>
      </c>
      <c r="C205" s="137">
        <f>IF(Settings!$E$15="POINTS",RANK(E205,E3:E431),H205)</f>
        <v>189</v>
      </c>
      <c r="D205" s="34" t="str">
        <f>VLOOKUP(A205,'The List'!B1:F730,5,FALSE)</f>
        <v>ARI</v>
      </c>
      <c r="E205" s="38">
        <f>VLOOKUP(A205,'The List'!B1:I730,8,FALSE)</f>
        <v>0.71825166986101674</v>
      </c>
      <c r="F205" s="38">
        <f>IF(Settings!$E$15="POINTS",E205-VLOOKUP(B$2,C1:E431,3,FALSE),J205)</f>
        <v>-3.4155754172713735</v>
      </c>
      <c r="G205" s="38"/>
      <c r="H205" s="138">
        <f>RANK(I205,I3:I431)</f>
        <v>189</v>
      </c>
      <c r="I205" s="139">
        <f>VLOOKUP(A205,'Standard Deviations'!A1:C731,3,FALSE)</f>
        <v>0.71825166986101674</v>
      </c>
      <c r="J205" s="139">
        <f>I205-VLOOKUP(B$2,H1:J431,2,FALSE)</f>
        <v>-3.4155754172713735</v>
      </c>
    </row>
    <row r="206" spans="1:10" ht="21.2" customHeight="1">
      <c r="A206" s="8" t="s">
        <v>439</v>
      </c>
      <c r="B206" s="136" t="str">
        <f>VLOOKUP(A206,'The List'!B1:D730,3,FALSE)</f>
        <v>RW</v>
      </c>
      <c r="C206" s="137">
        <f>IF(Settings!$E$15="POINTS",RANK(E206,E3:E431),H206)</f>
        <v>173</v>
      </c>
      <c r="D206" s="34" t="str">
        <f>VLOOKUP(A206,'The List'!B1:F730,5,FALSE)</f>
        <v>NSH</v>
      </c>
      <c r="E206" s="38">
        <f>VLOOKUP(A206,'The List'!B1:I730,8,FALSE)</f>
        <v>1.2573624174413993</v>
      </c>
      <c r="F206" s="38">
        <f>IF(Settings!$E$15="POINTS",E206-VLOOKUP(B$2,C1:E431,3,FALSE),J206)</f>
        <v>-2.876464669690991</v>
      </c>
      <c r="G206" s="38"/>
      <c r="H206" s="138">
        <f>RANK(I206,I3:I431)</f>
        <v>173</v>
      </c>
      <c r="I206" s="139">
        <f>VLOOKUP(A206,'Standard Deviations'!A1:C731,3,FALSE)</f>
        <v>1.2573624174413993</v>
      </c>
      <c r="J206" s="139">
        <f>I206-VLOOKUP(B$2,H1:J431,2,FALSE)</f>
        <v>-2.876464669690991</v>
      </c>
    </row>
    <row r="207" spans="1:10" ht="21.2" customHeight="1">
      <c r="A207" s="8" t="s">
        <v>440</v>
      </c>
      <c r="B207" s="136" t="str">
        <f>VLOOKUP(A207,'The List'!B1:D730,3,FALSE)</f>
        <v>C,RW</v>
      </c>
      <c r="C207" s="137">
        <f>IF(Settings!$E$15="POINTS",RANK(E207,E3:E431),H207)</f>
        <v>218</v>
      </c>
      <c r="D207" s="34" t="str">
        <f>VLOOKUP(A207,'The List'!B1:F730,5,FALSE)</f>
        <v>VGK</v>
      </c>
      <c r="E207" s="38">
        <f>VLOOKUP(A207,'The List'!B1:I730,8,FALSE)</f>
        <v>5.2016958963429796E-2</v>
      </c>
      <c r="F207" s="38">
        <f>IF(Settings!$E$15="POINTS",E207-VLOOKUP(B$2,C1:E431,3,FALSE),J207)</f>
        <v>-4.0818101281689607</v>
      </c>
      <c r="G207" s="38"/>
      <c r="H207" s="138">
        <f>RANK(I207,I3:I431)</f>
        <v>218</v>
      </c>
      <c r="I207" s="139">
        <f>VLOOKUP(A207,'Standard Deviations'!A1:C731,3,FALSE)</f>
        <v>5.2016958963429796E-2</v>
      </c>
      <c r="J207" s="139">
        <f>I207-VLOOKUP(B$2,H1:J431,2,FALSE)</f>
        <v>-4.0818101281689607</v>
      </c>
    </row>
    <row r="208" spans="1:10" ht="21.2" customHeight="1">
      <c r="A208" s="8" t="s">
        <v>488</v>
      </c>
      <c r="B208" s="136" t="str">
        <f>VLOOKUP(A208,'The List'!B1:D730,3,FALSE)</f>
        <v>LW</v>
      </c>
      <c r="C208" s="137">
        <f>IF(Settings!$E$15="POINTS",RANK(E208,E3:E431),H208)</f>
        <v>212</v>
      </c>
      <c r="D208" s="34" t="str">
        <f>VLOOKUP(A208,'The List'!B1:F730,5,FALSE)</f>
        <v>BOS</v>
      </c>
      <c r="E208" s="38">
        <f>VLOOKUP(A208,'The List'!B1:I730,8,FALSE)</f>
        <v>0.12010380469079747</v>
      </c>
      <c r="F208" s="38">
        <f>IF(Settings!$E$15="POINTS",E208-VLOOKUP(B$2,C1:E431,3,FALSE),J208)</f>
        <v>-4.0137232824415925</v>
      </c>
      <c r="G208" s="38"/>
      <c r="H208" s="138">
        <f>RANK(I208,I3:I431)</f>
        <v>212</v>
      </c>
      <c r="I208" s="139">
        <f>VLOOKUP(A208,'Standard Deviations'!A1:C731,3,FALSE)</f>
        <v>0.12010380469079747</v>
      </c>
      <c r="J208" s="139">
        <f>I208-VLOOKUP(B$2,H1:J431,2,FALSE)</f>
        <v>-4.0137232824415925</v>
      </c>
    </row>
    <row r="209" spans="1:10" ht="21.2" customHeight="1">
      <c r="A209" s="8" t="s">
        <v>445</v>
      </c>
      <c r="B209" s="136" t="str">
        <f>VLOOKUP(A209,'The List'!B1:D730,3,FALSE)</f>
        <v>RW</v>
      </c>
      <c r="C209" s="137">
        <f>IF(Settings!$E$15="POINTS",RANK(E209,E3:E431),H209)</f>
        <v>197</v>
      </c>
      <c r="D209" s="34" t="str">
        <f>VLOOKUP(A209,'The List'!B1:F730,5,FALSE)</f>
        <v>NYI</v>
      </c>
      <c r="E209" s="38">
        <f>VLOOKUP(A209,'The List'!B1:I730,8,FALSE)</f>
        <v>0.48362347876182943</v>
      </c>
      <c r="F209" s="38">
        <f>IF(Settings!$E$15="POINTS",E209-VLOOKUP(B$2,C1:E431,3,FALSE),J209)</f>
        <v>-3.6502036083705609</v>
      </c>
      <c r="G209" s="38"/>
      <c r="H209" s="138">
        <f>RANK(I209,I3:I431)</f>
        <v>197</v>
      </c>
      <c r="I209" s="139">
        <f>VLOOKUP(A209,'Standard Deviations'!A1:C731,3,FALSE)</f>
        <v>0.48362347876182943</v>
      </c>
      <c r="J209" s="139">
        <f>I209-VLOOKUP(B$2,H1:J431,2,FALSE)</f>
        <v>-3.6502036083705609</v>
      </c>
    </row>
    <row r="210" spans="1:10" ht="21.2" customHeight="1">
      <c r="A210" s="8" t="s">
        <v>446</v>
      </c>
      <c r="B210" s="136" t="str">
        <f>VLOOKUP(A210,'The List'!B1:D730,3,FALSE)</f>
        <v>RW</v>
      </c>
      <c r="C210" s="137">
        <f>IF(Settings!$E$15="POINTS",RANK(E210,E3:E431),H210)</f>
        <v>211</v>
      </c>
      <c r="D210" s="34" t="str">
        <f>VLOOKUP(A210,'The List'!B1:F730,5,FALSE)</f>
        <v>CHI</v>
      </c>
      <c r="E210" s="38">
        <f>VLOOKUP(A210,'The List'!B1:I730,8,FALSE)</f>
        <v>0.14510855806169834</v>
      </c>
      <c r="F210" s="38">
        <f>IF(Settings!$E$15="POINTS",E210-VLOOKUP(B$2,C1:E431,3,FALSE),J210)</f>
        <v>-3.9887185290706921</v>
      </c>
      <c r="G210" s="38"/>
      <c r="H210" s="138">
        <f>RANK(I210,I3:I431)</f>
        <v>211</v>
      </c>
      <c r="I210" s="139">
        <f>VLOOKUP(A210,'Standard Deviations'!A1:C731,3,FALSE)</f>
        <v>0.14510855806169834</v>
      </c>
      <c r="J210" s="139">
        <f>I210-VLOOKUP(B$2,H1:J431,2,FALSE)</f>
        <v>-3.9887185290706921</v>
      </c>
    </row>
    <row r="211" spans="1:10" ht="21.2" customHeight="1">
      <c r="A211" s="8" t="s">
        <v>503</v>
      </c>
      <c r="B211" s="136" t="str">
        <f>VLOOKUP(A211,'The List'!B1:D730,3,FALSE)</f>
        <v>LW</v>
      </c>
      <c r="C211" s="137">
        <f>IF(Settings!$E$15="POINTS",RANK(E211,E3:E431),H211)</f>
        <v>178</v>
      </c>
      <c r="D211" s="34" t="str">
        <f>VLOOKUP(A211,'The List'!B1:F730,5,FALSE)</f>
        <v>SEA</v>
      </c>
      <c r="E211" s="38">
        <f>VLOOKUP(A211,'The List'!B1:I730,8,FALSE)</f>
        <v>0.99454939407793486</v>
      </c>
      <c r="F211" s="38">
        <f>IF(Settings!$E$15="POINTS",E211-VLOOKUP(B$2,C1:E431,3,FALSE),J211)</f>
        <v>-3.1392776930544555</v>
      </c>
      <c r="G211" s="38"/>
      <c r="H211" s="138">
        <f>RANK(I211,I3:I431)</f>
        <v>178</v>
      </c>
      <c r="I211" s="139">
        <f>VLOOKUP(A211,'Standard Deviations'!A1:C731,3,FALSE)</f>
        <v>0.99454939407793486</v>
      </c>
      <c r="J211" s="139">
        <f>I211-VLOOKUP(B$2,H1:J431,2,FALSE)</f>
        <v>-3.1392776930544555</v>
      </c>
    </row>
    <row r="212" spans="1:10" ht="21.2" customHeight="1">
      <c r="A212" s="8" t="s">
        <v>504</v>
      </c>
      <c r="B212" s="136" t="str">
        <f>VLOOKUP(A212,'The List'!B1:D730,3,FALSE)</f>
        <v>LW</v>
      </c>
      <c r="C212" s="137">
        <f>IF(Settings!$E$15="POINTS",RANK(E212,E3:E431),H212)</f>
        <v>222</v>
      </c>
      <c r="D212" s="34" t="str">
        <f>VLOOKUP(A212,'The List'!B1:F730,5,FALSE)</f>
        <v>WPG</v>
      </c>
      <c r="E212" s="38">
        <f>VLOOKUP(A212,'The List'!B1:I730,8,FALSE)</f>
        <v>-0.15644267709479087</v>
      </c>
      <c r="F212" s="38">
        <f>IF(Settings!$E$15="POINTS",E212-VLOOKUP(B$2,C1:E431,3,FALSE),J212)</f>
        <v>-4.2902697642271814</v>
      </c>
      <c r="G212" s="38"/>
      <c r="H212" s="138">
        <f>RANK(I212,I3:I431)</f>
        <v>222</v>
      </c>
      <c r="I212" s="139">
        <f>VLOOKUP(A212,'Standard Deviations'!A1:C731,3,FALSE)</f>
        <v>-0.15644267709479087</v>
      </c>
      <c r="J212" s="139">
        <f>I212-VLOOKUP(B$2,H1:J431,2,FALSE)</f>
        <v>-4.2902697642271814</v>
      </c>
    </row>
    <row r="213" spans="1:10" ht="21.2" customHeight="1">
      <c r="A213" s="8" t="s">
        <v>508</v>
      </c>
      <c r="B213" s="136" t="str">
        <f>VLOOKUP(A213,'The List'!B1:D730,3,FALSE)</f>
        <v>C,LW</v>
      </c>
      <c r="C213" s="137">
        <f>IF(Settings!$E$15="POINTS",RANK(E213,E3:E431),H213)</f>
        <v>239</v>
      </c>
      <c r="D213" s="34" t="str">
        <f>VLOOKUP(A213,'The List'!B1:F730,5,FALSE)</f>
        <v>TBL</v>
      </c>
      <c r="E213" s="38">
        <f>VLOOKUP(A213,'The List'!B1:I730,8,FALSE)</f>
        <v>-0.61660463984921665</v>
      </c>
      <c r="F213" s="38">
        <f>IF(Settings!$E$15="POINTS",E213-VLOOKUP(B$2,C1:E431,3,FALSE),J213)</f>
        <v>-4.7504317269816072</v>
      </c>
      <c r="G213" s="38"/>
      <c r="H213" s="138">
        <f>RANK(I213,I3:I431)</f>
        <v>239</v>
      </c>
      <c r="I213" s="139">
        <f>VLOOKUP(A213,'Standard Deviations'!A1:C731,3,FALSE)</f>
        <v>-0.61660463984921665</v>
      </c>
      <c r="J213" s="139">
        <f>I213-VLOOKUP(B$2,H1:J431,2,FALSE)</f>
        <v>-4.7504317269816072</v>
      </c>
    </row>
    <row r="214" spans="1:10" ht="21.2" customHeight="1">
      <c r="A214" s="8" t="s">
        <v>456</v>
      </c>
      <c r="B214" s="136" t="str">
        <f>VLOOKUP(A214,'The List'!B1:D730,3,FALSE)</f>
        <v>C,RW</v>
      </c>
      <c r="C214" s="137">
        <f>IF(Settings!$E$15="POINTS",RANK(E214,E3:E431),H214)</f>
        <v>232</v>
      </c>
      <c r="D214" s="34" t="str">
        <f>VLOOKUP(A214,'The List'!B1:F730,5,FALSE)</f>
        <v>SJS</v>
      </c>
      <c r="E214" s="38">
        <f>VLOOKUP(A214,'The List'!B1:I730,8,FALSE)</f>
        <v>-0.45567638894215978</v>
      </c>
      <c r="F214" s="38">
        <f>IF(Settings!$E$15="POINTS",E214-VLOOKUP(B$2,C1:E431,3,FALSE),J214)</f>
        <v>-4.5895034760745501</v>
      </c>
      <c r="G214" s="38"/>
      <c r="H214" s="138">
        <f>RANK(I214,I3:I431)</f>
        <v>232</v>
      </c>
      <c r="I214" s="139">
        <f>VLOOKUP(A214,'Standard Deviations'!A1:C731,3,FALSE)</f>
        <v>-0.45567638894215978</v>
      </c>
      <c r="J214" s="139">
        <f>I214-VLOOKUP(B$2,H1:J431,2,FALSE)</f>
        <v>-4.5895034760745501</v>
      </c>
    </row>
    <row r="215" spans="1:10" ht="21.2" customHeight="1">
      <c r="A215" s="8" t="s">
        <v>547</v>
      </c>
      <c r="B215" s="136" t="str">
        <f>VLOOKUP(A215,'The List'!B1:D730,3,FALSE)</f>
        <v>C</v>
      </c>
      <c r="C215" s="137">
        <f>IF(Settings!$E$15="POINTS",RANK(E215,E3:E431),H215)</f>
        <v>181</v>
      </c>
      <c r="D215" s="34" t="str">
        <f>VLOOKUP(A215,'The List'!B1:F730,5,FALSE)</f>
        <v>MTL</v>
      </c>
      <c r="E215" s="38">
        <f>VLOOKUP(A215,'The List'!B1:I730,8,FALSE)</f>
        <v>0.9445526364336192</v>
      </c>
      <c r="F215" s="38">
        <f>IF(Settings!$E$15="POINTS",E215-VLOOKUP(B$2,C1:E431,3,FALSE),J215)</f>
        <v>-3.1892744506987709</v>
      </c>
      <c r="G215" s="38"/>
      <c r="H215" s="138">
        <f>RANK(I215,I3:I431)</f>
        <v>181</v>
      </c>
      <c r="I215" s="139">
        <f>VLOOKUP(A215,'Standard Deviations'!A1:C731,3,FALSE)</f>
        <v>0.9445526364336192</v>
      </c>
      <c r="J215" s="139">
        <f>I215-VLOOKUP(B$2,H1:J431,2,FALSE)</f>
        <v>-3.1892744506987709</v>
      </c>
    </row>
    <row r="216" spans="1:10" ht="21.2" customHeight="1">
      <c r="A216" s="8" t="s">
        <v>514</v>
      </c>
      <c r="B216" s="136" t="str">
        <f>VLOOKUP(A216,'The List'!B1:D730,3,FALSE)</f>
        <v>LW</v>
      </c>
      <c r="C216" s="137">
        <f>IF(Settings!$E$15="POINTS",RANK(E216,E3:E431),H216)</f>
        <v>206</v>
      </c>
      <c r="D216" s="34" t="str">
        <f>VLOOKUP(A216,'The List'!B1:F730,5,FALSE)</f>
        <v>TOR</v>
      </c>
      <c r="E216" s="38">
        <f>VLOOKUP(A216,'The List'!B1:I730,8,FALSE)</f>
        <v>0.25046725807532122</v>
      </c>
      <c r="F216" s="38">
        <f>IF(Settings!$E$15="POINTS",E216-VLOOKUP(B$2,C1:E431,3,FALSE),J216)</f>
        <v>-3.8833598290570692</v>
      </c>
      <c r="G216" s="38"/>
      <c r="H216" s="138">
        <f>RANK(I216,I3:I431)</f>
        <v>206</v>
      </c>
      <c r="I216" s="139">
        <f>VLOOKUP(A216,'Standard Deviations'!A1:C731,3,FALSE)</f>
        <v>0.25046725807532122</v>
      </c>
      <c r="J216" s="139">
        <f>I216-VLOOKUP(B$2,H1:J431,2,FALSE)</f>
        <v>-3.8833598290570692</v>
      </c>
    </row>
    <row r="217" spans="1:10" ht="21.2" customHeight="1">
      <c r="A217" s="8" t="s">
        <v>516</v>
      </c>
      <c r="B217" s="136" t="str">
        <f>VLOOKUP(A217,'The List'!B1:D730,3,FALSE)</f>
        <v>LW</v>
      </c>
      <c r="C217" s="137">
        <f>IF(Settings!$E$15="POINTS",RANK(E217,E3:E431),H217)</f>
        <v>116</v>
      </c>
      <c r="D217" s="34" t="str">
        <f>VLOOKUP(A217,'The List'!B1:F730,5,FALSE)</f>
        <v>WSH</v>
      </c>
      <c r="E217" s="38">
        <f>VLOOKUP(A217,'The List'!B1:I730,8,FALSE)</f>
        <v>3.5492913929606389</v>
      </c>
      <c r="F217" s="38">
        <f>IF(Settings!$E$15="POINTS",E217-VLOOKUP(B$2,C1:E431,3,FALSE),J217)</f>
        <v>-0.58453569417175144</v>
      </c>
      <c r="G217" s="38"/>
      <c r="H217" s="138">
        <f>RANK(I217,I3:I431)</f>
        <v>116</v>
      </c>
      <c r="I217" s="139">
        <f>VLOOKUP(A217,'Standard Deviations'!A1:C731,3,FALSE)</f>
        <v>3.5492913929606389</v>
      </c>
      <c r="J217" s="139">
        <f>I217-VLOOKUP(B$2,H1:J431,2,FALSE)</f>
        <v>-0.58453569417175144</v>
      </c>
    </row>
    <row r="218" spans="1:10" ht="21.2" customHeight="1">
      <c r="A218" s="8" t="s">
        <v>469</v>
      </c>
      <c r="B218" s="136" t="str">
        <f>VLOOKUP(A218,'The List'!B1:D730,3,FALSE)</f>
        <v>RW</v>
      </c>
      <c r="C218" s="137">
        <f>IF(Settings!$E$15="POINTS",RANK(E218,E3:E431),H218)</f>
        <v>215</v>
      </c>
      <c r="D218" s="34" t="str">
        <f>VLOOKUP(A218,'The List'!B1:F730,5,FALSE)</f>
        <v>NYR</v>
      </c>
      <c r="E218" s="38">
        <f>VLOOKUP(A218,'The List'!B1:I730,8,FALSE)</f>
        <v>6.3786970140292221E-2</v>
      </c>
      <c r="F218" s="38">
        <f>IF(Settings!$E$15="POINTS",E218-VLOOKUP(B$2,C1:E431,3,FALSE),J218)</f>
        <v>-4.0700401169920983</v>
      </c>
      <c r="G218" s="38"/>
      <c r="H218" s="138">
        <f>RANK(I218,I3:I431)</f>
        <v>215</v>
      </c>
      <c r="I218" s="139">
        <f>VLOOKUP(A218,'Standard Deviations'!A1:C731,3,FALSE)</f>
        <v>6.3786970140292221E-2</v>
      </c>
      <c r="J218" s="139">
        <f>I218-VLOOKUP(B$2,H1:J431,2,FALSE)</f>
        <v>-4.0700401169920983</v>
      </c>
    </row>
    <row r="219" spans="1:10" ht="21.2" customHeight="1">
      <c r="A219" s="8" t="s">
        <v>476</v>
      </c>
      <c r="B219" s="136" t="str">
        <f>VLOOKUP(A219,'The List'!B1:D730,3,FALSE)</f>
        <v>LW,RW</v>
      </c>
      <c r="C219" s="137">
        <f>IF(Settings!$E$15="POINTS",RANK(E219,E3:E431),H219)</f>
        <v>227</v>
      </c>
      <c r="D219" s="34" t="str">
        <f>VLOOKUP(A219,'The List'!B1:F730,5,FALSE)</f>
        <v>TBL</v>
      </c>
      <c r="E219" s="38">
        <f>VLOOKUP(A219,'The List'!B1:I730,8,FALSE)</f>
        <v>-0.33858336483851242</v>
      </c>
      <c r="F219" s="38">
        <f>IF(Settings!$E$15="POINTS",E219-VLOOKUP(B$2,C1:E431,3,FALSE),J219)</f>
        <v>-4.4724104519709025</v>
      </c>
      <c r="G219" s="38"/>
      <c r="H219" s="138">
        <f>RANK(I219,I3:I431)</f>
        <v>227</v>
      </c>
      <c r="I219" s="139">
        <f>VLOOKUP(A219,'Standard Deviations'!A1:C731,3,FALSE)</f>
        <v>-0.33858336483851242</v>
      </c>
      <c r="J219" s="139">
        <f>I219-VLOOKUP(B$2,H1:J431,2,FALSE)</f>
        <v>-4.4724104519709025</v>
      </c>
    </row>
    <row r="220" spans="1:10" ht="21.2" customHeight="1">
      <c r="A220" s="8" t="s">
        <v>519</v>
      </c>
      <c r="B220" s="136" t="str">
        <f>VLOOKUP(A220,'The List'!B1:D730,3,FALSE)</f>
        <v>LW</v>
      </c>
      <c r="C220" s="137">
        <f>IF(Settings!$E$15="POINTS",RANK(E220,E3:E431),H220)</f>
        <v>226</v>
      </c>
      <c r="D220" s="34" t="str">
        <f>VLOOKUP(A220,'The List'!B1:F730,5,FALSE)</f>
        <v>NYI</v>
      </c>
      <c r="E220" s="38">
        <f>VLOOKUP(A220,'The List'!B1:I730,8,FALSE)</f>
        <v>-0.29675405518980102</v>
      </c>
      <c r="F220" s="38">
        <f>IF(Settings!$E$15="POINTS",E220-VLOOKUP(B$2,C1:E431,3,FALSE),J220)</f>
        <v>-4.4305811423221915</v>
      </c>
      <c r="G220" s="38"/>
      <c r="H220" s="138">
        <f>RANK(I220,I3:I431)</f>
        <v>226</v>
      </c>
      <c r="I220" s="139">
        <f>VLOOKUP(A220,'Standard Deviations'!A1:C731,3,FALSE)</f>
        <v>-0.29675405518980102</v>
      </c>
      <c r="J220" s="139">
        <f>I220-VLOOKUP(B$2,H1:J431,2,FALSE)</f>
        <v>-4.4305811423221915</v>
      </c>
    </row>
    <row r="221" spans="1:10" ht="21.2" customHeight="1">
      <c r="A221" s="8" t="s">
        <v>558</v>
      </c>
      <c r="B221" s="136" t="str">
        <f>VLOOKUP(A221,'The List'!B1:D730,3,FALSE)</f>
        <v>C</v>
      </c>
      <c r="C221" s="137">
        <f>IF(Settings!$E$15="POINTS",RANK(E221,E3:E431),H221)</f>
        <v>224</v>
      </c>
      <c r="D221" s="34" t="str">
        <f>VLOOKUP(A221,'The List'!B1:F730,5,FALSE)</f>
        <v>BOS</v>
      </c>
      <c r="E221" s="38">
        <f>VLOOKUP(A221,'The List'!B1:I730,8,FALSE)</f>
        <v>-0.22055290184675336</v>
      </c>
      <c r="F221" s="38">
        <f>IF(Settings!$E$15="POINTS",E221-VLOOKUP(B$2,C1:E431,3,FALSE),J221)</f>
        <v>-4.3543799889791437</v>
      </c>
      <c r="G221" s="38"/>
      <c r="H221" s="138">
        <f>RANK(I221,I3:I431)</f>
        <v>224</v>
      </c>
      <c r="I221" s="139">
        <f>VLOOKUP(A221,'Standard Deviations'!A1:C731,3,FALSE)</f>
        <v>-0.22055290184675336</v>
      </c>
      <c r="J221" s="139">
        <f>I221-VLOOKUP(B$2,H1:J431,2,FALSE)</f>
        <v>-4.3543799889791437</v>
      </c>
    </row>
    <row r="222" spans="1:10" ht="21.2" customHeight="1">
      <c r="A222" s="8" t="s">
        <v>522</v>
      </c>
      <c r="B222" s="136" t="str">
        <f>VLOOKUP(A222,'The List'!B1:D730,3,FALSE)</f>
        <v>LW</v>
      </c>
      <c r="C222" s="137">
        <f>IF(Settings!$E$15="POINTS",RANK(E222,E3:E431),H222)</f>
        <v>225</v>
      </c>
      <c r="D222" s="34" t="str">
        <f>VLOOKUP(A222,'The List'!B1:F730,5,FALSE)</f>
        <v>NJD</v>
      </c>
      <c r="E222" s="38">
        <f>VLOOKUP(A222,'The List'!B1:I730,8,FALSE)</f>
        <v>-0.2350076535420573</v>
      </c>
      <c r="F222" s="38">
        <f>IF(Settings!$E$15="POINTS",E222-VLOOKUP(B$2,C1:E431,3,FALSE),J222)</f>
        <v>-4.3688347406744477</v>
      </c>
      <c r="G222" s="38"/>
      <c r="H222" s="138">
        <f>RANK(I222,I3:I431)</f>
        <v>225</v>
      </c>
      <c r="I222" s="139">
        <f>VLOOKUP(A222,'Standard Deviations'!A1:C731,3,FALSE)</f>
        <v>-0.2350076535420573</v>
      </c>
      <c r="J222" s="139">
        <f>I222-VLOOKUP(B$2,H1:J431,2,FALSE)</f>
        <v>-4.3688347406744477</v>
      </c>
    </row>
    <row r="223" spans="1:10" ht="21.2" customHeight="1">
      <c r="A223" s="8" t="s">
        <v>479</v>
      </c>
      <c r="B223" s="136" t="str">
        <f>VLOOKUP(A223,'The List'!B1:D730,3,FALSE)</f>
        <v>LW,RW</v>
      </c>
      <c r="C223" s="137">
        <f>IF(Settings!$E$15="POINTS",RANK(E223,E3:E431),H223)</f>
        <v>237</v>
      </c>
      <c r="D223" s="34" t="str">
        <f>VLOOKUP(A223,'The List'!B1:F730,5,FALSE)</f>
        <v>UFA</v>
      </c>
      <c r="E223" s="38">
        <f>VLOOKUP(A223,'The List'!B1:I730,8,FALSE)</f>
        <v>-0.58358225361903582</v>
      </c>
      <c r="F223" s="38">
        <f>IF(Settings!$E$15="POINTS",E223-VLOOKUP(B$2,C1:E431,3,FALSE),J223)</f>
        <v>-4.7174093407514262</v>
      </c>
      <c r="G223" s="38"/>
      <c r="H223" s="138">
        <f>RANK(I223,I3:I431)</f>
        <v>237</v>
      </c>
      <c r="I223" s="139">
        <f>VLOOKUP(A223,'Standard Deviations'!A1:C731,3,FALSE)</f>
        <v>-0.58358225361903582</v>
      </c>
      <c r="J223" s="139">
        <f>I223-VLOOKUP(B$2,H1:J431,2,FALSE)</f>
        <v>-4.7174093407514262</v>
      </c>
    </row>
    <row r="224" spans="1:10" ht="21.2" customHeight="1">
      <c r="A224" s="8" t="s">
        <v>524</v>
      </c>
      <c r="B224" s="136" t="str">
        <f>VLOOKUP(A224,'The List'!B1:D730,3,FALSE)</f>
        <v>C,LW</v>
      </c>
      <c r="C224" s="137">
        <f>IF(Settings!$E$15="POINTS",RANK(E224,E3:E431),H224)</f>
        <v>251</v>
      </c>
      <c r="D224" s="34" t="str">
        <f>VLOOKUP(A224,'The List'!B1:F730,5,FALSE)</f>
        <v>NJD</v>
      </c>
      <c r="E224" s="38">
        <f>VLOOKUP(A224,'The List'!B1:I730,8,FALSE)</f>
        <v>-1.019823560471314</v>
      </c>
      <c r="F224" s="38">
        <f>IF(Settings!$E$15="POINTS",E224-VLOOKUP(B$2,C1:E431,3,FALSE),J224)</f>
        <v>-5.1536506476037047</v>
      </c>
      <c r="G224" s="38"/>
      <c r="H224" s="138">
        <f>RANK(I224,I3:I431)</f>
        <v>251</v>
      </c>
      <c r="I224" s="139">
        <f>VLOOKUP(A224,'Standard Deviations'!A1:C731,3,FALSE)</f>
        <v>-1.019823560471314</v>
      </c>
      <c r="J224" s="139">
        <f>I224-VLOOKUP(B$2,H1:J431,2,FALSE)</f>
        <v>-5.1536506476037047</v>
      </c>
    </row>
    <row r="225" spans="1:10" ht="21.2" customHeight="1">
      <c r="A225" s="8" t="s">
        <v>482</v>
      </c>
      <c r="B225" s="136" t="str">
        <f>VLOOKUP(A225,'The List'!B1:D730,3,FALSE)</f>
        <v>LW,RW</v>
      </c>
      <c r="C225" s="137">
        <f>IF(Settings!$E$15="POINTS",RANK(E225,E3:E431),H225)</f>
        <v>214</v>
      </c>
      <c r="D225" s="34" t="str">
        <f>VLOOKUP(A225,'The List'!B1:F730,5,FALSE)</f>
        <v>SEA</v>
      </c>
      <c r="E225" s="38">
        <f>VLOOKUP(A225,'The List'!B1:I730,8,FALSE)</f>
        <v>8.3463200993936656E-2</v>
      </c>
      <c r="F225" s="38">
        <f>IF(Settings!$E$15="POINTS",E225-VLOOKUP(B$2,C1:E431,3,FALSE),J225)</f>
        <v>-4.0503638861384541</v>
      </c>
      <c r="G225" s="38"/>
      <c r="H225" s="138">
        <f>RANK(I225,I3:I431)</f>
        <v>214</v>
      </c>
      <c r="I225" s="139">
        <f>VLOOKUP(A225,'Standard Deviations'!A1:C731,3,FALSE)</f>
        <v>8.3463200993936656E-2</v>
      </c>
      <c r="J225" s="139">
        <f>I225-VLOOKUP(B$2,H1:J431,2,FALSE)</f>
        <v>-4.0503638861384541</v>
      </c>
    </row>
    <row r="226" spans="1:10" ht="21.2" customHeight="1">
      <c r="A226" s="8" t="s">
        <v>530</v>
      </c>
      <c r="B226" s="136" t="str">
        <f>VLOOKUP(A226,'The List'!B1:D730,3,FALSE)</f>
        <v>C,LW</v>
      </c>
      <c r="C226" s="137">
        <f>IF(Settings!$E$15="POINTS",RANK(E226,E3:E431),H226)</f>
        <v>236</v>
      </c>
      <c r="D226" s="34" t="str">
        <f>VLOOKUP(A226,'The List'!B1:F730,5,FALSE)</f>
        <v>MTL</v>
      </c>
      <c r="E226" s="38">
        <f>VLOOKUP(A226,'The List'!B1:I730,8,FALSE)</f>
        <v>-0.53744927351401883</v>
      </c>
      <c r="F226" s="38">
        <f>IF(Settings!$E$15="POINTS",E226-VLOOKUP(B$2,C1:E431,3,FALSE),J226)</f>
        <v>-4.6712763606464094</v>
      </c>
      <c r="G226" s="38"/>
      <c r="H226" s="138">
        <f>RANK(I226,I3:I431)</f>
        <v>236</v>
      </c>
      <c r="I226" s="139">
        <f>VLOOKUP(A226,'Standard Deviations'!A1:C731,3,FALSE)</f>
        <v>-0.53744927351401883</v>
      </c>
      <c r="J226" s="139">
        <f>I226-VLOOKUP(B$2,H1:J431,2,FALSE)</f>
        <v>-4.6712763606464094</v>
      </c>
    </row>
    <row r="227" spans="1:10" ht="21.2" customHeight="1">
      <c r="A227" s="8" t="s">
        <v>489</v>
      </c>
      <c r="B227" s="136" t="str">
        <f>VLOOKUP(A227,'The List'!B1:D730,3,FALSE)</f>
        <v>C,RW</v>
      </c>
      <c r="C227" s="137">
        <f>IF(Settings!$E$15="POINTS",RANK(E227,E3:E431),H227)</f>
        <v>200</v>
      </c>
      <c r="D227" s="34" t="str">
        <f>VLOOKUP(A227,'The List'!B1:F730,5,FALSE)</f>
        <v>CHI</v>
      </c>
      <c r="E227" s="38">
        <f>VLOOKUP(A227,'The List'!B1:I730,8,FALSE)</f>
        <v>0.43438929329162029</v>
      </c>
      <c r="F227" s="38">
        <f>IF(Settings!$E$15="POINTS",E227-VLOOKUP(B$2,C1:E431,3,FALSE),J227)</f>
        <v>-3.6994377938407701</v>
      </c>
      <c r="G227" s="38"/>
      <c r="H227" s="138">
        <f>RANK(I227,I3:I431)</f>
        <v>200</v>
      </c>
      <c r="I227" s="139">
        <f>VLOOKUP(A227,'Standard Deviations'!A1:C731,3,FALSE)</f>
        <v>0.43438929329162029</v>
      </c>
      <c r="J227" s="139">
        <f>I227-VLOOKUP(B$2,H1:J431,2,FALSE)</f>
        <v>-3.6994377938407701</v>
      </c>
    </row>
    <row r="228" spans="1:10" ht="21.2" customHeight="1">
      <c r="A228" s="8" t="s">
        <v>490</v>
      </c>
      <c r="B228" s="136" t="str">
        <f>VLOOKUP(A228,'The List'!B1:D730,3,FALSE)</f>
        <v>C,RW</v>
      </c>
      <c r="C228" s="137">
        <f>IF(Settings!$E$15="POINTS",RANK(E228,E3:E431),H228)</f>
        <v>241</v>
      </c>
      <c r="D228" s="34" t="str">
        <f>VLOOKUP(A228,'The List'!B1:F730,5,FALSE)</f>
        <v>MIN</v>
      </c>
      <c r="E228" s="38">
        <f>VLOOKUP(A228,'The List'!B1:I730,8,FALSE)</f>
        <v>-0.66902699317565273</v>
      </c>
      <c r="F228" s="38">
        <f>IF(Settings!$E$15="POINTS",E228-VLOOKUP(B$2,C1:E431,3,FALSE),J228)</f>
        <v>-4.8028540803080428</v>
      </c>
      <c r="G228" s="38"/>
      <c r="H228" s="138">
        <f>RANK(I228,I3:I431)</f>
        <v>241</v>
      </c>
      <c r="I228" s="139">
        <f>VLOOKUP(A228,'Standard Deviations'!A1:C731,3,FALSE)</f>
        <v>-0.66902699317565273</v>
      </c>
      <c r="J228" s="139">
        <f>I228-VLOOKUP(B$2,H1:J431,2,FALSE)</f>
        <v>-4.8028540803080428</v>
      </c>
    </row>
    <row r="229" spans="1:10" ht="21.2" customHeight="1">
      <c r="A229" s="8" t="s">
        <v>502</v>
      </c>
      <c r="B229" s="136" t="str">
        <f>VLOOKUP(A229,'The List'!B1:D730,3,FALSE)</f>
        <v>RW</v>
      </c>
      <c r="C229" s="137">
        <f>IF(Settings!$E$15="POINTS",RANK(E229,E3:E431),H229)</f>
        <v>233</v>
      </c>
      <c r="D229" s="34" t="str">
        <f>VLOOKUP(A229,'The List'!B1:F730,5,FALSE)</f>
        <v>STL</v>
      </c>
      <c r="E229" s="38">
        <f>VLOOKUP(A229,'The List'!B1:I730,8,FALSE)</f>
        <v>-0.45919423271548199</v>
      </c>
      <c r="F229" s="38">
        <f>IF(Settings!$E$15="POINTS",E229-VLOOKUP(B$2,C1:E431,3,FALSE),J229)</f>
        <v>-4.593021319847872</v>
      </c>
      <c r="G229" s="38"/>
      <c r="H229" s="138">
        <f>RANK(I229,I3:I431)</f>
        <v>233</v>
      </c>
      <c r="I229" s="139">
        <f>VLOOKUP(A229,'Standard Deviations'!A1:C731,3,FALSE)</f>
        <v>-0.45919423271548199</v>
      </c>
      <c r="J229" s="139">
        <f>I229-VLOOKUP(B$2,H1:J431,2,FALSE)</f>
        <v>-4.593021319847872</v>
      </c>
    </row>
    <row r="230" spans="1:10" ht="21.2" customHeight="1">
      <c r="A230" s="8" t="s">
        <v>535</v>
      </c>
      <c r="B230" s="136" t="str">
        <f>VLOOKUP(A230,'The List'!B1:D730,3,FALSE)</f>
        <v>C,LW</v>
      </c>
      <c r="C230" s="137">
        <f>IF(Settings!$E$15="POINTS",RANK(E230,E3:E431),H230)</f>
        <v>234</v>
      </c>
      <c r="D230" s="34" t="str">
        <f>VLOOKUP(A230,'The List'!B1:F730,5,FALSE)</f>
        <v>MIN</v>
      </c>
      <c r="E230" s="38">
        <f>VLOOKUP(A230,'The List'!B1:I730,8,FALSE)</f>
        <v>-0.45957490357577924</v>
      </c>
      <c r="F230" s="38">
        <f>IF(Settings!$E$15="POINTS",E230-VLOOKUP(B$2,C1:E431,3,FALSE),J230)</f>
        <v>-4.5934019907081698</v>
      </c>
      <c r="G230" s="38"/>
      <c r="H230" s="138">
        <f>RANK(I230,I3:I431)</f>
        <v>234</v>
      </c>
      <c r="I230" s="139">
        <f>VLOOKUP(A230,'Standard Deviations'!A1:C731,3,FALSE)</f>
        <v>-0.45957490357577924</v>
      </c>
      <c r="J230" s="139">
        <f>I230-VLOOKUP(B$2,H1:J431,2,FALSE)</f>
        <v>-4.5934019907081698</v>
      </c>
    </row>
    <row r="231" spans="1:10" ht="21.2" customHeight="1">
      <c r="A231" s="8" t="s">
        <v>537</v>
      </c>
      <c r="B231" s="136" t="str">
        <f>VLOOKUP(A231,'The List'!B1:D730,3,FALSE)</f>
        <v>C,LW</v>
      </c>
      <c r="C231" s="137">
        <f>IF(Settings!$E$15="POINTS",RANK(E231,E3:E431),H231)</f>
        <v>208</v>
      </c>
      <c r="D231" s="34" t="str">
        <f>VLOOKUP(A231,'The List'!B1:F730,5,FALSE)</f>
        <v>NSH</v>
      </c>
      <c r="E231" s="38">
        <f>VLOOKUP(A231,'The List'!B1:I730,8,FALSE)</f>
        <v>0.20281027208889657</v>
      </c>
      <c r="F231" s="38">
        <f>IF(Settings!$E$15="POINTS",E231-VLOOKUP(B$2,C1:E431,3,FALSE),J231)</f>
        <v>-3.9310168150434937</v>
      </c>
      <c r="G231" s="38"/>
      <c r="H231" s="138">
        <f>RANK(I231,I3:I431)</f>
        <v>208</v>
      </c>
      <c r="I231" s="139">
        <f>VLOOKUP(A231,'Standard Deviations'!A1:C731,3,FALSE)</f>
        <v>0.20281027208889657</v>
      </c>
      <c r="J231" s="139">
        <f>I231-VLOOKUP(B$2,H1:J431,2,FALSE)</f>
        <v>-3.9310168150434937</v>
      </c>
    </row>
    <row r="232" spans="1:10" ht="21.2" customHeight="1">
      <c r="A232" s="8" t="s">
        <v>578</v>
      </c>
      <c r="B232" s="136" t="str">
        <f>VLOOKUP(A232,'The List'!B1:D730,3,FALSE)</f>
        <v>C</v>
      </c>
      <c r="C232" s="137">
        <f>IF(Settings!$E$15="POINTS",RANK(E232,E3:E431),H232)</f>
        <v>184</v>
      </c>
      <c r="D232" s="34" t="str">
        <f>VLOOKUP(A232,'The List'!B1:F730,5,FALSE)</f>
        <v>ANA</v>
      </c>
      <c r="E232" s="38">
        <f>VLOOKUP(A232,'The List'!B1:I730,8,FALSE)</f>
        <v>0.83653038406221181</v>
      </c>
      <c r="F232" s="38">
        <f>IF(Settings!$E$15="POINTS",E232-VLOOKUP(B$2,C1:E431,3,FALSE),J232)</f>
        <v>-3.2972967030701783</v>
      </c>
      <c r="G232" s="38"/>
      <c r="H232" s="138">
        <f>RANK(I232,I3:I431)</f>
        <v>184</v>
      </c>
      <c r="I232" s="139">
        <f>VLOOKUP(A232,'Standard Deviations'!A1:C731,3,FALSE)</f>
        <v>0.83653038406221181</v>
      </c>
      <c r="J232" s="139">
        <f>I232-VLOOKUP(B$2,H1:J431,2,FALSE)</f>
        <v>-3.2972967030701783</v>
      </c>
    </row>
    <row r="233" spans="1:10" ht="21.2" customHeight="1">
      <c r="A233" s="8" t="s">
        <v>544</v>
      </c>
      <c r="B233" s="136" t="str">
        <f>VLOOKUP(A233,'The List'!B1:D730,3,FALSE)</f>
        <v>C,LW</v>
      </c>
      <c r="C233" s="137">
        <f>IF(Settings!$E$15="POINTS",RANK(E233,E3:E431),H233)</f>
        <v>130</v>
      </c>
      <c r="D233" s="34" t="str">
        <f>VLOOKUP(A233,'The List'!B1:F730,5,FALSE)</f>
        <v>SJS</v>
      </c>
      <c r="E233" s="38">
        <f>VLOOKUP(A233,'The List'!B1:I730,8,FALSE)</f>
        <v>2.8686888003324329</v>
      </c>
      <c r="F233" s="38">
        <f>IF(Settings!$E$15="POINTS",E233-VLOOKUP(B$2,C1:E431,3,FALSE),J233)</f>
        <v>-1.2651382867999574</v>
      </c>
      <c r="G233" s="38"/>
      <c r="H233" s="138">
        <f>RANK(I233,I3:I431)</f>
        <v>130</v>
      </c>
      <c r="I233" s="139">
        <f>VLOOKUP(A233,'Standard Deviations'!A1:C731,3,FALSE)</f>
        <v>2.8686888003324329</v>
      </c>
      <c r="J233" s="139">
        <f>I233-VLOOKUP(B$2,H1:J431,2,FALSE)</f>
        <v>-1.2651382867999574</v>
      </c>
    </row>
    <row r="234" spans="1:10" ht="21.2" customHeight="1">
      <c r="A234" s="8" t="s">
        <v>545</v>
      </c>
      <c r="B234" s="136" t="str">
        <f>VLOOKUP(A234,'The List'!B1:D730,3,FALSE)</f>
        <v>LW</v>
      </c>
      <c r="C234" s="137">
        <f>IF(Settings!$E$15="POINTS",RANK(E234,E3:E431),H234)</f>
        <v>210</v>
      </c>
      <c r="D234" s="34" t="str">
        <f>VLOOKUP(A234,'The List'!B1:F730,5,FALSE)</f>
        <v>MTL</v>
      </c>
      <c r="E234" s="38">
        <f>VLOOKUP(A234,'The List'!B1:I730,8,FALSE)</f>
        <v>0.17106985975741568</v>
      </c>
      <c r="F234" s="38">
        <f>IF(Settings!$E$15="POINTS",E234-VLOOKUP(B$2,C1:E431,3,FALSE),J234)</f>
        <v>-3.9627572273749747</v>
      </c>
      <c r="G234" s="38"/>
      <c r="H234" s="138">
        <f>RANK(I234,I3:I431)</f>
        <v>210</v>
      </c>
      <c r="I234" s="139">
        <f>VLOOKUP(A234,'Standard Deviations'!A1:C731,3,FALSE)</f>
        <v>0.17106985975741568</v>
      </c>
      <c r="J234" s="139">
        <f>I234-VLOOKUP(B$2,H1:J431,2,FALSE)</f>
        <v>-3.9627572273749747</v>
      </c>
    </row>
    <row r="235" spans="1:10" ht="21.2" customHeight="1">
      <c r="A235" s="8" t="s">
        <v>581</v>
      </c>
      <c r="B235" s="136" t="str">
        <f>VLOOKUP(A235,'The List'!B1:D730,3,FALSE)</f>
        <v>C</v>
      </c>
      <c r="C235" s="137">
        <f>IF(Settings!$E$15="POINTS",RANK(E235,E3:E431),H235)</f>
        <v>257</v>
      </c>
      <c r="D235" s="34" t="str">
        <f>VLOOKUP(A235,'The List'!B1:F730,5,FALSE)</f>
        <v>SEA</v>
      </c>
      <c r="E235" s="38">
        <f>VLOOKUP(A235,'The List'!B1:I730,8,FALSE)</f>
        <v>-1.2114554687468193</v>
      </c>
      <c r="F235" s="38">
        <f>IF(Settings!$E$15="POINTS",E235-VLOOKUP(B$2,C1:E431,3,FALSE),J235)</f>
        <v>-5.3452825558792094</v>
      </c>
      <c r="G235" s="38"/>
      <c r="H235" s="138">
        <f>RANK(I235,I3:I431)</f>
        <v>257</v>
      </c>
      <c r="I235" s="139">
        <f>VLOOKUP(A235,'Standard Deviations'!A1:C731,3,FALSE)</f>
        <v>-1.2114554687468193</v>
      </c>
      <c r="J235" s="139">
        <f>I235-VLOOKUP(B$2,H1:J431,2,FALSE)</f>
        <v>-5.3452825558792094</v>
      </c>
    </row>
    <row r="236" spans="1:10" ht="21.2" customHeight="1">
      <c r="A236" s="8" t="s">
        <v>549</v>
      </c>
      <c r="B236" s="136" t="str">
        <f>VLOOKUP(A236,'The List'!B1:D730,3,FALSE)</f>
        <v>C,LW</v>
      </c>
      <c r="C236" s="137">
        <f>IF(Settings!$E$15="POINTS",RANK(E236,E3:E431),H236)</f>
        <v>245</v>
      </c>
      <c r="D236" s="34" t="str">
        <f>VLOOKUP(A236,'The List'!B1:F730,5,FALSE)</f>
        <v>DET</v>
      </c>
      <c r="E236" s="38">
        <f>VLOOKUP(A236,'The List'!B1:I730,8,FALSE)</f>
        <v>-0.81291100340845635</v>
      </c>
      <c r="F236" s="38">
        <f>IF(Settings!$E$15="POINTS",E236-VLOOKUP(B$2,C1:E431,3,FALSE),J236)</f>
        <v>-4.9467380905408467</v>
      </c>
      <c r="G236" s="38"/>
      <c r="H236" s="138">
        <f>RANK(I236,I3:I431)</f>
        <v>245</v>
      </c>
      <c r="I236" s="139">
        <f>VLOOKUP(A236,'Standard Deviations'!A1:C731,3,FALSE)</f>
        <v>-0.81291100340845635</v>
      </c>
      <c r="J236" s="139">
        <f>I236-VLOOKUP(B$2,H1:J431,2,FALSE)</f>
        <v>-4.9467380905408467</v>
      </c>
    </row>
    <row r="237" spans="1:10" ht="21.2" customHeight="1">
      <c r="A237" s="8" t="s">
        <v>511</v>
      </c>
      <c r="B237" s="136" t="str">
        <f>VLOOKUP(A237,'The List'!B1:D730,3,FALSE)</f>
        <v>RW</v>
      </c>
      <c r="C237" s="137">
        <f>IF(Settings!$E$15="POINTS",RANK(E237,E3:E431),H237)</f>
        <v>254</v>
      </c>
      <c r="D237" s="34" t="str">
        <f>VLOOKUP(A237,'The List'!B1:F730,5,FALSE)</f>
        <v>UFA</v>
      </c>
      <c r="E237" s="38">
        <f>VLOOKUP(A237,'The List'!B1:I730,8,FALSE)</f>
        <v>-1.1604946930148943</v>
      </c>
      <c r="F237" s="38">
        <f>IF(Settings!$E$15="POINTS",E237-VLOOKUP(B$2,C1:E431,3,FALSE),J237)</f>
        <v>-5.2943217801472846</v>
      </c>
      <c r="G237" s="38"/>
      <c r="H237" s="138">
        <f>RANK(I237,I3:I431)</f>
        <v>254</v>
      </c>
      <c r="I237" s="139">
        <f>VLOOKUP(A237,'Standard Deviations'!A1:C731,3,FALSE)</f>
        <v>-1.1604946930148943</v>
      </c>
      <c r="J237" s="139">
        <f>I237-VLOOKUP(B$2,H1:J431,2,FALSE)</f>
        <v>-5.2943217801472846</v>
      </c>
    </row>
    <row r="238" spans="1:10" ht="21.2" customHeight="1">
      <c r="A238" s="8" t="s">
        <v>555</v>
      </c>
      <c r="B238" s="136" t="str">
        <f>VLOOKUP(A238,'The List'!B1:D730,3,FALSE)</f>
        <v>LW</v>
      </c>
      <c r="C238" s="137">
        <f>IF(Settings!$E$15="POINTS",RANK(E238,E3:E431),H238)</f>
        <v>228</v>
      </c>
      <c r="D238" s="34" t="str">
        <f>VLOOKUP(A238,'The List'!B1:F730,5,FALSE)</f>
        <v>DAL</v>
      </c>
      <c r="E238" s="38">
        <f>VLOOKUP(A238,'The List'!B1:I730,8,FALSE)</f>
        <v>-0.35417527889976352</v>
      </c>
      <c r="F238" s="38">
        <f>IF(Settings!$E$15="POINTS",E238-VLOOKUP(B$2,C1:E431,3,FALSE),J238)</f>
        <v>-4.4880023660321537</v>
      </c>
      <c r="G238" s="38"/>
      <c r="H238" s="138">
        <f>RANK(I238,I3:I431)</f>
        <v>228</v>
      </c>
      <c r="I238" s="139">
        <f>VLOOKUP(A238,'Standard Deviations'!A1:C731,3,FALSE)</f>
        <v>-0.35417527889976352</v>
      </c>
      <c r="J238" s="139">
        <f>I238-VLOOKUP(B$2,H1:J431,2,FALSE)</f>
        <v>-4.4880023660321537</v>
      </c>
    </row>
    <row r="239" spans="1:10" ht="21.2" customHeight="1">
      <c r="A239" s="8" t="s">
        <v>523</v>
      </c>
      <c r="B239" s="136" t="str">
        <f>VLOOKUP(A239,'The List'!B1:D730,3,FALSE)</f>
        <v>RW</v>
      </c>
      <c r="C239" s="137">
        <f>IF(Settings!$E$15="POINTS",RANK(E239,E3:E431),H239)</f>
        <v>221</v>
      </c>
      <c r="D239" s="34" t="str">
        <f>VLOOKUP(A239,'The List'!B1:F730,5,FALSE)</f>
        <v>EDM</v>
      </c>
      <c r="E239" s="38">
        <f>VLOOKUP(A239,'The List'!B1:I730,8,FALSE)</f>
        <v>-0.14262814300211948</v>
      </c>
      <c r="F239" s="38">
        <f>IF(Settings!$E$15="POINTS",E239-VLOOKUP(B$2,C1:E431,3,FALSE),J239)</f>
        <v>-4.27645523013451</v>
      </c>
      <c r="G239" s="38"/>
      <c r="H239" s="138">
        <f>RANK(I239,I3:I431)</f>
        <v>221</v>
      </c>
      <c r="I239" s="139">
        <f>VLOOKUP(A239,'Standard Deviations'!A1:C731,3,FALSE)</f>
        <v>-0.14262814300211948</v>
      </c>
      <c r="J239" s="139">
        <f>I239-VLOOKUP(B$2,H1:J431,2,FALSE)</f>
        <v>-4.27645523013451</v>
      </c>
    </row>
    <row r="240" spans="1:10" ht="21.2" customHeight="1">
      <c r="A240" s="8" t="s">
        <v>528</v>
      </c>
      <c r="B240" s="136" t="str">
        <f>VLOOKUP(A240,'The List'!B1:D730,3,FALSE)</f>
        <v>RW</v>
      </c>
      <c r="C240" s="137">
        <f>IF(Settings!$E$15="POINTS",RANK(E240,E3:E431),H240)</f>
        <v>220</v>
      </c>
      <c r="D240" s="34" t="str">
        <f>VLOOKUP(A240,'The List'!B1:F730,5,FALSE)</f>
        <v>LAK</v>
      </c>
      <c r="E240" s="38">
        <f>VLOOKUP(A240,'The List'!B1:I730,8,FALSE)</f>
        <v>-0.11558295116524991</v>
      </c>
      <c r="F240" s="38">
        <f>IF(Settings!$E$15="POINTS",E240-VLOOKUP(B$2,C1:E431,3,FALSE),J240)</f>
        <v>-4.2494100382976399</v>
      </c>
      <c r="G240" s="38"/>
      <c r="H240" s="138">
        <f>RANK(I240,I3:I431)</f>
        <v>220</v>
      </c>
      <c r="I240" s="139">
        <f>VLOOKUP(A240,'Standard Deviations'!A1:C731,3,FALSE)</f>
        <v>-0.11558295116524991</v>
      </c>
      <c r="J240" s="139">
        <f>I240-VLOOKUP(B$2,H1:J431,2,FALSE)</f>
        <v>-4.2494100382976399</v>
      </c>
    </row>
    <row r="241" spans="1:10" ht="21.2" customHeight="1">
      <c r="A241" s="8" t="s">
        <v>566</v>
      </c>
      <c r="B241" s="136" t="str">
        <f>VLOOKUP(A241,'The List'!B1:D730,3,FALSE)</f>
        <v>C,LW</v>
      </c>
      <c r="C241" s="137">
        <f>IF(Settings!$E$15="POINTS",RANK(E241,E3:E431),H241)</f>
        <v>253</v>
      </c>
      <c r="D241" s="34" t="str">
        <f>VLOOKUP(A241,'The List'!B1:F730,5,FALSE)</f>
        <v>CHI</v>
      </c>
      <c r="E241" s="38">
        <f>VLOOKUP(A241,'The List'!B1:I730,8,FALSE)</f>
        <v>-1.0716259602279634</v>
      </c>
      <c r="F241" s="38">
        <f>IF(Settings!$E$15="POINTS",E241-VLOOKUP(B$2,C1:E431,3,FALSE),J241)</f>
        <v>-5.2054530473603542</v>
      </c>
      <c r="G241" s="38"/>
      <c r="H241" s="138">
        <f>RANK(I241,I3:I431)</f>
        <v>253</v>
      </c>
      <c r="I241" s="139">
        <f>VLOOKUP(A241,'Standard Deviations'!A1:C731,3,FALSE)</f>
        <v>-1.0716259602279634</v>
      </c>
      <c r="J241" s="139">
        <f>I241-VLOOKUP(B$2,H1:J431,2,FALSE)</f>
        <v>-5.2054530473603542</v>
      </c>
    </row>
    <row r="242" spans="1:10" ht="21.2" customHeight="1">
      <c r="A242" s="8" t="s">
        <v>567</v>
      </c>
      <c r="B242" s="136" t="str">
        <f>VLOOKUP(A242,'The List'!B1:D730,3,FALSE)</f>
        <v>LW</v>
      </c>
      <c r="C242" s="137">
        <f>IF(Settings!$E$15="POINTS",RANK(E242,E3:E431),H242)</f>
        <v>266</v>
      </c>
      <c r="D242" s="34" t="str">
        <f>VLOOKUP(A242,'The List'!B1:F730,5,FALSE)</f>
        <v>UFA</v>
      </c>
      <c r="E242" s="38">
        <f>VLOOKUP(A242,'The List'!B1:I730,8,FALSE)</f>
        <v>-1.4860261729660267</v>
      </c>
      <c r="F242" s="38">
        <f>IF(Settings!$E$15="POINTS",E242-VLOOKUP(B$2,C1:E431,3,FALSE),J242)</f>
        <v>-5.6198532600984166</v>
      </c>
      <c r="G242" s="38"/>
      <c r="H242" s="138">
        <f>RANK(I242,I3:I431)</f>
        <v>266</v>
      </c>
      <c r="I242" s="139">
        <f>VLOOKUP(A242,'Standard Deviations'!A1:C731,3,FALSE)</f>
        <v>-1.4860261729660267</v>
      </c>
      <c r="J242" s="139">
        <f>I242-VLOOKUP(B$2,H1:J431,2,FALSE)</f>
        <v>-5.6198532600984166</v>
      </c>
    </row>
    <row r="243" spans="1:10" ht="21.2" customHeight="1">
      <c r="A243" s="8" t="s">
        <v>568</v>
      </c>
      <c r="B243" s="136" t="str">
        <f>VLOOKUP(A243,'The List'!B1:D730,3,FALSE)</f>
        <v>C,LW</v>
      </c>
      <c r="C243" s="137">
        <f>IF(Settings!$E$15="POINTS",RANK(E243,E3:E431),H243)</f>
        <v>264</v>
      </c>
      <c r="D243" s="34" t="str">
        <f>VLOOKUP(A243,'The List'!B1:F730,5,FALSE)</f>
        <v>FLA</v>
      </c>
      <c r="E243" s="38">
        <f>VLOOKUP(A243,'The List'!B1:I730,8,FALSE)</f>
        <v>-1.4557264403666692</v>
      </c>
      <c r="F243" s="38">
        <f>IF(Settings!$E$15="POINTS",E243-VLOOKUP(B$2,C1:E431,3,FALSE),J243)</f>
        <v>-5.58955352749906</v>
      </c>
      <c r="G243" s="38"/>
      <c r="H243" s="138">
        <f>RANK(I243,I3:I431)</f>
        <v>264</v>
      </c>
      <c r="I243" s="139">
        <f>VLOOKUP(A243,'Standard Deviations'!A1:C731,3,FALSE)</f>
        <v>-1.4557264403666692</v>
      </c>
      <c r="J243" s="139">
        <f>I243-VLOOKUP(B$2,H1:J431,2,FALSE)</f>
        <v>-5.58955352749906</v>
      </c>
    </row>
    <row r="244" spans="1:10" ht="21.2" customHeight="1">
      <c r="A244" s="8" t="s">
        <v>531</v>
      </c>
      <c r="B244" s="136" t="str">
        <f>VLOOKUP(A244,'The List'!B1:D730,3,FALSE)</f>
        <v>LW,RW</v>
      </c>
      <c r="C244" s="137">
        <f>IF(Settings!$E$15="POINTS",RANK(E244,E3:E431),H244)</f>
        <v>244</v>
      </c>
      <c r="D244" s="34" t="str">
        <f>VLOOKUP(A244,'The List'!B1:F730,5,FALSE)</f>
        <v>BUF</v>
      </c>
      <c r="E244" s="38">
        <f>VLOOKUP(A244,'The List'!B1:I730,8,FALSE)</f>
        <v>-0.81107950820774932</v>
      </c>
      <c r="F244" s="38">
        <f>IF(Settings!$E$15="POINTS",E244-VLOOKUP(B$2,C1:E431,3,FALSE),J244)</f>
        <v>-4.9449065953401394</v>
      </c>
      <c r="G244" s="38"/>
      <c r="H244" s="138">
        <f>RANK(I244,I3:I431)</f>
        <v>244</v>
      </c>
      <c r="I244" s="139">
        <f>VLOOKUP(A244,'Standard Deviations'!A1:C731,3,FALSE)</f>
        <v>-0.81107950820774932</v>
      </c>
      <c r="J244" s="139">
        <f>I244-VLOOKUP(B$2,H1:J431,2,FALSE)</f>
        <v>-4.9449065953401394</v>
      </c>
    </row>
    <row r="245" spans="1:10" ht="21.2" customHeight="1">
      <c r="A245" s="8" t="s">
        <v>572</v>
      </c>
      <c r="B245" s="136" t="str">
        <f>VLOOKUP(A245,'The List'!B1:D730,3,FALSE)</f>
        <v>C,LW</v>
      </c>
      <c r="C245" s="137">
        <f>IF(Settings!$E$15="POINTS",RANK(E245,E3:E431),H245)</f>
        <v>276</v>
      </c>
      <c r="D245" s="34" t="str">
        <f>VLOOKUP(A245,'The List'!B1:F730,5,FALSE)</f>
        <v>ARI</v>
      </c>
      <c r="E245" s="38">
        <f>VLOOKUP(A245,'The List'!B1:I730,8,FALSE)</f>
        <v>-1.8563214884583716</v>
      </c>
      <c r="F245" s="38">
        <f>IF(Settings!$E$15="POINTS",E245-VLOOKUP(B$2,C1:E431,3,FALSE),J245)</f>
        <v>-5.9901485755907622</v>
      </c>
      <c r="G245" s="38"/>
      <c r="H245" s="138">
        <f>RANK(I245,I3:I431)</f>
        <v>276</v>
      </c>
      <c r="I245" s="139">
        <f>VLOOKUP(A245,'Standard Deviations'!A1:C731,3,FALSE)</f>
        <v>-1.8563214884583716</v>
      </c>
      <c r="J245" s="139">
        <f>I245-VLOOKUP(B$2,H1:J431,2,FALSE)</f>
        <v>-5.9901485755907622</v>
      </c>
    </row>
    <row r="246" spans="1:10" ht="21.2" customHeight="1">
      <c r="A246" s="8" t="s">
        <v>538</v>
      </c>
      <c r="B246" s="136" t="str">
        <f>VLOOKUP(A246,'The List'!B1:D730,3,FALSE)</f>
        <v>RW</v>
      </c>
      <c r="C246" s="137">
        <f>IF(Settings!$E$15="POINTS",RANK(E246,E3:E431),H246)</f>
        <v>268</v>
      </c>
      <c r="D246" s="34" t="str">
        <f>VLOOKUP(A246,'The List'!B1:F730,5,FALSE)</f>
        <v>DAL</v>
      </c>
      <c r="E246" s="38">
        <f>VLOOKUP(A246,'The List'!B1:I730,8,FALSE)</f>
        <v>-1.5012486948071659</v>
      </c>
      <c r="F246" s="38">
        <f>IF(Settings!$E$15="POINTS",E246-VLOOKUP(B$2,C1:E431,3,FALSE),J246)</f>
        <v>-5.6350757819395563</v>
      </c>
      <c r="G246" s="38"/>
      <c r="H246" s="138">
        <f>RANK(I246,I3:I431)</f>
        <v>268</v>
      </c>
      <c r="I246" s="139">
        <f>VLOOKUP(A246,'Standard Deviations'!A1:C731,3,FALSE)</f>
        <v>-1.5012486948071659</v>
      </c>
      <c r="J246" s="139">
        <f>I246-VLOOKUP(B$2,H1:J431,2,FALSE)</f>
        <v>-5.6350757819395563</v>
      </c>
    </row>
    <row r="247" spans="1:10" ht="21.2" customHeight="1">
      <c r="A247" s="8" t="s">
        <v>619</v>
      </c>
      <c r="B247" s="136" t="str">
        <f>VLOOKUP(A247,'The List'!B1:D730,3,FALSE)</f>
        <v>C</v>
      </c>
      <c r="C247" s="137">
        <f>IF(Settings!$E$15="POINTS",RANK(E247,E3:E431),H247)</f>
        <v>249</v>
      </c>
      <c r="D247" s="34" t="str">
        <f>VLOOKUP(A247,'The List'!B1:F730,5,FALSE)</f>
        <v>CHI</v>
      </c>
      <c r="E247" s="38">
        <f>VLOOKUP(A247,'The List'!B1:I730,8,FALSE)</f>
        <v>-0.93489569008639506</v>
      </c>
      <c r="F247" s="38">
        <f>IF(Settings!$E$15="POINTS",E247-VLOOKUP(B$2,C1:E431,3,FALSE),J247)</f>
        <v>-5.0687227772187855</v>
      </c>
      <c r="G247" s="38"/>
      <c r="H247" s="138">
        <f>RANK(I247,I3:I431)</f>
        <v>249</v>
      </c>
      <c r="I247" s="139">
        <f>VLOOKUP(A247,'Standard Deviations'!A1:C731,3,FALSE)</f>
        <v>-0.93489569008639506</v>
      </c>
      <c r="J247" s="139">
        <f>I247-VLOOKUP(B$2,H1:J431,2,FALSE)</f>
        <v>-5.0687227772187855</v>
      </c>
    </row>
    <row r="248" spans="1:10" ht="21.2" customHeight="1">
      <c r="A248" s="8" t="s">
        <v>546</v>
      </c>
      <c r="B248" s="136" t="str">
        <f>VLOOKUP(A248,'The List'!B1:D730,3,FALSE)</f>
        <v>C,RW</v>
      </c>
      <c r="C248" s="137">
        <f>IF(Settings!$E$15="POINTS",RANK(E248,E3:E431),H248)</f>
        <v>258</v>
      </c>
      <c r="D248" s="34" t="str">
        <f>VLOOKUP(A248,'The List'!B1:F730,5,FALSE)</f>
        <v>TOR</v>
      </c>
      <c r="E248" s="38">
        <f>VLOOKUP(A248,'The List'!B1:I730,8,FALSE)</f>
        <v>-1.2518162173305047</v>
      </c>
      <c r="F248" s="38">
        <f>IF(Settings!$E$15="POINTS",E248-VLOOKUP(B$2,C1:E431,3,FALSE),J248)</f>
        <v>-5.3856433044628949</v>
      </c>
      <c r="G248" s="38"/>
      <c r="H248" s="138">
        <f>RANK(I248,I3:I431)</f>
        <v>258</v>
      </c>
      <c r="I248" s="139">
        <f>VLOOKUP(A248,'Standard Deviations'!A1:C731,3,FALSE)</f>
        <v>-1.2518162173305047</v>
      </c>
      <c r="J248" s="139">
        <f>I248-VLOOKUP(B$2,H1:J431,2,FALSE)</f>
        <v>-5.3856433044628949</v>
      </c>
    </row>
    <row r="249" spans="1:10" ht="21.2" customHeight="1">
      <c r="A249" s="8" t="s">
        <v>548</v>
      </c>
      <c r="B249" s="136" t="str">
        <f>VLOOKUP(A249,'The List'!B1:D730,3,FALSE)</f>
        <v>RW</v>
      </c>
      <c r="C249" s="137">
        <f>IF(Settings!$E$15="POINTS",RANK(E249,E3:E431),H249)</f>
        <v>242</v>
      </c>
      <c r="D249" s="34" t="str">
        <f>VLOOKUP(A249,'The List'!B1:F730,5,FALSE)</f>
        <v>SJS</v>
      </c>
      <c r="E249" s="38">
        <f>VLOOKUP(A249,'The List'!B1:I730,8,FALSE)</f>
        <v>-0.70583714055063551</v>
      </c>
      <c r="F249" s="38">
        <f>IF(Settings!$E$15="POINTS",E249-VLOOKUP(B$2,C1:E431,3,FALSE),J249)</f>
        <v>-4.8396642276830262</v>
      </c>
      <c r="G249" s="38"/>
      <c r="H249" s="138">
        <f>RANK(I249,I3:I431)</f>
        <v>242</v>
      </c>
      <c r="I249" s="139">
        <f>VLOOKUP(A249,'Standard Deviations'!A1:C731,3,FALSE)</f>
        <v>-0.70583714055063551</v>
      </c>
      <c r="J249" s="139">
        <f>I249-VLOOKUP(B$2,H1:J431,2,FALSE)</f>
        <v>-4.8396642276830262</v>
      </c>
    </row>
    <row r="250" spans="1:10" ht="21.2" customHeight="1">
      <c r="A250" s="8" t="s">
        <v>628</v>
      </c>
      <c r="B250" s="136" t="str">
        <f>VLOOKUP(A250,'The List'!B1:D730,3,FALSE)</f>
        <v>C</v>
      </c>
      <c r="C250" s="137">
        <f>IF(Settings!$E$15="POINTS",RANK(E250,E3:E431),H250)</f>
        <v>274</v>
      </c>
      <c r="D250" s="34" t="str">
        <f>VLOOKUP(A250,'The List'!B1:F730,5,FALSE)</f>
        <v>PIT</v>
      </c>
      <c r="E250" s="38">
        <f>VLOOKUP(A250,'The List'!B1:I730,8,FALSE)</f>
        <v>-1.8047758064220836</v>
      </c>
      <c r="F250" s="38">
        <f>IF(Settings!$E$15="POINTS",E250-VLOOKUP(B$2,C1:E431,3,FALSE),J250)</f>
        <v>-5.9386028935544743</v>
      </c>
      <c r="G250" s="38"/>
      <c r="H250" s="138">
        <f>RANK(I250,I3:I431)</f>
        <v>274</v>
      </c>
      <c r="I250" s="139">
        <f>VLOOKUP(A250,'Standard Deviations'!A1:C731,3,FALSE)</f>
        <v>-1.8047758064220836</v>
      </c>
      <c r="J250" s="139">
        <f>I250-VLOOKUP(B$2,H1:J431,2,FALSE)</f>
        <v>-5.9386028935544743</v>
      </c>
    </row>
    <row r="251" spans="1:10" ht="21.2" customHeight="1">
      <c r="A251" s="8" t="s">
        <v>553</v>
      </c>
      <c r="B251" s="136" t="str">
        <f>VLOOKUP(A251,'The List'!B1:D730,3,FALSE)</f>
        <v>RW</v>
      </c>
      <c r="C251" s="137">
        <f>IF(Settings!$E$15="POINTS",RANK(E251,E3:E431),H251)</f>
        <v>235</v>
      </c>
      <c r="D251" s="34" t="str">
        <f>VLOOKUP(A251,'The List'!B1:F730,5,FALSE)</f>
        <v>MTL</v>
      </c>
      <c r="E251" s="38">
        <f>VLOOKUP(A251,'The List'!B1:I730,8,FALSE)</f>
        <v>-0.50048058060842238</v>
      </c>
      <c r="F251" s="38">
        <f>IF(Settings!$E$15="POINTS",E251-VLOOKUP(B$2,C1:E431,3,FALSE),J251)</f>
        <v>-4.6343076677408126</v>
      </c>
      <c r="G251" s="38"/>
      <c r="H251" s="138">
        <f>RANK(I251,I3:I431)</f>
        <v>235</v>
      </c>
      <c r="I251" s="139">
        <f>VLOOKUP(A251,'Standard Deviations'!A1:C731,3,FALSE)</f>
        <v>-0.50048058060842238</v>
      </c>
      <c r="J251" s="139">
        <f>I251-VLOOKUP(B$2,H1:J431,2,FALSE)</f>
        <v>-4.6343076677408126</v>
      </c>
    </row>
    <row r="252" spans="1:10" ht="21.2" customHeight="1">
      <c r="A252" s="8" t="s">
        <v>636</v>
      </c>
      <c r="B252" s="136" t="str">
        <f>VLOOKUP(A252,'The List'!B1:D730,3,FALSE)</f>
        <v>C</v>
      </c>
      <c r="C252" s="137">
        <f>IF(Settings!$E$15="POINTS",RANK(E252,E3:E431),H252)</f>
        <v>281</v>
      </c>
      <c r="D252" s="34" t="str">
        <f>VLOOKUP(A252,'The List'!B1:F730,5,FALSE)</f>
        <v>WPG</v>
      </c>
      <c r="E252" s="38">
        <f>VLOOKUP(A252,'The List'!B1:I730,8,FALSE)</f>
        <v>-2.0937419581492356</v>
      </c>
      <c r="F252" s="38">
        <f>IF(Settings!$E$15="POINTS",E252-VLOOKUP(B$2,C1:E431,3,FALSE),J252)</f>
        <v>-6.2275690452816264</v>
      </c>
      <c r="G252" s="38"/>
      <c r="H252" s="138">
        <f>RANK(I252,I3:I431)</f>
        <v>281</v>
      </c>
      <c r="I252" s="139">
        <f>VLOOKUP(A252,'Standard Deviations'!A1:C731,3,FALSE)</f>
        <v>-2.0937419581492356</v>
      </c>
      <c r="J252" s="139">
        <f>I252-VLOOKUP(B$2,H1:J431,2,FALSE)</f>
        <v>-6.2275690452816264</v>
      </c>
    </row>
    <row r="253" spans="1:10" ht="21.2" customHeight="1">
      <c r="A253" s="8" t="s">
        <v>557</v>
      </c>
      <c r="B253" s="136" t="str">
        <f>VLOOKUP(A253,'The List'!B1:D730,3,FALSE)</f>
        <v>RW</v>
      </c>
      <c r="C253" s="137">
        <f>IF(Settings!$E$15="POINTS",RANK(E253,E3:E431),H253)</f>
        <v>250</v>
      </c>
      <c r="D253" s="34" t="str">
        <f>VLOOKUP(A253,'The List'!B1:F730,5,FALSE)</f>
        <v>WSH</v>
      </c>
      <c r="E253" s="38">
        <f>VLOOKUP(A253,'The List'!B1:I730,8,FALSE)</f>
        <v>-0.97179532796226464</v>
      </c>
      <c r="F253" s="38">
        <f>IF(Settings!$E$15="POINTS",E253-VLOOKUP(B$2,C1:E431,3,FALSE),J253)</f>
        <v>-5.105622415094655</v>
      </c>
      <c r="G253" s="38"/>
      <c r="H253" s="138">
        <f>RANK(I253,I3:I431)</f>
        <v>250</v>
      </c>
      <c r="I253" s="139">
        <f>VLOOKUP(A253,'Standard Deviations'!A1:C731,3,FALSE)</f>
        <v>-0.97179532796226464</v>
      </c>
      <c r="J253" s="139">
        <f>I253-VLOOKUP(B$2,H1:J431,2,FALSE)</f>
        <v>-5.105622415094655</v>
      </c>
    </row>
    <row r="254" spans="1:10" ht="21.2" customHeight="1">
      <c r="A254" s="8" t="s">
        <v>592</v>
      </c>
      <c r="B254" s="136" t="str">
        <f>VLOOKUP(A254,'The List'!B1:D730,3,FALSE)</f>
        <v>C,LW</v>
      </c>
      <c r="C254" s="137">
        <f>IF(Settings!$E$15="POINTS",RANK(E254,E3:E431),H254)</f>
        <v>270</v>
      </c>
      <c r="D254" s="34" t="str">
        <f>VLOOKUP(A254,'The List'!B1:F730,5,FALSE)</f>
        <v>MTL</v>
      </c>
      <c r="E254" s="38">
        <f>VLOOKUP(A254,'The List'!B1:I730,8,FALSE)</f>
        <v>-1.6043270414349204</v>
      </c>
      <c r="F254" s="38">
        <f>IF(Settings!$E$15="POINTS",E254-VLOOKUP(B$2,C1:E431,3,FALSE),J254)</f>
        <v>-5.7381541285673112</v>
      </c>
      <c r="G254" s="38"/>
      <c r="H254" s="138">
        <f>RANK(I254,I3:I431)</f>
        <v>270</v>
      </c>
      <c r="I254" s="139">
        <f>VLOOKUP(A254,'Standard Deviations'!A1:C731,3,FALSE)</f>
        <v>-1.6043270414349204</v>
      </c>
      <c r="J254" s="139">
        <f>I254-VLOOKUP(B$2,H1:J431,2,FALSE)</f>
        <v>-5.7381541285673112</v>
      </c>
    </row>
    <row r="255" spans="1:10" ht="21.2" customHeight="1">
      <c r="A255" s="8" t="s">
        <v>561</v>
      </c>
      <c r="B255" s="136" t="str">
        <f>VLOOKUP(A255,'The List'!B1:D730,3,FALSE)</f>
        <v>RW</v>
      </c>
      <c r="C255" s="137">
        <f>IF(Settings!$E$15="POINTS",RANK(E255,E3:E431),H255)</f>
        <v>246</v>
      </c>
      <c r="D255" s="34" t="str">
        <f>VLOOKUP(A255,'The List'!B1:F730,5,FALSE)</f>
        <v>NYI</v>
      </c>
      <c r="E255" s="38">
        <f>VLOOKUP(A255,'The List'!B1:I730,8,FALSE)</f>
        <v>-0.82522897016565233</v>
      </c>
      <c r="F255" s="38">
        <f>IF(Settings!$E$15="POINTS",E255-VLOOKUP(B$2,C1:E431,3,FALSE),J255)</f>
        <v>-4.9590560572980422</v>
      </c>
      <c r="G255" s="38"/>
      <c r="H255" s="138">
        <f>RANK(I255,I3:I431)</f>
        <v>246</v>
      </c>
      <c r="I255" s="139">
        <f>VLOOKUP(A255,'Standard Deviations'!A1:C731,3,FALSE)</f>
        <v>-0.82522897016565233</v>
      </c>
      <c r="J255" s="139">
        <f>I255-VLOOKUP(B$2,H1:J431,2,FALSE)</f>
        <v>-4.9590560572980422</v>
      </c>
    </row>
    <row r="256" spans="1:10" ht="21.2" customHeight="1">
      <c r="A256" s="8" t="s">
        <v>562</v>
      </c>
      <c r="B256" s="136" t="str">
        <f>VLOOKUP(A256,'The List'!B1:D730,3,FALSE)</f>
        <v>LW,RW</v>
      </c>
      <c r="C256" s="137">
        <f>IF(Settings!$E$15="POINTS",RANK(E256,E3:E431),H256)</f>
        <v>202</v>
      </c>
      <c r="D256" s="34" t="str">
        <f>VLOOKUP(A256,'The List'!B1:F730,5,FALSE)</f>
        <v>ARI</v>
      </c>
      <c r="E256" s="38">
        <f>VLOOKUP(A256,'The List'!B1:I730,8,FALSE)</f>
        <v>0.39022823129132511</v>
      </c>
      <c r="F256" s="38">
        <f>IF(Settings!$E$15="POINTS",E256-VLOOKUP(B$2,C1:E431,3,FALSE),J256)</f>
        <v>-3.7435988558410651</v>
      </c>
      <c r="G256" s="38"/>
      <c r="H256" s="138">
        <f>RANK(I256,I3:I431)</f>
        <v>202</v>
      </c>
      <c r="I256" s="139">
        <f>VLOOKUP(A256,'Standard Deviations'!A1:C731,3,FALSE)</f>
        <v>0.39022823129132511</v>
      </c>
      <c r="J256" s="139">
        <f>I256-VLOOKUP(B$2,H1:J431,2,FALSE)</f>
        <v>-3.7435988558410651</v>
      </c>
    </row>
    <row r="257" spans="1:10" ht="21.2" customHeight="1">
      <c r="A257" s="8" t="s">
        <v>564</v>
      </c>
      <c r="B257" s="136" t="str">
        <f>VLOOKUP(A257,'The List'!B1:D730,3,FALSE)</f>
        <v>LW,RW</v>
      </c>
      <c r="C257" s="137">
        <f>IF(Settings!$E$15="POINTS",RANK(E257,E3:E431),H257)</f>
        <v>229</v>
      </c>
      <c r="D257" s="34" t="str">
        <f>VLOOKUP(A257,'The List'!B1:F730,5,FALSE)</f>
        <v>SJS</v>
      </c>
      <c r="E257" s="38">
        <f>VLOOKUP(A257,'The List'!B1:I730,8,FALSE)</f>
        <v>-0.39229664389519248</v>
      </c>
      <c r="F257" s="38">
        <f>IF(Settings!$E$15="POINTS",E257-VLOOKUP(B$2,C1:E431,3,FALSE),J257)</f>
        <v>-4.5261237310275826</v>
      </c>
      <c r="G257" s="38"/>
      <c r="H257" s="138">
        <f>RANK(I257,I3:I431)</f>
        <v>229</v>
      </c>
      <c r="I257" s="139">
        <f>VLOOKUP(A257,'Standard Deviations'!A1:C731,3,FALSE)</f>
        <v>-0.39229664389519248</v>
      </c>
      <c r="J257" s="139">
        <f>I257-VLOOKUP(B$2,H1:J431,2,FALSE)</f>
        <v>-4.5261237310275826</v>
      </c>
    </row>
    <row r="258" spans="1:10" ht="21.2" customHeight="1">
      <c r="A258" s="8" t="s">
        <v>600</v>
      </c>
      <c r="B258" s="136" t="str">
        <f>VLOOKUP(A258,'The List'!B1:D730,3,FALSE)</f>
        <v>C,LW</v>
      </c>
      <c r="C258" s="137">
        <f>IF(Settings!$E$15="POINTS",RANK(E258,E3:E431),H258)</f>
        <v>255</v>
      </c>
      <c r="D258" s="34" t="str">
        <f>VLOOKUP(A258,'The List'!B1:F730,5,FALSE)</f>
        <v>SJS</v>
      </c>
      <c r="E258" s="38">
        <f>VLOOKUP(A258,'The List'!B1:I730,8,FALSE)</f>
        <v>-1.201911584933578</v>
      </c>
      <c r="F258" s="38">
        <f>IF(Settings!$E$15="POINTS",E258-VLOOKUP(B$2,C1:E431,3,FALSE),J258)</f>
        <v>-5.3357386720659683</v>
      </c>
      <c r="G258" s="38"/>
      <c r="H258" s="138">
        <f>RANK(I258,I3:I431)</f>
        <v>255</v>
      </c>
      <c r="I258" s="139">
        <f>VLOOKUP(A258,'Standard Deviations'!A1:C731,3,FALSE)</f>
        <v>-1.201911584933578</v>
      </c>
      <c r="J258" s="139">
        <f>I258-VLOOKUP(B$2,H1:J431,2,FALSE)</f>
        <v>-5.3357386720659683</v>
      </c>
    </row>
    <row r="259" spans="1:10" ht="21.2" customHeight="1">
      <c r="A259" s="8" t="s">
        <v>571</v>
      </c>
      <c r="B259" s="136" t="str">
        <f>VLOOKUP(A259,'The List'!B1:D730,3,FALSE)</f>
        <v>LW,RW</v>
      </c>
      <c r="C259" s="137">
        <f>IF(Settings!$E$15="POINTS",RANK(E259,E3:E431),H259)</f>
        <v>243</v>
      </c>
      <c r="D259" s="34" t="str">
        <f>VLOOKUP(A259,'The List'!B1:F730,5,FALSE)</f>
        <v>CAR</v>
      </c>
      <c r="E259" s="38">
        <f>VLOOKUP(A259,'The List'!B1:I730,8,FALSE)</f>
        <v>-0.72913718363124858</v>
      </c>
      <c r="F259" s="38">
        <f>IF(Settings!$E$15="POINTS",E259-VLOOKUP(B$2,C1:E431,3,FALSE),J259)</f>
        <v>-4.8629642707636389</v>
      </c>
      <c r="G259" s="38"/>
      <c r="H259" s="138">
        <f>RANK(I259,I3:I431)</f>
        <v>243</v>
      </c>
      <c r="I259" s="139">
        <f>VLOOKUP(A259,'Standard Deviations'!A1:C731,3,FALSE)</f>
        <v>-0.72913718363124858</v>
      </c>
      <c r="J259" s="139">
        <f>I259-VLOOKUP(B$2,H1:J431,2,FALSE)</f>
        <v>-4.8629642707636389</v>
      </c>
    </row>
    <row r="260" spans="1:10" ht="21.2" customHeight="1">
      <c r="A260" s="8" t="s">
        <v>609</v>
      </c>
      <c r="B260" s="136" t="str">
        <f>VLOOKUP(A260,'The List'!B1:D730,3,FALSE)</f>
        <v>LW</v>
      </c>
      <c r="C260" s="137">
        <f>IF(Settings!$E$15="POINTS",RANK(E260,E3:E431),H260)</f>
        <v>263</v>
      </c>
      <c r="D260" s="34" t="str">
        <f>VLOOKUP(A260,'The List'!B1:F730,5,FALSE)</f>
        <v>VGK</v>
      </c>
      <c r="E260" s="38">
        <f>VLOOKUP(A260,'The List'!B1:I730,8,FALSE)</f>
        <v>-1.4369251909626923</v>
      </c>
      <c r="F260" s="38">
        <f>IF(Settings!$E$15="POINTS",E260-VLOOKUP(B$2,C1:E431,3,FALSE),J260)</f>
        <v>-5.5707522780950827</v>
      </c>
      <c r="G260" s="38"/>
      <c r="H260" s="138">
        <f>RANK(I260,I3:I431)</f>
        <v>263</v>
      </c>
      <c r="I260" s="139">
        <f>VLOOKUP(A260,'Standard Deviations'!A1:C731,3,FALSE)</f>
        <v>-1.4369251909626923</v>
      </c>
      <c r="J260" s="139">
        <f>I260-VLOOKUP(B$2,H1:J431,2,FALSE)</f>
        <v>-5.5707522780950827</v>
      </c>
    </row>
    <row r="261" spans="1:10" ht="21.2" customHeight="1">
      <c r="A261" s="8" t="s">
        <v>611</v>
      </c>
      <c r="B261" s="136" t="str">
        <f>VLOOKUP(A261,'The List'!B1:D730,3,FALSE)</f>
        <v>LW</v>
      </c>
      <c r="C261" s="137">
        <f>IF(Settings!$E$15="POINTS",RANK(E261,E3:E431),H261)</f>
        <v>240</v>
      </c>
      <c r="D261" s="34" t="str">
        <f>VLOOKUP(A261,'The List'!B1:F730,5,FALSE)</f>
        <v>VGK</v>
      </c>
      <c r="E261" s="38">
        <f>VLOOKUP(A261,'The List'!B1:I730,8,FALSE)</f>
        <v>-0.64180324027126878</v>
      </c>
      <c r="F261" s="38">
        <f>IF(Settings!$E$15="POINTS",E261-VLOOKUP(B$2,C1:E431,3,FALSE),J261)</f>
        <v>-4.7756303274036593</v>
      </c>
      <c r="G261" s="38"/>
      <c r="H261" s="138">
        <f>RANK(I261,I3:I431)</f>
        <v>240</v>
      </c>
      <c r="I261" s="139">
        <f>VLOOKUP(A261,'Standard Deviations'!A1:C731,3,FALSE)</f>
        <v>-0.64180324027126878</v>
      </c>
      <c r="J261" s="139">
        <f>I261-VLOOKUP(B$2,H1:J431,2,FALSE)</f>
        <v>-4.7756303274036593</v>
      </c>
    </row>
    <row r="262" spans="1:10" ht="21.2" customHeight="1">
      <c r="A262" s="8" t="s">
        <v>613</v>
      </c>
      <c r="B262" s="136" t="str">
        <f>VLOOKUP(A262,'The List'!B1:D730,3,FALSE)</f>
        <v>C,LW</v>
      </c>
      <c r="C262" s="137">
        <f>IF(Settings!$E$15="POINTS",RANK(E262,E3:E431),H262)</f>
        <v>292</v>
      </c>
      <c r="D262" s="34" t="str">
        <f>VLOOKUP(A262,'The List'!B1:F730,5,FALSE)</f>
        <v>UFA</v>
      </c>
      <c r="E262" s="38">
        <f>VLOOKUP(A262,'The List'!B1:I730,8,FALSE)</f>
        <v>-2.2835101723447369</v>
      </c>
      <c r="F262" s="38">
        <f>IF(Settings!$E$15="POINTS",E262-VLOOKUP(B$2,C1:E431,3,FALSE),J262)</f>
        <v>-6.4173372594771276</v>
      </c>
      <c r="G262" s="38"/>
      <c r="H262" s="138">
        <f>RANK(I262,I3:I431)</f>
        <v>292</v>
      </c>
      <c r="I262" s="139">
        <f>VLOOKUP(A262,'Standard Deviations'!A1:C731,3,FALSE)</f>
        <v>-2.2835101723447369</v>
      </c>
      <c r="J262" s="139">
        <f>I262-VLOOKUP(B$2,H1:J431,2,FALSE)</f>
        <v>-6.4173372594771276</v>
      </c>
    </row>
    <row r="263" spans="1:10" ht="21.2" customHeight="1">
      <c r="A263" s="8" t="s">
        <v>576</v>
      </c>
      <c r="B263" s="136" t="str">
        <f>VLOOKUP(A263,'The List'!B1:D730,3,FALSE)</f>
        <v>LW,RW</v>
      </c>
      <c r="C263" s="137">
        <f>IF(Settings!$E$15="POINTS",RANK(E263,E3:E431),H263)</f>
        <v>278</v>
      </c>
      <c r="D263" s="34" t="str">
        <f>VLOOKUP(A263,'The List'!B1:F730,5,FALSE)</f>
        <v>EDM</v>
      </c>
      <c r="E263" s="38">
        <f>VLOOKUP(A263,'The List'!B1:I730,8,FALSE)</f>
        <v>-1.9310335203984619</v>
      </c>
      <c r="F263" s="38">
        <f>IF(Settings!$E$15="POINTS",E263-VLOOKUP(B$2,C1:E431,3,FALSE),J263)</f>
        <v>-6.0648606075308518</v>
      </c>
      <c r="G263" s="38"/>
      <c r="H263" s="138">
        <f>RANK(I263,I3:I431)</f>
        <v>278</v>
      </c>
      <c r="I263" s="139">
        <f>VLOOKUP(A263,'Standard Deviations'!A1:C731,3,FALSE)</f>
        <v>-1.9310335203984619</v>
      </c>
      <c r="J263" s="139">
        <f>I263-VLOOKUP(B$2,H1:J431,2,FALSE)</f>
        <v>-6.0648606075308518</v>
      </c>
    </row>
    <row r="264" spans="1:10" ht="21.2" customHeight="1">
      <c r="A264" s="8" t="s">
        <v>655</v>
      </c>
      <c r="B264" s="136" t="str">
        <f>VLOOKUP(A264,'The List'!B1:D730,3,FALSE)</f>
        <v>C</v>
      </c>
      <c r="C264" s="137">
        <f>IF(Settings!$E$15="POINTS",RANK(E264,E3:E431),H264)</f>
        <v>204</v>
      </c>
      <c r="D264" s="34" t="str">
        <f>VLOOKUP(A264,'The List'!B1:F730,5,FALSE)</f>
        <v>SEA</v>
      </c>
      <c r="E264" s="38">
        <f>VLOOKUP(A264,'The List'!B1:I730,8,FALSE)</f>
        <v>0.32216990615181401</v>
      </c>
      <c r="F264" s="38">
        <f>IF(Settings!$E$15="POINTS",E264-VLOOKUP(B$2,C1:E431,3,FALSE),J264)</f>
        <v>-3.8116571809805762</v>
      </c>
      <c r="G264" s="38"/>
      <c r="H264" s="138">
        <f>RANK(I264,I3:I431)</f>
        <v>204</v>
      </c>
      <c r="I264" s="139">
        <f>VLOOKUP(A264,'Standard Deviations'!A1:C731,3,FALSE)</f>
        <v>0.32216990615181401</v>
      </c>
      <c r="J264" s="139">
        <f>I264-VLOOKUP(B$2,H1:J431,2,FALSE)</f>
        <v>-3.8116571809805762</v>
      </c>
    </row>
    <row r="265" spans="1:10" ht="21.2" customHeight="1">
      <c r="A265" s="8" t="s">
        <v>577</v>
      </c>
      <c r="B265" s="136" t="str">
        <f>VLOOKUP(A265,'The List'!B1:D730,3,FALSE)</f>
        <v>LW,RW</v>
      </c>
      <c r="C265" s="137">
        <f>IF(Settings!$E$15="POINTS",RANK(E265,E3:E431),H265)</f>
        <v>265</v>
      </c>
      <c r="D265" s="34" t="str">
        <f>VLOOKUP(A265,'The List'!B1:F730,5,FALSE)</f>
        <v>DET</v>
      </c>
      <c r="E265" s="38">
        <f>VLOOKUP(A265,'The List'!B1:I730,8,FALSE)</f>
        <v>-1.4735546884016946</v>
      </c>
      <c r="F265" s="38">
        <f>IF(Settings!$E$15="POINTS",E265-VLOOKUP(B$2,C1:E431,3,FALSE),J265)</f>
        <v>-5.6073817755340851</v>
      </c>
      <c r="G265" s="38"/>
      <c r="H265" s="138">
        <f>RANK(I265,I3:I431)</f>
        <v>265</v>
      </c>
      <c r="I265" s="139">
        <f>VLOOKUP(A265,'Standard Deviations'!A1:C731,3,FALSE)</f>
        <v>-1.4735546884016946</v>
      </c>
      <c r="J265" s="139">
        <f>I265-VLOOKUP(B$2,H1:J431,2,FALSE)</f>
        <v>-5.6073817755340851</v>
      </c>
    </row>
    <row r="266" spans="1:10" ht="21.2" customHeight="1">
      <c r="A266" s="8" t="s">
        <v>656</v>
      </c>
      <c r="B266" s="136" t="str">
        <f>VLOOKUP(A266,'The List'!B1:D730,3,FALSE)</f>
        <v>C</v>
      </c>
      <c r="C266" s="137">
        <f>IF(Settings!$E$15="POINTS",RANK(E266,E3:E431),H266)</f>
        <v>256</v>
      </c>
      <c r="D266" s="34" t="str">
        <f>VLOOKUP(A266,'The List'!B1:F730,5,FALSE)</f>
        <v>OTT</v>
      </c>
      <c r="E266" s="38">
        <f>VLOOKUP(A266,'The List'!B1:I730,8,FALSE)</f>
        <v>-1.2044582026899298</v>
      </c>
      <c r="F266" s="38">
        <f>IF(Settings!$E$15="POINTS",E266-VLOOKUP(B$2,C1:E431,3,FALSE),J266)</f>
        <v>-5.3382852898223199</v>
      </c>
      <c r="G266" s="38"/>
      <c r="H266" s="138">
        <f>RANK(I266,I3:I431)</f>
        <v>256</v>
      </c>
      <c r="I266" s="139">
        <f>VLOOKUP(A266,'Standard Deviations'!A1:C731,3,FALSE)</f>
        <v>-1.2044582026899298</v>
      </c>
      <c r="J266" s="139">
        <f>I266-VLOOKUP(B$2,H1:J431,2,FALSE)</f>
        <v>-5.3382852898223199</v>
      </c>
    </row>
    <row r="267" spans="1:10" ht="21.2" customHeight="1">
      <c r="A267" s="8" t="s">
        <v>616</v>
      </c>
      <c r="B267" s="136" t="str">
        <f>VLOOKUP(A267,'The List'!B1:D730,3,FALSE)</f>
        <v>LW</v>
      </c>
      <c r="C267" s="137">
        <f>IF(Settings!$E$15="POINTS",RANK(E267,E3:E431),H267)</f>
        <v>279</v>
      </c>
      <c r="D267" s="34" t="str">
        <f>VLOOKUP(A267,'The List'!B1:F730,5,FALSE)</f>
        <v>CAR</v>
      </c>
      <c r="E267" s="38">
        <f>VLOOKUP(A267,'The List'!B1:I730,8,FALSE)</f>
        <v>-1.940396444016566</v>
      </c>
      <c r="F267" s="38">
        <f>IF(Settings!$E$15="POINTS",E267-VLOOKUP(B$2,C1:E431,3,FALSE),J267)</f>
        <v>-6.0742235311489559</v>
      </c>
      <c r="G267" s="38"/>
      <c r="H267" s="138">
        <f>RANK(I267,I3:I431)</f>
        <v>279</v>
      </c>
      <c r="I267" s="139">
        <f>VLOOKUP(A267,'Standard Deviations'!A1:C731,3,FALSE)</f>
        <v>-1.940396444016566</v>
      </c>
      <c r="J267" s="139">
        <f>I267-VLOOKUP(B$2,H1:J431,2,FALSE)</f>
        <v>-6.0742235311489559</v>
      </c>
    </row>
    <row r="268" spans="1:10" ht="21.2" customHeight="1">
      <c r="A268" s="8" t="s">
        <v>657</v>
      </c>
      <c r="B268" s="136" t="str">
        <f>VLOOKUP(A268,'The List'!B1:D730,3,FALSE)</f>
        <v>C</v>
      </c>
      <c r="C268" s="137">
        <f>IF(Settings!$E$15="POINTS",RANK(E268,E3:E431),H268)</f>
        <v>280</v>
      </c>
      <c r="D268" s="34" t="str">
        <f>VLOOKUP(A268,'The List'!B1:F730,5,FALSE)</f>
        <v>CBJ</v>
      </c>
      <c r="E268" s="38">
        <f>VLOOKUP(A268,'The List'!B1:I730,8,FALSE)</f>
        <v>-1.9834869449268013</v>
      </c>
      <c r="F268" s="38">
        <f>IF(Settings!$E$15="POINTS",E268-VLOOKUP(B$2,C1:E431,3,FALSE),J268)</f>
        <v>-6.1173140320591912</v>
      </c>
      <c r="G268" s="38"/>
      <c r="H268" s="138">
        <f>RANK(I268,I3:I431)</f>
        <v>280</v>
      </c>
      <c r="I268" s="139">
        <f>VLOOKUP(A268,'Standard Deviations'!A1:C731,3,FALSE)</f>
        <v>-1.9834869449268013</v>
      </c>
      <c r="J268" s="139">
        <f>I268-VLOOKUP(B$2,H1:J431,2,FALSE)</f>
        <v>-6.1173140320591912</v>
      </c>
    </row>
    <row r="269" spans="1:10" ht="21.2" customHeight="1">
      <c r="A269" s="8" t="s">
        <v>618</v>
      </c>
      <c r="B269" s="136" t="str">
        <f>VLOOKUP(A269,'The List'!B1:D730,3,FALSE)</f>
        <v>C,LW</v>
      </c>
      <c r="C269" s="137">
        <f>IF(Settings!$E$15="POINTS",RANK(E269,E3:E431),H269)</f>
        <v>277</v>
      </c>
      <c r="D269" s="34" t="str">
        <f>VLOOKUP(A269,'The List'!B1:F730,5,FALSE)</f>
        <v>BOS</v>
      </c>
      <c r="E269" s="38">
        <f>VLOOKUP(A269,'The List'!B1:I730,8,FALSE)</f>
        <v>-1.8671699710662846</v>
      </c>
      <c r="F269" s="38">
        <f>IF(Settings!$E$15="POINTS",E269-VLOOKUP(B$2,C1:E431,3,FALSE),J269)</f>
        <v>-6.0009970581986751</v>
      </c>
      <c r="G269" s="38"/>
      <c r="H269" s="138">
        <f>RANK(I269,I3:I431)</f>
        <v>277</v>
      </c>
      <c r="I269" s="139">
        <f>VLOOKUP(A269,'Standard Deviations'!A1:C731,3,FALSE)</f>
        <v>-1.8671699710662846</v>
      </c>
      <c r="J269" s="139">
        <f>I269-VLOOKUP(B$2,H1:J431,2,FALSE)</f>
        <v>-6.0009970581986751</v>
      </c>
    </row>
    <row r="270" spans="1:10" ht="21.2" customHeight="1">
      <c r="A270" s="8" t="s">
        <v>660</v>
      </c>
      <c r="B270" s="136" t="str">
        <f>VLOOKUP(A270,'The List'!B1:D730,3,FALSE)</f>
        <v>C</v>
      </c>
      <c r="C270" s="137">
        <f>IF(Settings!$E$15="POINTS",RANK(E270,E3:E431),H270)</f>
        <v>284</v>
      </c>
      <c r="D270" s="34" t="str">
        <f>VLOOKUP(A270,'The List'!B1:F730,5,FALSE)</f>
        <v>CAR</v>
      </c>
      <c r="E270" s="38">
        <f>VLOOKUP(A270,'The List'!B1:I730,8,FALSE)</f>
        <v>-2.133155263977268</v>
      </c>
      <c r="F270" s="38">
        <f>IF(Settings!$E$15="POINTS",E270-VLOOKUP(B$2,C1:E431,3,FALSE),J270)</f>
        <v>-6.2669823511096583</v>
      </c>
      <c r="G270" s="38"/>
      <c r="H270" s="138">
        <f>RANK(I270,I3:I431)</f>
        <v>284</v>
      </c>
      <c r="I270" s="139">
        <f>VLOOKUP(A270,'Standard Deviations'!A1:C731,3,FALSE)</f>
        <v>-2.133155263977268</v>
      </c>
      <c r="J270" s="139">
        <f>I270-VLOOKUP(B$2,H1:J431,2,FALSE)</f>
        <v>-6.2669823511096583</v>
      </c>
    </row>
    <row r="271" spans="1:10" ht="21.2" customHeight="1">
      <c r="A271" s="8" t="s">
        <v>582</v>
      </c>
      <c r="B271" s="136" t="str">
        <f>VLOOKUP(A271,'The List'!B1:D730,3,FALSE)</f>
        <v>LW,RW</v>
      </c>
      <c r="C271" s="137">
        <f>IF(Settings!$E$15="POINTS",RANK(E271,E3:E431),H271)</f>
        <v>288</v>
      </c>
      <c r="D271" s="34" t="str">
        <f>VLOOKUP(A271,'The List'!B1:F730,5,FALSE)</f>
        <v>NSH</v>
      </c>
      <c r="E271" s="38">
        <f>VLOOKUP(A271,'The List'!B1:I730,8,FALSE)</f>
        <v>-2.1995232175388129</v>
      </c>
      <c r="F271" s="38">
        <f>IF(Settings!$E$15="POINTS",E271-VLOOKUP(B$2,C1:E431,3,FALSE),J271)</f>
        <v>-6.3333503046712032</v>
      </c>
      <c r="G271" s="38"/>
      <c r="H271" s="138">
        <f>RANK(I271,I3:I431)</f>
        <v>288</v>
      </c>
      <c r="I271" s="139">
        <f>VLOOKUP(A271,'Standard Deviations'!A1:C731,3,FALSE)</f>
        <v>-2.1995232175388129</v>
      </c>
      <c r="J271" s="139">
        <f>I271-VLOOKUP(B$2,H1:J431,2,FALSE)</f>
        <v>-6.3333503046712032</v>
      </c>
    </row>
    <row r="272" spans="1:10" ht="21.2" customHeight="1">
      <c r="A272" s="8" t="s">
        <v>626</v>
      </c>
      <c r="B272" s="136" t="str">
        <f>VLOOKUP(A272,'The List'!B1:D730,3,FALSE)</f>
        <v>LW</v>
      </c>
      <c r="C272" s="137">
        <f>IF(Settings!$E$15="POINTS",RANK(E272,E3:E431),H272)</f>
        <v>267</v>
      </c>
      <c r="D272" s="34" t="str">
        <f>VLOOKUP(A272,'The List'!B1:F730,5,FALSE)</f>
        <v>COL</v>
      </c>
      <c r="E272" s="38">
        <f>VLOOKUP(A272,'The List'!B1:I730,8,FALSE)</f>
        <v>-1.4980451184014609</v>
      </c>
      <c r="F272" s="38">
        <f>IF(Settings!$E$15="POINTS",E272-VLOOKUP(B$2,C1:E431,3,FALSE),J272)</f>
        <v>-5.6318722055338508</v>
      </c>
      <c r="G272" s="38"/>
      <c r="H272" s="138">
        <f>RANK(I272,I3:I431)</f>
        <v>267</v>
      </c>
      <c r="I272" s="139">
        <f>VLOOKUP(A272,'Standard Deviations'!A1:C731,3,FALSE)</f>
        <v>-1.4980451184014609</v>
      </c>
      <c r="J272" s="139">
        <f>I272-VLOOKUP(B$2,H1:J431,2,FALSE)</f>
        <v>-5.6318722055338508</v>
      </c>
    </row>
    <row r="273" spans="1:10" ht="21.2" customHeight="1">
      <c r="A273" s="8" t="s">
        <v>638</v>
      </c>
      <c r="B273" s="136" t="str">
        <f>VLOOKUP(A273,'The List'!B1:D730,3,FALSE)</f>
        <v>C,LW</v>
      </c>
      <c r="C273" s="137">
        <f>IF(Settings!$E$15="POINTS",RANK(E273,E3:E431),H273)</f>
        <v>261</v>
      </c>
      <c r="D273" s="34" t="str">
        <f>VLOOKUP(A273,'The List'!B1:F730,5,FALSE)</f>
        <v>TBL</v>
      </c>
      <c r="E273" s="38">
        <f>VLOOKUP(A273,'The List'!B1:I730,8,FALSE)</f>
        <v>-1.3645858472567038</v>
      </c>
      <c r="F273" s="38">
        <f>IF(Settings!$E$15="POINTS",E273-VLOOKUP(B$2,C1:E431,3,FALSE),J273)</f>
        <v>-5.4984129343890942</v>
      </c>
      <c r="G273" s="38"/>
      <c r="H273" s="138">
        <f>RANK(I273,I3:I431)</f>
        <v>261</v>
      </c>
      <c r="I273" s="139">
        <f>VLOOKUP(A273,'Standard Deviations'!A1:C731,3,FALSE)</f>
        <v>-1.3645858472567038</v>
      </c>
      <c r="J273" s="139">
        <f>I273-VLOOKUP(B$2,H1:J431,2,FALSE)</f>
        <v>-5.4984129343890942</v>
      </c>
    </row>
    <row r="274" spans="1:10" ht="21.2" customHeight="1">
      <c r="A274" s="8" t="s">
        <v>669</v>
      </c>
      <c r="B274" s="136" t="str">
        <f>VLOOKUP(A274,'The List'!B1:D730,3,FALSE)</f>
        <v>C</v>
      </c>
      <c r="C274" s="137">
        <f>IF(Settings!$E$15="POINTS",RANK(E274,E3:E431),H274)</f>
        <v>275</v>
      </c>
      <c r="D274" s="34" t="str">
        <f>VLOOKUP(A274,'The List'!B1:F730,5,FALSE)</f>
        <v>EDM</v>
      </c>
      <c r="E274" s="38">
        <f>VLOOKUP(A274,'The List'!B1:I730,8,FALSE)</f>
        <v>-1.8252987503596416</v>
      </c>
      <c r="F274" s="38">
        <f>IF(Settings!$E$15="POINTS",E274-VLOOKUP(B$2,C1:E431,3,FALSE),J274)</f>
        <v>-5.9591258374920315</v>
      </c>
      <c r="G274" s="38"/>
      <c r="H274" s="138">
        <f>RANK(I274,I3:I431)</f>
        <v>275</v>
      </c>
      <c r="I274" s="139">
        <f>VLOOKUP(A274,'Standard Deviations'!A1:C731,3,FALSE)</f>
        <v>-1.8252987503596416</v>
      </c>
      <c r="J274" s="139">
        <f>I274-VLOOKUP(B$2,H1:J431,2,FALSE)</f>
        <v>-5.9591258374920315</v>
      </c>
    </row>
    <row r="275" spans="1:10" ht="21.2" customHeight="1">
      <c r="A275" s="8" t="s">
        <v>641</v>
      </c>
      <c r="B275" s="136" t="str">
        <f>VLOOKUP(A275,'The List'!B1:D730,3,FALSE)</f>
        <v>C,LW</v>
      </c>
      <c r="C275" s="137">
        <f>IF(Settings!$E$15="POINTS",RANK(E275,E3:E431),H275)</f>
        <v>259</v>
      </c>
      <c r="D275" s="34" t="str">
        <f>VLOOKUP(A275,'The List'!B1:F730,5,FALSE)</f>
        <v>COL</v>
      </c>
      <c r="E275" s="38">
        <f>VLOOKUP(A275,'The List'!B1:I730,8,FALSE)</f>
        <v>-1.2577877193035096</v>
      </c>
      <c r="F275" s="38">
        <f>IF(Settings!$E$15="POINTS",E275-VLOOKUP(B$2,C1:E431,3,FALSE),J275)</f>
        <v>-5.3916148064359</v>
      </c>
      <c r="G275" s="38"/>
      <c r="H275" s="138">
        <f>RANK(I275,I3:I431)</f>
        <v>259</v>
      </c>
      <c r="I275" s="139">
        <f>VLOOKUP(A275,'Standard Deviations'!A1:C731,3,FALSE)</f>
        <v>-1.2577877193035096</v>
      </c>
      <c r="J275" s="139">
        <f>I275-VLOOKUP(B$2,H1:J431,2,FALSE)</f>
        <v>-5.3916148064359</v>
      </c>
    </row>
    <row r="276" spans="1:10" ht="21.2" customHeight="1">
      <c r="A276" s="8" t="s">
        <v>672</v>
      </c>
      <c r="B276" s="136" t="str">
        <f>VLOOKUP(A276,'The List'!B1:D730,3,FALSE)</f>
        <v>C</v>
      </c>
      <c r="C276" s="137">
        <f>IF(Settings!$E$15="POINTS",RANK(E276,E3:E431),H276)</f>
        <v>248</v>
      </c>
      <c r="D276" s="34" t="str">
        <f>VLOOKUP(A276,'The List'!B1:F730,5,FALSE)</f>
        <v>UFA</v>
      </c>
      <c r="E276" s="38">
        <f>VLOOKUP(A276,'The List'!B1:I730,8,FALSE)</f>
        <v>-0.92680438218111083</v>
      </c>
      <c r="F276" s="38">
        <f>IF(Settings!$E$15="POINTS",E276-VLOOKUP(B$2,C1:E431,3,FALSE),J276)</f>
        <v>-5.0606314693135008</v>
      </c>
      <c r="G276" s="38"/>
      <c r="H276" s="138">
        <f>RANK(I276,I3:I431)</f>
        <v>248</v>
      </c>
      <c r="I276" s="139">
        <f>VLOOKUP(A276,'Standard Deviations'!A1:C731,3,FALSE)</f>
        <v>-0.92680438218111083</v>
      </c>
      <c r="J276" s="139">
        <f>I276-VLOOKUP(B$2,H1:J431,2,FALSE)</f>
        <v>-5.0606314693135008</v>
      </c>
    </row>
    <row r="277" spans="1:10" ht="21.2" customHeight="1">
      <c r="A277" s="8" t="s">
        <v>680</v>
      </c>
      <c r="B277" s="136" t="str">
        <f>VLOOKUP(A277,'The List'!B1:D730,3,FALSE)</f>
        <v>C</v>
      </c>
      <c r="C277" s="137">
        <f>IF(Settings!$E$15="POINTS",RANK(E277,E3:E431),H277)</f>
        <v>319</v>
      </c>
      <c r="D277" s="34" t="str">
        <f>VLOOKUP(A277,'The List'!B1:F730,5,FALSE)</f>
        <v>CHI</v>
      </c>
      <c r="E277" s="38">
        <f>VLOOKUP(A277,'The List'!B1:I730,8,FALSE)</f>
        <v>-2.8809082730539424</v>
      </c>
      <c r="F277" s="38">
        <f>IF(Settings!$E$15="POINTS",E277-VLOOKUP(B$2,C1:E431,3,FALSE),J277)</f>
        <v>-7.0147353601863323</v>
      </c>
      <c r="G277" s="38"/>
      <c r="H277" s="138">
        <f>RANK(I277,I3:I431)</f>
        <v>319</v>
      </c>
      <c r="I277" s="139">
        <f>VLOOKUP(A277,'Standard Deviations'!A1:C731,3,FALSE)</f>
        <v>-2.8809082730539424</v>
      </c>
      <c r="J277" s="139">
        <f>I277-VLOOKUP(B$2,H1:J431,2,FALSE)</f>
        <v>-7.0147353601863323</v>
      </c>
    </row>
    <row r="278" spans="1:10" ht="21.2" customHeight="1">
      <c r="A278" s="8" t="s">
        <v>602</v>
      </c>
      <c r="B278" s="136" t="str">
        <f>VLOOKUP(A278,'The List'!B1:D730,3,FALSE)</f>
        <v>RW</v>
      </c>
      <c r="C278" s="137">
        <f>IF(Settings!$E$15="POINTS",RANK(E278,E3:E431),H278)</f>
        <v>282</v>
      </c>
      <c r="D278" s="34" t="str">
        <f>VLOOKUP(A278,'The List'!B1:F730,5,FALSE)</f>
        <v>SEA</v>
      </c>
      <c r="E278" s="38">
        <f>VLOOKUP(A278,'The List'!B1:I730,8,FALSE)</f>
        <v>-2.1006087952660661</v>
      </c>
      <c r="F278" s="38">
        <f>IF(Settings!$E$15="POINTS",E278-VLOOKUP(B$2,C1:E431,3,FALSE),J278)</f>
        <v>-6.234435882398456</v>
      </c>
      <c r="G278" s="38"/>
      <c r="H278" s="138">
        <f>RANK(I278,I3:I431)</f>
        <v>282</v>
      </c>
      <c r="I278" s="139">
        <f>VLOOKUP(A278,'Standard Deviations'!A1:C731,3,FALSE)</f>
        <v>-2.1006087952660661</v>
      </c>
      <c r="J278" s="139">
        <f>I278-VLOOKUP(B$2,H1:J431,2,FALSE)</f>
        <v>-6.234435882398456</v>
      </c>
    </row>
    <row r="279" spans="1:10" ht="21.2" customHeight="1">
      <c r="A279" s="8" t="s">
        <v>682</v>
      </c>
      <c r="B279" s="136" t="str">
        <f>VLOOKUP(A279,'The List'!B1:D730,3,FALSE)</f>
        <v>C</v>
      </c>
      <c r="C279" s="137">
        <f>IF(Settings!$E$15="POINTS",RANK(E279,E3:E431),H279)</f>
        <v>300</v>
      </c>
      <c r="D279" s="34" t="str">
        <f>VLOOKUP(A279,'The List'!B1:F730,5,FALSE)</f>
        <v>LAK</v>
      </c>
      <c r="E279" s="38">
        <f>VLOOKUP(A279,'The List'!B1:I730,8,FALSE)</f>
        <v>-2.4715940421412097</v>
      </c>
      <c r="F279" s="38">
        <f>IF(Settings!$E$15="POINTS",E279-VLOOKUP(B$2,C1:E431,3,FALSE),J279)</f>
        <v>-6.6054211292735996</v>
      </c>
      <c r="G279" s="38"/>
      <c r="H279" s="138">
        <f>RANK(I279,I3:I431)</f>
        <v>300</v>
      </c>
      <c r="I279" s="139">
        <f>VLOOKUP(A279,'Standard Deviations'!A1:C731,3,FALSE)</f>
        <v>-2.4715940421412097</v>
      </c>
      <c r="J279" s="139">
        <f>I279-VLOOKUP(B$2,H1:J431,2,FALSE)</f>
        <v>-6.6054211292735996</v>
      </c>
    </row>
    <row r="280" spans="1:10" ht="21.2" customHeight="1">
      <c r="A280" s="8" t="s">
        <v>683</v>
      </c>
      <c r="B280" s="136" t="str">
        <f>VLOOKUP(A280,'The List'!B1:D730,3,FALSE)</f>
        <v>C</v>
      </c>
      <c r="C280" s="137">
        <f>IF(Settings!$E$15="POINTS",RANK(E280,E3:E431),H280)</f>
        <v>301</v>
      </c>
      <c r="D280" s="34" t="str">
        <f>VLOOKUP(A280,'The List'!B1:F730,5,FALSE)</f>
        <v>SJS</v>
      </c>
      <c r="E280" s="38">
        <f>VLOOKUP(A280,'The List'!B1:I730,8,FALSE)</f>
        <v>-2.5257917197043875</v>
      </c>
      <c r="F280" s="38">
        <f>IF(Settings!$E$15="POINTS",E280-VLOOKUP(B$2,C1:E431,3,FALSE),J280)</f>
        <v>-6.6596188068367779</v>
      </c>
      <c r="G280" s="38"/>
      <c r="H280" s="138">
        <f>RANK(I280,I3:I431)</f>
        <v>301</v>
      </c>
      <c r="I280" s="139">
        <f>VLOOKUP(A280,'Standard Deviations'!A1:C731,3,FALSE)</f>
        <v>-2.5257917197043875</v>
      </c>
      <c r="J280" s="139">
        <f>I280-VLOOKUP(B$2,H1:J431,2,FALSE)</f>
        <v>-6.6596188068367779</v>
      </c>
    </row>
    <row r="281" spans="1:10" ht="21.2" customHeight="1">
      <c r="A281" s="8" t="s">
        <v>605</v>
      </c>
      <c r="B281" s="136" t="str">
        <f>VLOOKUP(A281,'The List'!B1:D730,3,FALSE)</f>
        <v>C,RW</v>
      </c>
      <c r="C281" s="137">
        <f>IF(Settings!$E$15="POINTS",RANK(E281,E3:E431),H281)</f>
        <v>295</v>
      </c>
      <c r="D281" s="34" t="str">
        <f>VLOOKUP(A281,'The List'!B1:F730,5,FALSE)</f>
        <v>ARI</v>
      </c>
      <c r="E281" s="38">
        <f>VLOOKUP(A281,'The List'!B1:I730,8,FALSE)</f>
        <v>-2.3545222506362831</v>
      </c>
      <c r="F281" s="38">
        <f>IF(Settings!$E$15="POINTS",E281-VLOOKUP(B$2,C1:E431,3,FALSE),J281)</f>
        <v>-6.488349337768673</v>
      </c>
      <c r="G281" s="38"/>
      <c r="H281" s="138">
        <f>RANK(I281,I3:I431)</f>
        <v>295</v>
      </c>
      <c r="I281" s="139">
        <f>VLOOKUP(A281,'Standard Deviations'!A1:C731,3,FALSE)</f>
        <v>-2.3545222506362831</v>
      </c>
      <c r="J281" s="139">
        <f>I281-VLOOKUP(B$2,H1:J431,2,FALSE)</f>
        <v>-6.488349337768673</v>
      </c>
    </row>
    <row r="282" spans="1:10" ht="21.2" customHeight="1">
      <c r="A282" s="8" t="s">
        <v>606</v>
      </c>
      <c r="B282" s="136" t="str">
        <f>VLOOKUP(A282,'The List'!B1:D730,3,FALSE)</f>
        <v>RW</v>
      </c>
      <c r="C282" s="137">
        <f>IF(Settings!$E$15="POINTS",RANK(E282,E3:E431),H282)</f>
        <v>293</v>
      </c>
      <c r="D282" s="34" t="str">
        <f>VLOOKUP(A282,'The List'!B1:F730,5,FALSE)</f>
        <v>ANA</v>
      </c>
      <c r="E282" s="38">
        <f>VLOOKUP(A282,'The List'!B1:I730,8,FALSE)</f>
        <v>-2.3004301613143303</v>
      </c>
      <c r="F282" s="38">
        <f>IF(Settings!$E$15="POINTS",E282-VLOOKUP(B$2,C1:E431,3,FALSE),J282)</f>
        <v>-6.4342572484467206</v>
      </c>
      <c r="G282" s="38"/>
      <c r="H282" s="138">
        <f>RANK(I282,I3:I431)</f>
        <v>293</v>
      </c>
      <c r="I282" s="139">
        <f>VLOOKUP(A282,'Standard Deviations'!A1:C731,3,FALSE)</f>
        <v>-2.3004301613143303</v>
      </c>
      <c r="J282" s="139">
        <f>I282-VLOOKUP(B$2,H1:J431,2,FALSE)</f>
        <v>-6.4342572484467206</v>
      </c>
    </row>
    <row r="283" spans="1:10" ht="21.2" customHeight="1">
      <c r="A283" s="8" t="s">
        <v>652</v>
      </c>
      <c r="B283" s="136" t="str">
        <f>VLOOKUP(A283,'The List'!B1:D730,3,FALSE)</f>
        <v>C,LW</v>
      </c>
      <c r="C283" s="137">
        <f>IF(Settings!$E$15="POINTS",RANK(E283,E3:E431),H283)</f>
        <v>247</v>
      </c>
      <c r="D283" s="34" t="str">
        <f>VLOOKUP(A283,'The List'!B1:F730,5,FALSE)</f>
        <v>DET</v>
      </c>
      <c r="E283" s="38">
        <f>VLOOKUP(A283,'The List'!B1:I730,8,FALSE)</f>
        <v>-0.8442573942073166</v>
      </c>
      <c r="F283" s="38">
        <f>IF(Settings!$E$15="POINTS",E283-VLOOKUP(B$2,C1:E431,3,FALSE),J283)</f>
        <v>-4.9780844813397067</v>
      </c>
      <c r="G283" s="38"/>
      <c r="H283" s="138">
        <f>RANK(I283,I3:I431)</f>
        <v>247</v>
      </c>
      <c r="I283" s="139">
        <f>VLOOKUP(A283,'Standard Deviations'!A1:C731,3,FALSE)</f>
        <v>-0.8442573942073166</v>
      </c>
      <c r="J283" s="139">
        <f>I283-VLOOKUP(B$2,H1:J431,2,FALSE)</f>
        <v>-4.9780844813397067</v>
      </c>
    </row>
    <row r="284" spans="1:10" ht="21.2" customHeight="1">
      <c r="A284" s="8" t="s">
        <v>610</v>
      </c>
      <c r="B284" s="136" t="str">
        <f>VLOOKUP(A284,'The List'!B1:D730,3,FALSE)</f>
        <v>LW,RW</v>
      </c>
      <c r="C284" s="137">
        <f>IF(Settings!$E$15="POINTS",RANK(E284,E3:E431),H284)</f>
        <v>283</v>
      </c>
      <c r="D284" s="34" t="str">
        <f>VLOOKUP(A284,'The List'!B1:F730,5,FALSE)</f>
        <v>SEA</v>
      </c>
      <c r="E284" s="38">
        <f>VLOOKUP(A284,'The List'!B1:I730,8,FALSE)</f>
        <v>-2.1226206101540477</v>
      </c>
      <c r="F284" s="38">
        <f>IF(Settings!$E$15="POINTS",E284-VLOOKUP(B$2,C1:E431,3,FALSE),J284)</f>
        <v>-6.256447697286438</v>
      </c>
      <c r="G284" s="38"/>
      <c r="H284" s="138">
        <f>RANK(I284,I3:I431)</f>
        <v>283</v>
      </c>
      <c r="I284" s="139">
        <f>VLOOKUP(A284,'Standard Deviations'!A1:C731,3,FALSE)</f>
        <v>-2.1226206101540477</v>
      </c>
      <c r="J284" s="139">
        <f>I284-VLOOKUP(B$2,H1:J431,2,FALSE)</f>
        <v>-6.256447697286438</v>
      </c>
    </row>
    <row r="285" spans="1:10" ht="21.2" customHeight="1">
      <c r="A285" s="8" t="s">
        <v>691</v>
      </c>
      <c r="B285" s="136" t="str">
        <f>VLOOKUP(A285,'The List'!B1:D730,3,FALSE)</f>
        <v>C</v>
      </c>
      <c r="C285" s="137">
        <f>IF(Settings!$E$15="POINTS",RANK(E285,E3:E431),H285)</f>
        <v>320</v>
      </c>
      <c r="D285" s="34" t="str">
        <f>VLOOKUP(A285,'The List'!B1:F730,5,FALSE)</f>
        <v>NSH</v>
      </c>
      <c r="E285" s="38">
        <f>VLOOKUP(A285,'The List'!B1:I730,8,FALSE)</f>
        <v>-2.8853148989283466</v>
      </c>
      <c r="F285" s="38">
        <f>IF(Settings!$E$15="POINTS",E285-VLOOKUP(B$2,C1:E431,3,FALSE),J285)</f>
        <v>-7.0191419860607365</v>
      </c>
      <c r="G285" s="38"/>
      <c r="H285" s="138">
        <f>RANK(I285,I3:I431)</f>
        <v>320</v>
      </c>
      <c r="I285" s="139">
        <f>VLOOKUP(A285,'Standard Deviations'!A1:C731,3,FALSE)</f>
        <v>-2.8853148989283466</v>
      </c>
      <c r="J285" s="139">
        <f>I285-VLOOKUP(B$2,H1:J431,2,FALSE)</f>
        <v>-7.0191419860607365</v>
      </c>
    </row>
    <row r="286" spans="1:10" ht="21.2" customHeight="1">
      <c r="A286" s="8" t="s">
        <v>617</v>
      </c>
      <c r="B286" s="136" t="str">
        <f>VLOOKUP(A286,'The List'!B1:D730,3,FALSE)</f>
        <v>LW,RW</v>
      </c>
      <c r="C286" s="137">
        <f>IF(Settings!$E$15="POINTS",RANK(E286,E3:E431),H286)</f>
        <v>291</v>
      </c>
      <c r="D286" s="34" t="str">
        <f>VLOOKUP(A286,'The List'!B1:F730,5,FALSE)</f>
        <v>UFA</v>
      </c>
      <c r="E286" s="38">
        <f>VLOOKUP(A286,'The List'!B1:I730,8,FALSE)</f>
        <v>-2.2770667206810709</v>
      </c>
      <c r="F286" s="38">
        <f>IF(Settings!$E$15="POINTS",E286-VLOOKUP(B$2,C1:E431,3,FALSE),J286)</f>
        <v>-6.4108938078134612</v>
      </c>
      <c r="G286" s="38"/>
      <c r="H286" s="138">
        <f>RANK(I286,I3:I431)</f>
        <v>291</v>
      </c>
      <c r="I286" s="139">
        <f>VLOOKUP(A286,'Standard Deviations'!A1:C731,3,FALSE)</f>
        <v>-2.2770667206810709</v>
      </c>
      <c r="J286" s="139">
        <f>I286-VLOOKUP(B$2,H1:J431,2,FALSE)</f>
        <v>-6.4108938078134612</v>
      </c>
    </row>
    <row r="287" spans="1:10" ht="21.2" customHeight="1">
      <c r="A287" s="8" t="s">
        <v>621</v>
      </c>
      <c r="B287" s="136" t="str">
        <f>VLOOKUP(A287,'The List'!B1:D730,3,FALSE)</f>
        <v>LW,RW</v>
      </c>
      <c r="C287" s="137">
        <f>IF(Settings!$E$15="POINTS",RANK(E287,E3:E431),H287)</f>
        <v>289</v>
      </c>
      <c r="D287" s="34" t="str">
        <f>VLOOKUP(A287,'The List'!B1:F730,5,FALSE)</f>
        <v>MIN</v>
      </c>
      <c r="E287" s="38">
        <f>VLOOKUP(A287,'The List'!B1:I730,8,FALSE)</f>
        <v>-2.2671667941877676</v>
      </c>
      <c r="F287" s="38">
        <f>IF(Settings!$E$15="POINTS",E287-VLOOKUP(B$2,C1:E431,3,FALSE),J287)</f>
        <v>-6.4009938813201579</v>
      </c>
      <c r="G287" s="38"/>
      <c r="H287" s="138">
        <f>RANK(I287,I3:I431)</f>
        <v>289</v>
      </c>
      <c r="I287" s="139">
        <f>VLOOKUP(A287,'Standard Deviations'!A1:C731,3,FALSE)</f>
        <v>-2.2671667941877676</v>
      </c>
      <c r="J287" s="139">
        <f>I287-VLOOKUP(B$2,H1:J431,2,FALSE)</f>
        <v>-6.4009938813201579</v>
      </c>
    </row>
    <row r="288" spans="1:10" ht="21.2" customHeight="1">
      <c r="A288" s="8" t="s">
        <v>622</v>
      </c>
      <c r="B288" s="136" t="str">
        <f>VLOOKUP(A288,'The List'!B1:D730,3,FALSE)</f>
        <v>LW,RW</v>
      </c>
      <c r="C288" s="137">
        <f>IF(Settings!$E$15="POINTS",RANK(E288,E3:E431),H288)</f>
        <v>286</v>
      </c>
      <c r="D288" s="34" t="str">
        <f>VLOOKUP(A288,'The List'!B1:F730,5,FALSE)</f>
        <v>WPG</v>
      </c>
      <c r="E288" s="38">
        <f>VLOOKUP(A288,'The List'!B1:I730,8,FALSE)</f>
        <v>-2.1614293472855093</v>
      </c>
      <c r="F288" s="38">
        <f>IF(Settings!$E$15="POINTS",E288-VLOOKUP(B$2,C1:E431,3,FALSE),J288)</f>
        <v>-6.2952564344178992</v>
      </c>
      <c r="G288" s="38"/>
      <c r="H288" s="138">
        <f>RANK(I288,I3:I431)</f>
        <v>286</v>
      </c>
      <c r="I288" s="139">
        <f>VLOOKUP(A288,'Standard Deviations'!A1:C731,3,FALSE)</f>
        <v>-2.1614293472855093</v>
      </c>
      <c r="J288" s="139">
        <f>I288-VLOOKUP(B$2,H1:J431,2,FALSE)</f>
        <v>-6.2952564344178992</v>
      </c>
    </row>
    <row r="289" spans="1:10" ht="21.2" customHeight="1">
      <c r="A289" s="8" t="s">
        <v>662</v>
      </c>
      <c r="B289" s="136" t="str">
        <f>VLOOKUP(A289,'The List'!B1:D730,3,FALSE)</f>
        <v>LW</v>
      </c>
      <c r="C289" s="137">
        <f>IF(Settings!$E$15="POINTS",RANK(E289,E3:E431),H289)</f>
        <v>260</v>
      </c>
      <c r="D289" s="34" t="str">
        <f>VLOOKUP(A289,'The List'!B1:F730,5,FALSE)</f>
        <v>MTL</v>
      </c>
      <c r="E289" s="38">
        <f>VLOOKUP(A289,'The List'!B1:I730,8,FALSE)</f>
        <v>-1.2750703012879434</v>
      </c>
      <c r="F289" s="38">
        <f>IF(Settings!$E$15="POINTS",E289-VLOOKUP(B$2,C1:E431,3,FALSE),J289)</f>
        <v>-5.4088973884203337</v>
      </c>
      <c r="G289" s="38"/>
      <c r="H289" s="138">
        <f>RANK(I289,I3:I431)</f>
        <v>260</v>
      </c>
      <c r="I289" s="139">
        <f>VLOOKUP(A289,'Standard Deviations'!A1:C731,3,FALSE)</f>
        <v>-1.2750703012879434</v>
      </c>
      <c r="J289" s="139">
        <f>I289-VLOOKUP(B$2,H1:J431,2,FALSE)</f>
        <v>-5.4088973884203337</v>
      </c>
    </row>
    <row r="290" spans="1:10" ht="21.2" customHeight="1">
      <c r="A290" s="8" t="s">
        <v>623</v>
      </c>
      <c r="B290" s="136" t="str">
        <f>VLOOKUP(A290,'The List'!B1:D730,3,FALSE)</f>
        <v>LW,RW</v>
      </c>
      <c r="C290" s="137">
        <f>IF(Settings!$E$15="POINTS",RANK(E290,E3:E431),H290)</f>
        <v>273</v>
      </c>
      <c r="D290" s="34" t="str">
        <f>VLOOKUP(A290,'The List'!B1:F730,5,FALSE)</f>
        <v>CBJ</v>
      </c>
      <c r="E290" s="38">
        <f>VLOOKUP(A290,'The List'!B1:I730,8,FALSE)</f>
        <v>-1.7979630022150137</v>
      </c>
      <c r="F290" s="38">
        <f>IF(Settings!$E$15="POINTS",E290-VLOOKUP(B$2,C1:E431,3,FALSE),J290)</f>
        <v>-5.9317900893474036</v>
      </c>
      <c r="G290" s="38"/>
      <c r="H290" s="138">
        <f>RANK(I290,I3:I431)</f>
        <v>273</v>
      </c>
      <c r="I290" s="139">
        <f>VLOOKUP(A290,'Standard Deviations'!A1:C731,3,FALSE)</f>
        <v>-1.7979630022150137</v>
      </c>
      <c r="J290" s="139">
        <f>I290-VLOOKUP(B$2,H1:J431,2,FALSE)</f>
        <v>-5.9317900893474036</v>
      </c>
    </row>
    <row r="291" spans="1:10" ht="21.2" customHeight="1">
      <c r="A291" s="8" t="s">
        <v>665</v>
      </c>
      <c r="B291" s="136" t="str">
        <f>VLOOKUP(A291,'The List'!B1:D730,3,FALSE)</f>
        <v>LW</v>
      </c>
      <c r="C291" s="137">
        <f>IF(Settings!$E$15="POINTS",RANK(E291,E3:E431),H291)</f>
        <v>285</v>
      </c>
      <c r="D291" s="34" t="str">
        <f>VLOOKUP(A291,'The List'!B1:F730,5,FALSE)</f>
        <v>WSH</v>
      </c>
      <c r="E291" s="38">
        <f>VLOOKUP(A291,'The List'!B1:I730,8,FALSE)</f>
        <v>-2.1352747828133083</v>
      </c>
      <c r="F291" s="38">
        <f>IF(Settings!$E$15="POINTS",E291-VLOOKUP(B$2,C1:E431,3,FALSE),J291)</f>
        <v>-6.2691018699456986</v>
      </c>
      <c r="G291" s="38"/>
      <c r="H291" s="138">
        <f>RANK(I291,I3:I431)</f>
        <v>285</v>
      </c>
      <c r="I291" s="139">
        <f>VLOOKUP(A291,'Standard Deviations'!A1:C731,3,FALSE)</f>
        <v>-2.1352747828133083</v>
      </c>
      <c r="J291" s="139">
        <f>I291-VLOOKUP(B$2,H1:J431,2,FALSE)</f>
        <v>-6.2691018699456986</v>
      </c>
    </row>
    <row r="292" spans="1:10" ht="21.2" customHeight="1">
      <c r="A292" s="8" t="s">
        <v>666</v>
      </c>
      <c r="B292" s="136" t="str">
        <f>VLOOKUP(A292,'The List'!B1:D730,3,FALSE)</f>
        <v>LW</v>
      </c>
      <c r="C292" s="137">
        <f>IF(Settings!$E$15="POINTS",RANK(E292,E3:E431),H292)</f>
        <v>315</v>
      </c>
      <c r="D292" s="34" t="str">
        <f>VLOOKUP(A292,'The List'!B1:F730,5,FALSE)</f>
        <v>CBJ</v>
      </c>
      <c r="E292" s="38">
        <f>VLOOKUP(A292,'The List'!B1:I730,8,FALSE)</f>
        <v>-2.7666407063710796</v>
      </c>
      <c r="F292" s="38">
        <f>IF(Settings!$E$15="POINTS",E292-VLOOKUP(B$2,C1:E431,3,FALSE),J292)</f>
        <v>-6.9004677935034699</v>
      </c>
      <c r="G292" s="38"/>
      <c r="H292" s="138">
        <f>RANK(I292,I3:I431)</f>
        <v>315</v>
      </c>
      <c r="I292" s="139">
        <f>VLOOKUP(A292,'Standard Deviations'!A1:C731,3,FALSE)</f>
        <v>-2.7666407063710796</v>
      </c>
      <c r="J292" s="139">
        <f>I292-VLOOKUP(B$2,H1:J431,2,FALSE)</f>
        <v>-6.9004677935034699</v>
      </c>
    </row>
    <row r="293" spans="1:10" ht="21.2" customHeight="1">
      <c r="A293" s="8" t="s">
        <v>630</v>
      </c>
      <c r="B293" s="136" t="str">
        <f>VLOOKUP(A293,'The List'!B1:D730,3,FALSE)</f>
        <v>RW</v>
      </c>
      <c r="C293" s="137">
        <f>IF(Settings!$E$15="POINTS",RANK(E293,E3:E431),H293)</f>
        <v>311</v>
      </c>
      <c r="D293" s="34" t="str">
        <f>VLOOKUP(A293,'The List'!B1:F730,5,FALSE)</f>
        <v>CHI</v>
      </c>
      <c r="E293" s="38">
        <f>VLOOKUP(A293,'The List'!B1:I730,8,FALSE)</f>
        <v>-2.6965536863636945</v>
      </c>
      <c r="F293" s="38">
        <f>IF(Settings!$E$15="POINTS",E293-VLOOKUP(B$2,C1:E431,3,FALSE),J293)</f>
        <v>-6.8303807734960849</v>
      </c>
      <c r="G293" s="38"/>
      <c r="H293" s="138">
        <f>RANK(I293,I3:I431)</f>
        <v>311</v>
      </c>
      <c r="I293" s="139">
        <f>VLOOKUP(A293,'Standard Deviations'!A1:C731,3,FALSE)</f>
        <v>-2.6965536863636945</v>
      </c>
      <c r="J293" s="139">
        <f>I293-VLOOKUP(B$2,H1:J431,2,FALSE)</f>
        <v>-6.8303807734960849</v>
      </c>
    </row>
    <row r="294" spans="1:10" ht="21.2" customHeight="1">
      <c r="A294" s="8" t="s">
        <v>632</v>
      </c>
      <c r="B294" s="136" t="str">
        <f>VLOOKUP(A294,'The List'!B1:D730,3,FALSE)</f>
        <v>C,LW,RW</v>
      </c>
      <c r="C294" s="137">
        <f>IF(Settings!$E$15="POINTS",RANK(E294,E3:E431),H294)</f>
        <v>290</v>
      </c>
      <c r="D294" s="34" t="str">
        <f>VLOOKUP(A294,'The List'!B1:F730,5,FALSE)</f>
        <v>UFA</v>
      </c>
      <c r="E294" s="38">
        <f>VLOOKUP(A294,'The List'!B1:I730,8,FALSE)</f>
        <v>-2.2738576876169145</v>
      </c>
      <c r="F294" s="38">
        <f>IF(Settings!$E$15="POINTS",E294-VLOOKUP(B$2,C1:E431,3,FALSE),J294)</f>
        <v>-6.4076847747493044</v>
      </c>
      <c r="G294" s="38"/>
      <c r="H294" s="138">
        <f>RANK(I294,I3:I431)</f>
        <v>290</v>
      </c>
      <c r="I294" s="139">
        <f>VLOOKUP(A294,'Standard Deviations'!A1:C731,3,FALSE)</f>
        <v>-2.2738576876169145</v>
      </c>
      <c r="J294" s="139">
        <f>I294-VLOOKUP(B$2,H1:J431,2,FALSE)</f>
        <v>-6.4076847747493044</v>
      </c>
    </row>
    <row r="295" spans="1:10" ht="21.2" customHeight="1">
      <c r="A295" s="8" t="s">
        <v>634</v>
      </c>
      <c r="B295" s="136" t="str">
        <f>VLOOKUP(A295,'The List'!B1:D730,3,FALSE)</f>
        <v>RW</v>
      </c>
      <c r="C295" s="137">
        <f>IF(Settings!$E$15="POINTS",RANK(E295,E3:E431),H295)</f>
        <v>306</v>
      </c>
      <c r="D295" s="34" t="str">
        <f>VLOOKUP(A295,'The List'!B1:F730,5,FALSE)</f>
        <v>BUF</v>
      </c>
      <c r="E295" s="38">
        <f>VLOOKUP(A295,'The List'!B1:I730,8,FALSE)</f>
        <v>-2.6238900985348073</v>
      </c>
      <c r="F295" s="38">
        <f>IF(Settings!$E$15="POINTS",E295-VLOOKUP(B$2,C1:E431,3,FALSE),J295)</f>
        <v>-6.7577171856671976</v>
      </c>
      <c r="G295" s="38"/>
      <c r="H295" s="138">
        <f>RANK(I295,I3:I431)</f>
        <v>306</v>
      </c>
      <c r="I295" s="139">
        <f>VLOOKUP(A295,'Standard Deviations'!A1:C731,3,FALSE)</f>
        <v>-2.6238900985348073</v>
      </c>
      <c r="J295" s="139">
        <f>I295-VLOOKUP(B$2,H1:J431,2,FALSE)</f>
        <v>-6.7577171856671976</v>
      </c>
    </row>
    <row r="296" spans="1:10" ht="21.2" customHeight="1">
      <c r="A296" s="8" t="s">
        <v>637</v>
      </c>
      <c r="B296" s="136" t="str">
        <f>VLOOKUP(A296,'The List'!B1:D730,3,FALSE)</f>
        <v>C,RW</v>
      </c>
      <c r="C296" s="137">
        <f>IF(Settings!$E$15="POINTS",RANK(E296,E3:E431),H296)</f>
        <v>329</v>
      </c>
      <c r="D296" s="34" t="str">
        <f>VLOOKUP(A296,'The List'!B1:F730,5,FALSE)</f>
        <v>NYR</v>
      </c>
      <c r="E296" s="38">
        <f>VLOOKUP(A296,'The List'!B1:I730,8,FALSE)</f>
        <v>-3.1333336128898788</v>
      </c>
      <c r="F296" s="38">
        <f>IF(Settings!$E$15="POINTS",E296-VLOOKUP(B$2,C1:E431,3,FALSE),J296)</f>
        <v>-7.2671607000222691</v>
      </c>
      <c r="G296" s="38"/>
      <c r="H296" s="138">
        <f>RANK(I296,I3:I431)</f>
        <v>329</v>
      </c>
      <c r="I296" s="139">
        <f>VLOOKUP(A296,'Standard Deviations'!A1:C731,3,FALSE)</f>
        <v>-3.1333336128898788</v>
      </c>
      <c r="J296" s="139">
        <f>I296-VLOOKUP(B$2,H1:J431,2,FALSE)</f>
        <v>-7.2671607000222691</v>
      </c>
    </row>
    <row r="297" spans="1:10" ht="21.2" customHeight="1">
      <c r="A297" s="8" t="s">
        <v>675</v>
      </c>
      <c r="B297" s="136" t="str">
        <f>VLOOKUP(A297,'The List'!B1:D730,3,FALSE)</f>
        <v>LW</v>
      </c>
      <c r="C297" s="137">
        <f>IF(Settings!$E$15="POINTS",RANK(E297,E3:E431),H297)</f>
        <v>302</v>
      </c>
      <c r="D297" s="34" t="str">
        <f>VLOOKUP(A297,'The List'!B1:F730,5,FALSE)</f>
        <v>UFA</v>
      </c>
      <c r="E297" s="38">
        <f>VLOOKUP(A297,'The List'!B1:I730,8,FALSE)</f>
        <v>-2.5634290665106083</v>
      </c>
      <c r="F297" s="38">
        <f>IF(Settings!$E$15="POINTS",E297-VLOOKUP(B$2,C1:E431,3,FALSE),J297)</f>
        <v>-6.6972561536429982</v>
      </c>
      <c r="G297" s="38"/>
      <c r="H297" s="138">
        <f>RANK(I297,I3:I431)</f>
        <v>302</v>
      </c>
      <c r="I297" s="139">
        <f>VLOOKUP(A297,'Standard Deviations'!A1:C731,3,FALSE)</f>
        <v>-2.5634290665106083</v>
      </c>
      <c r="J297" s="139">
        <f>I297-VLOOKUP(B$2,H1:J431,2,FALSE)</f>
        <v>-6.6972561536429982</v>
      </c>
    </row>
    <row r="298" spans="1:10" ht="21.2" customHeight="1">
      <c r="A298" s="8" t="s">
        <v>643</v>
      </c>
      <c r="B298" s="136" t="str">
        <f>VLOOKUP(A298,'The List'!B1:D730,3,FALSE)</f>
        <v>LW,RW</v>
      </c>
      <c r="C298" s="137">
        <f>IF(Settings!$E$15="POINTS",RANK(E298,E3:E431),H298)</f>
        <v>321</v>
      </c>
      <c r="D298" s="34" t="str">
        <f>VLOOKUP(A298,'The List'!B1:F730,5,FALSE)</f>
        <v>EDM</v>
      </c>
      <c r="E298" s="38">
        <f>VLOOKUP(A298,'The List'!B1:I730,8,FALSE)</f>
        <v>-2.885786457550918</v>
      </c>
      <c r="F298" s="38">
        <f>IF(Settings!$E$15="POINTS",E298-VLOOKUP(B$2,C1:E431,3,FALSE),J298)</f>
        <v>-7.0196135446833079</v>
      </c>
      <c r="G298" s="38"/>
      <c r="H298" s="138">
        <f>RANK(I298,I3:I431)</f>
        <v>321</v>
      </c>
      <c r="I298" s="139">
        <f>VLOOKUP(A298,'Standard Deviations'!A1:C731,3,FALSE)</f>
        <v>-2.885786457550918</v>
      </c>
      <c r="J298" s="139">
        <f>I298-VLOOKUP(B$2,H1:J431,2,FALSE)</f>
        <v>-7.0196135446833079</v>
      </c>
    </row>
    <row r="299" spans="1:10" ht="21.2" customHeight="1">
      <c r="A299" s="8" t="s">
        <v>644</v>
      </c>
      <c r="B299" s="136" t="str">
        <f>VLOOKUP(A299,'The List'!B1:D730,3,FALSE)</f>
        <v>RW</v>
      </c>
      <c r="C299" s="137">
        <f>IF(Settings!$E$15="POINTS",RANK(E299,E3:E431),H299)</f>
        <v>326</v>
      </c>
      <c r="D299" s="34" t="str">
        <f>VLOOKUP(A299,'The List'!B1:F730,5,FALSE)</f>
        <v>COL</v>
      </c>
      <c r="E299" s="38">
        <f>VLOOKUP(A299,'The List'!B1:I730,8,FALSE)</f>
        <v>-3.0930672637696235</v>
      </c>
      <c r="F299" s="38">
        <f>IF(Settings!$E$15="POINTS",E299-VLOOKUP(B$2,C1:E431,3,FALSE),J299)</f>
        <v>-7.2268943509020138</v>
      </c>
      <c r="G299" s="38"/>
      <c r="H299" s="138">
        <f>RANK(I299,I3:I431)</f>
        <v>326</v>
      </c>
      <c r="I299" s="139">
        <f>VLOOKUP(A299,'Standard Deviations'!A1:C731,3,FALSE)</f>
        <v>-3.0930672637696235</v>
      </c>
      <c r="J299" s="139">
        <f>I299-VLOOKUP(B$2,H1:J431,2,FALSE)</f>
        <v>-7.2268943509020138</v>
      </c>
    </row>
    <row r="300" spans="1:10" ht="21.2" customHeight="1">
      <c r="A300" s="8" t="s">
        <v>645</v>
      </c>
      <c r="B300" s="136" t="str">
        <f>VLOOKUP(A300,'The List'!B1:D730,3,FALSE)</f>
        <v>C,RW</v>
      </c>
      <c r="C300" s="137">
        <f>IF(Settings!$E$15="POINTS",RANK(E300,E3:E431),H300)</f>
        <v>313</v>
      </c>
      <c r="D300" s="34" t="str">
        <f>VLOOKUP(A300,'The List'!B1:F730,5,FALSE)</f>
        <v>TOR</v>
      </c>
      <c r="E300" s="38">
        <f>VLOOKUP(A300,'The List'!B1:I730,8,FALSE)</f>
        <v>-2.7424901688594581</v>
      </c>
      <c r="F300" s="38">
        <f>IF(Settings!$E$15="POINTS",E300-VLOOKUP(B$2,C1:E431,3,FALSE),J300)</f>
        <v>-6.8763172559918484</v>
      </c>
      <c r="G300" s="38"/>
      <c r="H300" s="138">
        <f>RANK(I300,I3:I431)</f>
        <v>313</v>
      </c>
      <c r="I300" s="139">
        <f>VLOOKUP(A300,'Standard Deviations'!A1:C731,3,FALSE)</f>
        <v>-2.7424901688594581</v>
      </c>
      <c r="J300" s="139">
        <f>I300-VLOOKUP(B$2,H1:J431,2,FALSE)</f>
        <v>-6.8763172559918484</v>
      </c>
    </row>
    <row r="301" spans="1:10" ht="21.2" customHeight="1">
      <c r="A301" s="8" t="s">
        <v>678</v>
      </c>
      <c r="B301" s="136" t="str">
        <f>VLOOKUP(A301,'The List'!B1:D730,3,FALSE)</f>
        <v>LW</v>
      </c>
      <c r="C301" s="137">
        <f>IF(Settings!$E$15="POINTS",RANK(E301,E3:E431),H301)</f>
        <v>252</v>
      </c>
      <c r="D301" s="34" t="str">
        <f>VLOOKUP(A301,'The List'!B1:F730,5,FALSE)</f>
        <v>VAN</v>
      </c>
      <c r="E301" s="38">
        <f>VLOOKUP(A301,'The List'!B1:I730,8,FALSE)</f>
        <v>-1.0544852869670454</v>
      </c>
      <c r="F301" s="38">
        <f>IF(Settings!$E$15="POINTS",E301-VLOOKUP(B$2,C1:E431,3,FALSE),J301)</f>
        <v>-5.1883123740994357</v>
      </c>
      <c r="G301" s="38"/>
      <c r="H301" s="138">
        <f>RANK(I301,I3:I431)</f>
        <v>252</v>
      </c>
      <c r="I301" s="139">
        <f>VLOOKUP(A301,'Standard Deviations'!A1:C731,3,FALSE)</f>
        <v>-1.0544852869670454</v>
      </c>
      <c r="J301" s="139">
        <f>I301-VLOOKUP(B$2,H1:J431,2,FALSE)</f>
        <v>-5.1883123740994357</v>
      </c>
    </row>
    <row r="302" spans="1:10" ht="21.2" customHeight="1">
      <c r="A302" s="8" t="s">
        <v>705</v>
      </c>
      <c r="B302" s="136" t="str">
        <f>VLOOKUP(A302,'The List'!B1:D730,3,FALSE)</f>
        <v>C</v>
      </c>
      <c r="C302" s="137">
        <f>IF(Settings!$E$15="POINTS",RANK(E302,E3:E431),H302)</f>
        <v>342</v>
      </c>
      <c r="D302" s="34" t="str">
        <f>VLOOKUP(A302,'The List'!B1:F730,5,FALSE)</f>
        <v>TOR</v>
      </c>
      <c r="E302" s="38">
        <f>VLOOKUP(A302,'The List'!B1:I730,8,FALSE)</f>
        <v>-3.2758866960987159</v>
      </c>
      <c r="F302" s="38">
        <f>IF(Settings!$E$15="POINTS",E302-VLOOKUP(B$2,C1:E431,3,FALSE),J302)</f>
        <v>-7.4097137832311066</v>
      </c>
      <c r="G302" s="38"/>
      <c r="H302" s="138">
        <f>RANK(I302,I3:I431)</f>
        <v>342</v>
      </c>
      <c r="I302" s="139">
        <f>VLOOKUP(A302,'Standard Deviations'!A1:C731,3,FALSE)</f>
        <v>-3.2758866960987159</v>
      </c>
      <c r="J302" s="139">
        <f>I302-VLOOKUP(B$2,H1:J431,2,FALSE)</f>
        <v>-7.4097137832311066</v>
      </c>
    </row>
    <row r="303" spans="1:10" ht="21.2" customHeight="1">
      <c r="A303" s="8" t="s">
        <v>646</v>
      </c>
      <c r="B303" s="136" t="str">
        <f>VLOOKUP(A303,'The List'!B1:D730,3,FALSE)</f>
        <v>RW</v>
      </c>
      <c r="C303" s="137">
        <f>IF(Settings!$E$15="POINTS",RANK(E303,E3:E431),H303)</f>
        <v>323</v>
      </c>
      <c r="D303" s="34" t="str">
        <f>VLOOKUP(A303,'The List'!B1:F730,5,FALSE)</f>
        <v>OTT</v>
      </c>
      <c r="E303" s="38">
        <f>VLOOKUP(A303,'The List'!B1:I730,8,FALSE)</f>
        <v>-2.9760154989923975</v>
      </c>
      <c r="F303" s="38">
        <f>IF(Settings!$E$15="POINTS",E303-VLOOKUP(B$2,C1:E431,3,FALSE),J303)</f>
        <v>-7.1098425861247883</v>
      </c>
      <c r="G303" s="38"/>
      <c r="H303" s="138">
        <f>RANK(I303,I3:I431)</f>
        <v>323</v>
      </c>
      <c r="I303" s="139">
        <f>VLOOKUP(A303,'Standard Deviations'!A1:C731,3,FALSE)</f>
        <v>-2.9760154989923975</v>
      </c>
      <c r="J303" s="139">
        <f>I303-VLOOKUP(B$2,H1:J431,2,FALSE)</f>
        <v>-7.1098425861247883</v>
      </c>
    </row>
    <row r="304" spans="1:10" ht="21.2" customHeight="1">
      <c r="A304" s="8" t="s">
        <v>648</v>
      </c>
      <c r="B304" s="136" t="str">
        <f>VLOOKUP(A304,'The List'!B1:D730,3,FALSE)</f>
        <v>RW</v>
      </c>
      <c r="C304" s="137">
        <f>IF(Settings!$E$15="POINTS",RANK(E304,E3:E431),H304)</f>
        <v>199</v>
      </c>
      <c r="D304" s="34" t="str">
        <f>VLOOKUP(A304,'The List'!B1:F730,5,FALSE)</f>
        <v>BUF</v>
      </c>
      <c r="E304" s="38">
        <f>VLOOKUP(A304,'The List'!B1:I730,8,FALSE)</f>
        <v>0.45010488439175816</v>
      </c>
      <c r="F304" s="38">
        <f>IF(Settings!$E$15="POINTS",E304-VLOOKUP(B$2,C1:E431,3,FALSE),J304)</f>
        <v>-3.6837222027406322</v>
      </c>
      <c r="G304" s="38"/>
      <c r="H304" s="138">
        <f>RANK(I304,I3:I431)</f>
        <v>199</v>
      </c>
      <c r="I304" s="139">
        <f>VLOOKUP(A304,'Standard Deviations'!A1:C731,3,FALSE)</f>
        <v>0.45010488439175816</v>
      </c>
      <c r="J304" s="139">
        <f>I304-VLOOKUP(B$2,H1:J431,2,FALSE)</f>
        <v>-3.6837222027406322</v>
      </c>
    </row>
    <row r="305" spans="1:10" ht="21.2" customHeight="1">
      <c r="A305" s="8" t="s">
        <v>649</v>
      </c>
      <c r="B305" s="136" t="str">
        <f>VLOOKUP(A305,'The List'!B1:D730,3,FALSE)</f>
        <v>RW</v>
      </c>
      <c r="C305" s="137">
        <f>IF(Settings!$E$15="POINTS",RANK(E305,E3:E431),H305)</f>
        <v>330</v>
      </c>
      <c r="D305" s="34" t="str">
        <f>VLOOKUP(A305,'The List'!B1:F730,5,FALSE)</f>
        <v>CAR</v>
      </c>
      <c r="E305" s="38">
        <f>VLOOKUP(A305,'The List'!B1:I730,8,FALSE)</f>
        <v>-3.1350340136177088</v>
      </c>
      <c r="F305" s="38">
        <f>IF(Settings!$E$15="POINTS",E305-VLOOKUP(B$2,C1:E431,3,FALSE),J305)</f>
        <v>-7.2688611007500992</v>
      </c>
      <c r="G305" s="38"/>
      <c r="H305" s="138">
        <f>RANK(I305,I3:I431)</f>
        <v>330</v>
      </c>
      <c r="I305" s="139">
        <f>VLOOKUP(A305,'Standard Deviations'!A1:C731,3,FALSE)</f>
        <v>-3.1350340136177088</v>
      </c>
      <c r="J305" s="139">
        <f>I305-VLOOKUP(B$2,H1:J431,2,FALSE)</f>
        <v>-7.2688611007500992</v>
      </c>
    </row>
    <row r="306" spans="1:10" ht="21.2" customHeight="1">
      <c r="A306" s="8" t="s">
        <v>650</v>
      </c>
      <c r="B306" s="136" t="str">
        <f>VLOOKUP(A306,'The List'!B1:D730,3,FALSE)</f>
        <v>RW</v>
      </c>
      <c r="C306" s="137">
        <f>IF(Settings!$E$15="POINTS",RANK(E306,E3:E431),H306)</f>
        <v>298</v>
      </c>
      <c r="D306" s="34" t="str">
        <f>VLOOKUP(A306,'The List'!B1:F730,5,FALSE)</f>
        <v>UFA</v>
      </c>
      <c r="E306" s="38">
        <f>VLOOKUP(A306,'The List'!B1:I730,8,FALSE)</f>
        <v>-2.3948610898173408</v>
      </c>
      <c r="F306" s="38">
        <f>IF(Settings!$E$15="POINTS",E306-VLOOKUP(B$2,C1:E431,3,FALSE),J306)</f>
        <v>-6.5286881769497311</v>
      </c>
      <c r="G306" s="38"/>
      <c r="H306" s="138">
        <f>RANK(I306,I3:I431)</f>
        <v>298</v>
      </c>
      <c r="I306" s="139">
        <f>VLOOKUP(A306,'Standard Deviations'!A1:C731,3,FALSE)</f>
        <v>-2.3948610898173408</v>
      </c>
      <c r="J306" s="139">
        <f>I306-VLOOKUP(B$2,H1:J431,2,FALSE)</f>
        <v>-6.5286881769497311</v>
      </c>
    </row>
    <row r="307" spans="1:10" ht="21.2" customHeight="1">
      <c r="A307" s="8" t="s">
        <v>710</v>
      </c>
      <c r="B307" s="136" t="str">
        <f>VLOOKUP(A307,'The List'!B1:D730,3,FALSE)</f>
        <v>C</v>
      </c>
      <c r="C307" s="137">
        <f>IF(Settings!$E$15="POINTS",RANK(E307,E3:E431),H307)</f>
        <v>332</v>
      </c>
      <c r="D307" s="34" t="str">
        <f>VLOOKUP(A307,'The List'!B1:F730,5,FALSE)</f>
        <v>PIT</v>
      </c>
      <c r="E307" s="38">
        <f>VLOOKUP(A307,'The List'!B1:I730,8,FALSE)</f>
        <v>-3.176771943551878</v>
      </c>
      <c r="F307" s="38">
        <f>IF(Settings!$E$15="POINTS",E307-VLOOKUP(B$2,C1:E431,3,FALSE),J307)</f>
        <v>-7.3105990306842683</v>
      </c>
      <c r="G307" s="38"/>
      <c r="H307" s="138">
        <f>RANK(I307,I3:I431)</f>
        <v>332</v>
      </c>
      <c r="I307" s="139">
        <f>VLOOKUP(A307,'Standard Deviations'!A1:C731,3,FALSE)</f>
        <v>-3.176771943551878</v>
      </c>
      <c r="J307" s="139">
        <f>I307-VLOOKUP(B$2,H1:J431,2,FALSE)</f>
        <v>-7.3105990306842683</v>
      </c>
    </row>
    <row r="308" spans="1:10" ht="21.2" customHeight="1">
      <c r="A308" s="8" t="s">
        <v>689</v>
      </c>
      <c r="B308" s="136" t="str">
        <f>VLOOKUP(A308,'The List'!B1:D730,3,FALSE)</f>
        <v>LW</v>
      </c>
      <c r="C308" s="137">
        <f>IF(Settings!$E$15="POINTS",RANK(E308,E3:E431),H308)</f>
        <v>296</v>
      </c>
      <c r="D308" s="34" t="str">
        <f>VLOOKUP(A308,'The List'!B1:F730,5,FALSE)</f>
        <v>CBJ</v>
      </c>
      <c r="E308" s="38">
        <f>VLOOKUP(A308,'The List'!B1:I730,8,FALSE)</f>
        <v>-2.3675446458818015</v>
      </c>
      <c r="F308" s="38">
        <f>IF(Settings!$E$15="POINTS",E308-VLOOKUP(B$2,C1:E431,3,FALSE),J308)</f>
        <v>-6.5013717330141922</v>
      </c>
      <c r="G308" s="38"/>
      <c r="H308" s="138">
        <f>RANK(I308,I3:I431)</f>
        <v>296</v>
      </c>
      <c r="I308" s="139">
        <f>VLOOKUP(A308,'Standard Deviations'!A1:C731,3,FALSE)</f>
        <v>-2.3675446458818015</v>
      </c>
      <c r="J308" s="139">
        <f>I308-VLOOKUP(B$2,H1:J431,2,FALSE)</f>
        <v>-6.5013717330141922</v>
      </c>
    </row>
    <row r="309" spans="1:10" ht="21.2" customHeight="1">
      <c r="A309" s="8" t="s">
        <v>658</v>
      </c>
      <c r="B309" s="136" t="str">
        <f>VLOOKUP(A309,'The List'!B1:D730,3,FALSE)</f>
        <v>C,RW</v>
      </c>
      <c r="C309" s="137">
        <f>IF(Settings!$E$15="POINTS",RANK(E309,E3:E431),H309)</f>
        <v>333</v>
      </c>
      <c r="D309" s="34" t="str">
        <f>VLOOKUP(A309,'The List'!B1:F730,5,FALSE)</f>
        <v>FLA</v>
      </c>
      <c r="E309" s="38">
        <f>VLOOKUP(A309,'The List'!B1:I730,8,FALSE)</f>
        <v>-3.1769567964247893</v>
      </c>
      <c r="F309" s="38">
        <f>IF(Settings!$E$15="POINTS",E309-VLOOKUP(B$2,C1:E431,3,FALSE),J309)</f>
        <v>-7.3107838835571801</v>
      </c>
      <c r="G309" s="38"/>
      <c r="H309" s="138">
        <f>RANK(I309,I3:I431)</f>
        <v>333</v>
      </c>
      <c r="I309" s="139">
        <f>VLOOKUP(A309,'Standard Deviations'!A1:C731,3,FALSE)</f>
        <v>-3.1769567964247893</v>
      </c>
      <c r="J309" s="139">
        <f>I309-VLOOKUP(B$2,H1:J431,2,FALSE)</f>
        <v>-7.3107838835571801</v>
      </c>
    </row>
    <row r="310" spans="1:10" ht="21.2" customHeight="1">
      <c r="A310" s="8" t="s">
        <v>695</v>
      </c>
      <c r="B310" s="136" t="str">
        <f>VLOOKUP(A310,'The List'!B1:D730,3,FALSE)</f>
        <v>C,LW</v>
      </c>
      <c r="C310" s="137">
        <f>IF(Settings!$E$15="POINTS",RANK(E310,E3:E431),H310)</f>
        <v>337</v>
      </c>
      <c r="D310" s="34" t="str">
        <f>VLOOKUP(A310,'The List'!B1:F730,5,FALSE)</f>
        <v>WPG</v>
      </c>
      <c r="E310" s="38">
        <f>VLOOKUP(A310,'The List'!B1:I730,8,FALSE)</f>
        <v>-3.2061896101337308</v>
      </c>
      <c r="F310" s="38">
        <f>IF(Settings!$E$15="POINTS",E310-VLOOKUP(B$2,C1:E431,3,FALSE),J310)</f>
        <v>-7.3400166972661207</v>
      </c>
      <c r="G310" s="38"/>
      <c r="H310" s="138">
        <f>RANK(I310,I3:I431)</f>
        <v>337</v>
      </c>
      <c r="I310" s="139">
        <f>VLOOKUP(A310,'Standard Deviations'!A1:C731,3,FALSE)</f>
        <v>-3.2061896101337308</v>
      </c>
      <c r="J310" s="139">
        <f>I310-VLOOKUP(B$2,H1:J431,2,FALSE)</f>
        <v>-7.3400166972661207</v>
      </c>
    </row>
    <row r="311" spans="1:10" ht="21.2" customHeight="1">
      <c r="A311" s="8" t="s">
        <v>659</v>
      </c>
      <c r="B311" s="136" t="str">
        <f>VLOOKUP(A311,'The List'!B1:D730,3,FALSE)</f>
        <v>C,LW,RW</v>
      </c>
      <c r="C311" s="137">
        <f>IF(Settings!$E$15="POINTS",RANK(E311,E3:E431),H311)</f>
        <v>299</v>
      </c>
      <c r="D311" s="34" t="str">
        <f>VLOOKUP(A311,'The List'!B1:F730,5,FALSE)</f>
        <v>VGK</v>
      </c>
      <c r="E311" s="38">
        <f>VLOOKUP(A311,'The List'!B1:I730,8,FALSE)</f>
        <v>-2.3998666408683369</v>
      </c>
      <c r="F311" s="38">
        <f>IF(Settings!$E$15="POINTS",E311-VLOOKUP(B$2,C1:E431,3,FALSE),J311)</f>
        <v>-6.5336937280007277</v>
      </c>
      <c r="G311" s="38"/>
      <c r="H311" s="138">
        <f>RANK(I311,I3:I431)</f>
        <v>299</v>
      </c>
      <c r="I311" s="139">
        <f>VLOOKUP(A311,'Standard Deviations'!A1:C731,3,FALSE)</f>
        <v>-2.3998666408683369</v>
      </c>
      <c r="J311" s="139">
        <f>I311-VLOOKUP(B$2,H1:J431,2,FALSE)</f>
        <v>-6.5336937280007277</v>
      </c>
    </row>
    <row r="312" spans="1:10" ht="21.2" customHeight="1">
      <c r="A312" s="8" t="s">
        <v>716</v>
      </c>
      <c r="B312" s="136" t="str">
        <f>VLOOKUP(A312,'The List'!B1:D730,3,FALSE)</f>
        <v>C</v>
      </c>
      <c r="C312" s="137">
        <f>IF(Settings!$E$15="POINTS",RANK(E312,E3:E431),H312)</f>
        <v>334</v>
      </c>
      <c r="D312" s="34" t="str">
        <f>VLOOKUP(A312,'The List'!B1:F730,5,FALSE)</f>
        <v>MTL</v>
      </c>
      <c r="E312" s="38">
        <f>VLOOKUP(A312,'The List'!B1:I730,8,FALSE)</f>
        <v>-3.181183264652045</v>
      </c>
      <c r="F312" s="38">
        <f>IF(Settings!$E$15="POINTS",E312-VLOOKUP(B$2,C1:E431,3,FALSE),J312)</f>
        <v>-7.3150103517844354</v>
      </c>
      <c r="G312" s="38"/>
      <c r="H312" s="138">
        <f>RANK(I312,I3:I431)</f>
        <v>334</v>
      </c>
      <c r="I312" s="139">
        <f>VLOOKUP(A312,'Standard Deviations'!A1:C731,3,FALSE)</f>
        <v>-3.181183264652045</v>
      </c>
      <c r="J312" s="139">
        <f>I312-VLOOKUP(B$2,H1:J431,2,FALSE)</f>
        <v>-7.3150103517844354</v>
      </c>
    </row>
    <row r="313" spans="1:10" ht="21.2" customHeight="1">
      <c r="A313" s="8" t="s">
        <v>664</v>
      </c>
      <c r="B313" s="136" t="str">
        <f>VLOOKUP(A313,'The List'!B1:D730,3,FALSE)</f>
        <v>RW</v>
      </c>
      <c r="C313" s="137">
        <f>IF(Settings!$E$15="POINTS",RANK(E313,E3:E431),H313)</f>
        <v>327</v>
      </c>
      <c r="D313" s="34" t="str">
        <f>VLOOKUP(A313,'The List'!B1:F730,5,FALSE)</f>
        <v>DAL</v>
      </c>
      <c r="E313" s="38">
        <f>VLOOKUP(A313,'The List'!B1:I730,8,FALSE)</f>
        <v>-3.0952613951950108</v>
      </c>
      <c r="F313" s="38">
        <f>IF(Settings!$E$15="POINTS",E313-VLOOKUP(B$2,C1:E431,3,FALSE),J313)</f>
        <v>-7.2290884823274011</v>
      </c>
      <c r="G313" s="38"/>
      <c r="H313" s="138">
        <f>RANK(I313,I3:I431)</f>
        <v>327</v>
      </c>
      <c r="I313" s="139">
        <f>VLOOKUP(A313,'Standard Deviations'!A1:C731,3,FALSE)</f>
        <v>-3.0952613951950108</v>
      </c>
      <c r="J313" s="139">
        <f>I313-VLOOKUP(B$2,H1:J431,2,FALSE)</f>
        <v>-7.2290884823274011</v>
      </c>
    </row>
    <row r="314" spans="1:10" ht="21.2" customHeight="1">
      <c r="A314" s="8" t="s">
        <v>699</v>
      </c>
      <c r="B314" s="136" t="str">
        <f>VLOOKUP(A314,'The List'!B1:D730,3,FALSE)</f>
        <v>C,LW</v>
      </c>
      <c r="C314" s="137">
        <f>IF(Settings!$E$15="POINTS",RANK(E314,E3:E431),H314)</f>
        <v>343</v>
      </c>
      <c r="D314" s="34" t="str">
        <f>VLOOKUP(A314,'The List'!B1:F730,5,FALSE)</f>
        <v>VAN</v>
      </c>
      <c r="E314" s="38">
        <f>VLOOKUP(A314,'The List'!B1:I730,8,FALSE)</f>
        <v>-3.2771970947890514</v>
      </c>
      <c r="F314" s="38">
        <f>IF(Settings!$E$15="POINTS",E314-VLOOKUP(B$2,C1:E431,3,FALSE),J314)</f>
        <v>-7.4110241819214417</v>
      </c>
      <c r="G314" s="38"/>
      <c r="H314" s="138">
        <f>RANK(I314,I3:I431)</f>
        <v>343</v>
      </c>
      <c r="I314" s="139">
        <f>VLOOKUP(A314,'Standard Deviations'!A1:C731,3,FALSE)</f>
        <v>-3.2771970947890514</v>
      </c>
      <c r="J314" s="139">
        <f>I314-VLOOKUP(B$2,H1:J431,2,FALSE)</f>
        <v>-7.4110241819214417</v>
      </c>
    </row>
    <row r="315" spans="1:10" ht="21.2" customHeight="1">
      <c r="A315" s="8" t="s">
        <v>700</v>
      </c>
      <c r="B315" s="136" t="str">
        <f>VLOOKUP(A315,'The List'!B1:D730,3,FALSE)</f>
        <v>C,LW</v>
      </c>
      <c r="C315" s="137">
        <f>IF(Settings!$E$15="POINTS",RANK(E315,E3:E431),H315)</f>
        <v>262</v>
      </c>
      <c r="D315" s="34" t="str">
        <f>VLOOKUP(A315,'The List'!B1:F730,5,FALSE)</f>
        <v>CGY</v>
      </c>
      <c r="E315" s="38">
        <f>VLOOKUP(A315,'The List'!B1:I730,8,FALSE)</f>
        <v>-1.4147091682657735</v>
      </c>
      <c r="F315" s="38">
        <f>IF(Settings!$E$15="POINTS",E315-VLOOKUP(B$2,C1:E431,3,FALSE),J315)</f>
        <v>-5.5485362553981634</v>
      </c>
      <c r="G315" s="38"/>
      <c r="H315" s="138">
        <f>RANK(I315,I3:I431)</f>
        <v>262</v>
      </c>
      <c r="I315" s="139">
        <f>VLOOKUP(A315,'Standard Deviations'!A1:C731,3,FALSE)</f>
        <v>-1.4147091682657735</v>
      </c>
      <c r="J315" s="139">
        <f>I315-VLOOKUP(B$2,H1:J431,2,FALSE)</f>
        <v>-5.5485362553981634</v>
      </c>
    </row>
    <row r="316" spans="1:10" ht="21.2" customHeight="1">
      <c r="A316" s="8" t="s">
        <v>667</v>
      </c>
      <c r="B316" s="136" t="str">
        <f>VLOOKUP(A316,'The List'!B1:D730,3,FALSE)</f>
        <v>C,RW</v>
      </c>
      <c r="C316" s="137">
        <f>IF(Settings!$E$15="POINTS",RANK(E316,E3:E431),H316)</f>
        <v>324</v>
      </c>
      <c r="D316" s="34" t="str">
        <f>VLOOKUP(A316,'The List'!B1:F730,5,FALSE)</f>
        <v>DAL</v>
      </c>
      <c r="E316" s="38">
        <f>VLOOKUP(A316,'The List'!B1:I730,8,FALSE)</f>
        <v>-3.0212929414005476</v>
      </c>
      <c r="F316" s="38">
        <f>IF(Settings!$E$15="POINTS",E316-VLOOKUP(B$2,C1:E431,3,FALSE),J316)</f>
        <v>-7.1551200285329379</v>
      </c>
      <c r="G316" s="38"/>
      <c r="H316" s="138">
        <f>RANK(I316,I3:I431)</f>
        <v>324</v>
      </c>
      <c r="I316" s="139">
        <f>VLOOKUP(A316,'Standard Deviations'!A1:C731,3,FALSE)</f>
        <v>-3.0212929414005476</v>
      </c>
      <c r="J316" s="139">
        <f>I316-VLOOKUP(B$2,H1:J431,2,FALSE)</f>
        <v>-7.1551200285329379</v>
      </c>
    </row>
    <row r="317" spans="1:10" ht="21.2" customHeight="1">
      <c r="A317" s="8" t="s">
        <v>668</v>
      </c>
      <c r="B317" s="136" t="str">
        <f>VLOOKUP(A317,'The List'!B1:D730,3,FALSE)</f>
        <v>RW</v>
      </c>
      <c r="C317" s="137">
        <f>IF(Settings!$E$15="POINTS",RANK(E317,E3:E431),H317)</f>
        <v>269</v>
      </c>
      <c r="D317" s="34" t="str">
        <f>VLOOKUP(A317,'The List'!B1:F730,5,FALSE)</f>
        <v>NJD</v>
      </c>
      <c r="E317" s="38">
        <f>VLOOKUP(A317,'The List'!B1:I730,8,FALSE)</f>
        <v>-1.5257614178577437</v>
      </c>
      <c r="F317" s="38">
        <f>IF(Settings!$E$15="POINTS",E317-VLOOKUP(B$2,C1:E431,3,FALSE),J317)</f>
        <v>-5.6595885049901344</v>
      </c>
      <c r="G317" s="38"/>
      <c r="H317" s="138">
        <f>RANK(I317,I3:I431)</f>
        <v>269</v>
      </c>
      <c r="I317" s="139">
        <f>VLOOKUP(A317,'Standard Deviations'!A1:C731,3,FALSE)</f>
        <v>-1.5257614178577437</v>
      </c>
      <c r="J317" s="139">
        <f>I317-VLOOKUP(B$2,H1:J431,2,FALSE)</f>
        <v>-5.6595885049901344</v>
      </c>
    </row>
    <row r="318" spans="1:10" ht="21.2" customHeight="1">
      <c r="A318" s="8" t="s">
        <v>670</v>
      </c>
      <c r="B318" s="136" t="str">
        <f>VLOOKUP(A318,'The List'!B1:D730,3,FALSE)</f>
        <v>LW,RW</v>
      </c>
      <c r="C318" s="137">
        <f>IF(Settings!$E$15="POINTS",RANK(E318,E3:E431),H318)</f>
        <v>328</v>
      </c>
      <c r="D318" s="34" t="str">
        <f>VLOOKUP(A318,'The List'!B1:F730,5,FALSE)</f>
        <v>UFA</v>
      </c>
      <c r="E318" s="38">
        <f>VLOOKUP(A318,'The List'!B1:I730,8,FALSE)</f>
        <v>-3.1225923403291196</v>
      </c>
      <c r="F318" s="38">
        <f>IF(Settings!$E$15="POINTS",E318-VLOOKUP(B$2,C1:E431,3,FALSE),J318)</f>
        <v>-7.2564194274615099</v>
      </c>
      <c r="G318" s="38"/>
      <c r="H318" s="138">
        <f>RANK(I318,I3:I431)</f>
        <v>328</v>
      </c>
      <c r="I318" s="139">
        <f>VLOOKUP(A318,'Standard Deviations'!A1:C731,3,FALSE)</f>
        <v>-3.1225923403291196</v>
      </c>
      <c r="J318" s="139">
        <f>I318-VLOOKUP(B$2,H1:J431,2,FALSE)</f>
        <v>-7.2564194274615099</v>
      </c>
    </row>
    <row r="319" spans="1:10" ht="21.2" customHeight="1">
      <c r="A319" s="8" t="s">
        <v>673</v>
      </c>
      <c r="B319" s="136" t="str">
        <f>VLOOKUP(A319,'The List'!B1:D730,3,FALSE)</f>
        <v>RW</v>
      </c>
      <c r="C319" s="137">
        <f>IF(Settings!$E$15="POINTS",RANK(E319,E3:E431),H319)</f>
        <v>305</v>
      </c>
      <c r="D319" s="34" t="str">
        <f>VLOOKUP(A319,'The List'!B1:F730,5,FALSE)</f>
        <v>PHI</v>
      </c>
      <c r="E319" s="38">
        <f>VLOOKUP(A319,'The List'!B1:I730,8,FALSE)</f>
        <v>-2.6193532114010392</v>
      </c>
      <c r="F319" s="38">
        <f>IF(Settings!$E$15="POINTS",E319-VLOOKUP(B$2,C1:E431,3,FALSE),J319)</f>
        <v>-6.7531802985334295</v>
      </c>
      <c r="G319" s="38"/>
      <c r="H319" s="138">
        <f>RANK(I319,I3:I431)</f>
        <v>305</v>
      </c>
      <c r="I319" s="139">
        <f>VLOOKUP(A319,'Standard Deviations'!A1:C731,3,FALSE)</f>
        <v>-2.6193532114010392</v>
      </c>
      <c r="J319" s="139">
        <f>I319-VLOOKUP(B$2,H1:J431,2,FALSE)</f>
        <v>-6.7531802985334295</v>
      </c>
    </row>
    <row r="320" spans="1:10" ht="21.2" customHeight="1">
      <c r="A320" s="8" t="s">
        <v>721</v>
      </c>
      <c r="B320" s="136" t="str">
        <f>VLOOKUP(A320,'The List'!B1:D730,3,FALSE)</f>
        <v>C</v>
      </c>
      <c r="C320" s="137">
        <f>IF(Settings!$E$15="POINTS",RANK(E320,E3:E431),H320)</f>
        <v>351</v>
      </c>
      <c r="D320" s="34" t="str">
        <f>VLOOKUP(A320,'The List'!B1:F730,5,FALSE)</f>
        <v>BUF</v>
      </c>
      <c r="E320" s="38">
        <f>VLOOKUP(A320,'The List'!B1:I730,8,FALSE)</f>
        <v>-3.3766255928054751</v>
      </c>
      <c r="F320" s="38">
        <f>IF(Settings!$E$15="POINTS",E320-VLOOKUP(B$2,C1:E431,3,FALSE),J320)</f>
        <v>-7.510452679937865</v>
      </c>
      <c r="G320" s="38"/>
      <c r="H320" s="138">
        <f>RANK(I320,I3:I431)</f>
        <v>351</v>
      </c>
      <c r="I320" s="139">
        <f>VLOOKUP(A320,'Standard Deviations'!A1:C731,3,FALSE)</f>
        <v>-3.3766255928054751</v>
      </c>
      <c r="J320" s="139">
        <f>I320-VLOOKUP(B$2,H1:J431,2,FALSE)</f>
        <v>-7.510452679937865</v>
      </c>
    </row>
    <row r="321" spans="1:10" ht="21.2" customHeight="1">
      <c r="A321" s="8" t="s">
        <v>704</v>
      </c>
      <c r="B321" s="136" t="str">
        <f>VLOOKUP(A321,'The List'!B1:D730,3,FALSE)</f>
        <v>LW</v>
      </c>
      <c r="C321" s="137">
        <f>IF(Settings!$E$15="POINTS",RANK(E321,E3:E431),H321)</f>
        <v>340</v>
      </c>
      <c r="D321" s="34" t="str">
        <f>VLOOKUP(A321,'The List'!B1:F730,5,FALSE)</f>
        <v>BUF</v>
      </c>
      <c r="E321" s="38">
        <f>VLOOKUP(A321,'The List'!B1:I730,8,FALSE)</f>
        <v>-3.2601939343875066</v>
      </c>
      <c r="F321" s="38">
        <f>IF(Settings!$E$15="POINTS",E321-VLOOKUP(B$2,C1:E431,3,FALSE),J321)</f>
        <v>-7.3940210215198974</v>
      </c>
      <c r="G321" s="38"/>
      <c r="H321" s="138">
        <f>RANK(I321,I3:I431)</f>
        <v>340</v>
      </c>
      <c r="I321" s="139">
        <f>VLOOKUP(A321,'Standard Deviations'!A1:C731,3,FALSE)</f>
        <v>-3.2601939343875066</v>
      </c>
      <c r="J321" s="139">
        <f>I321-VLOOKUP(B$2,H1:J431,2,FALSE)</f>
        <v>-7.3940210215198974</v>
      </c>
    </row>
    <row r="322" spans="1:10" ht="21.2" customHeight="1">
      <c r="A322" s="8" t="s">
        <v>725</v>
      </c>
      <c r="B322" s="136" t="str">
        <f>VLOOKUP(A322,'The List'!B1:D730,3,FALSE)</f>
        <v>C</v>
      </c>
      <c r="C322" s="137">
        <f>IF(Settings!$E$15="POINTS",RANK(E322,E3:E431),H322)</f>
        <v>357</v>
      </c>
      <c r="D322" s="34" t="str">
        <f>VLOOKUP(A322,'The List'!B1:F730,5,FALSE)</f>
        <v>CBJ</v>
      </c>
      <c r="E322" s="38">
        <f>VLOOKUP(A322,'The List'!B1:I730,8,FALSE)</f>
        <v>-3.5286071320844878</v>
      </c>
      <c r="F322" s="38">
        <f>IF(Settings!$E$15="POINTS",E322-VLOOKUP(B$2,C1:E431,3,FALSE),J322)</f>
        <v>-7.6624342192168786</v>
      </c>
      <c r="G322" s="38"/>
      <c r="H322" s="138">
        <f>RANK(I322,I3:I431)</f>
        <v>357</v>
      </c>
      <c r="I322" s="139">
        <f>VLOOKUP(A322,'Standard Deviations'!A1:C731,3,FALSE)</f>
        <v>-3.5286071320844878</v>
      </c>
      <c r="J322" s="139">
        <f>I322-VLOOKUP(B$2,H1:J431,2,FALSE)</f>
        <v>-7.6624342192168786</v>
      </c>
    </row>
    <row r="323" spans="1:10" ht="21.2" customHeight="1">
      <c r="A323" s="8" t="s">
        <v>676</v>
      </c>
      <c r="B323" s="136" t="str">
        <f>VLOOKUP(A323,'The List'!B1:D730,3,FALSE)</f>
        <v>RW</v>
      </c>
      <c r="C323" s="137">
        <f>IF(Settings!$E$15="POINTS",RANK(E323,E3:E431),H323)</f>
        <v>371</v>
      </c>
      <c r="D323" s="34" t="str">
        <f>VLOOKUP(A323,'The List'!B1:F730,5,FALSE)</f>
        <v>PHI</v>
      </c>
      <c r="E323" s="38">
        <f>VLOOKUP(A323,'The List'!B1:I730,8,FALSE)</f>
        <v>-3.8852416356307868</v>
      </c>
      <c r="F323" s="38">
        <f>IF(Settings!$E$15="POINTS",E323-VLOOKUP(B$2,C1:E431,3,FALSE),J323)</f>
        <v>-8.0190687227631763</v>
      </c>
      <c r="G323" s="38"/>
      <c r="H323" s="138">
        <f>RANK(I323,I3:I431)</f>
        <v>371</v>
      </c>
      <c r="I323" s="139">
        <f>VLOOKUP(A323,'Standard Deviations'!A1:C731,3,FALSE)</f>
        <v>-3.8852416356307868</v>
      </c>
      <c r="J323" s="139">
        <f>I323-VLOOKUP(B$2,H1:J431,2,FALSE)</f>
        <v>-8.0190687227631763</v>
      </c>
    </row>
    <row r="324" spans="1:10" ht="21.2" customHeight="1">
      <c r="A324" s="8" t="s">
        <v>726</v>
      </c>
      <c r="B324" s="136" t="str">
        <f>VLOOKUP(A324,'The List'!B1:D730,3,FALSE)</f>
        <v>C</v>
      </c>
      <c r="C324" s="137">
        <f>IF(Settings!$E$15="POINTS",RANK(E324,E3:E431),H324)</f>
        <v>356</v>
      </c>
      <c r="D324" s="34" t="str">
        <f>VLOOKUP(A324,'The List'!B1:F730,5,FALSE)</f>
        <v>WSH</v>
      </c>
      <c r="E324" s="38">
        <f>VLOOKUP(A324,'The List'!B1:I730,8,FALSE)</f>
        <v>-3.4968471789960325</v>
      </c>
      <c r="F324" s="38">
        <f>IF(Settings!$E$15="POINTS",E324-VLOOKUP(B$2,C1:E431,3,FALSE),J324)</f>
        <v>-7.6306742661284233</v>
      </c>
      <c r="G324" s="38"/>
      <c r="H324" s="138">
        <f>RANK(I324,I3:I431)</f>
        <v>356</v>
      </c>
      <c r="I324" s="139">
        <f>VLOOKUP(A324,'Standard Deviations'!A1:C731,3,FALSE)</f>
        <v>-3.4968471789960325</v>
      </c>
      <c r="J324" s="139">
        <f>I324-VLOOKUP(B$2,H1:J431,2,FALSE)</f>
        <v>-7.6306742661284233</v>
      </c>
    </row>
    <row r="325" spans="1:10" ht="21.2" customHeight="1">
      <c r="A325" s="8" t="s">
        <v>677</v>
      </c>
      <c r="B325" s="136" t="str">
        <f>VLOOKUP(A325,'The List'!B1:D730,3,FALSE)</f>
        <v>LW,RW</v>
      </c>
      <c r="C325" s="137">
        <f>IF(Settings!$E$15="POINTS",RANK(E325,E3:E431),H325)</f>
        <v>318</v>
      </c>
      <c r="D325" s="34" t="str">
        <f>VLOOKUP(A325,'The List'!B1:F730,5,FALSE)</f>
        <v>STL</v>
      </c>
      <c r="E325" s="38">
        <f>VLOOKUP(A325,'The List'!B1:I730,8,FALSE)</f>
        <v>-2.849660354219071</v>
      </c>
      <c r="F325" s="38">
        <f>IF(Settings!$E$15="POINTS",E325-VLOOKUP(B$2,C1:E431,3,FALSE),J325)</f>
        <v>-6.9834874413514614</v>
      </c>
      <c r="G325" s="38"/>
      <c r="H325" s="138">
        <f>RANK(I325,I3:I431)</f>
        <v>318</v>
      </c>
      <c r="I325" s="139">
        <f>VLOOKUP(A325,'Standard Deviations'!A1:C731,3,FALSE)</f>
        <v>-2.849660354219071</v>
      </c>
      <c r="J325" s="139">
        <f>I325-VLOOKUP(B$2,H1:J431,2,FALSE)</f>
        <v>-6.9834874413514614</v>
      </c>
    </row>
    <row r="326" spans="1:10" ht="21.2" customHeight="1">
      <c r="A326" s="8" t="s">
        <v>729</v>
      </c>
      <c r="B326" s="136" t="str">
        <f>VLOOKUP(A326,'The List'!B1:D730,3,FALSE)</f>
        <v>C</v>
      </c>
      <c r="C326" s="137">
        <f>IF(Settings!$E$15="POINTS",RANK(E326,E3:E431),H326)</f>
        <v>346</v>
      </c>
      <c r="D326" s="34" t="str">
        <f>VLOOKUP(A326,'The List'!B1:F730,5,FALSE)</f>
        <v>ANA</v>
      </c>
      <c r="E326" s="38">
        <f>VLOOKUP(A326,'The List'!B1:I730,8,FALSE)</f>
        <v>-3.3096231344637013</v>
      </c>
      <c r="F326" s="38">
        <f>IF(Settings!$E$15="POINTS",E326-VLOOKUP(B$2,C1:E431,3,FALSE),J326)</f>
        <v>-7.4434502215960912</v>
      </c>
      <c r="G326" s="38"/>
      <c r="H326" s="138">
        <f>RANK(I326,I3:I431)</f>
        <v>346</v>
      </c>
      <c r="I326" s="139">
        <f>VLOOKUP(A326,'Standard Deviations'!A1:C731,3,FALSE)</f>
        <v>-3.3096231344637013</v>
      </c>
      <c r="J326" s="139">
        <f>I326-VLOOKUP(B$2,H1:J431,2,FALSE)</f>
        <v>-7.4434502215960912</v>
      </c>
    </row>
    <row r="327" spans="1:10" ht="21.2" customHeight="1">
      <c r="A327" s="8" t="s">
        <v>730</v>
      </c>
      <c r="B327" s="136" t="str">
        <f>VLOOKUP(A327,'The List'!B1:D730,3,FALSE)</f>
        <v>C</v>
      </c>
      <c r="C327" s="137">
        <f>IF(Settings!$E$15="POINTS",RANK(E327,E3:E431),H327)</f>
        <v>350</v>
      </c>
      <c r="D327" s="34" t="str">
        <f>VLOOKUP(A327,'The List'!B1:F730,5,FALSE)</f>
        <v>ARI</v>
      </c>
      <c r="E327" s="38">
        <f>VLOOKUP(A327,'The List'!B1:I730,8,FALSE)</f>
        <v>-3.3704092008296289</v>
      </c>
      <c r="F327" s="38">
        <f>IF(Settings!$E$15="POINTS",E327-VLOOKUP(B$2,C1:E431,3,FALSE),J327)</f>
        <v>-7.5042362879620192</v>
      </c>
      <c r="G327" s="38"/>
      <c r="H327" s="138">
        <f>RANK(I327,I3:I431)</f>
        <v>350</v>
      </c>
      <c r="I327" s="139">
        <f>VLOOKUP(A327,'Standard Deviations'!A1:C731,3,FALSE)</f>
        <v>-3.3704092008296289</v>
      </c>
      <c r="J327" s="139">
        <f>I327-VLOOKUP(B$2,H1:J431,2,FALSE)</f>
        <v>-7.5042362879620192</v>
      </c>
    </row>
    <row r="328" spans="1:10" ht="21.2" customHeight="1">
      <c r="A328" s="8" t="s">
        <v>707</v>
      </c>
      <c r="B328" s="136" t="str">
        <f>VLOOKUP(A328,'The List'!B1:D730,3,FALSE)</f>
        <v>C,LW</v>
      </c>
      <c r="C328" s="137">
        <f>IF(Settings!$E$15="POINTS",RANK(E328,E3:E431),H328)</f>
        <v>304</v>
      </c>
      <c r="D328" s="34" t="str">
        <f>VLOOKUP(A328,'The List'!B1:F730,5,FALSE)</f>
        <v>BUF</v>
      </c>
      <c r="E328" s="38">
        <f>VLOOKUP(A328,'The List'!B1:I730,8,FALSE)</f>
        <v>-2.6070083433644391</v>
      </c>
      <c r="F328" s="38">
        <f>IF(Settings!$E$15="POINTS",E328-VLOOKUP(B$2,C1:E431,3,FALSE),J328)</f>
        <v>-6.7408354304968299</v>
      </c>
      <c r="G328" s="38"/>
      <c r="H328" s="138">
        <f>RANK(I328,I3:I431)</f>
        <v>304</v>
      </c>
      <c r="I328" s="139">
        <f>VLOOKUP(A328,'Standard Deviations'!A1:C731,3,FALSE)</f>
        <v>-2.6070083433644391</v>
      </c>
      <c r="J328" s="139">
        <f>I328-VLOOKUP(B$2,H1:J431,2,FALSE)</f>
        <v>-6.7408354304968299</v>
      </c>
    </row>
    <row r="329" spans="1:10" ht="21.2" customHeight="1">
      <c r="A329" s="8" t="s">
        <v>731</v>
      </c>
      <c r="B329" s="136" t="str">
        <f>VLOOKUP(A329,'The List'!B1:D730,3,FALSE)</f>
        <v>C</v>
      </c>
      <c r="C329" s="137">
        <f>IF(Settings!$E$15="POINTS",RANK(E329,E3:E431),H329)</f>
        <v>361</v>
      </c>
      <c r="D329" s="34" t="str">
        <f>VLOOKUP(A329,'The List'!B1:F730,5,FALSE)</f>
        <v>NJD</v>
      </c>
      <c r="E329" s="38">
        <f>VLOOKUP(A329,'The List'!B1:I730,8,FALSE)</f>
        <v>-3.6247672085559506</v>
      </c>
      <c r="F329" s="38">
        <f>IF(Settings!$E$15="POINTS",E329-VLOOKUP(B$2,C1:E431,3,FALSE),J329)</f>
        <v>-7.7585942956883409</v>
      </c>
      <c r="G329" s="38"/>
      <c r="H329" s="138">
        <f>RANK(I329,I3:I431)</f>
        <v>361</v>
      </c>
      <c r="I329" s="139">
        <f>VLOOKUP(A329,'Standard Deviations'!A1:C731,3,FALSE)</f>
        <v>-3.6247672085559506</v>
      </c>
      <c r="J329" s="139">
        <f>I329-VLOOKUP(B$2,H1:J431,2,FALSE)</f>
        <v>-7.7585942956883409</v>
      </c>
    </row>
    <row r="330" spans="1:10" ht="21.2" customHeight="1">
      <c r="A330" s="8" t="s">
        <v>708</v>
      </c>
      <c r="B330" s="136" t="str">
        <f>VLOOKUP(A330,'The List'!B1:D730,3,FALSE)</f>
        <v>LW</v>
      </c>
      <c r="C330" s="137">
        <f>IF(Settings!$E$15="POINTS",RANK(E330,E3:E431),H330)</f>
        <v>271</v>
      </c>
      <c r="D330" s="34" t="str">
        <f>VLOOKUP(A330,'The List'!B1:F730,5,FALSE)</f>
        <v>NSH</v>
      </c>
      <c r="E330" s="38">
        <f>VLOOKUP(A330,'The List'!B1:I730,8,FALSE)</f>
        <v>-1.6253436413810398</v>
      </c>
      <c r="F330" s="38">
        <f>IF(Settings!$E$15="POINTS",E330-VLOOKUP(B$2,C1:E431,3,FALSE),J330)</f>
        <v>-5.7591707285134301</v>
      </c>
      <c r="G330" s="38"/>
      <c r="H330" s="138">
        <f>RANK(I330,I3:I431)</f>
        <v>271</v>
      </c>
      <c r="I330" s="139">
        <f>VLOOKUP(A330,'Standard Deviations'!A1:C731,3,FALSE)</f>
        <v>-1.6253436413810398</v>
      </c>
      <c r="J330" s="139">
        <f>I330-VLOOKUP(B$2,H1:J431,2,FALSE)</f>
        <v>-5.7591707285134301</v>
      </c>
    </row>
    <row r="331" spans="1:10" ht="21.2" customHeight="1">
      <c r="A331" s="8" t="s">
        <v>681</v>
      </c>
      <c r="B331" s="136" t="str">
        <f>VLOOKUP(A331,'The List'!B1:D730,3,FALSE)</f>
        <v>RW</v>
      </c>
      <c r="C331" s="137">
        <f>IF(Settings!$E$15="POINTS",RANK(E331,E3:E431),H331)</f>
        <v>308</v>
      </c>
      <c r="D331" s="34" t="str">
        <f>VLOOKUP(A331,'The List'!B1:F730,5,FALSE)</f>
        <v>NYI</v>
      </c>
      <c r="E331" s="38">
        <f>VLOOKUP(A331,'The List'!B1:I730,8,FALSE)</f>
        <v>-2.6392232838667899</v>
      </c>
      <c r="F331" s="38">
        <f>IF(Settings!$E$15="POINTS",E331-VLOOKUP(B$2,C1:E431,3,FALSE),J331)</f>
        <v>-6.7730503709991803</v>
      </c>
      <c r="G331" s="38"/>
      <c r="H331" s="138">
        <f>RANK(I331,I3:I431)</f>
        <v>308</v>
      </c>
      <c r="I331" s="139">
        <f>VLOOKUP(A331,'Standard Deviations'!A1:C731,3,FALSE)</f>
        <v>-2.6392232838667899</v>
      </c>
      <c r="J331" s="139">
        <f>I331-VLOOKUP(B$2,H1:J431,2,FALSE)</f>
        <v>-6.7730503709991803</v>
      </c>
    </row>
    <row r="332" spans="1:10" ht="21.2" customHeight="1">
      <c r="A332" s="8" t="s">
        <v>684</v>
      </c>
      <c r="B332" s="136" t="str">
        <f>VLOOKUP(A332,'The List'!B1:D730,3,FALSE)</f>
        <v>C,LW,RW</v>
      </c>
      <c r="C332" s="137">
        <f>IF(Settings!$E$15="POINTS",RANK(E332,E3:E431),H332)</f>
        <v>355</v>
      </c>
      <c r="D332" s="34" t="str">
        <f>VLOOKUP(A332,'The List'!B1:F730,5,FALSE)</f>
        <v>PIT</v>
      </c>
      <c r="E332" s="38">
        <f>VLOOKUP(A332,'The List'!B1:I730,8,FALSE)</f>
        <v>-3.4126410702631458</v>
      </c>
      <c r="F332" s="38">
        <f>IF(Settings!$E$15="POINTS",E332-VLOOKUP(B$2,C1:E431,3,FALSE),J332)</f>
        <v>-7.5464681573955357</v>
      </c>
      <c r="G332" s="38"/>
      <c r="H332" s="138">
        <f>RANK(I332,I3:I431)</f>
        <v>355</v>
      </c>
      <c r="I332" s="139">
        <f>VLOOKUP(A332,'Standard Deviations'!A1:C731,3,FALSE)</f>
        <v>-3.4126410702631458</v>
      </c>
      <c r="J332" s="139">
        <f>I332-VLOOKUP(B$2,H1:J431,2,FALSE)</f>
        <v>-7.5464681573955357</v>
      </c>
    </row>
    <row r="333" spans="1:10" ht="21.2" customHeight="1">
      <c r="A333" s="8" t="s">
        <v>685</v>
      </c>
      <c r="B333" s="136" t="str">
        <f>VLOOKUP(A333,'The List'!B1:D730,3,FALSE)</f>
        <v>C,RW</v>
      </c>
      <c r="C333" s="137">
        <f>IF(Settings!$E$15="POINTS",RANK(E333,E3:E431),H333)</f>
        <v>312</v>
      </c>
      <c r="D333" s="34" t="str">
        <f>VLOOKUP(A333,'The List'!B1:F730,5,FALSE)</f>
        <v>CBJ</v>
      </c>
      <c r="E333" s="38">
        <f>VLOOKUP(A333,'The List'!B1:I730,8,FALSE)</f>
        <v>-2.7323736687853604</v>
      </c>
      <c r="F333" s="38">
        <f>IF(Settings!$E$15="POINTS",E333-VLOOKUP(B$2,C1:E431,3,FALSE),J333)</f>
        <v>-6.8662007559177507</v>
      </c>
      <c r="G333" s="38"/>
      <c r="H333" s="138">
        <f>RANK(I333,I3:I431)</f>
        <v>312</v>
      </c>
      <c r="I333" s="139">
        <f>VLOOKUP(A333,'Standard Deviations'!A1:C731,3,FALSE)</f>
        <v>-2.7323736687853604</v>
      </c>
      <c r="J333" s="139">
        <f>I333-VLOOKUP(B$2,H1:J431,2,FALSE)</f>
        <v>-6.8662007559177507</v>
      </c>
    </row>
    <row r="334" spans="1:10" ht="21.2" customHeight="1">
      <c r="A334" s="8" t="s">
        <v>709</v>
      </c>
      <c r="B334" s="136" t="str">
        <f>VLOOKUP(A334,'The List'!B1:D730,3,FALSE)</f>
        <v>C,LW</v>
      </c>
      <c r="C334" s="137">
        <f>IF(Settings!$E$15="POINTS",RANK(E334,E3:E431),H334)</f>
        <v>316</v>
      </c>
      <c r="D334" s="34" t="str">
        <f>VLOOKUP(A334,'The List'!B1:F730,5,FALSE)</f>
        <v>WPG</v>
      </c>
      <c r="E334" s="38">
        <f>VLOOKUP(A334,'The List'!B1:I730,8,FALSE)</f>
        <v>-2.778755064654594</v>
      </c>
      <c r="F334" s="38">
        <f>IF(Settings!$E$15="POINTS",E334-VLOOKUP(B$2,C1:E431,3,FALSE),J334)</f>
        <v>-6.9125821517869843</v>
      </c>
      <c r="G334" s="38"/>
      <c r="H334" s="138">
        <f>RANK(I334,I3:I431)</f>
        <v>316</v>
      </c>
      <c r="I334" s="139">
        <f>VLOOKUP(A334,'Standard Deviations'!A1:C731,3,FALSE)</f>
        <v>-2.778755064654594</v>
      </c>
      <c r="J334" s="139">
        <f>I334-VLOOKUP(B$2,H1:J431,2,FALSE)</f>
        <v>-6.9125821517869843</v>
      </c>
    </row>
    <row r="335" spans="1:10" ht="21.2" customHeight="1">
      <c r="A335" s="8" t="s">
        <v>686</v>
      </c>
      <c r="B335" s="136" t="str">
        <f>VLOOKUP(A335,'The List'!B1:D730,3,FALSE)</f>
        <v>RW</v>
      </c>
      <c r="C335" s="137">
        <f>IF(Settings!$E$15="POINTS",RANK(E335,E3:E431),H335)</f>
        <v>272</v>
      </c>
      <c r="D335" s="34" t="str">
        <f>VLOOKUP(A335,'The List'!B1:F730,5,FALSE)</f>
        <v>CGY</v>
      </c>
      <c r="E335" s="38">
        <f>VLOOKUP(A335,'The List'!B1:I730,8,FALSE)</f>
        <v>-1.7719163246054532</v>
      </c>
      <c r="F335" s="38">
        <f>IF(Settings!$E$15="POINTS",E335-VLOOKUP(B$2,C1:E431,3,FALSE),J335)</f>
        <v>-5.9057434117378431</v>
      </c>
      <c r="G335" s="38"/>
      <c r="H335" s="138">
        <f>RANK(I335,I3:I431)</f>
        <v>272</v>
      </c>
      <c r="I335" s="139">
        <f>VLOOKUP(A335,'Standard Deviations'!A1:C731,3,FALSE)</f>
        <v>-1.7719163246054532</v>
      </c>
      <c r="J335" s="139">
        <f>I335-VLOOKUP(B$2,H1:J431,2,FALSE)</f>
        <v>-5.9057434117378431</v>
      </c>
    </row>
    <row r="336" spans="1:10" ht="21.2" customHeight="1">
      <c r="A336" s="8" t="s">
        <v>688</v>
      </c>
      <c r="B336" s="136" t="str">
        <f>VLOOKUP(A336,'The List'!B1:D730,3,FALSE)</f>
        <v>LW,RW</v>
      </c>
      <c r="C336" s="137">
        <f>IF(Settings!$E$15="POINTS",RANK(E336,E3:E431),H336)</f>
        <v>344</v>
      </c>
      <c r="D336" s="34" t="str">
        <f>VLOOKUP(A336,'The List'!B1:F730,5,FALSE)</f>
        <v>UFA</v>
      </c>
      <c r="E336" s="38">
        <f>VLOOKUP(A336,'The List'!B1:I730,8,FALSE)</f>
        <v>-3.2796792853281387</v>
      </c>
      <c r="F336" s="38">
        <f>IF(Settings!$E$15="POINTS",E336-VLOOKUP(B$2,C1:E431,3,FALSE),J336)</f>
        <v>-7.413506372460529</v>
      </c>
      <c r="G336" s="38"/>
      <c r="H336" s="138">
        <f>RANK(I336,I3:I431)</f>
        <v>344</v>
      </c>
      <c r="I336" s="139">
        <f>VLOOKUP(A336,'Standard Deviations'!A1:C731,3,FALSE)</f>
        <v>-3.2796792853281387</v>
      </c>
      <c r="J336" s="139">
        <f>I336-VLOOKUP(B$2,H1:J431,2,FALSE)</f>
        <v>-7.413506372460529</v>
      </c>
    </row>
    <row r="337" spans="1:10" ht="21.2" customHeight="1">
      <c r="A337" s="8" t="s">
        <v>712</v>
      </c>
      <c r="B337" s="136" t="str">
        <f>VLOOKUP(A337,'The List'!B1:D730,3,FALSE)</f>
        <v>LW</v>
      </c>
      <c r="C337" s="137">
        <f>IF(Settings!$E$15="POINTS",RANK(E337,E3:E431),H337)</f>
        <v>322</v>
      </c>
      <c r="D337" s="34" t="str">
        <f>VLOOKUP(A337,'The List'!B1:F730,5,FALSE)</f>
        <v>STL</v>
      </c>
      <c r="E337" s="38">
        <f>VLOOKUP(A337,'The List'!B1:I730,8,FALSE)</f>
        <v>-2.9400181095136171</v>
      </c>
      <c r="F337" s="38">
        <f>IF(Settings!$E$15="POINTS",E337-VLOOKUP(B$2,C1:E431,3,FALSE),J337)</f>
        <v>-7.0738451966460074</v>
      </c>
      <c r="G337" s="38"/>
      <c r="H337" s="138">
        <f>RANK(I337,I3:I431)</f>
        <v>322</v>
      </c>
      <c r="I337" s="139">
        <f>VLOOKUP(A337,'Standard Deviations'!A1:C731,3,FALSE)</f>
        <v>-2.9400181095136171</v>
      </c>
      <c r="J337" s="139">
        <f>I337-VLOOKUP(B$2,H1:J431,2,FALSE)</f>
        <v>-7.0738451966460074</v>
      </c>
    </row>
    <row r="338" spans="1:10" ht="21.2" customHeight="1">
      <c r="A338" s="8" t="s">
        <v>713</v>
      </c>
      <c r="B338" s="136" t="str">
        <f>VLOOKUP(A338,'The List'!B1:D730,3,FALSE)</f>
        <v>C,LW</v>
      </c>
      <c r="C338" s="137">
        <f>IF(Settings!$E$15="POINTS",RANK(E338,E3:E431),H338)</f>
        <v>331</v>
      </c>
      <c r="D338" s="34" t="str">
        <f>VLOOKUP(A338,'The List'!B1:F730,5,FALSE)</f>
        <v>VGK</v>
      </c>
      <c r="E338" s="38">
        <f>VLOOKUP(A338,'The List'!B1:I730,8,FALSE)</f>
        <v>-3.153600121502623</v>
      </c>
      <c r="F338" s="38">
        <f>IF(Settings!$E$15="POINTS",E338-VLOOKUP(B$2,C1:E431,3,FALSE),J338)</f>
        <v>-7.2874272086350134</v>
      </c>
      <c r="G338" s="38"/>
      <c r="H338" s="138">
        <f>RANK(I338,I3:I431)</f>
        <v>331</v>
      </c>
      <c r="I338" s="139">
        <f>VLOOKUP(A338,'Standard Deviations'!A1:C731,3,FALSE)</f>
        <v>-3.153600121502623</v>
      </c>
      <c r="J338" s="139">
        <f>I338-VLOOKUP(B$2,H1:J431,2,FALSE)</f>
        <v>-7.2874272086350134</v>
      </c>
    </row>
    <row r="339" spans="1:10" ht="21.2" customHeight="1">
      <c r="A339" s="8" t="s">
        <v>690</v>
      </c>
      <c r="B339" s="136" t="str">
        <f>VLOOKUP(A339,'The List'!B1:D730,3,FALSE)</f>
        <v>RW</v>
      </c>
      <c r="C339" s="137">
        <f>IF(Settings!$E$15="POINTS",RANK(E339,E3:E431),H339)</f>
        <v>349</v>
      </c>
      <c r="D339" s="34" t="str">
        <f>VLOOKUP(A339,'The List'!B1:F730,5,FALSE)</f>
        <v>NJD</v>
      </c>
      <c r="E339" s="38">
        <f>VLOOKUP(A339,'The List'!B1:I730,8,FALSE)</f>
        <v>-3.3683471046734512</v>
      </c>
      <c r="F339" s="38">
        <f>IF(Settings!$E$15="POINTS",E339-VLOOKUP(B$2,C1:E431,3,FALSE),J339)</f>
        <v>-7.5021741918058416</v>
      </c>
      <c r="G339" s="38"/>
      <c r="H339" s="138">
        <f>RANK(I339,I3:I431)</f>
        <v>349</v>
      </c>
      <c r="I339" s="139">
        <f>VLOOKUP(A339,'Standard Deviations'!A1:C731,3,FALSE)</f>
        <v>-3.3683471046734512</v>
      </c>
      <c r="J339" s="139">
        <f>I339-VLOOKUP(B$2,H1:J431,2,FALSE)</f>
        <v>-7.5021741918058416</v>
      </c>
    </row>
    <row r="340" spans="1:10" ht="21.2" customHeight="1">
      <c r="A340" s="8" t="s">
        <v>714</v>
      </c>
      <c r="B340" s="136" t="str">
        <f>VLOOKUP(A340,'The List'!B1:D730,3,FALSE)</f>
        <v>C,LW</v>
      </c>
      <c r="C340" s="137">
        <f>IF(Settings!$E$15="POINTS",RANK(E340,E3:E431),H340)</f>
        <v>294</v>
      </c>
      <c r="D340" s="34" t="str">
        <f>VLOOKUP(A340,'The List'!B1:F730,5,FALSE)</f>
        <v>OTT</v>
      </c>
      <c r="E340" s="38">
        <f>VLOOKUP(A340,'The List'!B1:I730,8,FALSE)</f>
        <v>-2.318433919128486</v>
      </c>
      <c r="F340" s="38">
        <f>IF(Settings!$E$15="POINTS",E340-VLOOKUP(B$2,C1:E431,3,FALSE),J340)</f>
        <v>-6.4522610062608763</v>
      </c>
      <c r="G340" s="38"/>
      <c r="H340" s="138">
        <f>RANK(I340,I3:I431)</f>
        <v>294</v>
      </c>
      <c r="I340" s="139">
        <f>VLOOKUP(A340,'Standard Deviations'!A1:C731,3,FALSE)</f>
        <v>-2.318433919128486</v>
      </c>
      <c r="J340" s="139">
        <f>I340-VLOOKUP(B$2,H1:J431,2,FALSE)</f>
        <v>-6.4522610062608763</v>
      </c>
    </row>
    <row r="341" spans="1:10" ht="21.2" customHeight="1">
      <c r="A341" s="8" t="s">
        <v>715</v>
      </c>
      <c r="B341" s="136" t="str">
        <f>VLOOKUP(A341,'The List'!B1:D730,3,FALSE)</f>
        <v>LW</v>
      </c>
      <c r="C341" s="137">
        <f>IF(Settings!$E$15="POINTS",RANK(E341,E3:E431),H341)</f>
        <v>358</v>
      </c>
      <c r="D341" s="34" t="str">
        <f>VLOOKUP(A341,'The List'!B1:F730,5,FALSE)</f>
        <v>ANA</v>
      </c>
      <c r="E341" s="38">
        <f>VLOOKUP(A341,'The List'!B1:I730,8,FALSE)</f>
        <v>-3.5891992892531359</v>
      </c>
      <c r="F341" s="38">
        <f>IF(Settings!$E$15="POINTS",E341-VLOOKUP(B$2,C1:E431,3,FALSE),J341)</f>
        <v>-7.7230263763855262</v>
      </c>
      <c r="G341" s="38"/>
      <c r="H341" s="138">
        <f>RANK(I341,I3:I431)</f>
        <v>358</v>
      </c>
      <c r="I341" s="139">
        <f>VLOOKUP(A341,'Standard Deviations'!A1:C731,3,FALSE)</f>
        <v>-3.5891992892531359</v>
      </c>
      <c r="J341" s="139">
        <f>I341-VLOOKUP(B$2,H1:J431,2,FALSE)</f>
        <v>-7.7230263763855262</v>
      </c>
    </row>
    <row r="342" spans="1:10" ht="21.2" customHeight="1">
      <c r="A342" s="8" t="s">
        <v>740</v>
      </c>
      <c r="B342" s="136" t="str">
        <f>VLOOKUP(A342,'The List'!B1:D730,3,FALSE)</f>
        <v>C</v>
      </c>
      <c r="C342" s="137">
        <f>IF(Settings!$E$15="POINTS",RANK(E342,E3:E431),H342)</f>
        <v>381</v>
      </c>
      <c r="D342" s="34" t="str">
        <f>VLOOKUP(A342,'The List'!B1:F730,5,FALSE)</f>
        <v>NYI</v>
      </c>
      <c r="E342" s="38">
        <f>VLOOKUP(A342,'The List'!B1:I730,8,FALSE)</f>
        <v>-4.04614124404804</v>
      </c>
      <c r="F342" s="38">
        <f>IF(Settings!$E$15="POINTS",E342-VLOOKUP(B$2,C1:E431,3,FALSE),J342)</f>
        <v>-8.1799683311804294</v>
      </c>
      <c r="G342" s="38"/>
      <c r="H342" s="138">
        <f>RANK(I342,I3:I431)</f>
        <v>381</v>
      </c>
      <c r="I342" s="139">
        <f>VLOOKUP(A342,'Standard Deviations'!A1:C731,3,FALSE)</f>
        <v>-4.04614124404804</v>
      </c>
      <c r="J342" s="139">
        <f>I342-VLOOKUP(B$2,H1:J431,2,FALSE)</f>
        <v>-8.1799683311804294</v>
      </c>
    </row>
    <row r="343" spans="1:10" ht="21.2" customHeight="1">
      <c r="A343" s="8" t="s">
        <v>693</v>
      </c>
      <c r="B343" s="136" t="str">
        <f>VLOOKUP(A343,'The List'!B1:D730,3,FALSE)</f>
        <v>LW,RW</v>
      </c>
      <c r="C343" s="137">
        <f>IF(Settings!$E$15="POINTS",RANK(E343,E3:E431),H343)</f>
        <v>336</v>
      </c>
      <c r="D343" s="34" t="str">
        <f>VLOOKUP(A343,'The List'!B1:F730,5,FALSE)</f>
        <v>LAK</v>
      </c>
      <c r="E343" s="38">
        <f>VLOOKUP(A343,'The List'!B1:I730,8,FALSE)</f>
        <v>-3.186010341953418</v>
      </c>
      <c r="F343" s="38">
        <f>IF(Settings!$E$15="POINTS",E343-VLOOKUP(B$2,C1:E431,3,FALSE),J343)</f>
        <v>-7.3198374290858084</v>
      </c>
      <c r="G343" s="38"/>
      <c r="H343" s="138">
        <f>RANK(I343,I3:I431)</f>
        <v>336</v>
      </c>
      <c r="I343" s="139">
        <f>VLOOKUP(A343,'Standard Deviations'!A1:C731,3,FALSE)</f>
        <v>-3.186010341953418</v>
      </c>
      <c r="J343" s="139">
        <f>I343-VLOOKUP(B$2,H1:J431,2,FALSE)</f>
        <v>-7.3198374290858084</v>
      </c>
    </row>
    <row r="344" spans="1:10" ht="21.2" customHeight="1">
      <c r="A344" s="8" t="s">
        <v>694</v>
      </c>
      <c r="B344" s="136" t="str">
        <f>VLOOKUP(A344,'The List'!B1:D730,3,FALSE)</f>
        <v>RW</v>
      </c>
      <c r="C344" s="137">
        <f>IF(Settings!$E$15="POINTS",RANK(E344,E3:E431),H344)</f>
        <v>353</v>
      </c>
      <c r="D344" s="34" t="str">
        <f>VLOOKUP(A344,'The List'!B1:F730,5,FALSE)</f>
        <v>WSH</v>
      </c>
      <c r="E344" s="38">
        <f>VLOOKUP(A344,'The List'!B1:I730,8,FALSE)</f>
        <v>-3.3932300952228558</v>
      </c>
      <c r="F344" s="38">
        <f>IF(Settings!$E$15="POINTS",E344-VLOOKUP(B$2,C1:E431,3,FALSE),J344)</f>
        <v>-7.5270571823552466</v>
      </c>
      <c r="G344" s="38"/>
      <c r="H344" s="138">
        <f>RANK(I344,I3:I431)</f>
        <v>353</v>
      </c>
      <c r="I344" s="139">
        <f>VLOOKUP(A344,'Standard Deviations'!A1:C731,3,FALSE)</f>
        <v>-3.3932300952228558</v>
      </c>
      <c r="J344" s="139">
        <f>I344-VLOOKUP(B$2,H1:J431,2,FALSE)</f>
        <v>-7.5270571823552466</v>
      </c>
    </row>
    <row r="345" spans="1:10" ht="21.2" customHeight="1">
      <c r="A345" s="8" t="s">
        <v>717</v>
      </c>
      <c r="B345" s="136" t="str">
        <f>VLOOKUP(A345,'The List'!B1:D730,3,FALSE)</f>
        <v>C,LW</v>
      </c>
      <c r="C345" s="137">
        <f>IF(Settings!$E$15="POINTS",RANK(E345,E3:E431),H345)</f>
        <v>309</v>
      </c>
      <c r="D345" s="34" t="str">
        <f>VLOOKUP(A345,'The List'!B1:F730,5,FALSE)</f>
        <v>VGK</v>
      </c>
      <c r="E345" s="38">
        <f>VLOOKUP(A345,'The List'!B1:I730,8,FALSE)</f>
        <v>-2.6563174119345847</v>
      </c>
      <c r="F345" s="38">
        <f>IF(Settings!$E$15="POINTS",E345-VLOOKUP(B$2,C1:E431,3,FALSE),J345)</f>
        <v>-6.790144499066975</v>
      </c>
      <c r="G345" s="38"/>
      <c r="H345" s="138">
        <f>RANK(I345,I3:I431)</f>
        <v>309</v>
      </c>
      <c r="I345" s="139">
        <f>VLOOKUP(A345,'Standard Deviations'!A1:C731,3,FALSE)</f>
        <v>-2.6563174119345847</v>
      </c>
      <c r="J345" s="139">
        <f>I345-VLOOKUP(B$2,H1:J431,2,FALSE)</f>
        <v>-6.790144499066975</v>
      </c>
    </row>
    <row r="346" spans="1:10" ht="21.2" customHeight="1">
      <c r="A346" s="8" t="s">
        <v>696</v>
      </c>
      <c r="B346" s="136" t="str">
        <f>VLOOKUP(A346,'The List'!B1:D730,3,FALSE)</f>
        <v>LW,RW</v>
      </c>
      <c r="C346" s="137">
        <f>IF(Settings!$E$15="POINTS",RANK(E346,E3:E431),H346)</f>
        <v>307</v>
      </c>
      <c r="D346" s="34" t="str">
        <f>VLOOKUP(A346,'The List'!B1:F730,5,FALSE)</f>
        <v>VAN</v>
      </c>
      <c r="E346" s="38">
        <f>VLOOKUP(A346,'The List'!B1:I730,8,FALSE)</f>
        <v>-2.6329551939783351</v>
      </c>
      <c r="F346" s="38">
        <f>IF(Settings!$E$15="POINTS",E346-VLOOKUP(B$2,C1:E431,3,FALSE),J346)</f>
        <v>-6.766782281110725</v>
      </c>
      <c r="G346" s="38"/>
      <c r="H346" s="138">
        <f>RANK(I346,I3:I431)</f>
        <v>307</v>
      </c>
      <c r="I346" s="139">
        <f>VLOOKUP(A346,'Standard Deviations'!A1:C731,3,FALSE)</f>
        <v>-2.6329551939783351</v>
      </c>
      <c r="J346" s="139">
        <f>I346-VLOOKUP(B$2,H1:J431,2,FALSE)</f>
        <v>-6.766782281110725</v>
      </c>
    </row>
    <row r="347" spans="1:10" ht="21.2" customHeight="1">
      <c r="A347" s="8" t="s">
        <v>697</v>
      </c>
      <c r="B347" s="136" t="str">
        <f>VLOOKUP(A347,'The List'!B1:D730,3,FALSE)</f>
        <v>RW</v>
      </c>
      <c r="C347" s="137">
        <f>IF(Settings!$E$15="POINTS",RANK(E347,E3:E431),H347)</f>
        <v>348</v>
      </c>
      <c r="D347" s="34" t="str">
        <f>VLOOKUP(A347,'The List'!B1:F730,5,FALSE)</f>
        <v>MTL</v>
      </c>
      <c r="E347" s="38">
        <f>VLOOKUP(A347,'The List'!B1:I730,8,FALSE)</f>
        <v>-3.3292495313371768</v>
      </c>
      <c r="F347" s="38">
        <f>IF(Settings!$E$15="POINTS",E347-VLOOKUP(B$2,C1:E431,3,FALSE),J347)</f>
        <v>-7.4630766184695672</v>
      </c>
      <c r="G347" s="38"/>
      <c r="H347" s="138">
        <f>RANK(I347,I3:I431)</f>
        <v>348</v>
      </c>
      <c r="I347" s="139">
        <f>VLOOKUP(A347,'Standard Deviations'!A1:C731,3,FALSE)</f>
        <v>-3.3292495313371768</v>
      </c>
      <c r="J347" s="139">
        <f>I347-VLOOKUP(B$2,H1:J431,2,FALSE)</f>
        <v>-7.4630766184695672</v>
      </c>
    </row>
    <row r="348" spans="1:10" ht="21.2" customHeight="1">
      <c r="A348" s="8" t="s">
        <v>698</v>
      </c>
      <c r="B348" s="136" t="str">
        <f>VLOOKUP(A348,'The List'!B1:D730,3,FALSE)</f>
        <v>LW,RW</v>
      </c>
      <c r="C348" s="137">
        <f>IF(Settings!$E$15="POINTS",RANK(E348,E3:E431),H348)</f>
        <v>369</v>
      </c>
      <c r="D348" s="34" t="str">
        <f>VLOOKUP(A348,'The List'!B1:F730,5,FALSE)</f>
        <v>NYR</v>
      </c>
      <c r="E348" s="38">
        <f>VLOOKUP(A348,'The List'!B1:I730,8,FALSE)</f>
        <v>-3.8766896421974497</v>
      </c>
      <c r="F348" s="38">
        <f>IF(Settings!$E$15="POINTS",E348-VLOOKUP(B$2,C1:E431,3,FALSE),J348)</f>
        <v>-8.01051672932984</v>
      </c>
      <c r="G348" s="38"/>
      <c r="H348" s="138">
        <f>RANK(I348,I3:I431)</f>
        <v>369</v>
      </c>
      <c r="I348" s="139">
        <f>VLOOKUP(A348,'Standard Deviations'!A1:C731,3,FALSE)</f>
        <v>-3.8766896421974497</v>
      </c>
      <c r="J348" s="139">
        <f>I348-VLOOKUP(B$2,H1:J431,2,FALSE)</f>
        <v>-8.01051672932984</v>
      </c>
    </row>
    <row r="349" spans="1:10" ht="21.2" customHeight="1">
      <c r="A349" s="8" t="s">
        <v>718</v>
      </c>
      <c r="B349" s="136" t="str">
        <f>VLOOKUP(A349,'The List'!B1:D730,3,FALSE)</f>
        <v>LW</v>
      </c>
      <c r="C349" s="137">
        <f>IF(Settings!$E$15="POINTS",RANK(E349,E3:E431),H349)</f>
        <v>341</v>
      </c>
      <c r="D349" s="34" t="str">
        <f>VLOOKUP(A349,'The List'!B1:F730,5,FALSE)</f>
        <v>FLA</v>
      </c>
      <c r="E349" s="38">
        <f>VLOOKUP(A349,'The List'!B1:I730,8,FALSE)</f>
        <v>-3.2667706376833046</v>
      </c>
      <c r="F349" s="38">
        <f>IF(Settings!$E$15="POINTS",E349-VLOOKUP(B$2,C1:E431,3,FALSE),J349)</f>
        <v>-7.4005977248156949</v>
      </c>
      <c r="G349" s="38"/>
      <c r="H349" s="138">
        <f>RANK(I349,I3:I431)</f>
        <v>341</v>
      </c>
      <c r="I349" s="139">
        <f>VLOOKUP(A349,'Standard Deviations'!A1:C731,3,FALSE)</f>
        <v>-3.2667706376833046</v>
      </c>
      <c r="J349" s="139">
        <f>I349-VLOOKUP(B$2,H1:J431,2,FALSE)</f>
        <v>-7.4005977248156949</v>
      </c>
    </row>
    <row r="350" spans="1:10" ht="21.2" customHeight="1">
      <c r="A350" s="8" t="s">
        <v>719</v>
      </c>
      <c r="B350" s="136" t="str">
        <f>VLOOKUP(A350,'The List'!B1:D730,3,FALSE)</f>
        <v>LW</v>
      </c>
      <c r="C350" s="137">
        <f>IF(Settings!$E$15="POINTS",RANK(E350,E3:E431),H350)</f>
        <v>366</v>
      </c>
      <c r="D350" s="34" t="str">
        <f>VLOOKUP(A350,'The List'!B1:F730,5,FALSE)</f>
        <v>PIT</v>
      </c>
      <c r="E350" s="38">
        <f>VLOOKUP(A350,'The List'!B1:I730,8,FALSE)</f>
        <v>-3.7299819656050444</v>
      </c>
      <c r="F350" s="38">
        <f>IF(Settings!$E$15="POINTS",E350-VLOOKUP(B$2,C1:E431,3,FALSE),J350)</f>
        <v>-7.8638090527374347</v>
      </c>
      <c r="G350" s="38"/>
      <c r="H350" s="138">
        <f>RANK(I350,I3:I431)</f>
        <v>366</v>
      </c>
      <c r="I350" s="139">
        <f>VLOOKUP(A350,'Standard Deviations'!A1:C731,3,FALSE)</f>
        <v>-3.7299819656050444</v>
      </c>
      <c r="J350" s="139">
        <f>I350-VLOOKUP(B$2,H1:J431,2,FALSE)</f>
        <v>-7.8638090527374347</v>
      </c>
    </row>
    <row r="351" spans="1:10" ht="21.2" customHeight="1">
      <c r="A351" s="8" t="s">
        <v>752</v>
      </c>
      <c r="B351" s="136" t="str">
        <f>VLOOKUP(A351,'The List'!B1:D730,3,FALSE)</f>
        <v>C</v>
      </c>
      <c r="C351" s="137">
        <f>IF(Settings!$E$15="POINTS",RANK(E351,E3:E431),H351)</f>
        <v>391</v>
      </c>
      <c r="D351" s="34" t="str">
        <f>VLOOKUP(A351,'The List'!B1:F730,5,FALSE)</f>
        <v>DAL</v>
      </c>
      <c r="E351" s="38">
        <f>VLOOKUP(A351,'The List'!B1:I730,8,FALSE)</f>
        <v>-4.3609326607280181</v>
      </c>
      <c r="F351" s="38">
        <f>IF(Settings!$E$15="POINTS",E351-VLOOKUP(B$2,C1:E431,3,FALSE),J351)</f>
        <v>-8.4947597478604084</v>
      </c>
      <c r="G351" s="38"/>
      <c r="H351" s="138">
        <f>RANK(I351,I3:I431)</f>
        <v>391</v>
      </c>
      <c r="I351" s="139">
        <f>VLOOKUP(A351,'Standard Deviations'!A1:C731,3,FALSE)</f>
        <v>-4.3609326607280181</v>
      </c>
      <c r="J351" s="139">
        <f>I351-VLOOKUP(B$2,H1:J431,2,FALSE)</f>
        <v>-8.4947597478604084</v>
      </c>
    </row>
    <row r="352" spans="1:10" ht="21.2" customHeight="1">
      <c r="A352" s="8" t="s">
        <v>753</v>
      </c>
      <c r="B352" s="136" t="str">
        <f>VLOOKUP(A352,'The List'!B1:D730,3,FALSE)</f>
        <v>C</v>
      </c>
      <c r="C352" s="137">
        <f>IF(Settings!$E$15="POINTS",RANK(E352,E3:E431),H352)</f>
        <v>364</v>
      </c>
      <c r="D352" s="34" t="str">
        <f>VLOOKUP(A352,'The List'!B1:F730,5,FALSE)</f>
        <v>PHI</v>
      </c>
      <c r="E352" s="38">
        <f>VLOOKUP(A352,'The List'!B1:I730,8,FALSE)</f>
        <v>-3.6869900761947458</v>
      </c>
      <c r="F352" s="38">
        <f>IF(Settings!$E$15="POINTS",E352-VLOOKUP(B$2,C1:E431,3,FALSE),J352)</f>
        <v>-7.8208171633271366</v>
      </c>
      <c r="G352" s="38"/>
      <c r="H352" s="138">
        <f>RANK(I352,I3:I431)</f>
        <v>364</v>
      </c>
      <c r="I352" s="139">
        <f>VLOOKUP(A352,'Standard Deviations'!A1:C731,3,FALSE)</f>
        <v>-3.6869900761947458</v>
      </c>
      <c r="J352" s="139">
        <f>I352-VLOOKUP(B$2,H1:J431,2,FALSE)</f>
        <v>-7.8208171633271366</v>
      </c>
    </row>
    <row r="353" spans="1:10" ht="21.2" customHeight="1">
      <c r="A353" s="8" t="s">
        <v>701</v>
      </c>
      <c r="B353" s="136" t="str">
        <f>VLOOKUP(A353,'The List'!B1:D730,3,FALSE)</f>
        <v>C,RW</v>
      </c>
      <c r="C353" s="137">
        <f>IF(Settings!$E$15="POINTS",RANK(E353,E3:E431),H353)</f>
        <v>354</v>
      </c>
      <c r="D353" s="34" t="str">
        <f>VLOOKUP(A353,'The List'!B1:F730,5,FALSE)</f>
        <v>ARI</v>
      </c>
      <c r="E353" s="38">
        <f>VLOOKUP(A353,'The List'!B1:I730,8,FALSE)</f>
        <v>-3.3951565016949661</v>
      </c>
      <c r="F353" s="38">
        <f>IF(Settings!$E$15="POINTS",E353-VLOOKUP(B$2,C1:E431,3,FALSE),J353)</f>
        <v>-7.5289835888273569</v>
      </c>
      <c r="G353" s="38"/>
      <c r="H353" s="138">
        <f>RANK(I353,I3:I431)</f>
        <v>354</v>
      </c>
      <c r="I353" s="139">
        <f>VLOOKUP(A353,'Standard Deviations'!A1:C731,3,FALSE)</f>
        <v>-3.3951565016949661</v>
      </c>
      <c r="J353" s="139">
        <f>I353-VLOOKUP(B$2,H1:J431,2,FALSE)</f>
        <v>-7.5289835888273569</v>
      </c>
    </row>
    <row r="354" spans="1:10" ht="21.2" customHeight="1">
      <c r="A354" s="8" t="s">
        <v>722</v>
      </c>
      <c r="B354" s="136" t="str">
        <f>VLOOKUP(A354,'The List'!B1:D730,3,FALSE)</f>
        <v>LW</v>
      </c>
      <c r="C354" s="137">
        <f>IF(Settings!$E$15="POINTS",RANK(E354,E3:E431),H354)</f>
        <v>373</v>
      </c>
      <c r="D354" s="34" t="str">
        <f>VLOOKUP(A354,'The List'!B1:F730,5,FALSE)</f>
        <v>SJS</v>
      </c>
      <c r="E354" s="38">
        <f>VLOOKUP(A354,'The List'!B1:I730,8,FALSE)</f>
        <v>-3.9053307575112441</v>
      </c>
      <c r="F354" s="38">
        <f>IF(Settings!$E$15="POINTS",E354-VLOOKUP(B$2,C1:E431,3,FALSE),J354)</f>
        <v>-8.0391578446436345</v>
      </c>
      <c r="G354" s="38"/>
      <c r="H354" s="138">
        <f>RANK(I354,I3:I431)</f>
        <v>373</v>
      </c>
      <c r="I354" s="139">
        <f>VLOOKUP(A354,'Standard Deviations'!A1:C731,3,FALSE)</f>
        <v>-3.9053307575112441</v>
      </c>
      <c r="J354" s="139">
        <f>I354-VLOOKUP(B$2,H1:J431,2,FALSE)</f>
        <v>-8.0391578446436345</v>
      </c>
    </row>
    <row r="355" spans="1:10" ht="21.2" customHeight="1">
      <c r="A355" s="8" t="s">
        <v>702</v>
      </c>
      <c r="B355" s="136" t="str">
        <f>VLOOKUP(A355,'The List'!B1:D730,3,FALSE)</f>
        <v>RW</v>
      </c>
      <c r="C355" s="137">
        <f>IF(Settings!$E$15="POINTS",RANK(E355,E3:E431),H355)</f>
        <v>370</v>
      </c>
      <c r="D355" s="34" t="str">
        <f>VLOOKUP(A355,'The List'!B1:F730,5,FALSE)</f>
        <v>VGK</v>
      </c>
      <c r="E355" s="38">
        <f>VLOOKUP(A355,'The List'!B1:I730,8,FALSE)</f>
        <v>-3.8801562885331955</v>
      </c>
      <c r="F355" s="38">
        <f>IF(Settings!$E$15="POINTS",E355-VLOOKUP(B$2,C1:E431,3,FALSE),J355)</f>
        <v>-8.0139833756655854</v>
      </c>
      <c r="G355" s="38"/>
      <c r="H355" s="138">
        <f>RANK(I355,I3:I431)</f>
        <v>370</v>
      </c>
      <c r="I355" s="139">
        <f>VLOOKUP(A355,'Standard Deviations'!A1:C731,3,FALSE)</f>
        <v>-3.8801562885331955</v>
      </c>
      <c r="J355" s="139">
        <f>I355-VLOOKUP(B$2,H1:J431,2,FALSE)</f>
        <v>-8.0139833756655854</v>
      </c>
    </row>
    <row r="356" spans="1:10" ht="21.2" customHeight="1">
      <c r="A356" s="8" t="s">
        <v>723</v>
      </c>
      <c r="B356" s="136" t="str">
        <f>VLOOKUP(A356,'The List'!B1:D730,3,FALSE)</f>
        <v>C,LW</v>
      </c>
      <c r="C356" s="137">
        <f>IF(Settings!$E$15="POINTS",RANK(E356,E3:E431),H356)</f>
        <v>335</v>
      </c>
      <c r="D356" s="34" t="str">
        <f>VLOOKUP(A356,'The List'!B1:F730,5,FALSE)</f>
        <v>WSH</v>
      </c>
      <c r="E356" s="38">
        <f>VLOOKUP(A356,'The List'!B1:I730,8,FALSE)</f>
        <v>-3.181932982573926</v>
      </c>
      <c r="F356" s="38">
        <f>IF(Settings!$E$15="POINTS",E356-VLOOKUP(B$2,C1:E431,3,FALSE),J356)</f>
        <v>-7.3157600697063163</v>
      </c>
      <c r="G356" s="38"/>
      <c r="H356" s="138">
        <f>RANK(I356,I3:I431)</f>
        <v>335</v>
      </c>
      <c r="I356" s="139">
        <f>VLOOKUP(A356,'Standard Deviations'!A1:C731,3,FALSE)</f>
        <v>-3.181932982573926</v>
      </c>
      <c r="J356" s="139">
        <f>I356-VLOOKUP(B$2,H1:J431,2,FALSE)</f>
        <v>-7.3157600697063163</v>
      </c>
    </row>
    <row r="357" spans="1:10" ht="21.2" customHeight="1">
      <c r="A357" s="8" t="s">
        <v>724</v>
      </c>
      <c r="B357" s="136" t="str">
        <f>VLOOKUP(A357,'The List'!B1:D730,3,FALSE)</f>
        <v>LW</v>
      </c>
      <c r="C357" s="137">
        <f>IF(Settings!$E$15="POINTS",RANK(E357,E3:E431),H357)</f>
        <v>317</v>
      </c>
      <c r="D357" s="34" t="str">
        <f>VLOOKUP(A357,'The List'!B1:F730,5,FALSE)</f>
        <v>ARI</v>
      </c>
      <c r="E357" s="38">
        <f>VLOOKUP(A357,'The List'!B1:I730,8,FALSE)</f>
        <v>-2.8422080971613628</v>
      </c>
      <c r="F357" s="38">
        <f>IF(Settings!$E$15="POINTS",E357-VLOOKUP(B$2,C1:E431,3,FALSE),J357)</f>
        <v>-6.9760351842937531</v>
      </c>
      <c r="G357" s="38"/>
      <c r="H357" s="138">
        <f>RANK(I357,I3:I431)</f>
        <v>317</v>
      </c>
      <c r="I357" s="139">
        <f>VLOOKUP(A357,'Standard Deviations'!A1:C731,3,FALSE)</f>
        <v>-2.8422080971613628</v>
      </c>
      <c r="J357" s="139">
        <f>I357-VLOOKUP(B$2,H1:J431,2,FALSE)</f>
        <v>-6.9760351842937531</v>
      </c>
    </row>
    <row r="358" spans="1:10" ht="21.2" customHeight="1">
      <c r="A358" s="8" t="s">
        <v>703</v>
      </c>
      <c r="B358" s="136" t="str">
        <f>VLOOKUP(A358,'The List'!B1:D730,3,FALSE)</f>
        <v>RW</v>
      </c>
      <c r="C358" s="137">
        <f>IF(Settings!$E$15="POINTS",RANK(E358,E3:E431),H358)</f>
        <v>352</v>
      </c>
      <c r="D358" s="34" t="str">
        <f>VLOOKUP(A358,'The List'!B1:F730,5,FALSE)</f>
        <v>DET</v>
      </c>
      <c r="E358" s="38">
        <f>VLOOKUP(A358,'The List'!B1:I730,8,FALSE)</f>
        <v>-3.3919296974618183</v>
      </c>
      <c r="F358" s="38">
        <f>IF(Settings!$E$15="POINTS",E358-VLOOKUP(B$2,C1:E431,3,FALSE),J358)</f>
        <v>-7.5257567845942086</v>
      </c>
      <c r="G358" s="38"/>
      <c r="H358" s="138">
        <f>RANK(I358,I3:I431)</f>
        <v>352</v>
      </c>
      <c r="I358" s="139">
        <f>VLOOKUP(A358,'Standard Deviations'!A1:C731,3,FALSE)</f>
        <v>-3.3919296974618183</v>
      </c>
      <c r="J358" s="139">
        <f>I358-VLOOKUP(B$2,H1:J431,2,FALSE)</f>
        <v>-7.5257567845942086</v>
      </c>
    </row>
    <row r="359" spans="1:10" ht="21.2" customHeight="1">
      <c r="A359" s="8" t="s">
        <v>756</v>
      </c>
      <c r="B359" s="136" t="str">
        <f>VLOOKUP(A359,'The List'!B1:D730,3,FALSE)</f>
        <v>C</v>
      </c>
      <c r="C359" s="137">
        <f>IF(Settings!$E$15="POINTS",RANK(E359,E3:E431),H359)</f>
        <v>363</v>
      </c>
      <c r="D359" s="34" t="str">
        <f>VLOOKUP(A359,'The List'!B1:F730,5,FALSE)</f>
        <v>DAL</v>
      </c>
      <c r="E359" s="38">
        <f>VLOOKUP(A359,'The List'!B1:I730,8,FALSE)</f>
        <v>-3.6725022325197183</v>
      </c>
      <c r="F359" s="38">
        <f>IF(Settings!$E$15="POINTS",E359-VLOOKUP(B$2,C1:E431,3,FALSE),J359)</f>
        <v>-7.8063293196521091</v>
      </c>
      <c r="G359" s="38"/>
      <c r="H359" s="138">
        <f>RANK(I359,I3:I431)</f>
        <v>363</v>
      </c>
      <c r="I359" s="139">
        <f>VLOOKUP(A359,'Standard Deviations'!A1:C731,3,FALSE)</f>
        <v>-3.6725022325197183</v>
      </c>
      <c r="J359" s="139">
        <f>I359-VLOOKUP(B$2,H1:J431,2,FALSE)</f>
        <v>-7.8063293196521091</v>
      </c>
    </row>
    <row r="360" spans="1:10" ht="21.2" customHeight="1">
      <c r="A360" s="8" t="s">
        <v>728</v>
      </c>
      <c r="B360" s="136" t="str">
        <f>VLOOKUP(A360,'The List'!B1:D730,3,FALSE)</f>
        <v>LW</v>
      </c>
      <c r="C360" s="137">
        <f>IF(Settings!$E$15="POINTS",RANK(E360,E3:E431),H360)</f>
        <v>374</v>
      </c>
      <c r="D360" s="34" t="str">
        <f>VLOOKUP(A360,'The List'!B1:F730,5,FALSE)</f>
        <v>CHI</v>
      </c>
      <c r="E360" s="38">
        <f>VLOOKUP(A360,'The List'!B1:I730,8,FALSE)</f>
        <v>-3.9176149188486202</v>
      </c>
      <c r="F360" s="38">
        <f>IF(Settings!$E$15="POINTS",E360-VLOOKUP(B$2,C1:E431,3,FALSE),J360)</f>
        <v>-8.051442005981011</v>
      </c>
      <c r="G360" s="38"/>
      <c r="H360" s="138">
        <f>RANK(I360,I3:I431)</f>
        <v>374</v>
      </c>
      <c r="I360" s="139">
        <f>VLOOKUP(A360,'Standard Deviations'!A1:C731,3,FALSE)</f>
        <v>-3.9176149188486202</v>
      </c>
      <c r="J360" s="139">
        <f>I360-VLOOKUP(B$2,H1:J431,2,FALSE)</f>
        <v>-8.051442005981011</v>
      </c>
    </row>
    <row r="361" spans="1:10" ht="21.2" customHeight="1">
      <c r="A361" s="8" t="s">
        <v>706</v>
      </c>
      <c r="B361" s="136" t="str">
        <f>VLOOKUP(A361,'The List'!B1:D730,3,FALSE)</f>
        <v>LW,RW</v>
      </c>
      <c r="C361" s="137">
        <f>IF(Settings!$E$15="POINTS",RANK(E361,E3:E431),H361)</f>
        <v>314</v>
      </c>
      <c r="D361" s="34" t="str">
        <f>VLOOKUP(A361,'The List'!B1:F730,5,FALSE)</f>
        <v>DET</v>
      </c>
      <c r="E361" s="38">
        <f>VLOOKUP(A361,'The List'!B1:I730,8,FALSE)</f>
        <v>-2.7498306939977932</v>
      </c>
      <c r="F361" s="38">
        <f>IF(Settings!$E$15="POINTS",E361-VLOOKUP(B$2,C1:E431,3,FALSE),J361)</f>
        <v>-6.883657781130184</v>
      </c>
      <c r="G361" s="38"/>
      <c r="H361" s="138">
        <f>RANK(I361,I3:I431)</f>
        <v>314</v>
      </c>
      <c r="I361" s="139">
        <f>VLOOKUP(A361,'Standard Deviations'!A1:C731,3,FALSE)</f>
        <v>-2.7498306939977932</v>
      </c>
      <c r="J361" s="139">
        <f>I361-VLOOKUP(B$2,H1:J431,2,FALSE)</f>
        <v>-6.883657781130184</v>
      </c>
    </row>
    <row r="362" spans="1:10" ht="21.2" customHeight="1">
      <c r="A362" s="8" t="s">
        <v>733</v>
      </c>
      <c r="B362" s="136" t="str">
        <f>VLOOKUP(A362,'The List'!B1:D730,3,FALSE)</f>
        <v>LW</v>
      </c>
      <c r="C362" s="137">
        <f>IF(Settings!$E$15="POINTS",RANK(E362,E3:E431),H362)</f>
        <v>310</v>
      </c>
      <c r="D362" s="34" t="str">
        <f>VLOOKUP(A362,'The List'!B1:F730,5,FALSE)</f>
        <v>ARI</v>
      </c>
      <c r="E362" s="38">
        <f>VLOOKUP(A362,'The List'!B1:I730,8,FALSE)</f>
        <v>-2.6902452776734291</v>
      </c>
      <c r="F362" s="38">
        <f>IF(Settings!$E$15="POINTS",E362-VLOOKUP(B$2,C1:E431,3,FALSE),J362)</f>
        <v>-6.8240723648058195</v>
      </c>
      <c r="G362" s="38"/>
      <c r="H362" s="138">
        <f>RANK(I362,I3:I431)</f>
        <v>310</v>
      </c>
      <c r="I362" s="139">
        <f>VLOOKUP(A362,'Standard Deviations'!A1:C731,3,FALSE)</f>
        <v>-2.6902452776734291</v>
      </c>
      <c r="J362" s="139">
        <f>I362-VLOOKUP(B$2,H1:J431,2,FALSE)</f>
        <v>-6.8240723648058195</v>
      </c>
    </row>
    <row r="363" spans="1:10" ht="21.2" customHeight="1">
      <c r="A363" s="8" t="s">
        <v>734</v>
      </c>
      <c r="B363" s="136" t="str">
        <f>VLOOKUP(A363,'The List'!B1:D730,3,FALSE)</f>
        <v>C,LW</v>
      </c>
      <c r="C363" s="137">
        <f>IF(Settings!$E$15="POINTS",RANK(E363,E3:E431),H363)</f>
        <v>377</v>
      </c>
      <c r="D363" s="34" t="str">
        <f>VLOOKUP(A363,'The List'!B1:F730,5,FALSE)</f>
        <v>BUF</v>
      </c>
      <c r="E363" s="38">
        <f>VLOOKUP(A363,'The List'!B1:I730,8,FALSE)</f>
        <v>-3.9752289640747072</v>
      </c>
      <c r="F363" s="38">
        <f>IF(Settings!$E$15="POINTS",E363-VLOOKUP(B$2,C1:E431,3,FALSE),J363)</f>
        <v>-8.1090560512070979</v>
      </c>
      <c r="G363" s="38"/>
      <c r="H363" s="138">
        <f>RANK(I363,I3:I431)</f>
        <v>377</v>
      </c>
      <c r="I363" s="139">
        <f>VLOOKUP(A363,'Standard Deviations'!A1:C731,3,FALSE)</f>
        <v>-3.9752289640747072</v>
      </c>
      <c r="J363" s="139">
        <f>I363-VLOOKUP(B$2,H1:J431,2,FALSE)</f>
        <v>-8.1090560512070979</v>
      </c>
    </row>
    <row r="364" spans="1:10" ht="21.2" customHeight="1">
      <c r="A364" s="8" t="s">
        <v>735</v>
      </c>
      <c r="B364" s="136" t="str">
        <f>VLOOKUP(A364,'The List'!B1:D730,3,FALSE)</f>
        <v>C,LW</v>
      </c>
      <c r="C364" s="137">
        <f>IF(Settings!$E$15="POINTS",RANK(E364,E3:E431),H364)</f>
        <v>303</v>
      </c>
      <c r="D364" s="34" t="str">
        <f>VLOOKUP(A364,'The List'!B1:F730,5,FALSE)</f>
        <v>WSH</v>
      </c>
      <c r="E364" s="38">
        <f>VLOOKUP(A364,'The List'!B1:I730,8,FALSE)</f>
        <v>-2.5729813082637349</v>
      </c>
      <c r="F364" s="38">
        <f>IF(Settings!$E$15="POINTS",E364-VLOOKUP(B$2,C1:E431,3,FALSE),J364)</f>
        <v>-6.7068083953961253</v>
      </c>
      <c r="G364" s="38"/>
      <c r="H364" s="138">
        <f>RANK(I364,I3:I431)</f>
        <v>303</v>
      </c>
      <c r="I364" s="139">
        <f>VLOOKUP(A364,'Standard Deviations'!A1:C731,3,FALSE)</f>
        <v>-2.5729813082637349</v>
      </c>
      <c r="J364" s="139">
        <f>I364-VLOOKUP(B$2,H1:J431,2,FALSE)</f>
        <v>-6.7068083953961253</v>
      </c>
    </row>
    <row r="365" spans="1:10" ht="21.2" customHeight="1">
      <c r="A365" s="8" t="s">
        <v>736</v>
      </c>
      <c r="B365" s="136" t="str">
        <f>VLOOKUP(A365,'The List'!B1:D730,3,FALSE)</f>
        <v>C,LW</v>
      </c>
      <c r="C365" s="137">
        <f>IF(Settings!$E$15="POINTS",RANK(E365,E3:E431),H365)</f>
        <v>380</v>
      </c>
      <c r="D365" s="34" t="str">
        <f>VLOOKUP(A365,'The List'!B1:F730,5,FALSE)</f>
        <v>NYR</v>
      </c>
      <c r="E365" s="38">
        <f>VLOOKUP(A365,'The List'!B1:I730,8,FALSE)</f>
        <v>-4.0336687034884982</v>
      </c>
      <c r="F365" s="38">
        <f>IF(Settings!$E$15="POINTS",E365-VLOOKUP(B$2,C1:E431,3,FALSE),J365)</f>
        <v>-8.1674957906208885</v>
      </c>
      <c r="G365" s="38"/>
      <c r="H365" s="138">
        <f>RANK(I365,I3:I431)</f>
        <v>380</v>
      </c>
      <c r="I365" s="139">
        <f>VLOOKUP(A365,'Standard Deviations'!A1:C731,3,FALSE)</f>
        <v>-4.0336687034884982</v>
      </c>
      <c r="J365" s="139">
        <f>I365-VLOOKUP(B$2,H1:J431,2,FALSE)</f>
        <v>-8.1674957906208885</v>
      </c>
    </row>
    <row r="366" spans="1:10" ht="21.2" customHeight="1">
      <c r="A366" s="8" t="s">
        <v>711</v>
      </c>
      <c r="B366" s="136" t="str">
        <f>VLOOKUP(A366,'The List'!B1:D730,3,FALSE)</f>
        <v>LW,RW</v>
      </c>
      <c r="C366" s="137">
        <f>IF(Settings!$E$15="POINTS",RANK(E366,E3:E431),H366)</f>
        <v>365</v>
      </c>
      <c r="D366" s="34" t="str">
        <f>VLOOKUP(A366,'The List'!B1:F730,5,FALSE)</f>
        <v>STL</v>
      </c>
      <c r="E366" s="38">
        <f>VLOOKUP(A366,'The List'!B1:I730,8,FALSE)</f>
        <v>-3.7049741314572016</v>
      </c>
      <c r="F366" s="38">
        <f>IF(Settings!$E$15="POINTS",E366-VLOOKUP(B$2,C1:E431,3,FALSE),J366)</f>
        <v>-7.8388012185895919</v>
      </c>
      <c r="G366" s="38"/>
      <c r="H366" s="138">
        <f>RANK(I366,I3:I431)</f>
        <v>365</v>
      </c>
      <c r="I366" s="139">
        <f>VLOOKUP(A366,'Standard Deviations'!A1:C731,3,FALSE)</f>
        <v>-3.7049741314572016</v>
      </c>
      <c r="J366" s="139">
        <f>I366-VLOOKUP(B$2,H1:J431,2,FALSE)</f>
        <v>-7.8388012185895919</v>
      </c>
    </row>
    <row r="367" spans="1:10" ht="21.2" customHeight="1">
      <c r="A367" s="8" t="s">
        <v>762</v>
      </c>
      <c r="B367" s="136" t="str">
        <f>VLOOKUP(A367,'The List'!B1:D730,3,FALSE)</f>
        <v>C</v>
      </c>
      <c r="C367" s="137">
        <f>IF(Settings!$E$15="POINTS",RANK(E367,E3:E431),H367)</f>
        <v>382</v>
      </c>
      <c r="D367" s="34" t="str">
        <f>VLOOKUP(A367,'The List'!B1:F730,5,FALSE)</f>
        <v>FLA</v>
      </c>
      <c r="E367" s="38">
        <f>VLOOKUP(A367,'The List'!B1:I730,8,FALSE)</f>
        <v>-4.0934979612669631</v>
      </c>
      <c r="F367" s="38">
        <f>IF(Settings!$E$15="POINTS",E367-VLOOKUP(B$2,C1:E431,3,FALSE),J367)</f>
        <v>-8.2273250483993543</v>
      </c>
      <c r="G367" s="38"/>
      <c r="H367" s="138">
        <f>RANK(I367,I3:I431)</f>
        <v>382</v>
      </c>
      <c r="I367" s="139">
        <f>VLOOKUP(A367,'Standard Deviations'!A1:C731,3,FALSE)</f>
        <v>-4.0934979612669631</v>
      </c>
      <c r="J367" s="139">
        <f>I367-VLOOKUP(B$2,H1:J431,2,FALSE)</f>
        <v>-8.2273250483993543</v>
      </c>
    </row>
    <row r="368" spans="1:10" ht="21.2" customHeight="1">
      <c r="A368" s="8" t="s">
        <v>741</v>
      </c>
      <c r="B368" s="136" t="str">
        <f>VLOOKUP(A368,'The List'!B1:D730,3,FALSE)</f>
        <v>LW</v>
      </c>
      <c r="C368" s="137">
        <f>IF(Settings!$E$15="POINTS",RANK(E368,E3:E431),H368)</f>
        <v>339</v>
      </c>
      <c r="D368" s="34" t="str">
        <f>VLOOKUP(A368,'The List'!B1:F730,5,FALSE)</f>
        <v>ANA</v>
      </c>
      <c r="E368" s="38">
        <f>VLOOKUP(A368,'The List'!B1:I730,8,FALSE)</f>
        <v>-3.2443831257741813</v>
      </c>
      <c r="F368" s="38">
        <f>IF(Settings!$E$15="POINTS",E368-VLOOKUP(B$2,C1:E431,3,FALSE),J368)</f>
        <v>-7.3782102129065716</v>
      </c>
      <c r="G368" s="38"/>
      <c r="H368" s="138">
        <f>RANK(I368,I3:I431)</f>
        <v>339</v>
      </c>
      <c r="I368" s="139">
        <f>VLOOKUP(A368,'Standard Deviations'!A1:C731,3,FALSE)</f>
        <v>-3.2443831257741813</v>
      </c>
      <c r="J368" s="139">
        <f>I368-VLOOKUP(B$2,H1:J431,2,FALSE)</f>
        <v>-7.3782102129065716</v>
      </c>
    </row>
    <row r="369" spans="1:10" ht="21.2" customHeight="1">
      <c r="A369" s="8" t="s">
        <v>742</v>
      </c>
      <c r="B369" s="136" t="str">
        <f>VLOOKUP(A369,'The List'!B1:D730,3,FALSE)</f>
        <v>LW</v>
      </c>
      <c r="C369" s="137">
        <f>IF(Settings!$E$15="POINTS",RANK(E369,E3:E431),H369)</f>
        <v>287</v>
      </c>
      <c r="D369" s="34" t="str">
        <f>VLOOKUP(A369,'The List'!B1:F730,5,FALSE)</f>
        <v>TOR</v>
      </c>
      <c r="E369" s="38">
        <f>VLOOKUP(A369,'The List'!B1:I730,8,FALSE)</f>
        <v>-2.1625010816875663</v>
      </c>
      <c r="F369" s="38">
        <f>IF(Settings!$E$15="POINTS",E369-VLOOKUP(B$2,C1:E431,3,FALSE),J369)</f>
        <v>-6.2963281688199562</v>
      </c>
      <c r="G369" s="38"/>
      <c r="H369" s="138">
        <f>RANK(I369,I3:I431)</f>
        <v>287</v>
      </c>
      <c r="I369" s="139">
        <f>VLOOKUP(A369,'Standard Deviations'!A1:C731,3,FALSE)</f>
        <v>-2.1625010816875663</v>
      </c>
      <c r="J369" s="139">
        <f>I369-VLOOKUP(B$2,H1:J431,2,FALSE)</f>
        <v>-6.2963281688199562</v>
      </c>
    </row>
    <row r="370" spans="1:10" ht="21.2" customHeight="1">
      <c r="A370" s="8" t="s">
        <v>743</v>
      </c>
      <c r="B370" s="136" t="str">
        <f>VLOOKUP(A370,'The List'!B1:D730,3,FALSE)</f>
        <v>LW</v>
      </c>
      <c r="C370" s="137">
        <f>IF(Settings!$E$15="POINTS",RANK(E370,E3:E431),H370)</f>
        <v>376</v>
      </c>
      <c r="D370" s="34" t="str">
        <f>VLOOKUP(A370,'The List'!B1:F730,5,FALSE)</f>
        <v>CHI</v>
      </c>
      <c r="E370" s="38">
        <f>VLOOKUP(A370,'The List'!B1:I730,8,FALSE)</f>
        <v>-3.9559172433966978</v>
      </c>
      <c r="F370" s="38">
        <f>IF(Settings!$E$15="POINTS",E370-VLOOKUP(B$2,C1:E431,3,FALSE),J370)</f>
        <v>-8.0897443305290881</v>
      </c>
      <c r="G370" s="38"/>
      <c r="H370" s="138">
        <f>RANK(I370,I3:I431)</f>
        <v>376</v>
      </c>
      <c r="I370" s="139">
        <f>VLOOKUP(A370,'Standard Deviations'!A1:C731,3,FALSE)</f>
        <v>-3.9559172433966978</v>
      </c>
      <c r="J370" s="139">
        <f>I370-VLOOKUP(B$2,H1:J431,2,FALSE)</f>
        <v>-8.0897443305290881</v>
      </c>
    </row>
    <row r="371" spans="1:10" ht="21.2" customHeight="1">
      <c r="A371" s="8" t="s">
        <v>744</v>
      </c>
      <c r="B371" s="136" t="str">
        <f>VLOOKUP(A371,'The List'!B1:D730,3,FALSE)</f>
        <v>LW</v>
      </c>
      <c r="C371" s="137">
        <f>IF(Settings!$E$15="POINTS",RANK(E371,E3:E431),H371)</f>
        <v>402</v>
      </c>
      <c r="D371" s="34" t="str">
        <f>VLOOKUP(A371,'The List'!B1:F730,5,FALSE)</f>
        <v>COL</v>
      </c>
      <c r="E371" s="38">
        <f>VLOOKUP(A371,'The List'!B1:I730,8,FALSE)</f>
        <v>-4.595605541407366</v>
      </c>
      <c r="F371" s="38">
        <f>IF(Settings!$E$15="POINTS",E371-VLOOKUP(B$2,C1:E431,3,FALSE),J371)</f>
        <v>-8.7294326285397563</v>
      </c>
      <c r="G371" s="38"/>
      <c r="H371" s="138">
        <f>RANK(I371,I3:I431)</f>
        <v>402</v>
      </c>
      <c r="I371" s="139">
        <f>VLOOKUP(A371,'Standard Deviations'!A1:C731,3,FALSE)</f>
        <v>-4.595605541407366</v>
      </c>
      <c r="J371" s="139">
        <f>I371-VLOOKUP(B$2,H1:J431,2,FALSE)</f>
        <v>-8.7294326285397563</v>
      </c>
    </row>
    <row r="372" spans="1:10" ht="21.2" customHeight="1">
      <c r="A372" s="8" t="s">
        <v>767</v>
      </c>
      <c r="B372" s="136" t="str">
        <f>VLOOKUP(A372,'The List'!B1:D730,3,FALSE)</f>
        <v>C</v>
      </c>
      <c r="C372" s="137">
        <f>IF(Settings!$E$15="POINTS",RANK(E372,E3:E431),H372)</f>
        <v>390</v>
      </c>
      <c r="D372" s="34" t="str">
        <f>VLOOKUP(A372,'The List'!B1:F730,5,FALSE)</f>
        <v>EDM</v>
      </c>
      <c r="E372" s="38">
        <f>VLOOKUP(A372,'The List'!B1:I730,8,FALSE)</f>
        <v>-4.3501785895838188</v>
      </c>
      <c r="F372" s="38">
        <f>IF(Settings!$E$15="POINTS",E372-VLOOKUP(B$2,C1:E431,3,FALSE),J372)</f>
        <v>-8.4840056767162082</v>
      </c>
      <c r="G372" s="38"/>
      <c r="H372" s="138">
        <f>RANK(I372,I3:I431)</f>
        <v>390</v>
      </c>
      <c r="I372" s="139">
        <f>VLOOKUP(A372,'Standard Deviations'!A1:C731,3,FALSE)</f>
        <v>-4.3501785895838188</v>
      </c>
      <c r="J372" s="139">
        <f>I372-VLOOKUP(B$2,H1:J431,2,FALSE)</f>
        <v>-8.4840056767162082</v>
      </c>
    </row>
    <row r="373" spans="1:10" ht="21.2" customHeight="1">
      <c r="A373" s="8" t="s">
        <v>746</v>
      </c>
      <c r="B373" s="136" t="str">
        <f>VLOOKUP(A373,'The List'!B1:D730,3,FALSE)</f>
        <v>LW</v>
      </c>
      <c r="C373" s="137">
        <f>IF(Settings!$E$15="POINTS",RANK(E373,E3:E431),H373)</f>
        <v>297</v>
      </c>
      <c r="D373" s="34" t="str">
        <f>VLOOKUP(A373,'The List'!B1:F730,5,FALSE)</f>
        <v>VAN</v>
      </c>
      <c r="E373" s="38">
        <f>VLOOKUP(A373,'The List'!B1:I730,8,FALSE)</f>
        <v>-2.3904770419940826</v>
      </c>
      <c r="F373" s="38">
        <f>IF(Settings!$E$15="POINTS",E373-VLOOKUP(B$2,C1:E431,3,FALSE),J373)</f>
        <v>-6.524304129126473</v>
      </c>
      <c r="G373" s="38"/>
      <c r="H373" s="138">
        <f>RANK(I373,I3:I431)</f>
        <v>297</v>
      </c>
      <c r="I373" s="139">
        <f>VLOOKUP(A373,'Standard Deviations'!A1:C731,3,FALSE)</f>
        <v>-2.3904770419940826</v>
      </c>
      <c r="J373" s="139">
        <f>I373-VLOOKUP(B$2,H1:J431,2,FALSE)</f>
        <v>-6.524304129126473</v>
      </c>
    </row>
    <row r="374" spans="1:10" ht="21.2" customHeight="1">
      <c r="A374" s="8" t="s">
        <v>750</v>
      </c>
      <c r="B374" s="136" t="str">
        <f>VLOOKUP(A374,'The List'!B1:D730,3,FALSE)</f>
        <v>C,LW</v>
      </c>
      <c r="C374" s="137">
        <f>IF(Settings!$E$15="POINTS",RANK(E374,E3:E431),H374)</f>
        <v>231</v>
      </c>
      <c r="D374" s="34" t="str">
        <f>VLOOKUP(A374,'The List'!B1:F730,5,FALSE)</f>
        <v>CGY</v>
      </c>
      <c r="E374" s="38">
        <f>VLOOKUP(A374,'The List'!B1:I730,8,FALSE)</f>
        <v>-0.4382943085740027</v>
      </c>
      <c r="F374" s="38">
        <f>IF(Settings!$E$15="POINTS",E374-VLOOKUP(B$2,C1:E431,3,FALSE),J374)</f>
        <v>-4.5721213957063931</v>
      </c>
      <c r="G374" s="38"/>
      <c r="H374" s="138">
        <f>RANK(I374,I3:I431)</f>
        <v>231</v>
      </c>
      <c r="I374" s="139">
        <f>VLOOKUP(A374,'Standard Deviations'!A1:C731,3,FALSE)</f>
        <v>-0.4382943085740027</v>
      </c>
      <c r="J374" s="139">
        <f>I374-VLOOKUP(B$2,H1:J431,2,FALSE)</f>
        <v>-4.5721213957063931</v>
      </c>
    </row>
    <row r="375" spans="1:10" ht="21.2" customHeight="1">
      <c r="A375" s="8" t="s">
        <v>720</v>
      </c>
      <c r="B375" s="136" t="str">
        <f>VLOOKUP(A375,'The List'!B1:D730,3,FALSE)</f>
        <v>LW,RW</v>
      </c>
      <c r="C375" s="137">
        <f>IF(Settings!$E$15="POINTS",RANK(E375,E3:E431),H375)</f>
        <v>368</v>
      </c>
      <c r="D375" s="34" t="str">
        <f>VLOOKUP(A375,'The List'!B1:F730,5,FALSE)</f>
        <v>MIN</v>
      </c>
      <c r="E375" s="38">
        <f>VLOOKUP(A375,'The List'!B1:I730,8,FALSE)</f>
        <v>-3.847161552483727</v>
      </c>
      <c r="F375" s="38">
        <f>IF(Settings!$E$15="POINTS",E375-VLOOKUP(B$2,C1:E431,3,FALSE),J375)</f>
        <v>-7.9809886396161174</v>
      </c>
      <c r="G375" s="38"/>
      <c r="H375" s="138">
        <f>RANK(I375,I3:I431)</f>
        <v>368</v>
      </c>
      <c r="I375" s="139">
        <f>VLOOKUP(A375,'Standard Deviations'!A1:C731,3,FALSE)</f>
        <v>-3.847161552483727</v>
      </c>
      <c r="J375" s="139">
        <f>I375-VLOOKUP(B$2,H1:J431,2,FALSE)</f>
        <v>-7.9809886396161174</v>
      </c>
    </row>
    <row r="376" spans="1:10" ht="21.2" customHeight="1">
      <c r="A376" s="8" t="s">
        <v>755</v>
      </c>
      <c r="B376" s="136" t="str">
        <f>VLOOKUP(A376,'The List'!B1:D730,3,FALSE)</f>
        <v>C,LW</v>
      </c>
      <c r="C376" s="137">
        <f>IF(Settings!$E$15="POINTS",RANK(E376,E3:E431),H376)</f>
        <v>386</v>
      </c>
      <c r="D376" s="34" t="str">
        <f>VLOOKUP(A376,'The List'!B1:F730,5,FALSE)</f>
        <v>MIN</v>
      </c>
      <c r="E376" s="38">
        <f>VLOOKUP(A376,'The List'!B1:I730,8,FALSE)</f>
        <v>-4.1870475440077968</v>
      </c>
      <c r="F376" s="38">
        <f>IF(Settings!$E$15="POINTS",E376-VLOOKUP(B$2,C1:E431,3,FALSE),J376)</f>
        <v>-8.3208746311401871</v>
      </c>
      <c r="G376" s="38"/>
      <c r="H376" s="138">
        <f>RANK(I376,I3:I431)</f>
        <v>386</v>
      </c>
      <c r="I376" s="139">
        <f>VLOOKUP(A376,'Standard Deviations'!A1:C731,3,FALSE)</f>
        <v>-4.1870475440077968</v>
      </c>
      <c r="J376" s="139">
        <f>I376-VLOOKUP(B$2,H1:J431,2,FALSE)</f>
        <v>-8.3208746311401871</v>
      </c>
    </row>
    <row r="377" spans="1:10" ht="21.2" customHeight="1">
      <c r="A377" s="8" t="s">
        <v>757</v>
      </c>
      <c r="B377" s="136" t="str">
        <f>VLOOKUP(A377,'The List'!B1:D730,3,FALSE)</f>
        <v>C,LW</v>
      </c>
      <c r="C377" s="137">
        <f>IF(Settings!$E$15="POINTS",RANK(E377,E3:E431),H377)</f>
        <v>384</v>
      </c>
      <c r="D377" s="34" t="str">
        <f>VLOOKUP(A377,'The List'!B1:F730,5,FALSE)</f>
        <v>NJD</v>
      </c>
      <c r="E377" s="38">
        <f>VLOOKUP(A377,'The List'!B1:I730,8,FALSE)</f>
        <v>-4.1360754113078348</v>
      </c>
      <c r="F377" s="38">
        <f>IF(Settings!$E$15="POINTS",E377-VLOOKUP(B$2,C1:E431,3,FALSE),J377)</f>
        <v>-8.2699024984402243</v>
      </c>
      <c r="G377" s="38"/>
      <c r="H377" s="138">
        <f>RANK(I377,I3:I431)</f>
        <v>384</v>
      </c>
      <c r="I377" s="139">
        <f>VLOOKUP(A377,'Standard Deviations'!A1:C731,3,FALSE)</f>
        <v>-4.1360754113078348</v>
      </c>
      <c r="J377" s="139">
        <f>I377-VLOOKUP(B$2,H1:J431,2,FALSE)</f>
        <v>-8.2699024984402243</v>
      </c>
    </row>
    <row r="378" spans="1:10" ht="21.2" customHeight="1">
      <c r="A378" s="8" t="s">
        <v>758</v>
      </c>
      <c r="B378" s="136" t="str">
        <f>VLOOKUP(A378,'The List'!B1:D730,3,FALSE)</f>
        <v>LW</v>
      </c>
      <c r="C378" s="137">
        <f>IF(Settings!$E$15="POINTS",RANK(E378,E3:E431),H378)</f>
        <v>367</v>
      </c>
      <c r="D378" s="34" t="str">
        <f>VLOOKUP(A378,'The List'!B1:F730,5,FALSE)</f>
        <v>BOS</v>
      </c>
      <c r="E378" s="38">
        <f>VLOOKUP(A378,'The List'!B1:I730,8,FALSE)</f>
        <v>-3.8421143609125856</v>
      </c>
      <c r="F378" s="38">
        <f>IF(Settings!$E$15="POINTS",E378-VLOOKUP(B$2,C1:E431,3,FALSE),J378)</f>
        <v>-7.975941448044976</v>
      </c>
      <c r="G378" s="38"/>
      <c r="H378" s="138">
        <f>RANK(I378,I3:I431)</f>
        <v>367</v>
      </c>
      <c r="I378" s="139">
        <f>VLOOKUP(A378,'Standard Deviations'!A1:C731,3,FALSE)</f>
        <v>-3.8421143609125856</v>
      </c>
      <c r="J378" s="139">
        <f>I378-VLOOKUP(B$2,H1:J431,2,FALSE)</f>
        <v>-7.975941448044976</v>
      </c>
    </row>
    <row r="379" spans="1:10" ht="21.2" customHeight="1">
      <c r="A379" s="8" t="s">
        <v>759</v>
      </c>
      <c r="B379" s="136" t="str">
        <f>VLOOKUP(A379,'The List'!B1:D730,3,FALSE)</f>
        <v>LW</v>
      </c>
      <c r="C379" s="137">
        <f>IF(Settings!$E$15="POINTS",RANK(E379,E3:E431),H379)</f>
        <v>396</v>
      </c>
      <c r="D379" s="34" t="str">
        <f>VLOOKUP(A379,'The List'!B1:F730,5,FALSE)</f>
        <v>BOS</v>
      </c>
      <c r="E379" s="38">
        <f>VLOOKUP(A379,'The List'!B1:I730,8,FALSE)</f>
        <v>-4.5393853244508895</v>
      </c>
      <c r="F379" s="38">
        <f>IF(Settings!$E$15="POINTS",E379-VLOOKUP(B$2,C1:E431,3,FALSE),J379)</f>
        <v>-8.6732124115832789</v>
      </c>
      <c r="G379" s="38"/>
      <c r="H379" s="138">
        <f>RANK(I379,I3:I431)</f>
        <v>396</v>
      </c>
      <c r="I379" s="139">
        <f>VLOOKUP(A379,'Standard Deviations'!A1:C731,3,FALSE)</f>
        <v>-4.5393853244508895</v>
      </c>
      <c r="J379" s="139">
        <f>I379-VLOOKUP(B$2,H1:J431,2,FALSE)</f>
        <v>-8.6732124115832789</v>
      </c>
    </row>
    <row r="380" spans="1:10" ht="21.2" customHeight="1">
      <c r="A380" s="8" t="s">
        <v>732</v>
      </c>
      <c r="B380" s="136" t="str">
        <f>VLOOKUP(A380,'The List'!B1:D730,3,FALSE)</f>
        <v>C,RW</v>
      </c>
      <c r="C380" s="137">
        <f>IF(Settings!$E$15="POINTS",RANK(E380,E3:E431),H380)</f>
        <v>375</v>
      </c>
      <c r="D380" s="34" t="str">
        <f>VLOOKUP(A380,'The List'!B1:F730,5,FALSE)</f>
        <v>VAN</v>
      </c>
      <c r="E380" s="38">
        <f>VLOOKUP(A380,'The List'!B1:I730,8,FALSE)</f>
        <v>-3.92227209384464</v>
      </c>
      <c r="F380" s="38">
        <f>IF(Settings!$E$15="POINTS",E380-VLOOKUP(B$2,C1:E431,3,FALSE),J380)</f>
        <v>-8.0560991809770304</v>
      </c>
      <c r="G380" s="38"/>
      <c r="H380" s="138">
        <f>RANK(I380,I3:I431)</f>
        <v>375</v>
      </c>
      <c r="I380" s="139">
        <f>VLOOKUP(A380,'Standard Deviations'!A1:C731,3,FALSE)</f>
        <v>-3.92227209384464</v>
      </c>
      <c r="J380" s="139">
        <f>I380-VLOOKUP(B$2,H1:J431,2,FALSE)</f>
        <v>-8.0560991809770304</v>
      </c>
    </row>
    <row r="381" spans="1:10" ht="21.2" customHeight="1">
      <c r="A381" s="8" t="s">
        <v>782</v>
      </c>
      <c r="B381" s="136" t="str">
        <f>VLOOKUP(A381,'The List'!B1:D730,3,FALSE)</f>
        <v>C</v>
      </c>
      <c r="C381" s="137">
        <f>IF(Settings!$E$15="POINTS",RANK(E381,E3:E431),H381)</f>
        <v>388</v>
      </c>
      <c r="D381" s="34" t="str">
        <f>VLOOKUP(A381,'The List'!B1:F730,5,FALSE)</f>
        <v>DET</v>
      </c>
      <c r="E381" s="38">
        <f>VLOOKUP(A381,'The List'!B1:I730,8,FALSE)</f>
        <v>-4.21386934212887</v>
      </c>
      <c r="F381" s="38">
        <f>IF(Settings!$E$15="POINTS",E381-VLOOKUP(B$2,C1:E431,3,FALSE),J381)</f>
        <v>-8.3476964292612603</v>
      </c>
      <c r="G381" s="38"/>
      <c r="H381" s="138">
        <f>RANK(I381,I3:I431)</f>
        <v>388</v>
      </c>
      <c r="I381" s="139">
        <f>VLOOKUP(A381,'Standard Deviations'!A1:C731,3,FALSE)</f>
        <v>-4.21386934212887</v>
      </c>
      <c r="J381" s="139">
        <f>I381-VLOOKUP(B$2,H1:J431,2,FALSE)</f>
        <v>-8.3476964292612603</v>
      </c>
    </row>
    <row r="382" spans="1:10" ht="21.2" customHeight="1">
      <c r="A382" s="8" t="s">
        <v>761</v>
      </c>
      <c r="B382" s="136" t="str">
        <f>VLOOKUP(A382,'The List'!B1:D730,3,FALSE)</f>
        <v>LW</v>
      </c>
      <c r="C382" s="137">
        <f>IF(Settings!$E$15="POINTS",RANK(E382,E3:E431),H382)</f>
        <v>401</v>
      </c>
      <c r="D382" s="34" t="str">
        <f>VLOOKUP(A382,'The List'!B1:F730,5,FALSE)</f>
        <v>UFA</v>
      </c>
      <c r="E382" s="38">
        <f>VLOOKUP(A382,'The List'!B1:I730,8,FALSE)</f>
        <v>-4.5891289709022089</v>
      </c>
      <c r="F382" s="38">
        <f>IF(Settings!$E$15="POINTS",E382-VLOOKUP(B$2,C1:E431,3,FALSE),J382)</f>
        <v>-8.7229560580345993</v>
      </c>
      <c r="G382" s="38"/>
      <c r="H382" s="138">
        <f>RANK(I382,I3:I431)</f>
        <v>401</v>
      </c>
      <c r="I382" s="139">
        <f>VLOOKUP(A382,'Standard Deviations'!A1:C731,3,FALSE)</f>
        <v>-4.5891289709022089</v>
      </c>
      <c r="J382" s="139">
        <f>I382-VLOOKUP(B$2,H1:J431,2,FALSE)</f>
        <v>-8.7229560580345993</v>
      </c>
    </row>
    <row r="383" spans="1:10" ht="21.2" customHeight="1">
      <c r="A383" s="8" t="s">
        <v>784</v>
      </c>
      <c r="B383" s="136" t="str">
        <f>VLOOKUP(A383,'The List'!B1:D730,3,FALSE)</f>
        <v>C</v>
      </c>
      <c r="C383" s="137">
        <f>IF(Settings!$E$15="POINTS",RANK(E383,E3:E431),H383)</f>
        <v>389</v>
      </c>
      <c r="D383" s="34" t="str">
        <f>VLOOKUP(A383,'The List'!B1:F730,5,FALSE)</f>
        <v>BOS</v>
      </c>
      <c r="E383" s="38">
        <f>VLOOKUP(A383,'The List'!B1:I730,8,FALSE)</f>
        <v>-4.293258721438324</v>
      </c>
      <c r="F383" s="38">
        <f>IF(Settings!$E$15="POINTS",E383-VLOOKUP(B$2,C1:E431,3,FALSE),J383)</f>
        <v>-8.4270858085707143</v>
      </c>
      <c r="G383" s="38"/>
      <c r="H383" s="138">
        <f>RANK(I383,I3:I431)</f>
        <v>389</v>
      </c>
      <c r="I383" s="139">
        <f>VLOOKUP(A383,'Standard Deviations'!A1:C731,3,FALSE)</f>
        <v>-4.293258721438324</v>
      </c>
      <c r="J383" s="139">
        <f>I383-VLOOKUP(B$2,H1:J431,2,FALSE)</f>
        <v>-8.4270858085707143</v>
      </c>
    </row>
    <row r="384" spans="1:10" ht="21.2" customHeight="1">
      <c r="A384" s="8" t="s">
        <v>738</v>
      </c>
      <c r="B384" s="136" t="str">
        <f>VLOOKUP(A384,'The List'!B1:D730,3,FALSE)</f>
        <v>C,RW</v>
      </c>
      <c r="C384" s="137">
        <f>IF(Settings!$E$15="POINTS",RANK(E384,E3:E431),H384)</f>
        <v>325</v>
      </c>
      <c r="D384" s="34" t="str">
        <f>VLOOKUP(A384,'The List'!B1:F730,5,FALSE)</f>
        <v>NYR</v>
      </c>
      <c r="E384" s="38">
        <f>VLOOKUP(A384,'The List'!B1:I730,8,FALSE)</f>
        <v>-3.0449206317509745</v>
      </c>
      <c r="F384" s="38">
        <f>IF(Settings!$E$15="POINTS",E384-VLOOKUP(B$2,C1:E431,3,FALSE),J384)</f>
        <v>-7.1787477188833648</v>
      </c>
      <c r="G384" s="38"/>
      <c r="H384" s="138">
        <f>RANK(I384,I3:I431)</f>
        <v>325</v>
      </c>
      <c r="I384" s="139">
        <f>VLOOKUP(A384,'Standard Deviations'!A1:C731,3,FALSE)</f>
        <v>-3.0449206317509745</v>
      </c>
      <c r="J384" s="139">
        <f>I384-VLOOKUP(B$2,H1:J431,2,FALSE)</f>
        <v>-7.1787477188833648</v>
      </c>
    </row>
    <row r="385" spans="1:10" ht="21.2" customHeight="1">
      <c r="A385" s="8" t="s">
        <v>739</v>
      </c>
      <c r="B385" s="136" t="str">
        <f>VLOOKUP(A385,'The List'!B1:D730,3,FALSE)</f>
        <v>C,LW,RW</v>
      </c>
      <c r="C385" s="137">
        <f>IF(Settings!$E$15="POINTS",RANK(E385,E3:E431),H385)</f>
        <v>359</v>
      </c>
      <c r="D385" s="34" t="str">
        <f>VLOOKUP(A385,'The List'!B1:F730,5,FALSE)</f>
        <v>OTT</v>
      </c>
      <c r="E385" s="38">
        <f>VLOOKUP(A385,'The List'!B1:I730,8,FALSE)</f>
        <v>-3.5922632471769935</v>
      </c>
      <c r="F385" s="38">
        <f>IF(Settings!$E$15="POINTS",E385-VLOOKUP(B$2,C1:E431,3,FALSE),J385)</f>
        <v>-7.7260903343093839</v>
      </c>
      <c r="G385" s="38"/>
      <c r="H385" s="138">
        <f>RANK(I385,I3:I431)</f>
        <v>359</v>
      </c>
      <c r="I385" s="139">
        <f>VLOOKUP(A385,'Standard Deviations'!A1:C731,3,FALSE)</f>
        <v>-3.5922632471769935</v>
      </c>
      <c r="J385" s="139">
        <f>I385-VLOOKUP(B$2,H1:J431,2,FALSE)</f>
        <v>-7.7260903343093839</v>
      </c>
    </row>
    <row r="386" spans="1:10" ht="21.2" customHeight="1">
      <c r="A386" s="8" t="s">
        <v>765</v>
      </c>
      <c r="B386" s="136" t="str">
        <f>VLOOKUP(A386,'The List'!B1:D730,3,FALSE)</f>
        <v>LW</v>
      </c>
      <c r="C386" s="137">
        <f>IF(Settings!$E$15="POINTS",RANK(E386,E3:E431),H386)</f>
        <v>392</v>
      </c>
      <c r="D386" s="34" t="str">
        <f>VLOOKUP(A386,'The List'!B1:F730,5,FALSE)</f>
        <v>NSH</v>
      </c>
      <c r="E386" s="38">
        <f>VLOOKUP(A386,'The List'!B1:I730,8,FALSE)</f>
        <v>-4.4049389066175237</v>
      </c>
      <c r="F386" s="38">
        <f>IF(Settings!$E$15="POINTS",E386-VLOOKUP(B$2,C1:E431,3,FALSE),J386)</f>
        <v>-8.5387659937499141</v>
      </c>
      <c r="G386" s="38"/>
      <c r="H386" s="138">
        <f>RANK(I386,I3:I431)</f>
        <v>392</v>
      </c>
      <c r="I386" s="139">
        <f>VLOOKUP(A386,'Standard Deviations'!A1:C731,3,FALSE)</f>
        <v>-4.4049389066175237</v>
      </c>
      <c r="J386" s="139">
        <f>I386-VLOOKUP(B$2,H1:J431,2,FALSE)</f>
        <v>-8.5387659937499141</v>
      </c>
    </row>
    <row r="387" spans="1:10" ht="21.2" customHeight="1">
      <c r="A387" s="8" t="s">
        <v>766</v>
      </c>
      <c r="B387" s="136" t="str">
        <f>VLOOKUP(A387,'The List'!B1:D730,3,FALSE)</f>
        <v>C,LW</v>
      </c>
      <c r="C387" s="137">
        <f>IF(Settings!$E$15="POINTS",RANK(E387,E3:E431),H387)</f>
        <v>362</v>
      </c>
      <c r="D387" s="34" t="str">
        <f>VLOOKUP(A387,'The List'!B1:F730,5,FALSE)</f>
        <v>BOS</v>
      </c>
      <c r="E387" s="38">
        <f>VLOOKUP(A387,'The List'!B1:I730,8,FALSE)</f>
        <v>-3.6277871407283206</v>
      </c>
      <c r="F387" s="38">
        <f>IF(Settings!$E$15="POINTS",E387-VLOOKUP(B$2,C1:E431,3,FALSE),J387)</f>
        <v>-7.7616142278607114</v>
      </c>
      <c r="G387" s="38"/>
      <c r="H387" s="138">
        <f>RANK(I387,I3:I431)</f>
        <v>362</v>
      </c>
      <c r="I387" s="139">
        <f>VLOOKUP(A387,'Standard Deviations'!A1:C731,3,FALSE)</f>
        <v>-3.6277871407283206</v>
      </c>
      <c r="J387" s="139">
        <f>I387-VLOOKUP(B$2,H1:J431,2,FALSE)</f>
        <v>-7.7616142278607114</v>
      </c>
    </row>
    <row r="388" spans="1:10" ht="21.2" customHeight="1">
      <c r="A388" s="8" t="s">
        <v>768</v>
      </c>
      <c r="B388" s="136" t="str">
        <f>VLOOKUP(A388,'The List'!B1:D730,3,FALSE)</f>
        <v>C,LW</v>
      </c>
      <c r="C388" s="137">
        <f>IF(Settings!$E$15="POINTS",RANK(E388,E3:E431),H388)</f>
        <v>347</v>
      </c>
      <c r="D388" s="34" t="str">
        <f>VLOOKUP(A388,'The List'!B1:F730,5,FALSE)</f>
        <v>CAR</v>
      </c>
      <c r="E388" s="38">
        <f>VLOOKUP(A388,'The List'!B1:I730,8,FALSE)</f>
        <v>-3.322707621279247</v>
      </c>
      <c r="F388" s="38">
        <f>IF(Settings!$E$15="POINTS",E388-VLOOKUP(B$2,C1:E431,3,FALSE),J388)</f>
        <v>-7.4565347084116373</v>
      </c>
      <c r="G388" s="38"/>
      <c r="H388" s="138">
        <f>RANK(I388,I3:I431)</f>
        <v>347</v>
      </c>
      <c r="I388" s="139">
        <f>VLOOKUP(A388,'Standard Deviations'!A1:C731,3,FALSE)</f>
        <v>-3.322707621279247</v>
      </c>
      <c r="J388" s="139">
        <f>I388-VLOOKUP(B$2,H1:J431,2,FALSE)</f>
        <v>-7.4565347084116373</v>
      </c>
    </row>
    <row r="389" spans="1:10" ht="21.2" customHeight="1">
      <c r="A389" s="8" t="s">
        <v>790</v>
      </c>
      <c r="B389" s="136" t="str">
        <f>VLOOKUP(A389,'The List'!B1:D730,3,FALSE)</f>
        <v>C</v>
      </c>
      <c r="C389" s="137">
        <f>IF(Settings!$E$15="POINTS",RANK(E389,E3:E431),H389)</f>
        <v>372</v>
      </c>
      <c r="D389" s="34" t="str">
        <f>VLOOKUP(A389,'The List'!B1:F730,5,FALSE)</f>
        <v>VAN</v>
      </c>
      <c r="E389" s="38">
        <f>VLOOKUP(A389,'The List'!B1:I730,8,FALSE)</f>
        <v>-3.8956330070904084</v>
      </c>
      <c r="F389" s="38">
        <f>IF(Settings!$E$15="POINTS",E389-VLOOKUP(B$2,C1:E431,3,FALSE),J389)</f>
        <v>-8.0294600942227987</v>
      </c>
      <c r="G389" s="38"/>
      <c r="H389" s="138">
        <f>RANK(I389,I3:I431)</f>
        <v>372</v>
      </c>
      <c r="I389" s="139">
        <f>VLOOKUP(A389,'Standard Deviations'!A1:C731,3,FALSE)</f>
        <v>-3.8956330070904084</v>
      </c>
      <c r="J389" s="139">
        <f>I389-VLOOKUP(B$2,H1:J431,2,FALSE)</f>
        <v>-8.0294600942227987</v>
      </c>
    </row>
    <row r="390" spans="1:10" ht="21.2" customHeight="1">
      <c r="A390" s="8" t="s">
        <v>748</v>
      </c>
      <c r="B390" s="136" t="str">
        <f>VLOOKUP(A390,'The List'!B1:D730,3,FALSE)</f>
        <v>LW,RW</v>
      </c>
      <c r="C390" s="137">
        <f>IF(Settings!$E$15="POINTS",RANK(E390,E3:E431),H390)</f>
        <v>345</v>
      </c>
      <c r="D390" s="34" t="str">
        <f>VLOOKUP(A390,'The List'!B1:F730,5,FALSE)</f>
        <v>PIT</v>
      </c>
      <c r="E390" s="38">
        <f>VLOOKUP(A390,'The List'!B1:I730,8,FALSE)</f>
        <v>-3.3040523489701288</v>
      </c>
      <c r="F390" s="38">
        <f>IF(Settings!$E$15="POINTS",E390-VLOOKUP(B$2,C1:E431,3,FALSE),J390)</f>
        <v>-7.4378794361025191</v>
      </c>
      <c r="G390" s="38"/>
      <c r="H390" s="138">
        <f>RANK(I390,I3:I431)</f>
        <v>345</v>
      </c>
      <c r="I390" s="139">
        <f>VLOOKUP(A390,'Standard Deviations'!A1:C731,3,FALSE)</f>
        <v>-3.3040523489701288</v>
      </c>
      <c r="J390" s="139">
        <f>I390-VLOOKUP(B$2,H1:J431,2,FALSE)</f>
        <v>-7.4378794361025191</v>
      </c>
    </row>
    <row r="391" spans="1:10" ht="21.2" customHeight="1">
      <c r="A391" s="8" t="s">
        <v>749</v>
      </c>
      <c r="B391" s="136" t="str">
        <f>VLOOKUP(A391,'The List'!B1:D730,3,FALSE)</f>
        <v>RW</v>
      </c>
      <c r="C391" s="137">
        <f>IF(Settings!$E$15="POINTS",RANK(E391,E3:E431),H391)</f>
        <v>410</v>
      </c>
      <c r="D391" s="34" t="str">
        <f>VLOOKUP(A391,'The List'!B1:F730,5,FALSE)</f>
        <v>OTT</v>
      </c>
      <c r="E391" s="38">
        <f>VLOOKUP(A391,'The List'!B1:I730,8,FALSE)</f>
        <v>-4.744890179862546</v>
      </c>
      <c r="F391" s="38">
        <f>IF(Settings!$E$15="POINTS",E391-VLOOKUP(B$2,C1:E431,3,FALSE),J391)</f>
        <v>-8.8787172669949364</v>
      </c>
      <c r="G391" s="38"/>
      <c r="H391" s="138">
        <f>RANK(I391,I3:I431)</f>
        <v>410</v>
      </c>
      <c r="I391" s="139">
        <f>VLOOKUP(A391,'Standard Deviations'!A1:C731,3,FALSE)</f>
        <v>-4.744890179862546</v>
      </c>
      <c r="J391" s="139">
        <f>I391-VLOOKUP(B$2,H1:J431,2,FALSE)</f>
        <v>-8.8787172669949364</v>
      </c>
    </row>
    <row r="392" spans="1:10" ht="21.2" customHeight="1">
      <c r="A392" s="8" t="s">
        <v>751</v>
      </c>
      <c r="B392" s="136" t="str">
        <f>VLOOKUP(A392,'The List'!B1:D730,3,FALSE)</f>
        <v>RW</v>
      </c>
      <c r="C392" s="137">
        <f>IF(Settings!$E$15="POINTS",RANK(E392,E3:E431),H392)</f>
        <v>407</v>
      </c>
      <c r="D392" s="34" t="str">
        <f>VLOOKUP(A392,'The List'!B1:F730,5,FALSE)</f>
        <v>NYI</v>
      </c>
      <c r="E392" s="38">
        <f>VLOOKUP(A392,'The List'!B1:I730,8,FALSE)</f>
        <v>-4.70207478511671</v>
      </c>
      <c r="F392" s="38">
        <f>IF(Settings!$E$15="POINTS",E392-VLOOKUP(B$2,C1:E431,3,FALSE),J392)</f>
        <v>-8.8359018722490994</v>
      </c>
      <c r="G392" s="38"/>
      <c r="H392" s="138">
        <f>RANK(I392,I3:I431)</f>
        <v>407</v>
      </c>
      <c r="I392" s="139">
        <f>VLOOKUP(A392,'Standard Deviations'!A1:C731,3,FALSE)</f>
        <v>-4.70207478511671</v>
      </c>
      <c r="J392" s="139">
        <f>I392-VLOOKUP(B$2,H1:J431,2,FALSE)</f>
        <v>-8.8359018722490994</v>
      </c>
    </row>
    <row r="393" spans="1:10" ht="21.2" customHeight="1">
      <c r="A393" s="8" t="s">
        <v>772</v>
      </c>
      <c r="B393" s="136" t="str">
        <f>VLOOKUP(A393,'The List'!B1:D730,3,FALSE)</f>
        <v>C,LW</v>
      </c>
      <c r="C393" s="137">
        <f>IF(Settings!$E$15="POINTS",RANK(E393,E3:E431),H393)</f>
        <v>379</v>
      </c>
      <c r="D393" s="34" t="str">
        <f>VLOOKUP(A393,'The List'!B1:F730,5,FALSE)</f>
        <v>LAK</v>
      </c>
      <c r="E393" s="38">
        <f>VLOOKUP(A393,'The List'!B1:I730,8,FALSE)</f>
        <v>-4.0097239398523401</v>
      </c>
      <c r="F393" s="38">
        <f>IF(Settings!$E$15="POINTS",E393-VLOOKUP(B$2,C1:E431,3,FALSE),J393)</f>
        <v>-8.1435510269847313</v>
      </c>
      <c r="G393" s="38"/>
      <c r="H393" s="138">
        <f>RANK(I393,I3:I431)</f>
        <v>379</v>
      </c>
      <c r="I393" s="139">
        <f>VLOOKUP(A393,'Standard Deviations'!A1:C731,3,FALSE)</f>
        <v>-4.0097239398523401</v>
      </c>
      <c r="J393" s="139">
        <f>I393-VLOOKUP(B$2,H1:J431,2,FALSE)</f>
        <v>-8.1435510269847313</v>
      </c>
    </row>
    <row r="394" spans="1:10" ht="21.2" customHeight="1">
      <c r="A394" s="8" t="s">
        <v>792</v>
      </c>
      <c r="B394" s="136" t="str">
        <f>VLOOKUP(A394,'The List'!B1:D730,3,FALSE)</f>
        <v>C</v>
      </c>
      <c r="C394" s="137">
        <f>IF(Settings!$E$15="POINTS",RANK(E394,E3:E431),H394)</f>
        <v>383</v>
      </c>
      <c r="D394" s="34" t="str">
        <f>VLOOKUP(A394,'The List'!B1:F730,5,FALSE)</f>
        <v>VAN</v>
      </c>
      <c r="E394" s="38">
        <f>VLOOKUP(A394,'The List'!B1:I730,8,FALSE)</f>
        <v>-4.108399234921988</v>
      </c>
      <c r="F394" s="38">
        <f>IF(Settings!$E$15="POINTS",E394-VLOOKUP(B$2,C1:E431,3,FALSE),J394)</f>
        <v>-8.2422263220543783</v>
      </c>
      <c r="G394" s="38"/>
      <c r="H394" s="138">
        <f>RANK(I394,I3:I431)</f>
        <v>383</v>
      </c>
      <c r="I394" s="139">
        <f>VLOOKUP(A394,'Standard Deviations'!A1:C731,3,FALSE)</f>
        <v>-4.108399234921988</v>
      </c>
      <c r="J394" s="139">
        <f>I394-VLOOKUP(B$2,H1:J431,2,FALSE)</f>
        <v>-8.2422263220543783</v>
      </c>
    </row>
    <row r="395" spans="1:10" ht="21.2" customHeight="1">
      <c r="A395" s="8" t="s">
        <v>775</v>
      </c>
      <c r="B395" s="136" t="str">
        <f>VLOOKUP(A395,'The List'!B1:D730,3,FALSE)</f>
        <v>LW</v>
      </c>
      <c r="C395" s="137">
        <f>IF(Settings!$E$15="POINTS",RANK(E395,E3:E431),H395)</f>
        <v>419</v>
      </c>
      <c r="D395" s="34" t="str">
        <f>VLOOKUP(A395,'The List'!B1:F730,5,FALSE)</f>
        <v>NYI</v>
      </c>
      <c r="E395" s="38">
        <f>VLOOKUP(A395,'The List'!B1:I730,8,FALSE)</f>
        <v>-5.1319470863537751</v>
      </c>
      <c r="F395" s="38">
        <f>IF(Settings!$E$15="POINTS",E395-VLOOKUP(B$2,C1:E431,3,FALSE),J395)</f>
        <v>-9.2657741734861645</v>
      </c>
      <c r="G395" s="38"/>
      <c r="H395" s="138">
        <f>RANK(I395,I3:I431)</f>
        <v>419</v>
      </c>
      <c r="I395" s="139">
        <f>VLOOKUP(A395,'Standard Deviations'!A1:C731,3,FALSE)</f>
        <v>-5.1319470863537751</v>
      </c>
      <c r="J395" s="139">
        <f>I395-VLOOKUP(B$2,H1:J431,2,FALSE)</f>
        <v>-9.2657741734861645</v>
      </c>
    </row>
    <row r="396" spans="1:10" ht="21.2" customHeight="1">
      <c r="A396" s="8" t="s">
        <v>778</v>
      </c>
      <c r="B396" s="136" t="str">
        <f>VLOOKUP(A396,'The List'!B1:D730,3,FALSE)</f>
        <v>LW</v>
      </c>
      <c r="C396" s="137">
        <f>IF(Settings!$E$15="POINTS",RANK(E396,E3:E431),H396)</f>
        <v>395</v>
      </c>
      <c r="D396" s="34" t="str">
        <f>VLOOKUP(A396,'The List'!B1:F730,5,FALSE)</f>
        <v>EDM</v>
      </c>
      <c r="E396" s="38">
        <f>VLOOKUP(A396,'The List'!B1:I730,8,FALSE)</f>
        <v>-4.5328673239355943</v>
      </c>
      <c r="F396" s="38">
        <f>IF(Settings!$E$15="POINTS",E396-VLOOKUP(B$2,C1:E431,3,FALSE),J396)</f>
        <v>-8.6666944110679847</v>
      </c>
      <c r="G396" s="38"/>
      <c r="H396" s="138">
        <f>RANK(I396,I3:I431)</f>
        <v>395</v>
      </c>
      <c r="I396" s="139">
        <f>VLOOKUP(A396,'Standard Deviations'!A1:C731,3,FALSE)</f>
        <v>-4.5328673239355943</v>
      </c>
      <c r="J396" s="139">
        <f>I396-VLOOKUP(B$2,H1:J431,2,FALSE)</f>
        <v>-8.6666944110679847</v>
      </c>
    </row>
    <row r="397" spans="1:10" ht="21.2" customHeight="1">
      <c r="A397" s="8" t="s">
        <v>779</v>
      </c>
      <c r="B397" s="136" t="str">
        <f>VLOOKUP(A397,'The List'!B1:D730,3,FALSE)</f>
        <v>LW</v>
      </c>
      <c r="C397" s="137">
        <f>IF(Settings!$E$15="POINTS",RANK(E397,E3:E431),H397)</f>
        <v>411</v>
      </c>
      <c r="D397" s="34" t="str">
        <f>VLOOKUP(A397,'The List'!B1:F730,5,FALSE)</f>
        <v>OTT</v>
      </c>
      <c r="E397" s="38">
        <f>VLOOKUP(A397,'The List'!B1:I730,8,FALSE)</f>
        <v>-4.7602639265964619</v>
      </c>
      <c r="F397" s="38">
        <f>IF(Settings!$E$15="POINTS",E397-VLOOKUP(B$2,C1:E431,3,FALSE),J397)</f>
        <v>-8.8940910137288522</v>
      </c>
      <c r="G397" s="38"/>
      <c r="H397" s="138">
        <f>RANK(I397,I3:I431)</f>
        <v>411</v>
      </c>
      <c r="I397" s="139">
        <f>VLOOKUP(A397,'Standard Deviations'!A1:C731,3,FALSE)</f>
        <v>-4.7602639265964619</v>
      </c>
      <c r="J397" s="139">
        <f>I397-VLOOKUP(B$2,H1:J431,2,FALSE)</f>
        <v>-8.8940910137288522</v>
      </c>
    </row>
    <row r="398" spans="1:10" ht="21.2" customHeight="1">
      <c r="A398" s="8" t="s">
        <v>795</v>
      </c>
      <c r="B398" s="136" t="str">
        <f>VLOOKUP(A398,'The List'!B1:D730,3,FALSE)</f>
        <v>C</v>
      </c>
      <c r="C398" s="137">
        <f>IF(Settings!$E$15="POINTS",RANK(E398,E3:E431),H398)</f>
        <v>409</v>
      </c>
      <c r="D398" s="34" t="str">
        <f>VLOOKUP(A398,'The List'!B1:F730,5,FALSE)</f>
        <v>WPG</v>
      </c>
      <c r="E398" s="38">
        <f>VLOOKUP(A398,'The List'!B1:I730,8,FALSE)</f>
        <v>-4.7428499497974599</v>
      </c>
      <c r="F398" s="38">
        <f>IF(Settings!$E$15="POINTS",E398-VLOOKUP(B$2,C1:E431,3,FALSE),J398)</f>
        <v>-8.8766770369298502</v>
      </c>
      <c r="G398" s="38"/>
      <c r="H398" s="138">
        <f>RANK(I398,I3:I431)</f>
        <v>409</v>
      </c>
      <c r="I398" s="139">
        <f>VLOOKUP(A398,'Standard Deviations'!A1:C731,3,FALSE)</f>
        <v>-4.7428499497974599</v>
      </c>
      <c r="J398" s="139">
        <f>I398-VLOOKUP(B$2,H1:J431,2,FALSE)</f>
        <v>-8.8766770369298502</v>
      </c>
    </row>
    <row r="399" spans="1:10" ht="21.2" customHeight="1">
      <c r="A399" s="8" t="s">
        <v>781</v>
      </c>
      <c r="B399" s="136" t="str">
        <f>VLOOKUP(A399,'The List'!B1:D730,3,FALSE)</f>
        <v>LW</v>
      </c>
      <c r="C399" s="137">
        <f>IF(Settings!$E$15="POINTS",RANK(E399,E3:E431),H399)</f>
        <v>418</v>
      </c>
      <c r="D399" s="34" t="str">
        <f>VLOOKUP(A399,'The List'!B1:F730,5,FALSE)</f>
        <v>MIN</v>
      </c>
      <c r="E399" s="38">
        <f>VLOOKUP(A399,'The List'!B1:I730,8,FALSE)</f>
        <v>-5.092804477832261</v>
      </c>
      <c r="F399" s="38">
        <f>IF(Settings!$E$15="POINTS",E399-VLOOKUP(B$2,C1:E431,3,FALSE),J399)</f>
        <v>-9.2266315649646522</v>
      </c>
      <c r="G399" s="38"/>
      <c r="H399" s="138">
        <f>RANK(I399,I3:I431)</f>
        <v>418</v>
      </c>
      <c r="I399" s="139">
        <f>VLOOKUP(A399,'Standard Deviations'!A1:C731,3,FALSE)</f>
        <v>-5.092804477832261</v>
      </c>
      <c r="J399" s="139">
        <f>I399-VLOOKUP(B$2,H1:J431,2,FALSE)</f>
        <v>-9.2266315649646522</v>
      </c>
    </row>
    <row r="400" spans="1:10" ht="21.2" customHeight="1">
      <c r="A400" s="8" t="s">
        <v>798</v>
      </c>
      <c r="B400" s="136" t="str">
        <f>VLOOKUP(A400,'The List'!B1:D730,3,FALSE)</f>
        <v>C</v>
      </c>
      <c r="C400" s="137">
        <f>IF(Settings!$E$15="POINTS",RANK(E400,E3:E431),H400)</f>
        <v>385</v>
      </c>
      <c r="D400" s="34" t="str">
        <f>VLOOKUP(A400,'The List'!B1:F730,5,FALSE)</f>
        <v>FLA</v>
      </c>
      <c r="E400" s="38">
        <f>VLOOKUP(A400,'The List'!B1:I730,8,FALSE)</f>
        <v>-4.1519749657502603</v>
      </c>
      <c r="F400" s="38">
        <f>IF(Settings!$E$15="POINTS",E400-VLOOKUP(B$2,C1:E431,3,FALSE),J400)</f>
        <v>-8.2858020528826515</v>
      </c>
      <c r="G400" s="38"/>
      <c r="H400" s="138">
        <f>RANK(I400,I3:I431)</f>
        <v>385</v>
      </c>
      <c r="I400" s="139">
        <f>VLOOKUP(A400,'Standard Deviations'!A1:C731,3,FALSE)</f>
        <v>-4.1519749657502603</v>
      </c>
      <c r="J400" s="139">
        <f>I400-VLOOKUP(B$2,H1:J431,2,FALSE)</f>
        <v>-8.2858020528826515</v>
      </c>
    </row>
    <row r="401" spans="1:10" ht="21.2" customHeight="1">
      <c r="A401" s="8" t="s">
        <v>760</v>
      </c>
      <c r="B401" s="136" t="str">
        <f>VLOOKUP(A401,'The List'!B1:D730,3,FALSE)</f>
        <v>RW</v>
      </c>
      <c r="C401" s="137">
        <f>IF(Settings!$E$15="POINTS",RANK(E401,E3:E431),H401)</f>
        <v>400</v>
      </c>
      <c r="D401" s="34" t="str">
        <f>VLOOKUP(A401,'The List'!B1:F730,5,FALSE)</f>
        <v>LAK</v>
      </c>
      <c r="E401" s="38">
        <f>VLOOKUP(A401,'The List'!B1:I730,8,FALSE)</f>
        <v>-4.5887976170341558</v>
      </c>
      <c r="F401" s="38">
        <f>IF(Settings!$E$15="POINTS",E401-VLOOKUP(B$2,C1:E431,3,FALSE),J401)</f>
        <v>-8.7226247041665452</v>
      </c>
      <c r="G401" s="38"/>
      <c r="H401" s="138">
        <f>RANK(I401,I3:I431)</f>
        <v>400</v>
      </c>
      <c r="I401" s="139">
        <f>VLOOKUP(A401,'Standard Deviations'!A1:C731,3,FALSE)</f>
        <v>-4.5887976170341558</v>
      </c>
      <c r="J401" s="139">
        <f>I401-VLOOKUP(B$2,H1:J431,2,FALSE)</f>
        <v>-8.7226247041665452</v>
      </c>
    </row>
    <row r="402" spans="1:10" ht="21.2" customHeight="1">
      <c r="A402" s="8" t="s">
        <v>787</v>
      </c>
      <c r="B402" s="136" t="str">
        <f>VLOOKUP(A402,'The List'!B1:D730,3,FALSE)</f>
        <v>LW</v>
      </c>
      <c r="C402" s="137">
        <f>IF(Settings!$E$15="POINTS",RANK(E402,E3:E431),H402)</f>
        <v>338</v>
      </c>
      <c r="D402" s="34" t="str">
        <f>VLOOKUP(A402,'The List'!B1:F730,5,FALSE)</f>
        <v>PIT</v>
      </c>
      <c r="E402" s="38">
        <f>VLOOKUP(A402,'The List'!B1:I730,8,FALSE)</f>
        <v>-3.2288039069087691</v>
      </c>
      <c r="F402" s="38">
        <f>IF(Settings!$E$15="POINTS",E402-VLOOKUP(B$2,C1:E431,3,FALSE),J402)</f>
        <v>-7.3626309940411598</v>
      </c>
      <c r="G402" s="38"/>
      <c r="H402" s="138">
        <f>RANK(I402,I3:I431)</f>
        <v>338</v>
      </c>
      <c r="I402" s="139">
        <f>VLOOKUP(A402,'Standard Deviations'!A1:C731,3,FALSE)</f>
        <v>-3.2288039069087691</v>
      </c>
      <c r="J402" s="139">
        <f>I402-VLOOKUP(B$2,H1:J431,2,FALSE)</f>
        <v>-7.3626309940411598</v>
      </c>
    </row>
    <row r="403" spans="1:10" ht="21.2" customHeight="1">
      <c r="A403" s="8" t="s">
        <v>800</v>
      </c>
      <c r="B403" s="136" t="str">
        <f>VLOOKUP(A403,'The List'!B1:D730,3,FALSE)</f>
        <v>C</v>
      </c>
      <c r="C403" s="137">
        <f>IF(Settings!$E$15="POINTS",RANK(E403,E3:E431),H403)</f>
        <v>387</v>
      </c>
      <c r="D403" s="34" t="str">
        <f>VLOOKUP(A403,'The List'!B1:F730,5,FALSE)</f>
        <v>STL</v>
      </c>
      <c r="E403" s="38">
        <f>VLOOKUP(A403,'The List'!B1:I730,8,FALSE)</f>
        <v>-4.1986590508874677</v>
      </c>
      <c r="F403" s="38">
        <f>IF(Settings!$E$15="POINTS",E403-VLOOKUP(B$2,C1:E431,3,FALSE),J403)</f>
        <v>-8.332486138019858</v>
      </c>
      <c r="G403" s="38"/>
      <c r="H403" s="138">
        <f>RANK(I403,I3:I431)</f>
        <v>387</v>
      </c>
      <c r="I403" s="139">
        <f>VLOOKUP(A403,'Standard Deviations'!A1:C731,3,FALSE)</f>
        <v>-4.1986590508874677</v>
      </c>
      <c r="J403" s="139">
        <f>I403-VLOOKUP(B$2,H1:J431,2,FALSE)</f>
        <v>-8.332486138019858</v>
      </c>
    </row>
    <row r="404" spans="1:10" ht="21.2" customHeight="1">
      <c r="A404" s="8" t="s">
        <v>763</v>
      </c>
      <c r="B404" s="136" t="str">
        <f>VLOOKUP(A404,'The List'!B1:D730,3,FALSE)</f>
        <v>RW</v>
      </c>
      <c r="C404" s="137">
        <f>IF(Settings!$E$15="POINTS",RANK(E404,E3:E431),H404)</f>
        <v>399</v>
      </c>
      <c r="D404" s="34" t="str">
        <f>VLOOKUP(A404,'The List'!B1:F730,5,FALSE)</f>
        <v>NSH</v>
      </c>
      <c r="E404" s="38">
        <f>VLOOKUP(A404,'The List'!B1:I730,8,FALSE)</f>
        <v>-4.5851465435594889</v>
      </c>
      <c r="F404" s="38">
        <f>IF(Settings!$E$15="POINTS",E404-VLOOKUP(B$2,C1:E431,3,FALSE),J404)</f>
        <v>-8.7189736306918793</v>
      </c>
      <c r="G404" s="38"/>
      <c r="H404" s="138">
        <f>RANK(I404,I3:I431)</f>
        <v>399</v>
      </c>
      <c r="I404" s="139">
        <f>VLOOKUP(A404,'Standard Deviations'!A1:C731,3,FALSE)</f>
        <v>-4.5851465435594889</v>
      </c>
      <c r="J404" s="139">
        <f>I404-VLOOKUP(B$2,H1:J431,2,FALSE)</f>
        <v>-8.7189736306918793</v>
      </c>
    </row>
    <row r="405" spans="1:10" ht="21.2" customHeight="1">
      <c r="A405" s="8" t="s">
        <v>801</v>
      </c>
      <c r="B405" s="136" t="str">
        <f>VLOOKUP(A405,'The List'!B1:D730,3,FALSE)</f>
        <v>C</v>
      </c>
      <c r="C405" s="137">
        <f>IF(Settings!$E$15="POINTS",RANK(E405,E3:E431),H405)</f>
        <v>397</v>
      </c>
      <c r="D405" s="34" t="str">
        <f>VLOOKUP(A405,'The List'!B1:F730,5,FALSE)</f>
        <v>ANA</v>
      </c>
      <c r="E405" s="38">
        <f>VLOOKUP(A405,'The List'!B1:I730,8,FALSE)</f>
        <v>-4.5419599854583117</v>
      </c>
      <c r="F405" s="38">
        <f>IF(Settings!$E$15="POINTS",E405-VLOOKUP(B$2,C1:E431,3,FALSE),J405)</f>
        <v>-8.6757870725907011</v>
      </c>
      <c r="G405" s="38"/>
      <c r="H405" s="138">
        <f>RANK(I405,I3:I431)</f>
        <v>397</v>
      </c>
      <c r="I405" s="139">
        <f>VLOOKUP(A405,'Standard Deviations'!A1:C731,3,FALSE)</f>
        <v>-4.5419599854583117</v>
      </c>
      <c r="J405" s="139">
        <f>I405-VLOOKUP(B$2,H1:J431,2,FALSE)</f>
        <v>-8.6757870725907011</v>
      </c>
    </row>
    <row r="406" spans="1:10" ht="21.2" customHeight="1">
      <c r="A406" s="8" t="s">
        <v>802</v>
      </c>
      <c r="B406" s="136" t="str">
        <f>VLOOKUP(A406,'The List'!B1:D730,3,FALSE)</f>
        <v>C</v>
      </c>
      <c r="C406" s="137">
        <f>IF(Settings!$E$15="POINTS",RANK(E406,E3:E431),H406)</f>
        <v>360</v>
      </c>
      <c r="D406" s="34" t="str">
        <f>VLOOKUP(A406,'The List'!B1:F730,5,FALSE)</f>
        <v>MIN</v>
      </c>
      <c r="E406" s="38">
        <f>VLOOKUP(A406,'The List'!B1:I730,8,FALSE)</f>
        <v>-3.606072166397408</v>
      </c>
      <c r="F406" s="38">
        <f>IF(Settings!$E$15="POINTS",E406-VLOOKUP(B$2,C1:E431,3,FALSE),J406)</f>
        <v>-7.7398992535297984</v>
      </c>
      <c r="G406" s="38"/>
      <c r="H406" s="138">
        <f>RANK(I406,I3:I431)</f>
        <v>360</v>
      </c>
      <c r="I406" s="139">
        <f>VLOOKUP(A406,'Standard Deviations'!A1:C731,3,FALSE)</f>
        <v>-3.606072166397408</v>
      </c>
      <c r="J406" s="139">
        <f>I406-VLOOKUP(B$2,H1:J431,2,FALSE)</f>
        <v>-7.7398992535297984</v>
      </c>
    </row>
    <row r="407" spans="1:10" ht="21.2" customHeight="1">
      <c r="A407" s="8" t="s">
        <v>804</v>
      </c>
      <c r="B407" s="136" t="str">
        <f>VLOOKUP(A407,'The List'!B1:D730,3,FALSE)</f>
        <v>C</v>
      </c>
      <c r="C407" s="137">
        <f>IF(Settings!$E$15="POINTS",RANK(E407,E3:E431),H407)</f>
        <v>406</v>
      </c>
      <c r="D407" s="34" t="str">
        <f>VLOOKUP(A407,'The List'!B1:F730,5,FALSE)</f>
        <v>OTT</v>
      </c>
      <c r="E407" s="38">
        <f>VLOOKUP(A407,'The List'!B1:I730,8,FALSE)</f>
        <v>-4.62097402251562</v>
      </c>
      <c r="F407" s="38">
        <f>IF(Settings!$E$15="POINTS",E407-VLOOKUP(B$2,C1:E431,3,FALSE),J407)</f>
        <v>-8.7548011096480103</v>
      </c>
      <c r="G407" s="38"/>
      <c r="H407" s="138">
        <f>RANK(I407,I3:I431)</f>
        <v>406</v>
      </c>
      <c r="I407" s="139">
        <f>VLOOKUP(A407,'Standard Deviations'!A1:C731,3,FALSE)</f>
        <v>-4.62097402251562</v>
      </c>
      <c r="J407" s="139">
        <f>I407-VLOOKUP(B$2,H1:J431,2,FALSE)</f>
        <v>-8.7548011096480103</v>
      </c>
    </row>
    <row r="408" spans="1:10" ht="21.2" customHeight="1">
      <c r="A408" s="8" t="s">
        <v>764</v>
      </c>
      <c r="B408" s="136" t="str">
        <f>VLOOKUP(A408,'The List'!B1:D730,3,FALSE)</f>
        <v>RW</v>
      </c>
      <c r="C408" s="137">
        <f>IF(Settings!$E$15="POINTS",RANK(E408,E3:E431),H408)</f>
        <v>394</v>
      </c>
      <c r="D408" s="34" t="str">
        <f>VLOOKUP(A408,'The List'!B1:F730,5,FALSE)</f>
        <v>ANA</v>
      </c>
      <c r="E408" s="38">
        <f>VLOOKUP(A408,'The List'!B1:I730,8,FALSE)</f>
        <v>-4.4557596841979228</v>
      </c>
      <c r="F408" s="38">
        <f>IF(Settings!$E$15="POINTS",E408-VLOOKUP(B$2,C1:E431,3,FALSE),J408)</f>
        <v>-8.589586771330314</v>
      </c>
      <c r="G408" s="38"/>
      <c r="H408" s="138">
        <f>RANK(I408,I3:I431)</f>
        <v>394</v>
      </c>
      <c r="I408" s="139">
        <f>VLOOKUP(A408,'Standard Deviations'!A1:C731,3,FALSE)</f>
        <v>-4.4557596841979228</v>
      </c>
      <c r="J408" s="139">
        <f>I408-VLOOKUP(B$2,H1:J431,2,FALSE)</f>
        <v>-8.589586771330314</v>
      </c>
    </row>
    <row r="409" spans="1:10" ht="21.2" customHeight="1">
      <c r="A409" s="8" t="s">
        <v>789</v>
      </c>
      <c r="B409" s="136" t="str">
        <f>VLOOKUP(A409,'The List'!B1:D730,3,FALSE)</f>
        <v>LW</v>
      </c>
      <c r="C409" s="137">
        <f>IF(Settings!$E$15="POINTS",RANK(E409,E3:E431),H409)</f>
        <v>421</v>
      </c>
      <c r="D409" s="34" t="str">
        <f>VLOOKUP(A409,'The List'!B1:F730,5,FALSE)</f>
        <v>PHI</v>
      </c>
      <c r="E409" s="38">
        <f>VLOOKUP(A409,'The List'!B1:I730,8,FALSE)</f>
        <v>-5.3846071864428602</v>
      </c>
      <c r="F409" s="38">
        <f>IF(Settings!$E$15="POINTS",E409-VLOOKUP(B$2,C1:E431,3,FALSE),J409)</f>
        <v>-9.5184342735752505</v>
      </c>
      <c r="G409" s="38"/>
      <c r="H409" s="138">
        <f>RANK(I409,I3:I431)</f>
        <v>421</v>
      </c>
      <c r="I409" s="139">
        <f>VLOOKUP(A409,'Standard Deviations'!A1:C731,3,FALSE)</f>
        <v>-5.3846071864428602</v>
      </c>
      <c r="J409" s="139">
        <f>I409-VLOOKUP(B$2,H1:J431,2,FALSE)</f>
        <v>-9.5184342735752505</v>
      </c>
    </row>
    <row r="410" spans="1:10" ht="21.2" customHeight="1">
      <c r="A410" s="8" t="s">
        <v>791</v>
      </c>
      <c r="B410" s="136" t="str">
        <f>VLOOKUP(A410,'The List'!B1:D730,3,FALSE)</f>
        <v>LW</v>
      </c>
      <c r="C410" s="137">
        <f>IF(Settings!$E$15="POINTS",RANK(E410,E3:E431),H410)</f>
        <v>408</v>
      </c>
      <c r="D410" s="34" t="str">
        <f>VLOOKUP(A410,'The List'!B1:F730,5,FALSE)</f>
        <v>STL</v>
      </c>
      <c r="E410" s="38">
        <f>VLOOKUP(A410,'The List'!B1:I730,8,FALSE)</f>
        <v>-4.706783555182799</v>
      </c>
      <c r="F410" s="38">
        <f>IF(Settings!$E$15="POINTS",E410-VLOOKUP(B$2,C1:E431,3,FALSE),J410)</f>
        <v>-8.8406106423151893</v>
      </c>
      <c r="G410" s="38"/>
      <c r="H410" s="138">
        <f>RANK(I410,I3:I431)</f>
        <v>408</v>
      </c>
      <c r="I410" s="139">
        <f>VLOOKUP(A410,'Standard Deviations'!A1:C731,3,FALSE)</f>
        <v>-4.706783555182799</v>
      </c>
      <c r="J410" s="139">
        <f>I410-VLOOKUP(B$2,H1:J431,2,FALSE)</f>
        <v>-8.8406106423151893</v>
      </c>
    </row>
    <row r="411" spans="1:10" ht="21.2" customHeight="1">
      <c r="A411" s="8" t="s">
        <v>769</v>
      </c>
      <c r="B411" s="136" t="str">
        <f>VLOOKUP(A411,'The List'!B1:D730,3,FALSE)</f>
        <v>RW</v>
      </c>
      <c r="C411" s="137">
        <f>IF(Settings!$E$15="POINTS",RANK(E411,E3:E431),H411)</f>
        <v>414</v>
      </c>
      <c r="D411" s="34" t="str">
        <f>VLOOKUP(A411,'The List'!B1:F730,5,FALSE)</f>
        <v>TBL</v>
      </c>
      <c r="E411" s="38">
        <f>VLOOKUP(A411,'The List'!B1:I730,8,FALSE)</f>
        <v>-4.8806281516937311</v>
      </c>
      <c r="F411" s="38">
        <f>IF(Settings!$E$15="POINTS",E411-VLOOKUP(B$2,C1:E431,3,FALSE),J411)</f>
        <v>-9.0144552388261214</v>
      </c>
      <c r="G411" s="38"/>
      <c r="H411" s="138">
        <f>RANK(I411,I3:I431)</f>
        <v>414</v>
      </c>
      <c r="I411" s="139">
        <f>VLOOKUP(A411,'Standard Deviations'!A1:C731,3,FALSE)</f>
        <v>-4.8806281516937311</v>
      </c>
      <c r="J411" s="139">
        <f>I411-VLOOKUP(B$2,H1:J431,2,FALSE)</f>
        <v>-9.0144552388261214</v>
      </c>
    </row>
    <row r="412" spans="1:10" ht="21.2" customHeight="1">
      <c r="A412" s="8" t="s">
        <v>770</v>
      </c>
      <c r="B412" s="136" t="str">
        <f>VLOOKUP(A412,'The List'!B1:D730,3,FALSE)</f>
        <v>RW</v>
      </c>
      <c r="C412" s="137">
        <f>IF(Settings!$E$15="POINTS",RANK(E412,E3:E431),H412)</f>
        <v>378</v>
      </c>
      <c r="D412" s="34" t="str">
        <f>VLOOKUP(A412,'The List'!B1:F730,5,FALSE)</f>
        <v>TOR</v>
      </c>
      <c r="E412" s="38">
        <f>VLOOKUP(A412,'The List'!B1:I730,8,FALSE)</f>
        <v>-4.0045767257232789</v>
      </c>
      <c r="F412" s="38">
        <f>IF(Settings!$E$15="POINTS",E412-VLOOKUP(B$2,C1:E431,3,FALSE),J412)</f>
        <v>-8.1384038128556693</v>
      </c>
      <c r="G412" s="38"/>
      <c r="H412" s="138">
        <f>RANK(I412,I3:I431)</f>
        <v>378</v>
      </c>
      <c r="I412" s="139">
        <f>VLOOKUP(A412,'Standard Deviations'!A1:C731,3,FALSE)</f>
        <v>-4.0045767257232789</v>
      </c>
      <c r="J412" s="139">
        <f>I412-VLOOKUP(B$2,H1:J431,2,FALSE)</f>
        <v>-8.1384038128556693</v>
      </c>
    </row>
    <row r="413" spans="1:10" ht="21.2" customHeight="1">
      <c r="A413" s="8" t="s">
        <v>811</v>
      </c>
      <c r="B413" s="136" t="str">
        <f>VLOOKUP(A413,'The List'!B1:D730,3,FALSE)</f>
        <v>C</v>
      </c>
      <c r="C413" s="137">
        <f>IF(Settings!$E$15="POINTS",RANK(E413,E3:E431),H413)</f>
        <v>425</v>
      </c>
      <c r="D413" s="34" t="str">
        <f>VLOOKUP(A413,'The List'!B1:F730,5,FALSE)</f>
        <v>TBL</v>
      </c>
      <c r="E413" s="38">
        <f>VLOOKUP(A413,'The List'!B1:I730,8,FALSE)</f>
        <v>-5.5105457446545163</v>
      </c>
      <c r="F413" s="38">
        <f>IF(Settings!$E$15="POINTS",E413-VLOOKUP(B$2,C1:E431,3,FALSE),J413)</f>
        <v>-9.6443728317869066</v>
      </c>
      <c r="G413" s="38"/>
      <c r="H413" s="138">
        <f>RANK(I413,I3:I431)</f>
        <v>425</v>
      </c>
      <c r="I413" s="139">
        <f>VLOOKUP(A413,'Standard Deviations'!A1:C731,3,FALSE)</f>
        <v>-5.5105457446545163</v>
      </c>
      <c r="J413" s="139">
        <f>I413-VLOOKUP(B$2,H1:J431,2,FALSE)</f>
        <v>-9.6443728317869066</v>
      </c>
    </row>
    <row r="414" spans="1:10" ht="21.2" customHeight="1">
      <c r="A414" s="8" t="s">
        <v>774</v>
      </c>
      <c r="B414" s="136" t="str">
        <f>VLOOKUP(A414,'The List'!B1:D730,3,FALSE)</f>
        <v>C,RW</v>
      </c>
      <c r="C414" s="137">
        <f>IF(Settings!$E$15="POINTS",RANK(E414,E3:E431),H414)</f>
        <v>412</v>
      </c>
      <c r="D414" s="34" t="str">
        <f>VLOOKUP(A414,'The List'!B1:F730,5,FALSE)</f>
        <v>NYR</v>
      </c>
      <c r="E414" s="38">
        <f>VLOOKUP(A414,'The List'!B1:I730,8,FALSE)</f>
        <v>-4.7758294702794828</v>
      </c>
      <c r="F414" s="38">
        <f>IF(Settings!$E$15="POINTS",E414-VLOOKUP(B$2,C1:E431,3,FALSE),J414)</f>
        <v>-8.9096565574118731</v>
      </c>
      <c r="G414" s="38"/>
      <c r="H414" s="138">
        <f>RANK(I414,I3:I431)</f>
        <v>412</v>
      </c>
      <c r="I414" s="139">
        <f>VLOOKUP(A414,'Standard Deviations'!A1:C731,3,FALSE)</f>
        <v>-4.7758294702794828</v>
      </c>
      <c r="J414" s="139">
        <f>I414-VLOOKUP(B$2,H1:J431,2,FALSE)</f>
        <v>-8.9096565574118731</v>
      </c>
    </row>
    <row r="415" spans="1:10" ht="21.2" customHeight="1">
      <c r="A415" s="8" t="s">
        <v>777</v>
      </c>
      <c r="B415" s="136" t="str">
        <f>VLOOKUP(A415,'The List'!B1:D730,3,FALSE)</f>
        <v>RW</v>
      </c>
      <c r="C415" s="137">
        <f>IF(Settings!$E$15="POINTS",RANK(E415,E3:E431),H415)</f>
        <v>413</v>
      </c>
      <c r="D415" s="34" t="str">
        <f>VLOOKUP(A415,'The List'!B1:F730,5,FALSE)</f>
        <v>CBJ</v>
      </c>
      <c r="E415" s="38">
        <f>VLOOKUP(A415,'The List'!B1:I730,8,FALSE)</f>
        <v>-4.8375383816846469</v>
      </c>
      <c r="F415" s="38">
        <f>IF(Settings!$E$15="POINTS",E415-VLOOKUP(B$2,C1:E431,3,FALSE),J415)</f>
        <v>-8.9713654688170372</v>
      </c>
      <c r="G415" s="38"/>
      <c r="H415" s="138">
        <f>RANK(I415,I3:I431)</f>
        <v>413</v>
      </c>
      <c r="I415" s="139">
        <f>VLOOKUP(A415,'Standard Deviations'!A1:C731,3,FALSE)</f>
        <v>-4.8375383816846469</v>
      </c>
      <c r="J415" s="139">
        <f>I415-VLOOKUP(B$2,H1:J431,2,FALSE)</f>
        <v>-8.9713654688170372</v>
      </c>
    </row>
    <row r="416" spans="1:10" ht="21.2" customHeight="1">
      <c r="A416" s="8" t="s">
        <v>814</v>
      </c>
      <c r="B416" s="136" t="str">
        <f>VLOOKUP(A416,'The List'!B1:D730,3,FALSE)</f>
        <v>C</v>
      </c>
      <c r="C416" s="137">
        <f>IF(Settings!$E$15="POINTS",RANK(E416,E3:E431),H416)</f>
        <v>398</v>
      </c>
      <c r="D416" s="34" t="str">
        <f>VLOOKUP(A416,'The List'!B1:F730,5,FALSE)</f>
        <v>TBL</v>
      </c>
      <c r="E416" s="38">
        <f>VLOOKUP(A416,'The List'!B1:I730,8,FALSE)</f>
        <v>-4.5730397615199969</v>
      </c>
      <c r="F416" s="38">
        <f>IF(Settings!$E$15="POINTS",E416-VLOOKUP(B$2,C1:E431,3,FALSE),J416)</f>
        <v>-8.7068668486523872</v>
      </c>
      <c r="G416" s="38"/>
      <c r="H416" s="138">
        <f>RANK(I416,I3:I431)</f>
        <v>398</v>
      </c>
      <c r="I416" s="139">
        <f>VLOOKUP(A416,'Standard Deviations'!A1:C731,3,FALSE)</f>
        <v>-4.5730397615199969</v>
      </c>
      <c r="J416" s="139">
        <f>I416-VLOOKUP(B$2,H1:J431,2,FALSE)</f>
        <v>-8.7068668486523872</v>
      </c>
    </row>
    <row r="417" spans="1:10" ht="21.2" customHeight="1">
      <c r="A417" s="8" t="s">
        <v>797</v>
      </c>
      <c r="B417" s="136" t="str">
        <f>VLOOKUP(A417,'The List'!B1:D730,3,FALSE)</f>
        <v>C,LW</v>
      </c>
      <c r="C417" s="137">
        <f>IF(Settings!$E$15="POINTS",RANK(E417,E3:E431),H417)</f>
        <v>423</v>
      </c>
      <c r="D417" s="34" t="str">
        <f>VLOOKUP(A417,'The List'!B1:F730,5,FALSE)</f>
        <v>SEA</v>
      </c>
      <c r="E417" s="38">
        <f>VLOOKUP(A417,'The List'!B1:I730,8,FALSE)</f>
        <v>-5.4266330963892599</v>
      </c>
      <c r="F417" s="38">
        <f>IF(Settings!$E$15="POINTS",E417-VLOOKUP(B$2,C1:E431,3,FALSE),J417)</f>
        <v>-9.5604601835216503</v>
      </c>
      <c r="G417" s="38"/>
      <c r="H417" s="138">
        <f>RANK(I417,I3:I431)</f>
        <v>423</v>
      </c>
      <c r="I417" s="139">
        <f>VLOOKUP(A417,'Standard Deviations'!A1:C731,3,FALSE)</f>
        <v>-5.4266330963892599</v>
      </c>
      <c r="J417" s="139">
        <f>I417-VLOOKUP(B$2,H1:J431,2,FALSE)</f>
        <v>-9.5604601835216503</v>
      </c>
    </row>
    <row r="418" spans="1:10" ht="21.2" customHeight="1">
      <c r="A418" s="8" t="s">
        <v>783</v>
      </c>
      <c r="B418" s="136" t="str">
        <f>VLOOKUP(A418,'The List'!B1:D730,3,FALSE)</f>
        <v>C,RW</v>
      </c>
      <c r="C418" s="137">
        <f>IF(Settings!$E$15="POINTS",RANK(E418,E3:E431),H418)</f>
        <v>405</v>
      </c>
      <c r="D418" s="34" t="str">
        <f>VLOOKUP(A418,'The List'!B1:F730,5,FALSE)</f>
        <v>NJD</v>
      </c>
      <c r="E418" s="38">
        <f>VLOOKUP(A418,'The List'!B1:I730,8,FALSE)</f>
        <v>-4.6122811131689705</v>
      </c>
      <c r="F418" s="38">
        <f>IF(Settings!$E$15="POINTS",E418-VLOOKUP(B$2,C1:E431,3,FALSE),J418)</f>
        <v>-8.7461082003013608</v>
      </c>
      <c r="G418" s="38"/>
      <c r="H418" s="138">
        <f>RANK(I418,I3:I431)</f>
        <v>405</v>
      </c>
      <c r="I418" s="139">
        <f>VLOOKUP(A418,'Standard Deviations'!A1:C731,3,FALSE)</f>
        <v>-4.6122811131689705</v>
      </c>
      <c r="J418" s="139">
        <f>I418-VLOOKUP(B$2,H1:J431,2,FALSE)</f>
        <v>-8.7461082003013608</v>
      </c>
    </row>
    <row r="419" spans="1:10" ht="21.2" customHeight="1">
      <c r="A419" s="8" t="s">
        <v>799</v>
      </c>
      <c r="B419" s="136" t="str">
        <f>VLOOKUP(A419,'The List'!B1:D730,3,FALSE)</f>
        <v>C,LW</v>
      </c>
      <c r="C419" s="137">
        <f>IF(Settings!$E$15="POINTS",RANK(E419,E3:E431),H419)</f>
        <v>393</v>
      </c>
      <c r="D419" s="34" t="str">
        <f>VLOOKUP(A419,'The List'!B1:F730,5,FALSE)</f>
        <v>MIN</v>
      </c>
      <c r="E419" s="38">
        <f>VLOOKUP(A419,'The List'!B1:I730,8,FALSE)</f>
        <v>-4.445138037026017</v>
      </c>
      <c r="F419" s="38">
        <f>IF(Settings!$E$15="POINTS",E419-VLOOKUP(B$2,C1:E431,3,FALSE),J419)</f>
        <v>-8.5789651241584082</v>
      </c>
      <c r="G419" s="38"/>
      <c r="H419" s="138">
        <f>RANK(I419,I3:I431)</f>
        <v>393</v>
      </c>
      <c r="I419" s="139">
        <f>VLOOKUP(A419,'Standard Deviations'!A1:C731,3,FALSE)</f>
        <v>-4.445138037026017</v>
      </c>
      <c r="J419" s="139">
        <f>I419-VLOOKUP(B$2,H1:J431,2,FALSE)</f>
        <v>-8.5789651241584082</v>
      </c>
    </row>
    <row r="420" spans="1:10" ht="21.2" customHeight="1">
      <c r="A420" s="8" t="s">
        <v>786</v>
      </c>
      <c r="B420" s="136" t="str">
        <f>VLOOKUP(A420,'The List'!B1:D730,3,FALSE)</f>
        <v>RW</v>
      </c>
      <c r="C420" s="137">
        <f>IF(Settings!$E$15="POINTS",RANK(E420,E3:E431),H420)</f>
        <v>427</v>
      </c>
      <c r="D420" s="34" t="str">
        <f>VLOOKUP(A420,'The List'!B1:F730,5,FALSE)</f>
        <v>TOR</v>
      </c>
      <c r="E420" s="38">
        <f>VLOOKUP(A420,'The List'!B1:I730,8,FALSE)</f>
        <v>-5.5537886752010071</v>
      </c>
      <c r="F420" s="38">
        <f>IF(Settings!$E$15="POINTS",E420-VLOOKUP(B$2,C1:E431,3,FALSE),J420)</f>
        <v>-9.6876157623333974</v>
      </c>
      <c r="G420" s="38"/>
      <c r="H420" s="138">
        <f>RANK(I420,I3:I431)</f>
        <v>427</v>
      </c>
      <c r="I420" s="139">
        <f>VLOOKUP(A420,'Standard Deviations'!A1:C731,3,FALSE)</f>
        <v>-5.5537886752010071</v>
      </c>
      <c r="J420" s="139">
        <f>I420-VLOOKUP(B$2,H1:J431,2,FALSE)</f>
        <v>-9.6876157623333974</v>
      </c>
    </row>
    <row r="421" spans="1:10" ht="21.2" customHeight="1">
      <c r="A421" s="8" t="s">
        <v>805</v>
      </c>
      <c r="B421" s="136" t="str">
        <f>VLOOKUP(A421,'The List'!B1:D730,3,FALSE)</f>
        <v>LW</v>
      </c>
      <c r="C421" s="137">
        <f>IF(Settings!$E$15="POINTS",RANK(E421,E3:E431),H421)</f>
        <v>403</v>
      </c>
      <c r="D421" s="34" t="str">
        <f>VLOOKUP(A421,'The List'!B1:F730,5,FALSE)</f>
        <v>COL</v>
      </c>
      <c r="E421" s="38">
        <f>VLOOKUP(A421,'The List'!B1:I730,8,FALSE)</f>
        <v>-4.5970335044850152</v>
      </c>
      <c r="F421" s="38">
        <f>IF(Settings!$E$15="POINTS",E421-VLOOKUP(B$2,C1:E431,3,FALSE),J421)</f>
        <v>-8.7308605916174056</v>
      </c>
      <c r="G421" s="38"/>
      <c r="H421" s="138">
        <f>RANK(I421,I3:I431)</f>
        <v>403</v>
      </c>
      <c r="I421" s="139">
        <f>VLOOKUP(A421,'Standard Deviations'!A1:C731,3,FALSE)</f>
        <v>-4.5970335044850152</v>
      </c>
      <c r="J421" s="139">
        <f>I421-VLOOKUP(B$2,H1:J431,2,FALSE)</f>
        <v>-8.7308605916174056</v>
      </c>
    </row>
    <row r="422" spans="1:10" ht="21.2" customHeight="1">
      <c r="A422" s="8" t="s">
        <v>818</v>
      </c>
      <c r="B422" s="136" t="str">
        <f>VLOOKUP(A422,'The List'!B1:D730,3,FALSE)</f>
        <v>C</v>
      </c>
      <c r="C422" s="137">
        <f>IF(Settings!$E$15="POINTS",RANK(E422,E3:E431),H422)</f>
        <v>424</v>
      </c>
      <c r="D422" s="34" t="str">
        <f>VLOOKUP(A422,'The List'!B1:F730,5,FALSE)</f>
        <v>CGY</v>
      </c>
      <c r="E422" s="38">
        <f>VLOOKUP(A422,'The List'!B1:I730,8,FALSE)</f>
        <v>-5.4379130103180264</v>
      </c>
      <c r="F422" s="38">
        <f>IF(Settings!$E$15="POINTS",E422-VLOOKUP(B$2,C1:E431,3,FALSE),J422)</f>
        <v>-9.5717400974504159</v>
      </c>
      <c r="G422" s="38"/>
      <c r="H422" s="138">
        <f>RANK(I422,I3:I431)</f>
        <v>424</v>
      </c>
      <c r="I422" s="139">
        <f>VLOOKUP(A422,'Standard Deviations'!A1:C731,3,FALSE)</f>
        <v>-5.4379130103180264</v>
      </c>
      <c r="J422" s="139">
        <f>I422-VLOOKUP(B$2,H1:J431,2,FALSE)</f>
        <v>-9.5717400974504159</v>
      </c>
    </row>
    <row r="423" spans="1:10" ht="21.2" customHeight="1">
      <c r="A423" s="8" t="s">
        <v>806</v>
      </c>
      <c r="B423" s="136" t="str">
        <f>VLOOKUP(A423,'The List'!B1:D730,3,FALSE)</f>
        <v>LW</v>
      </c>
      <c r="C423" s="137">
        <f>IF(Settings!$E$15="POINTS",RANK(E423,E3:E431),H423)</f>
        <v>404</v>
      </c>
      <c r="D423" s="34" t="str">
        <f>VLOOKUP(A423,'The List'!B1:F730,5,FALSE)</f>
        <v>FLA</v>
      </c>
      <c r="E423" s="38">
        <f>VLOOKUP(A423,'The List'!B1:I730,8,FALSE)</f>
        <v>-4.6018728336189882</v>
      </c>
      <c r="F423" s="38">
        <f>IF(Settings!$E$15="POINTS",E423-VLOOKUP(B$2,C1:E431,3,FALSE),J423)</f>
        <v>-8.7356999207513795</v>
      </c>
      <c r="G423" s="38"/>
      <c r="H423" s="138">
        <f>RANK(I423,I3:I431)</f>
        <v>404</v>
      </c>
      <c r="I423" s="139">
        <f>VLOOKUP(A423,'Standard Deviations'!A1:C731,3,FALSE)</f>
        <v>-4.6018728336189882</v>
      </c>
      <c r="J423" s="139">
        <f>I423-VLOOKUP(B$2,H1:J431,2,FALSE)</f>
        <v>-8.7356999207513795</v>
      </c>
    </row>
    <row r="424" spans="1:10" ht="21.2" customHeight="1">
      <c r="A424" s="8" t="s">
        <v>819</v>
      </c>
      <c r="B424" s="136" t="str">
        <f>VLOOKUP(A424,'The List'!B1:D730,3,FALSE)</f>
        <v>C</v>
      </c>
      <c r="C424" s="137">
        <f>IF(Settings!$E$15="POINTS",RANK(E424,E3:E431),H424)</f>
        <v>417</v>
      </c>
      <c r="D424" s="34" t="str">
        <f>VLOOKUP(A424,'The List'!B1:F730,5,FALSE)</f>
        <v>WPG</v>
      </c>
      <c r="E424" s="38">
        <f>VLOOKUP(A424,'The List'!B1:I730,8,FALSE)</f>
        <v>-5.0534607727822412</v>
      </c>
      <c r="F424" s="38">
        <f>IF(Settings!$E$15="POINTS",E424-VLOOKUP(B$2,C1:E431,3,FALSE),J424)</f>
        <v>-9.1872878599146315</v>
      </c>
      <c r="G424" s="38"/>
      <c r="H424" s="138">
        <f>RANK(I424,I3:I431)</f>
        <v>417</v>
      </c>
      <c r="I424" s="139">
        <f>VLOOKUP(A424,'Standard Deviations'!A1:C731,3,FALSE)</f>
        <v>-5.0534607727822412</v>
      </c>
      <c r="J424" s="139">
        <f>I424-VLOOKUP(B$2,H1:J431,2,FALSE)</f>
        <v>-9.1872878599146315</v>
      </c>
    </row>
    <row r="425" spans="1:10" ht="21.2" customHeight="1">
      <c r="A425" s="8" t="s">
        <v>820</v>
      </c>
      <c r="B425" s="136" t="str">
        <f>VLOOKUP(A425,'The List'!B1:D730,3,FALSE)</f>
        <v>C</v>
      </c>
      <c r="C425" s="137">
        <f>IF(Settings!$E$15="POINTS",RANK(E425,E3:E431),H425)</f>
        <v>415</v>
      </c>
      <c r="D425" s="34" t="str">
        <f>VLOOKUP(A425,'The List'!B1:F730,5,FALSE)</f>
        <v>EDM</v>
      </c>
      <c r="E425" s="38">
        <f>VLOOKUP(A425,'The List'!B1:I730,8,FALSE)</f>
        <v>-5.0059760238281346</v>
      </c>
      <c r="F425" s="38">
        <f>IF(Settings!$E$15="POINTS",E425-VLOOKUP(B$2,C1:E431,3,FALSE),J425)</f>
        <v>-9.1398031109605249</v>
      </c>
      <c r="G425" s="38"/>
      <c r="H425" s="138">
        <f>RANK(I425,I3:I431)</f>
        <v>415</v>
      </c>
      <c r="I425" s="139">
        <f>VLOOKUP(A425,'Standard Deviations'!A1:C731,3,FALSE)</f>
        <v>-5.0059760238281346</v>
      </c>
      <c r="J425" s="139">
        <f>I425-VLOOKUP(B$2,H1:J431,2,FALSE)</f>
        <v>-9.1398031109605249</v>
      </c>
    </row>
    <row r="426" spans="1:10" ht="21.2" customHeight="1">
      <c r="A426" s="8" t="s">
        <v>821</v>
      </c>
      <c r="B426" s="136" t="str">
        <f>VLOOKUP(A426,'The List'!B1:D730,3,FALSE)</f>
        <v>C</v>
      </c>
      <c r="C426" s="137">
        <f>IF(Settings!$E$15="POINTS",RANK(E426,E3:E431),H426)</f>
        <v>428</v>
      </c>
      <c r="D426" s="34" t="str">
        <f>VLOOKUP(A426,'The List'!B1:F730,5,FALSE)</f>
        <v>SJS</v>
      </c>
      <c r="E426" s="38">
        <f>VLOOKUP(A426,'The List'!B1:I730,8,FALSE)</f>
        <v>-5.6763688712292799</v>
      </c>
      <c r="F426" s="38">
        <f>IF(Settings!$E$15="POINTS",E426-VLOOKUP(B$2,C1:E431,3,FALSE),J426)</f>
        <v>-9.8101959583616711</v>
      </c>
      <c r="G426" s="38"/>
      <c r="H426" s="138">
        <f>RANK(I426,I3:I431)</f>
        <v>428</v>
      </c>
      <c r="I426" s="139">
        <f>VLOOKUP(A426,'Standard Deviations'!A1:C731,3,FALSE)</f>
        <v>-5.6763688712292799</v>
      </c>
      <c r="J426" s="139">
        <f>I426-VLOOKUP(B$2,H1:J431,2,FALSE)</f>
        <v>-9.8101959583616711</v>
      </c>
    </row>
    <row r="427" spans="1:10" ht="21.2" customHeight="1">
      <c r="A427" s="8" t="s">
        <v>822</v>
      </c>
      <c r="B427" s="136" t="str">
        <f>VLOOKUP(A427,'The List'!B1:D730,3,FALSE)</f>
        <v>C</v>
      </c>
      <c r="C427" s="137">
        <f>IF(Settings!$E$15="POINTS",RANK(E427,E3:E431),H427)</f>
        <v>422</v>
      </c>
      <c r="D427" s="34" t="str">
        <f>VLOOKUP(A427,'The List'!B1:F730,5,FALSE)</f>
        <v>BOS</v>
      </c>
      <c r="E427" s="38">
        <f>VLOOKUP(A427,'The List'!B1:I730,8,FALSE)</f>
        <v>-5.4257522885362306</v>
      </c>
      <c r="F427" s="38">
        <f>IF(Settings!$E$15="POINTS",E427-VLOOKUP(B$2,C1:E431,3,FALSE),J427)</f>
        <v>-9.5595793756686209</v>
      </c>
      <c r="G427" s="38"/>
      <c r="H427" s="138">
        <f>RANK(I427,I3:I431)</f>
        <v>422</v>
      </c>
      <c r="I427" s="139">
        <f>VLOOKUP(A427,'Standard Deviations'!A1:C731,3,FALSE)</f>
        <v>-5.4257522885362306</v>
      </c>
      <c r="J427" s="139">
        <f>I427-VLOOKUP(B$2,H1:J431,2,FALSE)</f>
        <v>-9.5595793756686209</v>
      </c>
    </row>
    <row r="428" spans="1:10" ht="21.2" customHeight="1">
      <c r="A428" s="8" t="s">
        <v>813</v>
      </c>
      <c r="B428" s="136" t="str">
        <f>VLOOKUP(A428,'The List'!B1:D730,3,FALSE)</f>
        <v>LW</v>
      </c>
      <c r="C428" s="137">
        <f>IF(Settings!$E$15="POINTS",RANK(E428,E3:E431),H428)</f>
        <v>416</v>
      </c>
      <c r="D428" s="34" t="str">
        <f>VLOOKUP(A428,'The List'!B1:F730,5,FALSE)</f>
        <v>COL</v>
      </c>
      <c r="E428" s="38">
        <f>VLOOKUP(A428,'The List'!B1:I730,8,FALSE)</f>
        <v>-5.0374279662402941</v>
      </c>
      <c r="F428" s="38">
        <f>IF(Settings!$E$15="POINTS",E428-VLOOKUP(B$2,C1:E431,3,FALSE),J428)</f>
        <v>-9.1712550533726844</v>
      </c>
      <c r="G428" s="38"/>
      <c r="H428" s="138">
        <f>RANK(I428,I3:I431)</f>
        <v>416</v>
      </c>
      <c r="I428" s="139">
        <f>VLOOKUP(A428,'Standard Deviations'!A1:C731,3,FALSE)</f>
        <v>-5.0374279662402941</v>
      </c>
      <c r="J428" s="139">
        <f>I428-VLOOKUP(B$2,H1:J431,2,FALSE)</f>
        <v>-9.1712550533726844</v>
      </c>
    </row>
    <row r="429" spans="1:10" ht="21.2" customHeight="1">
      <c r="A429" s="8" t="s">
        <v>794</v>
      </c>
      <c r="B429" s="136" t="str">
        <f>VLOOKUP(A429,'The List'!B1:D730,3,FALSE)</f>
        <v>LW,RW</v>
      </c>
      <c r="C429" s="137">
        <f>IF(Settings!$E$15="POINTS",RANK(E429,E3:E431),H429)</f>
        <v>426</v>
      </c>
      <c r="D429" s="34" t="str">
        <f>VLOOKUP(A429,'The List'!B1:F730,5,FALSE)</f>
        <v>SJS</v>
      </c>
      <c r="E429" s="38">
        <f>VLOOKUP(A429,'The List'!B1:I730,8,FALSE)</f>
        <v>-5.5446315249577207</v>
      </c>
      <c r="F429" s="38">
        <f>IF(Settings!$E$15="POINTS",E429-VLOOKUP(B$2,C1:E431,3,FALSE),J429)</f>
        <v>-9.678458612090111</v>
      </c>
      <c r="G429" s="38"/>
      <c r="H429" s="138">
        <f>RANK(I429,I3:I431)</f>
        <v>426</v>
      </c>
      <c r="I429" s="139">
        <f>VLOOKUP(A429,'Standard Deviations'!A1:C731,3,FALSE)</f>
        <v>-5.5446315249577207</v>
      </c>
      <c r="J429" s="139">
        <f>I429-VLOOKUP(B$2,H1:J431,2,FALSE)</f>
        <v>-9.678458612090111</v>
      </c>
    </row>
    <row r="430" spans="1:10" ht="21.2" customHeight="1">
      <c r="A430" s="8" t="s">
        <v>796</v>
      </c>
      <c r="B430" s="136" t="str">
        <f>VLOOKUP(A430,'The List'!B1:D730,3,FALSE)</f>
        <v>C,RW</v>
      </c>
      <c r="C430" s="137">
        <f>IF(Settings!$E$15="POINTS",RANK(E430,E3:E431),H430)</f>
        <v>420</v>
      </c>
      <c r="D430" s="34" t="str">
        <f>VLOOKUP(A430,'The List'!B1:F730,5,FALSE)</f>
        <v>PHI</v>
      </c>
      <c r="E430" s="38">
        <f>VLOOKUP(A430,'The List'!B1:I730,8,FALSE)</f>
        <v>-5.15881266495761</v>
      </c>
      <c r="F430" s="38">
        <f>IF(Settings!$E$15="POINTS",E430-VLOOKUP(B$2,C1:E431,3,FALSE),J430)</f>
        <v>-9.2926397520900004</v>
      </c>
      <c r="G430" s="38"/>
      <c r="H430" s="138">
        <f>RANK(I430,I3:I431)</f>
        <v>420</v>
      </c>
      <c r="I430" s="139">
        <f>VLOOKUP(A430,'Standard Deviations'!A1:C731,3,FALSE)</f>
        <v>-5.15881266495761</v>
      </c>
      <c r="J430" s="139">
        <f>I430-VLOOKUP(B$2,H1:J431,2,FALSE)</f>
        <v>-9.2926397520900004</v>
      </c>
    </row>
    <row r="431" spans="1:10" ht="21.2" customHeight="1">
      <c r="A431" s="8" t="s">
        <v>824</v>
      </c>
      <c r="B431" s="136" t="str">
        <f>VLOOKUP(A431,'The List'!B1:D730,3,FALSE)</f>
        <v>LW</v>
      </c>
      <c r="C431" s="137">
        <f>IF(Settings!$E$15="POINTS",RANK(E431,E3:E431),H431)</f>
        <v>429</v>
      </c>
      <c r="D431" s="34" t="str">
        <f>VLOOKUP(A431,'The List'!B1:F730,5,FALSE)</f>
        <v>NYI</v>
      </c>
      <c r="E431" s="38">
        <f>VLOOKUP(A431,'The List'!B1:I730,8,FALSE)</f>
        <v>-6.0101111442322228</v>
      </c>
      <c r="F431" s="38">
        <f>IF(Settings!$E$15="POINTS",E431-VLOOKUP(B$2,C1:E431,3,FALSE),J431)</f>
        <v>-10.143938231364613</v>
      </c>
      <c r="G431" s="38"/>
      <c r="H431" s="138">
        <f>RANK(I431,I3:I431)</f>
        <v>429</v>
      </c>
      <c r="I431" s="139">
        <f>VLOOKUP(A431,'Standard Deviations'!A1:C731,3,FALSE)</f>
        <v>-6.0101111442322228</v>
      </c>
      <c r="J431" s="139">
        <f>I431-VLOOKUP(B$2,H1:J431,2,FALSE)</f>
        <v>-10.143938231364613</v>
      </c>
    </row>
  </sheetData>
  <conditionalFormatting sqref="C3:C431 H3:H431">
    <cfRule type="containsText" dxfId="35" priority="1" stopIfTrue="1" operator="containsText" text="/">
      <formula>NOT(ISERROR(FIND(UPPER("/"),UPPER(C3))))</formula>
      <formula>"/"</formula>
    </cfRule>
    <cfRule type="containsText" dxfId="34" priority="2" stopIfTrue="1" operator="containsText" text="C">
      <formula>NOT(ISERROR(FIND(UPPER("C"),UPPER(C3))))</formula>
      <formula>"C"</formula>
    </cfRule>
    <cfRule type="containsText" dxfId="33" priority="3" stopIfTrue="1" operator="containsText" text="D">
      <formula>NOT(ISERROR(FIND(UPPER("D"),UPPER(C3))))</formula>
      <formula>"D"</formula>
    </cfRule>
    <cfRule type="containsText" dxfId="32" priority="4" stopIfTrue="1" operator="containsText" text="LW">
      <formula>NOT(ISERROR(FIND(UPPER("LW"),UPPER(C3))))</formula>
      <formula>"LW"</formula>
    </cfRule>
    <cfRule type="containsText" dxfId="31" priority="5" stopIfTrue="1" operator="containsText" text="RW">
      <formula>NOT(ISERROR(FIND(UPPER("RW"),UPPER(C3))))</formula>
      <formula>"RW"</formula>
    </cfRule>
    <cfRule type="containsText" dxfId="30" priority="6" stopIfTrue="1" operator="containsText" text="G">
      <formula>NOT(ISERROR(FIND(UPPER("G"),UPPER(C3))))</formula>
      <formula>"G"</formula>
    </cfRule>
  </conditionalFormatting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J208"/>
  <sheetViews>
    <sheetView showGridLines="0" workbookViewId="0">
      <pane ySplit="2" topLeftCell="A3" activePane="bottomLeft" state="frozen"/>
      <selection pane="bottomLeft"/>
    </sheetView>
  </sheetViews>
  <sheetFormatPr defaultColWidth="8" defaultRowHeight="16.350000000000001" customHeight="1"/>
  <cols>
    <col min="1" max="1" width="33" style="1" customWidth="1"/>
    <col min="2" max="2" width="7.140625" style="1" customWidth="1"/>
    <col min="3" max="3" width="6" style="1" customWidth="1"/>
    <col min="4" max="6" width="8.28515625" style="1" customWidth="1"/>
    <col min="7" max="10" width="1.28515625" style="1" customWidth="1"/>
    <col min="11" max="11" width="8" style="1" customWidth="1"/>
    <col min="12" max="16384" width="8" style="1"/>
  </cols>
  <sheetData>
    <row r="1" spans="1:10" ht="28.35" customHeight="1">
      <c r="A1" s="121" t="s">
        <v>841</v>
      </c>
      <c r="B1" s="122" t="s">
        <v>846</v>
      </c>
      <c r="C1" s="123"/>
      <c r="D1" s="4" t="s">
        <v>843</v>
      </c>
      <c r="E1" s="124" t="s">
        <v>844</v>
      </c>
      <c r="F1" s="122" t="s">
        <v>72</v>
      </c>
      <c r="G1" s="125"/>
      <c r="H1" s="126"/>
      <c r="I1" s="127" t="s">
        <v>845</v>
      </c>
      <c r="J1" s="128" t="s">
        <v>72</v>
      </c>
    </row>
    <row r="2" spans="1:10" ht="28.35" customHeight="1">
      <c r="A2" s="129" t="s">
        <v>40</v>
      </c>
      <c r="B2" s="130">
        <f>Settings!F2</f>
        <v>35</v>
      </c>
      <c r="C2" s="131"/>
      <c r="D2" s="132"/>
      <c r="E2" s="133"/>
      <c r="F2" s="133"/>
      <c r="G2" s="133"/>
      <c r="H2" s="140"/>
      <c r="I2" s="135"/>
      <c r="J2" s="141"/>
    </row>
    <row r="3" spans="1:10" ht="21.2" customHeight="1">
      <c r="A3" s="8" t="s">
        <v>103</v>
      </c>
      <c r="B3" s="56" t="str">
        <f>VLOOKUP(A3,'The List'!B1:D730,3,FALSE)</f>
        <v>C</v>
      </c>
      <c r="C3" s="57">
        <f>IF(Settings!$E$15="POINTS",RANK(E3,E3:E208),H3)</f>
        <v>1</v>
      </c>
      <c r="D3" s="34" t="str">
        <f>VLOOKUP(A3,'The List'!B1:F730,5,FALSE)</f>
        <v>EDM</v>
      </c>
      <c r="E3" s="38">
        <f>VLOOKUP(A3,'The List'!B1:I730,8,FALSE)</f>
        <v>21.26693059622556</v>
      </c>
      <c r="F3" s="38">
        <f>IF(Settings!$E$15="POINTS",E3-VLOOKUP(B$2,C1:E208,3,FALSE),J3)</f>
        <v>14.929879872018958</v>
      </c>
      <c r="G3" s="38"/>
      <c r="H3" s="142">
        <f>RANK(I3,I3:I208)</f>
        <v>1</v>
      </c>
      <c r="I3" s="139">
        <f>VLOOKUP(A3,'Standard Deviations'!A1:C731,3,FALSE)</f>
        <v>21.26693059622556</v>
      </c>
      <c r="J3" s="143">
        <f>I3-VLOOKUP(B$2,H1:J208,2,FALSE)</f>
        <v>14.929879872018958</v>
      </c>
    </row>
    <row r="4" spans="1:10" ht="21.2" customHeight="1">
      <c r="A4" s="8" t="s">
        <v>105</v>
      </c>
      <c r="B4" s="56" t="str">
        <f>VLOOKUP(A4,'The List'!B1:D730,3,FALSE)</f>
        <v>C,LW</v>
      </c>
      <c r="C4" s="57">
        <f>IF(Settings!$E$15="POINTS",RANK(E4,E3:E208),H4)</f>
        <v>3</v>
      </c>
      <c r="D4" s="34" t="str">
        <f>VLOOKUP(A4,'The List'!B1:F730,5,FALSE)</f>
        <v>EDM</v>
      </c>
      <c r="E4" s="38">
        <f>VLOOKUP(A4,'The List'!B1:I730,8,FALSE)</f>
        <v>16.883257255265598</v>
      </c>
      <c r="F4" s="38">
        <f>IF(Settings!$E$15="POINTS",E4-VLOOKUP(B$2,C1:E208,3,FALSE),J4)</f>
        <v>10.546206531058996</v>
      </c>
      <c r="G4" s="38"/>
      <c r="H4" s="138">
        <f>RANK(I4,I3:I208)</f>
        <v>3</v>
      </c>
      <c r="I4" s="139">
        <f>VLOOKUP(A4,'Standard Deviations'!A1:C731,3,FALSE)</f>
        <v>16.883257255265598</v>
      </c>
      <c r="J4" s="139">
        <f>I4-VLOOKUP(B$2,H1:J208,2,FALSE)</f>
        <v>10.546206531058996</v>
      </c>
    </row>
    <row r="5" spans="1:10" ht="21.2" customHeight="1">
      <c r="A5" s="8" t="s">
        <v>106</v>
      </c>
      <c r="B5" s="56" t="str">
        <f>VLOOKUP(A5,'The List'!B1:D730,3,FALSE)</f>
        <v>C</v>
      </c>
      <c r="C5" s="57">
        <f>IF(Settings!$E$15="POINTS",RANK(E5,E3:E208),H5)</f>
        <v>2</v>
      </c>
      <c r="D5" s="34" t="str">
        <f>VLOOKUP(A5,'The List'!B1:F730,5,FALSE)</f>
        <v>COL</v>
      </c>
      <c r="E5" s="38">
        <f>VLOOKUP(A5,'The List'!B1:I730,8,FALSE)</f>
        <v>17.302036611371435</v>
      </c>
      <c r="F5" s="38">
        <f>IF(Settings!$E$15="POINTS",E5-VLOOKUP(B$2,C1:E208,3,FALSE),J5)</f>
        <v>10.964985887164833</v>
      </c>
      <c r="G5" s="38"/>
      <c r="H5" s="138">
        <f>RANK(I5,I3:I208)</f>
        <v>2</v>
      </c>
      <c r="I5" s="139">
        <f>VLOOKUP(A5,'Standard Deviations'!A1:C731,3,FALSE)</f>
        <v>17.302036611371435</v>
      </c>
      <c r="J5" s="139">
        <f>I5-VLOOKUP(B$2,H1:J208,2,FALSE)</f>
        <v>10.964985887164833</v>
      </c>
    </row>
    <row r="6" spans="1:10" ht="21.2" customHeight="1">
      <c r="A6" s="8" t="s">
        <v>108</v>
      </c>
      <c r="B6" s="56" t="str">
        <f>VLOOKUP(A6,'The List'!B1:D730,3,FALSE)</f>
        <v>C</v>
      </c>
      <c r="C6" s="57">
        <f>IF(Settings!$E$15="POINTS",RANK(E6,E3:E208),H6)</f>
        <v>4</v>
      </c>
      <c r="D6" s="34" t="str">
        <f>VLOOKUP(A6,'The List'!B1:F730,5,FALSE)</f>
        <v>TOR</v>
      </c>
      <c r="E6" s="38">
        <f>VLOOKUP(A6,'The List'!B1:I730,8,FALSE)</f>
        <v>15.483290898810141</v>
      </c>
      <c r="F6" s="38">
        <f>IF(Settings!$E$15="POINTS",E6-VLOOKUP(B$2,C1:E208,3,FALSE),J6)</f>
        <v>9.1462401746035376</v>
      </c>
      <c r="G6" s="38"/>
      <c r="H6" s="138">
        <f>RANK(I6,I3:I208)</f>
        <v>4</v>
      </c>
      <c r="I6" s="139">
        <f>VLOOKUP(A6,'Standard Deviations'!A1:C731,3,FALSE)</f>
        <v>15.483290898810141</v>
      </c>
      <c r="J6" s="139">
        <f>I6-VLOOKUP(B$2,H1:J208,2,FALSE)</f>
        <v>9.1462401746035376</v>
      </c>
    </row>
    <row r="7" spans="1:10" ht="21.2" customHeight="1">
      <c r="A7" s="8" t="s">
        <v>111</v>
      </c>
      <c r="B7" s="56" t="str">
        <f>VLOOKUP(A7,'The List'!B1:D730,3,FALSE)</f>
        <v>C,RW</v>
      </c>
      <c r="C7" s="57">
        <f>IF(Settings!$E$15="POINTS",RANK(E7,E3:E208),H7)</f>
        <v>6</v>
      </c>
      <c r="D7" s="34" t="str">
        <f>VLOOKUP(A7,'The List'!B1:F730,5,FALSE)</f>
        <v>COL</v>
      </c>
      <c r="E7" s="38">
        <f>VLOOKUP(A7,'The List'!B1:I730,8,FALSE)</f>
        <v>13.949350066699878</v>
      </c>
      <c r="F7" s="38">
        <f>IF(Settings!$E$15="POINTS",E7-VLOOKUP(B$2,C1:E208,3,FALSE),J7)</f>
        <v>7.6122993424932757</v>
      </c>
      <c r="G7" s="38"/>
      <c r="H7" s="138">
        <f>RANK(I7,I3:I208)</f>
        <v>6</v>
      </c>
      <c r="I7" s="139">
        <f>VLOOKUP(A7,'Standard Deviations'!A1:C731,3,FALSE)</f>
        <v>13.949350066699878</v>
      </c>
      <c r="J7" s="139">
        <f>I7-VLOOKUP(B$2,H1:J208,2,FALSE)</f>
        <v>7.6122993424932757</v>
      </c>
    </row>
    <row r="8" spans="1:10" ht="21.2" customHeight="1">
      <c r="A8" s="8" t="s">
        <v>114</v>
      </c>
      <c r="B8" s="56" t="str">
        <f>VLOOKUP(A8,'The List'!B1:D730,3,FALSE)</f>
        <v>C</v>
      </c>
      <c r="C8" s="57">
        <f>IF(Settings!$E$15="POINTS",RANK(E8,E3:E208),H8)</f>
        <v>5</v>
      </c>
      <c r="D8" s="34" t="str">
        <f>VLOOKUP(A8,'The List'!B1:F730,5,FALSE)</f>
        <v>NJD</v>
      </c>
      <c r="E8" s="38">
        <f>VLOOKUP(A8,'The List'!B1:I730,8,FALSE)</f>
        <v>14.198780832601393</v>
      </c>
      <c r="F8" s="38">
        <f>IF(Settings!$E$15="POINTS",E8-VLOOKUP(B$2,C1:E208,3,FALSE),J8)</f>
        <v>7.8617301083947906</v>
      </c>
      <c r="G8" s="38"/>
      <c r="H8" s="138">
        <f>RANK(I8,I3:I208)</f>
        <v>5</v>
      </c>
      <c r="I8" s="139">
        <f>VLOOKUP(A8,'Standard Deviations'!A1:C731,3,FALSE)</f>
        <v>14.198780832601393</v>
      </c>
      <c r="J8" s="139">
        <f>I8-VLOOKUP(B$2,H1:J208,2,FALSE)</f>
        <v>7.8617301083947906</v>
      </c>
    </row>
    <row r="9" spans="1:10" ht="21.2" customHeight="1">
      <c r="A9" s="8" t="s">
        <v>116</v>
      </c>
      <c r="B9" s="56" t="str">
        <f>VLOOKUP(A9,'The List'!B1:D730,3,FALSE)</f>
        <v>C,RW</v>
      </c>
      <c r="C9" s="57">
        <f>IF(Settings!$E$15="POINTS",RANK(E9,E3:E208),H9)</f>
        <v>7</v>
      </c>
      <c r="D9" s="34" t="str">
        <f>VLOOKUP(A9,'The List'!B1:F730,5,FALSE)</f>
        <v>BUF</v>
      </c>
      <c r="E9" s="38">
        <f>VLOOKUP(A9,'The List'!B1:I730,8,FALSE)</f>
        <v>12.847352372708929</v>
      </c>
      <c r="F9" s="38">
        <f>IF(Settings!$E$15="POINTS",E9-VLOOKUP(B$2,C1:E208,3,FALSE),J9)</f>
        <v>6.5103016485023266</v>
      </c>
      <c r="G9" s="38"/>
      <c r="H9" s="138">
        <f>RANK(I9,I3:I208)</f>
        <v>7</v>
      </c>
      <c r="I9" s="139">
        <f>VLOOKUP(A9,'Standard Deviations'!A1:C731,3,FALSE)</f>
        <v>12.847352372708929</v>
      </c>
      <c r="J9" s="139">
        <f>I9-VLOOKUP(B$2,H1:J208,2,FALSE)</f>
        <v>6.5103016485023266</v>
      </c>
    </row>
    <row r="10" spans="1:10" ht="21.2" customHeight="1">
      <c r="A10" s="8" t="s">
        <v>128</v>
      </c>
      <c r="B10" s="56" t="str">
        <f>VLOOKUP(A10,'The List'!B1:D730,3,FALSE)</f>
        <v>C</v>
      </c>
      <c r="C10" s="57">
        <f>IF(Settings!$E$15="POINTS",RANK(E10,E3:E208),H10)</f>
        <v>11</v>
      </c>
      <c r="D10" s="34" t="str">
        <f>VLOOKUP(A10,'The List'!B1:F730,5,FALSE)</f>
        <v>NYR</v>
      </c>
      <c r="E10" s="38">
        <f>VLOOKUP(A10,'The List'!B1:I730,8,FALSE)</f>
        <v>10.395967367905438</v>
      </c>
      <c r="F10" s="38">
        <f>IF(Settings!$E$15="POINTS",E10-VLOOKUP(B$2,C1:E208,3,FALSE),J10)</f>
        <v>4.0589166436988355</v>
      </c>
      <c r="G10" s="38"/>
      <c r="H10" s="138">
        <f>RANK(I10,I3:I208)</f>
        <v>11</v>
      </c>
      <c r="I10" s="139">
        <f>VLOOKUP(A10,'Standard Deviations'!A1:C731,3,FALSE)</f>
        <v>10.395967367905438</v>
      </c>
      <c r="J10" s="139">
        <f>I10-VLOOKUP(B$2,H1:J208,2,FALSE)</f>
        <v>4.0589166436988355</v>
      </c>
    </row>
    <row r="11" spans="1:10" ht="21.2" customHeight="1">
      <c r="A11" s="8" t="s">
        <v>127</v>
      </c>
      <c r="B11" s="56" t="str">
        <f>VLOOKUP(A11,'The List'!B1:D730,3,FALSE)</f>
        <v>C,LW</v>
      </c>
      <c r="C11" s="57">
        <f>IF(Settings!$E$15="POINTS",RANK(E11,E3:E208),H11)</f>
        <v>9</v>
      </c>
      <c r="D11" s="34" t="str">
        <f>VLOOKUP(A11,'The List'!B1:F730,5,FALSE)</f>
        <v>VAN</v>
      </c>
      <c r="E11" s="38">
        <f>VLOOKUP(A11,'The List'!B1:I730,8,FALSE)</f>
        <v>10.987775194501642</v>
      </c>
      <c r="F11" s="38">
        <f>IF(Settings!$E$15="POINTS",E11-VLOOKUP(B$2,C1:E208,3,FALSE),J11)</f>
        <v>4.6507244702950397</v>
      </c>
      <c r="G11" s="38"/>
      <c r="H11" s="138">
        <f>RANK(I11,I3:I208)</f>
        <v>9</v>
      </c>
      <c r="I11" s="139">
        <f>VLOOKUP(A11,'Standard Deviations'!A1:C731,3,FALSE)</f>
        <v>10.987775194501642</v>
      </c>
      <c r="J11" s="139">
        <f>I11-VLOOKUP(B$2,H1:J208,2,FALSE)</f>
        <v>4.6507244702950397</v>
      </c>
    </row>
    <row r="12" spans="1:10" ht="21.2" customHeight="1">
      <c r="A12" s="8" t="s">
        <v>132</v>
      </c>
      <c r="B12" s="56" t="str">
        <f>VLOOKUP(A12,'The List'!B1:D730,3,FALSE)</f>
        <v>C</v>
      </c>
      <c r="C12" s="57">
        <f>IF(Settings!$E$15="POINTS",RANK(E12,E3:E208),H12)</f>
        <v>8</v>
      </c>
      <c r="D12" s="34" t="str">
        <f>VLOOKUP(A12,'The List'!B1:F730,5,FALSE)</f>
        <v>FLA</v>
      </c>
      <c r="E12" s="38">
        <f>VLOOKUP(A12,'The List'!B1:I730,8,FALSE)</f>
        <v>11.334952203384766</v>
      </c>
      <c r="F12" s="38">
        <f>IF(Settings!$E$15="POINTS",E12-VLOOKUP(B$2,C1:E208,3,FALSE),J12)</f>
        <v>4.9979014791781635</v>
      </c>
      <c r="G12" s="38"/>
      <c r="H12" s="138">
        <f>RANK(I12,I3:I208)</f>
        <v>8</v>
      </c>
      <c r="I12" s="139">
        <f>VLOOKUP(A12,'Standard Deviations'!A1:C731,3,FALSE)</f>
        <v>11.334952203384766</v>
      </c>
      <c r="J12" s="139">
        <f>I12-VLOOKUP(B$2,H1:J208,2,FALSE)</f>
        <v>4.9979014791781635</v>
      </c>
    </row>
    <row r="13" spans="1:10" ht="21.2" customHeight="1">
      <c r="A13" s="8" t="s">
        <v>139</v>
      </c>
      <c r="B13" s="56" t="str">
        <f>VLOOKUP(A13,'The List'!B1:D730,3,FALSE)</f>
        <v>C</v>
      </c>
      <c r="C13" s="57">
        <f>IF(Settings!$E$15="POINTS",RANK(E13,E3:E208),H13)</f>
        <v>12</v>
      </c>
      <c r="D13" s="34" t="str">
        <f>VLOOKUP(A13,'The List'!B1:F730,5,FALSE)</f>
        <v>PIT</v>
      </c>
      <c r="E13" s="38">
        <f>VLOOKUP(A13,'The List'!B1:I730,8,FALSE)</f>
        <v>10.322588449458125</v>
      </c>
      <c r="F13" s="38">
        <f>IF(Settings!$E$15="POINTS",E13-VLOOKUP(B$2,C1:E208,3,FALSE),J13)</f>
        <v>3.9855377252515227</v>
      </c>
      <c r="G13" s="38"/>
      <c r="H13" s="138">
        <f>RANK(I13,I3:I208)</f>
        <v>12</v>
      </c>
      <c r="I13" s="139">
        <f>VLOOKUP(A13,'Standard Deviations'!A1:C731,3,FALSE)</f>
        <v>10.322588449458125</v>
      </c>
      <c r="J13" s="139">
        <f>I13-VLOOKUP(B$2,H1:J208,2,FALSE)</f>
        <v>3.9855377252515227</v>
      </c>
    </row>
    <row r="14" spans="1:10" ht="21.2" customHeight="1">
      <c r="A14" s="8" t="s">
        <v>140</v>
      </c>
      <c r="B14" s="56" t="str">
        <f>VLOOKUP(A14,'The List'!B1:D730,3,FALSE)</f>
        <v>C</v>
      </c>
      <c r="C14" s="57">
        <f>IF(Settings!$E$15="POINTS",RANK(E14,E3:E208),H14)</f>
        <v>10</v>
      </c>
      <c r="D14" s="34" t="str">
        <f>VLOOKUP(A14,'The List'!B1:F730,5,FALSE)</f>
        <v>TBL</v>
      </c>
      <c r="E14" s="38">
        <f>VLOOKUP(A14,'The List'!B1:I730,8,FALSE)</f>
        <v>10.568697180365518</v>
      </c>
      <c r="F14" s="38">
        <f>IF(Settings!$E$15="POINTS",E14-VLOOKUP(B$2,C1:E208,3,FALSE),J14)</f>
        <v>4.2316464561589155</v>
      </c>
      <c r="G14" s="38"/>
      <c r="H14" s="138">
        <f>RANK(I14,I3:I208)</f>
        <v>10</v>
      </c>
      <c r="I14" s="139">
        <f>VLOOKUP(A14,'Standard Deviations'!A1:C731,3,FALSE)</f>
        <v>10.568697180365518</v>
      </c>
      <c r="J14" s="139">
        <f>I14-VLOOKUP(B$2,H1:J208,2,FALSE)</f>
        <v>4.2316464561589155</v>
      </c>
    </row>
    <row r="15" spans="1:10" ht="21.2" customHeight="1">
      <c r="A15" s="8" t="s">
        <v>135</v>
      </c>
      <c r="B15" s="56" t="str">
        <f>VLOOKUP(A15,'The List'!B1:D730,3,FALSE)</f>
        <v>C,LW</v>
      </c>
      <c r="C15" s="57">
        <f>IF(Settings!$E$15="POINTS",RANK(E15,E3:E208),H15)</f>
        <v>13</v>
      </c>
      <c r="D15" s="34" t="str">
        <f>VLOOKUP(A15,'The List'!B1:F730,5,FALSE)</f>
        <v>OTT</v>
      </c>
      <c r="E15" s="38">
        <f>VLOOKUP(A15,'The List'!B1:I730,8,FALSE)</f>
        <v>9.837350072092196</v>
      </c>
      <c r="F15" s="38">
        <f>IF(Settings!$E$15="POINTS",E15-VLOOKUP(B$2,C1:E208,3,FALSE),J15)</f>
        <v>3.5002993478855933</v>
      </c>
      <c r="G15" s="38"/>
      <c r="H15" s="138">
        <f>RANK(I15,I3:I208)</f>
        <v>13</v>
      </c>
      <c r="I15" s="139">
        <f>VLOOKUP(A15,'Standard Deviations'!A1:C731,3,FALSE)</f>
        <v>9.837350072092196</v>
      </c>
      <c r="J15" s="139">
        <f>I15-VLOOKUP(B$2,H1:J208,2,FALSE)</f>
        <v>3.5002993478855933</v>
      </c>
    </row>
    <row r="16" spans="1:10" ht="21.2" customHeight="1">
      <c r="A16" s="8" t="s">
        <v>145</v>
      </c>
      <c r="B16" s="56" t="str">
        <f>VLOOKUP(A16,'The List'!B1:D730,3,FALSE)</f>
        <v>C,LW</v>
      </c>
      <c r="C16" s="57">
        <f>IF(Settings!$E$15="POINTS",RANK(E16,E3:E208),H16)</f>
        <v>14</v>
      </c>
      <c r="D16" s="34" t="str">
        <f>VLOOKUP(A16,'The List'!B1:F730,5,FALSE)</f>
        <v>TBL</v>
      </c>
      <c r="E16" s="38">
        <f>VLOOKUP(A16,'The List'!B1:I730,8,FALSE)</f>
        <v>9.7577666144233852</v>
      </c>
      <c r="F16" s="38">
        <f>IF(Settings!$E$15="POINTS",E16-VLOOKUP(B$2,C1:E208,3,FALSE),J16)</f>
        <v>3.4207158902167825</v>
      </c>
      <c r="G16" s="38"/>
      <c r="H16" s="138">
        <f>RANK(I16,I3:I208)</f>
        <v>14</v>
      </c>
      <c r="I16" s="139">
        <f>VLOOKUP(A16,'Standard Deviations'!A1:C731,3,FALSE)</f>
        <v>9.7577666144233852</v>
      </c>
      <c r="J16" s="139">
        <f>I16-VLOOKUP(B$2,H1:J208,2,FALSE)</f>
        <v>3.4207158902167825</v>
      </c>
    </row>
    <row r="17" spans="1:10" ht="21.2" customHeight="1">
      <c r="A17" s="8" t="s">
        <v>147</v>
      </c>
      <c r="B17" s="56" t="str">
        <f>VLOOKUP(A17,'The List'!B1:D730,3,FALSE)</f>
        <v>C,LW</v>
      </c>
      <c r="C17" s="57">
        <f>IF(Settings!$E$15="POINTS",RANK(E17,E3:E208),H17)</f>
        <v>15</v>
      </c>
      <c r="D17" s="34" t="str">
        <f>VLOOKUP(A17,'The List'!B1:F730,5,FALSE)</f>
        <v>EDM</v>
      </c>
      <c r="E17" s="38">
        <f>VLOOKUP(A17,'The List'!B1:I730,8,FALSE)</f>
        <v>9.6760867611712325</v>
      </c>
      <c r="F17" s="38">
        <f>IF(Settings!$E$15="POINTS",E17-VLOOKUP(B$2,C1:E208,3,FALSE),J17)</f>
        <v>3.3390360369646297</v>
      </c>
      <c r="G17" s="38"/>
      <c r="H17" s="138">
        <f>RANK(I17,I3:I208)</f>
        <v>15</v>
      </c>
      <c r="I17" s="139">
        <f>VLOOKUP(A17,'Standard Deviations'!A1:C731,3,FALSE)</f>
        <v>9.6760867611712325</v>
      </c>
      <c r="J17" s="139">
        <f>I17-VLOOKUP(B$2,H1:J208,2,FALSE)</f>
        <v>3.3390360369646297</v>
      </c>
    </row>
    <row r="18" spans="1:10" ht="21.2" customHeight="1">
      <c r="A18" s="8" t="s">
        <v>158</v>
      </c>
      <c r="B18" s="56" t="str">
        <f>VLOOKUP(A18,'The List'!B1:D730,3,FALSE)</f>
        <v>C</v>
      </c>
      <c r="C18" s="57">
        <f>IF(Settings!$E$15="POINTS",RANK(E18,E3:E208),H18)</f>
        <v>20</v>
      </c>
      <c r="D18" s="34" t="str">
        <f>VLOOKUP(A18,'The List'!B1:F730,5,FALSE)</f>
        <v>NJD</v>
      </c>
      <c r="E18" s="38">
        <f>VLOOKUP(A18,'The List'!B1:I730,8,FALSE)</f>
        <v>9.0265837039570425</v>
      </c>
      <c r="F18" s="38">
        <f>IF(Settings!$E$15="POINTS",E18-VLOOKUP(B$2,C1:E208,3,FALSE),J18)</f>
        <v>2.6895329797504397</v>
      </c>
      <c r="G18" s="38"/>
      <c r="H18" s="138">
        <f>RANK(I18,I3:I208)</f>
        <v>20</v>
      </c>
      <c r="I18" s="139">
        <f>VLOOKUP(A18,'Standard Deviations'!A1:C731,3,FALSE)</f>
        <v>9.0265837039570425</v>
      </c>
      <c r="J18" s="139">
        <f>I18-VLOOKUP(B$2,H1:J208,2,FALSE)</f>
        <v>2.6895329797504397</v>
      </c>
    </row>
    <row r="19" spans="1:10" ht="21.2" customHeight="1">
      <c r="A19" s="8" t="s">
        <v>149</v>
      </c>
      <c r="B19" s="56" t="str">
        <f>VLOOKUP(A19,'The List'!B1:D730,3,FALSE)</f>
        <v>C,LW</v>
      </c>
      <c r="C19" s="57">
        <f>IF(Settings!$E$15="POINTS",RANK(E19,E3:E208),H19)</f>
        <v>18</v>
      </c>
      <c r="D19" s="34" t="str">
        <f>VLOOKUP(A19,'The List'!B1:F730,5,FALSE)</f>
        <v>TOR</v>
      </c>
      <c r="E19" s="38">
        <f>VLOOKUP(A19,'The List'!B1:I730,8,FALSE)</f>
        <v>9.0998103631039911</v>
      </c>
      <c r="F19" s="38">
        <f>IF(Settings!$E$15="POINTS",E19-VLOOKUP(B$2,C1:E208,3,FALSE),J19)</f>
        <v>2.7627596388973883</v>
      </c>
      <c r="G19" s="38"/>
      <c r="H19" s="138">
        <f>RANK(I19,I3:I208)</f>
        <v>18</v>
      </c>
      <c r="I19" s="139">
        <f>VLOOKUP(A19,'Standard Deviations'!A1:C731,3,FALSE)</f>
        <v>9.0998103631039911</v>
      </c>
      <c r="J19" s="139">
        <f>I19-VLOOKUP(B$2,H1:J208,2,FALSE)</f>
        <v>2.7627596388973883</v>
      </c>
    </row>
    <row r="20" spans="1:10" ht="21.2" customHeight="1">
      <c r="A20" s="8" t="s">
        <v>159</v>
      </c>
      <c r="B20" s="56" t="str">
        <f>VLOOKUP(A20,'The List'!B1:D730,3,FALSE)</f>
        <v>C</v>
      </c>
      <c r="C20" s="57">
        <f>IF(Settings!$E$15="POINTS",RANK(E20,E3:E208),H20)</f>
        <v>16</v>
      </c>
      <c r="D20" s="34" t="str">
        <f>VLOOKUP(A20,'The List'!B1:F730,5,FALSE)</f>
        <v>DET</v>
      </c>
      <c r="E20" s="38">
        <f>VLOOKUP(A20,'The List'!B1:I730,8,FALSE)</f>
        <v>9.577719019407807</v>
      </c>
      <c r="F20" s="38">
        <f>IF(Settings!$E$15="POINTS",E20-VLOOKUP(B$2,C1:E208,3,FALSE),J20)</f>
        <v>3.2406682952012043</v>
      </c>
      <c r="G20" s="38"/>
      <c r="H20" s="138">
        <f>RANK(I20,I3:I208)</f>
        <v>16</v>
      </c>
      <c r="I20" s="139">
        <f>VLOOKUP(A20,'Standard Deviations'!A1:C731,3,FALSE)</f>
        <v>9.577719019407807</v>
      </c>
      <c r="J20" s="139">
        <f>I20-VLOOKUP(B$2,H1:J208,2,FALSE)</f>
        <v>3.2406682952012043</v>
      </c>
    </row>
    <row r="21" spans="1:10" ht="21.2" customHeight="1">
      <c r="A21" s="8" t="s">
        <v>146</v>
      </c>
      <c r="B21" s="56" t="str">
        <f>VLOOKUP(A21,'The List'!B1:D730,3,FALSE)</f>
        <v>C,LW,RW</v>
      </c>
      <c r="C21" s="57">
        <f>IF(Settings!$E$15="POINTS",RANK(E21,E3:E208),H21)</f>
        <v>23</v>
      </c>
      <c r="D21" s="34" t="str">
        <f>VLOOKUP(A21,'The List'!B1:F730,5,FALSE)</f>
        <v>VAN</v>
      </c>
      <c r="E21" s="38">
        <f>VLOOKUP(A21,'The List'!B1:I730,8,FALSE)</f>
        <v>8.466166617614391</v>
      </c>
      <c r="F21" s="38">
        <f>IF(Settings!$E$15="POINTS",E21-VLOOKUP(B$2,C1:E208,3,FALSE),J21)</f>
        <v>2.1291158934077883</v>
      </c>
      <c r="G21" s="38"/>
      <c r="H21" s="138">
        <f>RANK(I21,I3:I208)</f>
        <v>23</v>
      </c>
      <c r="I21" s="139">
        <f>VLOOKUP(A21,'Standard Deviations'!A1:C731,3,FALSE)</f>
        <v>8.466166617614391</v>
      </c>
      <c r="J21" s="139">
        <f>I21-VLOOKUP(B$2,H1:J208,2,FALSE)</f>
        <v>2.1291158934077883</v>
      </c>
    </row>
    <row r="22" spans="1:10" ht="21.2" customHeight="1">
      <c r="A22" s="8" t="s">
        <v>164</v>
      </c>
      <c r="B22" s="56" t="str">
        <f>VLOOKUP(A22,'The List'!B1:D730,3,FALSE)</f>
        <v>C</v>
      </c>
      <c r="C22" s="57">
        <f>IF(Settings!$E$15="POINTS",RANK(E22,E3:E208),H22)</f>
        <v>22</v>
      </c>
      <c r="D22" s="34" t="str">
        <f>VLOOKUP(A22,'The List'!B1:F730,5,FALSE)</f>
        <v>CAR</v>
      </c>
      <c r="E22" s="38">
        <f>VLOOKUP(A22,'The List'!B1:I730,8,FALSE)</f>
        <v>8.4957451159382327</v>
      </c>
      <c r="F22" s="38">
        <f>IF(Settings!$E$15="POINTS",E22-VLOOKUP(B$2,C1:E208,3,FALSE),J22)</f>
        <v>2.1586943917316299</v>
      </c>
      <c r="G22" s="38"/>
      <c r="H22" s="138">
        <f>RANK(I22,I3:I208)</f>
        <v>22</v>
      </c>
      <c r="I22" s="139">
        <f>VLOOKUP(A22,'Standard Deviations'!A1:C731,3,FALSE)</f>
        <v>8.4957451159382327</v>
      </c>
      <c r="J22" s="139">
        <f>I22-VLOOKUP(B$2,H1:J208,2,FALSE)</f>
        <v>2.1586943917316299</v>
      </c>
    </row>
    <row r="23" spans="1:10" ht="21.2" customHeight="1">
      <c r="A23" s="8" t="s">
        <v>172</v>
      </c>
      <c r="B23" s="56" t="str">
        <f>VLOOKUP(A23,'The List'!B1:D730,3,FALSE)</f>
        <v>C</v>
      </c>
      <c r="C23" s="57">
        <f>IF(Settings!$E$15="POINTS",RANK(E23,E3:E208),H23)</f>
        <v>24</v>
      </c>
      <c r="D23" s="34" t="str">
        <f>VLOOKUP(A23,'The List'!B1:F730,5,FALSE)</f>
        <v>BUF</v>
      </c>
      <c r="E23" s="38">
        <f>VLOOKUP(A23,'The List'!B1:I730,8,FALSE)</f>
        <v>7.9993564400938268</v>
      </c>
      <c r="F23" s="38">
        <f>IF(Settings!$E$15="POINTS",E23-VLOOKUP(B$2,C1:E208,3,FALSE),J23)</f>
        <v>1.6623057158872241</v>
      </c>
      <c r="G23" s="38"/>
      <c r="H23" s="138">
        <f>RANK(I23,I3:I208)</f>
        <v>24</v>
      </c>
      <c r="I23" s="139">
        <f>VLOOKUP(A23,'Standard Deviations'!A1:C731,3,FALSE)</f>
        <v>7.9993564400938268</v>
      </c>
      <c r="J23" s="139">
        <f>I23-VLOOKUP(B$2,H1:J208,2,FALSE)</f>
        <v>1.6623057158872241</v>
      </c>
    </row>
    <row r="24" spans="1:10" ht="21.2" customHeight="1">
      <c r="A24" s="8" t="s">
        <v>176</v>
      </c>
      <c r="B24" s="56" t="str">
        <f>VLOOKUP(A24,'The List'!B1:D730,3,FALSE)</f>
        <v>C</v>
      </c>
      <c r="C24" s="57">
        <f>IF(Settings!$E$15="POINTS",RANK(E24,E3:E208),H24)</f>
        <v>21</v>
      </c>
      <c r="D24" s="34" t="str">
        <f>VLOOKUP(A24,'The List'!B1:F730,5,FALSE)</f>
        <v>DAL</v>
      </c>
      <c r="E24" s="38">
        <f>VLOOKUP(A24,'The List'!B1:I730,8,FALSE)</f>
        <v>8.6525189060530554</v>
      </c>
      <c r="F24" s="38">
        <f>IF(Settings!$E$15="POINTS",E24-VLOOKUP(B$2,C1:E208,3,FALSE),J24)</f>
        <v>2.3154681818464526</v>
      </c>
      <c r="G24" s="38"/>
      <c r="H24" s="138">
        <f>RANK(I24,I3:I208)</f>
        <v>21</v>
      </c>
      <c r="I24" s="139">
        <f>VLOOKUP(A24,'Standard Deviations'!A1:C731,3,FALSE)</f>
        <v>8.6525189060530554</v>
      </c>
      <c r="J24" s="139">
        <f>I24-VLOOKUP(B$2,H1:J208,2,FALSE)</f>
        <v>2.3154681818464526</v>
      </c>
    </row>
    <row r="25" spans="1:10" ht="21.2" customHeight="1">
      <c r="A25" s="8" t="s">
        <v>190</v>
      </c>
      <c r="B25" s="56" t="str">
        <f>VLOOKUP(A25,'The List'!B1:D730,3,FALSE)</f>
        <v>C</v>
      </c>
      <c r="C25" s="57">
        <f>IF(Settings!$E$15="POINTS",RANK(E25,E3:E208),H25)</f>
        <v>27</v>
      </c>
      <c r="D25" s="34" t="str">
        <f>VLOOKUP(A25,'The List'!B1:F730,5,FALSE)</f>
        <v>NYI</v>
      </c>
      <c r="E25" s="38">
        <f>VLOOKUP(A25,'The List'!B1:I730,8,FALSE)</f>
        <v>7.6940355983686546</v>
      </c>
      <c r="F25" s="38">
        <f>IF(Settings!$E$15="POINTS",E25-VLOOKUP(B$2,C1:E208,3,FALSE),J25)</f>
        <v>1.3569848741620518</v>
      </c>
      <c r="G25" s="38"/>
      <c r="H25" s="138">
        <f>RANK(I25,I3:I208)</f>
        <v>27</v>
      </c>
      <c r="I25" s="139">
        <f>VLOOKUP(A25,'Standard Deviations'!A1:C731,3,FALSE)</f>
        <v>7.6940355983686546</v>
      </c>
      <c r="J25" s="139">
        <f>I25-VLOOKUP(B$2,H1:J208,2,FALSE)</f>
        <v>1.3569848741620518</v>
      </c>
    </row>
    <row r="26" spans="1:10" ht="21.2" customHeight="1">
      <c r="A26" s="8" t="s">
        <v>195</v>
      </c>
      <c r="B26" s="56" t="str">
        <f>VLOOKUP(A26,'The List'!B1:D730,3,FALSE)</f>
        <v>C</v>
      </c>
      <c r="C26" s="57">
        <f>IF(Settings!$E$15="POINTS",RANK(E26,E3:E208),H26)</f>
        <v>19</v>
      </c>
      <c r="D26" s="34" t="str">
        <f>VLOOKUP(A26,'The List'!B1:F730,5,FALSE)</f>
        <v>VGK</v>
      </c>
      <c r="E26" s="38">
        <f>VLOOKUP(A26,'The List'!B1:I730,8,FALSE)</f>
        <v>9.0706381514518206</v>
      </c>
      <c r="F26" s="38">
        <f>IF(Settings!$E$15="POINTS",E26-VLOOKUP(B$2,C1:E208,3,FALSE),J26)</f>
        <v>2.7335874272452179</v>
      </c>
      <c r="G26" s="38"/>
      <c r="H26" s="138">
        <f>RANK(I26,I3:I208)</f>
        <v>19</v>
      </c>
      <c r="I26" s="139">
        <f>VLOOKUP(A26,'Standard Deviations'!A1:C731,3,FALSE)</f>
        <v>9.0706381514518206</v>
      </c>
      <c r="J26" s="139">
        <f>I26-VLOOKUP(B$2,H1:J208,2,FALSE)</f>
        <v>2.7335874272452179</v>
      </c>
    </row>
    <row r="27" spans="1:10" ht="21.2" customHeight="1">
      <c r="A27" s="8" t="s">
        <v>198</v>
      </c>
      <c r="B27" s="56" t="str">
        <f>VLOOKUP(A27,'The List'!B1:D730,3,FALSE)</f>
        <v>C</v>
      </c>
      <c r="C27" s="57">
        <f>IF(Settings!$E$15="POINTS",RANK(E27,E3:E208),H27)</f>
        <v>25</v>
      </c>
      <c r="D27" s="34" t="str">
        <f>VLOOKUP(A27,'The List'!B1:F730,5,FALSE)</f>
        <v>WPG</v>
      </c>
      <c r="E27" s="38">
        <f>VLOOKUP(A27,'The List'!B1:I730,8,FALSE)</f>
        <v>7.8859465772544128</v>
      </c>
      <c r="F27" s="38">
        <f>IF(Settings!$E$15="POINTS",E27-VLOOKUP(B$2,C1:E208,3,FALSE),J27)</f>
        <v>1.5488958530478101</v>
      </c>
      <c r="G27" s="38"/>
      <c r="H27" s="138">
        <f>RANK(I27,I3:I208)</f>
        <v>25</v>
      </c>
      <c r="I27" s="139">
        <f>VLOOKUP(A27,'Standard Deviations'!A1:C731,3,FALSE)</f>
        <v>7.8859465772544128</v>
      </c>
      <c r="J27" s="139">
        <f>I27-VLOOKUP(B$2,H1:J208,2,FALSE)</f>
        <v>1.5488958530478101</v>
      </c>
    </row>
    <row r="28" spans="1:10" ht="21.2" customHeight="1">
      <c r="A28" s="8" t="s">
        <v>201</v>
      </c>
      <c r="B28" s="56" t="str">
        <f>VLOOKUP(A28,'The List'!B1:D730,3,FALSE)</f>
        <v>C</v>
      </c>
      <c r="C28" s="57">
        <f>IF(Settings!$E$15="POINTS",RANK(E28,E3:E208),H28)</f>
        <v>30</v>
      </c>
      <c r="D28" s="34" t="str">
        <f>VLOOKUP(A28,'The List'!B1:F730,5,FALSE)</f>
        <v>MIN</v>
      </c>
      <c r="E28" s="38">
        <f>VLOOKUP(A28,'The List'!B1:I730,8,FALSE)</f>
        <v>6.9679984875936958</v>
      </c>
      <c r="F28" s="38">
        <f>IF(Settings!$E$15="POINTS",E28-VLOOKUP(B$2,C1:E208,3,FALSE),J28)</f>
        <v>0.63094776338709302</v>
      </c>
      <c r="G28" s="38"/>
      <c r="H28" s="138">
        <f>RANK(I28,I3:I208)</f>
        <v>30</v>
      </c>
      <c r="I28" s="139">
        <f>VLOOKUP(A28,'Standard Deviations'!A1:C731,3,FALSE)</f>
        <v>6.9679984875936958</v>
      </c>
      <c r="J28" s="139">
        <f>I28-VLOOKUP(B$2,H1:J208,2,FALSE)</f>
        <v>0.63094776338709302</v>
      </c>
    </row>
    <row r="29" spans="1:10" ht="21.2" customHeight="1">
      <c r="A29" s="8" t="s">
        <v>203</v>
      </c>
      <c r="B29" s="56" t="str">
        <f>VLOOKUP(A29,'The List'!B1:D730,3,FALSE)</f>
        <v>C</v>
      </c>
      <c r="C29" s="57">
        <f>IF(Settings!$E$15="POINTS",RANK(E29,E3:E208),H29)</f>
        <v>17</v>
      </c>
      <c r="D29" s="34" t="str">
        <f>VLOOKUP(A29,'The List'!B1:F730,5,FALSE)</f>
        <v>PIT</v>
      </c>
      <c r="E29" s="38">
        <f>VLOOKUP(A29,'The List'!B1:I730,8,FALSE)</f>
        <v>9.1129813337351067</v>
      </c>
      <c r="F29" s="38">
        <f>IF(Settings!$E$15="POINTS",E29-VLOOKUP(B$2,C1:E208,3,FALSE),J29)</f>
        <v>2.7759306095285039</v>
      </c>
      <c r="G29" s="38"/>
      <c r="H29" s="138">
        <f>RANK(I29,I3:I208)</f>
        <v>17</v>
      </c>
      <c r="I29" s="139">
        <f>VLOOKUP(A29,'Standard Deviations'!A1:C731,3,FALSE)</f>
        <v>9.1129813337351067</v>
      </c>
      <c r="J29" s="139">
        <f>I29-VLOOKUP(B$2,H1:J208,2,FALSE)</f>
        <v>2.7759306095285039</v>
      </c>
    </row>
    <row r="30" spans="1:10" ht="21.2" customHeight="1">
      <c r="A30" s="8" t="s">
        <v>186</v>
      </c>
      <c r="B30" s="56" t="str">
        <f>VLOOKUP(A30,'The List'!B1:D730,3,FALSE)</f>
        <v>C,LW</v>
      </c>
      <c r="C30" s="57">
        <f>IF(Settings!$E$15="POINTS",RANK(E30,E3:E208),H30)</f>
        <v>29</v>
      </c>
      <c r="D30" s="34" t="str">
        <f>VLOOKUP(A30,'The List'!B1:F730,5,FALSE)</f>
        <v>ANA</v>
      </c>
      <c r="E30" s="38">
        <f>VLOOKUP(A30,'The List'!B1:I730,8,FALSE)</f>
        <v>7.2104285715631136</v>
      </c>
      <c r="F30" s="38">
        <f>IF(Settings!$E$15="POINTS",E30-VLOOKUP(B$2,C1:E208,3,FALSE),J30)</f>
        <v>0.87337784735651081</v>
      </c>
      <c r="G30" s="38"/>
      <c r="H30" s="138">
        <f>RANK(I30,I3:I208)</f>
        <v>29</v>
      </c>
      <c r="I30" s="139">
        <f>VLOOKUP(A30,'Standard Deviations'!A1:C731,3,FALSE)</f>
        <v>7.2104285715631136</v>
      </c>
      <c r="J30" s="139">
        <f>I30-VLOOKUP(B$2,H1:J208,2,FALSE)</f>
        <v>0.87337784735651081</v>
      </c>
    </row>
    <row r="31" spans="1:10" ht="21.2" customHeight="1">
      <c r="A31" s="8" t="s">
        <v>204</v>
      </c>
      <c r="B31" s="56" t="str">
        <f>VLOOKUP(A31,'The List'!B1:D730,3,FALSE)</f>
        <v>C</v>
      </c>
      <c r="C31" s="57">
        <f>IF(Settings!$E$15="POINTS",RANK(E31,E3:E208),H31)</f>
        <v>26</v>
      </c>
      <c r="D31" s="34" t="str">
        <f>VLOOKUP(A31,'The List'!B1:F730,5,FALSE)</f>
        <v>CHI</v>
      </c>
      <c r="E31" s="38">
        <f>VLOOKUP(A31,'The List'!B1:I730,8,FALSE)</f>
        <v>7.8748236583444715</v>
      </c>
      <c r="F31" s="38">
        <f>IF(Settings!$E$15="POINTS",E31-VLOOKUP(B$2,C1:E208,3,FALSE),J31)</f>
        <v>1.5377729341378688</v>
      </c>
      <c r="G31" s="38"/>
      <c r="H31" s="138">
        <f>RANK(I31,I3:I208)</f>
        <v>26</v>
      </c>
      <c r="I31" s="139">
        <f>VLOOKUP(A31,'Standard Deviations'!A1:C731,3,FALSE)</f>
        <v>7.8748236583444715</v>
      </c>
      <c r="J31" s="139">
        <f>I31-VLOOKUP(B$2,H1:J208,2,FALSE)</f>
        <v>1.5377729341378688</v>
      </c>
    </row>
    <row r="32" spans="1:10" ht="21.2" customHeight="1">
      <c r="A32" s="8" t="s">
        <v>212</v>
      </c>
      <c r="B32" s="56" t="str">
        <f>VLOOKUP(A32,'The List'!B1:D730,3,FALSE)</f>
        <v>C</v>
      </c>
      <c r="C32" s="57">
        <f>IF(Settings!$E$15="POINTS",RANK(E32,E3:E208),H32)</f>
        <v>32</v>
      </c>
      <c r="D32" s="34" t="str">
        <f>VLOOKUP(A32,'The List'!B1:F730,5,FALSE)</f>
        <v>CGY</v>
      </c>
      <c r="E32" s="38">
        <f>VLOOKUP(A32,'The List'!B1:I730,8,FALSE)</f>
        <v>6.5910859387786429</v>
      </c>
      <c r="F32" s="38">
        <f>IF(Settings!$E$15="POINTS",E32-VLOOKUP(B$2,C1:E208,3,FALSE),J32)</f>
        <v>0.25403521457204015</v>
      </c>
      <c r="G32" s="38"/>
      <c r="H32" s="138">
        <f>RANK(I32,I3:I208)</f>
        <v>32</v>
      </c>
      <c r="I32" s="139">
        <f>VLOOKUP(A32,'Standard Deviations'!A1:C731,3,FALSE)</f>
        <v>6.5910859387786429</v>
      </c>
      <c r="J32" s="139">
        <f>I32-VLOOKUP(B$2,H1:J208,2,FALSE)</f>
        <v>0.25403521457204015</v>
      </c>
    </row>
    <row r="33" spans="1:10" ht="21.2" customHeight="1">
      <c r="A33" s="8" t="s">
        <v>185</v>
      </c>
      <c r="B33" s="56" t="str">
        <f>VLOOKUP(A33,'The List'!B1:D730,3,FALSE)</f>
        <v>C,RW</v>
      </c>
      <c r="C33" s="57">
        <f>IF(Settings!$E$15="POINTS",RANK(E33,E3:E208),H33)</f>
        <v>34</v>
      </c>
      <c r="D33" s="34" t="str">
        <f>VLOOKUP(A33,'The List'!B1:F730,5,FALSE)</f>
        <v>DAL</v>
      </c>
      <c r="E33" s="38">
        <f>VLOOKUP(A33,'The List'!B1:I730,8,FALSE)</f>
        <v>6.4454207757164905</v>
      </c>
      <c r="F33" s="38">
        <f>IF(Settings!$E$15="POINTS",E33-VLOOKUP(B$2,C1:E208,3,FALSE),J33)</f>
        <v>0.10837005150988777</v>
      </c>
      <c r="G33" s="38"/>
      <c r="H33" s="138">
        <f>RANK(I33,I3:I208)</f>
        <v>34</v>
      </c>
      <c r="I33" s="139">
        <f>VLOOKUP(A33,'Standard Deviations'!A1:C731,3,FALSE)</f>
        <v>6.4454207757164905</v>
      </c>
      <c r="J33" s="139">
        <f>I33-VLOOKUP(B$2,H1:J208,2,FALSE)</f>
        <v>0.10837005150988777</v>
      </c>
    </row>
    <row r="34" spans="1:10" ht="21.2" customHeight="1">
      <c r="A34" s="8" t="s">
        <v>188</v>
      </c>
      <c r="B34" s="56" t="str">
        <f>VLOOKUP(A34,'The List'!B1:D730,3,FALSE)</f>
        <v>C,RW</v>
      </c>
      <c r="C34" s="57">
        <f>IF(Settings!$E$15="POINTS",RANK(E34,E3:E208),H34)</f>
        <v>28</v>
      </c>
      <c r="D34" s="34" t="str">
        <f>VLOOKUP(A34,'The List'!B1:F730,5,FALSE)</f>
        <v>NYI</v>
      </c>
      <c r="E34" s="38">
        <f>VLOOKUP(A34,'The List'!B1:I730,8,FALSE)</f>
        <v>7.4930103346588677</v>
      </c>
      <c r="F34" s="38">
        <f>IF(Settings!$E$15="POINTS",E34-VLOOKUP(B$2,C1:E208,3,FALSE),J34)</f>
        <v>1.1559596104522649</v>
      </c>
      <c r="G34" s="38"/>
      <c r="H34" s="138">
        <f>RANK(I34,I3:I208)</f>
        <v>28</v>
      </c>
      <c r="I34" s="139">
        <f>VLOOKUP(A34,'Standard Deviations'!A1:C731,3,FALSE)</f>
        <v>7.4930103346588677</v>
      </c>
      <c r="J34" s="139">
        <f>I34-VLOOKUP(B$2,H1:J208,2,FALSE)</f>
        <v>1.1559596104522649</v>
      </c>
    </row>
    <row r="35" spans="1:10" ht="21.2" customHeight="1">
      <c r="A35" s="8" t="s">
        <v>224</v>
      </c>
      <c r="B35" s="56" t="str">
        <f>VLOOKUP(A35,'The List'!B1:D730,3,FALSE)</f>
        <v>C</v>
      </c>
      <c r="C35" s="57">
        <f>IF(Settings!$E$15="POINTS",RANK(E35,E3:E208),H35)</f>
        <v>33</v>
      </c>
      <c r="D35" s="34" t="str">
        <f>VLOOKUP(A35,'The List'!B1:F730,5,FALSE)</f>
        <v>NYI</v>
      </c>
      <c r="E35" s="38">
        <f>VLOOKUP(A35,'The List'!B1:I730,8,FALSE)</f>
        <v>6.547987422203728</v>
      </c>
      <c r="F35" s="38">
        <f>IF(Settings!$E$15="POINTS",E35-VLOOKUP(B$2,C1:E208,3,FALSE),J35)</f>
        <v>0.21093669799712522</v>
      </c>
      <c r="G35" s="38"/>
      <c r="H35" s="138">
        <f>RANK(I35,I3:I208)</f>
        <v>33</v>
      </c>
      <c r="I35" s="139">
        <f>VLOOKUP(A35,'Standard Deviations'!A1:C731,3,FALSE)</f>
        <v>6.547987422203728</v>
      </c>
      <c r="J35" s="139">
        <f>I35-VLOOKUP(B$2,H1:J208,2,FALSE)</f>
        <v>0.21093669799712522</v>
      </c>
    </row>
    <row r="36" spans="1:10" ht="21.2" customHeight="1">
      <c r="A36" s="8" t="s">
        <v>228</v>
      </c>
      <c r="B36" s="56" t="str">
        <f>VLOOKUP(A36,'The List'!B1:D730,3,FALSE)</f>
        <v>C</v>
      </c>
      <c r="C36" s="57">
        <f>IF(Settings!$E$15="POINTS",RANK(E36,E3:E208),H36)</f>
        <v>38</v>
      </c>
      <c r="D36" s="34" t="str">
        <f>VLOOKUP(A36,'The List'!B1:F730,5,FALSE)</f>
        <v>SEA</v>
      </c>
      <c r="E36" s="38">
        <f>VLOOKUP(A36,'The List'!B1:I730,8,FALSE)</f>
        <v>6.0122623371438388</v>
      </c>
      <c r="F36" s="38">
        <f>IF(Settings!$E$15="POINTS",E36-VLOOKUP(B$2,C1:E208,3,FALSE),J36)</f>
        <v>-0.32478838706276392</v>
      </c>
      <c r="G36" s="38"/>
      <c r="H36" s="138">
        <f>RANK(I36,I3:I208)</f>
        <v>38</v>
      </c>
      <c r="I36" s="139">
        <f>VLOOKUP(A36,'Standard Deviations'!A1:C731,3,FALSE)</f>
        <v>6.0122623371438388</v>
      </c>
      <c r="J36" s="139">
        <f>I36-VLOOKUP(B$2,H1:J208,2,FALSE)</f>
        <v>-0.32478838706276392</v>
      </c>
    </row>
    <row r="37" spans="1:10" ht="21.2" customHeight="1">
      <c r="A37" s="8" t="s">
        <v>229</v>
      </c>
      <c r="B37" s="56" t="str">
        <f>VLOOKUP(A37,'The List'!B1:D730,3,FALSE)</f>
        <v>C</v>
      </c>
      <c r="C37" s="57">
        <f>IF(Settings!$E$15="POINTS",RANK(E37,E3:E208),H37)</f>
        <v>42</v>
      </c>
      <c r="D37" s="34" t="str">
        <f>VLOOKUP(A37,'The List'!B1:F730,5,FALSE)</f>
        <v>MTL</v>
      </c>
      <c r="E37" s="38">
        <f>VLOOKUP(A37,'The List'!B1:I730,8,FALSE)</f>
        <v>5.6526972314709631</v>
      </c>
      <c r="F37" s="38">
        <f>IF(Settings!$E$15="POINTS",E37-VLOOKUP(B$2,C1:E208,3,FALSE),J37)</f>
        <v>-0.68435349273563961</v>
      </c>
      <c r="G37" s="38"/>
      <c r="H37" s="138">
        <f>RANK(I37,I3:I208)</f>
        <v>42</v>
      </c>
      <c r="I37" s="139">
        <f>VLOOKUP(A37,'Standard Deviations'!A1:C731,3,FALSE)</f>
        <v>5.6526972314709631</v>
      </c>
      <c r="J37" s="139">
        <f>I37-VLOOKUP(B$2,H1:J208,2,FALSE)</f>
        <v>-0.68435349273563961</v>
      </c>
    </row>
    <row r="38" spans="1:10" ht="21.2" customHeight="1">
      <c r="A38" s="8" t="s">
        <v>230</v>
      </c>
      <c r="B38" s="56" t="str">
        <f>VLOOKUP(A38,'The List'!B1:D730,3,FALSE)</f>
        <v>C</v>
      </c>
      <c r="C38" s="57">
        <f>IF(Settings!$E$15="POINTS",RANK(E38,E3:E208),H38)</f>
        <v>39</v>
      </c>
      <c r="D38" s="34" t="str">
        <f>VLOOKUP(A38,'The List'!B1:F730,5,FALSE)</f>
        <v>CGY</v>
      </c>
      <c r="E38" s="38">
        <f>VLOOKUP(A38,'The List'!B1:I730,8,FALSE)</f>
        <v>5.983039518460199</v>
      </c>
      <c r="F38" s="38">
        <f>IF(Settings!$E$15="POINTS",E38-VLOOKUP(B$2,C1:E208,3,FALSE),J38)</f>
        <v>-0.35401120574640377</v>
      </c>
      <c r="G38" s="38"/>
      <c r="H38" s="138">
        <f>RANK(I38,I3:I208)</f>
        <v>39</v>
      </c>
      <c r="I38" s="139">
        <f>VLOOKUP(A38,'Standard Deviations'!A1:C731,3,FALSE)</f>
        <v>5.983039518460199</v>
      </c>
      <c r="J38" s="139">
        <f>I38-VLOOKUP(B$2,H1:J208,2,FALSE)</f>
        <v>-0.35401120574640377</v>
      </c>
    </row>
    <row r="39" spans="1:10" ht="21.2" customHeight="1">
      <c r="A39" s="8" t="s">
        <v>221</v>
      </c>
      <c r="B39" s="56" t="str">
        <f>VLOOKUP(A39,'The List'!B1:D730,3,FALSE)</f>
        <v>C,LW</v>
      </c>
      <c r="C39" s="57">
        <f>IF(Settings!$E$15="POINTS",RANK(E39,E3:E208),H39)</f>
        <v>36</v>
      </c>
      <c r="D39" s="34" t="str">
        <f>VLOOKUP(A39,'The List'!B1:F730,5,FALSE)</f>
        <v>LAK</v>
      </c>
      <c r="E39" s="38">
        <f>VLOOKUP(A39,'The List'!B1:I730,8,FALSE)</f>
        <v>6.2939538141798721</v>
      </c>
      <c r="F39" s="38">
        <f>IF(Settings!$E$15="POINTS",E39-VLOOKUP(B$2,C1:E208,3,FALSE),J39)</f>
        <v>-4.3096910026730662E-2</v>
      </c>
      <c r="G39" s="38"/>
      <c r="H39" s="138">
        <f>RANK(I39,I3:I208)</f>
        <v>36</v>
      </c>
      <c r="I39" s="139">
        <f>VLOOKUP(A39,'Standard Deviations'!A1:C731,3,FALSE)</f>
        <v>6.2939538141798721</v>
      </c>
      <c r="J39" s="139">
        <f>I39-VLOOKUP(B$2,H1:J208,2,FALSE)</f>
        <v>-4.3096910026730662E-2</v>
      </c>
    </row>
    <row r="40" spans="1:10" ht="21.2" customHeight="1">
      <c r="A40" s="8" t="s">
        <v>225</v>
      </c>
      <c r="B40" s="56" t="str">
        <f>VLOOKUP(A40,'The List'!B1:D730,3,FALSE)</f>
        <v>C,LW</v>
      </c>
      <c r="C40" s="57">
        <f>IF(Settings!$E$15="POINTS",RANK(E40,E3:E208),H40)</f>
        <v>35</v>
      </c>
      <c r="D40" s="34" t="str">
        <f>VLOOKUP(A40,'The List'!B1:F730,5,FALSE)</f>
        <v>SEA</v>
      </c>
      <c r="E40" s="38">
        <f>VLOOKUP(A40,'The List'!B1:I730,8,FALSE)</f>
        <v>6.3370507242066028</v>
      </c>
      <c r="F40" s="38">
        <f>IF(Settings!$E$15="POINTS",E40-VLOOKUP(B$2,C1:E208,3,FALSE),J40)</f>
        <v>0</v>
      </c>
      <c r="G40" s="38"/>
      <c r="H40" s="138">
        <f>RANK(I40,I3:I208)</f>
        <v>35</v>
      </c>
      <c r="I40" s="139">
        <f>VLOOKUP(A40,'Standard Deviations'!A1:C731,3,FALSE)</f>
        <v>6.3370507242066028</v>
      </c>
      <c r="J40" s="139">
        <f>I40-VLOOKUP(B$2,H1:J208,2,FALSE)</f>
        <v>0</v>
      </c>
    </row>
    <row r="41" spans="1:10" ht="21.2" customHeight="1">
      <c r="A41" s="8" t="s">
        <v>242</v>
      </c>
      <c r="B41" s="56" t="str">
        <f>VLOOKUP(A41,'The List'!B1:D730,3,FALSE)</f>
        <v>C</v>
      </c>
      <c r="C41" s="57">
        <f>IF(Settings!$E$15="POINTS",RANK(E41,E3:E208),H41)</f>
        <v>44</v>
      </c>
      <c r="D41" s="34" t="str">
        <f>VLOOKUP(A41,'The List'!B1:F730,5,FALSE)</f>
        <v>LAK</v>
      </c>
      <c r="E41" s="38">
        <f>VLOOKUP(A41,'The List'!B1:I730,8,FALSE)</f>
        <v>5.2664090249396196</v>
      </c>
      <c r="F41" s="38">
        <f>IF(Settings!$E$15="POINTS",E41-VLOOKUP(B$2,C1:E208,3,FALSE),J41)</f>
        <v>-1.0706416992669832</v>
      </c>
      <c r="G41" s="38"/>
      <c r="H41" s="138">
        <f>RANK(I41,I3:I208)</f>
        <v>44</v>
      </c>
      <c r="I41" s="139">
        <f>VLOOKUP(A41,'Standard Deviations'!A1:C731,3,FALSE)</f>
        <v>5.2664090249396196</v>
      </c>
      <c r="J41" s="139">
        <f>I41-VLOOKUP(B$2,H1:J208,2,FALSE)</f>
        <v>-1.0706416992669832</v>
      </c>
    </row>
    <row r="42" spans="1:10" ht="21.2" customHeight="1">
      <c r="A42" s="8" t="s">
        <v>215</v>
      </c>
      <c r="B42" s="56" t="str">
        <f>VLOOKUP(A42,'The List'!B1:D730,3,FALSE)</f>
        <v>C,RW</v>
      </c>
      <c r="C42" s="57">
        <f>IF(Settings!$E$15="POINTS",RANK(E42,E3:E208),H42)</f>
        <v>31</v>
      </c>
      <c r="D42" s="34" t="str">
        <f>VLOOKUP(A42,'The List'!B1:F730,5,FALSE)</f>
        <v>STL</v>
      </c>
      <c r="E42" s="38">
        <f>VLOOKUP(A42,'The List'!B1:I730,8,FALSE)</f>
        <v>6.6371557313535909</v>
      </c>
      <c r="F42" s="38">
        <f>IF(Settings!$E$15="POINTS",E42-VLOOKUP(B$2,C1:E208,3,FALSE),J42)</f>
        <v>0.30010500714698818</v>
      </c>
      <c r="G42" s="38"/>
      <c r="H42" s="138">
        <f>RANK(I42,I3:I208)</f>
        <v>31</v>
      </c>
      <c r="I42" s="139">
        <f>VLOOKUP(A42,'Standard Deviations'!A1:C731,3,FALSE)</f>
        <v>6.6371557313535909</v>
      </c>
      <c r="J42" s="139">
        <f>I42-VLOOKUP(B$2,H1:J208,2,FALSE)</f>
        <v>0.30010500714698818</v>
      </c>
    </row>
    <row r="43" spans="1:10" ht="21.2" customHeight="1">
      <c r="A43" s="8" t="s">
        <v>217</v>
      </c>
      <c r="B43" s="56" t="str">
        <f>VLOOKUP(A43,'The List'!B1:D730,3,FALSE)</f>
        <v>C,LW,RW</v>
      </c>
      <c r="C43" s="57">
        <f>IF(Settings!$E$15="POINTS",RANK(E43,E3:E208),H43)</f>
        <v>40</v>
      </c>
      <c r="D43" s="34" t="str">
        <f>VLOOKUP(A43,'The List'!B1:F730,5,FALSE)</f>
        <v>OTT</v>
      </c>
      <c r="E43" s="38">
        <f>VLOOKUP(A43,'The List'!B1:I730,8,FALSE)</f>
        <v>5.7530863445599101</v>
      </c>
      <c r="F43" s="38">
        <f>IF(Settings!$E$15="POINTS",E43-VLOOKUP(B$2,C1:E208,3,FALSE),J43)</f>
        <v>-0.58396437964669268</v>
      </c>
      <c r="G43" s="38"/>
      <c r="H43" s="138">
        <f>RANK(I43,I3:I208)</f>
        <v>40</v>
      </c>
      <c r="I43" s="139">
        <f>VLOOKUP(A43,'Standard Deviations'!A1:C731,3,FALSE)</f>
        <v>5.7530863445599101</v>
      </c>
      <c r="J43" s="139">
        <f>I43-VLOOKUP(B$2,H1:J208,2,FALSE)</f>
        <v>-0.58396437964669268</v>
      </c>
    </row>
    <row r="44" spans="1:10" ht="21.2" customHeight="1">
      <c r="A44" s="8" t="s">
        <v>245</v>
      </c>
      <c r="B44" s="56" t="str">
        <f>VLOOKUP(A44,'The List'!B1:D730,3,FALSE)</f>
        <v>C</v>
      </c>
      <c r="C44" s="57">
        <f>IF(Settings!$E$15="POINTS",RANK(E44,E3:E208),H44)</f>
        <v>41</v>
      </c>
      <c r="D44" s="34" t="str">
        <f>VLOOKUP(A44,'The List'!B1:F730,5,FALSE)</f>
        <v>SJS</v>
      </c>
      <c r="E44" s="38">
        <f>VLOOKUP(A44,'The List'!B1:I730,8,FALSE)</f>
        <v>5.7253304720063483</v>
      </c>
      <c r="F44" s="38">
        <f>IF(Settings!$E$15="POINTS",E44-VLOOKUP(B$2,C1:E208,3,FALSE),J44)</f>
        <v>-0.6117202522002545</v>
      </c>
      <c r="G44" s="38"/>
      <c r="H44" s="138">
        <f>RANK(I44,I3:I208)</f>
        <v>41</v>
      </c>
      <c r="I44" s="139">
        <f>VLOOKUP(A44,'Standard Deviations'!A1:C731,3,FALSE)</f>
        <v>5.7253304720063483</v>
      </c>
      <c r="J44" s="139">
        <f>I44-VLOOKUP(B$2,H1:J208,2,FALSE)</f>
        <v>-0.6117202522002545</v>
      </c>
    </row>
    <row r="45" spans="1:10" ht="21.2" customHeight="1">
      <c r="A45" s="8" t="s">
        <v>223</v>
      </c>
      <c r="B45" s="56" t="str">
        <f>VLOOKUP(A45,'The List'!B1:D730,3,FALSE)</f>
        <v>C,LW,RW</v>
      </c>
      <c r="C45" s="57">
        <f>IF(Settings!$E$15="POINTS",RANK(E45,E3:E208),H45)</f>
        <v>37</v>
      </c>
      <c r="D45" s="34" t="str">
        <f>VLOOKUP(A45,'The List'!B1:F730,5,FALSE)</f>
        <v>ARI</v>
      </c>
      <c r="E45" s="38">
        <f>VLOOKUP(A45,'The List'!B1:I730,8,FALSE)</f>
        <v>6.2802587190110808</v>
      </c>
      <c r="F45" s="38">
        <f>IF(Settings!$E$15="POINTS",E45-VLOOKUP(B$2,C1:E208,3,FALSE),J45)</f>
        <v>-5.6792005195521966E-2</v>
      </c>
      <c r="G45" s="38"/>
      <c r="H45" s="138">
        <f>RANK(I45,I3:I208)</f>
        <v>37</v>
      </c>
      <c r="I45" s="139">
        <f>VLOOKUP(A45,'Standard Deviations'!A1:C731,3,FALSE)</f>
        <v>6.2802587190110808</v>
      </c>
      <c r="J45" s="139">
        <f>I45-VLOOKUP(B$2,H1:J208,2,FALSE)</f>
        <v>-5.6792005195521966E-2</v>
      </c>
    </row>
    <row r="46" spans="1:10" ht="21.2" customHeight="1">
      <c r="A46" s="8" t="s">
        <v>261</v>
      </c>
      <c r="B46" s="56" t="str">
        <f>VLOOKUP(A46,'The List'!B1:D730,3,FALSE)</f>
        <v>C</v>
      </c>
      <c r="C46" s="57">
        <f>IF(Settings!$E$15="POINTS",RANK(E46,E3:E208),H46)</f>
        <v>46</v>
      </c>
      <c r="D46" s="34" t="str">
        <f>VLOOKUP(A46,'The List'!B1:F730,5,FALSE)</f>
        <v>SJS</v>
      </c>
      <c r="E46" s="38">
        <f>VLOOKUP(A46,'The List'!B1:I730,8,FALSE)</f>
        <v>4.9497396664926105</v>
      </c>
      <c r="F46" s="38">
        <f>IF(Settings!$E$15="POINTS",E46-VLOOKUP(B$2,C1:E208,3,FALSE),J46)</f>
        <v>-1.3873110577139922</v>
      </c>
      <c r="G46" s="38"/>
      <c r="H46" s="138">
        <f>RANK(I46,I3:I208)</f>
        <v>46</v>
      </c>
      <c r="I46" s="139">
        <f>VLOOKUP(A46,'Standard Deviations'!A1:C731,3,FALSE)</f>
        <v>4.9497396664926105</v>
      </c>
      <c r="J46" s="139">
        <f>I46-VLOOKUP(B$2,H1:J208,2,FALSE)</f>
        <v>-1.3873110577139922</v>
      </c>
    </row>
    <row r="47" spans="1:10" ht="21.2" customHeight="1">
      <c r="A47" s="8" t="s">
        <v>256</v>
      </c>
      <c r="B47" s="56" t="str">
        <f>VLOOKUP(A47,'The List'!B1:D730,3,FALSE)</f>
        <v>C,LW</v>
      </c>
      <c r="C47" s="57">
        <f>IF(Settings!$E$15="POINTS",RANK(E47,E3:E208),H47)</f>
        <v>47</v>
      </c>
      <c r="D47" s="34" t="str">
        <f>VLOOKUP(A47,'The List'!B1:F730,5,FALSE)</f>
        <v>DAL</v>
      </c>
      <c r="E47" s="38">
        <f>VLOOKUP(A47,'The List'!B1:I730,8,FALSE)</f>
        <v>4.5240276912220887</v>
      </c>
      <c r="F47" s="38">
        <f>IF(Settings!$E$15="POINTS",E47-VLOOKUP(B$2,C1:E208,3,FALSE),J47)</f>
        <v>-1.8130230329845141</v>
      </c>
      <c r="G47" s="38"/>
      <c r="H47" s="138">
        <f>RANK(I47,I3:I208)</f>
        <v>47</v>
      </c>
      <c r="I47" s="139">
        <f>VLOOKUP(A47,'Standard Deviations'!A1:C731,3,FALSE)</f>
        <v>4.5240276912220887</v>
      </c>
      <c r="J47" s="139">
        <f>I47-VLOOKUP(B$2,H1:J208,2,FALSE)</f>
        <v>-1.8130230329845141</v>
      </c>
    </row>
    <row r="48" spans="1:10" ht="21.2" customHeight="1">
      <c r="A48" s="8" t="s">
        <v>258</v>
      </c>
      <c r="B48" s="56" t="str">
        <f>VLOOKUP(A48,'The List'!B1:D730,3,FALSE)</f>
        <v>C,LW</v>
      </c>
      <c r="C48" s="57">
        <f>IF(Settings!$E$15="POINTS",RANK(E48,E3:E208),H48)</f>
        <v>45</v>
      </c>
      <c r="D48" s="34" t="str">
        <f>VLOOKUP(A48,'The List'!B1:F730,5,FALSE)</f>
        <v>BOS</v>
      </c>
      <c r="E48" s="38">
        <f>VLOOKUP(A48,'The List'!B1:I730,8,FALSE)</f>
        <v>4.9802623630289942</v>
      </c>
      <c r="F48" s="38">
        <f>IF(Settings!$E$15="POINTS",E48-VLOOKUP(B$2,C1:E208,3,FALSE),J48)</f>
        <v>-1.3567883611776086</v>
      </c>
      <c r="G48" s="38"/>
      <c r="H48" s="138">
        <f>RANK(I48,I3:I208)</f>
        <v>45</v>
      </c>
      <c r="I48" s="139">
        <f>VLOOKUP(A48,'Standard Deviations'!A1:C731,3,FALSE)</f>
        <v>4.9802623630289942</v>
      </c>
      <c r="J48" s="139">
        <f>I48-VLOOKUP(B$2,H1:J208,2,FALSE)</f>
        <v>-1.3567883611776086</v>
      </c>
    </row>
    <row r="49" spans="1:10" ht="21.2" customHeight="1">
      <c r="A49" s="8" t="s">
        <v>254</v>
      </c>
      <c r="B49" s="56" t="str">
        <f>VLOOKUP(A49,'The List'!B1:D730,3,FALSE)</f>
        <v>C,RW</v>
      </c>
      <c r="C49" s="57">
        <f>IF(Settings!$E$15="POINTS",RANK(E49,E3:E208),H49)</f>
        <v>53</v>
      </c>
      <c r="D49" s="34" t="str">
        <f>VLOOKUP(A49,'The List'!B1:F730,5,FALSE)</f>
        <v>NJD</v>
      </c>
      <c r="E49" s="38">
        <f>VLOOKUP(A49,'The List'!B1:I730,8,FALSE)</f>
        <v>3.7326427499068129</v>
      </c>
      <c r="F49" s="38">
        <f>IF(Settings!$E$15="POINTS",E49-VLOOKUP(B$2,C1:E208,3,FALSE),J49)</f>
        <v>-2.6044079742997899</v>
      </c>
      <c r="G49" s="38"/>
      <c r="H49" s="138">
        <f>RANK(I49,I3:I208)</f>
        <v>53</v>
      </c>
      <c r="I49" s="139">
        <f>VLOOKUP(A49,'Standard Deviations'!A1:C731,3,FALSE)</f>
        <v>3.7326427499068129</v>
      </c>
      <c r="J49" s="139">
        <f>I49-VLOOKUP(B$2,H1:J208,2,FALSE)</f>
        <v>-2.6044079742997899</v>
      </c>
    </row>
    <row r="50" spans="1:10" ht="21.2" customHeight="1">
      <c r="A50" s="8" t="s">
        <v>271</v>
      </c>
      <c r="B50" s="56" t="str">
        <f>VLOOKUP(A50,'The List'!B1:D730,3,FALSE)</f>
        <v>C,LW</v>
      </c>
      <c r="C50" s="57">
        <f>IF(Settings!$E$15="POINTS",RANK(E50,E3:E208),H50)</f>
        <v>50</v>
      </c>
      <c r="D50" s="34" t="str">
        <f>VLOOKUP(A50,'The List'!B1:F730,5,FALSE)</f>
        <v>ANA</v>
      </c>
      <c r="E50" s="38">
        <f>VLOOKUP(A50,'The List'!B1:I730,8,FALSE)</f>
        <v>4.1500178457372492</v>
      </c>
      <c r="F50" s="38">
        <f>IF(Settings!$E$15="POINTS",E50-VLOOKUP(B$2,C1:E208,3,FALSE),J50)</f>
        <v>-2.1870328784693536</v>
      </c>
      <c r="G50" s="38"/>
      <c r="H50" s="138">
        <f>RANK(I50,I3:I208)</f>
        <v>50</v>
      </c>
      <c r="I50" s="139">
        <f>VLOOKUP(A50,'Standard Deviations'!A1:C731,3,FALSE)</f>
        <v>4.1500178457372492</v>
      </c>
      <c r="J50" s="139">
        <f>I50-VLOOKUP(B$2,H1:J208,2,FALSE)</f>
        <v>-2.1870328784693536</v>
      </c>
    </row>
    <row r="51" spans="1:10" ht="21.2" customHeight="1">
      <c r="A51" s="8" t="s">
        <v>283</v>
      </c>
      <c r="B51" s="56" t="str">
        <f>VLOOKUP(A51,'The List'!B1:D730,3,FALSE)</f>
        <v>C</v>
      </c>
      <c r="C51" s="57">
        <f>IF(Settings!$E$15="POINTS",RANK(E51,E3:E208),H51)</f>
        <v>51</v>
      </c>
      <c r="D51" s="34" t="str">
        <f>VLOOKUP(A51,'The List'!B1:F730,5,FALSE)</f>
        <v>VGK</v>
      </c>
      <c r="E51" s="38">
        <f>VLOOKUP(A51,'The List'!B1:I730,8,FALSE)</f>
        <v>3.8165359357510233</v>
      </c>
      <c r="F51" s="38">
        <f>IF(Settings!$E$15="POINTS",E51-VLOOKUP(B$2,C1:E208,3,FALSE),J51)</f>
        <v>-2.5205147884555794</v>
      </c>
      <c r="G51" s="38"/>
      <c r="H51" s="138">
        <f>RANK(I51,I3:I208)</f>
        <v>51</v>
      </c>
      <c r="I51" s="139">
        <f>VLOOKUP(A51,'Standard Deviations'!A1:C731,3,FALSE)</f>
        <v>3.8165359357510233</v>
      </c>
      <c r="J51" s="139">
        <f>I51-VLOOKUP(B$2,H1:J208,2,FALSE)</f>
        <v>-2.5205147884555794</v>
      </c>
    </row>
    <row r="52" spans="1:10" ht="21.2" customHeight="1">
      <c r="A52" s="8" t="s">
        <v>302</v>
      </c>
      <c r="B52" s="56" t="str">
        <f>VLOOKUP(A52,'The List'!B1:D730,3,FALSE)</f>
        <v>C</v>
      </c>
      <c r="C52" s="57">
        <f>IF(Settings!$E$15="POINTS",RANK(E52,E3:E208),H52)</f>
        <v>52</v>
      </c>
      <c r="D52" s="34" t="str">
        <f>VLOOKUP(A52,'The List'!B1:F730,5,FALSE)</f>
        <v>FLA</v>
      </c>
      <c r="E52" s="38">
        <f>VLOOKUP(A52,'The List'!B1:I730,8,FALSE)</f>
        <v>3.7885439718766327</v>
      </c>
      <c r="F52" s="38">
        <f>IF(Settings!$E$15="POINTS",E52-VLOOKUP(B$2,C1:E208,3,FALSE),J52)</f>
        <v>-2.54850675232997</v>
      </c>
      <c r="G52" s="38"/>
      <c r="H52" s="138">
        <f>RANK(I52,I3:I208)</f>
        <v>52</v>
      </c>
      <c r="I52" s="139">
        <f>VLOOKUP(A52,'Standard Deviations'!A1:C731,3,FALSE)</f>
        <v>3.7885439718766327</v>
      </c>
      <c r="J52" s="139">
        <f>I52-VLOOKUP(B$2,H1:J208,2,FALSE)</f>
        <v>-2.54850675232997</v>
      </c>
    </row>
    <row r="53" spans="1:10" ht="21.2" customHeight="1">
      <c r="A53" s="8" t="s">
        <v>304</v>
      </c>
      <c r="B53" s="56" t="str">
        <f>VLOOKUP(A53,'The List'!B1:D730,3,FALSE)</f>
        <v>C</v>
      </c>
      <c r="C53" s="57">
        <f>IF(Settings!$E$15="POINTS",RANK(E53,E3:E208),H53)</f>
        <v>57</v>
      </c>
      <c r="D53" s="34" t="str">
        <f>VLOOKUP(A53,'The List'!B1:F730,5,FALSE)</f>
        <v>WSH</v>
      </c>
      <c r="E53" s="38">
        <f>VLOOKUP(A53,'The List'!B1:I730,8,FALSE)</f>
        <v>3.3379141082979009</v>
      </c>
      <c r="F53" s="38">
        <f>IF(Settings!$E$15="POINTS",E53-VLOOKUP(B$2,C1:E208,3,FALSE),J53)</f>
        <v>-2.9991366159087018</v>
      </c>
      <c r="G53" s="38"/>
      <c r="H53" s="138">
        <f>RANK(I53,I3:I208)</f>
        <v>57</v>
      </c>
      <c r="I53" s="139">
        <f>VLOOKUP(A53,'Standard Deviations'!A1:C731,3,FALSE)</f>
        <v>3.3379141082979009</v>
      </c>
      <c r="J53" s="139">
        <f>I53-VLOOKUP(B$2,H1:J208,2,FALSE)</f>
        <v>-2.9991366159087018</v>
      </c>
    </row>
    <row r="54" spans="1:10" ht="21.2" customHeight="1">
      <c r="A54" s="8" t="s">
        <v>306</v>
      </c>
      <c r="B54" s="56" t="str">
        <f>VLOOKUP(A54,'The List'!B1:D730,3,FALSE)</f>
        <v>C</v>
      </c>
      <c r="C54" s="57">
        <f>IF(Settings!$E$15="POINTS",RANK(E54,E3:E208),H54)</f>
        <v>59</v>
      </c>
      <c r="D54" s="34" t="str">
        <f>VLOOKUP(A54,'The List'!B1:F730,5,FALSE)</f>
        <v>NYR</v>
      </c>
      <c r="E54" s="38">
        <f>VLOOKUP(A54,'The List'!B1:I730,8,FALSE)</f>
        <v>3.1744456712616489</v>
      </c>
      <c r="F54" s="38">
        <f>IF(Settings!$E$15="POINTS",E54-VLOOKUP(B$2,C1:E208,3,FALSE),J54)</f>
        <v>-3.1626050529449539</v>
      </c>
      <c r="G54" s="38"/>
      <c r="H54" s="138">
        <f>RANK(I54,I3:I208)</f>
        <v>59</v>
      </c>
      <c r="I54" s="139">
        <f>VLOOKUP(A54,'Standard Deviations'!A1:C731,3,FALSE)</f>
        <v>3.1744456712616489</v>
      </c>
      <c r="J54" s="139">
        <f>I54-VLOOKUP(B$2,H1:J208,2,FALSE)</f>
        <v>-3.1626050529449539</v>
      </c>
    </row>
    <row r="55" spans="1:10" ht="21.2" customHeight="1">
      <c r="A55" s="8" t="s">
        <v>293</v>
      </c>
      <c r="B55" s="56" t="str">
        <f>VLOOKUP(A55,'The List'!B1:D730,3,FALSE)</f>
        <v>C,LW</v>
      </c>
      <c r="C55" s="57">
        <f>IF(Settings!$E$15="POINTS",RANK(E55,E3:E208),H55)</f>
        <v>55</v>
      </c>
      <c r="D55" s="34" t="str">
        <f>VLOOKUP(A55,'The List'!B1:F730,5,FALSE)</f>
        <v>STL</v>
      </c>
      <c r="E55" s="38">
        <f>VLOOKUP(A55,'The List'!B1:I730,8,FALSE)</f>
        <v>3.602259782883471</v>
      </c>
      <c r="F55" s="38">
        <f>IF(Settings!$E$15="POINTS",E55-VLOOKUP(B$2,C1:E208,3,FALSE),J55)</f>
        <v>-2.7347909413231317</v>
      </c>
      <c r="G55" s="38"/>
      <c r="H55" s="138">
        <f>RANK(I55,I3:I208)</f>
        <v>55</v>
      </c>
      <c r="I55" s="139">
        <f>VLOOKUP(A55,'Standard Deviations'!A1:C731,3,FALSE)</f>
        <v>3.602259782883471</v>
      </c>
      <c r="J55" s="139">
        <f>I55-VLOOKUP(B$2,H1:J208,2,FALSE)</f>
        <v>-2.7347909413231317</v>
      </c>
    </row>
    <row r="56" spans="1:10" ht="21.2" customHeight="1">
      <c r="A56" s="8" t="s">
        <v>307</v>
      </c>
      <c r="B56" s="56" t="str">
        <f>VLOOKUP(A56,'The List'!B1:D730,3,FALSE)</f>
        <v>C</v>
      </c>
      <c r="C56" s="57">
        <f>IF(Settings!$E$15="POINTS",RANK(E56,E3:E208),H56)</f>
        <v>54</v>
      </c>
      <c r="D56" s="34" t="str">
        <f>VLOOKUP(A56,'The List'!B1:F730,5,FALSE)</f>
        <v>ARI</v>
      </c>
      <c r="E56" s="38">
        <f>VLOOKUP(A56,'The List'!B1:I730,8,FALSE)</f>
        <v>3.7268522457751323</v>
      </c>
      <c r="F56" s="38">
        <f>IF(Settings!$E$15="POINTS",E56-VLOOKUP(B$2,C1:E208,3,FALSE),J56)</f>
        <v>-2.6101984784314705</v>
      </c>
      <c r="G56" s="38"/>
      <c r="H56" s="138">
        <f>RANK(I56,I3:I208)</f>
        <v>54</v>
      </c>
      <c r="I56" s="139">
        <f>VLOOKUP(A56,'Standard Deviations'!A1:C731,3,FALSE)</f>
        <v>3.7268522457751323</v>
      </c>
      <c r="J56" s="139">
        <f>I56-VLOOKUP(B$2,H1:J208,2,FALSE)</f>
        <v>-2.6101984784314705</v>
      </c>
    </row>
    <row r="57" spans="1:10" ht="21.2" customHeight="1">
      <c r="A57" s="8" t="s">
        <v>311</v>
      </c>
      <c r="B57" s="56" t="str">
        <f>VLOOKUP(A57,'The List'!B1:D730,3,FALSE)</f>
        <v>C</v>
      </c>
      <c r="C57" s="57">
        <f>IF(Settings!$E$15="POINTS",RANK(E57,E3:E208),H57)</f>
        <v>68</v>
      </c>
      <c r="D57" s="34" t="str">
        <f>VLOOKUP(A57,'The List'!B1:F730,5,FALSE)</f>
        <v>CGY</v>
      </c>
      <c r="E57" s="38">
        <f>VLOOKUP(A57,'The List'!B1:I730,8,FALSE)</f>
        <v>2.5440194089903927</v>
      </c>
      <c r="F57" s="38">
        <f>IF(Settings!$E$15="POINTS",E57-VLOOKUP(B$2,C1:E208,3,FALSE),J57)</f>
        <v>-3.7930313152162101</v>
      </c>
      <c r="G57" s="38"/>
      <c r="H57" s="138">
        <f>RANK(I57,I3:I208)</f>
        <v>68</v>
      </c>
      <c r="I57" s="139">
        <f>VLOOKUP(A57,'Standard Deviations'!A1:C731,3,FALSE)</f>
        <v>2.5440194089903927</v>
      </c>
      <c r="J57" s="139">
        <f>I57-VLOOKUP(B$2,H1:J208,2,FALSE)</f>
        <v>-3.7930313152162101</v>
      </c>
    </row>
    <row r="58" spans="1:10" ht="21.2" customHeight="1">
      <c r="A58" s="8" t="s">
        <v>320</v>
      </c>
      <c r="B58" s="56" t="str">
        <f>VLOOKUP(A58,'The List'!B1:D730,3,FALSE)</f>
        <v>C</v>
      </c>
      <c r="C58" s="57">
        <f>IF(Settings!$E$15="POINTS",RANK(E58,E3:E208),H58)</f>
        <v>49</v>
      </c>
      <c r="D58" s="34" t="str">
        <f>VLOOKUP(A58,'The List'!B1:F730,5,FALSE)</f>
        <v>NSH</v>
      </c>
      <c r="E58" s="38">
        <f>VLOOKUP(A58,'The List'!B1:I730,8,FALSE)</f>
        <v>4.3375037055034404</v>
      </c>
      <c r="F58" s="38">
        <f>IF(Settings!$E$15="POINTS",E58-VLOOKUP(B$2,C1:E208,3,FALSE),J58)</f>
        <v>-1.9995470187031623</v>
      </c>
      <c r="G58" s="38"/>
      <c r="H58" s="138">
        <f>RANK(I58,I3:I208)</f>
        <v>49</v>
      </c>
      <c r="I58" s="139">
        <f>VLOOKUP(A58,'Standard Deviations'!A1:C731,3,FALSE)</f>
        <v>4.3375037055034404</v>
      </c>
      <c r="J58" s="139">
        <f>I58-VLOOKUP(B$2,H1:J208,2,FALSE)</f>
        <v>-1.9995470187031623</v>
      </c>
    </row>
    <row r="59" spans="1:10" ht="21.2" customHeight="1">
      <c r="A59" s="8" t="s">
        <v>323</v>
      </c>
      <c r="B59" s="56" t="str">
        <f>VLOOKUP(A59,'The List'!B1:D730,3,FALSE)</f>
        <v>C</v>
      </c>
      <c r="C59" s="57">
        <f>IF(Settings!$E$15="POINTS",RANK(E59,E3:E208),H59)</f>
        <v>48</v>
      </c>
      <c r="D59" s="34" t="str">
        <f>VLOOKUP(A59,'The List'!B1:F730,5,FALSE)</f>
        <v>OTT</v>
      </c>
      <c r="E59" s="38">
        <f>VLOOKUP(A59,'The List'!B1:I730,8,FALSE)</f>
        <v>4.518530660735772</v>
      </c>
      <c r="F59" s="38">
        <f>IF(Settings!$E$15="POINTS",E59-VLOOKUP(B$2,C1:E208,3,FALSE),J59)</f>
        <v>-1.8185200634708307</v>
      </c>
      <c r="G59" s="38"/>
      <c r="H59" s="138">
        <f>RANK(I59,I3:I208)</f>
        <v>48</v>
      </c>
      <c r="I59" s="139">
        <f>VLOOKUP(A59,'Standard Deviations'!A1:C731,3,FALSE)</f>
        <v>4.518530660735772</v>
      </c>
      <c r="J59" s="139">
        <f>I59-VLOOKUP(B$2,H1:J208,2,FALSE)</f>
        <v>-1.8185200634708307</v>
      </c>
    </row>
    <row r="60" spans="1:10" ht="21.2" customHeight="1">
      <c r="A60" s="8" t="s">
        <v>300</v>
      </c>
      <c r="B60" s="56" t="str">
        <f>VLOOKUP(A60,'The List'!B1:D730,3,FALSE)</f>
        <v>C,LW</v>
      </c>
      <c r="C60" s="57">
        <f>IF(Settings!$E$15="POINTS",RANK(E60,E3:E208),H60)</f>
        <v>58</v>
      </c>
      <c r="D60" s="34" t="str">
        <f>VLOOKUP(A60,'The List'!B1:F730,5,FALSE)</f>
        <v>BUF</v>
      </c>
      <c r="E60" s="38">
        <f>VLOOKUP(A60,'The List'!B1:I730,8,FALSE)</f>
        <v>3.3242502705640726</v>
      </c>
      <c r="F60" s="38">
        <f>IF(Settings!$E$15="POINTS",E60-VLOOKUP(B$2,C1:E208,3,FALSE),J60)</f>
        <v>-3.0128004536425301</v>
      </c>
      <c r="G60" s="38"/>
      <c r="H60" s="138">
        <f>RANK(I60,I3:I208)</f>
        <v>58</v>
      </c>
      <c r="I60" s="139">
        <f>VLOOKUP(A60,'Standard Deviations'!A1:C731,3,FALSE)</f>
        <v>3.3242502705640726</v>
      </c>
      <c r="J60" s="139">
        <f>I60-VLOOKUP(B$2,H1:J208,2,FALSE)</f>
        <v>-3.0128004536425301</v>
      </c>
    </row>
    <row r="61" spans="1:10" ht="21.2" customHeight="1">
      <c r="A61" s="8" t="s">
        <v>352</v>
      </c>
      <c r="B61" s="56" t="str">
        <f>VLOOKUP(A61,'The List'!B1:D730,3,FALSE)</f>
        <v>C</v>
      </c>
      <c r="C61" s="57">
        <f>IF(Settings!$E$15="POINTS",RANK(E61,E3:E208),H61)</f>
        <v>74</v>
      </c>
      <c r="D61" s="34" t="str">
        <f>VLOOKUP(A61,'The List'!B1:F730,5,FALSE)</f>
        <v>LAK</v>
      </c>
      <c r="E61" s="38">
        <f>VLOOKUP(A61,'The List'!B1:I730,8,FALSE)</f>
        <v>2.1476600641781207</v>
      </c>
      <c r="F61" s="38">
        <f>IF(Settings!$E$15="POINTS",E61-VLOOKUP(B$2,C1:E208,3,FALSE),J61)</f>
        <v>-4.189390660028482</v>
      </c>
      <c r="G61" s="38"/>
      <c r="H61" s="138">
        <f>RANK(I61,I3:I208)</f>
        <v>74</v>
      </c>
      <c r="I61" s="139">
        <f>VLOOKUP(A61,'Standard Deviations'!A1:C731,3,FALSE)</f>
        <v>2.1476600641781207</v>
      </c>
      <c r="J61" s="139">
        <f>I61-VLOOKUP(B$2,H1:J208,2,FALSE)</f>
        <v>-4.189390660028482</v>
      </c>
    </row>
    <row r="62" spans="1:10" ht="21.2" customHeight="1">
      <c r="A62" s="8" t="s">
        <v>359</v>
      </c>
      <c r="B62" s="56" t="str">
        <f>VLOOKUP(A62,'The List'!B1:D730,3,FALSE)</f>
        <v>C</v>
      </c>
      <c r="C62" s="57">
        <f>IF(Settings!$E$15="POINTS",RANK(E62,E3:E208),H62)</f>
        <v>63</v>
      </c>
      <c r="D62" s="34" t="str">
        <f>VLOOKUP(A62,'The List'!B1:F730,5,FALSE)</f>
        <v>CBJ</v>
      </c>
      <c r="E62" s="38">
        <f>VLOOKUP(A62,'The List'!B1:I730,8,FALSE)</f>
        <v>2.8546313639836831</v>
      </c>
      <c r="F62" s="38">
        <f>IF(Settings!$E$15="POINTS",E62-VLOOKUP(B$2,C1:E208,3,FALSE),J62)</f>
        <v>-3.4824193602229196</v>
      </c>
      <c r="G62" s="38"/>
      <c r="H62" s="138">
        <f>RANK(I62,I3:I208)</f>
        <v>63</v>
      </c>
      <c r="I62" s="139">
        <f>VLOOKUP(A62,'Standard Deviations'!A1:C731,3,FALSE)</f>
        <v>2.8546313639836831</v>
      </c>
      <c r="J62" s="139">
        <f>I62-VLOOKUP(B$2,H1:J208,2,FALSE)</f>
        <v>-3.4824193602229196</v>
      </c>
    </row>
    <row r="63" spans="1:10" ht="21.2" customHeight="1">
      <c r="A63" s="8" t="s">
        <v>295</v>
      </c>
      <c r="B63" s="56" t="str">
        <f>VLOOKUP(A63,'The List'!B1:D730,3,FALSE)</f>
        <v>C,RW</v>
      </c>
      <c r="C63" s="57">
        <f>IF(Settings!$E$15="POINTS",RANK(E63,E3:E208),H63)</f>
        <v>60</v>
      </c>
      <c r="D63" s="34" t="str">
        <f>VLOOKUP(A63,'The List'!B1:F730,5,FALSE)</f>
        <v>DAL</v>
      </c>
      <c r="E63" s="38">
        <f>VLOOKUP(A63,'The List'!B1:I730,8,FALSE)</f>
        <v>3.1171217542416638</v>
      </c>
      <c r="F63" s="38">
        <f>IF(Settings!$E$15="POINTS",E63-VLOOKUP(B$2,C1:E208,3,FALSE),J63)</f>
        <v>-3.2199289699649389</v>
      </c>
      <c r="G63" s="38"/>
      <c r="H63" s="138">
        <f>RANK(I63,I3:I208)</f>
        <v>60</v>
      </c>
      <c r="I63" s="139">
        <f>VLOOKUP(A63,'Standard Deviations'!A1:C731,3,FALSE)</f>
        <v>3.1171217542416638</v>
      </c>
      <c r="J63" s="139">
        <f>I63-VLOOKUP(B$2,H1:J208,2,FALSE)</f>
        <v>-3.2199289699649389</v>
      </c>
    </row>
    <row r="64" spans="1:10" ht="21.2" customHeight="1">
      <c r="A64" s="8" t="s">
        <v>363</v>
      </c>
      <c r="B64" s="56" t="str">
        <f>VLOOKUP(A64,'The List'!B1:D730,3,FALSE)</f>
        <v>C</v>
      </c>
      <c r="C64" s="57">
        <f>IF(Settings!$E$15="POINTS",RANK(E64,E3:E208),H64)</f>
        <v>64</v>
      </c>
      <c r="D64" s="34" t="str">
        <f>VLOOKUP(A64,'The List'!B1:F730,5,FALSE)</f>
        <v>CBJ</v>
      </c>
      <c r="E64" s="38">
        <f>VLOOKUP(A64,'The List'!B1:I730,8,FALSE)</f>
        <v>2.793472323315016</v>
      </c>
      <c r="F64" s="38">
        <f>IF(Settings!$E$15="POINTS",E64-VLOOKUP(B$2,C1:E208,3,FALSE),J64)</f>
        <v>-3.5435784008915867</v>
      </c>
      <c r="G64" s="38"/>
      <c r="H64" s="138">
        <f>RANK(I64,I3:I208)</f>
        <v>64</v>
      </c>
      <c r="I64" s="139">
        <f>VLOOKUP(A64,'Standard Deviations'!A1:C731,3,FALSE)</f>
        <v>2.793472323315016</v>
      </c>
      <c r="J64" s="139">
        <f>I64-VLOOKUP(B$2,H1:J208,2,FALSE)</f>
        <v>-3.5435784008915867</v>
      </c>
    </row>
    <row r="65" spans="1:10" ht="21.2" customHeight="1">
      <c r="A65" s="8" t="s">
        <v>299</v>
      </c>
      <c r="B65" s="56" t="str">
        <f>VLOOKUP(A65,'The List'!B1:D730,3,FALSE)</f>
        <v>C,RW</v>
      </c>
      <c r="C65" s="57">
        <f>IF(Settings!$E$15="POINTS",RANK(E65,E3:E208),H65)</f>
        <v>66</v>
      </c>
      <c r="D65" s="34" t="str">
        <f>VLOOKUP(A65,'The List'!B1:F730,5,FALSE)</f>
        <v>WSH</v>
      </c>
      <c r="E65" s="38">
        <f>VLOOKUP(A65,'The List'!B1:I730,8,FALSE)</f>
        <v>2.7745477204679556</v>
      </c>
      <c r="F65" s="38">
        <f>IF(Settings!$E$15="POINTS",E65-VLOOKUP(B$2,C1:E208,3,FALSE),J65)</f>
        <v>-3.5625030037386471</v>
      </c>
      <c r="G65" s="38"/>
      <c r="H65" s="138">
        <f>RANK(I65,I3:I208)</f>
        <v>66</v>
      </c>
      <c r="I65" s="139">
        <f>VLOOKUP(A65,'Standard Deviations'!A1:C731,3,FALSE)</f>
        <v>2.7745477204679556</v>
      </c>
      <c r="J65" s="139">
        <f>I65-VLOOKUP(B$2,H1:J208,2,FALSE)</f>
        <v>-3.5625030037386471</v>
      </c>
    </row>
    <row r="66" spans="1:10" ht="21.2" customHeight="1">
      <c r="A66" s="8" t="s">
        <v>369</v>
      </c>
      <c r="B66" s="56" t="str">
        <f>VLOOKUP(A66,'The List'!B1:D730,3,FALSE)</f>
        <v>C</v>
      </c>
      <c r="C66" s="57">
        <f>IF(Settings!$E$15="POINTS",RANK(E66,E3:E208),H66)</f>
        <v>72</v>
      </c>
      <c r="D66" s="34" t="str">
        <f>VLOOKUP(A66,'The List'!B1:F730,5,FALSE)</f>
        <v>DAL</v>
      </c>
      <c r="E66" s="38">
        <f>VLOOKUP(A66,'The List'!B1:I730,8,FALSE)</f>
        <v>2.1771678867997832</v>
      </c>
      <c r="F66" s="38">
        <f>IF(Settings!$E$15="POINTS",E66-VLOOKUP(B$2,C1:E208,3,FALSE),J66)</f>
        <v>-4.1598828374068191</v>
      </c>
      <c r="G66" s="38"/>
      <c r="H66" s="138">
        <f>RANK(I66,I3:I208)</f>
        <v>72</v>
      </c>
      <c r="I66" s="139">
        <f>VLOOKUP(A66,'Standard Deviations'!A1:C731,3,FALSE)</f>
        <v>2.1771678867997832</v>
      </c>
      <c r="J66" s="139">
        <f>I66-VLOOKUP(B$2,H1:J208,2,FALSE)</f>
        <v>-4.1598828374068191</v>
      </c>
    </row>
    <row r="67" spans="1:10" ht="21.2" customHeight="1">
      <c r="A67" s="8" t="s">
        <v>309</v>
      </c>
      <c r="B67" s="56" t="str">
        <f>VLOOKUP(A67,'The List'!B1:D730,3,FALSE)</f>
        <v>C,LW,RW</v>
      </c>
      <c r="C67" s="57">
        <f>IF(Settings!$E$15="POINTS",RANK(E67,E3:E208),H67)</f>
        <v>71</v>
      </c>
      <c r="D67" s="34" t="str">
        <f>VLOOKUP(A67,'The List'!B1:F730,5,FALSE)</f>
        <v>CBJ</v>
      </c>
      <c r="E67" s="38">
        <f>VLOOKUP(A67,'The List'!B1:I730,8,FALSE)</f>
        <v>2.2297803244112213</v>
      </c>
      <c r="F67" s="38">
        <f>IF(Settings!$E$15="POINTS",E67-VLOOKUP(B$2,C1:E208,3,FALSE),J67)</f>
        <v>-4.1072703997953814</v>
      </c>
      <c r="G67" s="38"/>
      <c r="H67" s="138">
        <f>RANK(I67,I3:I208)</f>
        <v>71</v>
      </c>
      <c r="I67" s="139">
        <f>VLOOKUP(A67,'Standard Deviations'!A1:C731,3,FALSE)</f>
        <v>2.2297803244112213</v>
      </c>
      <c r="J67" s="139">
        <f>I67-VLOOKUP(B$2,H1:J208,2,FALSE)</f>
        <v>-4.1072703997953814</v>
      </c>
    </row>
    <row r="68" spans="1:10" ht="21.2" customHeight="1">
      <c r="A68" s="8" t="s">
        <v>347</v>
      </c>
      <c r="B68" s="56" t="str">
        <f>VLOOKUP(A68,'The List'!B1:D730,3,FALSE)</f>
        <v>C,LW</v>
      </c>
      <c r="C68" s="57">
        <f>IF(Settings!$E$15="POINTS",RANK(E68,E3:E208),H68)</f>
        <v>61</v>
      </c>
      <c r="D68" s="34" t="str">
        <f>VLOOKUP(A68,'The List'!B1:F730,5,FALSE)</f>
        <v>ANA</v>
      </c>
      <c r="E68" s="38">
        <f>VLOOKUP(A68,'The List'!B1:I730,8,FALSE)</f>
        <v>2.8890221651686572</v>
      </c>
      <c r="F68" s="38">
        <f>IF(Settings!$E$15="POINTS",E68-VLOOKUP(B$2,C1:E208,3,FALSE),J68)</f>
        <v>-3.4480285590379456</v>
      </c>
      <c r="G68" s="38"/>
      <c r="H68" s="138">
        <f>RANK(I68,I3:I208)</f>
        <v>61</v>
      </c>
      <c r="I68" s="139">
        <f>VLOOKUP(A68,'Standard Deviations'!A1:C731,3,FALSE)</f>
        <v>2.8890221651686572</v>
      </c>
      <c r="J68" s="139">
        <f>I68-VLOOKUP(B$2,H1:J208,2,FALSE)</f>
        <v>-3.4480285590379456</v>
      </c>
    </row>
    <row r="69" spans="1:10" ht="21.2" customHeight="1">
      <c r="A69" s="8" t="s">
        <v>313</v>
      </c>
      <c r="B69" s="56" t="str">
        <f>VLOOKUP(A69,'The List'!B1:D730,3,FALSE)</f>
        <v>C,RW</v>
      </c>
      <c r="C69" s="57">
        <f>IF(Settings!$E$15="POINTS",RANK(E69,E3:E208),H69)</f>
        <v>75</v>
      </c>
      <c r="D69" s="34" t="str">
        <f>VLOOKUP(A69,'The List'!B1:F730,5,FALSE)</f>
        <v>MIN</v>
      </c>
      <c r="E69" s="38">
        <f>VLOOKUP(A69,'The List'!B1:I730,8,FALSE)</f>
        <v>2.0391096416805512</v>
      </c>
      <c r="F69" s="38">
        <f>IF(Settings!$E$15="POINTS",E69-VLOOKUP(B$2,C1:E208,3,FALSE),J69)</f>
        <v>-4.2979410825260516</v>
      </c>
      <c r="G69" s="38"/>
      <c r="H69" s="138">
        <f>RANK(I69,I3:I208)</f>
        <v>75</v>
      </c>
      <c r="I69" s="139">
        <f>VLOOKUP(A69,'Standard Deviations'!A1:C731,3,FALSE)</f>
        <v>2.0391096416805512</v>
      </c>
      <c r="J69" s="139">
        <f>I69-VLOOKUP(B$2,H1:J208,2,FALSE)</f>
        <v>-4.2979410825260516</v>
      </c>
    </row>
    <row r="70" spans="1:10" ht="21.2" customHeight="1">
      <c r="A70" s="8" t="s">
        <v>383</v>
      </c>
      <c r="B70" s="56" t="str">
        <f>VLOOKUP(A70,'The List'!B1:D730,3,FALSE)</f>
        <v>C</v>
      </c>
      <c r="C70" s="57">
        <f>IF(Settings!$E$15="POINTS",RANK(E70,E3:E208),H70)</f>
        <v>43</v>
      </c>
      <c r="D70" s="34" t="str">
        <f>VLOOKUP(A70,'The List'!B1:F730,5,FALSE)</f>
        <v>PHI</v>
      </c>
      <c r="E70" s="38">
        <f>VLOOKUP(A70,'The List'!B1:I730,8,FALSE)</f>
        <v>5.6205791164881322</v>
      </c>
      <c r="F70" s="38">
        <f>IF(Settings!$E$15="POINTS",E70-VLOOKUP(B$2,C1:E208,3,FALSE),J70)</f>
        <v>-0.71647160771847052</v>
      </c>
      <c r="G70" s="38"/>
      <c r="H70" s="138">
        <f>RANK(I70,I3:I208)</f>
        <v>43</v>
      </c>
      <c r="I70" s="139">
        <f>VLOOKUP(A70,'Standard Deviations'!A1:C731,3,FALSE)</f>
        <v>5.6205791164881322</v>
      </c>
      <c r="J70" s="139">
        <f>I70-VLOOKUP(B$2,H1:J208,2,FALSE)</f>
        <v>-0.71647160771847052</v>
      </c>
    </row>
    <row r="71" spans="1:10" ht="21.2" customHeight="1">
      <c r="A71" s="8" t="s">
        <v>384</v>
      </c>
      <c r="B71" s="56" t="str">
        <f>VLOOKUP(A71,'The List'!B1:D730,3,FALSE)</f>
        <v>C</v>
      </c>
      <c r="C71" s="57">
        <f>IF(Settings!$E$15="POINTS",RANK(E71,E3:E208),H71)</f>
        <v>81</v>
      </c>
      <c r="D71" s="34" t="str">
        <f>VLOOKUP(A71,'The List'!B1:F730,5,FALSE)</f>
        <v>VGK</v>
      </c>
      <c r="E71" s="38">
        <f>VLOOKUP(A71,'The List'!B1:I730,8,FALSE)</f>
        <v>1.4385726371349721</v>
      </c>
      <c r="F71" s="38">
        <f>IF(Settings!$E$15="POINTS",E71-VLOOKUP(B$2,C1:E208,3,FALSE),J71)</f>
        <v>-4.8984780870716307</v>
      </c>
      <c r="G71" s="38"/>
      <c r="H71" s="138">
        <f>RANK(I71,I3:I208)</f>
        <v>81</v>
      </c>
      <c r="I71" s="139">
        <f>VLOOKUP(A71,'Standard Deviations'!A1:C731,3,FALSE)</f>
        <v>1.4385726371349721</v>
      </c>
      <c r="J71" s="139">
        <f>I71-VLOOKUP(B$2,H1:J208,2,FALSE)</f>
        <v>-4.8984780870716307</v>
      </c>
    </row>
    <row r="72" spans="1:10" ht="21.2" customHeight="1">
      <c r="A72" s="8" t="s">
        <v>327</v>
      </c>
      <c r="B72" s="56" t="str">
        <f>VLOOKUP(A72,'The List'!B1:D730,3,FALSE)</f>
        <v>C,RW</v>
      </c>
      <c r="C72" s="57">
        <f>IF(Settings!$E$15="POINTS",RANK(E72,E3:E208),H72)</f>
        <v>56</v>
      </c>
      <c r="D72" s="34" t="str">
        <f>VLOOKUP(A72,'The List'!B1:F730,5,FALSE)</f>
        <v>MTL</v>
      </c>
      <c r="E72" s="38">
        <f>VLOOKUP(A72,'The List'!B1:I730,8,FALSE)</f>
        <v>3.41087557349221</v>
      </c>
      <c r="F72" s="38">
        <f>IF(Settings!$E$15="POINTS",E72-VLOOKUP(B$2,C1:E208,3,FALSE),J72)</f>
        <v>-2.9261751507143927</v>
      </c>
      <c r="G72" s="38"/>
      <c r="H72" s="138">
        <f>RANK(I72,I3:I208)</f>
        <v>56</v>
      </c>
      <c r="I72" s="139">
        <f>VLOOKUP(A72,'Standard Deviations'!A1:C731,3,FALSE)</f>
        <v>3.41087557349221</v>
      </c>
      <c r="J72" s="139">
        <f>I72-VLOOKUP(B$2,H1:J208,2,FALSE)</f>
        <v>-2.9261751507143927</v>
      </c>
    </row>
    <row r="73" spans="1:10" ht="21.2" customHeight="1">
      <c r="A73" s="8" t="s">
        <v>394</v>
      </c>
      <c r="B73" s="56" t="str">
        <f>VLOOKUP(A73,'The List'!B1:D730,3,FALSE)</f>
        <v>C</v>
      </c>
      <c r="C73" s="57">
        <f>IF(Settings!$E$15="POINTS",RANK(E73,E3:E208),H73)</f>
        <v>73</v>
      </c>
      <c r="D73" s="34" t="str">
        <f>VLOOKUP(A73,'The List'!B1:F730,5,FALSE)</f>
        <v>NSH</v>
      </c>
      <c r="E73" s="38">
        <f>VLOOKUP(A73,'The List'!B1:I730,8,FALSE)</f>
        <v>2.1557682259631124</v>
      </c>
      <c r="F73" s="38">
        <f>IF(Settings!$E$15="POINTS",E73-VLOOKUP(B$2,C1:E208,3,FALSE),J73)</f>
        <v>-4.1812824982434904</v>
      </c>
      <c r="G73" s="38"/>
      <c r="H73" s="138">
        <f>RANK(I73,I3:I208)</f>
        <v>73</v>
      </c>
      <c r="I73" s="139">
        <f>VLOOKUP(A73,'Standard Deviations'!A1:C731,3,FALSE)</f>
        <v>2.1557682259631124</v>
      </c>
      <c r="J73" s="139">
        <f>I73-VLOOKUP(B$2,H1:J208,2,FALSE)</f>
        <v>-4.1812824982434904</v>
      </c>
    </row>
    <row r="74" spans="1:10" ht="21.2" customHeight="1">
      <c r="A74" s="8" t="s">
        <v>341</v>
      </c>
      <c r="B74" s="56" t="str">
        <f>VLOOKUP(A74,'The List'!B1:D730,3,FALSE)</f>
        <v>C,LW,RW</v>
      </c>
      <c r="C74" s="57">
        <f>IF(Settings!$E$15="POINTS",RANK(E74,E3:E208),H74)</f>
        <v>78</v>
      </c>
      <c r="D74" s="34" t="str">
        <f>VLOOKUP(A74,'The List'!B1:F730,5,FALSE)</f>
        <v>VGK</v>
      </c>
      <c r="E74" s="38">
        <f>VLOOKUP(A74,'The List'!B1:I730,8,FALSE)</f>
        <v>1.7549357413741777</v>
      </c>
      <c r="F74" s="38">
        <f>IF(Settings!$E$15="POINTS",E74-VLOOKUP(B$2,C1:E208,3,FALSE),J74)</f>
        <v>-4.582114982832425</v>
      </c>
      <c r="G74" s="38"/>
      <c r="H74" s="138">
        <f>RANK(I74,I3:I208)</f>
        <v>78</v>
      </c>
      <c r="I74" s="139">
        <f>VLOOKUP(A74,'Standard Deviations'!A1:C731,3,FALSE)</f>
        <v>1.7549357413741777</v>
      </c>
      <c r="J74" s="139">
        <f>I74-VLOOKUP(B$2,H1:J208,2,FALSE)</f>
        <v>-4.582114982832425</v>
      </c>
    </row>
    <row r="75" spans="1:10" ht="21.2" customHeight="1">
      <c r="A75" s="8" t="s">
        <v>374</v>
      </c>
      <c r="B75" s="56" t="str">
        <f>VLOOKUP(A75,'The List'!B1:D730,3,FALSE)</f>
        <v>C,LW</v>
      </c>
      <c r="C75" s="57">
        <f>IF(Settings!$E$15="POINTS",RANK(E75,E3:E208),H75)</f>
        <v>80</v>
      </c>
      <c r="D75" s="34" t="str">
        <f>VLOOKUP(A75,'The List'!B1:F730,5,FALSE)</f>
        <v>FLA</v>
      </c>
      <c r="E75" s="38">
        <f>VLOOKUP(A75,'The List'!B1:I730,8,FALSE)</f>
        <v>1.6094259932220911</v>
      </c>
      <c r="F75" s="38">
        <f>IF(Settings!$E$15="POINTS",E75-VLOOKUP(B$2,C1:E208,3,FALSE),J75)</f>
        <v>-4.7276247309845116</v>
      </c>
      <c r="G75" s="38"/>
      <c r="H75" s="138">
        <f>RANK(I75,I3:I208)</f>
        <v>80</v>
      </c>
      <c r="I75" s="139">
        <f>VLOOKUP(A75,'Standard Deviations'!A1:C731,3,FALSE)</f>
        <v>1.6094259932220911</v>
      </c>
      <c r="J75" s="139">
        <f>I75-VLOOKUP(B$2,H1:J208,2,FALSE)</f>
        <v>-4.7276247309845116</v>
      </c>
    </row>
    <row r="76" spans="1:10" ht="21.2" customHeight="1">
      <c r="A76" s="8" t="s">
        <v>349</v>
      </c>
      <c r="B76" s="56" t="str">
        <f>VLOOKUP(A76,'The List'!B1:D730,3,FALSE)</f>
        <v>C,RW</v>
      </c>
      <c r="C76" s="57">
        <f>IF(Settings!$E$15="POINTS",RANK(E76,E3:E208),H76)</f>
        <v>70</v>
      </c>
      <c r="D76" s="34" t="str">
        <f>VLOOKUP(A76,'The List'!B1:F730,5,FALSE)</f>
        <v>DAL</v>
      </c>
      <c r="E76" s="38">
        <f>VLOOKUP(A76,'The List'!B1:I730,8,FALSE)</f>
        <v>2.348789467429456</v>
      </c>
      <c r="F76" s="38">
        <f>IF(Settings!$E$15="POINTS",E76-VLOOKUP(B$2,C1:E208,3,FALSE),J76)</f>
        <v>-3.9882612567771467</v>
      </c>
      <c r="G76" s="38"/>
      <c r="H76" s="138">
        <f>RANK(I76,I3:I208)</f>
        <v>70</v>
      </c>
      <c r="I76" s="139">
        <f>VLOOKUP(A76,'Standard Deviations'!A1:C731,3,FALSE)</f>
        <v>2.348789467429456</v>
      </c>
      <c r="J76" s="139">
        <f>I76-VLOOKUP(B$2,H1:J208,2,FALSE)</f>
        <v>-3.9882612567771467</v>
      </c>
    </row>
    <row r="77" spans="1:10" ht="21.2" customHeight="1">
      <c r="A77" s="8" t="s">
        <v>404</v>
      </c>
      <c r="B77" s="56" t="str">
        <f>VLOOKUP(A77,'The List'!B1:D730,3,FALSE)</f>
        <v>C</v>
      </c>
      <c r="C77" s="57">
        <f>IF(Settings!$E$15="POINTS",RANK(E77,E3:E208),H77)</f>
        <v>76</v>
      </c>
      <c r="D77" s="34" t="str">
        <f>VLOOKUP(A77,'The List'!B1:F730,5,FALSE)</f>
        <v>ARI</v>
      </c>
      <c r="E77" s="38">
        <f>VLOOKUP(A77,'The List'!B1:I730,8,FALSE)</f>
        <v>1.8735331282164676</v>
      </c>
      <c r="F77" s="38">
        <f>IF(Settings!$E$15="POINTS",E77-VLOOKUP(B$2,C1:E208,3,FALSE),J77)</f>
        <v>-4.463517595990135</v>
      </c>
      <c r="G77" s="38"/>
      <c r="H77" s="138">
        <f>RANK(I77,I3:I208)</f>
        <v>76</v>
      </c>
      <c r="I77" s="139">
        <f>VLOOKUP(A77,'Standard Deviations'!A1:C731,3,FALSE)</f>
        <v>1.8735331282164676</v>
      </c>
      <c r="J77" s="139">
        <f>I77-VLOOKUP(B$2,H1:J208,2,FALSE)</f>
        <v>-4.463517595990135</v>
      </c>
    </row>
    <row r="78" spans="1:10" ht="21.2" customHeight="1">
      <c r="A78" s="8" t="s">
        <v>388</v>
      </c>
      <c r="B78" s="56" t="str">
        <f>VLOOKUP(A78,'The List'!B1:D730,3,FALSE)</f>
        <v>C,LW</v>
      </c>
      <c r="C78" s="57">
        <f>IF(Settings!$E$15="POINTS",RANK(E78,E3:E208),H78)</f>
        <v>86</v>
      </c>
      <c r="D78" s="34" t="str">
        <f>VLOOKUP(A78,'The List'!B1:F730,5,FALSE)</f>
        <v>PHI</v>
      </c>
      <c r="E78" s="38">
        <f>VLOOKUP(A78,'The List'!B1:I730,8,FALSE)</f>
        <v>0.92653645545850416</v>
      </c>
      <c r="F78" s="38">
        <f>IF(Settings!$E$15="POINTS",E78-VLOOKUP(B$2,C1:E208,3,FALSE),J78)</f>
        <v>-5.4105142687480985</v>
      </c>
      <c r="G78" s="38"/>
      <c r="H78" s="138">
        <f>RANK(I78,I3:I208)</f>
        <v>86</v>
      </c>
      <c r="I78" s="139">
        <f>VLOOKUP(A78,'Standard Deviations'!A1:C731,3,FALSE)</f>
        <v>0.92653645545850416</v>
      </c>
      <c r="J78" s="139">
        <f>I78-VLOOKUP(B$2,H1:J208,2,FALSE)</f>
        <v>-5.4105142687480985</v>
      </c>
    </row>
    <row r="79" spans="1:10" ht="21.2" customHeight="1">
      <c r="A79" s="8" t="s">
        <v>410</v>
      </c>
      <c r="B79" s="56" t="str">
        <f>VLOOKUP(A79,'The List'!B1:D730,3,FALSE)</f>
        <v>C</v>
      </c>
      <c r="C79" s="57">
        <f>IF(Settings!$E$15="POINTS",RANK(E79,E3:E208),H79)</f>
        <v>84</v>
      </c>
      <c r="D79" s="34" t="str">
        <f>VLOOKUP(A79,'The List'!B1:F730,5,FALSE)</f>
        <v>CBJ</v>
      </c>
      <c r="E79" s="38">
        <f>VLOOKUP(A79,'The List'!B1:I730,8,FALSE)</f>
        <v>1.0345234903989839</v>
      </c>
      <c r="F79" s="38">
        <f>IF(Settings!$E$15="POINTS",E79-VLOOKUP(B$2,C1:E208,3,FALSE),J79)</f>
        <v>-5.302527233807619</v>
      </c>
      <c r="G79" s="38"/>
      <c r="H79" s="138">
        <f>RANK(I79,I3:I208)</f>
        <v>84</v>
      </c>
      <c r="I79" s="139">
        <f>VLOOKUP(A79,'Standard Deviations'!A1:C731,3,FALSE)</f>
        <v>1.0345234903989839</v>
      </c>
      <c r="J79" s="139">
        <f>I79-VLOOKUP(B$2,H1:J208,2,FALSE)</f>
        <v>-5.302527233807619</v>
      </c>
    </row>
    <row r="80" spans="1:10" ht="21.2" customHeight="1">
      <c r="A80" s="8" t="s">
        <v>413</v>
      </c>
      <c r="B80" s="56" t="str">
        <f>VLOOKUP(A80,'The List'!B1:D730,3,FALSE)</f>
        <v>C</v>
      </c>
      <c r="C80" s="57">
        <f>IF(Settings!$E$15="POINTS",RANK(E80,E3:E208),H80)</f>
        <v>79</v>
      </c>
      <c r="D80" s="34" t="str">
        <f>VLOOKUP(A80,'The List'!B1:F730,5,FALSE)</f>
        <v>STL</v>
      </c>
      <c r="E80" s="38">
        <f>VLOOKUP(A80,'The List'!B1:I730,8,FALSE)</f>
        <v>1.628679847574904</v>
      </c>
      <c r="F80" s="38">
        <f>IF(Settings!$E$15="POINTS",E80-VLOOKUP(B$2,C1:E208,3,FALSE),J80)</f>
        <v>-4.7083708766316992</v>
      </c>
      <c r="G80" s="38"/>
      <c r="H80" s="138">
        <f>RANK(I80,I3:I208)</f>
        <v>79</v>
      </c>
      <c r="I80" s="139">
        <f>VLOOKUP(A80,'Standard Deviations'!A1:C731,3,FALSE)</f>
        <v>1.628679847574904</v>
      </c>
      <c r="J80" s="139">
        <f>I80-VLOOKUP(B$2,H1:J208,2,FALSE)</f>
        <v>-4.7083708766316992</v>
      </c>
    </row>
    <row r="81" spans="1:10" ht="21.2" customHeight="1">
      <c r="A81" s="8" t="s">
        <v>362</v>
      </c>
      <c r="B81" s="56" t="str">
        <f>VLOOKUP(A81,'The List'!B1:D730,3,FALSE)</f>
        <v>C,RW</v>
      </c>
      <c r="C81" s="57">
        <f>IF(Settings!$E$15="POINTS",RANK(E81,E3:E208),H81)</f>
        <v>65</v>
      </c>
      <c r="D81" s="34" t="str">
        <f>VLOOKUP(A81,'The List'!B1:F730,5,FALSE)</f>
        <v>WPG</v>
      </c>
      <c r="E81" s="38">
        <f>VLOOKUP(A81,'The List'!B1:I730,8,FALSE)</f>
        <v>2.7758076656657602</v>
      </c>
      <c r="F81" s="38">
        <f>IF(Settings!$E$15="POINTS",E81-VLOOKUP(B$2,C1:E208,3,FALSE),J81)</f>
        <v>-3.5612430585408426</v>
      </c>
      <c r="G81" s="38"/>
      <c r="H81" s="138">
        <f>RANK(I81,I3:I208)</f>
        <v>65</v>
      </c>
      <c r="I81" s="139">
        <f>VLOOKUP(A81,'Standard Deviations'!A1:C731,3,FALSE)</f>
        <v>2.7758076656657602</v>
      </c>
      <c r="J81" s="139">
        <f>I81-VLOOKUP(B$2,H1:J208,2,FALSE)</f>
        <v>-3.5612430585408426</v>
      </c>
    </row>
    <row r="82" spans="1:10" ht="21.2" customHeight="1">
      <c r="A82" s="8" t="s">
        <v>365</v>
      </c>
      <c r="B82" s="56" t="str">
        <f>VLOOKUP(A82,'The List'!B1:D730,3,FALSE)</f>
        <v>C,RW</v>
      </c>
      <c r="C82" s="57">
        <f>IF(Settings!$E$15="POINTS",RANK(E82,E3:E208),H82)</f>
        <v>94</v>
      </c>
      <c r="D82" s="34" t="str">
        <f>VLOOKUP(A82,'The List'!B1:F730,5,FALSE)</f>
        <v>BOS</v>
      </c>
      <c r="E82" s="38">
        <f>VLOOKUP(A82,'The List'!B1:I730,8,FALSE)</f>
        <v>0.61619896704392985</v>
      </c>
      <c r="F82" s="38">
        <f>IF(Settings!$E$15="POINTS",E82-VLOOKUP(B$2,C1:E208,3,FALSE),J82)</f>
        <v>-5.7208517571626727</v>
      </c>
      <c r="G82" s="38"/>
      <c r="H82" s="138">
        <f>RANK(I82,I3:I208)</f>
        <v>94</v>
      </c>
      <c r="I82" s="139">
        <f>VLOOKUP(A82,'Standard Deviations'!A1:C731,3,FALSE)</f>
        <v>0.61619896704392985</v>
      </c>
      <c r="J82" s="139">
        <f>I82-VLOOKUP(B$2,H1:J208,2,FALSE)</f>
        <v>-5.7208517571626727</v>
      </c>
    </row>
    <row r="83" spans="1:10" ht="21.2" customHeight="1">
      <c r="A83" s="8" t="s">
        <v>367</v>
      </c>
      <c r="B83" s="56" t="str">
        <f>VLOOKUP(A83,'The List'!B1:D730,3,FALSE)</f>
        <v>C,RW</v>
      </c>
      <c r="C83" s="57">
        <f>IF(Settings!$E$15="POINTS",RANK(E83,E3:E208),H83)</f>
        <v>67</v>
      </c>
      <c r="D83" s="34" t="str">
        <f>VLOOKUP(A83,'The List'!B1:F730,5,FALSE)</f>
        <v>NSH</v>
      </c>
      <c r="E83" s="38">
        <f>VLOOKUP(A83,'The List'!B1:I730,8,FALSE)</f>
        <v>2.5671777929696864</v>
      </c>
      <c r="F83" s="38">
        <f>IF(Settings!$E$15="POINTS",E83-VLOOKUP(B$2,C1:E208,3,FALSE),J83)</f>
        <v>-3.7698729312369164</v>
      </c>
      <c r="G83" s="38"/>
      <c r="H83" s="138">
        <f>RANK(I83,I3:I208)</f>
        <v>67</v>
      </c>
      <c r="I83" s="139">
        <f>VLOOKUP(A83,'Standard Deviations'!A1:C731,3,FALSE)</f>
        <v>2.5671777929696864</v>
      </c>
      <c r="J83" s="139">
        <f>I83-VLOOKUP(B$2,H1:J208,2,FALSE)</f>
        <v>-3.7698729312369164</v>
      </c>
    </row>
    <row r="84" spans="1:10" ht="21.2" customHeight="1">
      <c r="A84" s="8" t="s">
        <v>437</v>
      </c>
      <c r="B84" s="56" t="str">
        <f>VLOOKUP(A84,'The List'!B1:D730,3,FALSE)</f>
        <v>C</v>
      </c>
      <c r="C84" s="57">
        <f>IF(Settings!$E$15="POINTS",RANK(E84,E3:E208),H84)</f>
        <v>82</v>
      </c>
      <c r="D84" s="34" t="str">
        <f>VLOOKUP(A84,'The List'!B1:F730,5,FALSE)</f>
        <v>NYR</v>
      </c>
      <c r="E84" s="38">
        <f>VLOOKUP(A84,'The List'!B1:I730,8,FALSE)</f>
        <v>1.2915016150561998</v>
      </c>
      <c r="F84" s="38">
        <f>IF(Settings!$E$15="POINTS",E84-VLOOKUP(B$2,C1:E208,3,FALSE),J84)</f>
        <v>-5.0455491091504028</v>
      </c>
      <c r="G84" s="38"/>
      <c r="H84" s="138">
        <f>RANK(I84,I3:I208)</f>
        <v>82</v>
      </c>
      <c r="I84" s="139">
        <f>VLOOKUP(A84,'Standard Deviations'!A1:C731,3,FALSE)</f>
        <v>1.2915016150561998</v>
      </c>
      <c r="J84" s="139">
        <f>I84-VLOOKUP(B$2,H1:J208,2,FALSE)</f>
        <v>-5.0455491091504028</v>
      </c>
    </row>
    <row r="85" spans="1:10" ht="21.2" customHeight="1">
      <c r="A85" s="8" t="s">
        <v>381</v>
      </c>
      <c r="B85" s="56" t="str">
        <f>VLOOKUP(A85,'The List'!B1:D730,3,FALSE)</f>
        <v>C,LW,RW</v>
      </c>
      <c r="C85" s="57">
        <f>IF(Settings!$E$15="POINTS",RANK(E85,E3:E208),H85)</f>
        <v>91</v>
      </c>
      <c r="D85" s="34" t="str">
        <f>VLOOKUP(A85,'The List'!B1:F730,5,FALSE)</f>
        <v>CGY</v>
      </c>
      <c r="E85" s="38">
        <f>VLOOKUP(A85,'The List'!B1:I730,8,FALSE)</f>
        <v>0.73644007223529417</v>
      </c>
      <c r="F85" s="38">
        <f>IF(Settings!$E$15="POINTS",E85-VLOOKUP(B$2,C1:E208,3,FALSE),J85)</f>
        <v>-5.6006106519713086</v>
      </c>
      <c r="G85" s="38"/>
      <c r="H85" s="138">
        <f>RANK(I85,I3:I208)</f>
        <v>91</v>
      </c>
      <c r="I85" s="139">
        <f>VLOOKUP(A85,'Standard Deviations'!A1:C731,3,FALSE)</f>
        <v>0.73644007223529417</v>
      </c>
      <c r="J85" s="139">
        <f>I85-VLOOKUP(B$2,H1:J208,2,FALSE)</f>
        <v>-5.6006106519713086</v>
      </c>
    </row>
    <row r="86" spans="1:10" ht="21.2" customHeight="1">
      <c r="A86" s="8" t="s">
        <v>389</v>
      </c>
      <c r="B86" s="56" t="str">
        <f>VLOOKUP(A86,'The List'!B1:D730,3,FALSE)</f>
        <v>C,LW,RW</v>
      </c>
      <c r="C86" s="57">
        <f>IF(Settings!$E$15="POINTS",RANK(E86,E3:E208),H86)</f>
        <v>83</v>
      </c>
      <c r="D86" s="34" t="str">
        <f>VLOOKUP(A86,'The List'!B1:F730,5,FALSE)</f>
        <v>FLA</v>
      </c>
      <c r="E86" s="38">
        <f>VLOOKUP(A86,'The List'!B1:I730,8,FALSE)</f>
        <v>1.0766132214619046</v>
      </c>
      <c r="F86" s="38">
        <f>IF(Settings!$E$15="POINTS",E86-VLOOKUP(B$2,C1:E208,3,FALSE),J86)</f>
        <v>-5.2604375027446979</v>
      </c>
      <c r="G86" s="38"/>
      <c r="H86" s="138">
        <f>RANK(I86,I3:I208)</f>
        <v>83</v>
      </c>
      <c r="I86" s="139">
        <f>VLOOKUP(A86,'Standard Deviations'!A1:C731,3,FALSE)</f>
        <v>1.0766132214619046</v>
      </c>
      <c r="J86" s="139">
        <f>I86-VLOOKUP(B$2,H1:J208,2,FALSE)</f>
        <v>-5.2604375027446979</v>
      </c>
    </row>
    <row r="87" spans="1:10" ht="21.2" customHeight="1">
      <c r="A87" s="8" t="s">
        <v>463</v>
      </c>
      <c r="B87" s="56" t="str">
        <f>VLOOKUP(A87,'The List'!B1:D730,3,FALSE)</f>
        <v>C</v>
      </c>
      <c r="C87" s="57">
        <f>IF(Settings!$E$15="POINTS",RANK(E87,E3:E208),H87)</f>
        <v>90</v>
      </c>
      <c r="D87" s="34" t="str">
        <f>VLOOKUP(A87,'The List'!B1:F730,5,FALSE)</f>
        <v>TBL</v>
      </c>
      <c r="E87" s="38">
        <f>VLOOKUP(A87,'The List'!B1:I730,8,FALSE)</f>
        <v>0.73936425661006222</v>
      </c>
      <c r="F87" s="38">
        <f>IF(Settings!$E$15="POINTS",E87-VLOOKUP(B$2,C1:E208,3,FALSE),J87)</f>
        <v>-5.5976864675965405</v>
      </c>
      <c r="G87" s="38"/>
      <c r="H87" s="138">
        <f>RANK(I87,I3:I208)</f>
        <v>90</v>
      </c>
      <c r="I87" s="139">
        <f>VLOOKUP(A87,'Standard Deviations'!A1:C731,3,FALSE)</f>
        <v>0.73936425661006222</v>
      </c>
      <c r="J87" s="139">
        <f>I87-VLOOKUP(B$2,H1:J208,2,FALSE)</f>
        <v>-5.5976864675965405</v>
      </c>
    </row>
    <row r="88" spans="1:10" ht="21.2" customHeight="1">
      <c r="A88" s="8" t="s">
        <v>428</v>
      </c>
      <c r="B88" s="56" t="str">
        <f>VLOOKUP(A88,'The List'!B1:D730,3,FALSE)</f>
        <v>C,LW</v>
      </c>
      <c r="C88" s="57">
        <f>IF(Settings!$E$15="POINTS",RANK(E88,E3:E208),H88)</f>
        <v>77</v>
      </c>
      <c r="D88" s="34" t="str">
        <f>VLOOKUP(A88,'The List'!B1:F730,5,FALSE)</f>
        <v>LAK</v>
      </c>
      <c r="E88" s="38">
        <f>VLOOKUP(A88,'The List'!B1:I730,8,FALSE)</f>
        <v>1.772556233377534</v>
      </c>
      <c r="F88" s="38">
        <f>IF(Settings!$E$15="POINTS",E88-VLOOKUP(B$2,C1:E208,3,FALSE),J88)</f>
        <v>-4.5644944908290688</v>
      </c>
      <c r="G88" s="38"/>
      <c r="H88" s="138">
        <f>RANK(I88,I3:I208)</f>
        <v>77</v>
      </c>
      <c r="I88" s="139">
        <f>VLOOKUP(A88,'Standard Deviations'!A1:C731,3,FALSE)</f>
        <v>1.772556233377534</v>
      </c>
      <c r="J88" s="139">
        <f>I88-VLOOKUP(B$2,H1:J208,2,FALSE)</f>
        <v>-4.5644944908290688</v>
      </c>
    </row>
    <row r="89" spans="1:10" ht="21.2" customHeight="1">
      <c r="A89" s="8" t="s">
        <v>429</v>
      </c>
      <c r="B89" s="56" t="str">
        <f>VLOOKUP(A89,'The List'!B1:D730,3,FALSE)</f>
        <v>C,LW</v>
      </c>
      <c r="C89" s="57">
        <f>IF(Settings!$E$15="POINTS",RANK(E89,E3:E208),H89)</f>
        <v>89</v>
      </c>
      <c r="D89" s="34" t="str">
        <f>VLOOKUP(A89,'The List'!B1:F730,5,FALSE)</f>
        <v>CAR</v>
      </c>
      <c r="E89" s="38">
        <f>VLOOKUP(A89,'The List'!B1:I730,8,FALSE)</f>
        <v>0.78602511540802422</v>
      </c>
      <c r="F89" s="38">
        <f>IF(Settings!$E$15="POINTS",E89-VLOOKUP(B$2,C1:E208,3,FALSE),J89)</f>
        <v>-5.5510256087985788</v>
      </c>
      <c r="G89" s="38"/>
      <c r="H89" s="138">
        <f>RANK(I89,I3:I208)</f>
        <v>89</v>
      </c>
      <c r="I89" s="139">
        <f>VLOOKUP(A89,'Standard Deviations'!A1:C731,3,FALSE)</f>
        <v>0.78602511540802422</v>
      </c>
      <c r="J89" s="139">
        <f>I89-VLOOKUP(B$2,H1:J208,2,FALSE)</f>
        <v>-5.5510256087985788</v>
      </c>
    </row>
    <row r="90" spans="1:10" ht="21.2" customHeight="1">
      <c r="A90" s="8" t="s">
        <v>431</v>
      </c>
      <c r="B90" s="56" t="str">
        <f>VLOOKUP(A90,'The List'!B1:D730,3,FALSE)</f>
        <v>C,LW</v>
      </c>
      <c r="C90" s="57">
        <f>IF(Settings!$E$15="POINTS",RANK(E90,E3:E208),H90)</f>
        <v>93</v>
      </c>
      <c r="D90" s="34" t="str">
        <f>VLOOKUP(A90,'The List'!B1:F730,5,FALSE)</f>
        <v>TOR</v>
      </c>
      <c r="E90" s="38">
        <f>VLOOKUP(A90,'The List'!B1:I730,8,FALSE)</f>
        <v>0.63989116236940913</v>
      </c>
      <c r="F90" s="38">
        <f>IF(Settings!$E$15="POINTS",E90-VLOOKUP(B$2,C1:E208,3,FALSE),J90)</f>
        <v>-5.6971595618371937</v>
      </c>
      <c r="G90" s="38"/>
      <c r="H90" s="138">
        <f>RANK(I90,I3:I208)</f>
        <v>93</v>
      </c>
      <c r="I90" s="139">
        <f>VLOOKUP(A90,'Standard Deviations'!A1:C731,3,FALSE)</f>
        <v>0.63989116236940913</v>
      </c>
      <c r="J90" s="139">
        <f>I90-VLOOKUP(B$2,H1:J208,2,FALSE)</f>
        <v>-5.6971595618371937</v>
      </c>
    </row>
    <row r="91" spans="1:10" ht="21.2" customHeight="1">
      <c r="A91" s="8" t="s">
        <v>478</v>
      </c>
      <c r="B91" s="56" t="str">
        <f>VLOOKUP(A91,'The List'!B1:D730,3,FALSE)</f>
        <v>C</v>
      </c>
      <c r="C91" s="57">
        <f>IF(Settings!$E$15="POINTS",RANK(E91,E3:E208),H91)</f>
        <v>101</v>
      </c>
      <c r="D91" s="34" t="str">
        <f>VLOOKUP(A91,'The List'!B1:F730,5,FALSE)</f>
        <v>SEA</v>
      </c>
      <c r="E91" s="38">
        <f>VLOOKUP(A91,'The List'!B1:I730,8,FALSE)</f>
        <v>0.10607561065742976</v>
      </c>
      <c r="F91" s="38">
        <f>IF(Settings!$E$15="POINTS",E91-VLOOKUP(B$2,C1:E208,3,FALSE),J91)</f>
        <v>-6.2309751135491727</v>
      </c>
      <c r="G91" s="38"/>
      <c r="H91" s="138">
        <f>RANK(I91,I3:I208)</f>
        <v>101</v>
      </c>
      <c r="I91" s="139">
        <f>VLOOKUP(A91,'Standard Deviations'!A1:C731,3,FALSE)</f>
        <v>0.10607561065742976</v>
      </c>
      <c r="J91" s="139">
        <f>I91-VLOOKUP(B$2,H1:J208,2,FALSE)</f>
        <v>-6.2309751135491727</v>
      </c>
    </row>
    <row r="92" spans="1:10" ht="21.2" customHeight="1">
      <c r="A92" s="8" t="s">
        <v>491</v>
      </c>
      <c r="B92" s="56" t="str">
        <f>VLOOKUP(A92,'The List'!B1:D730,3,FALSE)</f>
        <v>C</v>
      </c>
      <c r="C92" s="57">
        <f>IF(Settings!$E$15="POINTS",RANK(E92,E3:E208),H92)</f>
        <v>69</v>
      </c>
      <c r="D92" s="34" t="str">
        <f>VLOOKUP(A92,'The List'!B1:F730,5,FALSE)</f>
        <v>WSH</v>
      </c>
      <c r="E92" s="38">
        <f>VLOOKUP(A92,'The List'!B1:I730,8,FALSE)</f>
        <v>2.3844870982587514</v>
      </c>
      <c r="F92" s="38">
        <f>IF(Settings!$E$15="POINTS",E92-VLOOKUP(B$2,C1:E208,3,FALSE),J92)</f>
        <v>-3.9525636259478514</v>
      </c>
      <c r="G92" s="38"/>
      <c r="H92" s="138">
        <f>RANK(I92,I3:I208)</f>
        <v>69</v>
      </c>
      <c r="I92" s="139">
        <f>VLOOKUP(A92,'Standard Deviations'!A1:C731,3,FALSE)</f>
        <v>2.3844870982587514</v>
      </c>
      <c r="J92" s="139">
        <f>I92-VLOOKUP(B$2,H1:J208,2,FALSE)</f>
        <v>-3.9525636259478514</v>
      </c>
    </row>
    <row r="93" spans="1:10" ht="21.2" customHeight="1">
      <c r="A93" s="8" t="s">
        <v>501</v>
      </c>
      <c r="B93" s="56" t="str">
        <f>VLOOKUP(A93,'The List'!B1:D730,3,FALSE)</f>
        <v>C</v>
      </c>
      <c r="C93" s="57">
        <f>IF(Settings!$E$15="POINTS",RANK(E93,E3:E208),H93)</f>
        <v>92</v>
      </c>
      <c r="D93" s="34" t="str">
        <f>VLOOKUP(A93,'The List'!B1:F730,5,FALSE)</f>
        <v>PHI</v>
      </c>
      <c r="E93" s="38">
        <f>VLOOKUP(A93,'The List'!B1:I730,8,FALSE)</f>
        <v>0.68763210299067468</v>
      </c>
      <c r="F93" s="38">
        <f>IF(Settings!$E$15="POINTS",E93-VLOOKUP(B$2,C1:E208,3,FALSE),J93)</f>
        <v>-5.6494186212159283</v>
      </c>
      <c r="G93" s="38"/>
      <c r="H93" s="138">
        <f>RANK(I93,I3:I208)</f>
        <v>92</v>
      </c>
      <c r="I93" s="139">
        <f>VLOOKUP(A93,'Standard Deviations'!A1:C731,3,FALSE)</f>
        <v>0.68763210299067468</v>
      </c>
      <c r="J93" s="139">
        <f>I93-VLOOKUP(B$2,H1:J208,2,FALSE)</f>
        <v>-5.6494186212159283</v>
      </c>
    </row>
    <row r="94" spans="1:10" ht="21.2" customHeight="1">
      <c r="A94" s="8" t="s">
        <v>458</v>
      </c>
      <c r="B94" s="56" t="str">
        <f>VLOOKUP(A94,'The List'!B1:D730,3,FALSE)</f>
        <v>C,LW</v>
      </c>
      <c r="C94" s="57">
        <f>IF(Settings!$E$15="POINTS",RANK(E94,E3:E208),H94)</f>
        <v>103</v>
      </c>
      <c r="D94" s="34" t="str">
        <f>VLOOKUP(A94,'The List'!B1:F730,5,FALSE)</f>
        <v>DET</v>
      </c>
      <c r="E94" s="38">
        <f>VLOOKUP(A94,'The List'!B1:I730,8,FALSE)</f>
        <v>5.791815359645458E-2</v>
      </c>
      <c r="F94" s="38">
        <f>IF(Settings!$E$15="POINTS",E94-VLOOKUP(B$2,C1:E208,3,FALSE),J94)</f>
        <v>-6.2791325706101482</v>
      </c>
      <c r="G94" s="38"/>
      <c r="H94" s="138">
        <f>RANK(I94,I3:I208)</f>
        <v>103</v>
      </c>
      <c r="I94" s="139">
        <f>VLOOKUP(A94,'Standard Deviations'!A1:C731,3,FALSE)</f>
        <v>5.791815359645458E-2</v>
      </c>
      <c r="J94" s="139">
        <f>I94-VLOOKUP(B$2,H1:J208,2,FALSE)</f>
        <v>-6.2791325706101482</v>
      </c>
    </row>
    <row r="95" spans="1:10" ht="21.2" customHeight="1">
      <c r="A95" s="8" t="s">
        <v>466</v>
      </c>
      <c r="B95" s="56" t="str">
        <f>VLOOKUP(A95,'The List'!B1:D730,3,FALSE)</f>
        <v>C,LW</v>
      </c>
      <c r="C95" s="57">
        <f>IF(Settings!$E$15="POINTS",RANK(E95,E3:E208),H95)</f>
        <v>97</v>
      </c>
      <c r="D95" s="34" t="str">
        <f>VLOOKUP(A95,'The List'!B1:F730,5,FALSE)</f>
        <v>COL</v>
      </c>
      <c r="E95" s="38">
        <f>VLOOKUP(A95,'The List'!B1:I730,8,FALSE)</f>
        <v>0.42819644101530807</v>
      </c>
      <c r="F95" s="38">
        <f>IF(Settings!$E$15="POINTS",E95-VLOOKUP(B$2,C1:E208,3,FALSE),J95)</f>
        <v>-5.9088542831912942</v>
      </c>
      <c r="G95" s="38"/>
      <c r="H95" s="138">
        <f>RANK(I95,I3:I208)</f>
        <v>97</v>
      </c>
      <c r="I95" s="139">
        <f>VLOOKUP(A95,'Standard Deviations'!A1:C731,3,FALSE)</f>
        <v>0.42819644101530807</v>
      </c>
      <c r="J95" s="139">
        <f>I95-VLOOKUP(B$2,H1:J208,2,FALSE)</f>
        <v>-5.9088542831912942</v>
      </c>
    </row>
    <row r="96" spans="1:10" ht="21.2" customHeight="1">
      <c r="A96" s="8" t="s">
        <v>467</v>
      </c>
      <c r="B96" s="56" t="str">
        <f>VLOOKUP(A96,'The List'!B1:D730,3,FALSE)</f>
        <v>C,LW</v>
      </c>
      <c r="C96" s="57">
        <f>IF(Settings!$E$15="POINTS",RANK(E96,E3:E208),H96)</f>
        <v>99</v>
      </c>
      <c r="D96" s="34" t="str">
        <f>VLOOKUP(A96,'The List'!B1:F730,5,FALSE)</f>
        <v>CHI</v>
      </c>
      <c r="E96" s="38">
        <f>VLOOKUP(A96,'The List'!B1:I730,8,FALSE)</f>
        <v>0.20470761957327416</v>
      </c>
      <c r="F96" s="38">
        <f>IF(Settings!$E$15="POINTS",E96-VLOOKUP(B$2,C1:E208,3,FALSE),J96)</f>
        <v>-6.1323431046333283</v>
      </c>
      <c r="G96" s="38"/>
      <c r="H96" s="138">
        <f>RANK(I96,I3:I208)</f>
        <v>99</v>
      </c>
      <c r="I96" s="139">
        <f>VLOOKUP(A96,'Standard Deviations'!A1:C731,3,FALSE)</f>
        <v>0.20470761957327416</v>
      </c>
      <c r="J96" s="139">
        <f>I96-VLOOKUP(B$2,H1:J208,2,FALSE)</f>
        <v>-6.1323431046333283</v>
      </c>
    </row>
    <row r="97" spans="1:10" ht="21.2" customHeight="1">
      <c r="A97" s="8" t="s">
        <v>512</v>
      </c>
      <c r="B97" s="56" t="str">
        <f>VLOOKUP(A97,'The List'!B1:D730,3,FALSE)</f>
        <v>C</v>
      </c>
      <c r="C97" s="57">
        <f>IF(Settings!$E$15="POINTS",RANK(E97,E3:E208),H97)</f>
        <v>105</v>
      </c>
      <c r="D97" s="34" t="str">
        <f>VLOOKUP(A97,'The List'!B1:F730,5,FALSE)</f>
        <v>NYI</v>
      </c>
      <c r="E97" s="38">
        <f>VLOOKUP(A97,'The List'!B1:I730,8,FALSE)</f>
        <v>-0.21533339657211931</v>
      </c>
      <c r="F97" s="38">
        <f>IF(Settings!$E$15="POINTS",E97-VLOOKUP(B$2,C1:E208,3,FALSE),J97)</f>
        <v>-6.5523841207787221</v>
      </c>
      <c r="G97" s="38"/>
      <c r="H97" s="138">
        <f>RANK(I97,I3:I208)</f>
        <v>105</v>
      </c>
      <c r="I97" s="139">
        <f>VLOOKUP(A97,'Standard Deviations'!A1:C731,3,FALSE)</f>
        <v>-0.21533339657211931</v>
      </c>
      <c r="J97" s="139">
        <f>I97-VLOOKUP(B$2,H1:J208,2,FALSE)</f>
        <v>-6.5523841207787221</v>
      </c>
    </row>
    <row r="98" spans="1:10" ht="21.2" customHeight="1">
      <c r="A98" s="8" t="s">
        <v>471</v>
      </c>
      <c r="B98" s="56" t="str">
        <f>VLOOKUP(A98,'The List'!B1:D730,3,FALSE)</f>
        <v>C,LW</v>
      </c>
      <c r="C98" s="57">
        <f>IF(Settings!$E$15="POINTS",RANK(E98,E3:E208),H98)</f>
        <v>87</v>
      </c>
      <c r="D98" s="34" t="str">
        <f>VLOOKUP(A98,'The List'!B1:F730,5,FALSE)</f>
        <v>CHI</v>
      </c>
      <c r="E98" s="38">
        <f>VLOOKUP(A98,'The List'!B1:I730,8,FALSE)</f>
        <v>0.83890492506299474</v>
      </c>
      <c r="F98" s="38">
        <f>IF(Settings!$E$15="POINTS",E98-VLOOKUP(B$2,C1:E208,3,FALSE),J98)</f>
        <v>-5.4981457991436082</v>
      </c>
      <c r="G98" s="38"/>
      <c r="H98" s="138">
        <f>RANK(I98,I3:I208)</f>
        <v>87</v>
      </c>
      <c r="I98" s="139">
        <f>VLOOKUP(A98,'Standard Deviations'!A1:C731,3,FALSE)</f>
        <v>0.83890492506299474</v>
      </c>
      <c r="J98" s="139">
        <f>I98-VLOOKUP(B$2,H1:J208,2,FALSE)</f>
        <v>-5.4981457991436082</v>
      </c>
    </row>
    <row r="99" spans="1:10" ht="21.2" customHeight="1">
      <c r="A99" s="8" t="s">
        <v>427</v>
      </c>
      <c r="B99" s="56" t="str">
        <f>VLOOKUP(A99,'The List'!B1:D730,3,FALSE)</f>
        <v>C,LW,RW</v>
      </c>
      <c r="C99" s="57">
        <f>IF(Settings!$E$15="POINTS",RANK(E99,E3:E208),H99)</f>
        <v>102</v>
      </c>
      <c r="D99" s="34" t="str">
        <f>VLOOKUP(A99,'The List'!B1:F730,5,FALSE)</f>
        <v>ANA</v>
      </c>
      <c r="E99" s="38">
        <f>VLOOKUP(A99,'The List'!B1:I730,8,FALSE)</f>
        <v>6.0623168759821058E-2</v>
      </c>
      <c r="F99" s="38">
        <f>IF(Settings!$E$15="POINTS",E99-VLOOKUP(B$2,C1:E208,3,FALSE),J99)</f>
        <v>-6.2764275554467819</v>
      </c>
      <c r="G99" s="38"/>
      <c r="H99" s="138">
        <f>RANK(I99,I3:I208)</f>
        <v>102</v>
      </c>
      <c r="I99" s="139">
        <f>VLOOKUP(A99,'Standard Deviations'!A1:C731,3,FALSE)</f>
        <v>6.0623168759821058E-2</v>
      </c>
      <c r="J99" s="139">
        <f>I99-VLOOKUP(B$2,H1:J208,2,FALSE)</f>
        <v>-6.2764275554467819</v>
      </c>
    </row>
    <row r="100" spans="1:10" ht="21.2" customHeight="1">
      <c r="A100" s="8" t="s">
        <v>434</v>
      </c>
      <c r="B100" s="56" t="str">
        <f>VLOOKUP(A100,'The List'!B1:D730,3,FALSE)</f>
        <v>C,LW,RW</v>
      </c>
      <c r="C100" s="57">
        <f>IF(Settings!$E$15="POINTS",RANK(E100,E3:E208),H100)</f>
        <v>107</v>
      </c>
      <c r="D100" s="34" t="str">
        <f>VLOOKUP(A100,'The List'!B1:F730,5,FALSE)</f>
        <v>DET</v>
      </c>
      <c r="E100" s="38">
        <f>VLOOKUP(A100,'The List'!B1:I730,8,FALSE)</f>
        <v>-0.40479022619704474</v>
      </c>
      <c r="F100" s="38">
        <f>IF(Settings!$E$15="POINTS",E100-VLOOKUP(B$2,C1:E208,3,FALSE),J100)</f>
        <v>-6.7418409504036472</v>
      </c>
      <c r="G100" s="38"/>
      <c r="H100" s="138">
        <f>RANK(I100,I3:I208)</f>
        <v>107</v>
      </c>
      <c r="I100" s="139">
        <f>VLOOKUP(A100,'Standard Deviations'!A1:C731,3,FALSE)</f>
        <v>-0.40479022619704474</v>
      </c>
      <c r="J100" s="139">
        <f>I100-VLOOKUP(B$2,H1:J208,2,FALSE)</f>
        <v>-6.7418409504036472</v>
      </c>
    </row>
    <row r="101" spans="1:10" ht="21.2" customHeight="1">
      <c r="A101" s="8" t="s">
        <v>527</v>
      </c>
      <c r="B101" s="56" t="str">
        <f>VLOOKUP(A101,'The List'!B1:D730,3,FALSE)</f>
        <v>C</v>
      </c>
      <c r="C101" s="57">
        <f>IF(Settings!$E$15="POINTS",RANK(E101,E3:E208),H101)</f>
        <v>95</v>
      </c>
      <c r="D101" s="34" t="str">
        <f>VLOOKUP(A101,'The List'!B1:F730,5,FALSE)</f>
        <v>COL</v>
      </c>
      <c r="E101" s="38">
        <f>VLOOKUP(A101,'The List'!B1:I730,8,FALSE)</f>
        <v>0.60828126035906882</v>
      </c>
      <c r="F101" s="38">
        <f>IF(Settings!$E$15="POINTS",E101-VLOOKUP(B$2,C1:E208,3,FALSE),J101)</f>
        <v>-5.7287694638475344</v>
      </c>
      <c r="G101" s="38"/>
      <c r="H101" s="138">
        <f>RANK(I101,I3:I208)</f>
        <v>95</v>
      </c>
      <c r="I101" s="139">
        <f>VLOOKUP(A101,'Standard Deviations'!A1:C731,3,FALSE)</f>
        <v>0.60828126035906882</v>
      </c>
      <c r="J101" s="139">
        <f>I101-VLOOKUP(B$2,H1:J208,2,FALSE)</f>
        <v>-5.7287694638475344</v>
      </c>
    </row>
    <row r="102" spans="1:10" ht="21.2" customHeight="1">
      <c r="A102" s="8" t="s">
        <v>440</v>
      </c>
      <c r="B102" s="56" t="str">
        <f>VLOOKUP(A102,'The List'!B1:D730,3,FALSE)</f>
        <v>C,RW</v>
      </c>
      <c r="C102" s="57">
        <f>IF(Settings!$E$15="POINTS",RANK(E102,E3:E208),H102)</f>
        <v>104</v>
      </c>
      <c r="D102" s="34" t="str">
        <f>VLOOKUP(A102,'The List'!B1:F730,5,FALSE)</f>
        <v>VGK</v>
      </c>
      <c r="E102" s="38">
        <f>VLOOKUP(A102,'The List'!B1:I730,8,FALSE)</f>
        <v>5.2016958963429796E-2</v>
      </c>
      <c r="F102" s="38">
        <f>IF(Settings!$E$15="POINTS",E102-VLOOKUP(B$2,C1:E208,3,FALSE),J102)</f>
        <v>-6.2850337652431731</v>
      </c>
      <c r="G102" s="38"/>
      <c r="H102" s="138">
        <f>RANK(I102,I3:I208)</f>
        <v>104</v>
      </c>
      <c r="I102" s="139">
        <f>VLOOKUP(A102,'Standard Deviations'!A1:C731,3,FALSE)</f>
        <v>5.2016958963429796E-2</v>
      </c>
      <c r="J102" s="139">
        <f>I102-VLOOKUP(B$2,H1:J208,2,FALSE)</f>
        <v>-6.2850337652431731</v>
      </c>
    </row>
    <row r="103" spans="1:10" ht="21.2" customHeight="1">
      <c r="A103" s="8" t="s">
        <v>508</v>
      </c>
      <c r="B103" s="56" t="str">
        <f>VLOOKUP(A103,'The List'!B1:D730,3,FALSE)</f>
        <v>C,LW</v>
      </c>
      <c r="C103" s="57">
        <f>IF(Settings!$E$15="POINTS",RANK(E103,E3:E208),H103)</f>
        <v>112</v>
      </c>
      <c r="D103" s="34" t="str">
        <f>VLOOKUP(A103,'The List'!B1:F730,5,FALSE)</f>
        <v>TBL</v>
      </c>
      <c r="E103" s="38">
        <f>VLOOKUP(A103,'The List'!B1:I730,8,FALSE)</f>
        <v>-0.61660463984921665</v>
      </c>
      <c r="F103" s="38">
        <f>IF(Settings!$E$15="POINTS",E103-VLOOKUP(B$2,C1:E208,3,FALSE),J103)</f>
        <v>-6.9536553640558196</v>
      </c>
      <c r="G103" s="38"/>
      <c r="H103" s="138">
        <f>RANK(I103,I3:I208)</f>
        <v>112</v>
      </c>
      <c r="I103" s="139">
        <f>VLOOKUP(A103,'Standard Deviations'!A1:C731,3,FALSE)</f>
        <v>-0.61660463984921665</v>
      </c>
      <c r="J103" s="139">
        <f>I103-VLOOKUP(B$2,H1:J208,2,FALSE)</f>
        <v>-6.9536553640558196</v>
      </c>
    </row>
    <row r="104" spans="1:10" ht="21.2" customHeight="1">
      <c r="A104" s="8" t="s">
        <v>456</v>
      </c>
      <c r="B104" s="56" t="str">
        <f>VLOOKUP(A104,'The List'!B1:D730,3,FALSE)</f>
        <v>C,RW</v>
      </c>
      <c r="C104" s="57">
        <f>IF(Settings!$E$15="POINTS",RANK(E104,E3:E208),H104)</f>
        <v>109</v>
      </c>
      <c r="D104" s="34" t="str">
        <f>VLOOKUP(A104,'The List'!B1:F730,5,FALSE)</f>
        <v>SJS</v>
      </c>
      <c r="E104" s="38">
        <f>VLOOKUP(A104,'The List'!B1:I730,8,FALSE)</f>
        <v>-0.45567638894215978</v>
      </c>
      <c r="F104" s="38">
        <f>IF(Settings!$E$15="POINTS",E104-VLOOKUP(B$2,C1:E208,3,FALSE),J104)</f>
        <v>-6.7927271131487625</v>
      </c>
      <c r="G104" s="38"/>
      <c r="H104" s="138">
        <f>RANK(I104,I3:I208)</f>
        <v>109</v>
      </c>
      <c r="I104" s="139">
        <f>VLOOKUP(A104,'Standard Deviations'!A1:C731,3,FALSE)</f>
        <v>-0.45567638894215978</v>
      </c>
      <c r="J104" s="139">
        <f>I104-VLOOKUP(B$2,H1:J208,2,FALSE)</f>
        <v>-6.7927271131487625</v>
      </c>
    </row>
    <row r="105" spans="1:10" ht="21.2" customHeight="1">
      <c r="A105" s="8" t="s">
        <v>547</v>
      </c>
      <c r="B105" s="56" t="str">
        <f>VLOOKUP(A105,'The List'!B1:D730,3,FALSE)</f>
        <v>C</v>
      </c>
      <c r="C105" s="57">
        <f>IF(Settings!$E$15="POINTS",RANK(E105,E3:E208),H105)</f>
        <v>85</v>
      </c>
      <c r="D105" s="34" t="str">
        <f>VLOOKUP(A105,'The List'!B1:F730,5,FALSE)</f>
        <v>MTL</v>
      </c>
      <c r="E105" s="38">
        <f>VLOOKUP(A105,'The List'!B1:I730,8,FALSE)</f>
        <v>0.9445526364336192</v>
      </c>
      <c r="F105" s="38">
        <f>IF(Settings!$E$15="POINTS",E105-VLOOKUP(B$2,C1:E208,3,FALSE),J105)</f>
        <v>-5.3924980877729833</v>
      </c>
      <c r="G105" s="38"/>
      <c r="H105" s="138">
        <f>RANK(I105,I3:I208)</f>
        <v>85</v>
      </c>
      <c r="I105" s="139">
        <f>VLOOKUP(A105,'Standard Deviations'!A1:C731,3,FALSE)</f>
        <v>0.9445526364336192</v>
      </c>
      <c r="J105" s="139">
        <f>I105-VLOOKUP(B$2,H1:J208,2,FALSE)</f>
        <v>-5.3924980877729833</v>
      </c>
    </row>
    <row r="106" spans="1:10" ht="21.2" customHeight="1">
      <c r="A106" s="8" t="s">
        <v>558</v>
      </c>
      <c r="B106" s="56" t="str">
        <f>VLOOKUP(A106,'The List'!B1:D730,3,FALSE)</f>
        <v>C</v>
      </c>
      <c r="C106" s="57">
        <f>IF(Settings!$E$15="POINTS",RANK(E106,E3:E208),H106)</f>
        <v>106</v>
      </c>
      <c r="D106" s="34" t="str">
        <f>VLOOKUP(A106,'The List'!B1:F730,5,FALSE)</f>
        <v>BOS</v>
      </c>
      <c r="E106" s="38">
        <f>VLOOKUP(A106,'The List'!B1:I730,8,FALSE)</f>
        <v>-0.22055290184675336</v>
      </c>
      <c r="F106" s="38">
        <f>IF(Settings!$E$15="POINTS",E106-VLOOKUP(B$2,C1:E208,3,FALSE),J106)</f>
        <v>-6.5576036260533561</v>
      </c>
      <c r="G106" s="38"/>
      <c r="H106" s="138">
        <f>RANK(I106,I3:I208)</f>
        <v>106</v>
      </c>
      <c r="I106" s="139">
        <f>VLOOKUP(A106,'Standard Deviations'!A1:C731,3,FALSE)</f>
        <v>-0.22055290184675336</v>
      </c>
      <c r="J106" s="139">
        <f>I106-VLOOKUP(B$2,H1:J208,2,FALSE)</f>
        <v>-6.5576036260533561</v>
      </c>
    </row>
    <row r="107" spans="1:10" ht="21.2" customHeight="1">
      <c r="A107" s="8" t="s">
        <v>524</v>
      </c>
      <c r="B107" s="56" t="str">
        <f>VLOOKUP(A107,'The List'!B1:D730,3,FALSE)</f>
        <v>C,LW</v>
      </c>
      <c r="C107" s="57">
        <f>IF(Settings!$E$15="POINTS",RANK(E107,E3:E208),H107)</f>
        <v>118</v>
      </c>
      <c r="D107" s="34" t="str">
        <f>VLOOKUP(A107,'The List'!B1:F730,5,FALSE)</f>
        <v>NJD</v>
      </c>
      <c r="E107" s="38">
        <f>VLOOKUP(A107,'The List'!B1:I730,8,FALSE)</f>
        <v>-1.019823560471314</v>
      </c>
      <c r="F107" s="38">
        <f>IF(Settings!$E$15="POINTS",E107-VLOOKUP(B$2,C1:E208,3,FALSE),J107)</f>
        <v>-7.3568742846779163</v>
      </c>
      <c r="G107" s="38"/>
      <c r="H107" s="138">
        <f>RANK(I107,I3:I208)</f>
        <v>118</v>
      </c>
      <c r="I107" s="139">
        <f>VLOOKUP(A107,'Standard Deviations'!A1:C731,3,FALSE)</f>
        <v>-1.019823560471314</v>
      </c>
      <c r="J107" s="139">
        <f>I107-VLOOKUP(B$2,H1:J208,2,FALSE)</f>
        <v>-7.3568742846779163</v>
      </c>
    </row>
    <row r="108" spans="1:10" ht="21.2" customHeight="1">
      <c r="A108" s="8" t="s">
        <v>530</v>
      </c>
      <c r="B108" s="56" t="str">
        <f>VLOOKUP(A108,'The List'!B1:D730,3,FALSE)</f>
        <v>C,LW</v>
      </c>
      <c r="C108" s="57">
        <f>IF(Settings!$E$15="POINTS",RANK(E108,E3:E208),H108)</f>
        <v>111</v>
      </c>
      <c r="D108" s="34" t="str">
        <f>VLOOKUP(A108,'The List'!B1:F730,5,FALSE)</f>
        <v>MTL</v>
      </c>
      <c r="E108" s="38">
        <f>VLOOKUP(A108,'The List'!B1:I730,8,FALSE)</f>
        <v>-0.53744927351401883</v>
      </c>
      <c r="F108" s="38">
        <f>IF(Settings!$E$15="POINTS",E108-VLOOKUP(B$2,C1:E208,3,FALSE),J108)</f>
        <v>-6.8744999977206218</v>
      </c>
      <c r="G108" s="38"/>
      <c r="H108" s="138">
        <f>RANK(I108,I3:I208)</f>
        <v>111</v>
      </c>
      <c r="I108" s="139">
        <f>VLOOKUP(A108,'Standard Deviations'!A1:C731,3,FALSE)</f>
        <v>-0.53744927351401883</v>
      </c>
      <c r="J108" s="139">
        <f>I108-VLOOKUP(B$2,H1:J208,2,FALSE)</f>
        <v>-6.8744999977206218</v>
      </c>
    </row>
    <row r="109" spans="1:10" ht="21.2" customHeight="1">
      <c r="A109" s="8" t="s">
        <v>489</v>
      </c>
      <c r="B109" s="56" t="str">
        <f>VLOOKUP(A109,'The List'!B1:D730,3,FALSE)</f>
        <v>C,RW</v>
      </c>
      <c r="C109" s="57">
        <f>IF(Settings!$E$15="POINTS",RANK(E109,E3:E208),H109)</f>
        <v>96</v>
      </c>
      <c r="D109" s="34" t="str">
        <f>VLOOKUP(A109,'The List'!B1:F730,5,FALSE)</f>
        <v>CHI</v>
      </c>
      <c r="E109" s="38">
        <f>VLOOKUP(A109,'The List'!B1:I730,8,FALSE)</f>
        <v>0.43438929329162029</v>
      </c>
      <c r="F109" s="38">
        <f>IF(Settings!$E$15="POINTS",E109-VLOOKUP(B$2,C1:E208,3,FALSE),J109)</f>
        <v>-5.9026614309149821</v>
      </c>
      <c r="G109" s="38"/>
      <c r="H109" s="138">
        <f>RANK(I109,I3:I208)</f>
        <v>96</v>
      </c>
      <c r="I109" s="139">
        <f>VLOOKUP(A109,'Standard Deviations'!A1:C731,3,FALSE)</f>
        <v>0.43438929329162029</v>
      </c>
      <c r="J109" s="139">
        <f>I109-VLOOKUP(B$2,H1:J208,2,FALSE)</f>
        <v>-5.9026614309149821</v>
      </c>
    </row>
    <row r="110" spans="1:10" ht="21.2" customHeight="1">
      <c r="A110" s="8" t="s">
        <v>490</v>
      </c>
      <c r="B110" s="56" t="str">
        <f>VLOOKUP(A110,'The List'!B1:D730,3,FALSE)</f>
        <v>C,RW</v>
      </c>
      <c r="C110" s="57">
        <f>IF(Settings!$E$15="POINTS",RANK(E110,E3:E208),H110)</f>
        <v>113</v>
      </c>
      <c r="D110" s="34" t="str">
        <f>VLOOKUP(A110,'The List'!B1:F730,5,FALSE)</f>
        <v>MIN</v>
      </c>
      <c r="E110" s="38">
        <f>VLOOKUP(A110,'The List'!B1:I730,8,FALSE)</f>
        <v>-0.66902699317565273</v>
      </c>
      <c r="F110" s="38">
        <f>IF(Settings!$E$15="POINTS",E110-VLOOKUP(B$2,C1:E208,3,FALSE),J110)</f>
        <v>-7.0060777173822553</v>
      </c>
      <c r="G110" s="38"/>
      <c r="H110" s="138">
        <f>RANK(I110,I3:I208)</f>
        <v>113</v>
      </c>
      <c r="I110" s="139">
        <f>VLOOKUP(A110,'Standard Deviations'!A1:C731,3,FALSE)</f>
        <v>-0.66902699317565273</v>
      </c>
      <c r="J110" s="139">
        <f>I110-VLOOKUP(B$2,H1:J208,2,FALSE)</f>
        <v>-7.0060777173822553</v>
      </c>
    </row>
    <row r="111" spans="1:10" ht="21.2" customHeight="1">
      <c r="A111" s="8" t="s">
        <v>535</v>
      </c>
      <c r="B111" s="56" t="str">
        <f>VLOOKUP(A111,'The List'!B1:D730,3,FALSE)</f>
        <v>C,LW</v>
      </c>
      <c r="C111" s="57">
        <f>IF(Settings!$E$15="POINTS",RANK(E111,E3:E208),H111)</f>
        <v>110</v>
      </c>
      <c r="D111" s="34" t="str">
        <f>VLOOKUP(A111,'The List'!B1:F730,5,FALSE)</f>
        <v>MIN</v>
      </c>
      <c r="E111" s="38">
        <f>VLOOKUP(A111,'The List'!B1:I730,8,FALSE)</f>
        <v>-0.45957490357577924</v>
      </c>
      <c r="F111" s="38">
        <f>IF(Settings!$E$15="POINTS",E111-VLOOKUP(B$2,C1:E208,3,FALSE),J111)</f>
        <v>-6.7966256277823822</v>
      </c>
      <c r="G111" s="38"/>
      <c r="H111" s="138">
        <f>RANK(I111,I3:I208)</f>
        <v>110</v>
      </c>
      <c r="I111" s="139">
        <f>VLOOKUP(A111,'Standard Deviations'!A1:C731,3,FALSE)</f>
        <v>-0.45957490357577924</v>
      </c>
      <c r="J111" s="139">
        <f>I111-VLOOKUP(B$2,H1:J208,2,FALSE)</f>
        <v>-6.7966256277823822</v>
      </c>
    </row>
    <row r="112" spans="1:10" ht="21.2" customHeight="1">
      <c r="A112" s="8" t="s">
        <v>537</v>
      </c>
      <c r="B112" s="56" t="str">
        <f>VLOOKUP(A112,'The List'!B1:D730,3,FALSE)</f>
        <v>C,LW</v>
      </c>
      <c r="C112" s="57">
        <f>IF(Settings!$E$15="POINTS",RANK(E112,E3:E208),H112)</f>
        <v>100</v>
      </c>
      <c r="D112" s="34" t="str">
        <f>VLOOKUP(A112,'The List'!B1:F730,5,FALSE)</f>
        <v>NSH</v>
      </c>
      <c r="E112" s="38">
        <f>VLOOKUP(A112,'The List'!B1:I730,8,FALSE)</f>
        <v>0.20281027208889657</v>
      </c>
      <c r="F112" s="38">
        <f>IF(Settings!$E$15="POINTS",E112-VLOOKUP(B$2,C1:E208,3,FALSE),J112)</f>
        <v>-6.1342404521177061</v>
      </c>
      <c r="G112" s="38"/>
      <c r="H112" s="138">
        <f>RANK(I112,I3:I208)</f>
        <v>100</v>
      </c>
      <c r="I112" s="139">
        <f>VLOOKUP(A112,'Standard Deviations'!A1:C731,3,FALSE)</f>
        <v>0.20281027208889657</v>
      </c>
      <c r="J112" s="139">
        <f>I112-VLOOKUP(B$2,H1:J208,2,FALSE)</f>
        <v>-6.1342404521177061</v>
      </c>
    </row>
    <row r="113" spans="1:10" ht="21.2" customHeight="1">
      <c r="A113" s="8" t="s">
        <v>578</v>
      </c>
      <c r="B113" s="56" t="str">
        <f>VLOOKUP(A113,'The List'!B1:D730,3,FALSE)</f>
        <v>C</v>
      </c>
      <c r="C113" s="57">
        <f>IF(Settings!$E$15="POINTS",RANK(E113,E3:E208),H113)</f>
        <v>88</v>
      </c>
      <c r="D113" s="34" t="str">
        <f>VLOOKUP(A113,'The List'!B1:F730,5,FALSE)</f>
        <v>ANA</v>
      </c>
      <c r="E113" s="38">
        <f>VLOOKUP(A113,'The List'!B1:I730,8,FALSE)</f>
        <v>0.83653038406221181</v>
      </c>
      <c r="F113" s="38">
        <f>IF(Settings!$E$15="POINTS",E113-VLOOKUP(B$2,C1:E208,3,FALSE),J113)</f>
        <v>-5.5005203401443907</v>
      </c>
      <c r="G113" s="38"/>
      <c r="H113" s="138">
        <f>RANK(I113,I3:I208)</f>
        <v>88</v>
      </c>
      <c r="I113" s="139">
        <f>VLOOKUP(A113,'Standard Deviations'!A1:C731,3,FALSE)</f>
        <v>0.83653038406221181</v>
      </c>
      <c r="J113" s="139">
        <f>I113-VLOOKUP(B$2,H1:J208,2,FALSE)</f>
        <v>-5.5005203401443907</v>
      </c>
    </row>
    <row r="114" spans="1:10" ht="21.2" customHeight="1">
      <c r="A114" s="8" t="s">
        <v>544</v>
      </c>
      <c r="B114" s="56" t="str">
        <f>VLOOKUP(A114,'The List'!B1:D730,3,FALSE)</f>
        <v>C,LW</v>
      </c>
      <c r="C114" s="57">
        <f>IF(Settings!$E$15="POINTS",RANK(E114,E3:E208),H114)</f>
        <v>62</v>
      </c>
      <c r="D114" s="34" t="str">
        <f>VLOOKUP(A114,'The List'!B1:F730,5,FALSE)</f>
        <v>SJS</v>
      </c>
      <c r="E114" s="38">
        <f>VLOOKUP(A114,'The List'!B1:I730,8,FALSE)</f>
        <v>2.8686888003324329</v>
      </c>
      <c r="F114" s="38">
        <f>IF(Settings!$E$15="POINTS",E114-VLOOKUP(B$2,C1:E208,3,FALSE),J114)</f>
        <v>-3.4683619238741699</v>
      </c>
      <c r="G114" s="38"/>
      <c r="H114" s="138">
        <f>RANK(I114,I3:I208)</f>
        <v>62</v>
      </c>
      <c r="I114" s="139">
        <f>VLOOKUP(A114,'Standard Deviations'!A1:C731,3,FALSE)</f>
        <v>2.8686888003324329</v>
      </c>
      <c r="J114" s="139">
        <f>I114-VLOOKUP(B$2,H1:J208,2,FALSE)</f>
        <v>-3.4683619238741699</v>
      </c>
    </row>
    <row r="115" spans="1:10" ht="21.2" customHeight="1">
      <c r="A115" s="8" t="s">
        <v>581</v>
      </c>
      <c r="B115" s="56" t="str">
        <f>VLOOKUP(A115,'The List'!B1:D730,3,FALSE)</f>
        <v>C</v>
      </c>
      <c r="C115" s="57">
        <f>IF(Settings!$E$15="POINTS",RANK(E115,E3:E208),H115)</f>
        <v>122</v>
      </c>
      <c r="D115" s="34" t="str">
        <f>VLOOKUP(A115,'The List'!B1:F730,5,FALSE)</f>
        <v>SEA</v>
      </c>
      <c r="E115" s="38">
        <f>VLOOKUP(A115,'The List'!B1:I730,8,FALSE)</f>
        <v>-1.2114554687468193</v>
      </c>
      <c r="F115" s="38">
        <f>IF(Settings!$E$15="POINTS",E115-VLOOKUP(B$2,C1:E208,3,FALSE),J115)</f>
        <v>-7.5485061929534218</v>
      </c>
      <c r="G115" s="38"/>
      <c r="H115" s="138">
        <f>RANK(I115,I3:I208)</f>
        <v>122</v>
      </c>
      <c r="I115" s="139">
        <f>VLOOKUP(A115,'Standard Deviations'!A1:C731,3,FALSE)</f>
        <v>-1.2114554687468193</v>
      </c>
      <c r="J115" s="139">
        <f>I115-VLOOKUP(B$2,H1:J208,2,FALSE)</f>
        <v>-7.5485061929534218</v>
      </c>
    </row>
    <row r="116" spans="1:10" ht="21.2" customHeight="1">
      <c r="A116" s="8" t="s">
        <v>549</v>
      </c>
      <c r="B116" s="56" t="str">
        <f>VLOOKUP(A116,'The List'!B1:D730,3,FALSE)</f>
        <v>C,LW</v>
      </c>
      <c r="C116" s="57">
        <f>IF(Settings!$E$15="POINTS",RANK(E116,E3:E208),H116)</f>
        <v>114</v>
      </c>
      <c r="D116" s="34" t="str">
        <f>VLOOKUP(A116,'The List'!B1:F730,5,FALSE)</f>
        <v>DET</v>
      </c>
      <c r="E116" s="38">
        <f>VLOOKUP(A116,'The List'!B1:I730,8,FALSE)</f>
        <v>-0.81291100340845635</v>
      </c>
      <c r="F116" s="38">
        <f>IF(Settings!$E$15="POINTS",E116-VLOOKUP(B$2,C1:E208,3,FALSE),J116)</f>
        <v>-7.1499617276150591</v>
      </c>
      <c r="G116" s="38"/>
      <c r="H116" s="138">
        <f>RANK(I116,I3:I208)</f>
        <v>114</v>
      </c>
      <c r="I116" s="139">
        <f>VLOOKUP(A116,'Standard Deviations'!A1:C731,3,FALSE)</f>
        <v>-0.81291100340845635</v>
      </c>
      <c r="J116" s="139">
        <f>I116-VLOOKUP(B$2,H1:J208,2,FALSE)</f>
        <v>-7.1499617276150591</v>
      </c>
    </row>
    <row r="117" spans="1:10" ht="21.2" customHeight="1">
      <c r="A117" s="8" t="s">
        <v>566</v>
      </c>
      <c r="B117" s="56" t="str">
        <f>VLOOKUP(A117,'The List'!B1:D730,3,FALSE)</f>
        <v>C,LW</v>
      </c>
      <c r="C117" s="57">
        <f>IF(Settings!$E$15="POINTS",RANK(E117,E3:E208),H117)</f>
        <v>119</v>
      </c>
      <c r="D117" s="34" t="str">
        <f>VLOOKUP(A117,'The List'!B1:F730,5,FALSE)</f>
        <v>CHI</v>
      </c>
      <c r="E117" s="38">
        <f>VLOOKUP(A117,'The List'!B1:I730,8,FALSE)</f>
        <v>-1.0716259602279634</v>
      </c>
      <c r="F117" s="38">
        <f>IF(Settings!$E$15="POINTS",E117-VLOOKUP(B$2,C1:E208,3,FALSE),J117)</f>
        <v>-7.4086766844345657</v>
      </c>
      <c r="G117" s="38"/>
      <c r="H117" s="138">
        <f>RANK(I117,I3:I208)</f>
        <v>119</v>
      </c>
      <c r="I117" s="139">
        <f>VLOOKUP(A117,'Standard Deviations'!A1:C731,3,FALSE)</f>
        <v>-1.0716259602279634</v>
      </c>
      <c r="J117" s="139">
        <f>I117-VLOOKUP(B$2,H1:J208,2,FALSE)</f>
        <v>-7.4086766844345657</v>
      </c>
    </row>
    <row r="118" spans="1:10" ht="21.2" customHeight="1">
      <c r="A118" s="8" t="s">
        <v>568</v>
      </c>
      <c r="B118" s="56" t="str">
        <f>VLOOKUP(A118,'The List'!B1:D730,3,FALSE)</f>
        <v>C,LW</v>
      </c>
      <c r="C118" s="57">
        <f>IF(Settings!$E$15="POINTS",RANK(E118,E3:E208),H118)</f>
        <v>127</v>
      </c>
      <c r="D118" s="34" t="str">
        <f>VLOOKUP(A118,'The List'!B1:F730,5,FALSE)</f>
        <v>FLA</v>
      </c>
      <c r="E118" s="38">
        <f>VLOOKUP(A118,'The List'!B1:I730,8,FALSE)</f>
        <v>-1.4557264403666692</v>
      </c>
      <c r="F118" s="38">
        <f>IF(Settings!$E$15="POINTS",E118-VLOOKUP(B$2,C1:E208,3,FALSE),J118)</f>
        <v>-7.7927771645732715</v>
      </c>
      <c r="G118" s="38"/>
      <c r="H118" s="138">
        <f>RANK(I118,I3:I208)</f>
        <v>127</v>
      </c>
      <c r="I118" s="139">
        <f>VLOOKUP(A118,'Standard Deviations'!A1:C731,3,FALSE)</f>
        <v>-1.4557264403666692</v>
      </c>
      <c r="J118" s="139">
        <f>I118-VLOOKUP(B$2,H1:J208,2,FALSE)</f>
        <v>-7.7927771645732715</v>
      </c>
    </row>
    <row r="119" spans="1:10" ht="21.2" customHeight="1">
      <c r="A119" s="8" t="s">
        <v>572</v>
      </c>
      <c r="B119" s="56" t="str">
        <f>VLOOKUP(A119,'The List'!B1:D730,3,FALSE)</f>
        <v>C,LW</v>
      </c>
      <c r="C119" s="57">
        <f>IF(Settings!$E$15="POINTS",RANK(E119,E3:E208),H119)</f>
        <v>131</v>
      </c>
      <c r="D119" s="34" t="str">
        <f>VLOOKUP(A119,'The List'!B1:F730,5,FALSE)</f>
        <v>ARI</v>
      </c>
      <c r="E119" s="38">
        <f>VLOOKUP(A119,'The List'!B1:I730,8,FALSE)</f>
        <v>-1.8563214884583716</v>
      </c>
      <c r="F119" s="38">
        <f>IF(Settings!$E$15="POINTS",E119-VLOOKUP(B$2,C1:E208,3,FALSE),J119)</f>
        <v>-8.1933722126649737</v>
      </c>
      <c r="G119" s="38"/>
      <c r="H119" s="138">
        <f>RANK(I119,I3:I208)</f>
        <v>131</v>
      </c>
      <c r="I119" s="139">
        <f>VLOOKUP(A119,'Standard Deviations'!A1:C731,3,FALSE)</f>
        <v>-1.8563214884583716</v>
      </c>
      <c r="J119" s="139">
        <f>I119-VLOOKUP(B$2,H1:J208,2,FALSE)</f>
        <v>-8.1933722126649737</v>
      </c>
    </row>
    <row r="120" spans="1:10" ht="21.2" customHeight="1">
      <c r="A120" s="8" t="s">
        <v>619</v>
      </c>
      <c r="B120" s="56" t="str">
        <f>VLOOKUP(A120,'The List'!B1:D730,3,FALSE)</f>
        <v>C</v>
      </c>
      <c r="C120" s="57">
        <f>IF(Settings!$E$15="POINTS",RANK(E120,E3:E208),H120)</f>
        <v>117</v>
      </c>
      <c r="D120" s="34" t="str">
        <f>VLOOKUP(A120,'The List'!B1:F730,5,FALSE)</f>
        <v>CHI</v>
      </c>
      <c r="E120" s="38">
        <f>VLOOKUP(A120,'The List'!B1:I730,8,FALSE)</f>
        <v>-0.93489569008639506</v>
      </c>
      <c r="F120" s="38">
        <f>IF(Settings!$E$15="POINTS",E120-VLOOKUP(B$2,C1:E208,3,FALSE),J120)</f>
        <v>-7.2719464142929979</v>
      </c>
      <c r="G120" s="38"/>
      <c r="H120" s="138">
        <f>RANK(I120,I3:I208)</f>
        <v>117</v>
      </c>
      <c r="I120" s="139">
        <f>VLOOKUP(A120,'Standard Deviations'!A1:C731,3,FALSE)</f>
        <v>-0.93489569008639506</v>
      </c>
      <c r="J120" s="139">
        <f>I120-VLOOKUP(B$2,H1:J208,2,FALSE)</f>
        <v>-7.2719464142929979</v>
      </c>
    </row>
    <row r="121" spans="1:10" ht="21.2" customHeight="1">
      <c r="A121" s="8" t="s">
        <v>546</v>
      </c>
      <c r="B121" s="56" t="str">
        <f>VLOOKUP(A121,'The List'!B1:D730,3,FALSE)</f>
        <v>C,RW</v>
      </c>
      <c r="C121" s="57">
        <f>IF(Settings!$E$15="POINTS",RANK(E121,E3:E208),H121)</f>
        <v>123</v>
      </c>
      <c r="D121" s="34" t="str">
        <f>VLOOKUP(A121,'The List'!B1:F730,5,FALSE)</f>
        <v>TOR</v>
      </c>
      <c r="E121" s="38">
        <f>VLOOKUP(A121,'The List'!B1:I730,8,FALSE)</f>
        <v>-1.2518162173305047</v>
      </c>
      <c r="F121" s="38">
        <f>IF(Settings!$E$15="POINTS",E121-VLOOKUP(B$2,C1:E208,3,FALSE),J121)</f>
        <v>-7.5888669415371073</v>
      </c>
      <c r="G121" s="38"/>
      <c r="H121" s="138">
        <f>RANK(I121,I3:I208)</f>
        <v>123</v>
      </c>
      <c r="I121" s="139">
        <f>VLOOKUP(A121,'Standard Deviations'!A1:C731,3,FALSE)</f>
        <v>-1.2518162173305047</v>
      </c>
      <c r="J121" s="139">
        <f>I121-VLOOKUP(B$2,H1:J208,2,FALSE)</f>
        <v>-7.5888669415371073</v>
      </c>
    </row>
    <row r="122" spans="1:10" ht="21.2" customHeight="1">
      <c r="A122" s="8" t="s">
        <v>628</v>
      </c>
      <c r="B122" s="56" t="str">
        <f>VLOOKUP(A122,'The List'!B1:D730,3,FALSE)</f>
        <v>C</v>
      </c>
      <c r="C122" s="57">
        <f>IF(Settings!$E$15="POINTS",RANK(E122,E3:E208),H122)</f>
        <v>129</v>
      </c>
      <c r="D122" s="34" t="str">
        <f>VLOOKUP(A122,'The List'!B1:F730,5,FALSE)</f>
        <v>PIT</v>
      </c>
      <c r="E122" s="38">
        <f>VLOOKUP(A122,'The List'!B1:I730,8,FALSE)</f>
        <v>-1.8047758064220836</v>
      </c>
      <c r="F122" s="38">
        <f>IF(Settings!$E$15="POINTS",E122-VLOOKUP(B$2,C1:E208,3,FALSE),J122)</f>
        <v>-8.1418265306286859</v>
      </c>
      <c r="G122" s="38"/>
      <c r="H122" s="138">
        <f>RANK(I122,I3:I208)</f>
        <v>129</v>
      </c>
      <c r="I122" s="139">
        <f>VLOOKUP(A122,'Standard Deviations'!A1:C731,3,FALSE)</f>
        <v>-1.8047758064220836</v>
      </c>
      <c r="J122" s="139">
        <f>I122-VLOOKUP(B$2,H1:J208,2,FALSE)</f>
        <v>-8.1418265306286859</v>
      </c>
    </row>
    <row r="123" spans="1:10" ht="21.2" customHeight="1">
      <c r="A123" s="8" t="s">
        <v>636</v>
      </c>
      <c r="B123" s="56" t="str">
        <f>VLOOKUP(A123,'The List'!B1:D730,3,FALSE)</f>
        <v>C</v>
      </c>
      <c r="C123" s="57">
        <f>IF(Settings!$E$15="POINTS",RANK(E123,E3:E208),H123)</f>
        <v>134</v>
      </c>
      <c r="D123" s="34" t="str">
        <f>VLOOKUP(A123,'The List'!B1:F730,5,FALSE)</f>
        <v>WPG</v>
      </c>
      <c r="E123" s="38">
        <f>VLOOKUP(A123,'The List'!B1:I730,8,FALSE)</f>
        <v>-2.0937419581492356</v>
      </c>
      <c r="F123" s="38">
        <f>IF(Settings!$E$15="POINTS",E123-VLOOKUP(B$2,C1:E208,3,FALSE),J123)</f>
        <v>-8.4307926823558379</v>
      </c>
      <c r="G123" s="38"/>
      <c r="H123" s="138">
        <f>RANK(I123,I3:I208)</f>
        <v>134</v>
      </c>
      <c r="I123" s="139">
        <f>VLOOKUP(A123,'Standard Deviations'!A1:C731,3,FALSE)</f>
        <v>-2.0937419581492356</v>
      </c>
      <c r="J123" s="139">
        <f>I123-VLOOKUP(B$2,H1:J208,2,FALSE)</f>
        <v>-8.4307926823558379</v>
      </c>
    </row>
    <row r="124" spans="1:10" ht="21.2" customHeight="1">
      <c r="A124" s="8" t="s">
        <v>592</v>
      </c>
      <c r="B124" s="56" t="str">
        <f>VLOOKUP(A124,'The List'!B1:D730,3,FALSE)</f>
        <v>C,LW</v>
      </c>
      <c r="C124" s="57">
        <f>IF(Settings!$E$15="POINTS",RANK(E124,E3:E208),H124)</f>
        <v>128</v>
      </c>
      <c r="D124" s="34" t="str">
        <f>VLOOKUP(A124,'The List'!B1:F730,5,FALSE)</f>
        <v>MTL</v>
      </c>
      <c r="E124" s="38">
        <f>VLOOKUP(A124,'The List'!B1:I730,8,FALSE)</f>
        <v>-1.6043270414349204</v>
      </c>
      <c r="F124" s="38">
        <f>IF(Settings!$E$15="POINTS",E124-VLOOKUP(B$2,C1:E208,3,FALSE),J124)</f>
        <v>-7.9413777656415228</v>
      </c>
      <c r="G124" s="38"/>
      <c r="H124" s="138">
        <f>RANK(I124,I3:I208)</f>
        <v>128</v>
      </c>
      <c r="I124" s="139">
        <f>VLOOKUP(A124,'Standard Deviations'!A1:C731,3,FALSE)</f>
        <v>-1.6043270414349204</v>
      </c>
      <c r="J124" s="139">
        <f>I124-VLOOKUP(B$2,H1:J208,2,FALSE)</f>
        <v>-7.9413777656415228</v>
      </c>
    </row>
    <row r="125" spans="1:10" ht="21.2" customHeight="1">
      <c r="A125" s="8" t="s">
        <v>600</v>
      </c>
      <c r="B125" s="56" t="str">
        <f>VLOOKUP(A125,'The List'!B1:D730,3,FALSE)</f>
        <v>C,LW</v>
      </c>
      <c r="C125" s="57">
        <f>IF(Settings!$E$15="POINTS",RANK(E125,E3:E208),H125)</f>
        <v>120</v>
      </c>
      <c r="D125" s="34" t="str">
        <f>VLOOKUP(A125,'The List'!B1:F730,5,FALSE)</f>
        <v>SJS</v>
      </c>
      <c r="E125" s="38">
        <f>VLOOKUP(A125,'The List'!B1:I730,8,FALSE)</f>
        <v>-1.201911584933578</v>
      </c>
      <c r="F125" s="38">
        <f>IF(Settings!$E$15="POINTS",E125-VLOOKUP(B$2,C1:E208,3,FALSE),J125)</f>
        <v>-7.5389623091401807</v>
      </c>
      <c r="G125" s="38"/>
      <c r="H125" s="138">
        <f>RANK(I125,I3:I208)</f>
        <v>120</v>
      </c>
      <c r="I125" s="139">
        <f>VLOOKUP(A125,'Standard Deviations'!A1:C731,3,FALSE)</f>
        <v>-1.201911584933578</v>
      </c>
      <c r="J125" s="139">
        <f>I125-VLOOKUP(B$2,H1:J208,2,FALSE)</f>
        <v>-7.5389623091401807</v>
      </c>
    </row>
    <row r="126" spans="1:10" ht="21.2" customHeight="1">
      <c r="A126" s="8" t="s">
        <v>613</v>
      </c>
      <c r="B126" s="56" t="str">
        <f>VLOOKUP(A126,'The List'!B1:D730,3,FALSE)</f>
        <v>C,LW</v>
      </c>
      <c r="C126" s="57">
        <f>IF(Settings!$E$15="POINTS",RANK(E126,E3:E208),H126)</f>
        <v>137</v>
      </c>
      <c r="D126" s="34" t="str">
        <f>VLOOKUP(A126,'The List'!B1:F730,5,FALSE)</f>
        <v>UFA</v>
      </c>
      <c r="E126" s="38">
        <f>VLOOKUP(A126,'The List'!B1:I730,8,FALSE)</f>
        <v>-2.2835101723447369</v>
      </c>
      <c r="F126" s="38">
        <f>IF(Settings!$E$15="POINTS",E126-VLOOKUP(B$2,C1:E208,3,FALSE),J126)</f>
        <v>-8.6205608965513392</v>
      </c>
      <c r="G126" s="38"/>
      <c r="H126" s="138">
        <f>RANK(I126,I3:I208)</f>
        <v>137</v>
      </c>
      <c r="I126" s="139">
        <f>VLOOKUP(A126,'Standard Deviations'!A1:C731,3,FALSE)</f>
        <v>-2.2835101723447369</v>
      </c>
      <c r="J126" s="139">
        <f>I126-VLOOKUP(B$2,H1:J208,2,FALSE)</f>
        <v>-8.6205608965513392</v>
      </c>
    </row>
    <row r="127" spans="1:10" ht="21.2" customHeight="1">
      <c r="A127" s="8" t="s">
        <v>655</v>
      </c>
      <c r="B127" s="56" t="str">
        <f>VLOOKUP(A127,'The List'!B1:D730,3,FALSE)</f>
        <v>C</v>
      </c>
      <c r="C127" s="57">
        <f>IF(Settings!$E$15="POINTS",RANK(E127,E3:E208),H127)</f>
        <v>98</v>
      </c>
      <c r="D127" s="34" t="str">
        <f>VLOOKUP(A127,'The List'!B1:F730,5,FALSE)</f>
        <v>SEA</v>
      </c>
      <c r="E127" s="38">
        <f>VLOOKUP(A127,'The List'!B1:I730,8,FALSE)</f>
        <v>0.32216990615181401</v>
      </c>
      <c r="F127" s="38">
        <f>IF(Settings!$E$15="POINTS",E127-VLOOKUP(B$2,C1:E208,3,FALSE),J127)</f>
        <v>-6.014880818054789</v>
      </c>
      <c r="G127" s="38"/>
      <c r="H127" s="138">
        <f>RANK(I127,I3:I208)</f>
        <v>98</v>
      </c>
      <c r="I127" s="139">
        <f>VLOOKUP(A127,'Standard Deviations'!A1:C731,3,FALSE)</f>
        <v>0.32216990615181401</v>
      </c>
      <c r="J127" s="139">
        <f>I127-VLOOKUP(B$2,H1:J208,2,FALSE)</f>
        <v>-6.014880818054789</v>
      </c>
    </row>
    <row r="128" spans="1:10" ht="21.2" customHeight="1">
      <c r="A128" s="8" t="s">
        <v>656</v>
      </c>
      <c r="B128" s="56" t="str">
        <f>VLOOKUP(A128,'The List'!B1:D730,3,FALSE)</f>
        <v>C</v>
      </c>
      <c r="C128" s="57">
        <f>IF(Settings!$E$15="POINTS",RANK(E128,E3:E208),H128)</f>
        <v>121</v>
      </c>
      <c r="D128" s="34" t="str">
        <f>VLOOKUP(A128,'The List'!B1:F730,5,FALSE)</f>
        <v>OTT</v>
      </c>
      <c r="E128" s="38">
        <f>VLOOKUP(A128,'The List'!B1:I730,8,FALSE)</f>
        <v>-1.2044582026899298</v>
      </c>
      <c r="F128" s="38">
        <f>IF(Settings!$E$15="POINTS",E128-VLOOKUP(B$2,C1:E208,3,FALSE),J128)</f>
        <v>-7.5415089268965323</v>
      </c>
      <c r="G128" s="38"/>
      <c r="H128" s="138">
        <f>RANK(I128,I3:I208)</f>
        <v>121</v>
      </c>
      <c r="I128" s="139">
        <f>VLOOKUP(A128,'Standard Deviations'!A1:C731,3,FALSE)</f>
        <v>-1.2044582026899298</v>
      </c>
      <c r="J128" s="139">
        <f>I128-VLOOKUP(B$2,H1:J208,2,FALSE)</f>
        <v>-7.5415089268965323</v>
      </c>
    </row>
    <row r="129" spans="1:10" ht="21.2" customHeight="1">
      <c r="A129" s="8" t="s">
        <v>657</v>
      </c>
      <c r="B129" s="56" t="str">
        <f>VLOOKUP(A129,'The List'!B1:D730,3,FALSE)</f>
        <v>C</v>
      </c>
      <c r="C129" s="57">
        <f>IF(Settings!$E$15="POINTS",RANK(E129,E3:E208),H129)</f>
        <v>133</v>
      </c>
      <c r="D129" s="34" t="str">
        <f>VLOOKUP(A129,'The List'!B1:F730,5,FALSE)</f>
        <v>CBJ</v>
      </c>
      <c r="E129" s="38">
        <f>VLOOKUP(A129,'The List'!B1:I730,8,FALSE)</f>
        <v>-1.9834869449268013</v>
      </c>
      <c r="F129" s="38">
        <f>IF(Settings!$E$15="POINTS",E129-VLOOKUP(B$2,C1:E208,3,FALSE),J129)</f>
        <v>-8.3205376691334045</v>
      </c>
      <c r="G129" s="38"/>
      <c r="H129" s="138">
        <f>RANK(I129,I3:I208)</f>
        <v>133</v>
      </c>
      <c r="I129" s="139">
        <f>VLOOKUP(A129,'Standard Deviations'!A1:C731,3,FALSE)</f>
        <v>-1.9834869449268013</v>
      </c>
      <c r="J129" s="139">
        <f>I129-VLOOKUP(B$2,H1:J208,2,FALSE)</f>
        <v>-8.3205376691334045</v>
      </c>
    </row>
    <row r="130" spans="1:10" ht="21.2" customHeight="1">
      <c r="A130" s="8" t="s">
        <v>618</v>
      </c>
      <c r="B130" s="56" t="str">
        <f>VLOOKUP(A130,'The List'!B1:D730,3,FALSE)</f>
        <v>C,LW</v>
      </c>
      <c r="C130" s="57">
        <f>IF(Settings!$E$15="POINTS",RANK(E130,E3:E208),H130)</f>
        <v>132</v>
      </c>
      <c r="D130" s="34" t="str">
        <f>VLOOKUP(A130,'The List'!B1:F730,5,FALSE)</f>
        <v>BOS</v>
      </c>
      <c r="E130" s="38">
        <f>VLOOKUP(A130,'The List'!B1:I730,8,FALSE)</f>
        <v>-1.8671699710662846</v>
      </c>
      <c r="F130" s="38">
        <f>IF(Settings!$E$15="POINTS",E130-VLOOKUP(B$2,C1:E208,3,FALSE),J130)</f>
        <v>-8.2042206952728876</v>
      </c>
      <c r="G130" s="38"/>
      <c r="H130" s="138">
        <f>RANK(I130,I3:I208)</f>
        <v>132</v>
      </c>
      <c r="I130" s="139">
        <f>VLOOKUP(A130,'Standard Deviations'!A1:C731,3,FALSE)</f>
        <v>-1.8671699710662846</v>
      </c>
      <c r="J130" s="139">
        <f>I130-VLOOKUP(B$2,H1:J208,2,FALSE)</f>
        <v>-8.2042206952728876</v>
      </c>
    </row>
    <row r="131" spans="1:10" ht="21.2" customHeight="1">
      <c r="A131" s="8" t="s">
        <v>660</v>
      </c>
      <c r="B131" s="56" t="str">
        <f>VLOOKUP(A131,'The List'!B1:D730,3,FALSE)</f>
        <v>C</v>
      </c>
      <c r="C131" s="57">
        <f>IF(Settings!$E$15="POINTS",RANK(E131,E3:E208),H131)</f>
        <v>135</v>
      </c>
      <c r="D131" s="34" t="str">
        <f>VLOOKUP(A131,'The List'!B1:F730,5,FALSE)</f>
        <v>CAR</v>
      </c>
      <c r="E131" s="38">
        <f>VLOOKUP(A131,'The List'!B1:I730,8,FALSE)</f>
        <v>-2.133155263977268</v>
      </c>
      <c r="F131" s="38">
        <f>IF(Settings!$E$15="POINTS",E131-VLOOKUP(B$2,C1:E208,3,FALSE),J131)</f>
        <v>-8.4702059881838707</v>
      </c>
      <c r="G131" s="38"/>
      <c r="H131" s="138">
        <f>RANK(I131,I3:I208)</f>
        <v>135</v>
      </c>
      <c r="I131" s="139">
        <f>VLOOKUP(A131,'Standard Deviations'!A1:C731,3,FALSE)</f>
        <v>-2.133155263977268</v>
      </c>
      <c r="J131" s="139">
        <f>I131-VLOOKUP(B$2,H1:J208,2,FALSE)</f>
        <v>-8.4702059881838707</v>
      </c>
    </row>
    <row r="132" spans="1:10" ht="21.2" customHeight="1">
      <c r="A132" s="8" t="s">
        <v>638</v>
      </c>
      <c r="B132" s="56" t="str">
        <f>VLOOKUP(A132,'The List'!B1:D730,3,FALSE)</f>
        <v>C,LW</v>
      </c>
      <c r="C132" s="57">
        <f>IF(Settings!$E$15="POINTS",RANK(E132,E3:E208),H132)</f>
        <v>125</v>
      </c>
      <c r="D132" s="34" t="str">
        <f>VLOOKUP(A132,'The List'!B1:F730,5,FALSE)</f>
        <v>TBL</v>
      </c>
      <c r="E132" s="38">
        <f>VLOOKUP(A132,'The List'!B1:I730,8,FALSE)</f>
        <v>-1.3645858472567038</v>
      </c>
      <c r="F132" s="38">
        <f>IF(Settings!$E$15="POINTS",E132-VLOOKUP(B$2,C1:E208,3,FALSE),J132)</f>
        <v>-7.7016365714633066</v>
      </c>
      <c r="G132" s="38"/>
      <c r="H132" s="138">
        <f>RANK(I132,I3:I208)</f>
        <v>125</v>
      </c>
      <c r="I132" s="139">
        <f>VLOOKUP(A132,'Standard Deviations'!A1:C731,3,FALSE)</f>
        <v>-1.3645858472567038</v>
      </c>
      <c r="J132" s="139">
        <f>I132-VLOOKUP(B$2,H1:J208,2,FALSE)</f>
        <v>-7.7016365714633066</v>
      </c>
    </row>
    <row r="133" spans="1:10" ht="21.2" customHeight="1">
      <c r="A133" s="8" t="s">
        <v>669</v>
      </c>
      <c r="B133" s="56" t="str">
        <f>VLOOKUP(A133,'The List'!B1:D730,3,FALSE)</f>
        <v>C</v>
      </c>
      <c r="C133" s="57">
        <f>IF(Settings!$E$15="POINTS",RANK(E133,E3:E208),H133)</f>
        <v>130</v>
      </c>
      <c r="D133" s="34" t="str">
        <f>VLOOKUP(A133,'The List'!B1:F730,5,FALSE)</f>
        <v>EDM</v>
      </c>
      <c r="E133" s="38">
        <f>VLOOKUP(A133,'The List'!B1:I730,8,FALSE)</f>
        <v>-1.8252987503596416</v>
      </c>
      <c r="F133" s="38">
        <f>IF(Settings!$E$15="POINTS",E133-VLOOKUP(B$2,C1:E208,3,FALSE),J133)</f>
        <v>-8.1623494745662448</v>
      </c>
      <c r="G133" s="38"/>
      <c r="H133" s="138">
        <f>RANK(I133,I3:I208)</f>
        <v>130</v>
      </c>
      <c r="I133" s="139">
        <f>VLOOKUP(A133,'Standard Deviations'!A1:C731,3,FALSE)</f>
        <v>-1.8252987503596416</v>
      </c>
      <c r="J133" s="139">
        <f>I133-VLOOKUP(B$2,H1:J208,2,FALSE)</f>
        <v>-8.1623494745662448</v>
      </c>
    </row>
    <row r="134" spans="1:10" ht="21.2" customHeight="1">
      <c r="A134" s="8" t="s">
        <v>641</v>
      </c>
      <c r="B134" s="56" t="str">
        <f>VLOOKUP(A134,'The List'!B1:D730,3,FALSE)</f>
        <v>C,LW</v>
      </c>
      <c r="C134" s="57">
        <f>IF(Settings!$E$15="POINTS",RANK(E134,E3:E208),H134)</f>
        <v>124</v>
      </c>
      <c r="D134" s="34" t="str">
        <f>VLOOKUP(A134,'The List'!B1:F730,5,FALSE)</f>
        <v>COL</v>
      </c>
      <c r="E134" s="38">
        <f>VLOOKUP(A134,'The List'!B1:I730,8,FALSE)</f>
        <v>-1.2577877193035096</v>
      </c>
      <c r="F134" s="38">
        <f>IF(Settings!$E$15="POINTS",E134-VLOOKUP(B$2,C1:E208,3,FALSE),J134)</f>
        <v>-7.5948384435101124</v>
      </c>
      <c r="G134" s="38"/>
      <c r="H134" s="138">
        <f>RANK(I134,I3:I208)</f>
        <v>124</v>
      </c>
      <c r="I134" s="139">
        <f>VLOOKUP(A134,'Standard Deviations'!A1:C731,3,FALSE)</f>
        <v>-1.2577877193035096</v>
      </c>
      <c r="J134" s="139">
        <f>I134-VLOOKUP(B$2,H1:J208,2,FALSE)</f>
        <v>-7.5948384435101124</v>
      </c>
    </row>
    <row r="135" spans="1:10" ht="21.2" customHeight="1">
      <c r="A135" s="8" t="s">
        <v>672</v>
      </c>
      <c r="B135" s="56" t="str">
        <f>VLOOKUP(A135,'The List'!B1:D730,3,FALSE)</f>
        <v>C</v>
      </c>
      <c r="C135" s="57">
        <f>IF(Settings!$E$15="POINTS",RANK(E135,E3:E208),H135)</f>
        <v>116</v>
      </c>
      <c r="D135" s="34" t="str">
        <f>VLOOKUP(A135,'The List'!B1:F730,5,FALSE)</f>
        <v>UFA</v>
      </c>
      <c r="E135" s="38">
        <f>VLOOKUP(A135,'The List'!B1:I730,8,FALSE)</f>
        <v>-0.92680438218111083</v>
      </c>
      <c r="F135" s="38">
        <f>IF(Settings!$E$15="POINTS",E135-VLOOKUP(B$2,C1:E208,3,FALSE),J135)</f>
        <v>-7.2638551063877133</v>
      </c>
      <c r="G135" s="38"/>
      <c r="H135" s="138">
        <f>RANK(I135,I3:I208)</f>
        <v>116</v>
      </c>
      <c r="I135" s="139">
        <f>VLOOKUP(A135,'Standard Deviations'!A1:C731,3,FALSE)</f>
        <v>-0.92680438218111083</v>
      </c>
      <c r="J135" s="139">
        <f>I135-VLOOKUP(B$2,H1:J208,2,FALSE)</f>
        <v>-7.2638551063877133</v>
      </c>
    </row>
    <row r="136" spans="1:10" ht="21.2" customHeight="1">
      <c r="A136" s="8" t="s">
        <v>680</v>
      </c>
      <c r="B136" s="56" t="str">
        <f>VLOOKUP(A136,'The List'!B1:D730,3,FALSE)</f>
        <v>C</v>
      </c>
      <c r="C136" s="57">
        <f>IF(Settings!$E$15="POINTS",RANK(E136,E3:E208),H136)</f>
        <v>149</v>
      </c>
      <c r="D136" s="34" t="str">
        <f>VLOOKUP(A136,'The List'!B1:F730,5,FALSE)</f>
        <v>CHI</v>
      </c>
      <c r="E136" s="38">
        <f>VLOOKUP(A136,'The List'!B1:I730,8,FALSE)</f>
        <v>-2.8809082730539424</v>
      </c>
      <c r="F136" s="38">
        <f>IF(Settings!$E$15="POINTS",E136-VLOOKUP(B$2,C1:E208,3,FALSE),J136)</f>
        <v>-9.2179589972605456</v>
      </c>
      <c r="G136" s="38"/>
      <c r="H136" s="138">
        <f>RANK(I136,I3:I208)</f>
        <v>149</v>
      </c>
      <c r="I136" s="139">
        <f>VLOOKUP(A136,'Standard Deviations'!A1:C731,3,FALSE)</f>
        <v>-2.8809082730539424</v>
      </c>
      <c r="J136" s="139">
        <f>I136-VLOOKUP(B$2,H1:J208,2,FALSE)</f>
        <v>-9.2179589972605456</v>
      </c>
    </row>
    <row r="137" spans="1:10" ht="21.2" customHeight="1">
      <c r="A137" s="8" t="s">
        <v>682</v>
      </c>
      <c r="B137" s="56" t="str">
        <f>VLOOKUP(A137,'The List'!B1:D730,3,FALSE)</f>
        <v>C</v>
      </c>
      <c r="C137" s="57">
        <f>IF(Settings!$E$15="POINTS",RANK(E137,E3:E208),H137)</f>
        <v>141</v>
      </c>
      <c r="D137" s="34" t="str">
        <f>VLOOKUP(A137,'The List'!B1:F730,5,FALSE)</f>
        <v>LAK</v>
      </c>
      <c r="E137" s="38">
        <f>VLOOKUP(A137,'The List'!B1:I730,8,FALSE)</f>
        <v>-2.4715940421412097</v>
      </c>
      <c r="F137" s="38">
        <f>IF(Settings!$E$15="POINTS",E137-VLOOKUP(B$2,C1:E208,3,FALSE),J137)</f>
        <v>-8.8086447663478129</v>
      </c>
      <c r="G137" s="38"/>
      <c r="H137" s="138">
        <f>RANK(I137,I3:I208)</f>
        <v>141</v>
      </c>
      <c r="I137" s="139">
        <f>VLOOKUP(A137,'Standard Deviations'!A1:C731,3,FALSE)</f>
        <v>-2.4715940421412097</v>
      </c>
      <c r="J137" s="139">
        <f>I137-VLOOKUP(B$2,H1:J208,2,FALSE)</f>
        <v>-8.8086447663478129</v>
      </c>
    </row>
    <row r="138" spans="1:10" ht="21.2" customHeight="1">
      <c r="A138" s="8" t="s">
        <v>683</v>
      </c>
      <c r="B138" s="56" t="str">
        <f>VLOOKUP(A138,'The List'!B1:D730,3,FALSE)</f>
        <v>C</v>
      </c>
      <c r="C138" s="57">
        <f>IF(Settings!$E$15="POINTS",RANK(E138,E3:E208),H138)</f>
        <v>142</v>
      </c>
      <c r="D138" s="34" t="str">
        <f>VLOOKUP(A138,'The List'!B1:F730,5,FALSE)</f>
        <v>SJS</v>
      </c>
      <c r="E138" s="38">
        <f>VLOOKUP(A138,'The List'!B1:I730,8,FALSE)</f>
        <v>-2.5257917197043875</v>
      </c>
      <c r="F138" s="38">
        <f>IF(Settings!$E$15="POINTS",E138-VLOOKUP(B$2,C1:E208,3,FALSE),J138)</f>
        <v>-8.8628424439109903</v>
      </c>
      <c r="G138" s="38"/>
      <c r="H138" s="138">
        <f>RANK(I138,I3:I208)</f>
        <v>142</v>
      </c>
      <c r="I138" s="139">
        <f>VLOOKUP(A138,'Standard Deviations'!A1:C731,3,FALSE)</f>
        <v>-2.5257917197043875</v>
      </c>
      <c r="J138" s="139">
        <f>I138-VLOOKUP(B$2,H1:J208,2,FALSE)</f>
        <v>-8.8628424439109903</v>
      </c>
    </row>
    <row r="139" spans="1:10" ht="21.2" customHeight="1">
      <c r="A139" s="8" t="s">
        <v>605</v>
      </c>
      <c r="B139" s="56" t="str">
        <f>VLOOKUP(A139,'The List'!B1:D730,3,FALSE)</f>
        <v>C,RW</v>
      </c>
      <c r="C139" s="57">
        <f>IF(Settings!$E$15="POINTS",RANK(E139,E3:E208),H139)</f>
        <v>139</v>
      </c>
      <c r="D139" s="34" t="str">
        <f>VLOOKUP(A139,'The List'!B1:F730,5,FALSE)</f>
        <v>ARI</v>
      </c>
      <c r="E139" s="38">
        <f>VLOOKUP(A139,'The List'!B1:I730,8,FALSE)</f>
        <v>-2.3545222506362831</v>
      </c>
      <c r="F139" s="38">
        <f>IF(Settings!$E$15="POINTS",E139-VLOOKUP(B$2,C1:E208,3,FALSE),J139)</f>
        <v>-8.6915729748428863</v>
      </c>
      <c r="G139" s="38"/>
      <c r="H139" s="138">
        <f>RANK(I139,I3:I208)</f>
        <v>139</v>
      </c>
      <c r="I139" s="139">
        <f>VLOOKUP(A139,'Standard Deviations'!A1:C731,3,FALSE)</f>
        <v>-2.3545222506362831</v>
      </c>
      <c r="J139" s="139">
        <f>I139-VLOOKUP(B$2,H1:J208,2,FALSE)</f>
        <v>-8.6915729748428863</v>
      </c>
    </row>
    <row r="140" spans="1:10" ht="21.2" customHeight="1">
      <c r="A140" s="8" t="s">
        <v>652</v>
      </c>
      <c r="B140" s="56" t="str">
        <f>VLOOKUP(A140,'The List'!B1:D730,3,FALSE)</f>
        <v>C,LW</v>
      </c>
      <c r="C140" s="57">
        <f>IF(Settings!$E$15="POINTS",RANK(E140,E3:E208),H140)</f>
        <v>115</v>
      </c>
      <c r="D140" s="34" t="str">
        <f>VLOOKUP(A140,'The List'!B1:F730,5,FALSE)</f>
        <v>DET</v>
      </c>
      <c r="E140" s="38">
        <f>VLOOKUP(A140,'The List'!B1:I730,8,FALSE)</f>
        <v>-0.8442573942073166</v>
      </c>
      <c r="F140" s="38">
        <f>IF(Settings!$E$15="POINTS",E140-VLOOKUP(B$2,C1:E208,3,FALSE),J140)</f>
        <v>-7.1813081184139191</v>
      </c>
      <c r="G140" s="38"/>
      <c r="H140" s="138">
        <f>RANK(I140,I3:I208)</f>
        <v>115</v>
      </c>
      <c r="I140" s="139">
        <f>VLOOKUP(A140,'Standard Deviations'!A1:C731,3,FALSE)</f>
        <v>-0.8442573942073166</v>
      </c>
      <c r="J140" s="139">
        <f>I140-VLOOKUP(B$2,H1:J208,2,FALSE)</f>
        <v>-7.1813081184139191</v>
      </c>
    </row>
    <row r="141" spans="1:10" ht="21.2" customHeight="1">
      <c r="A141" s="8" t="s">
        <v>691</v>
      </c>
      <c r="B141" s="56" t="str">
        <f>VLOOKUP(A141,'The List'!B1:D730,3,FALSE)</f>
        <v>C</v>
      </c>
      <c r="C141" s="57">
        <f>IF(Settings!$E$15="POINTS",RANK(E141,E3:E208),H141)</f>
        <v>150</v>
      </c>
      <c r="D141" s="34" t="str">
        <f>VLOOKUP(A141,'The List'!B1:F730,5,FALSE)</f>
        <v>NSH</v>
      </c>
      <c r="E141" s="38">
        <f>VLOOKUP(A141,'The List'!B1:I730,8,FALSE)</f>
        <v>-2.8853148989283466</v>
      </c>
      <c r="F141" s="38">
        <f>IF(Settings!$E$15="POINTS",E141-VLOOKUP(B$2,C1:E208,3,FALSE),J141)</f>
        <v>-9.2223656231349498</v>
      </c>
      <c r="G141" s="38"/>
      <c r="H141" s="138">
        <f>RANK(I141,I3:I208)</f>
        <v>150</v>
      </c>
      <c r="I141" s="139">
        <f>VLOOKUP(A141,'Standard Deviations'!A1:C731,3,FALSE)</f>
        <v>-2.8853148989283466</v>
      </c>
      <c r="J141" s="139">
        <f>I141-VLOOKUP(B$2,H1:J208,2,FALSE)</f>
        <v>-9.2223656231349498</v>
      </c>
    </row>
    <row r="142" spans="1:10" ht="21.2" customHeight="1">
      <c r="A142" s="8" t="s">
        <v>632</v>
      </c>
      <c r="B142" s="56" t="str">
        <f>VLOOKUP(A142,'The List'!B1:D730,3,FALSE)</f>
        <v>C,LW,RW</v>
      </c>
      <c r="C142" s="57">
        <f>IF(Settings!$E$15="POINTS",RANK(E142,E3:E208),H142)</f>
        <v>136</v>
      </c>
      <c r="D142" s="34" t="str">
        <f>VLOOKUP(A142,'The List'!B1:F730,5,FALSE)</f>
        <v>UFA</v>
      </c>
      <c r="E142" s="38">
        <f>VLOOKUP(A142,'The List'!B1:I730,8,FALSE)</f>
        <v>-2.2738576876169145</v>
      </c>
      <c r="F142" s="38">
        <f>IF(Settings!$E$15="POINTS",E142-VLOOKUP(B$2,C1:E208,3,FALSE),J142)</f>
        <v>-8.6109084118235177</v>
      </c>
      <c r="G142" s="38"/>
      <c r="H142" s="138">
        <f>RANK(I142,I3:I208)</f>
        <v>136</v>
      </c>
      <c r="I142" s="139">
        <f>VLOOKUP(A142,'Standard Deviations'!A1:C731,3,FALSE)</f>
        <v>-2.2738576876169145</v>
      </c>
      <c r="J142" s="139">
        <f>I142-VLOOKUP(B$2,H1:J208,2,FALSE)</f>
        <v>-8.6109084118235177</v>
      </c>
    </row>
    <row r="143" spans="1:10" ht="21.2" customHeight="1">
      <c r="A143" s="8" t="s">
        <v>637</v>
      </c>
      <c r="B143" s="56" t="str">
        <f>VLOOKUP(A143,'The List'!B1:D730,3,FALSE)</f>
        <v>C,RW</v>
      </c>
      <c r="C143" s="57">
        <f>IF(Settings!$E$15="POINTS",RANK(E143,E3:E208),H143)</f>
        <v>153</v>
      </c>
      <c r="D143" s="34" t="str">
        <f>VLOOKUP(A143,'The List'!B1:F730,5,FALSE)</f>
        <v>NYR</v>
      </c>
      <c r="E143" s="38">
        <f>VLOOKUP(A143,'The List'!B1:I730,8,FALSE)</f>
        <v>-3.1333336128898788</v>
      </c>
      <c r="F143" s="38">
        <f>IF(Settings!$E$15="POINTS",E143-VLOOKUP(B$2,C1:E208,3,FALSE),J143)</f>
        <v>-9.4703843370964815</v>
      </c>
      <c r="G143" s="38"/>
      <c r="H143" s="138">
        <f>RANK(I143,I3:I208)</f>
        <v>153</v>
      </c>
      <c r="I143" s="139">
        <f>VLOOKUP(A143,'Standard Deviations'!A1:C731,3,FALSE)</f>
        <v>-3.1333336128898788</v>
      </c>
      <c r="J143" s="139">
        <f>I143-VLOOKUP(B$2,H1:J208,2,FALSE)</f>
        <v>-9.4703843370964815</v>
      </c>
    </row>
    <row r="144" spans="1:10" ht="21.2" customHeight="1">
      <c r="A144" s="8" t="s">
        <v>645</v>
      </c>
      <c r="B144" s="56" t="str">
        <f>VLOOKUP(A144,'The List'!B1:D730,3,FALSE)</f>
        <v>C,RW</v>
      </c>
      <c r="C144" s="57">
        <f>IF(Settings!$E$15="POINTS",RANK(E144,E3:E208),H144)</f>
        <v>147</v>
      </c>
      <c r="D144" s="34" t="str">
        <f>VLOOKUP(A144,'The List'!B1:F730,5,FALSE)</f>
        <v>TOR</v>
      </c>
      <c r="E144" s="38">
        <f>VLOOKUP(A144,'The List'!B1:I730,8,FALSE)</f>
        <v>-2.7424901688594581</v>
      </c>
      <c r="F144" s="38">
        <f>IF(Settings!$E$15="POINTS",E144-VLOOKUP(B$2,C1:E208,3,FALSE),J144)</f>
        <v>-9.0795408930660599</v>
      </c>
      <c r="G144" s="38"/>
      <c r="H144" s="138">
        <f>RANK(I144,I3:I208)</f>
        <v>147</v>
      </c>
      <c r="I144" s="139">
        <f>VLOOKUP(A144,'Standard Deviations'!A1:C731,3,FALSE)</f>
        <v>-2.7424901688594581</v>
      </c>
      <c r="J144" s="139">
        <f>I144-VLOOKUP(B$2,H1:J208,2,FALSE)</f>
        <v>-9.0795408930660599</v>
      </c>
    </row>
    <row r="145" spans="1:10" ht="21.2" customHeight="1">
      <c r="A145" s="8" t="s">
        <v>705</v>
      </c>
      <c r="B145" s="56" t="str">
        <f>VLOOKUP(A145,'The List'!B1:D730,3,FALSE)</f>
        <v>C</v>
      </c>
      <c r="C145" s="57">
        <f>IF(Settings!$E$15="POINTS",RANK(E145,E3:E208),H145)</f>
        <v>160</v>
      </c>
      <c r="D145" s="34" t="str">
        <f>VLOOKUP(A145,'The List'!B1:F730,5,FALSE)</f>
        <v>TOR</v>
      </c>
      <c r="E145" s="38">
        <f>VLOOKUP(A145,'The List'!B1:I730,8,FALSE)</f>
        <v>-3.2758866960987159</v>
      </c>
      <c r="F145" s="38">
        <f>IF(Settings!$E$15="POINTS",E145-VLOOKUP(B$2,C1:E208,3,FALSE),J145)</f>
        <v>-9.6129374203053182</v>
      </c>
      <c r="G145" s="38"/>
      <c r="H145" s="138">
        <f>RANK(I145,I3:I208)</f>
        <v>160</v>
      </c>
      <c r="I145" s="139">
        <f>VLOOKUP(A145,'Standard Deviations'!A1:C731,3,FALSE)</f>
        <v>-3.2758866960987159</v>
      </c>
      <c r="J145" s="139">
        <f>I145-VLOOKUP(B$2,H1:J208,2,FALSE)</f>
        <v>-9.6129374203053182</v>
      </c>
    </row>
    <row r="146" spans="1:10" ht="21.2" customHeight="1">
      <c r="A146" s="8" t="s">
        <v>710</v>
      </c>
      <c r="B146" s="56" t="str">
        <f>VLOOKUP(A146,'The List'!B1:D730,3,FALSE)</f>
        <v>C</v>
      </c>
      <c r="C146" s="57">
        <f>IF(Settings!$E$15="POINTS",RANK(E146,E3:E208),H146)</f>
        <v>155</v>
      </c>
      <c r="D146" s="34" t="str">
        <f>VLOOKUP(A146,'The List'!B1:F730,5,FALSE)</f>
        <v>PIT</v>
      </c>
      <c r="E146" s="38">
        <f>VLOOKUP(A146,'The List'!B1:I730,8,FALSE)</f>
        <v>-3.176771943551878</v>
      </c>
      <c r="F146" s="38">
        <f>IF(Settings!$E$15="POINTS",E146-VLOOKUP(B$2,C1:E208,3,FALSE),J146)</f>
        <v>-9.5138226677584807</v>
      </c>
      <c r="G146" s="38"/>
      <c r="H146" s="138">
        <f>RANK(I146,I3:I208)</f>
        <v>155</v>
      </c>
      <c r="I146" s="139">
        <f>VLOOKUP(A146,'Standard Deviations'!A1:C731,3,FALSE)</f>
        <v>-3.176771943551878</v>
      </c>
      <c r="J146" s="139">
        <f>I146-VLOOKUP(B$2,H1:J208,2,FALSE)</f>
        <v>-9.5138226677584807</v>
      </c>
    </row>
    <row r="147" spans="1:10" ht="21.2" customHeight="1">
      <c r="A147" s="8" t="s">
        <v>658</v>
      </c>
      <c r="B147" s="56" t="str">
        <f>VLOOKUP(A147,'The List'!B1:D730,3,FALSE)</f>
        <v>C,RW</v>
      </c>
      <c r="C147" s="57">
        <f>IF(Settings!$E$15="POINTS",RANK(E147,E3:E208),H147)</f>
        <v>156</v>
      </c>
      <c r="D147" s="34" t="str">
        <f>VLOOKUP(A147,'The List'!B1:F730,5,FALSE)</f>
        <v>FLA</v>
      </c>
      <c r="E147" s="38">
        <f>VLOOKUP(A147,'The List'!B1:I730,8,FALSE)</f>
        <v>-3.1769567964247893</v>
      </c>
      <c r="F147" s="38">
        <f>IF(Settings!$E$15="POINTS",E147-VLOOKUP(B$2,C1:E208,3,FALSE),J147)</f>
        <v>-9.5140075206313917</v>
      </c>
      <c r="G147" s="38"/>
      <c r="H147" s="138">
        <f>RANK(I147,I3:I208)</f>
        <v>156</v>
      </c>
      <c r="I147" s="139">
        <f>VLOOKUP(A147,'Standard Deviations'!A1:C731,3,FALSE)</f>
        <v>-3.1769567964247893</v>
      </c>
      <c r="J147" s="139">
        <f>I147-VLOOKUP(B$2,H1:J208,2,FALSE)</f>
        <v>-9.5140075206313917</v>
      </c>
    </row>
    <row r="148" spans="1:10" ht="21.2" customHeight="1">
      <c r="A148" s="8" t="s">
        <v>695</v>
      </c>
      <c r="B148" s="56" t="str">
        <f>VLOOKUP(A148,'The List'!B1:D730,3,FALSE)</f>
        <v>C,LW</v>
      </c>
      <c r="C148" s="57">
        <f>IF(Settings!$E$15="POINTS",RANK(E148,E3:E208),H148)</f>
        <v>159</v>
      </c>
      <c r="D148" s="34" t="str">
        <f>VLOOKUP(A148,'The List'!B1:F730,5,FALSE)</f>
        <v>WPG</v>
      </c>
      <c r="E148" s="38">
        <f>VLOOKUP(A148,'The List'!B1:I730,8,FALSE)</f>
        <v>-3.2061896101337308</v>
      </c>
      <c r="F148" s="38">
        <f>IF(Settings!$E$15="POINTS",E148-VLOOKUP(B$2,C1:E208,3,FALSE),J148)</f>
        <v>-9.543240334340334</v>
      </c>
      <c r="G148" s="38"/>
      <c r="H148" s="138">
        <f>RANK(I148,I3:I208)</f>
        <v>159</v>
      </c>
      <c r="I148" s="139">
        <f>VLOOKUP(A148,'Standard Deviations'!A1:C731,3,FALSE)</f>
        <v>-3.2061896101337308</v>
      </c>
      <c r="J148" s="139">
        <f>I148-VLOOKUP(B$2,H1:J208,2,FALSE)</f>
        <v>-9.543240334340334</v>
      </c>
    </row>
    <row r="149" spans="1:10" ht="21.2" customHeight="1">
      <c r="A149" s="8" t="s">
        <v>659</v>
      </c>
      <c r="B149" s="56" t="str">
        <f>VLOOKUP(A149,'The List'!B1:D730,3,FALSE)</f>
        <v>C,LW,RW</v>
      </c>
      <c r="C149" s="57">
        <f>IF(Settings!$E$15="POINTS",RANK(E149,E3:E208),H149)</f>
        <v>140</v>
      </c>
      <c r="D149" s="34" t="str">
        <f>VLOOKUP(A149,'The List'!B1:F730,5,FALSE)</f>
        <v>VGK</v>
      </c>
      <c r="E149" s="38">
        <f>VLOOKUP(A149,'The List'!B1:I730,8,FALSE)</f>
        <v>-2.3998666408683369</v>
      </c>
      <c r="F149" s="38">
        <f>IF(Settings!$E$15="POINTS",E149-VLOOKUP(B$2,C1:E208,3,FALSE),J149)</f>
        <v>-8.7369173650749392</v>
      </c>
      <c r="G149" s="38"/>
      <c r="H149" s="138">
        <f>RANK(I149,I3:I208)</f>
        <v>140</v>
      </c>
      <c r="I149" s="139">
        <f>VLOOKUP(A149,'Standard Deviations'!A1:C731,3,FALSE)</f>
        <v>-2.3998666408683369</v>
      </c>
      <c r="J149" s="139">
        <f>I149-VLOOKUP(B$2,H1:J208,2,FALSE)</f>
        <v>-8.7369173650749392</v>
      </c>
    </row>
    <row r="150" spans="1:10" ht="21.2" customHeight="1">
      <c r="A150" s="8" t="s">
        <v>716</v>
      </c>
      <c r="B150" s="56" t="str">
        <f>VLOOKUP(A150,'The List'!B1:D730,3,FALSE)</f>
        <v>C</v>
      </c>
      <c r="C150" s="57">
        <f>IF(Settings!$E$15="POINTS",RANK(E150,E3:E208),H150)</f>
        <v>157</v>
      </c>
      <c r="D150" s="34" t="str">
        <f>VLOOKUP(A150,'The List'!B1:F730,5,FALSE)</f>
        <v>MTL</v>
      </c>
      <c r="E150" s="38">
        <f>VLOOKUP(A150,'The List'!B1:I730,8,FALSE)</f>
        <v>-3.181183264652045</v>
      </c>
      <c r="F150" s="38">
        <f>IF(Settings!$E$15="POINTS",E150-VLOOKUP(B$2,C1:E208,3,FALSE),J150)</f>
        <v>-9.5182339888586469</v>
      </c>
      <c r="G150" s="38"/>
      <c r="H150" s="138">
        <f>RANK(I150,I3:I208)</f>
        <v>157</v>
      </c>
      <c r="I150" s="139">
        <f>VLOOKUP(A150,'Standard Deviations'!A1:C731,3,FALSE)</f>
        <v>-3.181183264652045</v>
      </c>
      <c r="J150" s="139">
        <f>I150-VLOOKUP(B$2,H1:J208,2,FALSE)</f>
        <v>-9.5182339888586469</v>
      </c>
    </row>
    <row r="151" spans="1:10" ht="21.2" customHeight="1">
      <c r="A151" s="8" t="s">
        <v>699</v>
      </c>
      <c r="B151" s="56" t="str">
        <f>VLOOKUP(A151,'The List'!B1:D730,3,FALSE)</f>
        <v>C,LW</v>
      </c>
      <c r="C151" s="57">
        <f>IF(Settings!$E$15="POINTS",RANK(E151,E3:E208),H151)</f>
        <v>161</v>
      </c>
      <c r="D151" s="34" t="str">
        <f>VLOOKUP(A151,'The List'!B1:F730,5,FALSE)</f>
        <v>VAN</v>
      </c>
      <c r="E151" s="38">
        <f>VLOOKUP(A151,'The List'!B1:I730,8,FALSE)</f>
        <v>-3.2771970947890514</v>
      </c>
      <c r="F151" s="38">
        <f>IF(Settings!$E$15="POINTS",E151-VLOOKUP(B$2,C1:E208,3,FALSE),J151)</f>
        <v>-9.6142478189956542</v>
      </c>
      <c r="G151" s="38"/>
      <c r="H151" s="138">
        <f>RANK(I151,I3:I208)</f>
        <v>161</v>
      </c>
      <c r="I151" s="139">
        <f>VLOOKUP(A151,'Standard Deviations'!A1:C731,3,FALSE)</f>
        <v>-3.2771970947890514</v>
      </c>
      <c r="J151" s="139">
        <f>I151-VLOOKUP(B$2,H1:J208,2,FALSE)</f>
        <v>-9.6142478189956542</v>
      </c>
    </row>
    <row r="152" spans="1:10" ht="21.2" customHeight="1">
      <c r="A152" s="8" t="s">
        <v>700</v>
      </c>
      <c r="B152" s="56" t="str">
        <f>VLOOKUP(A152,'The List'!B1:D730,3,FALSE)</f>
        <v>C,LW</v>
      </c>
      <c r="C152" s="57">
        <f>IF(Settings!$E$15="POINTS",RANK(E152,E3:E208),H152)</f>
        <v>126</v>
      </c>
      <c r="D152" s="34" t="str">
        <f>VLOOKUP(A152,'The List'!B1:F730,5,FALSE)</f>
        <v>CGY</v>
      </c>
      <c r="E152" s="38">
        <f>VLOOKUP(A152,'The List'!B1:I730,8,FALSE)</f>
        <v>-1.4147091682657735</v>
      </c>
      <c r="F152" s="38">
        <f>IF(Settings!$E$15="POINTS",E152-VLOOKUP(B$2,C1:E208,3,FALSE),J152)</f>
        <v>-7.7517598924723767</v>
      </c>
      <c r="G152" s="38"/>
      <c r="H152" s="138">
        <f>RANK(I152,I3:I208)</f>
        <v>126</v>
      </c>
      <c r="I152" s="139">
        <f>VLOOKUP(A152,'Standard Deviations'!A1:C731,3,FALSE)</f>
        <v>-1.4147091682657735</v>
      </c>
      <c r="J152" s="139">
        <f>I152-VLOOKUP(B$2,H1:J208,2,FALSE)</f>
        <v>-7.7517598924723767</v>
      </c>
    </row>
    <row r="153" spans="1:10" ht="21.2" customHeight="1">
      <c r="A153" s="8" t="s">
        <v>667</v>
      </c>
      <c r="B153" s="56" t="str">
        <f>VLOOKUP(A153,'The List'!B1:D730,3,FALSE)</f>
        <v>C,RW</v>
      </c>
      <c r="C153" s="57">
        <f>IF(Settings!$E$15="POINTS",RANK(E153,E3:E208),H153)</f>
        <v>151</v>
      </c>
      <c r="D153" s="34" t="str">
        <f>VLOOKUP(A153,'The List'!B1:F730,5,FALSE)</f>
        <v>DAL</v>
      </c>
      <c r="E153" s="38">
        <f>VLOOKUP(A153,'The List'!B1:I730,8,FALSE)</f>
        <v>-3.0212929414005476</v>
      </c>
      <c r="F153" s="38">
        <f>IF(Settings!$E$15="POINTS",E153-VLOOKUP(B$2,C1:E208,3,FALSE),J153)</f>
        <v>-9.3583436656071513</v>
      </c>
      <c r="G153" s="38"/>
      <c r="H153" s="138">
        <f>RANK(I153,I3:I208)</f>
        <v>151</v>
      </c>
      <c r="I153" s="139">
        <f>VLOOKUP(A153,'Standard Deviations'!A1:C731,3,FALSE)</f>
        <v>-3.0212929414005476</v>
      </c>
      <c r="J153" s="139">
        <f>I153-VLOOKUP(B$2,H1:J208,2,FALSE)</f>
        <v>-9.3583436656071513</v>
      </c>
    </row>
    <row r="154" spans="1:10" ht="21.2" customHeight="1">
      <c r="A154" s="8" t="s">
        <v>721</v>
      </c>
      <c r="B154" s="56" t="str">
        <f>VLOOKUP(A154,'The List'!B1:D730,3,FALSE)</f>
        <v>C</v>
      </c>
      <c r="C154" s="57">
        <f>IF(Settings!$E$15="POINTS",RANK(E154,E3:E208),H154)</f>
        <v>165</v>
      </c>
      <c r="D154" s="34" t="str">
        <f>VLOOKUP(A154,'The List'!B1:F730,5,FALSE)</f>
        <v>BUF</v>
      </c>
      <c r="E154" s="38">
        <f>VLOOKUP(A154,'The List'!B1:I730,8,FALSE)</f>
        <v>-3.3766255928054751</v>
      </c>
      <c r="F154" s="38">
        <f>IF(Settings!$E$15="POINTS",E154-VLOOKUP(B$2,C1:E208,3,FALSE),J154)</f>
        <v>-9.7136763170120783</v>
      </c>
      <c r="G154" s="38"/>
      <c r="H154" s="138">
        <f>RANK(I154,I3:I208)</f>
        <v>165</v>
      </c>
      <c r="I154" s="139">
        <f>VLOOKUP(A154,'Standard Deviations'!A1:C731,3,FALSE)</f>
        <v>-3.3766255928054751</v>
      </c>
      <c r="J154" s="139">
        <f>I154-VLOOKUP(B$2,H1:J208,2,FALSE)</f>
        <v>-9.7136763170120783</v>
      </c>
    </row>
    <row r="155" spans="1:10" ht="21.2" customHeight="1">
      <c r="A155" s="8" t="s">
        <v>725</v>
      </c>
      <c r="B155" s="56" t="str">
        <f>VLOOKUP(A155,'The List'!B1:D730,3,FALSE)</f>
        <v>C</v>
      </c>
      <c r="C155" s="57">
        <f>IF(Settings!$E$15="POINTS",RANK(E155,E3:E208),H155)</f>
        <v>169</v>
      </c>
      <c r="D155" s="34" t="str">
        <f>VLOOKUP(A155,'The List'!B1:F730,5,FALSE)</f>
        <v>CBJ</v>
      </c>
      <c r="E155" s="38">
        <f>VLOOKUP(A155,'The List'!B1:I730,8,FALSE)</f>
        <v>-3.5286071320844878</v>
      </c>
      <c r="F155" s="38">
        <f>IF(Settings!$E$15="POINTS",E155-VLOOKUP(B$2,C1:E208,3,FALSE),J155)</f>
        <v>-9.8656578562910902</v>
      </c>
      <c r="G155" s="38"/>
      <c r="H155" s="138">
        <f>RANK(I155,I3:I208)</f>
        <v>169</v>
      </c>
      <c r="I155" s="139">
        <f>VLOOKUP(A155,'Standard Deviations'!A1:C731,3,FALSE)</f>
        <v>-3.5286071320844878</v>
      </c>
      <c r="J155" s="139">
        <f>I155-VLOOKUP(B$2,H1:J208,2,FALSE)</f>
        <v>-9.8656578562910902</v>
      </c>
    </row>
    <row r="156" spans="1:10" ht="21.2" customHeight="1">
      <c r="A156" s="8" t="s">
        <v>726</v>
      </c>
      <c r="B156" s="56" t="str">
        <f>VLOOKUP(A156,'The List'!B1:D730,3,FALSE)</f>
        <v>C</v>
      </c>
      <c r="C156" s="57">
        <f>IF(Settings!$E$15="POINTS",RANK(E156,E3:E208),H156)</f>
        <v>168</v>
      </c>
      <c r="D156" s="34" t="str">
        <f>VLOOKUP(A156,'The List'!B1:F730,5,FALSE)</f>
        <v>WSH</v>
      </c>
      <c r="E156" s="38">
        <f>VLOOKUP(A156,'The List'!B1:I730,8,FALSE)</f>
        <v>-3.4968471789960325</v>
      </c>
      <c r="F156" s="38">
        <f>IF(Settings!$E$15="POINTS",E156-VLOOKUP(B$2,C1:E208,3,FALSE),J156)</f>
        <v>-9.8338979032026348</v>
      </c>
      <c r="G156" s="38"/>
      <c r="H156" s="138">
        <f>RANK(I156,I3:I208)</f>
        <v>168</v>
      </c>
      <c r="I156" s="139">
        <f>VLOOKUP(A156,'Standard Deviations'!A1:C731,3,FALSE)</f>
        <v>-3.4968471789960325</v>
      </c>
      <c r="J156" s="139">
        <f>I156-VLOOKUP(B$2,H1:J208,2,FALSE)</f>
        <v>-9.8338979032026348</v>
      </c>
    </row>
    <row r="157" spans="1:10" ht="21.2" customHeight="1">
      <c r="A157" s="8" t="s">
        <v>729</v>
      </c>
      <c r="B157" s="56" t="str">
        <f>VLOOKUP(A157,'The List'!B1:D730,3,FALSE)</f>
        <v>C</v>
      </c>
      <c r="C157" s="57">
        <f>IF(Settings!$E$15="POINTS",RANK(E157,E3:E208),H157)</f>
        <v>162</v>
      </c>
      <c r="D157" s="34" t="str">
        <f>VLOOKUP(A157,'The List'!B1:F730,5,FALSE)</f>
        <v>ANA</v>
      </c>
      <c r="E157" s="38">
        <f>VLOOKUP(A157,'The List'!B1:I730,8,FALSE)</f>
        <v>-3.3096231344637013</v>
      </c>
      <c r="F157" s="38">
        <f>IF(Settings!$E$15="POINTS",E157-VLOOKUP(B$2,C1:E208,3,FALSE),J157)</f>
        <v>-9.6466738586703045</v>
      </c>
      <c r="G157" s="38"/>
      <c r="H157" s="138">
        <f>RANK(I157,I3:I208)</f>
        <v>162</v>
      </c>
      <c r="I157" s="139">
        <f>VLOOKUP(A157,'Standard Deviations'!A1:C731,3,FALSE)</f>
        <v>-3.3096231344637013</v>
      </c>
      <c r="J157" s="139">
        <f>I157-VLOOKUP(B$2,H1:J208,2,FALSE)</f>
        <v>-9.6466738586703045</v>
      </c>
    </row>
    <row r="158" spans="1:10" ht="21.2" customHeight="1">
      <c r="A158" s="8" t="s">
        <v>730</v>
      </c>
      <c r="B158" s="56" t="str">
        <f>VLOOKUP(A158,'The List'!B1:D730,3,FALSE)</f>
        <v>C</v>
      </c>
      <c r="C158" s="57">
        <f>IF(Settings!$E$15="POINTS",RANK(E158,E3:E208),H158)</f>
        <v>164</v>
      </c>
      <c r="D158" s="34" t="str">
        <f>VLOOKUP(A158,'The List'!B1:F730,5,FALSE)</f>
        <v>ARI</v>
      </c>
      <c r="E158" s="38">
        <f>VLOOKUP(A158,'The List'!B1:I730,8,FALSE)</f>
        <v>-3.3704092008296289</v>
      </c>
      <c r="F158" s="38">
        <f>IF(Settings!$E$15="POINTS",E158-VLOOKUP(B$2,C1:E208,3,FALSE),J158)</f>
        <v>-9.7074599250362326</v>
      </c>
      <c r="G158" s="38"/>
      <c r="H158" s="138">
        <f>RANK(I158,I3:I208)</f>
        <v>164</v>
      </c>
      <c r="I158" s="139">
        <f>VLOOKUP(A158,'Standard Deviations'!A1:C731,3,FALSE)</f>
        <v>-3.3704092008296289</v>
      </c>
      <c r="J158" s="139">
        <f>I158-VLOOKUP(B$2,H1:J208,2,FALSE)</f>
        <v>-9.7074599250362326</v>
      </c>
    </row>
    <row r="159" spans="1:10" ht="21.2" customHeight="1">
      <c r="A159" s="8" t="s">
        <v>707</v>
      </c>
      <c r="B159" s="56" t="str">
        <f>VLOOKUP(A159,'The List'!B1:D730,3,FALSE)</f>
        <v>C,LW</v>
      </c>
      <c r="C159" s="57">
        <f>IF(Settings!$E$15="POINTS",RANK(E159,E3:E208),H159)</f>
        <v>144</v>
      </c>
      <c r="D159" s="34" t="str">
        <f>VLOOKUP(A159,'The List'!B1:F730,5,FALSE)</f>
        <v>BUF</v>
      </c>
      <c r="E159" s="38">
        <f>VLOOKUP(A159,'The List'!B1:I730,8,FALSE)</f>
        <v>-2.6070083433644391</v>
      </c>
      <c r="F159" s="38">
        <f>IF(Settings!$E$15="POINTS",E159-VLOOKUP(B$2,C1:E208,3,FALSE),J159)</f>
        <v>-8.9440590675710414</v>
      </c>
      <c r="G159" s="38"/>
      <c r="H159" s="138">
        <f>RANK(I159,I3:I208)</f>
        <v>144</v>
      </c>
      <c r="I159" s="139">
        <f>VLOOKUP(A159,'Standard Deviations'!A1:C731,3,FALSE)</f>
        <v>-2.6070083433644391</v>
      </c>
      <c r="J159" s="139">
        <f>I159-VLOOKUP(B$2,H1:J208,2,FALSE)</f>
        <v>-8.9440590675710414</v>
      </c>
    </row>
    <row r="160" spans="1:10" ht="21.2" customHeight="1">
      <c r="A160" s="8" t="s">
        <v>731</v>
      </c>
      <c r="B160" s="56" t="str">
        <f>VLOOKUP(A160,'The List'!B1:D730,3,FALSE)</f>
        <v>C</v>
      </c>
      <c r="C160" s="57">
        <f>IF(Settings!$E$15="POINTS",RANK(E160,E3:E208),H160)</f>
        <v>172</v>
      </c>
      <c r="D160" s="34" t="str">
        <f>VLOOKUP(A160,'The List'!B1:F730,5,FALSE)</f>
        <v>NJD</v>
      </c>
      <c r="E160" s="38">
        <f>VLOOKUP(A160,'The List'!B1:I730,8,FALSE)</f>
        <v>-3.6247672085559506</v>
      </c>
      <c r="F160" s="38">
        <f>IF(Settings!$E$15="POINTS",E160-VLOOKUP(B$2,C1:E208,3,FALSE),J160)</f>
        <v>-9.9618179327625533</v>
      </c>
      <c r="G160" s="38"/>
      <c r="H160" s="138">
        <f>RANK(I160,I3:I208)</f>
        <v>172</v>
      </c>
      <c r="I160" s="139">
        <f>VLOOKUP(A160,'Standard Deviations'!A1:C731,3,FALSE)</f>
        <v>-3.6247672085559506</v>
      </c>
      <c r="J160" s="139">
        <f>I160-VLOOKUP(B$2,H1:J208,2,FALSE)</f>
        <v>-9.9618179327625533</v>
      </c>
    </row>
    <row r="161" spans="1:10" ht="21.2" customHeight="1">
      <c r="A161" s="8" t="s">
        <v>684</v>
      </c>
      <c r="B161" s="56" t="str">
        <f>VLOOKUP(A161,'The List'!B1:D730,3,FALSE)</f>
        <v>C,LW,RW</v>
      </c>
      <c r="C161" s="57">
        <f>IF(Settings!$E$15="POINTS",RANK(E161,E3:E208),H161)</f>
        <v>167</v>
      </c>
      <c r="D161" s="34" t="str">
        <f>VLOOKUP(A161,'The List'!B1:F730,5,FALSE)</f>
        <v>PIT</v>
      </c>
      <c r="E161" s="38">
        <f>VLOOKUP(A161,'The List'!B1:I730,8,FALSE)</f>
        <v>-3.4126410702631458</v>
      </c>
      <c r="F161" s="38">
        <f>IF(Settings!$E$15="POINTS",E161-VLOOKUP(B$2,C1:E208,3,FALSE),J161)</f>
        <v>-9.749691794469749</v>
      </c>
      <c r="G161" s="38"/>
      <c r="H161" s="138">
        <f>RANK(I161,I3:I208)</f>
        <v>167</v>
      </c>
      <c r="I161" s="139">
        <f>VLOOKUP(A161,'Standard Deviations'!A1:C731,3,FALSE)</f>
        <v>-3.4126410702631458</v>
      </c>
      <c r="J161" s="139">
        <f>I161-VLOOKUP(B$2,H1:J208,2,FALSE)</f>
        <v>-9.749691794469749</v>
      </c>
    </row>
    <row r="162" spans="1:10" ht="21.2" customHeight="1">
      <c r="A162" s="8" t="s">
        <v>685</v>
      </c>
      <c r="B162" s="56" t="str">
        <f>VLOOKUP(A162,'The List'!B1:D730,3,FALSE)</f>
        <v>C,RW</v>
      </c>
      <c r="C162" s="57">
        <f>IF(Settings!$E$15="POINTS",RANK(E162,E3:E208),H162)</f>
        <v>146</v>
      </c>
      <c r="D162" s="34" t="str">
        <f>VLOOKUP(A162,'The List'!B1:F730,5,FALSE)</f>
        <v>CBJ</v>
      </c>
      <c r="E162" s="38">
        <f>VLOOKUP(A162,'The List'!B1:I730,8,FALSE)</f>
        <v>-2.7323736687853604</v>
      </c>
      <c r="F162" s="38">
        <f>IF(Settings!$E$15="POINTS",E162-VLOOKUP(B$2,C1:E208,3,FALSE),J162)</f>
        <v>-9.0694243929919622</v>
      </c>
      <c r="G162" s="38"/>
      <c r="H162" s="138">
        <f>RANK(I162,I3:I208)</f>
        <v>146</v>
      </c>
      <c r="I162" s="139">
        <f>VLOOKUP(A162,'Standard Deviations'!A1:C731,3,FALSE)</f>
        <v>-2.7323736687853604</v>
      </c>
      <c r="J162" s="139">
        <f>I162-VLOOKUP(B$2,H1:J208,2,FALSE)</f>
        <v>-9.0694243929919622</v>
      </c>
    </row>
    <row r="163" spans="1:10" ht="21.2" customHeight="1">
      <c r="A163" s="8" t="s">
        <v>709</v>
      </c>
      <c r="B163" s="56" t="str">
        <f>VLOOKUP(A163,'The List'!B1:D730,3,FALSE)</f>
        <v>C,LW</v>
      </c>
      <c r="C163" s="57">
        <f>IF(Settings!$E$15="POINTS",RANK(E163,E3:E208),H163)</f>
        <v>148</v>
      </c>
      <c r="D163" s="34" t="str">
        <f>VLOOKUP(A163,'The List'!B1:F730,5,FALSE)</f>
        <v>WPG</v>
      </c>
      <c r="E163" s="38">
        <f>VLOOKUP(A163,'The List'!B1:I730,8,FALSE)</f>
        <v>-2.778755064654594</v>
      </c>
      <c r="F163" s="38">
        <f>IF(Settings!$E$15="POINTS",E163-VLOOKUP(B$2,C1:E208,3,FALSE),J163)</f>
        <v>-9.1158057888611967</v>
      </c>
      <c r="G163" s="38"/>
      <c r="H163" s="138">
        <f>RANK(I163,I3:I208)</f>
        <v>148</v>
      </c>
      <c r="I163" s="139">
        <f>VLOOKUP(A163,'Standard Deviations'!A1:C731,3,FALSE)</f>
        <v>-2.778755064654594</v>
      </c>
      <c r="J163" s="139">
        <f>I163-VLOOKUP(B$2,H1:J208,2,FALSE)</f>
        <v>-9.1158057888611967</v>
      </c>
    </row>
    <row r="164" spans="1:10" ht="21.2" customHeight="1">
      <c r="A164" s="8" t="s">
        <v>713</v>
      </c>
      <c r="B164" s="56" t="str">
        <f>VLOOKUP(A164,'The List'!B1:D730,3,FALSE)</f>
        <v>C,LW</v>
      </c>
      <c r="C164" s="57">
        <f>IF(Settings!$E$15="POINTS",RANK(E164,E3:E208),H164)</f>
        <v>154</v>
      </c>
      <c r="D164" s="34" t="str">
        <f>VLOOKUP(A164,'The List'!B1:F730,5,FALSE)</f>
        <v>VGK</v>
      </c>
      <c r="E164" s="38">
        <f>VLOOKUP(A164,'The List'!B1:I730,8,FALSE)</f>
        <v>-3.153600121502623</v>
      </c>
      <c r="F164" s="38">
        <f>IF(Settings!$E$15="POINTS",E164-VLOOKUP(B$2,C1:E208,3,FALSE),J164)</f>
        <v>-9.4906508457092258</v>
      </c>
      <c r="G164" s="38"/>
      <c r="H164" s="138">
        <f>RANK(I164,I3:I208)</f>
        <v>154</v>
      </c>
      <c r="I164" s="139">
        <f>VLOOKUP(A164,'Standard Deviations'!A1:C731,3,FALSE)</f>
        <v>-3.153600121502623</v>
      </c>
      <c r="J164" s="139">
        <f>I164-VLOOKUP(B$2,H1:J208,2,FALSE)</f>
        <v>-9.4906508457092258</v>
      </c>
    </row>
    <row r="165" spans="1:10" ht="21.2" customHeight="1">
      <c r="A165" s="8" t="s">
        <v>714</v>
      </c>
      <c r="B165" s="56" t="str">
        <f>VLOOKUP(A165,'The List'!B1:D730,3,FALSE)</f>
        <v>C,LW</v>
      </c>
      <c r="C165" s="57">
        <f>IF(Settings!$E$15="POINTS",RANK(E165,E3:E208),H165)</f>
        <v>138</v>
      </c>
      <c r="D165" s="34" t="str">
        <f>VLOOKUP(A165,'The List'!B1:F730,5,FALSE)</f>
        <v>OTT</v>
      </c>
      <c r="E165" s="38">
        <f>VLOOKUP(A165,'The List'!B1:I730,8,FALSE)</f>
        <v>-2.318433919128486</v>
      </c>
      <c r="F165" s="38">
        <f>IF(Settings!$E$15="POINTS",E165-VLOOKUP(B$2,C1:E208,3,FALSE),J165)</f>
        <v>-8.6554846433350896</v>
      </c>
      <c r="G165" s="38"/>
      <c r="H165" s="138">
        <f>RANK(I165,I3:I208)</f>
        <v>138</v>
      </c>
      <c r="I165" s="139">
        <f>VLOOKUP(A165,'Standard Deviations'!A1:C731,3,FALSE)</f>
        <v>-2.318433919128486</v>
      </c>
      <c r="J165" s="139">
        <f>I165-VLOOKUP(B$2,H1:J208,2,FALSE)</f>
        <v>-8.6554846433350896</v>
      </c>
    </row>
    <row r="166" spans="1:10" ht="21.2" customHeight="1">
      <c r="A166" s="8" t="s">
        <v>740</v>
      </c>
      <c r="B166" s="56" t="str">
        <f>VLOOKUP(A166,'The List'!B1:D730,3,FALSE)</f>
        <v>C</v>
      </c>
      <c r="C166" s="57">
        <f>IF(Settings!$E$15="POINTS",RANK(E166,E3:E208),H166)</f>
        <v>181</v>
      </c>
      <c r="D166" s="34" t="str">
        <f>VLOOKUP(A166,'The List'!B1:F730,5,FALSE)</f>
        <v>NYI</v>
      </c>
      <c r="E166" s="38">
        <f>VLOOKUP(A166,'The List'!B1:I730,8,FALSE)</f>
        <v>-4.04614124404804</v>
      </c>
      <c r="F166" s="38">
        <f>IF(Settings!$E$15="POINTS",E166-VLOOKUP(B$2,C1:E208,3,FALSE),J166)</f>
        <v>-10.383191968254643</v>
      </c>
      <c r="G166" s="38"/>
      <c r="H166" s="138">
        <f>RANK(I166,I3:I208)</f>
        <v>181</v>
      </c>
      <c r="I166" s="139">
        <f>VLOOKUP(A166,'Standard Deviations'!A1:C731,3,FALSE)</f>
        <v>-4.04614124404804</v>
      </c>
      <c r="J166" s="139">
        <f>I166-VLOOKUP(B$2,H1:J208,2,FALSE)</f>
        <v>-10.383191968254643</v>
      </c>
    </row>
    <row r="167" spans="1:10" ht="21.2" customHeight="1">
      <c r="A167" s="8" t="s">
        <v>717</v>
      </c>
      <c r="B167" s="56" t="str">
        <f>VLOOKUP(A167,'The List'!B1:D730,3,FALSE)</f>
        <v>C,LW</v>
      </c>
      <c r="C167" s="57">
        <f>IF(Settings!$E$15="POINTS",RANK(E167,E3:E208),H167)</f>
        <v>145</v>
      </c>
      <c r="D167" s="34" t="str">
        <f>VLOOKUP(A167,'The List'!B1:F730,5,FALSE)</f>
        <v>VGK</v>
      </c>
      <c r="E167" s="38">
        <f>VLOOKUP(A167,'The List'!B1:I730,8,FALSE)</f>
        <v>-2.6563174119345847</v>
      </c>
      <c r="F167" s="38">
        <f>IF(Settings!$E$15="POINTS",E167-VLOOKUP(B$2,C1:E208,3,FALSE),J167)</f>
        <v>-8.9933681361411875</v>
      </c>
      <c r="G167" s="38"/>
      <c r="H167" s="138">
        <f>RANK(I167,I3:I208)</f>
        <v>145</v>
      </c>
      <c r="I167" s="139">
        <f>VLOOKUP(A167,'Standard Deviations'!A1:C731,3,FALSE)</f>
        <v>-2.6563174119345847</v>
      </c>
      <c r="J167" s="139">
        <f>I167-VLOOKUP(B$2,H1:J208,2,FALSE)</f>
        <v>-8.9933681361411875</v>
      </c>
    </row>
    <row r="168" spans="1:10" ht="21.2" customHeight="1">
      <c r="A168" s="8" t="s">
        <v>752</v>
      </c>
      <c r="B168" s="56" t="str">
        <f>VLOOKUP(A168,'The List'!B1:D730,3,FALSE)</f>
        <v>C</v>
      </c>
      <c r="C168" s="57">
        <f>IF(Settings!$E$15="POINTS",RANK(E168,E3:E208),H168)</f>
        <v>191</v>
      </c>
      <c r="D168" s="34" t="str">
        <f>VLOOKUP(A168,'The List'!B1:F730,5,FALSE)</f>
        <v>DAL</v>
      </c>
      <c r="E168" s="38">
        <f>VLOOKUP(A168,'The List'!B1:I730,8,FALSE)</f>
        <v>-4.3609326607280181</v>
      </c>
      <c r="F168" s="38">
        <f>IF(Settings!$E$15="POINTS",E168-VLOOKUP(B$2,C1:E208,3,FALSE),J168)</f>
        <v>-10.69798338493462</v>
      </c>
      <c r="G168" s="38"/>
      <c r="H168" s="138">
        <f>RANK(I168,I3:I208)</f>
        <v>191</v>
      </c>
      <c r="I168" s="139">
        <f>VLOOKUP(A168,'Standard Deviations'!A1:C731,3,FALSE)</f>
        <v>-4.3609326607280181</v>
      </c>
      <c r="J168" s="139">
        <f>I168-VLOOKUP(B$2,H1:J208,2,FALSE)</f>
        <v>-10.69798338493462</v>
      </c>
    </row>
    <row r="169" spans="1:10" ht="21.2" customHeight="1">
      <c r="A169" s="8" t="s">
        <v>753</v>
      </c>
      <c r="B169" s="56" t="str">
        <f>VLOOKUP(A169,'The List'!B1:D730,3,FALSE)</f>
        <v>C</v>
      </c>
      <c r="C169" s="57">
        <f>IF(Settings!$E$15="POINTS",RANK(E169,E3:E208),H169)</f>
        <v>175</v>
      </c>
      <c r="D169" s="34" t="str">
        <f>VLOOKUP(A169,'The List'!B1:F730,5,FALSE)</f>
        <v>PHI</v>
      </c>
      <c r="E169" s="38">
        <f>VLOOKUP(A169,'The List'!B1:I730,8,FALSE)</f>
        <v>-3.6869900761947458</v>
      </c>
      <c r="F169" s="38">
        <f>IF(Settings!$E$15="POINTS",E169-VLOOKUP(B$2,C1:E208,3,FALSE),J169)</f>
        <v>-10.024040800401348</v>
      </c>
      <c r="G169" s="38"/>
      <c r="H169" s="138">
        <f>RANK(I169,I3:I208)</f>
        <v>175</v>
      </c>
      <c r="I169" s="139">
        <f>VLOOKUP(A169,'Standard Deviations'!A1:C731,3,FALSE)</f>
        <v>-3.6869900761947458</v>
      </c>
      <c r="J169" s="139">
        <f>I169-VLOOKUP(B$2,H1:J208,2,FALSE)</f>
        <v>-10.024040800401348</v>
      </c>
    </row>
    <row r="170" spans="1:10" ht="21.2" customHeight="1">
      <c r="A170" s="8" t="s">
        <v>701</v>
      </c>
      <c r="B170" s="56" t="str">
        <f>VLOOKUP(A170,'The List'!B1:D730,3,FALSE)</f>
        <v>C,RW</v>
      </c>
      <c r="C170" s="57">
        <f>IF(Settings!$E$15="POINTS",RANK(E170,E3:E208),H170)</f>
        <v>166</v>
      </c>
      <c r="D170" s="34" t="str">
        <f>VLOOKUP(A170,'The List'!B1:F730,5,FALSE)</f>
        <v>ARI</v>
      </c>
      <c r="E170" s="38">
        <f>VLOOKUP(A170,'The List'!B1:I730,8,FALSE)</f>
        <v>-3.3951565016949661</v>
      </c>
      <c r="F170" s="38">
        <f>IF(Settings!$E$15="POINTS",E170-VLOOKUP(B$2,C1:E208,3,FALSE),J170)</f>
        <v>-9.7322072259015684</v>
      </c>
      <c r="G170" s="38"/>
      <c r="H170" s="138">
        <f>RANK(I170,I3:I208)</f>
        <v>166</v>
      </c>
      <c r="I170" s="139">
        <f>VLOOKUP(A170,'Standard Deviations'!A1:C731,3,FALSE)</f>
        <v>-3.3951565016949661</v>
      </c>
      <c r="J170" s="139">
        <f>I170-VLOOKUP(B$2,H1:J208,2,FALSE)</f>
        <v>-9.7322072259015684</v>
      </c>
    </row>
    <row r="171" spans="1:10" ht="21.2" customHeight="1">
      <c r="A171" s="8" t="s">
        <v>723</v>
      </c>
      <c r="B171" s="56" t="str">
        <f>VLOOKUP(A171,'The List'!B1:D730,3,FALSE)</f>
        <v>C,LW</v>
      </c>
      <c r="C171" s="57">
        <f>IF(Settings!$E$15="POINTS",RANK(E171,E3:E208),H171)</f>
        <v>158</v>
      </c>
      <c r="D171" s="34" t="str">
        <f>VLOOKUP(A171,'The List'!B1:F730,5,FALSE)</f>
        <v>WSH</v>
      </c>
      <c r="E171" s="38">
        <f>VLOOKUP(A171,'The List'!B1:I730,8,FALSE)</f>
        <v>-3.181932982573926</v>
      </c>
      <c r="F171" s="38">
        <f>IF(Settings!$E$15="POINTS",E171-VLOOKUP(B$2,C1:E208,3,FALSE),J171)</f>
        <v>-9.5189837067805279</v>
      </c>
      <c r="G171" s="38"/>
      <c r="H171" s="138">
        <f>RANK(I171,I3:I208)</f>
        <v>158</v>
      </c>
      <c r="I171" s="139">
        <f>VLOOKUP(A171,'Standard Deviations'!A1:C731,3,FALSE)</f>
        <v>-3.181932982573926</v>
      </c>
      <c r="J171" s="139">
        <f>I171-VLOOKUP(B$2,H1:J208,2,FALSE)</f>
        <v>-9.5189837067805279</v>
      </c>
    </row>
    <row r="172" spans="1:10" ht="21.2" customHeight="1">
      <c r="A172" s="8" t="s">
        <v>756</v>
      </c>
      <c r="B172" s="56" t="str">
        <f>VLOOKUP(A172,'The List'!B1:D730,3,FALSE)</f>
        <v>C</v>
      </c>
      <c r="C172" s="57">
        <f>IF(Settings!$E$15="POINTS",RANK(E172,E3:E208),H172)</f>
        <v>174</v>
      </c>
      <c r="D172" s="34" t="str">
        <f>VLOOKUP(A172,'The List'!B1:F730,5,FALSE)</f>
        <v>DAL</v>
      </c>
      <c r="E172" s="38">
        <f>VLOOKUP(A172,'The List'!B1:I730,8,FALSE)</f>
        <v>-3.6725022325197183</v>
      </c>
      <c r="F172" s="38">
        <f>IF(Settings!$E$15="POINTS",E172-VLOOKUP(B$2,C1:E208,3,FALSE),J172)</f>
        <v>-10.009552956726321</v>
      </c>
      <c r="G172" s="38"/>
      <c r="H172" s="138">
        <f>RANK(I172,I3:I208)</f>
        <v>174</v>
      </c>
      <c r="I172" s="139">
        <f>VLOOKUP(A172,'Standard Deviations'!A1:C731,3,FALSE)</f>
        <v>-3.6725022325197183</v>
      </c>
      <c r="J172" s="139">
        <f>I172-VLOOKUP(B$2,H1:J208,2,FALSE)</f>
        <v>-10.009552956726321</v>
      </c>
    </row>
    <row r="173" spans="1:10" ht="21.2" customHeight="1">
      <c r="A173" s="8" t="s">
        <v>734</v>
      </c>
      <c r="B173" s="56" t="str">
        <f>VLOOKUP(A173,'The List'!B1:D730,3,FALSE)</f>
        <v>C,LW</v>
      </c>
      <c r="C173" s="57">
        <f>IF(Settings!$E$15="POINTS",RANK(E173,E3:E208),H173)</f>
        <v>178</v>
      </c>
      <c r="D173" s="34" t="str">
        <f>VLOOKUP(A173,'The List'!B1:F730,5,FALSE)</f>
        <v>BUF</v>
      </c>
      <c r="E173" s="38">
        <f>VLOOKUP(A173,'The List'!B1:I730,8,FALSE)</f>
        <v>-3.9752289640747072</v>
      </c>
      <c r="F173" s="38">
        <f>IF(Settings!$E$15="POINTS",E173-VLOOKUP(B$2,C1:E208,3,FALSE),J173)</f>
        <v>-10.312279688281309</v>
      </c>
      <c r="G173" s="38"/>
      <c r="H173" s="138">
        <f>RANK(I173,I3:I208)</f>
        <v>178</v>
      </c>
      <c r="I173" s="139">
        <f>VLOOKUP(A173,'Standard Deviations'!A1:C731,3,FALSE)</f>
        <v>-3.9752289640747072</v>
      </c>
      <c r="J173" s="139">
        <f>I173-VLOOKUP(B$2,H1:J208,2,FALSE)</f>
        <v>-10.312279688281309</v>
      </c>
    </row>
    <row r="174" spans="1:10" ht="21.2" customHeight="1">
      <c r="A174" s="8" t="s">
        <v>735</v>
      </c>
      <c r="B174" s="56" t="str">
        <f>VLOOKUP(A174,'The List'!B1:D730,3,FALSE)</f>
        <v>C,LW</v>
      </c>
      <c r="C174" s="57">
        <f>IF(Settings!$E$15="POINTS",RANK(E174,E3:E208),H174)</f>
        <v>143</v>
      </c>
      <c r="D174" s="34" t="str">
        <f>VLOOKUP(A174,'The List'!B1:F730,5,FALSE)</f>
        <v>WSH</v>
      </c>
      <c r="E174" s="38">
        <f>VLOOKUP(A174,'The List'!B1:I730,8,FALSE)</f>
        <v>-2.5729813082637349</v>
      </c>
      <c r="F174" s="38">
        <f>IF(Settings!$E$15="POINTS",E174-VLOOKUP(B$2,C1:E208,3,FALSE),J174)</f>
        <v>-8.9100320324703368</v>
      </c>
      <c r="G174" s="38"/>
      <c r="H174" s="138">
        <f>RANK(I174,I3:I208)</f>
        <v>143</v>
      </c>
      <c r="I174" s="139">
        <f>VLOOKUP(A174,'Standard Deviations'!A1:C731,3,FALSE)</f>
        <v>-2.5729813082637349</v>
      </c>
      <c r="J174" s="139">
        <f>I174-VLOOKUP(B$2,H1:J208,2,FALSE)</f>
        <v>-8.9100320324703368</v>
      </c>
    </row>
    <row r="175" spans="1:10" ht="21.2" customHeight="1">
      <c r="A175" s="8" t="s">
        <v>736</v>
      </c>
      <c r="B175" s="56" t="str">
        <f>VLOOKUP(A175,'The List'!B1:D730,3,FALSE)</f>
        <v>C,LW</v>
      </c>
      <c r="C175" s="57">
        <f>IF(Settings!$E$15="POINTS",RANK(E175,E3:E208),H175)</f>
        <v>180</v>
      </c>
      <c r="D175" s="34" t="str">
        <f>VLOOKUP(A175,'The List'!B1:F730,5,FALSE)</f>
        <v>NYR</v>
      </c>
      <c r="E175" s="38">
        <f>VLOOKUP(A175,'The List'!B1:I730,8,FALSE)</f>
        <v>-4.0336687034884982</v>
      </c>
      <c r="F175" s="38">
        <f>IF(Settings!$E$15="POINTS",E175-VLOOKUP(B$2,C1:E208,3,FALSE),J175)</f>
        <v>-10.3707194276951</v>
      </c>
      <c r="G175" s="38"/>
      <c r="H175" s="138">
        <f>RANK(I175,I3:I208)</f>
        <v>180</v>
      </c>
      <c r="I175" s="139">
        <f>VLOOKUP(A175,'Standard Deviations'!A1:C731,3,FALSE)</f>
        <v>-4.0336687034884982</v>
      </c>
      <c r="J175" s="139">
        <f>I175-VLOOKUP(B$2,H1:J208,2,FALSE)</f>
        <v>-10.3707194276951</v>
      </c>
    </row>
    <row r="176" spans="1:10" ht="21.2" customHeight="1">
      <c r="A176" s="8" t="s">
        <v>762</v>
      </c>
      <c r="B176" s="56" t="str">
        <f>VLOOKUP(A176,'The List'!B1:D730,3,FALSE)</f>
        <v>C</v>
      </c>
      <c r="C176" s="57">
        <f>IF(Settings!$E$15="POINTS",RANK(E176,E3:E208),H176)</f>
        <v>182</v>
      </c>
      <c r="D176" s="34" t="str">
        <f>VLOOKUP(A176,'The List'!B1:F730,5,FALSE)</f>
        <v>FLA</v>
      </c>
      <c r="E176" s="38">
        <f>VLOOKUP(A176,'The List'!B1:I730,8,FALSE)</f>
        <v>-4.0934979612669631</v>
      </c>
      <c r="F176" s="38">
        <f>IF(Settings!$E$15="POINTS",E176-VLOOKUP(B$2,C1:E208,3,FALSE),J176)</f>
        <v>-10.430548685473566</v>
      </c>
      <c r="G176" s="38"/>
      <c r="H176" s="138">
        <f>RANK(I176,I3:I208)</f>
        <v>182</v>
      </c>
      <c r="I176" s="139">
        <f>VLOOKUP(A176,'Standard Deviations'!A1:C731,3,FALSE)</f>
        <v>-4.0934979612669631</v>
      </c>
      <c r="J176" s="139">
        <f>I176-VLOOKUP(B$2,H1:J208,2,FALSE)</f>
        <v>-10.430548685473566</v>
      </c>
    </row>
    <row r="177" spans="1:10" ht="21.2" customHeight="1">
      <c r="A177" s="8" t="s">
        <v>767</v>
      </c>
      <c r="B177" s="56" t="str">
        <f>VLOOKUP(A177,'The List'!B1:D730,3,FALSE)</f>
        <v>C</v>
      </c>
      <c r="C177" s="57">
        <f>IF(Settings!$E$15="POINTS",RANK(E177,E3:E208),H177)</f>
        <v>190</v>
      </c>
      <c r="D177" s="34" t="str">
        <f>VLOOKUP(A177,'The List'!B1:F730,5,FALSE)</f>
        <v>EDM</v>
      </c>
      <c r="E177" s="38">
        <f>VLOOKUP(A177,'The List'!B1:I730,8,FALSE)</f>
        <v>-4.3501785895838188</v>
      </c>
      <c r="F177" s="38">
        <f>IF(Settings!$E$15="POINTS",E177-VLOOKUP(B$2,C1:E208,3,FALSE),J177)</f>
        <v>-10.687229313790422</v>
      </c>
      <c r="G177" s="38"/>
      <c r="H177" s="138">
        <f>RANK(I177,I3:I208)</f>
        <v>190</v>
      </c>
      <c r="I177" s="139">
        <f>VLOOKUP(A177,'Standard Deviations'!A1:C731,3,FALSE)</f>
        <v>-4.3501785895838188</v>
      </c>
      <c r="J177" s="139">
        <f>I177-VLOOKUP(B$2,H1:J208,2,FALSE)</f>
        <v>-10.687229313790422</v>
      </c>
    </row>
    <row r="178" spans="1:10" ht="21.2" customHeight="1">
      <c r="A178" s="8" t="s">
        <v>750</v>
      </c>
      <c r="B178" s="56" t="str">
        <f>VLOOKUP(A178,'The List'!B1:D730,3,FALSE)</f>
        <v>C,LW</v>
      </c>
      <c r="C178" s="57">
        <f>IF(Settings!$E$15="POINTS",RANK(E178,E3:E208),H178)</f>
        <v>108</v>
      </c>
      <c r="D178" s="34" t="str">
        <f>VLOOKUP(A178,'The List'!B1:F730,5,FALSE)</f>
        <v>CGY</v>
      </c>
      <c r="E178" s="38">
        <f>VLOOKUP(A178,'The List'!B1:I730,8,FALSE)</f>
        <v>-0.4382943085740027</v>
      </c>
      <c r="F178" s="38">
        <f>IF(Settings!$E$15="POINTS",E178-VLOOKUP(B$2,C1:E208,3,FALSE),J178)</f>
        <v>-6.7753450327806055</v>
      </c>
      <c r="G178" s="38"/>
      <c r="H178" s="138">
        <f>RANK(I178,I3:I208)</f>
        <v>108</v>
      </c>
      <c r="I178" s="139">
        <f>VLOOKUP(A178,'Standard Deviations'!A1:C731,3,FALSE)</f>
        <v>-0.4382943085740027</v>
      </c>
      <c r="J178" s="139">
        <f>I178-VLOOKUP(B$2,H1:J208,2,FALSE)</f>
        <v>-6.7753450327806055</v>
      </c>
    </row>
    <row r="179" spans="1:10" ht="21.2" customHeight="1">
      <c r="A179" s="8" t="s">
        <v>755</v>
      </c>
      <c r="B179" s="56" t="str">
        <f>VLOOKUP(A179,'The List'!B1:D730,3,FALSE)</f>
        <v>C,LW</v>
      </c>
      <c r="C179" s="57">
        <f>IF(Settings!$E$15="POINTS",RANK(E179,E3:E208),H179)</f>
        <v>186</v>
      </c>
      <c r="D179" s="34" t="str">
        <f>VLOOKUP(A179,'The List'!B1:F730,5,FALSE)</f>
        <v>MIN</v>
      </c>
      <c r="E179" s="38">
        <f>VLOOKUP(A179,'The List'!B1:I730,8,FALSE)</f>
        <v>-4.1870475440077968</v>
      </c>
      <c r="F179" s="38">
        <f>IF(Settings!$E$15="POINTS",E179-VLOOKUP(B$2,C1:E208,3,FALSE),J179)</f>
        <v>-10.524098268214399</v>
      </c>
      <c r="G179" s="38"/>
      <c r="H179" s="138">
        <f>RANK(I179,I3:I208)</f>
        <v>186</v>
      </c>
      <c r="I179" s="139">
        <f>VLOOKUP(A179,'Standard Deviations'!A1:C731,3,FALSE)</f>
        <v>-4.1870475440077968</v>
      </c>
      <c r="J179" s="139">
        <f>I179-VLOOKUP(B$2,H1:J208,2,FALSE)</f>
        <v>-10.524098268214399</v>
      </c>
    </row>
    <row r="180" spans="1:10" ht="21.2" customHeight="1">
      <c r="A180" s="8" t="s">
        <v>757</v>
      </c>
      <c r="B180" s="56" t="str">
        <f>VLOOKUP(A180,'The List'!B1:D730,3,FALSE)</f>
        <v>C,LW</v>
      </c>
      <c r="C180" s="57">
        <f>IF(Settings!$E$15="POINTS",RANK(E180,E3:E208),H180)</f>
        <v>184</v>
      </c>
      <c r="D180" s="34" t="str">
        <f>VLOOKUP(A180,'The List'!B1:F730,5,FALSE)</f>
        <v>NJD</v>
      </c>
      <c r="E180" s="38">
        <f>VLOOKUP(A180,'The List'!B1:I730,8,FALSE)</f>
        <v>-4.1360754113078348</v>
      </c>
      <c r="F180" s="38">
        <f>IF(Settings!$E$15="POINTS",E180-VLOOKUP(B$2,C1:E208,3,FALSE),J180)</f>
        <v>-10.473126135514438</v>
      </c>
      <c r="G180" s="38"/>
      <c r="H180" s="138">
        <f>RANK(I180,I3:I208)</f>
        <v>184</v>
      </c>
      <c r="I180" s="139">
        <f>VLOOKUP(A180,'Standard Deviations'!A1:C731,3,FALSE)</f>
        <v>-4.1360754113078348</v>
      </c>
      <c r="J180" s="139">
        <f>I180-VLOOKUP(B$2,H1:J208,2,FALSE)</f>
        <v>-10.473126135514438</v>
      </c>
    </row>
    <row r="181" spans="1:10" ht="21.2" customHeight="1">
      <c r="A181" s="8" t="s">
        <v>732</v>
      </c>
      <c r="B181" s="56" t="str">
        <f>VLOOKUP(A181,'The List'!B1:D730,3,FALSE)</f>
        <v>C,RW</v>
      </c>
      <c r="C181" s="57">
        <f>IF(Settings!$E$15="POINTS",RANK(E181,E3:E208),H181)</f>
        <v>177</v>
      </c>
      <c r="D181" s="34" t="str">
        <f>VLOOKUP(A181,'The List'!B1:F730,5,FALSE)</f>
        <v>VAN</v>
      </c>
      <c r="E181" s="38">
        <f>VLOOKUP(A181,'The List'!B1:I730,8,FALSE)</f>
        <v>-3.92227209384464</v>
      </c>
      <c r="F181" s="38">
        <f>IF(Settings!$E$15="POINTS",E181-VLOOKUP(B$2,C1:E208,3,FALSE),J181)</f>
        <v>-10.259322818051242</v>
      </c>
      <c r="G181" s="38"/>
      <c r="H181" s="138">
        <f>RANK(I181,I3:I208)</f>
        <v>177</v>
      </c>
      <c r="I181" s="139">
        <f>VLOOKUP(A181,'Standard Deviations'!A1:C731,3,FALSE)</f>
        <v>-3.92227209384464</v>
      </c>
      <c r="J181" s="139">
        <f>I181-VLOOKUP(B$2,H1:J208,2,FALSE)</f>
        <v>-10.259322818051242</v>
      </c>
    </row>
    <row r="182" spans="1:10" ht="21.2" customHeight="1">
      <c r="A182" s="8" t="s">
        <v>782</v>
      </c>
      <c r="B182" s="56" t="str">
        <f>VLOOKUP(A182,'The List'!B1:D730,3,FALSE)</f>
        <v>C</v>
      </c>
      <c r="C182" s="57">
        <f>IF(Settings!$E$15="POINTS",RANK(E182,E3:E208),H182)</f>
        <v>188</v>
      </c>
      <c r="D182" s="34" t="str">
        <f>VLOOKUP(A182,'The List'!B1:F730,5,FALSE)</f>
        <v>DET</v>
      </c>
      <c r="E182" s="38">
        <f>VLOOKUP(A182,'The List'!B1:I730,8,FALSE)</f>
        <v>-4.21386934212887</v>
      </c>
      <c r="F182" s="38">
        <f>IF(Settings!$E$15="POINTS",E182-VLOOKUP(B$2,C1:E208,3,FALSE),J182)</f>
        <v>-10.550920066335472</v>
      </c>
      <c r="G182" s="38"/>
      <c r="H182" s="138">
        <f>RANK(I182,I3:I208)</f>
        <v>188</v>
      </c>
      <c r="I182" s="139">
        <f>VLOOKUP(A182,'Standard Deviations'!A1:C731,3,FALSE)</f>
        <v>-4.21386934212887</v>
      </c>
      <c r="J182" s="139">
        <f>I182-VLOOKUP(B$2,H1:J208,2,FALSE)</f>
        <v>-10.550920066335472</v>
      </c>
    </row>
    <row r="183" spans="1:10" ht="21.2" customHeight="1">
      <c r="A183" s="8" t="s">
        <v>784</v>
      </c>
      <c r="B183" s="56" t="str">
        <f>VLOOKUP(A183,'The List'!B1:D730,3,FALSE)</f>
        <v>C</v>
      </c>
      <c r="C183" s="57">
        <f>IF(Settings!$E$15="POINTS",RANK(E183,E3:E208),H183)</f>
        <v>189</v>
      </c>
      <c r="D183" s="34" t="str">
        <f>VLOOKUP(A183,'The List'!B1:F730,5,FALSE)</f>
        <v>BOS</v>
      </c>
      <c r="E183" s="38">
        <f>VLOOKUP(A183,'The List'!B1:I730,8,FALSE)</f>
        <v>-4.293258721438324</v>
      </c>
      <c r="F183" s="38">
        <f>IF(Settings!$E$15="POINTS",E183-VLOOKUP(B$2,C1:E208,3,FALSE),J183)</f>
        <v>-10.630309445644926</v>
      </c>
      <c r="G183" s="38"/>
      <c r="H183" s="138">
        <f>RANK(I183,I3:I208)</f>
        <v>189</v>
      </c>
      <c r="I183" s="139">
        <f>VLOOKUP(A183,'Standard Deviations'!A1:C731,3,FALSE)</f>
        <v>-4.293258721438324</v>
      </c>
      <c r="J183" s="139">
        <f>I183-VLOOKUP(B$2,H1:J208,2,FALSE)</f>
        <v>-10.630309445644926</v>
      </c>
    </row>
    <row r="184" spans="1:10" ht="21.2" customHeight="1">
      <c r="A184" s="8" t="s">
        <v>738</v>
      </c>
      <c r="B184" s="56" t="str">
        <f>VLOOKUP(A184,'The List'!B1:D730,3,FALSE)</f>
        <v>C,RW</v>
      </c>
      <c r="C184" s="57">
        <f>IF(Settings!$E$15="POINTS",RANK(E184,E3:E208),H184)</f>
        <v>152</v>
      </c>
      <c r="D184" s="34" t="str">
        <f>VLOOKUP(A184,'The List'!B1:F730,5,FALSE)</f>
        <v>NYR</v>
      </c>
      <c r="E184" s="38">
        <f>VLOOKUP(A184,'The List'!B1:I730,8,FALSE)</f>
        <v>-3.0449206317509745</v>
      </c>
      <c r="F184" s="38">
        <f>IF(Settings!$E$15="POINTS",E184-VLOOKUP(B$2,C1:E208,3,FALSE),J184)</f>
        <v>-9.3819713559575781</v>
      </c>
      <c r="G184" s="38"/>
      <c r="H184" s="138">
        <f>RANK(I184,I3:I208)</f>
        <v>152</v>
      </c>
      <c r="I184" s="139">
        <f>VLOOKUP(A184,'Standard Deviations'!A1:C731,3,FALSE)</f>
        <v>-3.0449206317509745</v>
      </c>
      <c r="J184" s="139">
        <f>I184-VLOOKUP(B$2,H1:J208,2,FALSE)</f>
        <v>-9.3819713559575781</v>
      </c>
    </row>
    <row r="185" spans="1:10" ht="21.2" customHeight="1">
      <c r="A185" s="8" t="s">
        <v>739</v>
      </c>
      <c r="B185" s="56" t="str">
        <f>VLOOKUP(A185,'The List'!B1:D730,3,FALSE)</f>
        <v>C,LW,RW</v>
      </c>
      <c r="C185" s="57">
        <f>IF(Settings!$E$15="POINTS",RANK(E185,E3:E208),H185)</f>
        <v>170</v>
      </c>
      <c r="D185" s="34" t="str">
        <f>VLOOKUP(A185,'The List'!B1:F730,5,FALSE)</f>
        <v>OTT</v>
      </c>
      <c r="E185" s="38">
        <f>VLOOKUP(A185,'The List'!B1:I730,8,FALSE)</f>
        <v>-3.5922632471769935</v>
      </c>
      <c r="F185" s="38">
        <f>IF(Settings!$E$15="POINTS",E185-VLOOKUP(B$2,C1:E208,3,FALSE),J185)</f>
        <v>-9.9293139713835963</v>
      </c>
      <c r="G185" s="38"/>
      <c r="H185" s="138">
        <f>RANK(I185,I3:I208)</f>
        <v>170</v>
      </c>
      <c r="I185" s="139">
        <f>VLOOKUP(A185,'Standard Deviations'!A1:C731,3,FALSE)</f>
        <v>-3.5922632471769935</v>
      </c>
      <c r="J185" s="139">
        <f>I185-VLOOKUP(B$2,H1:J208,2,FALSE)</f>
        <v>-9.9293139713835963</v>
      </c>
    </row>
    <row r="186" spans="1:10" ht="21.2" customHeight="1">
      <c r="A186" s="8" t="s">
        <v>766</v>
      </c>
      <c r="B186" s="56" t="str">
        <f>VLOOKUP(A186,'The List'!B1:D730,3,FALSE)</f>
        <v>C,LW</v>
      </c>
      <c r="C186" s="57">
        <f>IF(Settings!$E$15="POINTS",RANK(E186,E3:E208),H186)</f>
        <v>173</v>
      </c>
      <c r="D186" s="34" t="str">
        <f>VLOOKUP(A186,'The List'!B1:F730,5,FALSE)</f>
        <v>BOS</v>
      </c>
      <c r="E186" s="38">
        <f>VLOOKUP(A186,'The List'!B1:I730,8,FALSE)</f>
        <v>-3.6277871407283206</v>
      </c>
      <c r="F186" s="38">
        <f>IF(Settings!$E$15="POINTS",E186-VLOOKUP(B$2,C1:E208,3,FALSE),J186)</f>
        <v>-9.964837864934923</v>
      </c>
      <c r="G186" s="38"/>
      <c r="H186" s="138">
        <f>RANK(I186,I3:I208)</f>
        <v>173</v>
      </c>
      <c r="I186" s="139">
        <f>VLOOKUP(A186,'Standard Deviations'!A1:C731,3,FALSE)</f>
        <v>-3.6277871407283206</v>
      </c>
      <c r="J186" s="139">
        <f>I186-VLOOKUP(B$2,H1:J208,2,FALSE)</f>
        <v>-9.964837864934923</v>
      </c>
    </row>
    <row r="187" spans="1:10" ht="21.2" customHeight="1">
      <c r="A187" s="8" t="s">
        <v>768</v>
      </c>
      <c r="B187" s="56" t="str">
        <f>VLOOKUP(A187,'The List'!B1:D730,3,FALSE)</f>
        <v>C,LW</v>
      </c>
      <c r="C187" s="57">
        <f>IF(Settings!$E$15="POINTS",RANK(E187,E3:E208),H187)</f>
        <v>163</v>
      </c>
      <c r="D187" s="34" t="str">
        <f>VLOOKUP(A187,'The List'!B1:F730,5,FALSE)</f>
        <v>CAR</v>
      </c>
      <c r="E187" s="38">
        <f>VLOOKUP(A187,'The List'!B1:I730,8,FALSE)</f>
        <v>-3.322707621279247</v>
      </c>
      <c r="F187" s="38">
        <f>IF(Settings!$E$15="POINTS",E187-VLOOKUP(B$2,C1:E208,3,FALSE),J187)</f>
        <v>-9.6597583454858498</v>
      </c>
      <c r="G187" s="38"/>
      <c r="H187" s="138">
        <f>RANK(I187,I3:I208)</f>
        <v>163</v>
      </c>
      <c r="I187" s="139">
        <f>VLOOKUP(A187,'Standard Deviations'!A1:C731,3,FALSE)</f>
        <v>-3.322707621279247</v>
      </c>
      <c r="J187" s="139">
        <f>I187-VLOOKUP(B$2,H1:J208,2,FALSE)</f>
        <v>-9.6597583454858498</v>
      </c>
    </row>
    <row r="188" spans="1:10" ht="21.2" customHeight="1">
      <c r="A188" s="8" t="s">
        <v>790</v>
      </c>
      <c r="B188" s="56" t="str">
        <f>VLOOKUP(A188,'The List'!B1:D730,3,FALSE)</f>
        <v>C</v>
      </c>
      <c r="C188" s="57">
        <f>IF(Settings!$E$15="POINTS",RANK(E188,E3:E208),H188)</f>
        <v>176</v>
      </c>
      <c r="D188" s="34" t="str">
        <f>VLOOKUP(A188,'The List'!B1:F730,5,FALSE)</f>
        <v>VAN</v>
      </c>
      <c r="E188" s="38">
        <f>VLOOKUP(A188,'The List'!B1:I730,8,FALSE)</f>
        <v>-3.8956330070904084</v>
      </c>
      <c r="F188" s="38">
        <f>IF(Settings!$E$15="POINTS",E188-VLOOKUP(B$2,C1:E208,3,FALSE),J188)</f>
        <v>-10.232683731297012</v>
      </c>
      <c r="G188" s="38"/>
      <c r="H188" s="138">
        <f>RANK(I188,I3:I208)</f>
        <v>176</v>
      </c>
      <c r="I188" s="139">
        <f>VLOOKUP(A188,'Standard Deviations'!A1:C731,3,FALSE)</f>
        <v>-3.8956330070904084</v>
      </c>
      <c r="J188" s="139">
        <f>I188-VLOOKUP(B$2,H1:J208,2,FALSE)</f>
        <v>-10.232683731297012</v>
      </c>
    </row>
    <row r="189" spans="1:10" ht="21.2" customHeight="1">
      <c r="A189" s="8" t="s">
        <v>772</v>
      </c>
      <c r="B189" s="56" t="str">
        <f>VLOOKUP(A189,'The List'!B1:D730,3,FALSE)</f>
        <v>C,LW</v>
      </c>
      <c r="C189" s="57">
        <f>IF(Settings!$E$15="POINTS",RANK(E189,E3:E208),H189)</f>
        <v>179</v>
      </c>
      <c r="D189" s="34" t="str">
        <f>VLOOKUP(A189,'The List'!B1:F730,5,FALSE)</f>
        <v>LAK</v>
      </c>
      <c r="E189" s="38">
        <f>VLOOKUP(A189,'The List'!B1:I730,8,FALSE)</f>
        <v>-4.0097239398523401</v>
      </c>
      <c r="F189" s="38">
        <f>IF(Settings!$E$15="POINTS",E189-VLOOKUP(B$2,C1:E208,3,FALSE),J189)</f>
        <v>-10.346774664058943</v>
      </c>
      <c r="G189" s="38"/>
      <c r="H189" s="138">
        <f>RANK(I189,I3:I208)</f>
        <v>179</v>
      </c>
      <c r="I189" s="139">
        <f>VLOOKUP(A189,'Standard Deviations'!A1:C731,3,FALSE)</f>
        <v>-4.0097239398523401</v>
      </c>
      <c r="J189" s="139">
        <f>I189-VLOOKUP(B$2,H1:J208,2,FALSE)</f>
        <v>-10.346774664058943</v>
      </c>
    </row>
    <row r="190" spans="1:10" ht="21.2" customHeight="1">
      <c r="A190" s="8" t="s">
        <v>792</v>
      </c>
      <c r="B190" s="56" t="str">
        <f>VLOOKUP(A190,'The List'!B1:D730,3,FALSE)</f>
        <v>C</v>
      </c>
      <c r="C190" s="57">
        <f>IF(Settings!$E$15="POINTS",RANK(E190,E3:E208),H190)</f>
        <v>183</v>
      </c>
      <c r="D190" s="34" t="str">
        <f>VLOOKUP(A190,'The List'!B1:F730,5,FALSE)</f>
        <v>VAN</v>
      </c>
      <c r="E190" s="38">
        <f>VLOOKUP(A190,'The List'!B1:I730,8,FALSE)</f>
        <v>-4.108399234921988</v>
      </c>
      <c r="F190" s="38">
        <f>IF(Settings!$E$15="POINTS",E190-VLOOKUP(B$2,C1:E208,3,FALSE),J190)</f>
        <v>-10.445449959128592</v>
      </c>
      <c r="G190" s="38"/>
      <c r="H190" s="138">
        <f>RANK(I190,I3:I208)</f>
        <v>183</v>
      </c>
      <c r="I190" s="139">
        <f>VLOOKUP(A190,'Standard Deviations'!A1:C731,3,FALSE)</f>
        <v>-4.108399234921988</v>
      </c>
      <c r="J190" s="139">
        <f>I190-VLOOKUP(B$2,H1:J208,2,FALSE)</f>
        <v>-10.445449959128592</v>
      </c>
    </row>
    <row r="191" spans="1:10" ht="21.2" customHeight="1">
      <c r="A191" s="8" t="s">
        <v>795</v>
      </c>
      <c r="B191" s="56" t="str">
        <f>VLOOKUP(A191,'The List'!B1:D730,3,FALSE)</f>
        <v>C</v>
      </c>
      <c r="C191" s="57">
        <f>IF(Settings!$E$15="POINTS",RANK(E191,E3:E208),H191)</f>
        <v>197</v>
      </c>
      <c r="D191" s="34" t="str">
        <f>VLOOKUP(A191,'The List'!B1:F730,5,FALSE)</f>
        <v>WPG</v>
      </c>
      <c r="E191" s="38">
        <f>VLOOKUP(A191,'The List'!B1:I730,8,FALSE)</f>
        <v>-4.7428499497974599</v>
      </c>
      <c r="F191" s="38">
        <f>IF(Settings!$E$15="POINTS",E191-VLOOKUP(B$2,C1:E208,3,FALSE),J191)</f>
        <v>-11.079900674004062</v>
      </c>
      <c r="G191" s="38"/>
      <c r="H191" s="138">
        <f>RANK(I191,I3:I208)</f>
        <v>197</v>
      </c>
      <c r="I191" s="139">
        <f>VLOOKUP(A191,'Standard Deviations'!A1:C731,3,FALSE)</f>
        <v>-4.7428499497974599</v>
      </c>
      <c r="J191" s="139">
        <f>I191-VLOOKUP(B$2,H1:J208,2,FALSE)</f>
        <v>-11.079900674004062</v>
      </c>
    </row>
    <row r="192" spans="1:10" ht="21.2" customHeight="1">
      <c r="A192" s="8" t="s">
        <v>798</v>
      </c>
      <c r="B192" s="56" t="str">
        <f>VLOOKUP(A192,'The List'!B1:D730,3,FALSE)</f>
        <v>C</v>
      </c>
      <c r="C192" s="57">
        <f>IF(Settings!$E$15="POINTS",RANK(E192,E3:E208),H192)</f>
        <v>185</v>
      </c>
      <c r="D192" s="34" t="str">
        <f>VLOOKUP(A192,'The List'!B1:F730,5,FALSE)</f>
        <v>FLA</v>
      </c>
      <c r="E192" s="38">
        <f>VLOOKUP(A192,'The List'!B1:I730,8,FALSE)</f>
        <v>-4.1519749657502603</v>
      </c>
      <c r="F192" s="38">
        <f>IF(Settings!$E$15="POINTS",E192-VLOOKUP(B$2,C1:E208,3,FALSE),J192)</f>
        <v>-10.489025689956863</v>
      </c>
      <c r="G192" s="38"/>
      <c r="H192" s="138">
        <f>RANK(I192,I3:I208)</f>
        <v>185</v>
      </c>
      <c r="I192" s="139">
        <f>VLOOKUP(A192,'Standard Deviations'!A1:C731,3,FALSE)</f>
        <v>-4.1519749657502603</v>
      </c>
      <c r="J192" s="139">
        <f>I192-VLOOKUP(B$2,H1:J208,2,FALSE)</f>
        <v>-10.489025689956863</v>
      </c>
    </row>
    <row r="193" spans="1:10" ht="21.2" customHeight="1">
      <c r="A193" s="8" t="s">
        <v>800</v>
      </c>
      <c r="B193" s="56" t="str">
        <f>VLOOKUP(A193,'The List'!B1:D730,3,FALSE)</f>
        <v>C</v>
      </c>
      <c r="C193" s="57">
        <f>IF(Settings!$E$15="POINTS",RANK(E193,E3:E208),H193)</f>
        <v>187</v>
      </c>
      <c r="D193" s="34" t="str">
        <f>VLOOKUP(A193,'The List'!B1:F730,5,FALSE)</f>
        <v>STL</v>
      </c>
      <c r="E193" s="38">
        <f>VLOOKUP(A193,'The List'!B1:I730,8,FALSE)</f>
        <v>-4.1986590508874677</v>
      </c>
      <c r="F193" s="38">
        <f>IF(Settings!$E$15="POINTS",E193-VLOOKUP(B$2,C1:E208,3,FALSE),J193)</f>
        <v>-10.53570977509407</v>
      </c>
      <c r="G193" s="38"/>
      <c r="H193" s="138">
        <f>RANK(I193,I3:I208)</f>
        <v>187</v>
      </c>
      <c r="I193" s="139">
        <f>VLOOKUP(A193,'Standard Deviations'!A1:C731,3,FALSE)</f>
        <v>-4.1986590508874677</v>
      </c>
      <c r="J193" s="139">
        <f>I193-VLOOKUP(B$2,H1:J208,2,FALSE)</f>
        <v>-10.53570977509407</v>
      </c>
    </row>
    <row r="194" spans="1:10" ht="21.2" customHeight="1">
      <c r="A194" s="8" t="s">
        <v>801</v>
      </c>
      <c r="B194" s="56" t="str">
        <f>VLOOKUP(A194,'The List'!B1:D730,3,FALSE)</f>
        <v>C</v>
      </c>
      <c r="C194" s="57">
        <f>IF(Settings!$E$15="POINTS",RANK(E194,E3:E208),H194)</f>
        <v>193</v>
      </c>
      <c r="D194" s="34" t="str">
        <f>VLOOKUP(A194,'The List'!B1:F730,5,FALSE)</f>
        <v>ANA</v>
      </c>
      <c r="E194" s="38">
        <f>VLOOKUP(A194,'The List'!B1:I730,8,FALSE)</f>
        <v>-4.5419599854583117</v>
      </c>
      <c r="F194" s="38">
        <f>IF(Settings!$E$15="POINTS",E194-VLOOKUP(B$2,C1:E208,3,FALSE),J194)</f>
        <v>-10.879010709664914</v>
      </c>
      <c r="G194" s="38"/>
      <c r="H194" s="138">
        <f>RANK(I194,I3:I208)</f>
        <v>193</v>
      </c>
      <c r="I194" s="139">
        <f>VLOOKUP(A194,'Standard Deviations'!A1:C731,3,FALSE)</f>
        <v>-4.5419599854583117</v>
      </c>
      <c r="J194" s="139">
        <f>I194-VLOOKUP(B$2,H1:J208,2,FALSE)</f>
        <v>-10.879010709664914</v>
      </c>
    </row>
    <row r="195" spans="1:10" ht="21.2" customHeight="1">
      <c r="A195" s="8" t="s">
        <v>802</v>
      </c>
      <c r="B195" s="56" t="str">
        <f>VLOOKUP(A195,'The List'!B1:D730,3,FALSE)</f>
        <v>C</v>
      </c>
      <c r="C195" s="57">
        <f>IF(Settings!$E$15="POINTS",RANK(E195,E3:E208),H195)</f>
        <v>171</v>
      </c>
      <c r="D195" s="34" t="str">
        <f>VLOOKUP(A195,'The List'!B1:F730,5,FALSE)</f>
        <v>MIN</v>
      </c>
      <c r="E195" s="38">
        <f>VLOOKUP(A195,'The List'!B1:I730,8,FALSE)</f>
        <v>-3.606072166397408</v>
      </c>
      <c r="F195" s="38">
        <f>IF(Settings!$E$15="POINTS",E195-VLOOKUP(B$2,C1:E208,3,FALSE),J195)</f>
        <v>-9.9431228906040108</v>
      </c>
      <c r="G195" s="38"/>
      <c r="H195" s="138">
        <f>RANK(I195,I3:I208)</f>
        <v>171</v>
      </c>
      <c r="I195" s="139">
        <f>VLOOKUP(A195,'Standard Deviations'!A1:C731,3,FALSE)</f>
        <v>-3.606072166397408</v>
      </c>
      <c r="J195" s="139">
        <f>I195-VLOOKUP(B$2,H1:J208,2,FALSE)</f>
        <v>-9.9431228906040108</v>
      </c>
    </row>
    <row r="196" spans="1:10" ht="21.2" customHeight="1">
      <c r="A196" s="8" t="s">
        <v>804</v>
      </c>
      <c r="B196" s="56" t="str">
        <f>VLOOKUP(A196,'The List'!B1:D730,3,FALSE)</f>
        <v>C</v>
      </c>
      <c r="C196" s="57">
        <f>IF(Settings!$E$15="POINTS",RANK(E196,E3:E208),H196)</f>
        <v>196</v>
      </c>
      <c r="D196" s="34" t="str">
        <f>VLOOKUP(A196,'The List'!B1:F730,5,FALSE)</f>
        <v>OTT</v>
      </c>
      <c r="E196" s="38">
        <f>VLOOKUP(A196,'The List'!B1:I730,8,FALSE)</f>
        <v>-4.62097402251562</v>
      </c>
      <c r="F196" s="38">
        <f>IF(Settings!$E$15="POINTS",E196-VLOOKUP(B$2,C1:E208,3,FALSE),J196)</f>
        <v>-10.958024746722224</v>
      </c>
      <c r="G196" s="38"/>
      <c r="H196" s="138">
        <f>RANK(I196,I3:I208)</f>
        <v>196</v>
      </c>
      <c r="I196" s="139">
        <f>VLOOKUP(A196,'Standard Deviations'!A1:C731,3,FALSE)</f>
        <v>-4.62097402251562</v>
      </c>
      <c r="J196" s="139">
        <f>I196-VLOOKUP(B$2,H1:J208,2,FALSE)</f>
        <v>-10.958024746722224</v>
      </c>
    </row>
    <row r="197" spans="1:10" ht="21.2" customHeight="1">
      <c r="A197" s="8" t="s">
        <v>811</v>
      </c>
      <c r="B197" s="56" t="str">
        <f>VLOOKUP(A197,'The List'!B1:D730,3,FALSE)</f>
        <v>C</v>
      </c>
      <c r="C197" s="57">
        <f>IF(Settings!$E$15="POINTS",RANK(E197,E3:E208),H197)</f>
        <v>205</v>
      </c>
      <c r="D197" s="34" t="str">
        <f>VLOOKUP(A197,'The List'!B1:F730,5,FALSE)</f>
        <v>TBL</v>
      </c>
      <c r="E197" s="38">
        <f>VLOOKUP(A197,'The List'!B1:I730,8,FALSE)</f>
        <v>-5.5105457446545163</v>
      </c>
      <c r="F197" s="38">
        <f>IF(Settings!$E$15="POINTS",E197-VLOOKUP(B$2,C1:E208,3,FALSE),J197)</f>
        <v>-11.84759646886112</v>
      </c>
      <c r="G197" s="38"/>
      <c r="H197" s="138">
        <f>RANK(I197,I3:I208)</f>
        <v>205</v>
      </c>
      <c r="I197" s="139">
        <f>VLOOKUP(A197,'Standard Deviations'!A1:C731,3,FALSE)</f>
        <v>-5.5105457446545163</v>
      </c>
      <c r="J197" s="139">
        <f>I197-VLOOKUP(B$2,H1:J208,2,FALSE)</f>
        <v>-11.84759646886112</v>
      </c>
    </row>
    <row r="198" spans="1:10" ht="21.2" customHeight="1">
      <c r="A198" s="8" t="s">
        <v>774</v>
      </c>
      <c r="B198" s="56" t="str">
        <f>VLOOKUP(A198,'The List'!B1:D730,3,FALSE)</f>
        <v>C,RW</v>
      </c>
      <c r="C198" s="57">
        <f>IF(Settings!$E$15="POINTS",RANK(E198,E3:E208),H198)</f>
        <v>198</v>
      </c>
      <c r="D198" s="34" t="str">
        <f>VLOOKUP(A198,'The List'!B1:F730,5,FALSE)</f>
        <v>NYR</v>
      </c>
      <c r="E198" s="38">
        <f>VLOOKUP(A198,'The List'!B1:I730,8,FALSE)</f>
        <v>-4.7758294702794828</v>
      </c>
      <c r="F198" s="38">
        <f>IF(Settings!$E$15="POINTS",E198-VLOOKUP(B$2,C1:E208,3,FALSE),J198)</f>
        <v>-11.112880194486085</v>
      </c>
      <c r="G198" s="38"/>
      <c r="H198" s="138">
        <f>RANK(I198,I3:I208)</f>
        <v>198</v>
      </c>
      <c r="I198" s="139">
        <f>VLOOKUP(A198,'Standard Deviations'!A1:C731,3,FALSE)</f>
        <v>-4.7758294702794828</v>
      </c>
      <c r="J198" s="139">
        <f>I198-VLOOKUP(B$2,H1:J208,2,FALSE)</f>
        <v>-11.112880194486085</v>
      </c>
    </row>
    <row r="199" spans="1:10" ht="21.2" customHeight="1">
      <c r="A199" s="8" t="s">
        <v>814</v>
      </c>
      <c r="B199" s="56" t="str">
        <f>VLOOKUP(A199,'The List'!B1:D730,3,FALSE)</f>
        <v>C</v>
      </c>
      <c r="C199" s="57">
        <f>IF(Settings!$E$15="POINTS",RANK(E199,E3:E208),H199)</f>
        <v>194</v>
      </c>
      <c r="D199" s="34" t="str">
        <f>VLOOKUP(A199,'The List'!B1:F730,5,FALSE)</f>
        <v>TBL</v>
      </c>
      <c r="E199" s="38">
        <f>VLOOKUP(A199,'The List'!B1:I730,8,FALSE)</f>
        <v>-4.5730397615199969</v>
      </c>
      <c r="F199" s="38">
        <f>IF(Settings!$E$15="POINTS",E199-VLOOKUP(B$2,C1:E208,3,FALSE),J199)</f>
        <v>-10.910090485726599</v>
      </c>
      <c r="G199" s="38"/>
      <c r="H199" s="138">
        <f>RANK(I199,I3:I208)</f>
        <v>194</v>
      </c>
      <c r="I199" s="139">
        <f>VLOOKUP(A199,'Standard Deviations'!A1:C731,3,FALSE)</f>
        <v>-4.5730397615199969</v>
      </c>
      <c r="J199" s="139">
        <f>I199-VLOOKUP(B$2,H1:J208,2,FALSE)</f>
        <v>-10.910090485726599</v>
      </c>
    </row>
    <row r="200" spans="1:10" ht="21.2" customHeight="1">
      <c r="A200" s="8" t="s">
        <v>797</v>
      </c>
      <c r="B200" s="56" t="str">
        <f>VLOOKUP(A200,'The List'!B1:D730,3,FALSE)</f>
        <v>C,LW</v>
      </c>
      <c r="C200" s="57">
        <f>IF(Settings!$E$15="POINTS",RANK(E200,E3:E208),H200)</f>
        <v>203</v>
      </c>
      <c r="D200" s="34" t="str">
        <f>VLOOKUP(A200,'The List'!B1:F730,5,FALSE)</f>
        <v>SEA</v>
      </c>
      <c r="E200" s="38">
        <f>VLOOKUP(A200,'The List'!B1:I730,8,FALSE)</f>
        <v>-5.4266330963892599</v>
      </c>
      <c r="F200" s="38">
        <f>IF(Settings!$E$15="POINTS",E200-VLOOKUP(B$2,C1:E208,3,FALSE),J200)</f>
        <v>-11.763683820595862</v>
      </c>
      <c r="G200" s="38"/>
      <c r="H200" s="138">
        <f>RANK(I200,I3:I208)</f>
        <v>203</v>
      </c>
      <c r="I200" s="139">
        <f>VLOOKUP(A200,'Standard Deviations'!A1:C731,3,FALSE)</f>
        <v>-5.4266330963892599</v>
      </c>
      <c r="J200" s="139">
        <f>I200-VLOOKUP(B$2,H1:J208,2,FALSE)</f>
        <v>-11.763683820595862</v>
      </c>
    </row>
    <row r="201" spans="1:10" ht="21.2" customHeight="1">
      <c r="A201" s="8" t="s">
        <v>783</v>
      </c>
      <c r="B201" s="56" t="str">
        <f>VLOOKUP(A201,'The List'!B1:D730,3,FALSE)</f>
        <v>C,RW</v>
      </c>
      <c r="C201" s="57">
        <f>IF(Settings!$E$15="POINTS",RANK(E201,E3:E208),H201)</f>
        <v>195</v>
      </c>
      <c r="D201" s="34" t="str">
        <f>VLOOKUP(A201,'The List'!B1:F730,5,FALSE)</f>
        <v>NJD</v>
      </c>
      <c r="E201" s="38">
        <f>VLOOKUP(A201,'The List'!B1:I730,8,FALSE)</f>
        <v>-4.6122811131689705</v>
      </c>
      <c r="F201" s="38">
        <f>IF(Settings!$E$15="POINTS",E201-VLOOKUP(B$2,C1:E208,3,FALSE),J201)</f>
        <v>-10.949331837375574</v>
      </c>
      <c r="G201" s="38"/>
      <c r="H201" s="138">
        <f>RANK(I201,I3:I208)</f>
        <v>195</v>
      </c>
      <c r="I201" s="139">
        <f>VLOOKUP(A201,'Standard Deviations'!A1:C731,3,FALSE)</f>
        <v>-4.6122811131689705</v>
      </c>
      <c r="J201" s="139">
        <f>I201-VLOOKUP(B$2,H1:J208,2,FALSE)</f>
        <v>-10.949331837375574</v>
      </c>
    </row>
    <row r="202" spans="1:10" ht="21.2" customHeight="1">
      <c r="A202" s="8" t="s">
        <v>799</v>
      </c>
      <c r="B202" s="56" t="str">
        <f>VLOOKUP(A202,'The List'!B1:D730,3,FALSE)</f>
        <v>C,LW</v>
      </c>
      <c r="C202" s="57">
        <f>IF(Settings!$E$15="POINTS",RANK(E202,E3:E208),H202)</f>
        <v>192</v>
      </c>
      <c r="D202" s="34" t="str">
        <f>VLOOKUP(A202,'The List'!B1:F730,5,FALSE)</f>
        <v>MIN</v>
      </c>
      <c r="E202" s="38">
        <f>VLOOKUP(A202,'The List'!B1:I730,8,FALSE)</f>
        <v>-4.445138037026017</v>
      </c>
      <c r="F202" s="38">
        <f>IF(Settings!$E$15="POINTS",E202-VLOOKUP(B$2,C1:E208,3,FALSE),J202)</f>
        <v>-10.78218876123262</v>
      </c>
      <c r="G202" s="38"/>
      <c r="H202" s="138">
        <f>RANK(I202,I3:I208)</f>
        <v>192</v>
      </c>
      <c r="I202" s="139">
        <f>VLOOKUP(A202,'Standard Deviations'!A1:C731,3,FALSE)</f>
        <v>-4.445138037026017</v>
      </c>
      <c r="J202" s="139">
        <f>I202-VLOOKUP(B$2,H1:J208,2,FALSE)</f>
        <v>-10.78218876123262</v>
      </c>
    </row>
    <row r="203" spans="1:10" ht="21.2" customHeight="1">
      <c r="A203" s="8" t="s">
        <v>818</v>
      </c>
      <c r="B203" s="56" t="str">
        <f>VLOOKUP(A203,'The List'!B1:D730,3,FALSE)</f>
        <v>C</v>
      </c>
      <c r="C203" s="57">
        <f>IF(Settings!$E$15="POINTS",RANK(E203,E3:E208),H203)</f>
        <v>204</v>
      </c>
      <c r="D203" s="34" t="str">
        <f>VLOOKUP(A203,'The List'!B1:F730,5,FALSE)</f>
        <v>CGY</v>
      </c>
      <c r="E203" s="38">
        <f>VLOOKUP(A203,'The List'!B1:I730,8,FALSE)</f>
        <v>-5.4379130103180264</v>
      </c>
      <c r="F203" s="38">
        <f>IF(Settings!$E$15="POINTS",E203-VLOOKUP(B$2,C1:E208,3,FALSE),J203)</f>
        <v>-11.774963734524629</v>
      </c>
      <c r="G203" s="38"/>
      <c r="H203" s="138">
        <f>RANK(I203,I3:I208)</f>
        <v>204</v>
      </c>
      <c r="I203" s="139">
        <f>VLOOKUP(A203,'Standard Deviations'!A1:C731,3,FALSE)</f>
        <v>-5.4379130103180264</v>
      </c>
      <c r="J203" s="139">
        <f>I203-VLOOKUP(B$2,H1:J208,2,FALSE)</f>
        <v>-11.774963734524629</v>
      </c>
    </row>
    <row r="204" spans="1:10" ht="21.2" customHeight="1">
      <c r="A204" s="8" t="s">
        <v>819</v>
      </c>
      <c r="B204" s="56" t="str">
        <f>VLOOKUP(A204,'The List'!B1:D730,3,FALSE)</f>
        <v>C</v>
      </c>
      <c r="C204" s="57">
        <f>IF(Settings!$E$15="POINTS",RANK(E204,E3:E208),H204)</f>
        <v>200</v>
      </c>
      <c r="D204" s="34" t="str">
        <f>VLOOKUP(A204,'The List'!B1:F730,5,FALSE)</f>
        <v>WPG</v>
      </c>
      <c r="E204" s="38">
        <f>VLOOKUP(A204,'The List'!B1:I730,8,FALSE)</f>
        <v>-5.0534607727822412</v>
      </c>
      <c r="F204" s="38">
        <f>IF(Settings!$E$15="POINTS",E204-VLOOKUP(B$2,C1:E208,3,FALSE),J204)</f>
        <v>-11.390511496988843</v>
      </c>
      <c r="G204" s="38"/>
      <c r="H204" s="138">
        <f>RANK(I204,I3:I208)</f>
        <v>200</v>
      </c>
      <c r="I204" s="139">
        <f>VLOOKUP(A204,'Standard Deviations'!A1:C731,3,FALSE)</f>
        <v>-5.0534607727822412</v>
      </c>
      <c r="J204" s="139">
        <f>I204-VLOOKUP(B$2,H1:J208,2,FALSE)</f>
        <v>-11.390511496988843</v>
      </c>
    </row>
    <row r="205" spans="1:10" ht="21.2" customHeight="1">
      <c r="A205" s="8" t="s">
        <v>820</v>
      </c>
      <c r="B205" s="56" t="str">
        <f>VLOOKUP(A205,'The List'!B1:D730,3,FALSE)</f>
        <v>C</v>
      </c>
      <c r="C205" s="57">
        <f>IF(Settings!$E$15="POINTS",RANK(E205,E3:E208),H205)</f>
        <v>199</v>
      </c>
      <c r="D205" s="34" t="str">
        <f>VLOOKUP(A205,'The List'!B1:F730,5,FALSE)</f>
        <v>EDM</v>
      </c>
      <c r="E205" s="38">
        <f>VLOOKUP(A205,'The List'!B1:I730,8,FALSE)</f>
        <v>-5.0059760238281346</v>
      </c>
      <c r="F205" s="38">
        <f>IF(Settings!$E$15="POINTS",E205-VLOOKUP(B$2,C1:E208,3,FALSE),J205)</f>
        <v>-11.343026748034738</v>
      </c>
      <c r="G205" s="38"/>
      <c r="H205" s="138">
        <f>RANK(I205,I3:I208)</f>
        <v>199</v>
      </c>
      <c r="I205" s="139">
        <f>VLOOKUP(A205,'Standard Deviations'!A1:C731,3,FALSE)</f>
        <v>-5.0059760238281346</v>
      </c>
      <c r="J205" s="139">
        <f>I205-VLOOKUP(B$2,H1:J208,2,FALSE)</f>
        <v>-11.343026748034738</v>
      </c>
    </row>
    <row r="206" spans="1:10" ht="21.2" customHeight="1">
      <c r="A206" s="8" t="s">
        <v>821</v>
      </c>
      <c r="B206" s="56" t="str">
        <f>VLOOKUP(A206,'The List'!B1:D730,3,FALSE)</f>
        <v>C</v>
      </c>
      <c r="C206" s="57">
        <f>IF(Settings!$E$15="POINTS",RANK(E206,E3:E208),H206)</f>
        <v>206</v>
      </c>
      <c r="D206" s="34" t="str">
        <f>VLOOKUP(A206,'The List'!B1:F730,5,FALSE)</f>
        <v>SJS</v>
      </c>
      <c r="E206" s="38">
        <f>VLOOKUP(A206,'The List'!B1:I730,8,FALSE)</f>
        <v>-5.6763688712292799</v>
      </c>
      <c r="F206" s="38">
        <f>IF(Settings!$E$15="POINTS",E206-VLOOKUP(B$2,C1:E208,3,FALSE),J206)</f>
        <v>-12.013419595435883</v>
      </c>
      <c r="G206" s="38"/>
      <c r="H206" s="138">
        <f>RANK(I206,I3:I208)</f>
        <v>206</v>
      </c>
      <c r="I206" s="139">
        <f>VLOOKUP(A206,'Standard Deviations'!A1:C731,3,FALSE)</f>
        <v>-5.6763688712292799</v>
      </c>
      <c r="J206" s="139">
        <f>I206-VLOOKUP(B$2,H1:J208,2,FALSE)</f>
        <v>-12.013419595435883</v>
      </c>
    </row>
    <row r="207" spans="1:10" ht="21.2" customHeight="1">
      <c r="A207" s="8" t="s">
        <v>822</v>
      </c>
      <c r="B207" s="56" t="str">
        <f>VLOOKUP(A207,'The List'!B1:D730,3,FALSE)</f>
        <v>C</v>
      </c>
      <c r="C207" s="57">
        <f>IF(Settings!$E$15="POINTS",RANK(E207,E3:E208),H207)</f>
        <v>202</v>
      </c>
      <c r="D207" s="34" t="str">
        <f>VLOOKUP(A207,'The List'!B1:F730,5,FALSE)</f>
        <v>BOS</v>
      </c>
      <c r="E207" s="38">
        <f>VLOOKUP(A207,'The List'!B1:I730,8,FALSE)</f>
        <v>-5.4257522885362306</v>
      </c>
      <c r="F207" s="38">
        <f>IF(Settings!$E$15="POINTS",E207-VLOOKUP(B$2,C1:E208,3,FALSE),J207)</f>
        <v>-11.762803012742832</v>
      </c>
      <c r="G207" s="38"/>
      <c r="H207" s="138">
        <f>RANK(I207,I3:I208)</f>
        <v>202</v>
      </c>
      <c r="I207" s="139">
        <f>VLOOKUP(A207,'Standard Deviations'!A1:C731,3,FALSE)</f>
        <v>-5.4257522885362306</v>
      </c>
      <c r="J207" s="139">
        <f>I207-VLOOKUP(B$2,H1:J208,2,FALSE)</f>
        <v>-11.762803012742832</v>
      </c>
    </row>
    <row r="208" spans="1:10" ht="21.2" customHeight="1">
      <c r="A208" s="8" t="s">
        <v>796</v>
      </c>
      <c r="B208" s="56" t="str">
        <f>VLOOKUP(A208,'The List'!B1:D730,3,FALSE)</f>
        <v>C,RW</v>
      </c>
      <c r="C208" s="57">
        <f>IF(Settings!$E$15="POINTS",RANK(E208,E3:E208),H208)</f>
        <v>201</v>
      </c>
      <c r="D208" s="34" t="str">
        <f>VLOOKUP(A208,'The List'!B1:F730,5,FALSE)</f>
        <v>PHI</v>
      </c>
      <c r="E208" s="38">
        <f>VLOOKUP(A208,'The List'!B1:I730,8,FALSE)</f>
        <v>-5.15881266495761</v>
      </c>
      <c r="F208" s="38">
        <f>IF(Settings!$E$15="POINTS",E208-VLOOKUP(B$2,C1:E208,3,FALSE),J208)</f>
        <v>-11.495863389164214</v>
      </c>
      <c r="G208" s="38"/>
      <c r="H208" s="138">
        <f>RANK(I208,I3:I208)</f>
        <v>201</v>
      </c>
      <c r="I208" s="139">
        <f>VLOOKUP(A208,'Standard Deviations'!A1:C731,3,FALSE)</f>
        <v>-5.15881266495761</v>
      </c>
      <c r="J208" s="139">
        <f>I208-VLOOKUP(B$2,H1:J208,2,FALSE)</f>
        <v>-11.495863389164214</v>
      </c>
    </row>
  </sheetData>
  <conditionalFormatting sqref="C3:C208 H3:H208">
    <cfRule type="containsText" dxfId="29" priority="1" stopIfTrue="1" operator="containsText" text="/">
      <formula>NOT(ISERROR(FIND(UPPER("/"),UPPER(C3))))</formula>
      <formula>"/"</formula>
    </cfRule>
    <cfRule type="containsText" dxfId="28" priority="2" stopIfTrue="1" operator="containsText" text="C">
      <formula>NOT(ISERROR(FIND(UPPER("C"),UPPER(C3))))</formula>
      <formula>"C"</formula>
    </cfRule>
    <cfRule type="containsText" dxfId="27" priority="3" stopIfTrue="1" operator="containsText" text="D">
      <formula>NOT(ISERROR(FIND(UPPER("D"),UPPER(C3))))</formula>
      <formula>"D"</formula>
    </cfRule>
    <cfRule type="containsText" dxfId="26" priority="4" stopIfTrue="1" operator="containsText" text="LW">
      <formula>NOT(ISERROR(FIND(UPPER("LW"),UPPER(C3))))</formula>
      <formula>"LW"</formula>
    </cfRule>
    <cfRule type="containsText" dxfId="25" priority="5" stopIfTrue="1" operator="containsText" text="RW">
      <formula>NOT(ISERROR(FIND(UPPER("RW"),UPPER(C3))))</formula>
      <formula>"RW"</formula>
    </cfRule>
    <cfRule type="containsText" dxfId="24" priority="6" stopIfTrue="1" operator="containsText" text="G">
      <formula>NOT(ISERROR(FIND(UPPER("G"),UPPER(C3))))</formula>
      <formula>"G"</formula>
    </cfRule>
  </conditionalFormatting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J227"/>
  <sheetViews>
    <sheetView showGridLines="0" workbookViewId="0">
      <pane ySplit="2" topLeftCell="A3" activePane="bottomLeft" state="frozen"/>
      <selection pane="bottomLeft"/>
    </sheetView>
  </sheetViews>
  <sheetFormatPr defaultColWidth="8" defaultRowHeight="16.350000000000001" customHeight="1"/>
  <cols>
    <col min="1" max="1" width="33" style="1" customWidth="1"/>
    <col min="2" max="2" width="7.140625" style="1" customWidth="1"/>
    <col min="3" max="3" width="6" style="1" customWidth="1"/>
    <col min="4" max="6" width="8.28515625" style="1" customWidth="1"/>
    <col min="7" max="10" width="1.28515625" style="1" customWidth="1"/>
    <col min="11" max="11" width="8" style="1" customWidth="1"/>
    <col min="12" max="16384" width="8" style="1"/>
  </cols>
  <sheetData>
    <row r="1" spans="1:10" ht="28.35" customHeight="1">
      <c r="A1" s="121" t="s">
        <v>841</v>
      </c>
      <c r="B1" s="122" t="s">
        <v>847</v>
      </c>
      <c r="C1" s="123"/>
      <c r="D1" s="4" t="s">
        <v>843</v>
      </c>
      <c r="E1" s="124" t="s">
        <v>844</v>
      </c>
      <c r="F1" s="122" t="s">
        <v>72</v>
      </c>
      <c r="G1" s="125"/>
      <c r="H1" s="126"/>
      <c r="I1" s="127" t="s">
        <v>845</v>
      </c>
      <c r="J1" s="128" t="s">
        <v>72</v>
      </c>
    </row>
    <row r="2" spans="1:10" ht="28.35" customHeight="1">
      <c r="A2" s="129" t="s">
        <v>40</v>
      </c>
      <c r="B2" s="130">
        <f>Settings!F3</f>
        <v>36</v>
      </c>
      <c r="C2" s="131"/>
      <c r="D2" s="132"/>
      <c r="E2" s="133"/>
      <c r="F2" s="133"/>
      <c r="G2" s="133"/>
      <c r="H2" s="140"/>
      <c r="I2" s="135"/>
      <c r="J2" s="141"/>
    </row>
    <row r="3" spans="1:10" ht="21.2" customHeight="1">
      <c r="A3" s="8" t="s">
        <v>105</v>
      </c>
      <c r="B3" s="61" t="str">
        <f>VLOOKUP(A3,'The List'!B1:D730,3,FALSE)</f>
        <v>C,LW</v>
      </c>
      <c r="C3" s="62">
        <f>IF(Settings!$E$15="POINTS",RANK(E3,E3:E227),H3)</f>
        <v>1</v>
      </c>
      <c r="D3" s="34" t="str">
        <f>VLOOKUP(A3,'The List'!B1:F730,5,FALSE)</f>
        <v>EDM</v>
      </c>
      <c r="E3" s="38">
        <f>VLOOKUP(A3,'The List'!B1:I730,8,FALSE)</f>
        <v>16.883257255265598</v>
      </c>
      <c r="F3" s="38">
        <f>IF(Settings!$E$15="POINTS",E3-VLOOKUP(B$2,C1:E227,3,FALSE),J3)</f>
        <v>10.228588211141197</v>
      </c>
      <c r="G3" s="38"/>
      <c r="H3" s="142">
        <f>RANK(I3,I3:I227)</f>
        <v>1</v>
      </c>
      <c r="I3" s="139">
        <f>VLOOKUP(A3,'Standard Deviations'!A1:C731,3,FALSE)</f>
        <v>16.883257255265598</v>
      </c>
      <c r="J3" s="143">
        <f>I3-VLOOKUP(B$2,H1:J227,2,FALSE)</f>
        <v>10.228588211141197</v>
      </c>
    </row>
    <row r="4" spans="1:10" ht="21.2" customHeight="1">
      <c r="A4" s="8" t="s">
        <v>107</v>
      </c>
      <c r="B4" s="61" t="str">
        <f>VLOOKUP(A4,'The List'!B1:D730,3,FALSE)</f>
        <v>LW,RW</v>
      </c>
      <c r="C4" s="62">
        <f>IF(Settings!$E$15="POINTS",RANK(E4,E3:E227),H4)</f>
        <v>2</v>
      </c>
      <c r="D4" s="34" t="str">
        <f>VLOOKUP(A4,'The List'!B1:F730,5,FALSE)</f>
        <v>FLA</v>
      </c>
      <c r="E4" s="38">
        <f>VLOOKUP(A4,'The List'!B1:I730,8,FALSE)</f>
        <v>14.152386882929994</v>
      </c>
      <c r="F4" s="38">
        <f>IF(Settings!$E$15="POINTS",E4-VLOOKUP(B$2,C1:E227,3,FALSE),J4)</f>
        <v>7.4977178388055927</v>
      </c>
      <c r="G4" s="38"/>
      <c r="H4" s="138">
        <f>RANK(I4,I3:I227)</f>
        <v>2</v>
      </c>
      <c r="I4" s="139">
        <f>VLOOKUP(A4,'Standard Deviations'!A1:C731,3,FALSE)</f>
        <v>14.152386882929994</v>
      </c>
      <c r="J4" s="139">
        <f>I4-VLOOKUP(B$2,H1:J227,2,FALSE)</f>
        <v>7.4977178388055927</v>
      </c>
    </row>
    <row r="5" spans="1:10" ht="21.2" customHeight="1">
      <c r="A5" s="8" t="s">
        <v>115</v>
      </c>
      <c r="B5" s="61" t="str">
        <f>VLOOKUP(A5,'The List'!B1:D730,3,FALSE)</f>
        <v>LW</v>
      </c>
      <c r="C5" s="62">
        <f>IF(Settings!$E$15="POINTS",RANK(E5,E3:E227),H5)</f>
        <v>3</v>
      </c>
      <c r="D5" s="34" t="str">
        <f>VLOOKUP(A5,'The List'!B1:F730,5,FALSE)</f>
        <v>MIN</v>
      </c>
      <c r="E5" s="38">
        <f>VLOOKUP(A5,'The List'!B1:I730,8,FALSE)</f>
        <v>13.407467811139265</v>
      </c>
      <c r="F5" s="38">
        <f>IF(Settings!$E$15="POINTS",E5-VLOOKUP(B$2,C1:E227,3,FALSE),J5)</f>
        <v>6.7527987670148635</v>
      </c>
      <c r="G5" s="38"/>
      <c r="H5" s="138">
        <f>RANK(I5,I3:I227)</f>
        <v>3</v>
      </c>
      <c r="I5" s="139">
        <f>VLOOKUP(A5,'Standard Deviations'!A1:C731,3,FALSE)</f>
        <v>13.407467811139265</v>
      </c>
      <c r="J5" s="139">
        <f>I5-VLOOKUP(B$2,H1:J227,2,FALSE)</f>
        <v>6.7527987670148635</v>
      </c>
    </row>
    <row r="6" spans="1:10" ht="21.2" customHeight="1">
      <c r="A6" s="8" t="s">
        <v>117</v>
      </c>
      <c r="B6" s="61" t="str">
        <f>VLOOKUP(A6,'The List'!B1:D730,3,FALSE)</f>
        <v>LW</v>
      </c>
      <c r="C6" s="62">
        <f>IF(Settings!$E$15="POINTS",RANK(E6,E3:E227),H6)</f>
        <v>4</v>
      </c>
      <c r="D6" s="34" t="str">
        <f>VLOOKUP(A6,'The List'!B1:F730,5,FALSE)</f>
        <v>DAL</v>
      </c>
      <c r="E6" s="38">
        <f>VLOOKUP(A6,'The List'!B1:I730,8,FALSE)</f>
        <v>12.964649656239818</v>
      </c>
      <c r="F6" s="38">
        <f>IF(Settings!$E$15="POINTS",E6-VLOOKUP(B$2,C1:E227,3,FALSE),J6)</f>
        <v>6.3099806121154165</v>
      </c>
      <c r="G6" s="38"/>
      <c r="H6" s="138">
        <f>RANK(I6,I3:I227)</f>
        <v>4</v>
      </c>
      <c r="I6" s="139">
        <f>VLOOKUP(A6,'Standard Deviations'!A1:C731,3,FALSE)</f>
        <v>12.964649656239818</v>
      </c>
      <c r="J6" s="139">
        <f>I6-VLOOKUP(B$2,H1:J227,2,FALSE)</f>
        <v>6.3099806121154165</v>
      </c>
    </row>
    <row r="7" spans="1:10" ht="21.2" customHeight="1">
      <c r="A7" s="8" t="s">
        <v>120</v>
      </c>
      <c r="B7" s="61" t="str">
        <f>VLOOKUP(A7,'The List'!B1:D730,3,FALSE)</f>
        <v>LW,RW</v>
      </c>
      <c r="C7" s="62">
        <f>IF(Settings!$E$15="POINTS",RANK(E7,E3:E227),H7)</f>
        <v>5</v>
      </c>
      <c r="D7" s="34" t="str">
        <f>VLOOKUP(A7,'The List'!B1:F730,5,FALSE)</f>
        <v>TOR</v>
      </c>
      <c r="E7" s="38">
        <f>VLOOKUP(A7,'The List'!B1:I730,8,FALSE)</f>
        <v>11.115775079553083</v>
      </c>
      <c r="F7" s="38">
        <f>IF(Settings!$E$15="POINTS",E7-VLOOKUP(B$2,C1:E227,3,FALSE),J7)</f>
        <v>4.4611060354286822</v>
      </c>
      <c r="G7" s="38"/>
      <c r="H7" s="138">
        <f>RANK(I7,I3:I227)</f>
        <v>5</v>
      </c>
      <c r="I7" s="139">
        <f>VLOOKUP(A7,'Standard Deviations'!A1:C731,3,FALSE)</f>
        <v>11.115775079553083</v>
      </c>
      <c r="J7" s="139">
        <f>I7-VLOOKUP(B$2,H1:J227,2,FALSE)</f>
        <v>4.4611060354286822</v>
      </c>
    </row>
    <row r="8" spans="1:10" ht="21.2" customHeight="1">
      <c r="A8" s="8" t="s">
        <v>127</v>
      </c>
      <c r="B8" s="61" t="str">
        <f>VLOOKUP(A8,'The List'!B1:D730,3,FALSE)</f>
        <v>C,LW</v>
      </c>
      <c r="C8" s="62">
        <f>IF(Settings!$E$15="POINTS",RANK(E8,E3:E227),H8)</f>
        <v>6</v>
      </c>
      <c r="D8" s="34" t="str">
        <f>VLOOKUP(A8,'The List'!B1:F730,5,FALSE)</f>
        <v>VAN</v>
      </c>
      <c r="E8" s="38">
        <f>VLOOKUP(A8,'The List'!B1:I730,8,FALSE)</f>
        <v>10.987775194501642</v>
      </c>
      <c r="F8" s="38">
        <f>IF(Settings!$E$15="POINTS",E8-VLOOKUP(B$2,C1:E227,3,FALSE),J8)</f>
        <v>4.3331061503772412</v>
      </c>
      <c r="G8" s="38"/>
      <c r="H8" s="138">
        <f>RANK(I8,I3:I227)</f>
        <v>6</v>
      </c>
      <c r="I8" s="139">
        <f>VLOOKUP(A8,'Standard Deviations'!A1:C731,3,FALSE)</f>
        <v>10.987775194501642</v>
      </c>
      <c r="J8" s="139">
        <f>I8-VLOOKUP(B$2,H1:J227,2,FALSE)</f>
        <v>4.3331061503772412</v>
      </c>
    </row>
    <row r="9" spans="1:10" ht="21.2" customHeight="1">
      <c r="A9" s="8" t="s">
        <v>131</v>
      </c>
      <c r="B9" s="61" t="str">
        <f>VLOOKUP(A9,'The List'!B1:D730,3,FALSE)</f>
        <v>LW</v>
      </c>
      <c r="C9" s="62">
        <f>IF(Settings!$E$15="POINTS",RANK(E9,E3:E227),H9)</f>
        <v>7</v>
      </c>
      <c r="D9" s="34" t="str">
        <f>VLOOKUP(A9,'The List'!B1:F730,5,FALSE)</f>
        <v>WSH</v>
      </c>
      <c r="E9" s="38">
        <f>VLOOKUP(A9,'The List'!B1:I730,8,FALSE)</f>
        <v>10.835142614339283</v>
      </c>
      <c r="F9" s="38">
        <f>IF(Settings!$E$15="POINTS",E9-VLOOKUP(B$2,C1:E227,3,FALSE),J9)</f>
        <v>4.1804735702148816</v>
      </c>
      <c r="G9" s="38"/>
      <c r="H9" s="138">
        <f>RANK(I9,I3:I227)</f>
        <v>7</v>
      </c>
      <c r="I9" s="139">
        <f>VLOOKUP(A9,'Standard Deviations'!A1:C731,3,FALSE)</f>
        <v>10.835142614339283</v>
      </c>
      <c r="J9" s="139">
        <f>I9-VLOOKUP(B$2,H1:J227,2,FALSE)</f>
        <v>4.1804735702148816</v>
      </c>
    </row>
    <row r="10" spans="1:10" ht="21.2" customHeight="1">
      <c r="A10" s="8" t="s">
        <v>133</v>
      </c>
      <c r="B10" s="61" t="str">
        <f>VLOOKUP(A10,'The List'!B1:D730,3,FALSE)</f>
        <v>LW</v>
      </c>
      <c r="C10" s="62">
        <f>IF(Settings!$E$15="POINTS",RANK(E10,E3:E227),H10)</f>
        <v>9</v>
      </c>
      <c r="D10" s="34" t="str">
        <f>VLOOKUP(A10,'The List'!B1:F730,5,FALSE)</f>
        <v>WPG</v>
      </c>
      <c r="E10" s="38">
        <f>VLOOKUP(A10,'The List'!B1:I730,8,FALSE)</f>
        <v>10.06630112250282</v>
      </c>
      <c r="F10" s="38">
        <f>IF(Settings!$E$15="POINTS",E10-VLOOKUP(B$2,C1:E227,3,FALSE),J10)</f>
        <v>3.4116320783784184</v>
      </c>
      <c r="G10" s="38"/>
      <c r="H10" s="138">
        <f>RANK(I10,I3:I227)</f>
        <v>9</v>
      </c>
      <c r="I10" s="139">
        <f>VLOOKUP(A10,'Standard Deviations'!A1:C731,3,FALSE)</f>
        <v>10.06630112250282</v>
      </c>
      <c r="J10" s="139">
        <f>I10-VLOOKUP(B$2,H1:J227,2,FALSE)</f>
        <v>3.4116320783784184</v>
      </c>
    </row>
    <row r="11" spans="1:10" ht="21.2" customHeight="1">
      <c r="A11" s="8" t="s">
        <v>135</v>
      </c>
      <c r="B11" s="61" t="str">
        <f>VLOOKUP(A11,'The List'!B1:D730,3,FALSE)</f>
        <v>C,LW</v>
      </c>
      <c r="C11" s="62">
        <f>IF(Settings!$E$15="POINTS",RANK(E11,E3:E227),H11)</f>
        <v>10</v>
      </c>
      <c r="D11" s="34" t="str">
        <f>VLOOKUP(A11,'The List'!B1:F730,5,FALSE)</f>
        <v>OTT</v>
      </c>
      <c r="E11" s="38">
        <f>VLOOKUP(A11,'The List'!B1:I730,8,FALSE)</f>
        <v>9.837350072092196</v>
      </c>
      <c r="F11" s="38">
        <f>IF(Settings!$E$15="POINTS",E11-VLOOKUP(B$2,C1:E227,3,FALSE),J11)</f>
        <v>3.1826810279677948</v>
      </c>
      <c r="G11" s="38"/>
      <c r="H11" s="138">
        <f>RANK(I11,I3:I227)</f>
        <v>10</v>
      </c>
      <c r="I11" s="139">
        <f>VLOOKUP(A11,'Standard Deviations'!A1:C731,3,FALSE)</f>
        <v>9.837350072092196</v>
      </c>
      <c r="J11" s="139">
        <f>I11-VLOOKUP(B$2,H1:J227,2,FALSE)</f>
        <v>3.1826810279677948</v>
      </c>
    </row>
    <row r="12" spans="1:10" ht="21.2" customHeight="1">
      <c r="A12" s="8" t="s">
        <v>136</v>
      </c>
      <c r="B12" s="61" t="str">
        <f>VLOOKUP(A12,'The List'!B1:D730,3,FALSE)</f>
        <v>LW</v>
      </c>
      <c r="C12" s="62">
        <f>IF(Settings!$E$15="POINTS",RANK(E12,E3:E227),H12)</f>
        <v>8</v>
      </c>
      <c r="D12" s="34" t="str">
        <f>VLOOKUP(A12,'The List'!B1:F730,5,FALSE)</f>
        <v>NYR</v>
      </c>
      <c r="E12" s="38">
        <f>VLOOKUP(A12,'The List'!B1:I730,8,FALSE)</f>
        <v>10.796490301217734</v>
      </c>
      <c r="F12" s="38">
        <f>IF(Settings!$E$15="POINTS",E12-VLOOKUP(B$2,C1:E227,3,FALSE),J12)</f>
        <v>4.1418212570933326</v>
      </c>
      <c r="G12" s="38"/>
      <c r="H12" s="138">
        <f>RANK(I12,I3:I227)</f>
        <v>8</v>
      </c>
      <c r="I12" s="139">
        <f>VLOOKUP(A12,'Standard Deviations'!A1:C731,3,FALSE)</f>
        <v>10.796490301217734</v>
      </c>
      <c r="J12" s="139">
        <f>I12-VLOOKUP(B$2,H1:J227,2,FALSE)</f>
        <v>4.1418212570933326</v>
      </c>
    </row>
    <row r="13" spans="1:10" ht="21.2" customHeight="1">
      <c r="A13" s="8" t="s">
        <v>144</v>
      </c>
      <c r="B13" s="61" t="str">
        <f>VLOOKUP(A13,'The List'!B1:D730,3,FALSE)</f>
        <v>LW</v>
      </c>
      <c r="C13" s="62">
        <f>IF(Settings!$E$15="POINTS",RANK(E13,E3:E227),H13)</f>
        <v>17</v>
      </c>
      <c r="D13" s="34" t="str">
        <f>VLOOKUP(A13,'The List'!B1:F730,5,FALSE)</f>
        <v>OTT</v>
      </c>
      <c r="E13" s="38">
        <f>VLOOKUP(A13,'The List'!B1:I730,8,FALSE)</f>
        <v>9.0165551983056726</v>
      </c>
      <c r="F13" s="38">
        <f>IF(Settings!$E$15="POINTS",E13-VLOOKUP(B$2,C1:E227,3,FALSE),J13)</f>
        <v>2.3618861541812715</v>
      </c>
      <c r="G13" s="38"/>
      <c r="H13" s="138">
        <f>RANK(I13,I3:I227)</f>
        <v>17</v>
      </c>
      <c r="I13" s="139">
        <f>VLOOKUP(A13,'Standard Deviations'!A1:C731,3,FALSE)</f>
        <v>9.0165551983056726</v>
      </c>
      <c r="J13" s="139">
        <f>I13-VLOOKUP(B$2,H1:J227,2,FALSE)</f>
        <v>2.3618861541812715</v>
      </c>
    </row>
    <row r="14" spans="1:10" ht="21.2" customHeight="1">
      <c r="A14" s="8" t="s">
        <v>145</v>
      </c>
      <c r="B14" s="61" t="str">
        <f>VLOOKUP(A14,'The List'!B1:D730,3,FALSE)</f>
        <v>C,LW</v>
      </c>
      <c r="C14" s="62">
        <f>IF(Settings!$E$15="POINTS",RANK(E14,E3:E227),H14)</f>
        <v>11</v>
      </c>
      <c r="D14" s="34" t="str">
        <f>VLOOKUP(A14,'The List'!B1:F730,5,FALSE)</f>
        <v>TBL</v>
      </c>
      <c r="E14" s="38">
        <f>VLOOKUP(A14,'The List'!B1:I730,8,FALSE)</f>
        <v>9.7577666144233852</v>
      </c>
      <c r="F14" s="38">
        <f>IF(Settings!$E$15="POINTS",E14-VLOOKUP(B$2,C1:E227,3,FALSE),J14)</f>
        <v>3.103097570298984</v>
      </c>
      <c r="G14" s="38"/>
      <c r="H14" s="138">
        <f>RANK(I14,I3:I227)</f>
        <v>11</v>
      </c>
      <c r="I14" s="139">
        <f>VLOOKUP(A14,'Standard Deviations'!A1:C731,3,FALSE)</f>
        <v>9.7577666144233852</v>
      </c>
      <c r="J14" s="139">
        <f>I14-VLOOKUP(B$2,H1:J227,2,FALSE)</f>
        <v>3.103097570298984</v>
      </c>
    </row>
    <row r="15" spans="1:10" ht="21.2" customHeight="1">
      <c r="A15" s="8" t="s">
        <v>138</v>
      </c>
      <c r="B15" s="61" t="str">
        <f>VLOOKUP(A15,'The List'!B1:D730,3,FALSE)</f>
        <v>LW,RW</v>
      </c>
      <c r="C15" s="62">
        <f>IF(Settings!$E$15="POINTS",RANK(E15,E3:E227),H15)</f>
        <v>14</v>
      </c>
      <c r="D15" s="34" t="str">
        <f>VLOOKUP(A15,'The List'!B1:F730,5,FALSE)</f>
        <v>NJD</v>
      </c>
      <c r="E15" s="38">
        <f>VLOOKUP(A15,'The List'!B1:I730,8,FALSE)</f>
        <v>9.2215876069536442</v>
      </c>
      <c r="F15" s="38">
        <f>IF(Settings!$E$15="POINTS",E15-VLOOKUP(B$2,C1:E227,3,FALSE),J15)</f>
        <v>2.566918562829243</v>
      </c>
      <c r="G15" s="38"/>
      <c r="H15" s="138">
        <f>RANK(I15,I3:I227)</f>
        <v>14</v>
      </c>
      <c r="I15" s="139">
        <f>VLOOKUP(A15,'Standard Deviations'!A1:C731,3,FALSE)</f>
        <v>9.2215876069536442</v>
      </c>
      <c r="J15" s="139">
        <f>I15-VLOOKUP(B$2,H1:J227,2,FALSE)</f>
        <v>2.566918562829243</v>
      </c>
    </row>
    <row r="16" spans="1:10" ht="21.2" customHeight="1">
      <c r="A16" s="8" t="s">
        <v>147</v>
      </c>
      <c r="B16" s="61" t="str">
        <f>VLOOKUP(A16,'The List'!B1:D730,3,FALSE)</f>
        <v>C,LW</v>
      </c>
      <c r="C16" s="62">
        <f>IF(Settings!$E$15="POINTS",RANK(E16,E3:E227),H16)</f>
        <v>12</v>
      </c>
      <c r="D16" s="34" t="str">
        <f>VLOOKUP(A16,'The List'!B1:F730,5,FALSE)</f>
        <v>EDM</v>
      </c>
      <c r="E16" s="38">
        <f>VLOOKUP(A16,'The List'!B1:I730,8,FALSE)</f>
        <v>9.6760867611712325</v>
      </c>
      <c r="F16" s="38">
        <f>IF(Settings!$E$15="POINTS",E16-VLOOKUP(B$2,C1:E227,3,FALSE),J16)</f>
        <v>3.0214177170468313</v>
      </c>
      <c r="G16" s="38"/>
      <c r="H16" s="138">
        <f>RANK(I16,I3:I227)</f>
        <v>12</v>
      </c>
      <c r="I16" s="139">
        <f>VLOOKUP(A16,'Standard Deviations'!A1:C731,3,FALSE)</f>
        <v>9.6760867611712325</v>
      </c>
      <c r="J16" s="139">
        <f>I16-VLOOKUP(B$2,H1:J227,2,FALSE)</f>
        <v>3.0214177170468313</v>
      </c>
    </row>
    <row r="17" spans="1:10" ht="21.2" customHeight="1">
      <c r="A17" s="8" t="s">
        <v>149</v>
      </c>
      <c r="B17" s="61" t="str">
        <f>VLOOKUP(A17,'The List'!B1:D730,3,FALSE)</f>
        <v>C,LW</v>
      </c>
      <c r="C17" s="62">
        <f>IF(Settings!$E$15="POINTS",RANK(E17,E3:E227),H17)</f>
        <v>15</v>
      </c>
      <c r="D17" s="34" t="str">
        <f>VLOOKUP(A17,'The List'!B1:F730,5,FALSE)</f>
        <v>TOR</v>
      </c>
      <c r="E17" s="38">
        <f>VLOOKUP(A17,'The List'!B1:I730,8,FALSE)</f>
        <v>9.0998103631039911</v>
      </c>
      <c r="F17" s="38">
        <f>IF(Settings!$E$15="POINTS",E17-VLOOKUP(B$2,C1:E227,3,FALSE),J17)</f>
        <v>2.4451413189795899</v>
      </c>
      <c r="G17" s="38"/>
      <c r="H17" s="138">
        <f>RANK(I17,I3:I227)</f>
        <v>15</v>
      </c>
      <c r="I17" s="139">
        <f>VLOOKUP(A17,'Standard Deviations'!A1:C731,3,FALSE)</f>
        <v>9.0998103631039911</v>
      </c>
      <c r="J17" s="139">
        <f>I17-VLOOKUP(B$2,H1:J227,2,FALSE)</f>
        <v>2.4451413189795899</v>
      </c>
    </row>
    <row r="18" spans="1:10" ht="21.2" customHeight="1">
      <c r="A18" s="8" t="s">
        <v>152</v>
      </c>
      <c r="B18" s="61" t="str">
        <f>VLOOKUP(A18,'The List'!B1:D730,3,FALSE)</f>
        <v>LW</v>
      </c>
      <c r="C18" s="62">
        <f>IF(Settings!$E$15="POINTS",RANK(E18,E3:E227),H18)</f>
        <v>16</v>
      </c>
      <c r="D18" s="34" t="str">
        <f>VLOOKUP(A18,'The List'!B1:F730,5,FALSE)</f>
        <v>PIT</v>
      </c>
      <c r="E18" s="38">
        <f>VLOOKUP(A18,'The List'!B1:I730,8,FALSE)</f>
        <v>9.0538933501089804</v>
      </c>
      <c r="F18" s="38">
        <f>IF(Settings!$E$15="POINTS",E18-VLOOKUP(B$2,C1:E227,3,FALSE),J18)</f>
        <v>2.3992243059845793</v>
      </c>
      <c r="G18" s="38"/>
      <c r="H18" s="138">
        <f>RANK(I18,I3:I227)</f>
        <v>16</v>
      </c>
      <c r="I18" s="139">
        <f>VLOOKUP(A18,'Standard Deviations'!A1:C731,3,FALSE)</f>
        <v>9.0538933501089804</v>
      </c>
      <c r="J18" s="139">
        <f>I18-VLOOKUP(B$2,H1:J227,2,FALSE)</f>
        <v>2.3992243059845793</v>
      </c>
    </row>
    <row r="19" spans="1:10" ht="21.2" customHeight="1">
      <c r="A19" s="8" t="s">
        <v>141</v>
      </c>
      <c r="B19" s="61" t="str">
        <f>VLOOKUP(A19,'The List'!B1:D730,3,FALSE)</f>
        <v>LW,RW</v>
      </c>
      <c r="C19" s="62">
        <f>IF(Settings!$E$15="POINTS",RANK(E19,E3:E227),H19)</f>
        <v>13</v>
      </c>
      <c r="D19" s="34" t="str">
        <f>VLOOKUP(A19,'The List'!B1:F730,5,FALSE)</f>
        <v>MIN</v>
      </c>
      <c r="E19" s="38">
        <f>VLOOKUP(A19,'The List'!B1:I730,8,FALSE)</f>
        <v>9.3029657940042263</v>
      </c>
      <c r="F19" s="38">
        <f>IF(Settings!$E$15="POINTS",E19-VLOOKUP(B$2,C1:E227,3,FALSE),J19)</f>
        <v>2.6482967498798251</v>
      </c>
      <c r="G19" s="38"/>
      <c r="H19" s="138">
        <f>RANK(I19,I3:I227)</f>
        <v>13</v>
      </c>
      <c r="I19" s="139">
        <f>VLOOKUP(A19,'Standard Deviations'!A1:C731,3,FALSE)</f>
        <v>9.3029657940042263</v>
      </c>
      <c r="J19" s="139">
        <f>I19-VLOOKUP(B$2,H1:J227,2,FALSE)</f>
        <v>2.6482967498798251</v>
      </c>
    </row>
    <row r="20" spans="1:10" ht="21.2" customHeight="1">
      <c r="A20" s="8" t="s">
        <v>156</v>
      </c>
      <c r="B20" s="61" t="str">
        <f>VLOOKUP(A20,'The List'!B1:D730,3,FALSE)</f>
        <v>LW</v>
      </c>
      <c r="C20" s="62">
        <f>IF(Settings!$E$15="POINTS",RANK(E20,E3:E227),H20)</f>
        <v>19</v>
      </c>
      <c r="D20" s="34" t="str">
        <f>VLOOKUP(A20,'The List'!B1:F730,5,FALSE)</f>
        <v>CBJ</v>
      </c>
      <c r="E20" s="38">
        <f>VLOOKUP(A20,'The List'!B1:I730,8,FALSE)</f>
        <v>8.6351776949320627</v>
      </c>
      <c r="F20" s="38">
        <f>IF(Settings!$E$15="POINTS",E20-VLOOKUP(B$2,C1:E227,3,FALSE),J20)</f>
        <v>1.9805086508076615</v>
      </c>
      <c r="G20" s="38"/>
      <c r="H20" s="138">
        <f>RANK(I20,I3:I227)</f>
        <v>19</v>
      </c>
      <c r="I20" s="139">
        <f>VLOOKUP(A20,'Standard Deviations'!A1:C731,3,FALSE)</f>
        <v>8.6351776949320627</v>
      </c>
      <c r="J20" s="139">
        <f>I20-VLOOKUP(B$2,H1:J227,2,FALSE)</f>
        <v>1.9805086508076615</v>
      </c>
    </row>
    <row r="21" spans="1:10" ht="21.2" customHeight="1">
      <c r="A21" s="8" t="s">
        <v>146</v>
      </c>
      <c r="B21" s="61" t="str">
        <f>VLOOKUP(A21,'The List'!B1:D730,3,FALSE)</f>
        <v>C,LW,RW</v>
      </c>
      <c r="C21" s="62">
        <f>IF(Settings!$E$15="POINTS",RANK(E21,E3:E227),H21)</f>
        <v>23</v>
      </c>
      <c r="D21" s="34" t="str">
        <f>VLOOKUP(A21,'The List'!B1:F730,5,FALSE)</f>
        <v>VAN</v>
      </c>
      <c r="E21" s="38">
        <f>VLOOKUP(A21,'The List'!B1:I730,8,FALSE)</f>
        <v>8.466166617614391</v>
      </c>
      <c r="F21" s="38">
        <f>IF(Settings!$E$15="POINTS",E21-VLOOKUP(B$2,C1:E227,3,FALSE),J21)</f>
        <v>1.8114975734899899</v>
      </c>
      <c r="G21" s="38"/>
      <c r="H21" s="138">
        <f>RANK(I21,I3:I227)</f>
        <v>23</v>
      </c>
      <c r="I21" s="139">
        <f>VLOOKUP(A21,'Standard Deviations'!A1:C731,3,FALSE)</f>
        <v>8.466166617614391</v>
      </c>
      <c r="J21" s="139">
        <f>I21-VLOOKUP(B$2,H1:J227,2,FALSE)</f>
        <v>1.8114975734899899</v>
      </c>
    </row>
    <row r="22" spans="1:10" ht="21.2" customHeight="1">
      <c r="A22" s="8" t="s">
        <v>148</v>
      </c>
      <c r="B22" s="61" t="str">
        <f>VLOOKUP(A22,'The List'!B1:D730,3,FALSE)</f>
        <v>LW,RW</v>
      </c>
      <c r="C22" s="62">
        <f>IF(Settings!$E$15="POINTS",RANK(E22,E3:E227),H22)</f>
        <v>18</v>
      </c>
      <c r="D22" s="34" t="str">
        <f>VLOOKUP(A22,'The List'!B1:F730,5,FALSE)</f>
        <v>LAK</v>
      </c>
      <c r="E22" s="38">
        <f>VLOOKUP(A22,'The List'!B1:I730,8,FALSE)</f>
        <v>8.9300965081651817</v>
      </c>
      <c r="F22" s="38">
        <f>IF(Settings!$E$15="POINTS",E22-VLOOKUP(B$2,C1:E227,3,FALSE),J22)</f>
        <v>2.2754274640407806</v>
      </c>
      <c r="G22" s="38"/>
      <c r="H22" s="138">
        <f>RANK(I22,I3:I227)</f>
        <v>18</v>
      </c>
      <c r="I22" s="139">
        <f>VLOOKUP(A22,'Standard Deviations'!A1:C731,3,FALSE)</f>
        <v>8.9300965081651817</v>
      </c>
      <c r="J22" s="139">
        <f>I22-VLOOKUP(B$2,H1:J227,2,FALSE)</f>
        <v>2.2754274640407806</v>
      </c>
    </row>
    <row r="23" spans="1:10" ht="21.2" customHeight="1">
      <c r="A23" s="8" t="s">
        <v>153</v>
      </c>
      <c r="B23" s="61" t="str">
        <f>VLOOKUP(A23,'The List'!B1:D730,3,FALSE)</f>
        <v>LW,RW</v>
      </c>
      <c r="C23" s="62">
        <f>IF(Settings!$E$15="POINTS",RANK(E23,E3:E227),H23)</f>
        <v>24</v>
      </c>
      <c r="D23" s="34" t="str">
        <f>VLOOKUP(A23,'The List'!B1:F730,5,FALSE)</f>
        <v>ARI</v>
      </c>
      <c r="E23" s="38">
        <f>VLOOKUP(A23,'The List'!B1:I730,8,FALSE)</f>
        <v>8.4498309474357942</v>
      </c>
      <c r="F23" s="38">
        <f>IF(Settings!$E$15="POINTS",E23-VLOOKUP(B$2,C1:E227,3,FALSE),J23)</f>
        <v>1.795161903311393</v>
      </c>
      <c r="G23" s="38"/>
      <c r="H23" s="138">
        <f>RANK(I23,I3:I227)</f>
        <v>24</v>
      </c>
      <c r="I23" s="139">
        <f>VLOOKUP(A23,'Standard Deviations'!A1:C731,3,FALSE)</f>
        <v>8.4498309474357942</v>
      </c>
      <c r="J23" s="139">
        <f>I23-VLOOKUP(B$2,H1:J227,2,FALSE)</f>
        <v>1.795161903311393</v>
      </c>
    </row>
    <row r="24" spans="1:10" ht="21.2" customHeight="1">
      <c r="A24" s="8" t="s">
        <v>157</v>
      </c>
      <c r="B24" s="61" t="str">
        <f>VLOOKUP(A24,'The List'!B1:D730,3,FALSE)</f>
        <v>LW,RW</v>
      </c>
      <c r="C24" s="62">
        <f>IF(Settings!$E$15="POINTS",RANK(E24,E3:E227),H24)</f>
        <v>20</v>
      </c>
      <c r="D24" s="34" t="str">
        <f>VLOOKUP(A24,'The List'!B1:F730,5,FALSE)</f>
        <v>EDM</v>
      </c>
      <c r="E24" s="38">
        <f>VLOOKUP(A24,'The List'!B1:I730,8,FALSE)</f>
        <v>8.6077746386592171</v>
      </c>
      <c r="F24" s="38">
        <f>IF(Settings!$E$15="POINTS",E24-VLOOKUP(B$2,C1:E227,3,FALSE),J24)</f>
        <v>1.9531055945348159</v>
      </c>
      <c r="G24" s="38"/>
      <c r="H24" s="138">
        <f>RANK(I24,I3:I227)</f>
        <v>20</v>
      </c>
      <c r="I24" s="139">
        <f>VLOOKUP(A24,'Standard Deviations'!A1:C731,3,FALSE)</f>
        <v>8.6077746386592171</v>
      </c>
      <c r="J24" s="139">
        <f>I24-VLOOKUP(B$2,H1:J227,2,FALSE)</f>
        <v>1.9531055945348159</v>
      </c>
    </row>
    <row r="25" spans="1:10" ht="21.2" customHeight="1">
      <c r="A25" s="8" t="s">
        <v>160</v>
      </c>
      <c r="B25" s="61" t="str">
        <f>VLOOKUP(A25,'The List'!B1:D730,3,FALSE)</f>
        <v>LW,RW</v>
      </c>
      <c r="C25" s="62">
        <f>IF(Settings!$E$15="POINTS",RANK(E25,E3:E227),H25)</f>
        <v>22</v>
      </c>
      <c r="D25" s="34" t="str">
        <f>VLOOKUP(A25,'The List'!B1:F730,5,FALSE)</f>
        <v>CAR</v>
      </c>
      <c r="E25" s="38">
        <f>VLOOKUP(A25,'The List'!B1:I730,8,FALSE)</f>
        <v>8.4864292448964616</v>
      </c>
      <c r="F25" s="38">
        <f>IF(Settings!$E$15="POINTS",E25-VLOOKUP(B$2,C1:E227,3,FALSE),J25)</f>
        <v>1.8317602007720604</v>
      </c>
      <c r="G25" s="38"/>
      <c r="H25" s="138">
        <f>RANK(I25,I3:I227)</f>
        <v>22</v>
      </c>
      <c r="I25" s="139">
        <f>VLOOKUP(A25,'Standard Deviations'!A1:C731,3,FALSE)</f>
        <v>8.4864292448964616</v>
      </c>
      <c r="J25" s="139">
        <f>I25-VLOOKUP(B$2,H1:J227,2,FALSE)</f>
        <v>1.8317602007720604</v>
      </c>
    </row>
    <row r="26" spans="1:10" ht="21.2" customHeight="1">
      <c r="A26" s="8" t="s">
        <v>163</v>
      </c>
      <c r="B26" s="61" t="str">
        <f>VLOOKUP(A26,'The List'!B1:D730,3,FALSE)</f>
        <v>LW,RW</v>
      </c>
      <c r="C26" s="62">
        <f>IF(Settings!$E$15="POINTS",RANK(E26,E3:E227),H26)</f>
        <v>26</v>
      </c>
      <c r="D26" s="34" t="str">
        <f>VLOOKUP(A26,'The List'!B1:F730,5,FALSE)</f>
        <v>STL</v>
      </c>
      <c r="E26" s="38">
        <f>VLOOKUP(A26,'The List'!B1:I730,8,FALSE)</f>
        <v>8.1517737192623727</v>
      </c>
      <c r="F26" s="38">
        <f>IF(Settings!$E$15="POINTS",E26-VLOOKUP(B$2,C1:E227,3,FALSE),J26)</f>
        <v>1.4971046751379715</v>
      </c>
      <c r="G26" s="38"/>
      <c r="H26" s="138">
        <f>RANK(I26,I3:I227)</f>
        <v>26</v>
      </c>
      <c r="I26" s="139">
        <f>VLOOKUP(A26,'Standard Deviations'!A1:C731,3,FALSE)</f>
        <v>8.1517737192623727</v>
      </c>
      <c r="J26" s="139">
        <f>I26-VLOOKUP(B$2,H1:J227,2,FALSE)</f>
        <v>1.4971046751379715</v>
      </c>
    </row>
    <row r="27" spans="1:10" ht="21.2" customHeight="1">
      <c r="A27" s="8" t="s">
        <v>179</v>
      </c>
      <c r="B27" s="61" t="str">
        <f>VLOOKUP(A27,'The List'!B1:D730,3,FALSE)</f>
        <v>LW</v>
      </c>
      <c r="C27" s="62">
        <f>IF(Settings!$E$15="POINTS",RANK(E27,E3:E227),H27)</f>
        <v>27</v>
      </c>
      <c r="D27" s="34" t="str">
        <f>VLOOKUP(A27,'The List'!B1:F730,5,FALSE)</f>
        <v>BOS</v>
      </c>
      <c r="E27" s="38">
        <f>VLOOKUP(A27,'The List'!B1:I730,8,FALSE)</f>
        <v>8.1381961935848466</v>
      </c>
      <c r="F27" s="38">
        <f>IF(Settings!$E$15="POINTS",E27-VLOOKUP(B$2,C1:E227,3,FALSE),J27)</f>
        <v>1.4835271494604454</v>
      </c>
      <c r="G27" s="38"/>
      <c r="H27" s="138">
        <f>RANK(I27,I3:I227)</f>
        <v>27</v>
      </c>
      <c r="I27" s="139">
        <f>VLOOKUP(A27,'Standard Deviations'!A1:C731,3,FALSE)</f>
        <v>8.1381961935848466</v>
      </c>
      <c r="J27" s="139">
        <f>I27-VLOOKUP(B$2,H1:J227,2,FALSE)</f>
        <v>1.4835271494604454</v>
      </c>
    </row>
    <row r="28" spans="1:10" ht="21.2" customHeight="1">
      <c r="A28" s="8" t="s">
        <v>166</v>
      </c>
      <c r="B28" s="61" t="str">
        <f>VLOOKUP(A28,'The List'!B1:D730,3,FALSE)</f>
        <v>LW,RW</v>
      </c>
      <c r="C28" s="62">
        <f>IF(Settings!$E$15="POINTS",RANK(E28,E3:E227),H28)</f>
        <v>30</v>
      </c>
      <c r="D28" s="34" t="str">
        <f>VLOOKUP(A28,'The List'!B1:F730,5,FALSE)</f>
        <v>DET</v>
      </c>
      <c r="E28" s="38">
        <f>VLOOKUP(A28,'The List'!B1:I730,8,FALSE)</f>
        <v>7.3446174527156405</v>
      </c>
      <c r="F28" s="38">
        <f>IF(Settings!$E$15="POINTS",E28-VLOOKUP(B$2,C1:E227,3,FALSE),J28)</f>
        <v>0.68994840859123929</v>
      </c>
      <c r="G28" s="38"/>
      <c r="H28" s="138">
        <f>RANK(I28,I3:I227)</f>
        <v>30</v>
      </c>
      <c r="I28" s="139">
        <f>VLOOKUP(A28,'Standard Deviations'!A1:C731,3,FALSE)</f>
        <v>7.3446174527156405</v>
      </c>
      <c r="J28" s="139">
        <f>I28-VLOOKUP(B$2,H1:J227,2,FALSE)</f>
        <v>0.68994840859123929</v>
      </c>
    </row>
    <row r="29" spans="1:10" ht="21.2" customHeight="1">
      <c r="A29" s="8" t="s">
        <v>186</v>
      </c>
      <c r="B29" s="61" t="str">
        <f>VLOOKUP(A29,'The List'!B1:D730,3,FALSE)</f>
        <v>C,LW</v>
      </c>
      <c r="C29" s="62">
        <f>IF(Settings!$E$15="POINTS",RANK(E29,E3:E227),H29)</f>
        <v>34</v>
      </c>
      <c r="D29" s="34" t="str">
        <f>VLOOKUP(A29,'The List'!B1:F730,5,FALSE)</f>
        <v>ANA</v>
      </c>
      <c r="E29" s="38">
        <f>VLOOKUP(A29,'The List'!B1:I730,8,FALSE)</f>
        <v>7.2104285715631136</v>
      </c>
      <c r="F29" s="38">
        <f>IF(Settings!$E$15="POINTS",E29-VLOOKUP(B$2,C1:E227,3,FALSE),J29)</f>
        <v>0.55575952743871238</v>
      </c>
      <c r="G29" s="38"/>
      <c r="H29" s="138">
        <f>RANK(I29,I3:I227)</f>
        <v>34</v>
      </c>
      <c r="I29" s="139">
        <f>VLOOKUP(A29,'Standard Deviations'!A1:C731,3,FALSE)</f>
        <v>7.2104285715631136</v>
      </c>
      <c r="J29" s="139">
        <f>I29-VLOOKUP(B$2,H1:J227,2,FALSE)</f>
        <v>0.55575952743871238</v>
      </c>
    </row>
    <row r="30" spans="1:10" ht="21.2" customHeight="1">
      <c r="A30" s="8" t="s">
        <v>191</v>
      </c>
      <c r="B30" s="61" t="str">
        <f>VLOOKUP(A30,'The List'!B1:D730,3,FALSE)</f>
        <v>LW</v>
      </c>
      <c r="C30" s="62">
        <f>IF(Settings!$E$15="POINTS",RANK(E30,E3:E227),H30)</f>
        <v>33</v>
      </c>
      <c r="D30" s="34" t="str">
        <f>VLOOKUP(A30,'The List'!B1:F730,5,FALSE)</f>
        <v>BUF</v>
      </c>
      <c r="E30" s="38">
        <f>VLOOKUP(A30,'The List'!B1:I730,8,FALSE)</f>
        <v>7.2723688109085423</v>
      </c>
      <c r="F30" s="38">
        <f>IF(Settings!$E$15="POINTS",E30-VLOOKUP(B$2,C1:E227,3,FALSE),J30)</f>
        <v>0.61769976678414107</v>
      </c>
      <c r="G30" s="38"/>
      <c r="H30" s="138">
        <f>RANK(I30,I3:I227)</f>
        <v>33</v>
      </c>
      <c r="I30" s="139">
        <f>VLOOKUP(A30,'Standard Deviations'!A1:C731,3,FALSE)</f>
        <v>7.2723688109085423</v>
      </c>
      <c r="J30" s="139">
        <f>I30-VLOOKUP(B$2,H1:J227,2,FALSE)</f>
        <v>0.61769976678414107</v>
      </c>
    </row>
    <row r="31" spans="1:10" ht="21.2" customHeight="1">
      <c r="A31" s="8" t="s">
        <v>173</v>
      </c>
      <c r="B31" s="61" t="str">
        <f>VLOOKUP(A31,'The List'!B1:D730,3,FALSE)</f>
        <v>LW,RW</v>
      </c>
      <c r="C31" s="62">
        <f>IF(Settings!$E$15="POINTS",RANK(E31,E3:E227),H31)</f>
        <v>31</v>
      </c>
      <c r="D31" s="34" t="str">
        <f>VLOOKUP(A31,'The List'!B1:F730,5,FALSE)</f>
        <v>NJD</v>
      </c>
      <c r="E31" s="38">
        <f>VLOOKUP(A31,'The List'!B1:I730,8,FALSE)</f>
        <v>7.3232050734584915</v>
      </c>
      <c r="F31" s="38">
        <f>IF(Settings!$E$15="POINTS",E31-VLOOKUP(B$2,C1:E227,3,FALSE),J31)</f>
        <v>0.66853602933409029</v>
      </c>
      <c r="G31" s="38"/>
      <c r="H31" s="138">
        <f>RANK(I31,I3:I227)</f>
        <v>31</v>
      </c>
      <c r="I31" s="139">
        <f>VLOOKUP(A31,'Standard Deviations'!A1:C731,3,FALSE)</f>
        <v>7.3232050734584915</v>
      </c>
      <c r="J31" s="139">
        <f>I31-VLOOKUP(B$2,H1:J227,2,FALSE)</f>
        <v>0.66853602933409029</v>
      </c>
    </row>
    <row r="32" spans="1:10" ht="21.2" customHeight="1">
      <c r="A32" s="8" t="s">
        <v>197</v>
      </c>
      <c r="B32" s="61" t="str">
        <f>VLOOKUP(A32,'The List'!B1:D730,3,FALSE)</f>
        <v>LW</v>
      </c>
      <c r="C32" s="62">
        <f>IF(Settings!$E$15="POINTS",RANK(E32,E3:E227),H32)</f>
        <v>32</v>
      </c>
      <c r="D32" s="34" t="str">
        <f>VLOOKUP(A32,'The List'!B1:F730,5,FALSE)</f>
        <v>FLA</v>
      </c>
      <c r="E32" s="38">
        <f>VLOOKUP(A32,'The List'!B1:I730,8,FALSE)</f>
        <v>7.311458974838196</v>
      </c>
      <c r="F32" s="38">
        <f>IF(Settings!$E$15="POINTS",E32-VLOOKUP(B$2,C1:E227,3,FALSE),J32)</f>
        <v>0.65678993071379477</v>
      </c>
      <c r="G32" s="38"/>
      <c r="H32" s="138">
        <f>RANK(I32,I3:I227)</f>
        <v>32</v>
      </c>
      <c r="I32" s="139">
        <f>VLOOKUP(A32,'Standard Deviations'!A1:C731,3,FALSE)</f>
        <v>7.311458974838196</v>
      </c>
      <c r="J32" s="139">
        <f>I32-VLOOKUP(B$2,H1:J227,2,FALSE)</f>
        <v>0.65678993071379477</v>
      </c>
    </row>
    <row r="33" spans="1:10" ht="21.2" customHeight="1">
      <c r="A33" s="8" t="s">
        <v>174</v>
      </c>
      <c r="B33" s="61" t="str">
        <f>VLOOKUP(A33,'The List'!B1:D730,3,FALSE)</f>
        <v>LW,RW</v>
      </c>
      <c r="C33" s="62">
        <f>IF(Settings!$E$15="POINTS",RANK(E33,E3:E227),H33)</f>
        <v>25</v>
      </c>
      <c r="D33" s="34" t="str">
        <f>VLOOKUP(A33,'The List'!B1:F730,5,FALSE)</f>
        <v>CBJ</v>
      </c>
      <c r="E33" s="38">
        <f>VLOOKUP(A33,'The List'!B1:I730,8,FALSE)</f>
        <v>8.4488457205773173</v>
      </c>
      <c r="F33" s="38">
        <f>IF(Settings!$E$15="POINTS",E33-VLOOKUP(B$2,C1:E227,3,FALSE),J33)</f>
        <v>1.7941766764529161</v>
      </c>
      <c r="G33" s="38"/>
      <c r="H33" s="138">
        <f>RANK(I33,I3:I227)</f>
        <v>25</v>
      </c>
      <c r="I33" s="139">
        <f>VLOOKUP(A33,'Standard Deviations'!A1:C731,3,FALSE)</f>
        <v>8.4488457205773173</v>
      </c>
      <c r="J33" s="139">
        <f>I33-VLOOKUP(B$2,H1:J227,2,FALSE)</f>
        <v>1.7941766764529161</v>
      </c>
    </row>
    <row r="34" spans="1:10" ht="21.2" customHeight="1">
      <c r="A34" s="8" t="s">
        <v>205</v>
      </c>
      <c r="B34" s="61" t="str">
        <f>VLOOKUP(A34,'The List'!B1:D730,3,FALSE)</f>
        <v>LW</v>
      </c>
      <c r="C34" s="62">
        <f>IF(Settings!$E$15="POINTS",RANK(E34,E3:E227),H34)</f>
        <v>21</v>
      </c>
      <c r="D34" s="34" t="str">
        <f>VLOOKUP(A34,'The List'!B1:F730,5,FALSE)</f>
        <v>NSH</v>
      </c>
      <c r="E34" s="38">
        <f>VLOOKUP(A34,'The List'!B1:I730,8,FALSE)</f>
        <v>8.4953956584473396</v>
      </c>
      <c r="F34" s="38">
        <f>IF(Settings!$E$15="POINTS",E34-VLOOKUP(B$2,C1:E227,3,FALSE),J34)</f>
        <v>1.8407266143229384</v>
      </c>
      <c r="G34" s="38"/>
      <c r="H34" s="138">
        <f>RANK(I34,I3:I227)</f>
        <v>21</v>
      </c>
      <c r="I34" s="139">
        <f>VLOOKUP(A34,'Standard Deviations'!A1:C731,3,FALSE)</f>
        <v>8.4953956584473396</v>
      </c>
      <c r="J34" s="139">
        <f>I34-VLOOKUP(B$2,H1:J227,2,FALSE)</f>
        <v>1.8407266143229384</v>
      </c>
    </row>
    <row r="35" spans="1:10" ht="21.2" customHeight="1">
      <c r="A35" s="8" t="s">
        <v>189</v>
      </c>
      <c r="B35" s="61" t="str">
        <f>VLOOKUP(A35,'The List'!B1:D730,3,FALSE)</f>
        <v>LW,RW</v>
      </c>
      <c r="C35" s="62">
        <f>IF(Settings!$E$15="POINTS",RANK(E35,E3:E227),H35)</f>
        <v>35</v>
      </c>
      <c r="D35" s="34" t="str">
        <f>VLOOKUP(A35,'The List'!B1:F730,5,FALSE)</f>
        <v>VGK</v>
      </c>
      <c r="E35" s="38">
        <f>VLOOKUP(A35,'The List'!B1:I730,8,FALSE)</f>
        <v>6.8198689629503599</v>
      </c>
      <c r="F35" s="38">
        <f>IF(Settings!$E$15="POINTS",E35-VLOOKUP(B$2,C1:E227,3,FALSE),J35)</f>
        <v>0.16519991882595875</v>
      </c>
      <c r="G35" s="38"/>
      <c r="H35" s="138">
        <f>RANK(I35,I3:I227)</f>
        <v>35</v>
      </c>
      <c r="I35" s="139">
        <f>VLOOKUP(A35,'Standard Deviations'!A1:C731,3,FALSE)</f>
        <v>6.8198689629503599</v>
      </c>
      <c r="J35" s="139">
        <f>I35-VLOOKUP(B$2,H1:J227,2,FALSE)</f>
        <v>0.16519991882595875</v>
      </c>
    </row>
    <row r="36" spans="1:10" ht="21.2" customHeight="1">
      <c r="A36" s="8" t="s">
        <v>194</v>
      </c>
      <c r="B36" s="61" t="str">
        <f>VLOOKUP(A36,'The List'!B1:D730,3,FALSE)</f>
        <v>LW,RW</v>
      </c>
      <c r="C36" s="62">
        <f>IF(Settings!$E$15="POINTS",RANK(E36,E3:E227),H36)</f>
        <v>36</v>
      </c>
      <c r="D36" s="34" t="str">
        <f>VLOOKUP(A36,'The List'!B1:F730,5,FALSE)</f>
        <v>CGY</v>
      </c>
      <c r="E36" s="38">
        <f>VLOOKUP(A36,'The List'!B1:I730,8,FALSE)</f>
        <v>6.6546690441244012</v>
      </c>
      <c r="F36" s="38">
        <f>IF(Settings!$E$15="POINTS",E36-VLOOKUP(B$2,C1:E227,3,FALSE),J36)</f>
        <v>0</v>
      </c>
      <c r="G36" s="38"/>
      <c r="H36" s="138">
        <f>RANK(I36,I3:I227)</f>
        <v>36</v>
      </c>
      <c r="I36" s="139">
        <f>VLOOKUP(A36,'Standard Deviations'!A1:C731,3,FALSE)</f>
        <v>6.6546690441244012</v>
      </c>
      <c r="J36" s="139">
        <f>I36-VLOOKUP(B$2,H1:J227,2,FALSE)</f>
        <v>0</v>
      </c>
    </row>
    <row r="37" spans="1:10" ht="21.2" customHeight="1">
      <c r="A37" s="8" t="s">
        <v>218</v>
      </c>
      <c r="B37" s="61" t="str">
        <f>VLOOKUP(A37,'The List'!B1:D730,3,FALSE)</f>
        <v>LW</v>
      </c>
      <c r="C37" s="62">
        <f>IF(Settings!$E$15="POINTS",RANK(E37,E3:E227),H37)</f>
        <v>37</v>
      </c>
      <c r="D37" s="34" t="str">
        <f>VLOOKUP(A37,'The List'!B1:F730,5,FALSE)</f>
        <v>NYR</v>
      </c>
      <c r="E37" s="38">
        <f>VLOOKUP(A37,'The List'!B1:I730,8,FALSE)</f>
        <v>6.340118520658363</v>
      </c>
      <c r="F37" s="38">
        <f>IF(Settings!$E$15="POINTS",E37-VLOOKUP(B$2,C1:E227,3,FALSE),J37)</f>
        <v>-0.31455052346603818</v>
      </c>
      <c r="G37" s="38"/>
      <c r="H37" s="138">
        <f>RANK(I37,I3:I227)</f>
        <v>37</v>
      </c>
      <c r="I37" s="139">
        <f>VLOOKUP(A37,'Standard Deviations'!A1:C731,3,FALSE)</f>
        <v>6.340118520658363</v>
      </c>
      <c r="J37" s="139">
        <f>I37-VLOOKUP(B$2,H1:J227,2,FALSE)</f>
        <v>-0.31455052346603818</v>
      </c>
    </row>
    <row r="38" spans="1:10" ht="21.2" customHeight="1">
      <c r="A38" s="8" t="s">
        <v>206</v>
      </c>
      <c r="B38" s="61" t="str">
        <f>VLOOKUP(A38,'The List'!B1:D730,3,FALSE)</f>
        <v>LW,RW</v>
      </c>
      <c r="C38" s="62">
        <f>IF(Settings!$E$15="POINTS",RANK(E38,E3:E227),H38)</f>
        <v>41</v>
      </c>
      <c r="D38" s="34" t="str">
        <f>VLOOKUP(A38,'The List'!B1:F730,5,FALSE)</f>
        <v>LAK</v>
      </c>
      <c r="E38" s="38">
        <f>VLOOKUP(A38,'The List'!B1:I730,8,FALSE)</f>
        <v>5.8516478790792794</v>
      </c>
      <c r="F38" s="38">
        <f>IF(Settings!$E$15="POINTS",E38-VLOOKUP(B$2,C1:E227,3,FALSE),J38)</f>
        <v>-0.80302116504512178</v>
      </c>
      <c r="G38" s="38"/>
      <c r="H38" s="138">
        <f>RANK(I38,I3:I227)</f>
        <v>41</v>
      </c>
      <c r="I38" s="139">
        <f>VLOOKUP(A38,'Standard Deviations'!A1:C731,3,FALSE)</f>
        <v>5.8516478790792794</v>
      </c>
      <c r="J38" s="139">
        <f>I38-VLOOKUP(B$2,H1:J227,2,FALSE)</f>
        <v>-0.80302116504512178</v>
      </c>
    </row>
    <row r="39" spans="1:10" ht="21.2" customHeight="1">
      <c r="A39" s="8" t="s">
        <v>221</v>
      </c>
      <c r="B39" s="61" t="str">
        <f>VLOOKUP(A39,'The List'!B1:D730,3,FALSE)</f>
        <v>C,LW</v>
      </c>
      <c r="C39" s="62">
        <f>IF(Settings!$E$15="POINTS",RANK(E39,E3:E227),H39)</f>
        <v>39</v>
      </c>
      <c r="D39" s="34" t="str">
        <f>VLOOKUP(A39,'The List'!B1:F730,5,FALSE)</f>
        <v>LAK</v>
      </c>
      <c r="E39" s="38">
        <f>VLOOKUP(A39,'The List'!B1:I730,8,FALSE)</f>
        <v>6.2939538141798721</v>
      </c>
      <c r="F39" s="38">
        <f>IF(Settings!$E$15="POINTS",E39-VLOOKUP(B$2,C1:E227,3,FALSE),J39)</f>
        <v>-0.36071522994452909</v>
      </c>
      <c r="G39" s="38"/>
      <c r="H39" s="138">
        <f>RANK(I39,I3:I227)</f>
        <v>39</v>
      </c>
      <c r="I39" s="139">
        <f>VLOOKUP(A39,'Standard Deviations'!A1:C731,3,FALSE)</f>
        <v>6.2939538141798721</v>
      </c>
      <c r="J39" s="139">
        <f>I39-VLOOKUP(B$2,H1:J227,2,FALSE)</f>
        <v>-0.36071522994452909</v>
      </c>
    </row>
    <row r="40" spans="1:10" ht="21.2" customHeight="1">
      <c r="A40" s="8" t="s">
        <v>208</v>
      </c>
      <c r="B40" s="61" t="str">
        <f>VLOOKUP(A40,'The List'!B1:D730,3,FALSE)</f>
        <v>LW,RW</v>
      </c>
      <c r="C40" s="62">
        <f>IF(Settings!$E$15="POINTS",RANK(E40,E3:E227),H40)</f>
        <v>29</v>
      </c>
      <c r="D40" s="34" t="str">
        <f>VLOOKUP(A40,'The List'!B1:F730,5,FALSE)</f>
        <v>MTL</v>
      </c>
      <c r="E40" s="38">
        <f>VLOOKUP(A40,'The List'!B1:I730,8,FALSE)</f>
        <v>7.6906294626593015</v>
      </c>
      <c r="F40" s="38">
        <f>IF(Settings!$E$15="POINTS",E40-VLOOKUP(B$2,C1:E227,3,FALSE),J40)</f>
        <v>1.0359604185349003</v>
      </c>
      <c r="G40" s="38"/>
      <c r="H40" s="138">
        <f>RANK(I40,I3:I227)</f>
        <v>29</v>
      </c>
      <c r="I40" s="139">
        <f>VLOOKUP(A40,'Standard Deviations'!A1:C731,3,FALSE)</f>
        <v>7.6906294626593015</v>
      </c>
      <c r="J40" s="139">
        <f>I40-VLOOKUP(B$2,H1:J227,2,FALSE)</f>
        <v>1.0359604185349003</v>
      </c>
    </row>
    <row r="41" spans="1:10" ht="21.2" customHeight="1">
      <c r="A41" s="8" t="s">
        <v>211</v>
      </c>
      <c r="B41" s="61" t="str">
        <f>VLOOKUP(A41,'The List'!B1:D730,3,FALSE)</f>
        <v>LW,RW</v>
      </c>
      <c r="C41" s="62">
        <f>IF(Settings!$E$15="POINTS",RANK(E41,E3:E227),H41)</f>
        <v>28</v>
      </c>
      <c r="D41" s="34" t="str">
        <f>VLOOKUP(A41,'The List'!B1:F730,5,FALSE)</f>
        <v>WPG</v>
      </c>
      <c r="E41" s="38">
        <f>VLOOKUP(A41,'The List'!B1:I730,8,FALSE)</f>
        <v>7.7011674187222674</v>
      </c>
      <c r="F41" s="38">
        <f>IF(Settings!$E$15="POINTS",E41-VLOOKUP(B$2,C1:E227,3,FALSE),J41)</f>
        <v>1.0464983745978662</v>
      </c>
      <c r="G41" s="38"/>
      <c r="H41" s="138">
        <f>RANK(I41,I3:I227)</f>
        <v>28</v>
      </c>
      <c r="I41" s="139">
        <f>VLOOKUP(A41,'Standard Deviations'!A1:C731,3,FALSE)</f>
        <v>7.7011674187222674</v>
      </c>
      <c r="J41" s="139">
        <f>I41-VLOOKUP(B$2,H1:J227,2,FALSE)</f>
        <v>1.0464983745978662</v>
      </c>
    </row>
    <row r="42" spans="1:10" ht="21.2" customHeight="1">
      <c r="A42" s="8" t="s">
        <v>225</v>
      </c>
      <c r="B42" s="61" t="str">
        <f>VLOOKUP(A42,'The List'!B1:D730,3,FALSE)</f>
        <v>C,LW</v>
      </c>
      <c r="C42" s="62">
        <f>IF(Settings!$E$15="POINTS",RANK(E42,E3:E227),H42)</f>
        <v>38</v>
      </c>
      <c r="D42" s="34" t="str">
        <f>VLOOKUP(A42,'The List'!B1:F730,5,FALSE)</f>
        <v>SEA</v>
      </c>
      <c r="E42" s="38">
        <f>VLOOKUP(A42,'The List'!B1:I730,8,FALSE)</f>
        <v>6.3370507242066028</v>
      </c>
      <c r="F42" s="38">
        <f>IF(Settings!$E$15="POINTS",E42-VLOOKUP(B$2,C1:E227,3,FALSE),J42)</f>
        <v>-0.31761831991779843</v>
      </c>
      <c r="G42" s="38"/>
      <c r="H42" s="138">
        <f>RANK(I42,I3:I227)</f>
        <v>38</v>
      </c>
      <c r="I42" s="139">
        <f>VLOOKUP(A42,'Standard Deviations'!A1:C731,3,FALSE)</f>
        <v>6.3370507242066028</v>
      </c>
      <c r="J42" s="139">
        <f>I42-VLOOKUP(B$2,H1:J227,2,FALSE)</f>
        <v>-0.31761831991779843</v>
      </c>
    </row>
    <row r="43" spans="1:10" ht="21.2" customHeight="1">
      <c r="A43" s="8" t="s">
        <v>217</v>
      </c>
      <c r="B43" s="61" t="str">
        <f>VLOOKUP(A43,'The List'!B1:D730,3,FALSE)</f>
        <v>C,LW,RW</v>
      </c>
      <c r="C43" s="62">
        <f>IF(Settings!$E$15="POINTS",RANK(E43,E3:E227),H43)</f>
        <v>42</v>
      </c>
      <c r="D43" s="34" t="str">
        <f>VLOOKUP(A43,'The List'!B1:F730,5,FALSE)</f>
        <v>OTT</v>
      </c>
      <c r="E43" s="38">
        <f>VLOOKUP(A43,'The List'!B1:I730,8,FALSE)</f>
        <v>5.7530863445599101</v>
      </c>
      <c r="F43" s="38">
        <f>IF(Settings!$E$15="POINTS",E43-VLOOKUP(B$2,C1:E227,3,FALSE),J43)</f>
        <v>-0.90158269956449111</v>
      </c>
      <c r="G43" s="38"/>
      <c r="H43" s="138">
        <f>RANK(I43,I3:I227)</f>
        <v>42</v>
      </c>
      <c r="I43" s="139">
        <f>VLOOKUP(A43,'Standard Deviations'!A1:C731,3,FALSE)</f>
        <v>5.7530863445599101</v>
      </c>
      <c r="J43" s="139">
        <f>I43-VLOOKUP(B$2,H1:J227,2,FALSE)</f>
        <v>-0.90158269956449111</v>
      </c>
    </row>
    <row r="44" spans="1:10" ht="21.2" customHeight="1">
      <c r="A44" s="8" t="s">
        <v>227</v>
      </c>
      <c r="B44" s="61" t="str">
        <f>VLOOKUP(A44,'The List'!B1:D730,3,FALSE)</f>
        <v>LW</v>
      </c>
      <c r="C44" s="62">
        <f>IF(Settings!$E$15="POINTS",RANK(E44,E3:E227),H44)</f>
        <v>46</v>
      </c>
      <c r="D44" s="34" t="str">
        <f>VLOOKUP(A44,'The List'!B1:F730,5,FALSE)</f>
        <v>TBL</v>
      </c>
      <c r="E44" s="38">
        <f>VLOOKUP(A44,'The List'!B1:I730,8,FALSE)</f>
        <v>5.3159553373323458</v>
      </c>
      <c r="F44" s="38">
        <f>IF(Settings!$E$15="POINTS",E44-VLOOKUP(B$2,C1:E227,3,FALSE),J44)</f>
        <v>-1.3387137067920554</v>
      </c>
      <c r="G44" s="38"/>
      <c r="H44" s="138">
        <f>RANK(I44,I3:I227)</f>
        <v>46</v>
      </c>
      <c r="I44" s="139">
        <f>VLOOKUP(A44,'Standard Deviations'!A1:C731,3,FALSE)</f>
        <v>5.3159553373323458</v>
      </c>
      <c r="J44" s="139">
        <f>I44-VLOOKUP(B$2,H1:J227,2,FALSE)</f>
        <v>-1.3387137067920554</v>
      </c>
    </row>
    <row r="45" spans="1:10" ht="21.2" customHeight="1">
      <c r="A45" s="8" t="s">
        <v>223</v>
      </c>
      <c r="B45" s="61" t="str">
        <f>VLOOKUP(A45,'The List'!B1:D730,3,FALSE)</f>
        <v>C,LW,RW</v>
      </c>
      <c r="C45" s="62">
        <f>IF(Settings!$E$15="POINTS",RANK(E45,E3:E227),H45)</f>
        <v>40</v>
      </c>
      <c r="D45" s="34" t="str">
        <f>VLOOKUP(A45,'The List'!B1:F730,5,FALSE)</f>
        <v>ARI</v>
      </c>
      <c r="E45" s="38">
        <f>VLOOKUP(A45,'The List'!B1:I730,8,FALSE)</f>
        <v>6.2802587190110808</v>
      </c>
      <c r="F45" s="38">
        <f>IF(Settings!$E$15="POINTS",E45-VLOOKUP(B$2,C1:E227,3,FALSE),J45)</f>
        <v>-0.3744103251133204</v>
      </c>
      <c r="G45" s="38"/>
      <c r="H45" s="138">
        <f>RANK(I45,I3:I227)</f>
        <v>40</v>
      </c>
      <c r="I45" s="139">
        <f>VLOOKUP(A45,'Standard Deviations'!A1:C731,3,FALSE)</f>
        <v>6.2802587190110808</v>
      </c>
      <c r="J45" s="139">
        <f>I45-VLOOKUP(B$2,H1:J227,2,FALSE)</f>
        <v>-0.3744103251133204</v>
      </c>
    </row>
    <row r="46" spans="1:10" ht="21.2" customHeight="1">
      <c r="A46" s="8" t="s">
        <v>239</v>
      </c>
      <c r="B46" s="61" t="str">
        <f>VLOOKUP(A46,'The List'!B1:D730,3,FALSE)</f>
        <v>LW</v>
      </c>
      <c r="C46" s="62">
        <f>IF(Settings!$E$15="POINTS",RANK(E46,E3:E227),H46)</f>
        <v>44</v>
      </c>
      <c r="D46" s="34" t="str">
        <f>VLOOKUP(A46,'The List'!B1:F730,5,FALSE)</f>
        <v>CHI</v>
      </c>
      <c r="E46" s="38">
        <f>VLOOKUP(A46,'The List'!B1:I730,8,FALSE)</f>
        <v>5.5732687830407812</v>
      </c>
      <c r="F46" s="38">
        <f>IF(Settings!$E$15="POINTS",E46-VLOOKUP(B$2,C1:E227,3,FALSE),J46)</f>
        <v>-1.08140026108362</v>
      </c>
      <c r="G46" s="38"/>
      <c r="H46" s="138">
        <f>RANK(I46,I3:I227)</f>
        <v>44</v>
      </c>
      <c r="I46" s="139">
        <f>VLOOKUP(A46,'Standard Deviations'!A1:C731,3,FALSE)</f>
        <v>5.5732687830407812</v>
      </c>
      <c r="J46" s="139">
        <f>I46-VLOOKUP(B$2,H1:J227,2,FALSE)</f>
        <v>-1.08140026108362</v>
      </c>
    </row>
    <row r="47" spans="1:10" ht="21.2" customHeight="1">
      <c r="A47" s="8" t="s">
        <v>248</v>
      </c>
      <c r="B47" s="61" t="str">
        <f>VLOOKUP(A47,'The List'!B1:D730,3,FALSE)</f>
        <v>LW</v>
      </c>
      <c r="C47" s="62">
        <f>IF(Settings!$E$15="POINTS",RANK(E47,E3:E227),H47)</f>
        <v>43</v>
      </c>
      <c r="D47" s="34" t="str">
        <f>VLOOKUP(A47,'The List'!B1:F730,5,FALSE)</f>
        <v>COL</v>
      </c>
      <c r="E47" s="38">
        <f>VLOOKUP(A47,'The List'!B1:I730,8,FALSE)</f>
        <v>5.6387525030219958</v>
      </c>
      <c r="F47" s="38">
        <f>IF(Settings!$E$15="POINTS",E47-VLOOKUP(B$2,C1:E227,3,FALSE),J47)</f>
        <v>-1.0159165411024054</v>
      </c>
      <c r="G47" s="38"/>
      <c r="H47" s="138">
        <f>RANK(I47,I3:I227)</f>
        <v>43</v>
      </c>
      <c r="I47" s="139">
        <f>VLOOKUP(A47,'Standard Deviations'!A1:C731,3,FALSE)</f>
        <v>5.6387525030219958</v>
      </c>
      <c r="J47" s="139">
        <f>I47-VLOOKUP(B$2,H1:J227,2,FALSE)</f>
        <v>-1.0159165411024054</v>
      </c>
    </row>
    <row r="48" spans="1:10" ht="21.2" customHeight="1">
      <c r="A48" s="8" t="s">
        <v>256</v>
      </c>
      <c r="B48" s="61" t="str">
        <f>VLOOKUP(A48,'The List'!B1:D730,3,FALSE)</f>
        <v>C,LW</v>
      </c>
      <c r="C48" s="62">
        <f>IF(Settings!$E$15="POINTS",RANK(E48,E3:E227),H48)</f>
        <v>52</v>
      </c>
      <c r="D48" s="34" t="str">
        <f>VLOOKUP(A48,'The List'!B1:F730,5,FALSE)</f>
        <v>DAL</v>
      </c>
      <c r="E48" s="38">
        <f>VLOOKUP(A48,'The List'!B1:I730,8,FALSE)</f>
        <v>4.5240276912220887</v>
      </c>
      <c r="F48" s="38">
        <f>IF(Settings!$E$15="POINTS",E48-VLOOKUP(B$2,C1:E227,3,FALSE),J48)</f>
        <v>-2.1306413529023125</v>
      </c>
      <c r="G48" s="38"/>
      <c r="H48" s="138">
        <f>RANK(I48,I3:I227)</f>
        <v>52</v>
      </c>
      <c r="I48" s="139">
        <f>VLOOKUP(A48,'Standard Deviations'!A1:C731,3,FALSE)</f>
        <v>4.5240276912220887</v>
      </c>
      <c r="J48" s="139">
        <f>I48-VLOOKUP(B$2,H1:J227,2,FALSE)</f>
        <v>-2.1306413529023125</v>
      </c>
    </row>
    <row r="49" spans="1:10" ht="21.2" customHeight="1">
      <c r="A49" s="8" t="s">
        <v>258</v>
      </c>
      <c r="B49" s="61" t="str">
        <f>VLOOKUP(A49,'The List'!B1:D730,3,FALSE)</f>
        <v>C,LW</v>
      </c>
      <c r="C49" s="62">
        <f>IF(Settings!$E$15="POINTS",RANK(E49,E3:E227),H49)</f>
        <v>50</v>
      </c>
      <c r="D49" s="34" t="str">
        <f>VLOOKUP(A49,'The List'!B1:F730,5,FALSE)</f>
        <v>BOS</v>
      </c>
      <c r="E49" s="38">
        <f>VLOOKUP(A49,'The List'!B1:I730,8,FALSE)</f>
        <v>4.9802623630289942</v>
      </c>
      <c r="F49" s="38">
        <f>IF(Settings!$E$15="POINTS",E49-VLOOKUP(B$2,C1:E227,3,FALSE),J49)</f>
        <v>-1.674406681095407</v>
      </c>
      <c r="G49" s="38"/>
      <c r="H49" s="138">
        <f>RANK(I49,I3:I227)</f>
        <v>50</v>
      </c>
      <c r="I49" s="139">
        <f>VLOOKUP(A49,'Standard Deviations'!A1:C731,3,FALSE)</f>
        <v>4.9802623630289942</v>
      </c>
      <c r="J49" s="139">
        <f>I49-VLOOKUP(B$2,H1:J227,2,FALSE)</f>
        <v>-1.674406681095407</v>
      </c>
    </row>
    <row r="50" spans="1:10" ht="21.2" customHeight="1">
      <c r="A50" s="8" t="s">
        <v>236</v>
      </c>
      <c r="B50" s="61" t="str">
        <f>VLOOKUP(A50,'The List'!B1:D730,3,FALSE)</f>
        <v>LW,RW</v>
      </c>
      <c r="C50" s="62">
        <f>IF(Settings!$E$15="POINTS",RANK(E50,E3:E227),H50)</f>
        <v>49</v>
      </c>
      <c r="D50" s="34" t="str">
        <f>VLOOKUP(A50,'The List'!B1:F730,5,FALSE)</f>
        <v>VAN</v>
      </c>
      <c r="E50" s="38">
        <f>VLOOKUP(A50,'The List'!B1:I730,8,FALSE)</f>
        <v>5.0042319918234188</v>
      </c>
      <c r="F50" s="38">
        <f>IF(Settings!$E$15="POINTS",E50-VLOOKUP(B$2,C1:E227,3,FALSE),J50)</f>
        <v>-1.6504370523009824</v>
      </c>
      <c r="G50" s="38"/>
      <c r="H50" s="138">
        <f>RANK(I50,I3:I227)</f>
        <v>49</v>
      </c>
      <c r="I50" s="139">
        <f>VLOOKUP(A50,'Standard Deviations'!A1:C731,3,FALSE)</f>
        <v>5.0042319918234188</v>
      </c>
      <c r="J50" s="139">
        <f>I50-VLOOKUP(B$2,H1:J227,2,FALSE)</f>
        <v>-1.6504370523009824</v>
      </c>
    </row>
    <row r="51" spans="1:10" ht="21.2" customHeight="1">
      <c r="A51" s="8" t="s">
        <v>237</v>
      </c>
      <c r="B51" s="61" t="str">
        <f>VLOOKUP(A51,'The List'!B1:D730,3,FALSE)</f>
        <v>LW,RW</v>
      </c>
      <c r="C51" s="62">
        <f>IF(Settings!$E$15="POINTS",RANK(E51,E3:E227),H51)</f>
        <v>45</v>
      </c>
      <c r="D51" s="34" t="str">
        <f>VLOOKUP(A51,'The List'!B1:F730,5,FALSE)</f>
        <v>BOS</v>
      </c>
      <c r="E51" s="38">
        <f>VLOOKUP(A51,'The List'!B1:I730,8,FALSE)</f>
        <v>5.4794471040127481</v>
      </c>
      <c r="F51" s="38">
        <f>IF(Settings!$E$15="POINTS",E51-VLOOKUP(B$2,C1:E227,3,FALSE),J51)</f>
        <v>-1.175221940111653</v>
      </c>
      <c r="G51" s="38"/>
      <c r="H51" s="138">
        <f>RANK(I51,I3:I227)</f>
        <v>45</v>
      </c>
      <c r="I51" s="139">
        <f>VLOOKUP(A51,'Standard Deviations'!A1:C731,3,FALSE)</f>
        <v>5.4794471040127481</v>
      </c>
      <c r="J51" s="139">
        <f>I51-VLOOKUP(B$2,H1:J227,2,FALSE)</f>
        <v>-1.175221940111653</v>
      </c>
    </row>
    <row r="52" spans="1:10" ht="21.2" customHeight="1">
      <c r="A52" s="8" t="s">
        <v>240</v>
      </c>
      <c r="B52" s="61" t="str">
        <f>VLOOKUP(A52,'The List'!B1:D730,3,FALSE)</f>
        <v>LW,RW</v>
      </c>
      <c r="C52" s="62">
        <f>IF(Settings!$E$15="POINTS",RANK(E52,E3:E227),H52)</f>
        <v>48</v>
      </c>
      <c r="D52" s="34" t="str">
        <f>VLOOKUP(A52,'The List'!B1:F730,5,FALSE)</f>
        <v>DET</v>
      </c>
      <c r="E52" s="38">
        <f>VLOOKUP(A52,'The List'!B1:I730,8,FALSE)</f>
        <v>5.036515804325699</v>
      </c>
      <c r="F52" s="38">
        <f>IF(Settings!$E$15="POINTS",E52-VLOOKUP(B$2,C1:E227,3,FALSE),J52)</f>
        <v>-1.6181532397987022</v>
      </c>
      <c r="G52" s="38"/>
      <c r="H52" s="138">
        <f>RANK(I52,I3:I227)</f>
        <v>48</v>
      </c>
      <c r="I52" s="139">
        <f>VLOOKUP(A52,'Standard Deviations'!A1:C731,3,FALSE)</f>
        <v>5.036515804325699</v>
      </c>
      <c r="J52" s="139">
        <f>I52-VLOOKUP(B$2,H1:J227,2,FALSE)</f>
        <v>-1.6181532397987022</v>
      </c>
    </row>
    <row r="53" spans="1:10" ht="21.2" customHeight="1">
      <c r="A53" s="8" t="s">
        <v>247</v>
      </c>
      <c r="B53" s="61" t="str">
        <f>VLOOKUP(A53,'The List'!B1:D730,3,FALSE)</f>
        <v>LW,RW</v>
      </c>
      <c r="C53" s="62">
        <f>IF(Settings!$E$15="POINTS",RANK(E53,E3:E227),H53)</f>
        <v>51</v>
      </c>
      <c r="D53" s="34" t="str">
        <f>VLOOKUP(A53,'The List'!B1:F730,5,FALSE)</f>
        <v>DET</v>
      </c>
      <c r="E53" s="38">
        <f>VLOOKUP(A53,'The List'!B1:I730,8,FALSE)</f>
        <v>4.9639097019045106</v>
      </c>
      <c r="F53" s="38">
        <f>IF(Settings!$E$15="POINTS",E53-VLOOKUP(B$2,C1:E227,3,FALSE),J53)</f>
        <v>-1.6907593422198905</v>
      </c>
      <c r="G53" s="38"/>
      <c r="H53" s="138">
        <f>RANK(I53,I3:I227)</f>
        <v>51</v>
      </c>
      <c r="I53" s="139">
        <f>VLOOKUP(A53,'Standard Deviations'!A1:C731,3,FALSE)</f>
        <v>4.9639097019045106</v>
      </c>
      <c r="J53" s="139">
        <f>I53-VLOOKUP(B$2,H1:J227,2,FALSE)</f>
        <v>-1.6907593422198905</v>
      </c>
    </row>
    <row r="54" spans="1:10" ht="21.2" customHeight="1">
      <c r="A54" s="8" t="s">
        <v>271</v>
      </c>
      <c r="B54" s="61" t="str">
        <f>VLOOKUP(A54,'The List'!B1:D730,3,FALSE)</f>
        <v>C,LW</v>
      </c>
      <c r="C54" s="62">
        <f>IF(Settings!$E$15="POINTS",RANK(E54,E3:E227),H54)</f>
        <v>54</v>
      </c>
      <c r="D54" s="34" t="str">
        <f>VLOOKUP(A54,'The List'!B1:F730,5,FALSE)</f>
        <v>ANA</v>
      </c>
      <c r="E54" s="38">
        <f>VLOOKUP(A54,'The List'!B1:I730,8,FALSE)</f>
        <v>4.1500178457372492</v>
      </c>
      <c r="F54" s="38">
        <f>IF(Settings!$E$15="POINTS",E54-VLOOKUP(B$2,C1:E227,3,FALSE),J54)</f>
        <v>-2.504651198387152</v>
      </c>
      <c r="G54" s="38"/>
      <c r="H54" s="138">
        <f>RANK(I54,I3:I227)</f>
        <v>54</v>
      </c>
      <c r="I54" s="139">
        <f>VLOOKUP(A54,'Standard Deviations'!A1:C731,3,FALSE)</f>
        <v>4.1500178457372492</v>
      </c>
      <c r="J54" s="139">
        <f>I54-VLOOKUP(B$2,H1:J227,2,FALSE)</f>
        <v>-2.504651198387152</v>
      </c>
    </row>
    <row r="55" spans="1:10" ht="21.2" customHeight="1">
      <c r="A55" s="8" t="s">
        <v>260</v>
      </c>
      <c r="B55" s="61" t="str">
        <f>VLOOKUP(A55,'The List'!B1:D730,3,FALSE)</f>
        <v>LW,RW</v>
      </c>
      <c r="C55" s="62">
        <f>IF(Settings!$E$15="POINTS",RANK(E55,E3:E227),H55)</f>
        <v>55</v>
      </c>
      <c r="D55" s="34" t="str">
        <f>VLOOKUP(A55,'The List'!B1:F730,5,FALSE)</f>
        <v>PIT</v>
      </c>
      <c r="E55" s="38">
        <f>VLOOKUP(A55,'The List'!B1:I730,8,FALSE)</f>
        <v>4.0574487696802191</v>
      </c>
      <c r="F55" s="38">
        <f>IF(Settings!$E$15="POINTS",E55-VLOOKUP(B$2,C1:E227,3,FALSE),J55)</f>
        <v>-2.5972202744441821</v>
      </c>
      <c r="G55" s="38"/>
      <c r="H55" s="138">
        <f>RANK(I55,I3:I227)</f>
        <v>55</v>
      </c>
      <c r="I55" s="139">
        <f>VLOOKUP(A55,'Standard Deviations'!A1:C731,3,FALSE)</f>
        <v>4.0574487696802191</v>
      </c>
      <c r="J55" s="139">
        <f>I55-VLOOKUP(B$2,H1:J227,2,FALSE)</f>
        <v>-2.5972202744441821</v>
      </c>
    </row>
    <row r="56" spans="1:10" ht="21.2" customHeight="1">
      <c r="A56" s="8" t="s">
        <v>272</v>
      </c>
      <c r="B56" s="61" t="str">
        <f>VLOOKUP(A56,'The List'!B1:D730,3,FALSE)</f>
        <v>LW</v>
      </c>
      <c r="C56" s="62">
        <f>IF(Settings!$E$15="POINTS",RANK(E56,E3:E227),H56)</f>
        <v>47</v>
      </c>
      <c r="D56" s="34" t="str">
        <f>VLOOKUP(A56,'The List'!B1:F730,5,FALSE)</f>
        <v>SEA</v>
      </c>
      <c r="E56" s="38">
        <f>VLOOKUP(A56,'The List'!B1:I730,8,FALSE)</f>
        <v>5.1548211754052202</v>
      </c>
      <c r="F56" s="38">
        <f>IF(Settings!$E$15="POINTS",E56-VLOOKUP(B$2,C1:E227,3,FALSE),J56)</f>
        <v>-1.499847868719181</v>
      </c>
      <c r="G56" s="38"/>
      <c r="H56" s="138">
        <f>RANK(I56,I3:I227)</f>
        <v>47</v>
      </c>
      <c r="I56" s="139">
        <f>VLOOKUP(A56,'Standard Deviations'!A1:C731,3,FALSE)</f>
        <v>5.1548211754052202</v>
      </c>
      <c r="J56" s="139">
        <f>I56-VLOOKUP(B$2,H1:J227,2,FALSE)</f>
        <v>-1.499847868719181</v>
      </c>
    </row>
    <row r="57" spans="1:10" ht="21.2" customHeight="1">
      <c r="A57" s="8" t="s">
        <v>264</v>
      </c>
      <c r="B57" s="61" t="str">
        <f>VLOOKUP(A57,'The List'!B1:D730,3,FALSE)</f>
        <v>LW,RW</v>
      </c>
      <c r="C57" s="62">
        <f>IF(Settings!$E$15="POINTS",RANK(E57,E3:E227),H57)</f>
        <v>53</v>
      </c>
      <c r="D57" s="34" t="str">
        <f>VLOOKUP(A57,'The List'!B1:F730,5,FALSE)</f>
        <v>LAK</v>
      </c>
      <c r="E57" s="38">
        <f>VLOOKUP(A57,'The List'!B1:I730,8,FALSE)</f>
        <v>4.1748489384192276</v>
      </c>
      <c r="F57" s="38">
        <f>IF(Settings!$E$15="POINTS",E57-VLOOKUP(B$2,C1:E227,3,FALSE),J57)</f>
        <v>-2.4798201057051736</v>
      </c>
      <c r="G57" s="38"/>
      <c r="H57" s="138">
        <f>RANK(I57,I3:I227)</f>
        <v>53</v>
      </c>
      <c r="I57" s="139">
        <f>VLOOKUP(A57,'Standard Deviations'!A1:C731,3,FALSE)</f>
        <v>4.1748489384192276</v>
      </c>
      <c r="J57" s="139">
        <f>I57-VLOOKUP(B$2,H1:J227,2,FALSE)</f>
        <v>-2.4798201057051736</v>
      </c>
    </row>
    <row r="58" spans="1:10" ht="21.2" customHeight="1">
      <c r="A58" s="8" t="s">
        <v>277</v>
      </c>
      <c r="B58" s="61" t="str">
        <f>VLOOKUP(A58,'The List'!B1:D730,3,FALSE)</f>
        <v>LW,RW</v>
      </c>
      <c r="C58" s="62">
        <f>IF(Settings!$E$15="POINTS",RANK(E58,E3:E227),H58)</f>
        <v>64</v>
      </c>
      <c r="D58" s="34" t="str">
        <f>VLOOKUP(A58,'The List'!B1:F730,5,FALSE)</f>
        <v>ANA</v>
      </c>
      <c r="E58" s="38">
        <f>VLOOKUP(A58,'The List'!B1:I730,8,FALSE)</f>
        <v>3.1174885233035683</v>
      </c>
      <c r="F58" s="38">
        <f>IF(Settings!$E$15="POINTS",E58-VLOOKUP(B$2,C1:E227,3,FALSE),J58)</f>
        <v>-3.5371805208208329</v>
      </c>
      <c r="G58" s="38"/>
      <c r="H58" s="138">
        <f>RANK(I58,I3:I227)</f>
        <v>64</v>
      </c>
      <c r="I58" s="139">
        <f>VLOOKUP(A58,'Standard Deviations'!A1:C731,3,FALSE)</f>
        <v>3.1174885233035683</v>
      </c>
      <c r="J58" s="139">
        <f>I58-VLOOKUP(B$2,H1:J227,2,FALSE)</f>
        <v>-3.5371805208208329</v>
      </c>
    </row>
    <row r="59" spans="1:10" ht="21.2" customHeight="1">
      <c r="A59" s="8" t="s">
        <v>293</v>
      </c>
      <c r="B59" s="61" t="str">
        <f>VLOOKUP(A59,'The List'!B1:D730,3,FALSE)</f>
        <v>C,LW</v>
      </c>
      <c r="C59" s="62">
        <f>IF(Settings!$E$15="POINTS",RANK(E59,E3:E227),H59)</f>
        <v>58</v>
      </c>
      <c r="D59" s="34" t="str">
        <f>VLOOKUP(A59,'The List'!B1:F730,5,FALSE)</f>
        <v>STL</v>
      </c>
      <c r="E59" s="38">
        <f>VLOOKUP(A59,'The List'!B1:I730,8,FALSE)</f>
        <v>3.602259782883471</v>
      </c>
      <c r="F59" s="38">
        <f>IF(Settings!$E$15="POINTS",E59-VLOOKUP(B$2,C1:E227,3,FALSE),J59)</f>
        <v>-3.0524092612409301</v>
      </c>
      <c r="G59" s="38"/>
      <c r="H59" s="138">
        <f>RANK(I59,I3:I227)</f>
        <v>58</v>
      </c>
      <c r="I59" s="139">
        <f>VLOOKUP(A59,'Standard Deviations'!A1:C731,3,FALSE)</f>
        <v>3.602259782883471</v>
      </c>
      <c r="J59" s="139">
        <f>I59-VLOOKUP(B$2,H1:J227,2,FALSE)</f>
        <v>-3.0524092612409301</v>
      </c>
    </row>
    <row r="60" spans="1:10" ht="21.2" customHeight="1">
      <c r="A60" s="8" t="s">
        <v>296</v>
      </c>
      <c r="B60" s="61" t="str">
        <f>VLOOKUP(A60,'The List'!B1:D730,3,FALSE)</f>
        <v>LW</v>
      </c>
      <c r="C60" s="62">
        <f>IF(Settings!$E$15="POINTS",RANK(E60,E3:E227),H60)</f>
        <v>61</v>
      </c>
      <c r="D60" s="34" t="str">
        <f>VLOOKUP(A60,'The List'!B1:F730,5,FALSE)</f>
        <v>NYI</v>
      </c>
      <c r="E60" s="38">
        <f>VLOOKUP(A60,'The List'!B1:I730,8,FALSE)</f>
        <v>3.4793713744958863</v>
      </c>
      <c r="F60" s="38">
        <f>IF(Settings!$E$15="POINTS",E60-VLOOKUP(B$2,C1:E227,3,FALSE),J60)</f>
        <v>-3.1752976696285149</v>
      </c>
      <c r="G60" s="38"/>
      <c r="H60" s="138">
        <f>RANK(I60,I3:I227)</f>
        <v>61</v>
      </c>
      <c r="I60" s="139">
        <f>VLOOKUP(A60,'Standard Deviations'!A1:C731,3,FALSE)</f>
        <v>3.4793713744958863</v>
      </c>
      <c r="J60" s="139">
        <f>I60-VLOOKUP(B$2,H1:J227,2,FALSE)</f>
        <v>-3.1752976696285149</v>
      </c>
    </row>
    <row r="61" spans="1:10" ht="21.2" customHeight="1">
      <c r="A61" s="8" t="s">
        <v>285</v>
      </c>
      <c r="B61" s="61" t="str">
        <f>VLOOKUP(A61,'The List'!B1:D730,3,FALSE)</f>
        <v>LW,RW</v>
      </c>
      <c r="C61" s="62">
        <f>IF(Settings!$E$15="POINTS",RANK(E61,E3:E227),H61)</f>
        <v>68</v>
      </c>
      <c r="D61" s="34" t="str">
        <f>VLOOKUP(A61,'The List'!B1:F730,5,FALSE)</f>
        <v>CGY</v>
      </c>
      <c r="E61" s="38">
        <f>VLOOKUP(A61,'The List'!B1:I730,8,FALSE)</f>
        <v>2.6355153002385889</v>
      </c>
      <c r="F61" s="38">
        <f>IF(Settings!$E$15="POINTS",E61-VLOOKUP(B$2,C1:E227,3,FALSE),J61)</f>
        <v>-4.0191537438858127</v>
      </c>
      <c r="G61" s="38"/>
      <c r="H61" s="138">
        <f>RANK(I61,I3:I227)</f>
        <v>68</v>
      </c>
      <c r="I61" s="139">
        <f>VLOOKUP(A61,'Standard Deviations'!A1:C731,3,FALSE)</f>
        <v>2.6355153002385889</v>
      </c>
      <c r="J61" s="139">
        <f>I61-VLOOKUP(B$2,H1:J227,2,FALSE)</f>
        <v>-4.0191537438858127</v>
      </c>
    </row>
    <row r="62" spans="1:10" ht="21.2" customHeight="1">
      <c r="A62" s="8" t="s">
        <v>300</v>
      </c>
      <c r="B62" s="61" t="str">
        <f>VLOOKUP(A62,'The List'!B1:D730,3,FALSE)</f>
        <v>C,LW</v>
      </c>
      <c r="C62" s="62">
        <f>IF(Settings!$E$15="POINTS",RANK(E62,E3:E227),H62)</f>
        <v>62</v>
      </c>
      <c r="D62" s="34" t="str">
        <f>VLOOKUP(A62,'The List'!B1:F730,5,FALSE)</f>
        <v>BUF</v>
      </c>
      <c r="E62" s="38">
        <f>VLOOKUP(A62,'The List'!B1:I730,8,FALSE)</f>
        <v>3.3242502705640726</v>
      </c>
      <c r="F62" s="38">
        <f>IF(Settings!$E$15="POINTS",E62-VLOOKUP(B$2,C1:E227,3,FALSE),J62)</f>
        <v>-3.3304187735603286</v>
      </c>
      <c r="G62" s="38"/>
      <c r="H62" s="138">
        <f>RANK(I62,I3:I227)</f>
        <v>62</v>
      </c>
      <c r="I62" s="139">
        <f>VLOOKUP(A62,'Standard Deviations'!A1:C731,3,FALSE)</f>
        <v>3.3242502705640726</v>
      </c>
      <c r="J62" s="139">
        <f>I62-VLOOKUP(B$2,H1:J227,2,FALSE)</f>
        <v>-3.3304187735603286</v>
      </c>
    </row>
    <row r="63" spans="1:10" ht="21.2" customHeight="1">
      <c r="A63" s="8" t="s">
        <v>331</v>
      </c>
      <c r="B63" s="61" t="str">
        <f>VLOOKUP(A63,'The List'!B1:D730,3,FALSE)</f>
        <v>LW</v>
      </c>
      <c r="C63" s="62">
        <f>IF(Settings!$E$15="POINTS",RANK(E63,E3:E227),H63)</f>
        <v>60</v>
      </c>
      <c r="D63" s="34" t="str">
        <f>VLOOKUP(A63,'The List'!B1:F730,5,FALSE)</f>
        <v>CHI</v>
      </c>
      <c r="E63" s="38">
        <f>VLOOKUP(A63,'The List'!B1:I730,8,FALSE)</f>
        <v>3.5381743079370715</v>
      </c>
      <c r="F63" s="38">
        <f>IF(Settings!$E$15="POINTS",E63-VLOOKUP(B$2,C1:E227,3,FALSE),J63)</f>
        <v>-3.1164947361873296</v>
      </c>
      <c r="G63" s="38"/>
      <c r="H63" s="138">
        <f>RANK(I63,I3:I227)</f>
        <v>60</v>
      </c>
      <c r="I63" s="139">
        <f>VLOOKUP(A63,'Standard Deviations'!A1:C731,3,FALSE)</f>
        <v>3.5381743079370715</v>
      </c>
      <c r="J63" s="139">
        <f>I63-VLOOKUP(B$2,H1:J227,2,FALSE)</f>
        <v>-3.1164947361873296</v>
      </c>
    </row>
    <row r="64" spans="1:10" ht="21.2" customHeight="1">
      <c r="A64" s="8" t="s">
        <v>343</v>
      </c>
      <c r="B64" s="61" t="str">
        <f>VLOOKUP(A64,'The List'!B1:D730,3,FALSE)</f>
        <v>LW</v>
      </c>
      <c r="C64" s="62">
        <f>IF(Settings!$E$15="POINTS",RANK(E64,E3:E227),H64)</f>
        <v>56</v>
      </c>
      <c r="D64" s="34" t="str">
        <f>VLOOKUP(A64,'The List'!B1:F730,5,FALSE)</f>
        <v>STL</v>
      </c>
      <c r="E64" s="38">
        <f>VLOOKUP(A64,'The List'!B1:I730,8,FALSE)</f>
        <v>4.0319065601259849</v>
      </c>
      <c r="F64" s="38">
        <f>IF(Settings!$E$15="POINTS",E64-VLOOKUP(B$2,C1:E227,3,FALSE),J64)</f>
        <v>-2.6227624839984163</v>
      </c>
      <c r="G64" s="38"/>
      <c r="H64" s="138">
        <f>RANK(I64,I3:I227)</f>
        <v>56</v>
      </c>
      <c r="I64" s="139">
        <f>VLOOKUP(A64,'Standard Deviations'!A1:C731,3,FALSE)</f>
        <v>4.0319065601259849</v>
      </c>
      <c r="J64" s="139">
        <f>I64-VLOOKUP(B$2,H1:J227,2,FALSE)</f>
        <v>-2.6227624839984163</v>
      </c>
    </row>
    <row r="65" spans="1:10" ht="21.2" customHeight="1">
      <c r="A65" s="8" t="s">
        <v>309</v>
      </c>
      <c r="B65" s="61" t="str">
        <f>VLOOKUP(A65,'The List'!B1:D730,3,FALSE)</f>
        <v>C,LW,RW</v>
      </c>
      <c r="C65" s="62">
        <f>IF(Settings!$E$15="POINTS",RANK(E65,E3:E227),H65)</f>
        <v>71</v>
      </c>
      <c r="D65" s="34" t="str">
        <f>VLOOKUP(A65,'The List'!B1:F730,5,FALSE)</f>
        <v>CBJ</v>
      </c>
      <c r="E65" s="38">
        <f>VLOOKUP(A65,'The List'!B1:I730,8,FALSE)</f>
        <v>2.2297803244112213</v>
      </c>
      <c r="F65" s="38">
        <f>IF(Settings!$E$15="POINTS",E65-VLOOKUP(B$2,C1:E227,3,FALSE),J65)</f>
        <v>-4.4248887197131799</v>
      </c>
      <c r="G65" s="38"/>
      <c r="H65" s="138">
        <f>RANK(I65,I3:I227)</f>
        <v>71</v>
      </c>
      <c r="I65" s="139">
        <f>VLOOKUP(A65,'Standard Deviations'!A1:C731,3,FALSE)</f>
        <v>2.2297803244112213</v>
      </c>
      <c r="J65" s="139">
        <f>I65-VLOOKUP(B$2,H1:J227,2,FALSE)</f>
        <v>-4.4248887197131799</v>
      </c>
    </row>
    <row r="66" spans="1:10" ht="21.2" customHeight="1">
      <c r="A66" s="8" t="s">
        <v>347</v>
      </c>
      <c r="B66" s="61" t="str">
        <f>VLOOKUP(A66,'The List'!B1:D730,3,FALSE)</f>
        <v>C,LW</v>
      </c>
      <c r="C66" s="62">
        <f>IF(Settings!$E$15="POINTS",RANK(E66,E3:E227),H66)</f>
        <v>65</v>
      </c>
      <c r="D66" s="34" t="str">
        <f>VLOOKUP(A66,'The List'!B1:F730,5,FALSE)</f>
        <v>ANA</v>
      </c>
      <c r="E66" s="38">
        <f>VLOOKUP(A66,'The List'!B1:I730,8,FALSE)</f>
        <v>2.8890221651686572</v>
      </c>
      <c r="F66" s="38">
        <f>IF(Settings!$E$15="POINTS",E66-VLOOKUP(B$2,C1:E227,3,FALSE),J66)</f>
        <v>-3.765646878955744</v>
      </c>
      <c r="G66" s="38"/>
      <c r="H66" s="138">
        <f>RANK(I66,I3:I227)</f>
        <v>65</v>
      </c>
      <c r="I66" s="139">
        <f>VLOOKUP(A66,'Standard Deviations'!A1:C731,3,FALSE)</f>
        <v>2.8890221651686572</v>
      </c>
      <c r="J66" s="139">
        <f>I66-VLOOKUP(B$2,H1:J227,2,FALSE)</f>
        <v>-3.765646878955744</v>
      </c>
    </row>
    <row r="67" spans="1:10" ht="21.2" customHeight="1">
      <c r="A67" s="8" t="s">
        <v>351</v>
      </c>
      <c r="B67" s="61" t="str">
        <f>VLOOKUP(A67,'The List'!B1:D730,3,FALSE)</f>
        <v>LW</v>
      </c>
      <c r="C67" s="62">
        <f>IF(Settings!$E$15="POINTS",RANK(E67,E3:E227),H67)</f>
        <v>63</v>
      </c>
      <c r="D67" s="34" t="str">
        <f>VLOOKUP(A67,'The List'!B1:F730,5,FALSE)</f>
        <v>ARI</v>
      </c>
      <c r="E67" s="38">
        <f>VLOOKUP(A67,'The List'!B1:I730,8,FALSE)</f>
        <v>3.2061589803211241</v>
      </c>
      <c r="F67" s="38">
        <f>IF(Settings!$E$15="POINTS",E67-VLOOKUP(B$2,C1:E227,3,FALSE),J67)</f>
        <v>-3.4485100638032771</v>
      </c>
      <c r="G67" s="38"/>
      <c r="H67" s="138">
        <f>RANK(I67,I3:I227)</f>
        <v>63</v>
      </c>
      <c r="I67" s="139">
        <f>VLOOKUP(A67,'Standard Deviations'!A1:C731,3,FALSE)</f>
        <v>3.2061589803211241</v>
      </c>
      <c r="J67" s="139">
        <f>I67-VLOOKUP(B$2,H1:J227,2,FALSE)</f>
        <v>-3.4485100638032771</v>
      </c>
    </row>
    <row r="68" spans="1:10" ht="21.2" customHeight="1">
      <c r="A68" s="8" t="s">
        <v>319</v>
      </c>
      <c r="B68" s="61" t="str">
        <f>VLOOKUP(A68,'The List'!B1:D730,3,FALSE)</f>
        <v>LW,RW</v>
      </c>
      <c r="C68" s="62">
        <f>IF(Settings!$E$15="POINTS",RANK(E68,E3:E227),H68)</f>
        <v>57</v>
      </c>
      <c r="D68" s="34" t="str">
        <f>VLOOKUP(A68,'The List'!B1:F730,5,FALSE)</f>
        <v>TOR</v>
      </c>
      <c r="E68" s="38">
        <f>VLOOKUP(A68,'The List'!B1:I730,8,FALSE)</f>
        <v>3.9996377274450081</v>
      </c>
      <c r="F68" s="38">
        <f>IF(Settings!$E$15="POINTS",E68-VLOOKUP(B$2,C1:E227,3,FALSE),J68)</f>
        <v>-2.6550313166793931</v>
      </c>
      <c r="G68" s="38"/>
      <c r="H68" s="138">
        <f>RANK(I68,I3:I227)</f>
        <v>57</v>
      </c>
      <c r="I68" s="139">
        <f>VLOOKUP(A68,'Standard Deviations'!A1:C731,3,FALSE)</f>
        <v>3.9996377274450081</v>
      </c>
      <c r="J68" s="139">
        <f>I68-VLOOKUP(B$2,H1:J227,2,FALSE)</f>
        <v>-2.6550313166793931</v>
      </c>
    </row>
    <row r="69" spans="1:10" ht="21.2" customHeight="1">
      <c r="A69" s="8" t="s">
        <v>329</v>
      </c>
      <c r="B69" s="61" t="str">
        <f>VLOOKUP(A69,'The List'!B1:D730,3,FALSE)</f>
        <v>LW,RW</v>
      </c>
      <c r="C69" s="62">
        <f>IF(Settings!$E$15="POINTS",RANK(E69,E3:E227),H69)</f>
        <v>73</v>
      </c>
      <c r="D69" s="34" t="str">
        <f>VLOOKUP(A69,'The List'!B1:F730,5,FALSE)</f>
        <v>VAN</v>
      </c>
      <c r="E69" s="38">
        <f>VLOOKUP(A69,'The List'!B1:I730,8,FALSE)</f>
        <v>2.0269604016104097</v>
      </c>
      <c r="F69" s="38">
        <f>IF(Settings!$E$15="POINTS",E69-VLOOKUP(B$2,C1:E227,3,FALSE),J69)</f>
        <v>-4.6277086425139915</v>
      </c>
      <c r="G69" s="38"/>
      <c r="H69" s="138">
        <f>RANK(I69,I3:I227)</f>
        <v>73</v>
      </c>
      <c r="I69" s="139">
        <f>VLOOKUP(A69,'Standard Deviations'!A1:C731,3,FALSE)</f>
        <v>2.0269604016104097</v>
      </c>
      <c r="J69" s="139">
        <f>I69-VLOOKUP(B$2,H1:J227,2,FALSE)</f>
        <v>-4.6277086425139915</v>
      </c>
    </row>
    <row r="70" spans="1:10" ht="21.2" customHeight="1">
      <c r="A70" s="8" t="s">
        <v>360</v>
      </c>
      <c r="B70" s="61" t="str">
        <f>VLOOKUP(A70,'The List'!B1:D730,3,FALSE)</f>
        <v>LW</v>
      </c>
      <c r="C70" s="62">
        <f>IF(Settings!$E$15="POINTS",RANK(E70,E3:E227),H70)</f>
        <v>69</v>
      </c>
      <c r="D70" s="34" t="str">
        <f>VLOOKUP(A70,'The List'!B1:F730,5,FALSE)</f>
        <v>CAR</v>
      </c>
      <c r="E70" s="38">
        <f>VLOOKUP(A70,'The List'!B1:I730,8,FALSE)</f>
        <v>2.5350095114518889</v>
      </c>
      <c r="F70" s="38">
        <f>IF(Settings!$E$15="POINTS",E70-VLOOKUP(B$2,C1:E227,3,FALSE),J70)</f>
        <v>-4.1196595326725127</v>
      </c>
      <c r="G70" s="38"/>
      <c r="H70" s="138">
        <f>RANK(I70,I3:I227)</f>
        <v>69</v>
      </c>
      <c r="I70" s="139">
        <f>VLOOKUP(A70,'Standard Deviations'!A1:C731,3,FALSE)</f>
        <v>2.5350095114518889</v>
      </c>
      <c r="J70" s="139">
        <f>I70-VLOOKUP(B$2,H1:J227,2,FALSE)</f>
        <v>-4.1196595326725127</v>
      </c>
    </row>
    <row r="71" spans="1:10" ht="21.2" customHeight="1">
      <c r="A71" s="8" t="s">
        <v>335</v>
      </c>
      <c r="B71" s="61" t="str">
        <f>VLOOKUP(A71,'The List'!B1:D730,3,FALSE)</f>
        <v>LW,RW</v>
      </c>
      <c r="C71" s="62">
        <f>IF(Settings!$E$15="POINTS",RANK(E71,E3:E227),H71)</f>
        <v>75</v>
      </c>
      <c r="D71" s="34" t="str">
        <f>VLOOKUP(A71,'The List'!B1:F730,5,FALSE)</f>
        <v>VAN</v>
      </c>
      <c r="E71" s="38">
        <f>VLOOKUP(A71,'The List'!B1:I730,8,FALSE)</f>
        <v>1.8195772606404146</v>
      </c>
      <c r="F71" s="38">
        <f>IF(Settings!$E$15="POINTS",E71-VLOOKUP(B$2,C1:E227,3,FALSE),J71)</f>
        <v>-4.8350917834839864</v>
      </c>
      <c r="G71" s="38"/>
      <c r="H71" s="138">
        <f>RANK(I71,I3:I227)</f>
        <v>75</v>
      </c>
      <c r="I71" s="139">
        <f>VLOOKUP(A71,'Standard Deviations'!A1:C731,3,FALSE)</f>
        <v>1.8195772606404146</v>
      </c>
      <c r="J71" s="139">
        <f>I71-VLOOKUP(B$2,H1:J227,2,FALSE)</f>
        <v>-4.8350917834839864</v>
      </c>
    </row>
    <row r="72" spans="1:10" ht="21.2" customHeight="1">
      <c r="A72" s="8" t="s">
        <v>336</v>
      </c>
      <c r="B72" s="61" t="str">
        <f>VLOOKUP(A72,'The List'!B1:D730,3,FALSE)</f>
        <v>LW,RW</v>
      </c>
      <c r="C72" s="62">
        <f>IF(Settings!$E$15="POINTS",RANK(E72,E3:E227),H72)</f>
        <v>70</v>
      </c>
      <c r="D72" s="34" t="str">
        <f>VLOOKUP(A72,'The List'!B1:F730,5,FALSE)</f>
        <v>CAR</v>
      </c>
      <c r="E72" s="38">
        <f>VLOOKUP(A72,'The List'!B1:I730,8,FALSE)</f>
        <v>2.4864447378146495</v>
      </c>
      <c r="F72" s="38">
        <f>IF(Settings!$E$15="POINTS",E72-VLOOKUP(B$2,C1:E227,3,FALSE),J72)</f>
        <v>-4.1682243063097513</v>
      </c>
      <c r="G72" s="38"/>
      <c r="H72" s="138">
        <f>RANK(I72,I3:I227)</f>
        <v>70</v>
      </c>
      <c r="I72" s="139">
        <f>VLOOKUP(A72,'Standard Deviations'!A1:C731,3,FALSE)</f>
        <v>2.4864447378146495</v>
      </c>
      <c r="J72" s="139">
        <f>I72-VLOOKUP(B$2,H1:J227,2,FALSE)</f>
        <v>-4.1682243063097513</v>
      </c>
    </row>
    <row r="73" spans="1:10" ht="21.2" customHeight="1">
      <c r="A73" s="8" t="s">
        <v>338</v>
      </c>
      <c r="B73" s="61" t="str">
        <f>VLOOKUP(A73,'The List'!B1:D730,3,FALSE)</f>
        <v>LW,RW</v>
      </c>
      <c r="C73" s="62">
        <f>IF(Settings!$E$15="POINTS",RANK(E73,E3:E227),H73)</f>
        <v>81</v>
      </c>
      <c r="D73" s="34" t="str">
        <f>VLOOKUP(A73,'The List'!B1:F730,5,FALSE)</f>
        <v>LAK</v>
      </c>
      <c r="E73" s="38">
        <f>VLOOKUP(A73,'The List'!B1:I730,8,FALSE)</f>
        <v>1.532331179249053</v>
      </c>
      <c r="F73" s="38">
        <f>IF(Settings!$E$15="POINTS",E73-VLOOKUP(B$2,C1:E227,3,FALSE),J73)</f>
        <v>-5.1223378648753481</v>
      </c>
      <c r="G73" s="38"/>
      <c r="H73" s="138">
        <f>RANK(I73,I3:I227)</f>
        <v>81</v>
      </c>
      <c r="I73" s="139">
        <f>VLOOKUP(A73,'Standard Deviations'!A1:C731,3,FALSE)</f>
        <v>1.532331179249053</v>
      </c>
      <c r="J73" s="139">
        <f>I73-VLOOKUP(B$2,H1:J227,2,FALSE)</f>
        <v>-5.1223378648753481</v>
      </c>
    </row>
    <row r="74" spans="1:10" ht="21.2" customHeight="1">
      <c r="A74" s="8" t="s">
        <v>341</v>
      </c>
      <c r="B74" s="61" t="str">
        <f>VLOOKUP(A74,'The List'!B1:D730,3,FALSE)</f>
        <v>C,LW,RW</v>
      </c>
      <c r="C74" s="62">
        <f>IF(Settings!$E$15="POINTS",RANK(E74,E3:E227),H74)</f>
        <v>78</v>
      </c>
      <c r="D74" s="34" t="str">
        <f>VLOOKUP(A74,'The List'!B1:F730,5,FALSE)</f>
        <v>VGK</v>
      </c>
      <c r="E74" s="38">
        <f>VLOOKUP(A74,'The List'!B1:I730,8,FALSE)</f>
        <v>1.7549357413741777</v>
      </c>
      <c r="F74" s="38">
        <f>IF(Settings!$E$15="POINTS",E74-VLOOKUP(B$2,C1:E227,3,FALSE),J74)</f>
        <v>-4.8997333027502235</v>
      </c>
      <c r="G74" s="38"/>
      <c r="H74" s="138">
        <f>RANK(I74,I3:I227)</f>
        <v>78</v>
      </c>
      <c r="I74" s="139">
        <f>VLOOKUP(A74,'Standard Deviations'!A1:C731,3,FALSE)</f>
        <v>1.7549357413741777</v>
      </c>
      <c r="J74" s="139">
        <f>I74-VLOOKUP(B$2,H1:J227,2,FALSE)</f>
        <v>-4.8997333027502235</v>
      </c>
    </row>
    <row r="75" spans="1:10" ht="21.2" customHeight="1">
      <c r="A75" s="8" t="s">
        <v>374</v>
      </c>
      <c r="B75" s="61" t="str">
        <f>VLOOKUP(A75,'The List'!B1:D730,3,FALSE)</f>
        <v>C,LW</v>
      </c>
      <c r="C75" s="62">
        <f>IF(Settings!$E$15="POINTS",RANK(E75,E3:E227),H75)</f>
        <v>80</v>
      </c>
      <c r="D75" s="34" t="str">
        <f>VLOOKUP(A75,'The List'!B1:F730,5,FALSE)</f>
        <v>FLA</v>
      </c>
      <c r="E75" s="38">
        <f>VLOOKUP(A75,'The List'!B1:I730,8,FALSE)</f>
        <v>1.6094259932220911</v>
      </c>
      <c r="F75" s="38">
        <f>IF(Settings!$E$15="POINTS",E75-VLOOKUP(B$2,C1:E227,3,FALSE),J75)</f>
        <v>-5.0452430509023101</v>
      </c>
      <c r="G75" s="38"/>
      <c r="H75" s="138">
        <f>RANK(I75,I3:I227)</f>
        <v>80</v>
      </c>
      <c r="I75" s="139">
        <f>VLOOKUP(A75,'Standard Deviations'!A1:C731,3,FALSE)</f>
        <v>1.6094259932220911</v>
      </c>
      <c r="J75" s="139">
        <f>I75-VLOOKUP(B$2,H1:J227,2,FALSE)</f>
        <v>-5.0452430509023101</v>
      </c>
    </row>
    <row r="76" spans="1:10" ht="21.2" customHeight="1">
      <c r="A76" s="8" t="s">
        <v>379</v>
      </c>
      <c r="B76" s="61" t="str">
        <f>VLOOKUP(A76,'The List'!B1:D730,3,FALSE)</f>
        <v>LW</v>
      </c>
      <c r="C76" s="62">
        <f>IF(Settings!$E$15="POINTS",RANK(E76,E3:E227),H76)</f>
        <v>67</v>
      </c>
      <c r="D76" s="34" t="str">
        <f>VLOOKUP(A76,'The List'!B1:F730,5,FALSE)</f>
        <v>EDM</v>
      </c>
      <c r="E76" s="38">
        <f>VLOOKUP(A76,'The List'!B1:I730,8,FALSE)</f>
        <v>2.8180413842784593</v>
      </c>
      <c r="F76" s="38">
        <f>IF(Settings!$E$15="POINTS",E76-VLOOKUP(B$2,C1:E227,3,FALSE),J76)</f>
        <v>-3.8366276598459419</v>
      </c>
      <c r="G76" s="38"/>
      <c r="H76" s="138">
        <f>RANK(I76,I3:I227)</f>
        <v>67</v>
      </c>
      <c r="I76" s="139">
        <f>VLOOKUP(A76,'Standard Deviations'!A1:C731,3,FALSE)</f>
        <v>2.8180413842784593</v>
      </c>
      <c r="J76" s="139">
        <f>I76-VLOOKUP(B$2,H1:J227,2,FALSE)</f>
        <v>-3.8366276598459419</v>
      </c>
    </row>
    <row r="77" spans="1:10" ht="21.2" customHeight="1">
      <c r="A77" s="8" t="s">
        <v>353</v>
      </c>
      <c r="B77" s="61" t="str">
        <f>VLOOKUP(A77,'The List'!B1:D730,3,FALSE)</f>
        <v>LW,RW</v>
      </c>
      <c r="C77" s="62">
        <f>IF(Settings!$E$15="POINTS",RANK(E77,E3:E227),H77)</f>
        <v>77</v>
      </c>
      <c r="D77" s="34" t="str">
        <f>VLOOKUP(A77,'The List'!B1:F730,5,FALSE)</f>
        <v>CBJ</v>
      </c>
      <c r="E77" s="38">
        <f>VLOOKUP(A77,'The List'!B1:I730,8,FALSE)</f>
        <v>1.7550229536737803</v>
      </c>
      <c r="F77" s="38">
        <f>IF(Settings!$E$15="POINTS",E77-VLOOKUP(B$2,C1:E227,3,FALSE),J77)</f>
        <v>-4.8996460904506209</v>
      </c>
      <c r="G77" s="38"/>
      <c r="H77" s="138">
        <f>RANK(I77,I3:I227)</f>
        <v>77</v>
      </c>
      <c r="I77" s="139">
        <f>VLOOKUP(A77,'Standard Deviations'!A1:C731,3,FALSE)</f>
        <v>1.7550229536737803</v>
      </c>
      <c r="J77" s="139">
        <f>I77-VLOOKUP(B$2,H1:J227,2,FALSE)</f>
        <v>-4.8996460904506209</v>
      </c>
    </row>
    <row r="78" spans="1:10" ht="21.2" customHeight="1">
      <c r="A78" s="8" t="s">
        <v>388</v>
      </c>
      <c r="B78" s="61" t="str">
        <f>VLOOKUP(A78,'The List'!B1:D730,3,FALSE)</f>
        <v>C,LW</v>
      </c>
      <c r="C78" s="62">
        <f>IF(Settings!$E$15="POINTS",RANK(E78,E3:E227),H78)</f>
        <v>90</v>
      </c>
      <c r="D78" s="34" t="str">
        <f>VLOOKUP(A78,'The List'!B1:F730,5,FALSE)</f>
        <v>PHI</v>
      </c>
      <c r="E78" s="38">
        <f>VLOOKUP(A78,'The List'!B1:I730,8,FALSE)</f>
        <v>0.92653645545850416</v>
      </c>
      <c r="F78" s="38">
        <f>IF(Settings!$E$15="POINTS",E78-VLOOKUP(B$2,C1:E227,3,FALSE),J78)</f>
        <v>-5.7281325886658969</v>
      </c>
      <c r="G78" s="38"/>
      <c r="H78" s="138">
        <f>RANK(I78,I3:I227)</f>
        <v>90</v>
      </c>
      <c r="I78" s="139">
        <f>VLOOKUP(A78,'Standard Deviations'!A1:C731,3,FALSE)</f>
        <v>0.92653645545850416</v>
      </c>
      <c r="J78" s="139">
        <f>I78-VLOOKUP(B$2,H1:J227,2,FALSE)</f>
        <v>-5.7281325886658969</v>
      </c>
    </row>
    <row r="79" spans="1:10" ht="21.2" customHeight="1">
      <c r="A79" s="8" t="s">
        <v>357</v>
      </c>
      <c r="B79" s="61" t="str">
        <f>VLOOKUP(A79,'The List'!B1:D730,3,FALSE)</f>
        <v>LW,RW</v>
      </c>
      <c r="C79" s="62">
        <f>IF(Settings!$E$15="POINTS",RANK(E79,E3:E227),H79)</f>
        <v>83</v>
      </c>
      <c r="D79" s="34" t="str">
        <f>VLOOKUP(A79,'The List'!B1:F730,5,FALSE)</f>
        <v>WPG</v>
      </c>
      <c r="E79" s="38">
        <f>VLOOKUP(A79,'The List'!B1:I730,8,FALSE)</f>
        <v>1.4803147672945323</v>
      </c>
      <c r="F79" s="38">
        <f>IF(Settings!$E$15="POINTS",E79-VLOOKUP(B$2,C1:E227,3,FALSE),J79)</f>
        <v>-5.1743542768298685</v>
      </c>
      <c r="G79" s="38"/>
      <c r="H79" s="138">
        <f>RANK(I79,I3:I227)</f>
        <v>83</v>
      </c>
      <c r="I79" s="139">
        <f>VLOOKUP(A79,'Standard Deviations'!A1:C731,3,FALSE)</f>
        <v>1.4803147672945323</v>
      </c>
      <c r="J79" s="139">
        <f>I79-VLOOKUP(B$2,H1:J227,2,FALSE)</f>
        <v>-5.1743542768298685</v>
      </c>
    </row>
    <row r="80" spans="1:10" ht="21.2" customHeight="1">
      <c r="A80" s="8" t="s">
        <v>358</v>
      </c>
      <c r="B80" s="61" t="str">
        <f>VLOOKUP(A80,'The List'!B1:D730,3,FALSE)</f>
        <v>LW,RW</v>
      </c>
      <c r="C80" s="62">
        <f>IF(Settings!$E$15="POINTS",RANK(E80,E3:E227),H80)</f>
        <v>88</v>
      </c>
      <c r="D80" s="34" t="str">
        <f>VLOOKUP(A80,'The List'!B1:F730,5,FALSE)</f>
        <v>ANA</v>
      </c>
      <c r="E80" s="38">
        <f>VLOOKUP(A80,'The List'!B1:I730,8,FALSE)</f>
        <v>0.99335241394041851</v>
      </c>
      <c r="F80" s="38">
        <f>IF(Settings!$E$15="POINTS",E80-VLOOKUP(B$2,C1:E227,3,FALSE),J80)</f>
        <v>-5.6613166301839826</v>
      </c>
      <c r="G80" s="38"/>
      <c r="H80" s="138">
        <f>RANK(I80,I3:I227)</f>
        <v>88</v>
      </c>
      <c r="I80" s="139">
        <f>VLOOKUP(A80,'Standard Deviations'!A1:C731,3,FALSE)</f>
        <v>0.99335241394041851</v>
      </c>
      <c r="J80" s="139">
        <f>I80-VLOOKUP(B$2,H1:J227,2,FALSE)</f>
        <v>-5.6613166301839826</v>
      </c>
    </row>
    <row r="81" spans="1:10" ht="21.2" customHeight="1">
      <c r="A81" s="8" t="s">
        <v>368</v>
      </c>
      <c r="B81" s="61" t="str">
        <f>VLOOKUP(A81,'The List'!B1:D730,3,FALSE)</f>
        <v>LW,RW</v>
      </c>
      <c r="C81" s="62">
        <f>IF(Settings!$E$15="POINTS",RANK(E81,E3:E227),H81)</f>
        <v>72</v>
      </c>
      <c r="D81" s="34" t="str">
        <f>VLOOKUP(A81,'The List'!B1:F730,5,FALSE)</f>
        <v>SJS</v>
      </c>
      <c r="E81" s="38">
        <f>VLOOKUP(A81,'The List'!B1:I730,8,FALSE)</f>
        <v>2.0406029877718854</v>
      </c>
      <c r="F81" s="38">
        <f>IF(Settings!$E$15="POINTS",E81-VLOOKUP(B$2,C1:E227,3,FALSE),J81)</f>
        <v>-4.6140660563525158</v>
      </c>
      <c r="G81" s="38"/>
      <c r="H81" s="138">
        <f>RANK(I81,I3:I227)</f>
        <v>72</v>
      </c>
      <c r="I81" s="139">
        <f>VLOOKUP(A81,'Standard Deviations'!A1:C731,3,FALSE)</f>
        <v>2.0406029877718854</v>
      </c>
      <c r="J81" s="139">
        <f>I81-VLOOKUP(B$2,H1:J227,2,FALSE)</f>
        <v>-4.6140660563525158</v>
      </c>
    </row>
    <row r="82" spans="1:10" ht="21.2" customHeight="1">
      <c r="A82" s="8" t="s">
        <v>400</v>
      </c>
      <c r="B82" s="61" t="str">
        <f>VLOOKUP(A82,'The List'!B1:D730,3,FALSE)</f>
        <v>LW</v>
      </c>
      <c r="C82" s="62">
        <f>IF(Settings!$E$15="POINTS",RANK(E82,E3:E227),H82)</f>
        <v>85</v>
      </c>
      <c r="D82" s="34" t="str">
        <f>VLOOKUP(A82,'The List'!B1:F730,5,FALSE)</f>
        <v>PHI</v>
      </c>
      <c r="E82" s="38">
        <f>VLOOKUP(A82,'The List'!B1:I730,8,FALSE)</f>
        <v>1.0440946871425323</v>
      </c>
      <c r="F82" s="38">
        <f>IF(Settings!$E$15="POINTS",E82-VLOOKUP(B$2,C1:E227,3,FALSE),J82)</f>
        <v>-5.6105743569818687</v>
      </c>
      <c r="G82" s="38"/>
      <c r="H82" s="138">
        <f>RANK(I82,I3:I227)</f>
        <v>85</v>
      </c>
      <c r="I82" s="139">
        <f>VLOOKUP(A82,'Standard Deviations'!A1:C731,3,FALSE)</f>
        <v>1.0440946871425323</v>
      </c>
      <c r="J82" s="139">
        <f>I82-VLOOKUP(B$2,H1:J227,2,FALSE)</f>
        <v>-5.6105743569818687</v>
      </c>
    </row>
    <row r="83" spans="1:10" ht="21.2" customHeight="1">
      <c r="A83" s="8" t="s">
        <v>372</v>
      </c>
      <c r="B83" s="61" t="str">
        <f>VLOOKUP(A83,'The List'!B1:D730,3,FALSE)</f>
        <v>LW,RW</v>
      </c>
      <c r="C83" s="62">
        <f>IF(Settings!$E$15="POINTS",RANK(E83,E3:E227),H83)</f>
        <v>86</v>
      </c>
      <c r="D83" s="34" t="str">
        <f>VLOOKUP(A83,'The List'!B1:F730,5,FALSE)</f>
        <v>OTT</v>
      </c>
      <c r="E83" s="38">
        <f>VLOOKUP(A83,'The List'!B1:I730,8,FALSE)</f>
        <v>0.99964981291964239</v>
      </c>
      <c r="F83" s="38">
        <f>IF(Settings!$E$15="POINTS",E83-VLOOKUP(B$2,C1:E227,3,FALSE),J83)</f>
        <v>-5.6550192312047587</v>
      </c>
      <c r="G83" s="38"/>
      <c r="H83" s="138">
        <f>RANK(I83,I3:I227)</f>
        <v>86</v>
      </c>
      <c r="I83" s="139">
        <f>VLOOKUP(A83,'Standard Deviations'!A1:C731,3,FALSE)</f>
        <v>0.99964981291964239</v>
      </c>
      <c r="J83" s="139">
        <f>I83-VLOOKUP(B$2,H1:J227,2,FALSE)</f>
        <v>-5.6550192312047587</v>
      </c>
    </row>
    <row r="84" spans="1:10" ht="21.2" customHeight="1">
      <c r="A84" s="8" t="s">
        <v>381</v>
      </c>
      <c r="B84" s="61" t="str">
        <f>VLOOKUP(A84,'The List'!B1:D730,3,FALSE)</f>
        <v>C,LW,RW</v>
      </c>
      <c r="C84" s="62">
        <f>IF(Settings!$E$15="POINTS",RANK(E84,E3:E227),H84)</f>
        <v>94</v>
      </c>
      <c r="D84" s="34" t="str">
        <f>VLOOKUP(A84,'The List'!B1:F730,5,FALSE)</f>
        <v>CGY</v>
      </c>
      <c r="E84" s="38">
        <f>VLOOKUP(A84,'The List'!B1:I730,8,FALSE)</f>
        <v>0.73644007223529417</v>
      </c>
      <c r="F84" s="38">
        <f>IF(Settings!$E$15="POINTS",E84-VLOOKUP(B$2,C1:E227,3,FALSE),J84)</f>
        <v>-5.918228971889107</v>
      </c>
      <c r="G84" s="38"/>
      <c r="H84" s="138">
        <f>RANK(I84,I3:I227)</f>
        <v>94</v>
      </c>
      <c r="I84" s="139">
        <f>VLOOKUP(A84,'Standard Deviations'!A1:C731,3,FALSE)</f>
        <v>0.73644007223529417</v>
      </c>
      <c r="J84" s="139">
        <f>I84-VLOOKUP(B$2,H1:J227,2,FALSE)</f>
        <v>-5.918228971889107</v>
      </c>
    </row>
    <row r="85" spans="1:10" ht="21.2" customHeight="1">
      <c r="A85" s="8" t="s">
        <v>412</v>
      </c>
      <c r="B85" s="61" t="str">
        <f>VLOOKUP(A85,'The List'!B1:D730,3,FALSE)</f>
        <v>LW</v>
      </c>
      <c r="C85" s="62">
        <f>IF(Settings!$E$15="POINTS",RANK(E85,E3:E227),H85)</f>
        <v>89</v>
      </c>
      <c r="D85" s="34" t="str">
        <f>VLOOKUP(A85,'The List'!B1:F730,5,FALSE)</f>
        <v>STL</v>
      </c>
      <c r="E85" s="38">
        <f>VLOOKUP(A85,'The List'!B1:I730,8,FALSE)</f>
        <v>0.98596496014632373</v>
      </c>
      <c r="F85" s="38">
        <f>IF(Settings!$E$15="POINTS",E85-VLOOKUP(B$2,C1:E227,3,FALSE),J85)</f>
        <v>-5.6687040839780778</v>
      </c>
      <c r="G85" s="38"/>
      <c r="H85" s="138">
        <f>RANK(I85,I3:I227)</f>
        <v>89</v>
      </c>
      <c r="I85" s="139">
        <f>VLOOKUP(A85,'Standard Deviations'!A1:C731,3,FALSE)</f>
        <v>0.98596496014632373</v>
      </c>
      <c r="J85" s="139">
        <f>I85-VLOOKUP(B$2,H1:J227,2,FALSE)</f>
        <v>-5.6687040839780778</v>
      </c>
    </row>
    <row r="86" spans="1:10" ht="21.2" customHeight="1">
      <c r="A86" s="8" t="s">
        <v>389</v>
      </c>
      <c r="B86" s="61" t="str">
        <f>VLOOKUP(A86,'The List'!B1:D730,3,FALSE)</f>
        <v>C,LW,RW</v>
      </c>
      <c r="C86" s="62">
        <f>IF(Settings!$E$15="POINTS",RANK(E86,E3:E227),H86)</f>
        <v>84</v>
      </c>
      <c r="D86" s="34" t="str">
        <f>VLOOKUP(A86,'The List'!B1:F730,5,FALSE)</f>
        <v>FLA</v>
      </c>
      <c r="E86" s="38">
        <f>VLOOKUP(A86,'The List'!B1:I730,8,FALSE)</f>
        <v>1.0766132214619046</v>
      </c>
      <c r="F86" s="38">
        <f>IF(Settings!$E$15="POINTS",E86-VLOOKUP(B$2,C1:E227,3,FALSE),J86)</f>
        <v>-5.5780558226624963</v>
      </c>
      <c r="G86" s="38"/>
      <c r="H86" s="138">
        <f>RANK(I86,I3:I227)</f>
        <v>84</v>
      </c>
      <c r="I86" s="139">
        <f>VLOOKUP(A86,'Standard Deviations'!A1:C731,3,FALSE)</f>
        <v>1.0766132214619046</v>
      </c>
      <c r="J86" s="139">
        <f>I86-VLOOKUP(B$2,H1:J227,2,FALSE)</f>
        <v>-5.5780558226624963</v>
      </c>
    </row>
    <row r="87" spans="1:10" ht="21.2" customHeight="1">
      <c r="A87" s="8" t="s">
        <v>420</v>
      </c>
      <c r="B87" s="61" t="str">
        <f>VLOOKUP(A87,'The List'!B1:D730,3,FALSE)</f>
        <v>LW</v>
      </c>
      <c r="C87" s="62">
        <f>IF(Settings!$E$15="POINTS",RANK(E87,E3:E227),H87)</f>
        <v>103</v>
      </c>
      <c r="D87" s="34" t="str">
        <f>VLOOKUP(A87,'The List'!B1:F730,5,FALSE)</f>
        <v>CGY</v>
      </c>
      <c r="E87" s="38">
        <f>VLOOKUP(A87,'The List'!B1:I730,8,FALSE)</f>
        <v>0.38521266617499261</v>
      </c>
      <c r="F87" s="38">
        <f>IF(Settings!$E$15="POINTS",E87-VLOOKUP(B$2,C1:E227,3,FALSE),J87)</f>
        <v>-6.2694563779494086</v>
      </c>
      <c r="G87" s="38"/>
      <c r="H87" s="138">
        <f>RANK(I87,I3:I227)</f>
        <v>103</v>
      </c>
      <c r="I87" s="139">
        <f>VLOOKUP(A87,'Standard Deviations'!A1:C731,3,FALSE)</f>
        <v>0.38521266617499261</v>
      </c>
      <c r="J87" s="139">
        <f>I87-VLOOKUP(B$2,H1:J227,2,FALSE)</f>
        <v>-6.2694563779494086</v>
      </c>
    </row>
    <row r="88" spans="1:10" ht="21.2" customHeight="1">
      <c r="A88" s="8" t="s">
        <v>428</v>
      </c>
      <c r="B88" s="61" t="str">
        <f>VLOOKUP(A88,'The List'!B1:D730,3,FALSE)</f>
        <v>C,LW</v>
      </c>
      <c r="C88" s="62">
        <f>IF(Settings!$E$15="POINTS",RANK(E88,E3:E227),H88)</f>
        <v>76</v>
      </c>
      <c r="D88" s="34" t="str">
        <f>VLOOKUP(A88,'The List'!B1:F730,5,FALSE)</f>
        <v>LAK</v>
      </c>
      <c r="E88" s="38">
        <f>VLOOKUP(A88,'The List'!B1:I730,8,FALSE)</f>
        <v>1.772556233377534</v>
      </c>
      <c r="F88" s="38">
        <f>IF(Settings!$E$15="POINTS",E88-VLOOKUP(B$2,C1:E227,3,FALSE),J88)</f>
        <v>-4.8821128107468672</v>
      </c>
      <c r="G88" s="38"/>
      <c r="H88" s="138">
        <f>RANK(I88,I3:I227)</f>
        <v>76</v>
      </c>
      <c r="I88" s="139">
        <f>VLOOKUP(A88,'Standard Deviations'!A1:C731,3,FALSE)</f>
        <v>1.772556233377534</v>
      </c>
      <c r="J88" s="139">
        <f>I88-VLOOKUP(B$2,H1:J227,2,FALSE)</f>
        <v>-4.8821128107468672</v>
      </c>
    </row>
    <row r="89" spans="1:10" ht="21.2" customHeight="1">
      <c r="A89" s="8" t="s">
        <v>429</v>
      </c>
      <c r="B89" s="61" t="str">
        <f>VLOOKUP(A89,'The List'!B1:D730,3,FALSE)</f>
        <v>C,LW</v>
      </c>
      <c r="C89" s="62">
        <f>IF(Settings!$E$15="POINTS",RANK(E89,E3:E227),H89)</f>
        <v>92</v>
      </c>
      <c r="D89" s="34" t="str">
        <f>VLOOKUP(A89,'The List'!B1:F730,5,FALSE)</f>
        <v>CAR</v>
      </c>
      <c r="E89" s="38">
        <f>VLOOKUP(A89,'The List'!B1:I730,8,FALSE)</f>
        <v>0.78602511540802422</v>
      </c>
      <c r="F89" s="38">
        <f>IF(Settings!$E$15="POINTS",E89-VLOOKUP(B$2,C1:E227,3,FALSE),J89)</f>
        <v>-5.8686439287163772</v>
      </c>
      <c r="G89" s="38"/>
      <c r="H89" s="138">
        <f>RANK(I89,I3:I227)</f>
        <v>92</v>
      </c>
      <c r="I89" s="139">
        <f>VLOOKUP(A89,'Standard Deviations'!A1:C731,3,FALSE)</f>
        <v>0.78602511540802422</v>
      </c>
      <c r="J89" s="139">
        <f>I89-VLOOKUP(B$2,H1:J227,2,FALSE)</f>
        <v>-5.8686439287163772</v>
      </c>
    </row>
    <row r="90" spans="1:10" ht="21.2" customHeight="1">
      <c r="A90" s="8" t="s">
        <v>396</v>
      </c>
      <c r="B90" s="61" t="str">
        <f>VLOOKUP(A90,'The List'!B1:D730,3,FALSE)</f>
        <v>LW,RW</v>
      </c>
      <c r="C90" s="62">
        <f>IF(Settings!$E$15="POINTS",RANK(E90,E3:E227),H90)</f>
        <v>98</v>
      </c>
      <c r="D90" s="34" t="str">
        <f>VLOOKUP(A90,'The List'!B1:F730,5,FALSE)</f>
        <v>NYR</v>
      </c>
      <c r="E90" s="38">
        <f>VLOOKUP(A90,'The List'!B1:I730,8,FALSE)</f>
        <v>0.55521426503630367</v>
      </c>
      <c r="F90" s="38">
        <f>IF(Settings!$E$15="POINTS",E90-VLOOKUP(B$2,C1:E227,3,FALSE),J90)</f>
        <v>-6.0994547790880977</v>
      </c>
      <c r="G90" s="38"/>
      <c r="H90" s="138">
        <f>RANK(I90,I3:I227)</f>
        <v>98</v>
      </c>
      <c r="I90" s="139">
        <f>VLOOKUP(A90,'Standard Deviations'!A1:C731,3,FALSE)</f>
        <v>0.55521426503630367</v>
      </c>
      <c r="J90" s="139">
        <f>I90-VLOOKUP(B$2,H1:J227,2,FALSE)</f>
        <v>-6.0994547790880977</v>
      </c>
    </row>
    <row r="91" spans="1:10" ht="21.2" customHeight="1">
      <c r="A91" s="8" t="s">
        <v>398</v>
      </c>
      <c r="B91" s="61" t="str">
        <f>VLOOKUP(A91,'The List'!B1:D730,3,FALSE)</f>
        <v>LW,RW</v>
      </c>
      <c r="C91" s="62">
        <f>IF(Settings!$E$15="POINTS",RANK(E91,E3:E227),H91)</f>
        <v>82</v>
      </c>
      <c r="D91" s="34" t="str">
        <f>VLOOKUP(A91,'The List'!B1:F730,5,FALSE)</f>
        <v>VAN</v>
      </c>
      <c r="E91" s="38">
        <f>VLOOKUP(A91,'The List'!B1:I730,8,FALSE)</f>
        <v>1.496402365959153</v>
      </c>
      <c r="F91" s="38">
        <f>IF(Settings!$E$15="POINTS",E91-VLOOKUP(B$2,C1:E227,3,FALSE),J91)</f>
        <v>-5.1582666781652478</v>
      </c>
      <c r="G91" s="38"/>
      <c r="H91" s="138">
        <f>RANK(I91,I3:I227)</f>
        <v>82</v>
      </c>
      <c r="I91" s="139">
        <f>VLOOKUP(A91,'Standard Deviations'!A1:C731,3,FALSE)</f>
        <v>1.496402365959153</v>
      </c>
      <c r="J91" s="139">
        <f>I91-VLOOKUP(B$2,H1:J227,2,FALSE)</f>
        <v>-5.1582666781652478</v>
      </c>
    </row>
    <row r="92" spans="1:10" ht="21.2" customHeight="1">
      <c r="A92" s="8" t="s">
        <v>431</v>
      </c>
      <c r="B92" s="61" t="str">
        <f>VLOOKUP(A92,'The List'!B1:D730,3,FALSE)</f>
        <v>C,LW</v>
      </c>
      <c r="C92" s="62">
        <f>IF(Settings!$E$15="POINTS",RANK(E92,E3:E227),H92)</f>
        <v>96</v>
      </c>
      <c r="D92" s="34" t="str">
        <f>VLOOKUP(A92,'The List'!B1:F730,5,FALSE)</f>
        <v>TOR</v>
      </c>
      <c r="E92" s="38">
        <f>VLOOKUP(A92,'The List'!B1:I730,8,FALSE)</f>
        <v>0.63989116236940913</v>
      </c>
      <c r="F92" s="38">
        <f>IF(Settings!$E$15="POINTS",E92-VLOOKUP(B$2,C1:E227,3,FALSE),J92)</f>
        <v>-6.0147778817549922</v>
      </c>
      <c r="G92" s="38"/>
      <c r="H92" s="138">
        <f>RANK(I92,I3:I227)</f>
        <v>96</v>
      </c>
      <c r="I92" s="139">
        <f>VLOOKUP(A92,'Standard Deviations'!A1:C731,3,FALSE)</f>
        <v>0.63989116236940913</v>
      </c>
      <c r="J92" s="139">
        <f>I92-VLOOKUP(B$2,H1:J227,2,FALSE)</f>
        <v>-6.0147778817549922</v>
      </c>
    </row>
    <row r="93" spans="1:10" ht="21.2" customHeight="1">
      <c r="A93" s="8" t="s">
        <v>402</v>
      </c>
      <c r="B93" s="61" t="str">
        <f>VLOOKUP(A93,'The List'!B1:D730,3,FALSE)</f>
        <v>LW,RW</v>
      </c>
      <c r="C93" s="62">
        <f>IF(Settings!$E$15="POINTS",RANK(E93,E3:E227),H93)</f>
        <v>93</v>
      </c>
      <c r="D93" s="34" t="str">
        <f>VLOOKUP(A93,'The List'!B1:F730,5,FALSE)</f>
        <v>BUF</v>
      </c>
      <c r="E93" s="38">
        <f>VLOOKUP(A93,'The List'!B1:I730,8,FALSE)</f>
        <v>0.77435578813392303</v>
      </c>
      <c r="F93" s="38">
        <f>IF(Settings!$E$15="POINTS",E93-VLOOKUP(B$2,C1:E227,3,FALSE),J93)</f>
        <v>-5.8803132559904778</v>
      </c>
      <c r="G93" s="38"/>
      <c r="H93" s="138">
        <f>RANK(I93,I3:I227)</f>
        <v>93</v>
      </c>
      <c r="I93" s="139">
        <f>VLOOKUP(A93,'Standard Deviations'!A1:C731,3,FALSE)</f>
        <v>0.77435578813392303</v>
      </c>
      <c r="J93" s="139">
        <f>I93-VLOOKUP(B$2,H1:J227,2,FALSE)</f>
        <v>-5.8803132559904778</v>
      </c>
    </row>
    <row r="94" spans="1:10" ht="21.2" customHeight="1">
      <c r="A94" s="8" t="s">
        <v>405</v>
      </c>
      <c r="B94" s="61" t="str">
        <f>VLOOKUP(A94,'The List'!B1:D730,3,FALSE)</f>
        <v>LW,RW</v>
      </c>
      <c r="C94" s="62">
        <f>IF(Settings!$E$15="POINTS",RANK(E94,E3:E227),H94)</f>
        <v>100</v>
      </c>
      <c r="D94" s="34" t="str">
        <f>VLOOKUP(A94,'The List'!B1:F730,5,FALSE)</f>
        <v>ARI</v>
      </c>
      <c r="E94" s="38">
        <f>VLOOKUP(A94,'The List'!B1:I730,8,FALSE)</f>
        <v>0.45234264417587711</v>
      </c>
      <c r="F94" s="38">
        <f>IF(Settings!$E$15="POINTS",E94-VLOOKUP(B$2,C1:E227,3,FALSE),J94)</f>
        <v>-6.2023263999485243</v>
      </c>
      <c r="G94" s="38"/>
      <c r="H94" s="138">
        <f>RANK(I94,I3:I227)</f>
        <v>100</v>
      </c>
      <c r="I94" s="139">
        <f>VLOOKUP(A94,'Standard Deviations'!A1:C731,3,FALSE)</f>
        <v>0.45234264417587711</v>
      </c>
      <c r="J94" s="139">
        <f>I94-VLOOKUP(B$2,H1:J227,2,FALSE)</f>
        <v>-6.2023263999485243</v>
      </c>
    </row>
    <row r="95" spans="1:10" ht="21.2" customHeight="1">
      <c r="A95" s="8" t="s">
        <v>458</v>
      </c>
      <c r="B95" s="61" t="str">
        <f>VLOOKUP(A95,'The List'!B1:D730,3,FALSE)</f>
        <v>C,LW</v>
      </c>
      <c r="C95" s="62">
        <f>IF(Settings!$E$15="POINTS",RANK(E95,E3:E227),H95)</f>
        <v>112</v>
      </c>
      <c r="D95" s="34" t="str">
        <f>VLOOKUP(A95,'The List'!B1:F730,5,FALSE)</f>
        <v>DET</v>
      </c>
      <c r="E95" s="38">
        <f>VLOOKUP(A95,'The List'!B1:I730,8,FALSE)</f>
        <v>5.791815359645458E-2</v>
      </c>
      <c r="F95" s="38">
        <f>IF(Settings!$E$15="POINTS",E95-VLOOKUP(B$2,C1:E227,3,FALSE),J95)</f>
        <v>-6.5967508905279466</v>
      </c>
      <c r="G95" s="38"/>
      <c r="H95" s="138">
        <f>RANK(I95,I3:I227)</f>
        <v>112</v>
      </c>
      <c r="I95" s="139">
        <f>VLOOKUP(A95,'Standard Deviations'!A1:C731,3,FALSE)</f>
        <v>5.791815359645458E-2</v>
      </c>
      <c r="J95" s="139">
        <f>I95-VLOOKUP(B$2,H1:J227,2,FALSE)</f>
        <v>-6.5967508905279466</v>
      </c>
    </row>
    <row r="96" spans="1:10" ht="21.2" customHeight="1">
      <c r="A96" s="8" t="s">
        <v>462</v>
      </c>
      <c r="B96" s="61" t="str">
        <f>VLOOKUP(A96,'The List'!B1:D730,3,FALSE)</f>
        <v>LW</v>
      </c>
      <c r="C96" s="62">
        <f>IF(Settings!$E$15="POINTS",RANK(E96,E3:E227),H96)</f>
        <v>97</v>
      </c>
      <c r="D96" s="34" t="str">
        <f>VLOOKUP(A96,'The List'!B1:F730,5,FALSE)</f>
        <v>SJS</v>
      </c>
      <c r="E96" s="38">
        <f>VLOOKUP(A96,'The List'!B1:I730,8,FALSE)</f>
        <v>0.62198929305437045</v>
      </c>
      <c r="F96" s="38">
        <f>IF(Settings!$E$15="POINTS",E96-VLOOKUP(B$2,C1:E227,3,FALSE),J96)</f>
        <v>-6.032679751070031</v>
      </c>
      <c r="G96" s="38"/>
      <c r="H96" s="138">
        <f>RANK(I96,I3:I227)</f>
        <v>97</v>
      </c>
      <c r="I96" s="139">
        <f>VLOOKUP(A96,'Standard Deviations'!A1:C731,3,FALSE)</f>
        <v>0.62198929305437045</v>
      </c>
      <c r="J96" s="139">
        <f>I96-VLOOKUP(B$2,H1:J227,2,FALSE)</f>
        <v>-6.032679751070031</v>
      </c>
    </row>
    <row r="97" spans="1:10" ht="21.2" customHeight="1">
      <c r="A97" s="8" t="s">
        <v>411</v>
      </c>
      <c r="B97" s="61" t="str">
        <f>VLOOKUP(A97,'The List'!B1:D730,3,FALSE)</f>
        <v>LW,RW</v>
      </c>
      <c r="C97" s="62">
        <f>IF(Settings!$E$15="POINTS",RANK(E97,E3:E227),H97)</f>
        <v>79</v>
      </c>
      <c r="D97" s="34" t="str">
        <f>VLOOKUP(A97,'The List'!B1:F730,5,FALSE)</f>
        <v>WPG</v>
      </c>
      <c r="E97" s="38">
        <f>VLOOKUP(A97,'The List'!B1:I730,8,FALSE)</f>
        <v>1.7146893879121561</v>
      </c>
      <c r="F97" s="38">
        <f>IF(Settings!$E$15="POINTS",E97-VLOOKUP(B$2,C1:E227,3,FALSE),J97)</f>
        <v>-4.9399796562122447</v>
      </c>
      <c r="G97" s="38"/>
      <c r="H97" s="138">
        <f>RANK(I97,I3:I227)</f>
        <v>79</v>
      </c>
      <c r="I97" s="139">
        <f>VLOOKUP(A97,'Standard Deviations'!A1:C731,3,FALSE)</f>
        <v>1.7146893879121561</v>
      </c>
      <c r="J97" s="139">
        <f>I97-VLOOKUP(B$2,H1:J227,2,FALSE)</f>
        <v>-4.9399796562122447</v>
      </c>
    </row>
    <row r="98" spans="1:10" ht="21.2" customHeight="1">
      <c r="A98" s="8" t="s">
        <v>417</v>
      </c>
      <c r="B98" s="61" t="str">
        <f>VLOOKUP(A98,'The List'!B1:D730,3,FALSE)</f>
        <v>LW,RW</v>
      </c>
      <c r="C98" s="62">
        <f>IF(Settings!$E$15="POINTS",RANK(E98,E3:E227),H98)</f>
        <v>113</v>
      </c>
      <c r="D98" s="34" t="str">
        <f>VLOOKUP(A98,'The List'!B1:F730,5,FALSE)</f>
        <v>TBL</v>
      </c>
      <c r="E98" s="38">
        <f>VLOOKUP(A98,'The List'!B1:I730,8,FALSE)</f>
        <v>1.2910040615504742E-2</v>
      </c>
      <c r="F98" s="38">
        <f>IF(Settings!$E$15="POINTS",E98-VLOOKUP(B$2,C1:E227,3,FALSE),J98)</f>
        <v>-6.6417590035088967</v>
      </c>
      <c r="G98" s="38"/>
      <c r="H98" s="138">
        <f>RANK(I98,I3:I227)</f>
        <v>113</v>
      </c>
      <c r="I98" s="139">
        <f>VLOOKUP(A98,'Standard Deviations'!A1:C731,3,FALSE)</f>
        <v>1.2910040615504742E-2</v>
      </c>
      <c r="J98" s="139">
        <f>I98-VLOOKUP(B$2,H1:J227,2,FALSE)</f>
        <v>-6.6417590035088967</v>
      </c>
    </row>
    <row r="99" spans="1:10" ht="21.2" customHeight="1">
      <c r="A99" s="8" t="s">
        <v>466</v>
      </c>
      <c r="B99" s="61" t="str">
        <f>VLOOKUP(A99,'The List'!B1:D730,3,FALSE)</f>
        <v>C,LW</v>
      </c>
      <c r="C99" s="62">
        <f>IF(Settings!$E$15="POINTS",RANK(E99,E3:E227),H99)</f>
        <v>101</v>
      </c>
      <c r="D99" s="34" t="str">
        <f>VLOOKUP(A99,'The List'!B1:F730,5,FALSE)</f>
        <v>COL</v>
      </c>
      <c r="E99" s="38">
        <f>VLOOKUP(A99,'The List'!B1:I730,8,FALSE)</f>
        <v>0.42819644101530807</v>
      </c>
      <c r="F99" s="38">
        <f>IF(Settings!$E$15="POINTS",E99-VLOOKUP(B$2,C1:E227,3,FALSE),J99)</f>
        <v>-6.2264726031090927</v>
      </c>
      <c r="G99" s="38"/>
      <c r="H99" s="138">
        <f>RANK(I99,I3:I227)</f>
        <v>101</v>
      </c>
      <c r="I99" s="139">
        <f>VLOOKUP(A99,'Standard Deviations'!A1:C731,3,FALSE)</f>
        <v>0.42819644101530807</v>
      </c>
      <c r="J99" s="139">
        <f>I99-VLOOKUP(B$2,H1:J227,2,FALSE)</f>
        <v>-6.2264726031090927</v>
      </c>
    </row>
    <row r="100" spans="1:10" ht="21.2" customHeight="1">
      <c r="A100" s="8" t="s">
        <v>467</v>
      </c>
      <c r="B100" s="61" t="str">
        <f>VLOOKUP(A100,'The List'!B1:D730,3,FALSE)</f>
        <v>C,LW</v>
      </c>
      <c r="C100" s="62">
        <f>IF(Settings!$E$15="POINTS",RANK(E100,E3:E227),H100)</f>
        <v>106</v>
      </c>
      <c r="D100" s="34" t="str">
        <f>VLOOKUP(A100,'The List'!B1:F730,5,FALSE)</f>
        <v>CHI</v>
      </c>
      <c r="E100" s="38">
        <f>VLOOKUP(A100,'The List'!B1:I730,8,FALSE)</f>
        <v>0.20470761957327416</v>
      </c>
      <c r="F100" s="38">
        <f>IF(Settings!$E$15="POINTS",E100-VLOOKUP(B$2,C1:E227,3,FALSE),J100)</f>
        <v>-6.4499614245511268</v>
      </c>
      <c r="G100" s="38"/>
      <c r="H100" s="138">
        <f>RANK(I100,I3:I227)</f>
        <v>106</v>
      </c>
      <c r="I100" s="139">
        <f>VLOOKUP(A100,'Standard Deviations'!A1:C731,3,FALSE)</f>
        <v>0.20470761957327416</v>
      </c>
      <c r="J100" s="139">
        <f>I100-VLOOKUP(B$2,H1:J227,2,FALSE)</f>
        <v>-6.4499614245511268</v>
      </c>
    </row>
    <row r="101" spans="1:10" ht="21.2" customHeight="1">
      <c r="A101" s="8" t="s">
        <v>468</v>
      </c>
      <c r="B101" s="61" t="str">
        <f>VLOOKUP(A101,'The List'!B1:D730,3,FALSE)</f>
        <v>LW</v>
      </c>
      <c r="C101" s="62">
        <f>IF(Settings!$E$15="POINTS",RANK(E101,E3:E227),H101)</f>
        <v>99</v>
      </c>
      <c r="D101" s="34" t="str">
        <f>VLOOKUP(A101,'The List'!B1:F730,5,FALSE)</f>
        <v>PHI</v>
      </c>
      <c r="E101" s="38">
        <f>VLOOKUP(A101,'The List'!B1:I730,8,FALSE)</f>
        <v>0.53953715834264759</v>
      </c>
      <c r="F101" s="38">
        <f>IF(Settings!$E$15="POINTS",E101-VLOOKUP(B$2,C1:E227,3,FALSE),J101)</f>
        <v>-6.1151318857817536</v>
      </c>
      <c r="G101" s="38"/>
      <c r="H101" s="138">
        <f>RANK(I101,I3:I227)</f>
        <v>99</v>
      </c>
      <c r="I101" s="139">
        <f>VLOOKUP(A101,'Standard Deviations'!A1:C731,3,FALSE)</f>
        <v>0.53953715834264759</v>
      </c>
      <c r="J101" s="139">
        <f>I101-VLOOKUP(B$2,H1:J227,2,FALSE)</f>
        <v>-6.1151318857817536</v>
      </c>
    </row>
    <row r="102" spans="1:10" ht="21.2" customHeight="1">
      <c r="A102" s="8" t="s">
        <v>471</v>
      </c>
      <c r="B102" s="61" t="str">
        <f>VLOOKUP(A102,'The List'!B1:D730,3,FALSE)</f>
        <v>C,LW</v>
      </c>
      <c r="C102" s="62">
        <f>IF(Settings!$E$15="POINTS",RANK(E102,E3:E227),H102)</f>
        <v>91</v>
      </c>
      <c r="D102" s="34" t="str">
        <f>VLOOKUP(A102,'The List'!B1:F730,5,FALSE)</f>
        <v>CHI</v>
      </c>
      <c r="E102" s="38">
        <f>VLOOKUP(A102,'The List'!B1:I730,8,FALSE)</f>
        <v>0.83890492506299474</v>
      </c>
      <c r="F102" s="38">
        <f>IF(Settings!$E$15="POINTS",E102-VLOOKUP(B$2,C1:E227,3,FALSE),J102)</f>
        <v>-5.8157641190614067</v>
      </c>
      <c r="G102" s="38"/>
      <c r="H102" s="138">
        <f>RANK(I102,I3:I227)</f>
        <v>91</v>
      </c>
      <c r="I102" s="139">
        <f>VLOOKUP(A102,'Standard Deviations'!A1:C731,3,FALSE)</f>
        <v>0.83890492506299474</v>
      </c>
      <c r="J102" s="139">
        <f>I102-VLOOKUP(B$2,H1:J227,2,FALSE)</f>
        <v>-5.8157641190614067</v>
      </c>
    </row>
    <row r="103" spans="1:10" ht="21.2" customHeight="1">
      <c r="A103" s="8" t="s">
        <v>427</v>
      </c>
      <c r="B103" s="61" t="str">
        <f>VLOOKUP(A103,'The List'!B1:D730,3,FALSE)</f>
        <v>C,LW,RW</v>
      </c>
      <c r="C103" s="62">
        <f>IF(Settings!$E$15="POINTS",RANK(E103,E3:E227),H103)</f>
        <v>111</v>
      </c>
      <c r="D103" s="34" t="str">
        <f>VLOOKUP(A103,'The List'!B1:F730,5,FALSE)</f>
        <v>ANA</v>
      </c>
      <c r="E103" s="38">
        <f>VLOOKUP(A103,'The List'!B1:I730,8,FALSE)</f>
        <v>6.0623168759821058E-2</v>
      </c>
      <c r="F103" s="38">
        <f>IF(Settings!$E$15="POINTS",E103-VLOOKUP(B$2,C1:E227,3,FALSE),J103)</f>
        <v>-6.5940458753645803</v>
      </c>
      <c r="G103" s="38"/>
      <c r="H103" s="138">
        <f>RANK(I103,I3:I227)</f>
        <v>111</v>
      </c>
      <c r="I103" s="139">
        <f>VLOOKUP(A103,'Standard Deviations'!A1:C731,3,FALSE)</f>
        <v>6.0623168759821058E-2</v>
      </c>
      <c r="J103" s="139">
        <f>I103-VLOOKUP(B$2,H1:J227,2,FALSE)</f>
        <v>-6.5940458753645803</v>
      </c>
    </row>
    <row r="104" spans="1:10" ht="21.2" customHeight="1">
      <c r="A104" s="8" t="s">
        <v>480</v>
      </c>
      <c r="B104" s="61" t="str">
        <f>VLOOKUP(A104,'The List'!B1:D730,3,FALSE)</f>
        <v>LW</v>
      </c>
      <c r="C104" s="62">
        <f>IF(Settings!$E$15="POINTS",RANK(E104,E3:E227),H104)</f>
        <v>74</v>
      </c>
      <c r="D104" s="34" t="str">
        <f>VLOOKUP(A104,'The List'!B1:F730,5,FALSE)</f>
        <v>SJS</v>
      </c>
      <c r="E104" s="38">
        <f>VLOOKUP(A104,'The List'!B1:I730,8,FALSE)</f>
        <v>1.9204458945272571</v>
      </c>
      <c r="F104" s="38">
        <f>IF(Settings!$E$15="POINTS",E104-VLOOKUP(B$2,C1:E227,3,FALSE),J104)</f>
        <v>-4.7342231495971436</v>
      </c>
      <c r="G104" s="38"/>
      <c r="H104" s="138">
        <f>RANK(I104,I3:I227)</f>
        <v>74</v>
      </c>
      <c r="I104" s="139">
        <f>VLOOKUP(A104,'Standard Deviations'!A1:C731,3,FALSE)</f>
        <v>1.9204458945272571</v>
      </c>
      <c r="J104" s="139">
        <f>I104-VLOOKUP(B$2,H1:J227,2,FALSE)</f>
        <v>-4.7342231495971436</v>
      </c>
    </row>
    <row r="105" spans="1:10" ht="21.2" customHeight="1">
      <c r="A105" s="8" t="s">
        <v>430</v>
      </c>
      <c r="B105" s="61" t="str">
        <f>VLOOKUP(A105,'The List'!B1:D730,3,FALSE)</f>
        <v>LW,RW</v>
      </c>
      <c r="C105" s="62">
        <f>IF(Settings!$E$15="POINTS",RANK(E105,E3:E227),H105)</f>
        <v>104</v>
      </c>
      <c r="D105" s="34" t="str">
        <f>VLOOKUP(A105,'The List'!B1:F730,5,FALSE)</f>
        <v>NSH</v>
      </c>
      <c r="E105" s="38">
        <f>VLOOKUP(A105,'The List'!B1:I730,8,FALSE)</f>
        <v>0.30395373302398276</v>
      </c>
      <c r="F105" s="38">
        <f>IF(Settings!$E$15="POINTS",E105-VLOOKUP(B$2,C1:E227,3,FALSE),J105)</f>
        <v>-6.3507153111004184</v>
      </c>
      <c r="G105" s="38"/>
      <c r="H105" s="138">
        <f>RANK(I105,I3:I227)</f>
        <v>104</v>
      </c>
      <c r="I105" s="139">
        <f>VLOOKUP(A105,'Standard Deviations'!A1:C731,3,FALSE)</f>
        <v>0.30395373302398276</v>
      </c>
      <c r="J105" s="139">
        <f>I105-VLOOKUP(B$2,H1:J227,2,FALSE)</f>
        <v>-6.3507153111004184</v>
      </c>
    </row>
    <row r="106" spans="1:10" ht="21.2" customHeight="1">
      <c r="A106" s="8" t="s">
        <v>433</v>
      </c>
      <c r="B106" s="61" t="str">
        <f>VLOOKUP(A106,'The List'!B1:D730,3,FALSE)</f>
        <v>LW,RW</v>
      </c>
      <c r="C106" s="62">
        <f>IF(Settings!$E$15="POINTS",RANK(E106,E3:E227),H106)</f>
        <v>125</v>
      </c>
      <c r="D106" s="34" t="str">
        <f>VLOOKUP(A106,'The List'!B1:F730,5,FALSE)</f>
        <v>CGY</v>
      </c>
      <c r="E106" s="38">
        <f>VLOOKUP(A106,'The List'!B1:I730,8,FALSE)</f>
        <v>-0.5981205346971552</v>
      </c>
      <c r="F106" s="38">
        <f>IF(Settings!$E$15="POINTS",E106-VLOOKUP(B$2,C1:E227,3,FALSE),J106)</f>
        <v>-7.2527895788215559</v>
      </c>
      <c r="G106" s="38"/>
      <c r="H106" s="138">
        <f>RANK(I106,I3:I227)</f>
        <v>125</v>
      </c>
      <c r="I106" s="139">
        <f>VLOOKUP(A106,'Standard Deviations'!A1:C731,3,FALSE)</f>
        <v>-0.5981205346971552</v>
      </c>
      <c r="J106" s="139">
        <f>I106-VLOOKUP(B$2,H1:J227,2,FALSE)</f>
        <v>-7.2527895788215559</v>
      </c>
    </row>
    <row r="107" spans="1:10" ht="21.2" customHeight="1">
      <c r="A107" s="8" t="s">
        <v>434</v>
      </c>
      <c r="B107" s="61" t="str">
        <f>VLOOKUP(A107,'The List'!B1:D730,3,FALSE)</f>
        <v>C,LW,RW</v>
      </c>
      <c r="C107" s="62">
        <f>IF(Settings!$E$15="POINTS",RANK(E107,E3:E227),H107)</f>
        <v>120</v>
      </c>
      <c r="D107" s="34" t="str">
        <f>VLOOKUP(A107,'The List'!B1:F730,5,FALSE)</f>
        <v>DET</v>
      </c>
      <c r="E107" s="38">
        <f>VLOOKUP(A107,'The List'!B1:I730,8,FALSE)</f>
        <v>-0.40479022619704474</v>
      </c>
      <c r="F107" s="38">
        <f>IF(Settings!$E$15="POINTS",E107-VLOOKUP(B$2,C1:E227,3,FALSE),J107)</f>
        <v>-7.0594592703214456</v>
      </c>
      <c r="G107" s="38"/>
      <c r="H107" s="138">
        <f>RANK(I107,I3:I227)</f>
        <v>120</v>
      </c>
      <c r="I107" s="139">
        <f>VLOOKUP(A107,'Standard Deviations'!A1:C731,3,FALSE)</f>
        <v>-0.40479022619704474</v>
      </c>
      <c r="J107" s="139">
        <f>I107-VLOOKUP(B$2,H1:J227,2,FALSE)</f>
        <v>-7.0594592703214456</v>
      </c>
    </row>
    <row r="108" spans="1:10" ht="21.2" customHeight="1">
      <c r="A108" s="8" t="s">
        <v>486</v>
      </c>
      <c r="B108" s="61" t="str">
        <f>VLOOKUP(A108,'The List'!B1:D730,3,FALSE)</f>
        <v>LW</v>
      </c>
      <c r="C108" s="62">
        <f>IF(Settings!$E$15="POINTS",RANK(E108,E3:E227),H108)</f>
        <v>95</v>
      </c>
      <c r="D108" s="34" t="str">
        <f>VLOOKUP(A108,'The List'!B1:F730,5,FALSE)</f>
        <v>ARI</v>
      </c>
      <c r="E108" s="38">
        <f>VLOOKUP(A108,'The List'!B1:I730,8,FALSE)</f>
        <v>0.71825166986101674</v>
      </c>
      <c r="F108" s="38">
        <f>IF(Settings!$E$15="POINTS",E108-VLOOKUP(B$2,C1:E227,3,FALSE),J108)</f>
        <v>-5.9364173742633843</v>
      </c>
      <c r="G108" s="38"/>
      <c r="H108" s="138">
        <f>RANK(I108,I3:I227)</f>
        <v>95</v>
      </c>
      <c r="I108" s="139">
        <f>VLOOKUP(A108,'Standard Deviations'!A1:C731,3,FALSE)</f>
        <v>0.71825166986101674</v>
      </c>
      <c r="J108" s="139">
        <f>I108-VLOOKUP(B$2,H1:J227,2,FALSE)</f>
        <v>-5.9364173742633843</v>
      </c>
    </row>
    <row r="109" spans="1:10" ht="21.2" customHeight="1">
      <c r="A109" s="8" t="s">
        <v>488</v>
      </c>
      <c r="B109" s="61" t="str">
        <f>VLOOKUP(A109,'The List'!B1:D730,3,FALSE)</f>
        <v>LW</v>
      </c>
      <c r="C109" s="62">
        <f>IF(Settings!$E$15="POINTS",RANK(E109,E3:E227),H109)</f>
        <v>109</v>
      </c>
      <c r="D109" s="34" t="str">
        <f>VLOOKUP(A109,'The List'!B1:F730,5,FALSE)</f>
        <v>BOS</v>
      </c>
      <c r="E109" s="38">
        <f>VLOOKUP(A109,'The List'!B1:I730,8,FALSE)</f>
        <v>0.12010380469079747</v>
      </c>
      <c r="F109" s="38">
        <f>IF(Settings!$E$15="POINTS",E109-VLOOKUP(B$2,C1:E227,3,FALSE),J109)</f>
        <v>-6.5345652394336033</v>
      </c>
      <c r="G109" s="38"/>
      <c r="H109" s="138">
        <f>RANK(I109,I3:I227)</f>
        <v>109</v>
      </c>
      <c r="I109" s="139">
        <f>VLOOKUP(A109,'Standard Deviations'!A1:C731,3,FALSE)</f>
        <v>0.12010380469079747</v>
      </c>
      <c r="J109" s="139">
        <f>I109-VLOOKUP(B$2,H1:J227,2,FALSE)</f>
        <v>-6.5345652394336033</v>
      </c>
    </row>
    <row r="110" spans="1:10" ht="21.2" customHeight="1">
      <c r="A110" s="8" t="s">
        <v>503</v>
      </c>
      <c r="B110" s="61" t="str">
        <f>VLOOKUP(A110,'The List'!B1:D730,3,FALSE)</f>
        <v>LW</v>
      </c>
      <c r="C110" s="62">
        <f>IF(Settings!$E$15="POINTS",RANK(E110,E3:E227),H110)</f>
        <v>87</v>
      </c>
      <c r="D110" s="34" t="str">
        <f>VLOOKUP(A110,'The List'!B1:F730,5,FALSE)</f>
        <v>SEA</v>
      </c>
      <c r="E110" s="38">
        <f>VLOOKUP(A110,'The List'!B1:I730,8,FALSE)</f>
        <v>0.99454939407793486</v>
      </c>
      <c r="F110" s="38">
        <f>IF(Settings!$E$15="POINTS",E110-VLOOKUP(B$2,C1:E227,3,FALSE),J110)</f>
        <v>-5.6601196500464663</v>
      </c>
      <c r="G110" s="38"/>
      <c r="H110" s="138">
        <f>RANK(I110,I3:I227)</f>
        <v>87</v>
      </c>
      <c r="I110" s="139">
        <f>VLOOKUP(A110,'Standard Deviations'!A1:C731,3,FALSE)</f>
        <v>0.99454939407793486</v>
      </c>
      <c r="J110" s="139">
        <f>I110-VLOOKUP(B$2,H1:J227,2,FALSE)</f>
        <v>-5.6601196500464663</v>
      </c>
    </row>
    <row r="111" spans="1:10" ht="21.2" customHeight="1">
      <c r="A111" s="8" t="s">
        <v>504</v>
      </c>
      <c r="B111" s="61" t="str">
        <f>VLOOKUP(A111,'The List'!B1:D730,3,FALSE)</f>
        <v>LW</v>
      </c>
      <c r="C111" s="62">
        <f>IF(Settings!$E$15="POINTS",RANK(E111,E3:E227),H111)</f>
        <v>114</v>
      </c>
      <c r="D111" s="34" t="str">
        <f>VLOOKUP(A111,'The List'!B1:F730,5,FALSE)</f>
        <v>WPG</v>
      </c>
      <c r="E111" s="38">
        <f>VLOOKUP(A111,'The List'!B1:I730,8,FALSE)</f>
        <v>-0.15644267709479087</v>
      </c>
      <c r="F111" s="38">
        <f>IF(Settings!$E$15="POINTS",E111-VLOOKUP(B$2,C1:E227,3,FALSE),J111)</f>
        <v>-6.8111117212191923</v>
      </c>
      <c r="G111" s="38"/>
      <c r="H111" s="138">
        <f>RANK(I111,I3:I227)</f>
        <v>114</v>
      </c>
      <c r="I111" s="139">
        <f>VLOOKUP(A111,'Standard Deviations'!A1:C731,3,FALSE)</f>
        <v>-0.15644267709479087</v>
      </c>
      <c r="J111" s="139">
        <f>I111-VLOOKUP(B$2,H1:J227,2,FALSE)</f>
        <v>-6.8111117212191923</v>
      </c>
    </row>
    <row r="112" spans="1:10" ht="21.2" customHeight="1">
      <c r="A112" s="8" t="s">
        <v>508</v>
      </c>
      <c r="B112" s="61" t="str">
        <f>VLOOKUP(A112,'The List'!B1:D730,3,FALSE)</f>
        <v>C,LW</v>
      </c>
      <c r="C112" s="62">
        <f>IF(Settings!$E$15="POINTS",RANK(E112,E3:E227),H112)</f>
        <v>126</v>
      </c>
      <c r="D112" s="34" t="str">
        <f>VLOOKUP(A112,'The List'!B1:F730,5,FALSE)</f>
        <v>TBL</v>
      </c>
      <c r="E112" s="38">
        <f>VLOOKUP(A112,'The List'!B1:I730,8,FALSE)</f>
        <v>-0.61660463984921665</v>
      </c>
      <c r="F112" s="38">
        <f>IF(Settings!$E$15="POINTS",E112-VLOOKUP(B$2,C1:E227,3,FALSE),J112)</f>
        <v>-7.2712736839736181</v>
      </c>
      <c r="G112" s="38"/>
      <c r="H112" s="138">
        <f>RANK(I112,I3:I227)</f>
        <v>126</v>
      </c>
      <c r="I112" s="139">
        <f>VLOOKUP(A112,'Standard Deviations'!A1:C731,3,FALSE)</f>
        <v>-0.61660463984921665</v>
      </c>
      <c r="J112" s="139">
        <f>I112-VLOOKUP(B$2,H1:J227,2,FALSE)</f>
        <v>-7.2712736839736181</v>
      </c>
    </row>
    <row r="113" spans="1:10" ht="21.2" customHeight="1">
      <c r="A113" s="8" t="s">
        <v>514</v>
      </c>
      <c r="B113" s="61" t="str">
        <f>VLOOKUP(A113,'The List'!B1:D730,3,FALSE)</f>
        <v>LW</v>
      </c>
      <c r="C113" s="62">
        <f>IF(Settings!$E$15="POINTS",RANK(E113,E3:E227),H113)</f>
        <v>105</v>
      </c>
      <c r="D113" s="34" t="str">
        <f>VLOOKUP(A113,'The List'!B1:F730,5,FALSE)</f>
        <v>TOR</v>
      </c>
      <c r="E113" s="38">
        <f>VLOOKUP(A113,'The List'!B1:I730,8,FALSE)</f>
        <v>0.25046725807532122</v>
      </c>
      <c r="F113" s="38">
        <f>IF(Settings!$E$15="POINTS",E113-VLOOKUP(B$2,C1:E227,3,FALSE),J113)</f>
        <v>-6.4042017860490796</v>
      </c>
      <c r="G113" s="38"/>
      <c r="H113" s="138">
        <f>RANK(I113,I3:I227)</f>
        <v>105</v>
      </c>
      <c r="I113" s="139">
        <f>VLOOKUP(A113,'Standard Deviations'!A1:C731,3,FALSE)</f>
        <v>0.25046725807532122</v>
      </c>
      <c r="J113" s="139">
        <f>I113-VLOOKUP(B$2,H1:J227,2,FALSE)</f>
        <v>-6.4042017860490796</v>
      </c>
    </row>
    <row r="114" spans="1:10" ht="21.2" customHeight="1">
      <c r="A114" s="8" t="s">
        <v>516</v>
      </c>
      <c r="B114" s="61" t="str">
        <f>VLOOKUP(A114,'The List'!B1:D730,3,FALSE)</f>
        <v>LW</v>
      </c>
      <c r="C114" s="62">
        <f>IF(Settings!$E$15="POINTS",RANK(E114,E3:E227),H114)</f>
        <v>59</v>
      </c>
      <c r="D114" s="34" t="str">
        <f>VLOOKUP(A114,'The List'!B1:F730,5,FALSE)</f>
        <v>WSH</v>
      </c>
      <c r="E114" s="38">
        <f>VLOOKUP(A114,'The List'!B1:I730,8,FALSE)</f>
        <v>3.5492913929606389</v>
      </c>
      <c r="F114" s="38">
        <f>IF(Settings!$E$15="POINTS",E114-VLOOKUP(B$2,C1:E227,3,FALSE),J114)</f>
        <v>-3.1053776511637623</v>
      </c>
      <c r="G114" s="38"/>
      <c r="H114" s="138">
        <f>RANK(I114,I3:I227)</f>
        <v>59</v>
      </c>
      <c r="I114" s="139">
        <f>VLOOKUP(A114,'Standard Deviations'!A1:C731,3,FALSE)</f>
        <v>3.5492913929606389</v>
      </c>
      <c r="J114" s="139">
        <f>I114-VLOOKUP(B$2,H1:J227,2,FALSE)</f>
        <v>-3.1053776511637623</v>
      </c>
    </row>
    <row r="115" spans="1:10" ht="21.2" customHeight="1">
      <c r="A115" s="8" t="s">
        <v>476</v>
      </c>
      <c r="B115" s="61" t="str">
        <f>VLOOKUP(A115,'The List'!B1:D730,3,FALSE)</f>
        <v>LW,RW</v>
      </c>
      <c r="C115" s="62">
        <f>IF(Settings!$E$15="POINTS",RANK(E115,E3:E227),H115)</f>
        <v>117</v>
      </c>
      <c r="D115" s="34" t="str">
        <f>VLOOKUP(A115,'The List'!B1:F730,5,FALSE)</f>
        <v>TBL</v>
      </c>
      <c r="E115" s="38">
        <f>VLOOKUP(A115,'The List'!B1:I730,8,FALSE)</f>
        <v>-0.33858336483851242</v>
      </c>
      <c r="F115" s="38">
        <f>IF(Settings!$E$15="POINTS",E115-VLOOKUP(B$2,C1:E227,3,FALSE),J115)</f>
        <v>-6.9932524089629133</v>
      </c>
      <c r="G115" s="38"/>
      <c r="H115" s="138">
        <f>RANK(I115,I3:I227)</f>
        <v>117</v>
      </c>
      <c r="I115" s="139">
        <f>VLOOKUP(A115,'Standard Deviations'!A1:C731,3,FALSE)</f>
        <v>-0.33858336483851242</v>
      </c>
      <c r="J115" s="139">
        <f>I115-VLOOKUP(B$2,H1:J227,2,FALSE)</f>
        <v>-6.9932524089629133</v>
      </c>
    </row>
    <row r="116" spans="1:10" ht="21.2" customHeight="1">
      <c r="A116" s="8" t="s">
        <v>519</v>
      </c>
      <c r="B116" s="61" t="str">
        <f>VLOOKUP(A116,'The List'!B1:D730,3,FALSE)</f>
        <v>LW</v>
      </c>
      <c r="C116" s="62">
        <f>IF(Settings!$E$15="POINTS",RANK(E116,E3:E227),H116)</f>
        <v>116</v>
      </c>
      <c r="D116" s="34" t="str">
        <f>VLOOKUP(A116,'The List'!B1:F730,5,FALSE)</f>
        <v>NYI</v>
      </c>
      <c r="E116" s="38">
        <f>VLOOKUP(A116,'The List'!B1:I730,8,FALSE)</f>
        <v>-0.29675405518980102</v>
      </c>
      <c r="F116" s="38">
        <f>IF(Settings!$E$15="POINTS",E116-VLOOKUP(B$2,C1:E227,3,FALSE),J116)</f>
        <v>-6.9514230993142023</v>
      </c>
      <c r="G116" s="38"/>
      <c r="H116" s="138">
        <f>RANK(I116,I3:I227)</f>
        <v>116</v>
      </c>
      <c r="I116" s="139">
        <f>VLOOKUP(A116,'Standard Deviations'!A1:C731,3,FALSE)</f>
        <v>-0.29675405518980102</v>
      </c>
      <c r="J116" s="139">
        <f>I116-VLOOKUP(B$2,H1:J227,2,FALSE)</f>
        <v>-6.9514230993142023</v>
      </c>
    </row>
    <row r="117" spans="1:10" ht="21.2" customHeight="1">
      <c r="A117" s="8" t="s">
        <v>522</v>
      </c>
      <c r="B117" s="61" t="str">
        <f>VLOOKUP(A117,'The List'!B1:D730,3,FALSE)</f>
        <v>LW</v>
      </c>
      <c r="C117" s="62">
        <f>IF(Settings!$E$15="POINTS",RANK(E117,E3:E227),H117)</f>
        <v>115</v>
      </c>
      <c r="D117" s="34" t="str">
        <f>VLOOKUP(A117,'The List'!B1:F730,5,FALSE)</f>
        <v>NJD</v>
      </c>
      <c r="E117" s="38">
        <f>VLOOKUP(A117,'The List'!B1:I730,8,FALSE)</f>
        <v>-0.2350076535420573</v>
      </c>
      <c r="F117" s="38">
        <f>IF(Settings!$E$15="POINTS",E117-VLOOKUP(B$2,C1:E227,3,FALSE),J117)</f>
        <v>-6.8896766976664585</v>
      </c>
      <c r="G117" s="38"/>
      <c r="H117" s="138">
        <f>RANK(I117,I3:I227)</f>
        <v>115</v>
      </c>
      <c r="I117" s="139">
        <f>VLOOKUP(A117,'Standard Deviations'!A1:C731,3,FALSE)</f>
        <v>-0.2350076535420573</v>
      </c>
      <c r="J117" s="139">
        <f>I117-VLOOKUP(B$2,H1:J227,2,FALSE)</f>
        <v>-6.8896766976664585</v>
      </c>
    </row>
    <row r="118" spans="1:10" ht="21.2" customHeight="1">
      <c r="A118" s="8" t="s">
        <v>479</v>
      </c>
      <c r="B118" s="61" t="str">
        <f>VLOOKUP(A118,'The List'!B1:D730,3,FALSE)</f>
        <v>LW,RW</v>
      </c>
      <c r="C118" s="62">
        <f>IF(Settings!$E$15="POINTS",RANK(E118,E3:E227),H118)</f>
        <v>124</v>
      </c>
      <c r="D118" s="34" t="str">
        <f>VLOOKUP(A118,'The List'!B1:F730,5,FALSE)</f>
        <v>UFA</v>
      </c>
      <c r="E118" s="38">
        <f>VLOOKUP(A118,'The List'!B1:I730,8,FALSE)</f>
        <v>-0.58358225361903582</v>
      </c>
      <c r="F118" s="38">
        <f>IF(Settings!$E$15="POINTS",E118-VLOOKUP(B$2,C1:E227,3,FALSE),J118)</f>
        <v>-7.238251297743437</v>
      </c>
      <c r="G118" s="38"/>
      <c r="H118" s="138">
        <f>RANK(I118,I3:I227)</f>
        <v>124</v>
      </c>
      <c r="I118" s="139">
        <f>VLOOKUP(A118,'Standard Deviations'!A1:C731,3,FALSE)</f>
        <v>-0.58358225361903582</v>
      </c>
      <c r="J118" s="139">
        <f>I118-VLOOKUP(B$2,H1:J227,2,FALSE)</f>
        <v>-7.238251297743437</v>
      </c>
    </row>
    <row r="119" spans="1:10" ht="21.2" customHeight="1">
      <c r="A119" s="8" t="s">
        <v>524</v>
      </c>
      <c r="B119" s="61" t="str">
        <f>VLOOKUP(A119,'The List'!B1:D730,3,FALSE)</f>
        <v>C,LW</v>
      </c>
      <c r="C119" s="62">
        <f>IF(Settings!$E$15="POINTS",RANK(E119,E3:E227),H119)</f>
        <v>132</v>
      </c>
      <c r="D119" s="34" t="str">
        <f>VLOOKUP(A119,'The List'!B1:F730,5,FALSE)</f>
        <v>NJD</v>
      </c>
      <c r="E119" s="38">
        <f>VLOOKUP(A119,'The List'!B1:I730,8,FALSE)</f>
        <v>-1.019823560471314</v>
      </c>
      <c r="F119" s="38">
        <f>IF(Settings!$E$15="POINTS",E119-VLOOKUP(B$2,C1:E227,3,FALSE),J119)</f>
        <v>-7.6744926045957147</v>
      </c>
      <c r="G119" s="38"/>
      <c r="H119" s="138">
        <f>RANK(I119,I3:I227)</f>
        <v>132</v>
      </c>
      <c r="I119" s="139">
        <f>VLOOKUP(A119,'Standard Deviations'!A1:C731,3,FALSE)</f>
        <v>-1.019823560471314</v>
      </c>
      <c r="J119" s="139">
        <f>I119-VLOOKUP(B$2,H1:J227,2,FALSE)</f>
        <v>-7.6744926045957147</v>
      </c>
    </row>
    <row r="120" spans="1:10" ht="21.2" customHeight="1">
      <c r="A120" s="8" t="s">
        <v>482</v>
      </c>
      <c r="B120" s="61" t="str">
        <f>VLOOKUP(A120,'The List'!B1:D730,3,FALSE)</f>
        <v>LW,RW</v>
      </c>
      <c r="C120" s="62">
        <f>IF(Settings!$E$15="POINTS",RANK(E120,E3:E227),H120)</f>
        <v>110</v>
      </c>
      <c r="D120" s="34" t="str">
        <f>VLOOKUP(A120,'The List'!B1:F730,5,FALSE)</f>
        <v>SEA</v>
      </c>
      <c r="E120" s="38">
        <f>VLOOKUP(A120,'The List'!B1:I730,8,FALSE)</f>
        <v>8.3463200993936656E-2</v>
      </c>
      <c r="F120" s="38">
        <f>IF(Settings!$E$15="POINTS",E120-VLOOKUP(B$2,C1:E227,3,FALSE),J120)</f>
        <v>-6.571205843130465</v>
      </c>
      <c r="G120" s="38"/>
      <c r="H120" s="138">
        <f>RANK(I120,I3:I227)</f>
        <v>110</v>
      </c>
      <c r="I120" s="139">
        <f>VLOOKUP(A120,'Standard Deviations'!A1:C731,3,FALSE)</f>
        <v>8.3463200993936656E-2</v>
      </c>
      <c r="J120" s="139">
        <f>I120-VLOOKUP(B$2,H1:J227,2,FALSE)</f>
        <v>-6.571205843130465</v>
      </c>
    </row>
    <row r="121" spans="1:10" ht="21.2" customHeight="1">
      <c r="A121" s="8" t="s">
        <v>530</v>
      </c>
      <c r="B121" s="61" t="str">
        <f>VLOOKUP(A121,'The List'!B1:D730,3,FALSE)</f>
        <v>C,LW</v>
      </c>
      <c r="C121" s="62">
        <f>IF(Settings!$E$15="POINTS",RANK(E121,E3:E227),H121)</f>
        <v>123</v>
      </c>
      <c r="D121" s="34" t="str">
        <f>VLOOKUP(A121,'The List'!B1:F730,5,FALSE)</f>
        <v>MTL</v>
      </c>
      <c r="E121" s="38">
        <f>VLOOKUP(A121,'The List'!B1:I730,8,FALSE)</f>
        <v>-0.53744927351401883</v>
      </c>
      <c r="F121" s="38">
        <f>IF(Settings!$E$15="POINTS",E121-VLOOKUP(B$2,C1:E227,3,FALSE),J121)</f>
        <v>-7.1921183176384202</v>
      </c>
      <c r="G121" s="38"/>
      <c r="H121" s="138">
        <f>RANK(I121,I3:I227)</f>
        <v>123</v>
      </c>
      <c r="I121" s="139">
        <f>VLOOKUP(A121,'Standard Deviations'!A1:C731,3,FALSE)</f>
        <v>-0.53744927351401883</v>
      </c>
      <c r="J121" s="139">
        <f>I121-VLOOKUP(B$2,H1:J227,2,FALSE)</f>
        <v>-7.1921183176384202</v>
      </c>
    </row>
    <row r="122" spans="1:10" ht="21.2" customHeight="1">
      <c r="A122" s="8" t="s">
        <v>535</v>
      </c>
      <c r="B122" s="61" t="str">
        <f>VLOOKUP(A122,'The List'!B1:D730,3,FALSE)</f>
        <v>C,LW</v>
      </c>
      <c r="C122" s="62">
        <f>IF(Settings!$E$15="POINTS",RANK(E122,E3:E227),H122)</f>
        <v>122</v>
      </c>
      <c r="D122" s="34" t="str">
        <f>VLOOKUP(A122,'The List'!B1:F730,5,FALSE)</f>
        <v>MIN</v>
      </c>
      <c r="E122" s="38">
        <f>VLOOKUP(A122,'The List'!B1:I730,8,FALSE)</f>
        <v>-0.45957490357577924</v>
      </c>
      <c r="F122" s="38">
        <f>IF(Settings!$E$15="POINTS",E122-VLOOKUP(B$2,C1:E227,3,FALSE),J122)</f>
        <v>-7.1142439477001806</v>
      </c>
      <c r="G122" s="38"/>
      <c r="H122" s="138">
        <f>RANK(I122,I3:I227)</f>
        <v>122</v>
      </c>
      <c r="I122" s="139">
        <f>VLOOKUP(A122,'Standard Deviations'!A1:C731,3,FALSE)</f>
        <v>-0.45957490357577924</v>
      </c>
      <c r="J122" s="139">
        <f>I122-VLOOKUP(B$2,H1:J227,2,FALSE)</f>
        <v>-7.1142439477001806</v>
      </c>
    </row>
    <row r="123" spans="1:10" ht="21.2" customHeight="1">
      <c r="A123" s="8" t="s">
        <v>537</v>
      </c>
      <c r="B123" s="61" t="str">
        <f>VLOOKUP(A123,'The List'!B1:D730,3,FALSE)</f>
        <v>C,LW</v>
      </c>
      <c r="C123" s="62">
        <f>IF(Settings!$E$15="POINTS",RANK(E123,E3:E227),H123)</f>
        <v>107</v>
      </c>
      <c r="D123" s="34" t="str">
        <f>VLOOKUP(A123,'The List'!B1:F730,5,FALSE)</f>
        <v>NSH</v>
      </c>
      <c r="E123" s="38">
        <f>VLOOKUP(A123,'The List'!B1:I730,8,FALSE)</f>
        <v>0.20281027208889657</v>
      </c>
      <c r="F123" s="38">
        <f>IF(Settings!$E$15="POINTS",E123-VLOOKUP(B$2,C1:E227,3,FALSE),J123)</f>
        <v>-6.4518587720355045</v>
      </c>
      <c r="G123" s="38"/>
      <c r="H123" s="138">
        <f>RANK(I123,I3:I227)</f>
        <v>107</v>
      </c>
      <c r="I123" s="139">
        <f>VLOOKUP(A123,'Standard Deviations'!A1:C731,3,FALSE)</f>
        <v>0.20281027208889657</v>
      </c>
      <c r="J123" s="139">
        <f>I123-VLOOKUP(B$2,H1:J227,2,FALSE)</f>
        <v>-6.4518587720355045</v>
      </c>
    </row>
    <row r="124" spans="1:10" ht="21.2" customHeight="1">
      <c r="A124" s="8" t="s">
        <v>544</v>
      </c>
      <c r="B124" s="61" t="str">
        <f>VLOOKUP(A124,'The List'!B1:D730,3,FALSE)</f>
        <v>C,LW</v>
      </c>
      <c r="C124" s="62">
        <f>IF(Settings!$E$15="POINTS",RANK(E124,E3:E227),H124)</f>
        <v>66</v>
      </c>
      <c r="D124" s="34" t="str">
        <f>VLOOKUP(A124,'The List'!B1:F730,5,FALSE)</f>
        <v>SJS</v>
      </c>
      <c r="E124" s="38">
        <f>VLOOKUP(A124,'The List'!B1:I730,8,FALSE)</f>
        <v>2.8686888003324329</v>
      </c>
      <c r="F124" s="38">
        <f>IF(Settings!$E$15="POINTS",E124-VLOOKUP(B$2,C1:E227,3,FALSE),J124)</f>
        <v>-3.7859802437919683</v>
      </c>
      <c r="G124" s="38"/>
      <c r="H124" s="138">
        <f>RANK(I124,I3:I227)</f>
        <v>66</v>
      </c>
      <c r="I124" s="139">
        <f>VLOOKUP(A124,'Standard Deviations'!A1:C731,3,FALSE)</f>
        <v>2.8686888003324329</v>
      </c>
      <c r="J124" s="139">
        <f>I124-VLOOKUP(B$2,H1:J227,2,FALSE)</f>
        <v>-3.7859802437919683</v>
      </c>
    </row>
    <row r="125" spans="1:10" ht="21.2" customHeight="1">
      <c r="A125" s="8" t="s">
        <v>545</v>
      </c>
      <c r="B125" s="61" t="str">
        <f>VLOOKUP(A125,'The List'!B1:D730,3,FALSE)</f>
        <v>LW</v>
      </c>
      <c r="C125" s="62">
        <f>IF(Settings!$E$15="POINTS",RANK(E125,E3:E227),H125)</f>
        <v>108</v>
      </c>
      <c r="D125" s="34" t="str">
        <f>VLOOKUP(A125,'The List'!B1:F730,5,FALSE)</f>
        <v>MTL</v>
      </c>
      <c r="E125" s="38">
        <f>VLOOKUP(A125,'The List'!B1:I730,8,FALSE)</f>
        <v>0.17106985975741568</v>
      </c>
      <c r="F125" s="38">
        <f>IF(Settings!$E$15="POINTS",E125-VLOOKUP(B$2,C1:E227,3,FALSE),J125)</f>
        <v>-6.4835991843669856</v>
      </c>
      <c r="G125" s="38"/>
      <c r="H125" s="138">
        <f>RANK(I125,I3:I227)</f>
        <v>108</v>
      </c>
      <c r="I125" s="139">
        <f>VLOOKUP(A125,'Standard Deviations'!A1:C731,3,FALSE)</f>
        <v>0.17106985975741568</v>
      </c>
      <c r="J125" s="139">
        <f>I125-VLOOKUP(B$2,H1:J227,2,FALSE)</f>
        <v>-6.4835991843669856</v>
      </c>
    </row>
    <row r="126" spans="1:10" ht="21.2" customHeight="1">
      <c r="A126" s="8" t="s">
        <v>549</v>
      </c>
      <c r="B126" s="61" t="str">
        <f>VLOOKUP(A126,'The List'!B1:D730,3,FALSE)</f>
        <v>C,LW</v>
      </c>
      <c r="C126" s="62">
        <f>IF(Settings!$E$15="POINTS",RANK(E126,E3:E227),H126)</f>
        <v>130</v>
      </c>
      <c r="D126" s="34" t="str">
        <f>VLOOKUP(A126,'The List'!B1:F730,5,FALSE)</f>
        <v>DET</v>
      </c>
      <c r="E126" s="38">
        <f>VLOOKUP(A126,'The List'!B1:I730,8,FALSE)</f>
        <v>-0.81291100340845635</v>
      </c>
      <c r="F126" s="38">
        <f>IF(Settings!$E$15="POINTS",E126-VLOOKUP(B$2,C1:E227,3,FALSE),J126)</f>
        <v>-7.4675800475328575</v>
      </c>
      <c r="G126" s="38"/>
      <c r="H126" s="138">
        <f>RANK(I126,I3:I227)</f>
        <v>130</v>
      </c>
      <c r="I126" s="139">
        <f>VLOOKUP(A126,'Standard Deviations'!A1:C731,3,FALSE)</f>
        <v>-0.81291100340845635</v>
      </c>
      <c r="J126" s="139">
        <f>I126-VLOOKUP(B$2,H1:J227,2,FALSE)</f>
        <v>-7.4675800475328575</v>
      </c>
    </row>
    <row r="127" spans="1:10" ht="21.2" customHeight="1">
      <c r="A127" s="8" t="s">
        <v>555</v>
      </c>
      <c r="B127" s="61" t="str">
        <f>VLOOKUP(A127,'The List'!B1:D730,3,FALSE)</f>
        <v>LW</v>
      </c>
      <c r="C127" s="62">
        <f>IF(Settings!$E$15="POINTS",RANK(E127,E3:E227),H127)</f>
        <v>118</v>
      </c>
      <c r="D127" s="34" t="str">
        <f>VLOOKUP(A127,'The List'!B1:F730,5,FALSE)</f>
        <v>DAL</v>
      </c>
      <c r="E127" s="38">
        <f>VLOOKUP(A127,'The List'!B1:I730,8,FALSE)</f>
        <v>-0.35417527889976352</v>
      </c>
      <c r="F127" s="38">
        <f>IF(Settings!$E$15="POINTS",E127-VLOOKUP(B$2,C1:E227,3,FALSE),J127)</f>
        <v>-7.0088443230241646</v>
      </c>
      <c r="G127" s="38"/>
      <c r="H127" s="138">
        <f>RANK(I127,I3:I227)</f>
        <v>118</v>
      </c>
      <c r="I127" s="139">
        <f>VLOOKUP(A127,'Standard Deviations'!A1:C731,3,FALSE)</f>
        <v>-0.35417527889976352</v>
      </c>
      <c r="J127" s="139">
        <f>I127-VLOOKUP(B$2,H1:J227,2,FALSE)</f>
        <v>-7.0088443230241646</v>
      </c>
    </row>
    <row r="128" spans="1:10" ht="21.2" customHeight="1">
      <c r="A128" s="8" t="s">
        <v>566</v>
      </c>
      <c r="B128" s="61" t="str">
        <f>VLOOKUP(A128,'The List'!B1:D730,3,FALSE)</f>
        <v>C,LW</v>
      </c>
      <c r="C128" s="62">
        <f>IF(Settings!$E$15="POINTS",RANK(E128,E3:E227),H128)</f>
        <v>134</v>
      </c>
      <c r="D128" s="34" t="str">
        <f>VLOOKUP(A128,'The List'!B1:F730,5,FALSE)</f>
        <v>CHI</v>
      </c>
      <c r="E128" s="38">
        <f>VLOOKUP(A128,'The List'!B1:I730,8,FALSE)</f>
        <v>-1.0716259602279634</v>
      </c>
      <c r="F128" s="38">
        <f>IF(Settings!$E$15="POINTS",E128-VLOOKUP(B$2,C1:E227,3,FALSE),J128)</f>
        <v>-7.7262950043523642</v>
      </c>
      <c r="G128" s="38"/>
      <c r="H128" s="138">
        <f>RANK(I128,I3:I227)</f>
        <v>134</v>
      </c>
      <c r="I128" s="139">
        <f>VLOOKUP(A128,'Standard Deviations'!A1:C731,3,FALSE)</f>
        <v>-1.0716259602279634</v>
      </c>
      <c r="J128" s="139">
        <f>I128-VLOOKUP(B$2,H1:J227,2,FALSE)</f>
        <v>-7.7262950043523642</v>
      </c>
    </row>
    <row r="129" spans="1:10" ht="21.2" customHeight="1">
      <c r="A129" s="8" t="s">
        <v>567</v>
      </c>
      <c r="B129" s="61" t="str">
        <f>VLOOKUP(A129,'The List'!B1:D730,3,FALSE)</f>
        <v>LW</v>
      </c>
      <c r="C129" s="62">
        <f>IF(Settings!$E$15="POINTS",RANK(E129,E3:E227),H129)</f>
        <v>143</v>
      </c>
      <c r="D129" s="34" t="str">
        <f>VLOOKUP(A129,'The List'!B1:F730,5,FALSE)</f>
        <v>UFA</v>
      </c>
      <c r="E129" s="38">
        <f>VLOOKUP(A129,'The List'!B1:I730,8,FALSE)</f>
        <v>-1.4860261729660267</v>
      </c>
      <c r="F129" s="38">
        <f>IF(Settings!$E$15="POINTS",E129-VLOOKUP(B$2,C1:E227,3,FALSE),J129)</f>
        <v>-8.1406952170904283</v>
      </c>
      <c r="G129" s="38"/>
      <c r="H129" s="138">
        <f>RANK(I129,I3:I227)</f>
        <v>143</v>
      </c>
      <c r="I129" s="139">
        <f>VLOOKUP(A129,'Standard Deviations'!A1:C731,3,FALSE)</f>
        <v>-1.4860261729660267</v>
      </c>
      <c r="J129" s="139">
        <f>I129-VLOOKUP(B$2,H1:J227,2,FALSE)</f>
        <v>-8.1406952170904283</v>
      </c>
    </row>
    <row r="130" spans="1:10" ht="21.2" customHeight="1">
      <c r="A130" s="8" t="s">
        <v>568</v>
      </c>
      <c r="B130" s="61" t="str">
        <f>VLOOKUP(A130,'The List'!B1:D730,3,FALSE)</f>
        <v>C,LW</v>
      </c>
      <c r="C130" s="62">
        <f>IF(Settings!$E$15="POINTS",RANK(E130,E3:E227),H130)</f>
        <v>141</v>
      </c>
      <c r="D130" s="34" t="str">
        <f>VLOOKUP(A130,'The List'!B1:F730,5,FALSE)</f>
        <v>FLA</v>
      </c>
      <c r="E130" s="38">
        <f>VLOOKUP(A130,'The List'!B1:I730,8,FALSE)</f>
        <v>-1.4557264403666692</v>
      </c>
      <c r="F130" s="38">
        <f>IF(Settings!$E$15="POINTS",E130-VLOOKUP(B$2,C1:E227,3,FALSE),J130)</f>
        <v>-8.11039548449107</v>
      </c>
      <c r="G130" s="38"/>
      <c r="H130" s="138">
        <f>RANK(I130,I3:I227)</f>
        <v>141</v>
      </c>
      <c r="I130" s="139">
        <f>VLOOKUP(A130,'Standard Deviations'!A1:C731,3,FALSE)</f>
        <v>-1.4557264403666692</v>
      </c>
      <c r="J130" s="139">
        <f>I130-VLOOKUP(B$2,H1:J227,2,FALSE)</f>
        <v>-8.11039548449107</v>
      </c>
    </row>
    <row r="131" spans="1:10" ht="21.2" customHeight="1">
      <c r="A131" s="8" t="s">
        <v>531</v>
      </c>
      <c r="B131" s="61" t="str">
        <f>VLOOKUP(A131,'The List'!B1:D730,3,FALSE)</f>
        <v>LW,RW</v>
      </c>
      <c r="C131" s="62">
        <f>IF(Settings!$E$15="POINTS",RANK(E131,E3:E227),H131)</f>
        <v>129</v>
      </c>
      <c r="D131" s="34" t="str">
        <f>VLOOKUP(A131,'The List'!B1:F730,5,FALSE)</f>
        <v>BUF</v>
      </c>
      <c r="E131" s="38">
        <f>VLOOKUP(A131,'The List'!B1:I730,8,FALSE)</f>
        <v>-0.81107950820774932</v>
      </c>
      <c r="F131" s="38">
        <f>IF(Settings!$E$15="POINTS",E131-VLOOKUP(B$2,C1:E227,3,FALSE),J131)</f>
        <v>-7.4657485523321503</v>
      </c>
      <c r="G131" s="38"/>
      <c r="H131" s="138">
        <f>RANK(I131,I3:I227)</f>
        <v>129</v>
      </c>
      <c r="I131" s="139">
        <f>VLOOKUP(A131,'Standard Deviations'!A1:C731,3,FALSE)</f>
        <v>-0.81107950820774932</v>
      </c>
      <c r="J131" s="139">
        <f>I131-VLOOKUP(B$2,H1:J227,2,FALSE)</f>
        <v>-7.4657485523321503</v>
      </c>
    </row>
    <row r="132" spans="1:10" ht="21.2" customHeight="1">
      <c r="A132" s="8" t="s">
        <v>572</v>
      </c>
      <c r="B132" s="61" t="str">
        <f>VLOOKUP(A132,'The List'!B1:D730,3,FALSE)</f>
        <v>C,LW</v>
      </c>
      <c r="C132" s="62">
        <f>IF(Settings!$E$15="POINTS",RANK(E132,E3:E227),H132)</f>
        <v>148</v>
      </c>
      <c r="D132" s="34" t="str">
        <f>VLOOKUP(A132,'The List'!B1:F730,5,FALSE)</f>
        <v>ARI</v>
      </c>
      <c r="E132" s="38">
        <f>VLOOKUP(A132,'The List'!B1:I730,8,FALSE)</f>
        <v>-1.8563214884583716</v>
      </c>
      <c r="F132" s="38">
        <f>IF(Settings!$E$15="POINTS",E132-VLOOKUP(B$2,C1:E227,3,FALSE),J132)</f>
        <v>-8.5109905325827722</v>
      </c>
      <c r="G132" s="38"/>
      <c r="H132" s="138">
        <f>RANK(I132,I3:I227)</f>
        <v>148</v>
      </c>
      <c r="I132" s="139">
        <f>VLOOKUP(A132,'Standard Deviations'!A1:C731,3,FALSE)</f>
        <v>-1.8563214884583716</v>
      </c>
      <c r="J132" s="139">
        <f>I132-VLOOKUP(B$2,H1:J227,2,FALSE)</f>
        <v>-8.5109905325827722</v>
      </c>
    </row>
    <row r="133" spans="1:10" ht="21.2" customHeight="1">
      <c r="A133" s="8" t="s">
        <v>592</v>
      </c>
      <c r="B133" s="61" t="str">
        <f>VLOOKUP(A133,'The List'!B1:D730,3,FALSE)</f>
        <v>C,LW</v>
      </c>
      <c r="C133" s="62">
        <f>IF(Settings!$E$15="POINTS",RANK(E133,E3:E227),H133)</f>
        <v>145</v>
      </c>
      <c r="D133" s="34" t="str">
        <f>VLOOKUP(A133,'The List'!B1:F730,5,FALSE)</f>
        <v>MTL</v>
      </c>
      <c r="E133" s="38">
        <f>VLOOKUP(A133,'The List'!B1:I730,8,FALSE)</f>
        <v>-1.6043270414349204</v>
      </c>
      <c r="F133" s="38">
        <f>IF(Settings!$E$15="POINTS",E133-VLOOKUP(B$2,C1:E227,3,FALSE),J133)</f>
        <v>-8.2589960855593212</v>
      </c>
      <c r="G133" s="38"/>
      <c r="H133" s="138">
        <f>RANK(I133,I3:I227)</f>
        <v>145</v>
      </c>
      <c r="I133" s="139">
        <f>VLOOKUP(A133,'Standard Deviations'!A1:C731,3,FALSE)</f>
        <v>-1.6043270414349204</v>
      </c>
      <c r="J133" s="139">
        <f>I133-VLOOKUP(B$2,H1:J227,2,FALSE)</f>
        <v>-8.2589960855593212</v>
      </c>
    </row>
    <row r="134" spans="1:10" ht="21.2" customHeight="1">
      <c r="A134" s="8" t="s">
        <v>562</v>
      </c>
      <c r="B134" s="61" t="str">
        <f>VLOOKUP(A134,'The List'!B1:D730,3,FALSE)</f>
        <v>LW,RW</v>
      </c>
      <c r="C134" s="62">
        <f>IF(Settings!$E$15="POINTS",RANK(E134,E3:E227),H134)</f>
        <v>102</v>
      </c>
      <c r="D134" s="34" t="str">
        <f>VLOOKUP(A134,'The List'!B1:F730,5,FALSE)</f>
        <v>ARI</v>
      </c>
      <c r="E134" s="38">
        <f>VLOOKUP(A134,'The List'!B1:I730,8,FALSE)</f>
        <v>0.39022823129132511</v>
      </c>
      <c r="F134" s="38">
        <f>IF(Settings!$E$15="POINTS",E134-VLOOKUP(B$2,C1:E227,3,FALSE),J134)</f>
        <v>-6.264440812833076</v>
      </c>
      <c r="G134" s="38"/>
      <c r="H134" s="138">
        <f>RANK(I134,I3:I227)</f>
        <v>102</v>
      </c>
      <c r="I134" s="139">
        <f>VLOOKUP(A134,'Standard Deviations'!A1:C731,3,FALSE)</f>
        <v>0.39022823129132511</v>
      </c>
      <c r="J134" s="139">
        <f>I134-VLOOKUP(B$2,H1:J227,2,FALSE)</f>
        <v>-6.264440812833076</v>
      </c>
    </row>
    <row r="135" spans="1:10" ht="21.2" customHeight="1">
      <c r="A135" s="8" t="s">
        <v>564</v>
      </c>
      <c r="B135" s="61" t="str">
        <f>VLOOKUP(A135,'The List'!B1:D730,3,FALSE)</f>
        <v>LW,RW</v>
      </c>
      <c r="C135" s="62">
        <f>IF(Settings!$E$15="POINTS",RANK(E135,E3:E227),H135)</f>
        <v>119</v>
      </c>
      <c r="D135" s="34" t="str">
        <f>VLOOKUP(A135,'The List'!B1:F730,5,FALSE)</f>
        <v>SJS</v>
      </c>
      <c r="E135" s="38">
        <f>VLOOKUP(A135,'The List'!B1:I730,8,FALSE)</f>
        <v>-0.39229664389519248</v>
      </c>
      <c r="F135" s="38">
        <f>IF(Settings!$E$15="POINTS",E135-VLOOKUP(B$2,C1:E227,3,FALSE),J135)</f>
        <v>-7.0469656880195934</v>
      </c>
      <c r="G135" s="38"/>
      <c r="H135" s="138">
        <f>RANK(I135,I3:I227)</f>
        <v>119</v>
      </c>
      <c r="I135" s="139">
        <f>VLOOKUP(A135,'Standard Deviations'!A1:C731,3,FALSE)</f>
        <v>-0.39229664389519248</v>
      </c>
      <c r="J135" s="139">
        <f>I135-VLOOKUP(B$2,H1:J227,2,FALSE)</f>
        <v>-7.0469656880195934</v>
      </c>
    </row>
    <row r="136" spans="1:10" ht="21.2" customHeight="1">
      <c r="A136" s="8" t="s">
        <v>600</v>
      </c>
      <c r="B136" s="61" t="str">
        <f>VLOOKUP(A136,'The List'!B1:D730,3,FALSE)</f>
        <v>C,LW</v>
      </c>
      <c r="C136" s="62">
        <f>IF(Settings!$E$15="POINTS",RANK(E136,E3:E227),H136)</f>
        <v>135</v>
      </c>
      <c r="D136" s="34" t="str">
        <f>VLOOKUP(A136,'The List'!B1:F730,5,FALSE)</f>
        <v>SJS</v>
      </c>
      <c r="E136" s="38">
        <f>VLOOKUP(A136,'The List'!B1:I730,8,FALSE)</f>
        <v>-1.201911584933578</v>
      </c>
      <c r="F136" s="38">
        <f>IF(Settings!$E$15="POINTS",E136-VLOOKUP(B$2,C1:E227,3,FALSE),J136)</f>
        <v>-7.8565806290579792</v>
      </c>
      <c r="G136" s="38"/>
      <c r="H136" s="138">
        <f>RANK(I136,I3:I227)</f>
        <v>135</v>
      </c>
      <c r="I136" s="139">
        <f>VLOOKUP(A136,'Standard Deviations'!A1:C731,3,FALSE)</f>
        <v>-1.201911584933578</v>
      </c>
      <c r="J136" s="139">
        <f>I136-VLOOKUP(B$2,H1:J227,2,FALSE)</f>
        <v>-7.8565806290579792</v>
      </c>
    </row>
    <row r="137" spans="1:10" ht="21.2" customHeight="1">
      <c r="A137" s="8" t="s">
        <v>571</v>
      </c>
      <c r="B137" s="61" t="str">
        <f>VLOOKUP(A137,'The List'!B1:D730,3,FALSE)</f>
        <v>LW,RW</v>
      </c>
      <c r="C137" s="62">
        <f>IF(Settings!$E$15="POINTS",RANK(E137,E3:E227),H137)</f>
        <v>128</v>
      </c>
      <c r="D137" s="34" t="str">
        <f>VLOOKUP(A137,'The List'!B1:F730,5,FALSE)</f>
        <v>CAR</v>
      </c>
      <c r="E137" s="38">
        <f>VLOOKUP(A137,'The List'!B1:I730,8,FALSE)</f>
        <v>-0.72913718363124858</v>
      </c>
      <c r="F137" s="38">
        <f>IF(Settings!$E$15="POINTS",E137-VLOOKUP(B$2,C1:E227,3,FALSE),J137)</f>
        <v>-7.3838062277556498</v>
      </c>
      <c r="G137" s="38"/>
      <c r="H137" s="138">
        <f>RANK(I137,I3:I227)</f>
        <v>128</v>
      </c>
      <c r="I137" s="139">
        <f>VLOOKUP(A137,'Standard Deviations'!A1:C731,3,FALSE)</f>
        <v>-0.72913718363124858</v>
      </c>
      <c r="J137" s="139">
        <f>I137-VLOOKUP(B$2,H1:J227,2,FALSE)</f>
        <v>-7.3838062277556498</v>
      </c>
    </row>
    <row r="138" spans="1:10" ht="21.2" customHeight="1">
      <c r="A138" s="8" t="s">
        <v>609</v>
      </c>
      <c r="B138" s="61" t="str">
        <f>VLOOKUP(A138,'The List'!B1:D730,3,FALSE)</f>
        <v>LW</v>
      </c>
      <c r="C138" s="62">
        <f>IF(Settings!$E$15="POINTS",RANK(E138,E3:E227),H138)</f>
        <v>140</v>
      </c>
      <c r="D138" s="34" t="str">
        <f>VLOOKUP(A138,'The List'!B1:F730,5,FALSE)</f>
        <v>VGK</v>
      </c>
      <c r="E138" s="38">
        <f>VLOOKUP(A138,'The List'!B1:I730,8,FALSE)</f>
        <v>-1.4369251909626923</v>
      </c>
      <c r="F138" s="38">
        <f>IF(Settings!$E$15="POINTS",E138-VLOOKUP(B$2,C1:E227,3,FALSE),J138)</f>
        <v>-8.0915942350870935</v>
      </c>
      <c r="G138" s="38"/>
      <c r="H138" s="138">
        <f>RANK(I138,I3:I227)</f>
        <v>140</v>
      </c>
      <c r="I138" s="139">
        <f>VLOOKUP(A138,'Standard Deviations'!A1:C731,3,FALSE)</f>
        <v>-1.4369251909626923</v>
      </c>
      <c r="J138" s="139">
        <f>I138-VLOOKUP(B$2,H1:J227,2,FALSE)</f>
        <v>-8.0915942350870935</v>
      </c>
    </row>
    <row r="139" spans="1:10" ht="21.2" customHeight="1">
      <c r="A139" s="8" t="s">
        <v>611</v>
      </c>
      <c r="B139" s="61" t="str">
        <f>VLOOKUP(A139,'The List'!B1:D730,3,FALSE)</f>
        <v>LW</v>
      </c>
      <c r="C139" s="62">
        <f>IF(Settings!$E$15="POINTS",RANK(E139,E3:E227),H139)</f>
        <v>127</v>
      </c>
      <c r="D139" s="34" t="str">
        <f>VLOOKUP(A139,'The List'!B1:F730,5,FALSE)</f>
        <v>VGK</v>
      </c>
      <c r="E139" s="38">
        <f>VLOOKUP(A139,'The List'!B1:I730,8,FALSE)</f>
        <v>-0.64180324027126878</v>
      </c>
      <c r="F139" s="38">
        <f>IF(Settings!$E$15="POINTS",E139-VLOOKUP(B$2,C1:E227,3,FALSE),J139)</f>
        <v>-7.2964722843956702</v>
      </c>
      <c r="G139" s="38"/>
      <c r="H139" s="138">
        <f>RANK(I139,I3:I227)</f>
        <v>127</v>
      </c>
      <c r="I139" s="139">
        <f>VLOOKUP(A139,'Standard Deviations'!A1:C731,3,FALSE)</f>
        <v>-0.64180324027126878</v>
      </c>
      <c r="J139" s="139">
        <f>I139-VLOOKUP(B$2,H1:J227,2,FALSE)</f>
        <v>-7.2964722843956702</v>
      </c>
    </row>
    <row r="140" spans="1:10" ht="21.2" customHeight="1">
      <c r="A140" s="8" t="s">
        <v>613</v>
      </c>
      <c r="B140" s="61" t="str">
        <f>VLOOKUP(A140,'The List'!B1:D730,3,FALSE)</f>
        <v>C,LW</v>
      </c>
      <c r="C140" s="62">
        <f>IF(Settings!$E$15="POINTS",RANK(E140,E3:E227),H140)</f>
        <v>160</v>
      </c>
      <c r="D140" s="34" t="str">
        <f>VLOOKUP(A140,'The List'!B1:F730,5,FALSE)</f>
        <v>UFA</v>
      </c>
      <c r="E140" s="38">
        <f>VLOOKUP(A140,'The List'!B1:I730,8,FALSE)</f>
        <v>-2.2835101723447369</v>
      </c>
      <c r="F140" s="38">
        <f>IF(Settings!$E$15="POINTS",E140-VLOOKUP(B$2,C1:E227,3,FALSE),J140)</f>
        <v>-8.9381792164691376</v>
      </c>
      <c r="G140" s="38"/>
      <c r="H140" s="138">
        <f>RANK(I140,I3:I227)</f>
        <v>160</v>
      </c>
      <c r="I140" s="139">
        <f>VLOOKUP(A140,'Standard Deviations'!A1:C731,3,FALSE)</f>
        <v>-2.2835101723447369</v>
      </c>
      <c r="J140" s="139">
        <f>I140-VLOOKUP(B$2,H1:J227,2,FALSE)</f>
        <v>-8.9381792164691376</v>
      </c>
    </row>
    <row r="141" spans="1:10" ht="21.2" customHeight="1">
      <c r="A141" s="8" t="s">
        <v>576</v>
      </c>
      <c r="B141" s="61" t="str">
        <f>VLOOKUP(A141,'The List'!B1:D730,3,FALSE)</f>
        <v>LW,RW</v>
      </c>
      <c r="C141" s="62">
        <f>IF(Settings!$E$15="POINTS",RANK(E141,E3:E227),H141)</f>
        <v>150</v>
      </c>
      <c r="D141" s="34" t="str">
        <f>VLOOKUP(A141,'The List'!B1:F730,5,FALSE)</f>
        <v>EDM</v>
      </c>
      <c r="E141" s="38">
        <f>VLOOKUP(A141,'The List'!B1:I730,8,FALSE)</f>
        <v>-1.9310335203984619</v>
      </c>
      <c r="F141" s="38">
        <f>IF(Settings!$E$15="POINTS",E141-VLOOKUP(B$2,C1:E227,3,FALSE),J141)</f>
        <v>-8.5857025645228635</v>
      </c>
      <c r="G141" s="38"/>
      <c r="H141" s="138">
        <f>RANK(I141,I3:I227)</f>
        <v>150</v>
      </c>
      <c r="I141" s="139">
        <f>VLOOKUP(A141,'Standard Deviations'!A1:C731,3,FALSE)</f>
        <v>-1.9310335203984619</v>
      </c>
      <c r="J141" s="139">
        <f>I141-VLOOKUP(B$2,H1:J227,2,FALSE)</f>
        <v>-8.5857025645228635</v>
      </c>
    </row>
    <row r="142" spans="1:10" ht="21.2" customHeight="1">
      <c r="A142" s="8" t="s">
        <v>577</v>
      </c>
      <c r="B142" s="61" t="str">
        <f>VLOOKUP(A142,'The List'!B1:D730,3,FALSE)</f>
        <v>LW,RW</v>
      </c>
      <c r="C142" s="62">
        <f>IF(Settings!$E$15="POINTS",RANK(E142,E3:E227),H142)</f>
        <v>142</v>
      </c>
      <c r="D142" s="34" t="str">
        <f>VLOOKUP(A142,'The List'!B1:F730,5,FALSE)</f>
        <v>DET</v>
      </c>
      <c r="E142" s="38">
        <f>VLOOKUP(A142,'The List'!B1:I730,8,FALSE)</f>
        <v>-1.4735546884016946</v>
      </c>
      <c r="F142" s="38">
        <f>IF(Settings!$E$15="POINTS",E142-VLOOKUP(B$2,C1:E227,3,FALSE),J142)</f>
        <v>-8.1282237325260951</v>
      </c>
      <c r="G142" s="38"/>
      <c r="H142" s="138">
        <f>RANK(I142,I3:I227)</f>
        <v>142</v>
      </c>
      <c r="I142" s="139">
        <f>VLOOKUP(A142,'Standard Deviations'!A1:C731,3,FALSE)</f>
        <v>-1.4735546884016946</v>
      </c>
      <c r="J142" s="139">
        <f>I142-VLOOKUP(B$2,H1:J227,2,FALSE)</f>
        <v>-8.1282237325260951</v>
      </c>
    </row>
    <row r="143" spans="1:10" ht="21.2" customHeight="1">
      <c r="A143" s="8" t="s">
        <v>616</v>
      </c>
      <c r="B143" s="61" t="str">
        <f>VLOOKUP(A143,'The List'!B1:D730,3,FALSE)</f>
        <v>LW</v>
      </c>
      <c r="C143" s="62">
        <f>IF(Settings!$E$15="POINTS",RANK(E143,E3:E227),H143)</f>
        <v>151</v>
      </c>
      <c r="D143" s="34" t="str">
        <f>VLOOKUP(A143,'The List'!B1:F730,5,FALSE)</f>
        <v>CAR</v>
      </c>
      <c r="E143" s="38">
        <f>VLOOKUP(A143,'The List'!B1:I730,8,FALSE)</f>
        <v>-1.940396444016566</v>
      </c>
      <c r="F143" s="38">
        <f>IF(Settings!$E$15="POINTS",E143-VLOOKUP(B$2,C1:E227,3,FALSE),J143)</f>
        <v>-8.5950654881409676</v>
      </c>
      <c r="G143" s="38"/>
      <c r="H143" s="138">
        <f>RANK(I143,I3:I227)</f>
        <v>151</v>
      </c>
      <c r="I143" s="139">
        <f>VLOOKUP(A143,'Standard Deviations'!A1:C731,3,FALSE)</f>
        <v>-1.940396444016566</v>
      </c>
      <c r="J143" s="139">
        <f>I143-VLOOKUP(B$2,H1:J227,2,FALSE)</f>
        <v>-8.5950654881409676</v>
      </c>
    </row>
    <row r="144" spans="1:10" ht="21.2" customHeight="1">
      <c r="A144" s="8" t="s">
        <v>618</v>
      </c>
      <c r="B144" s="61" t="str">
        <f>VLOOKUP(A144,'The List'!B1:D730,3,FALSE)</f>
        <v>C,LW</v>
      </c>
      <c r="C144" s="62">
        <f>IF(Settings!$E$15="POINTS",RANK(E144,E3:E227),H144)</f>
        <v>149</v>
      </c>
      <c r="D144" s="34" t="str">
        <f>VLOOKUP(A144,'The List'!B1:F730,5,FALSE)</f>
        <v>BOS</v>
      </c>
      <c r="E144" s="38">
        <f>VLOOKUP(A144,'The List'!B1:I730,8,FALSE)</f>
        <v>-1.8671699710662846</v>
      </c>
      <c r="F144" s="38">
        <f>IF(Settings!$E$15="POINTS",E144-VLOOKUP(B$2,C1:E227,3,FALSE),J144)</f>
        <v>-8.521839015190686</v>
      </c>
      <c r="G144" s="38"/>
      <c r="H144" s="138">
        <f>RANK(I144,I3:I227)</f>
        <v>149</v>
      </c>
      <c r="I144" s="139">
        <f>VLOOKUP(A144,'Standard Deviations'!A1:C731,3,FALSE)</f>
        <v>-1.8671699710662846</v>
      </c>
      <c r="J144" s="139">
        <f>I144-VLOOKUP(B$2,H1:J227,2,FALSE)</f>
        <v>-8.521839015190686</v>
      </c>
    </row>
    <row r="145" spans="1:10" ht="21.2" customHeight="1">
      <c r="A145" s="8" t="s">
        <v>582</v>
      </c>
      <c r="B145" s="61" t="str">
        <f>VLOOKUP(A145,'The List'!B1:D730,3,FALSE)</f>
        <v>LW,RW</v>
      </c>
      <c r="C145" s="62">
        <f>IF(Settings!$E$15="POINTS",RANK(E145,E3:E227),H145)</f>
        <v>156</v>
      </c>
      <c r="D145" s="34" t="str">
        <f>VLOOKUP(A145,'The List'!B1:F730,5,FALSE)</f>
        <v>NSH</v>
      </c>
      <c r="E145" s="38">
        <f>VLOOKUP(A145,'The List'!B1:I730,8,FALSE)</f>
        <v>-2.1995232175388129</v>
      </c>
      <c r="F145" s="38">
        <f>IF(Settings!$E$15="POINTS",E145-VLOOKUP(B$2,C1:E227,3,FALSE),J145)</f>
        <v>-8.8541922616632149</v>
      </c>
      <c r="G145" s="38"/>
      <c r="H145" s="138">
        <f>RANK(I145,I3:I227)</f>
        <v>156</v>
      </c>
      <c r="I145" s="139">
        <f>VLOOKUP(A145,'Standard Deviations'!A1:C731,3,FALSE)</f>
        <v>-2.1995232175388129</v>
      </c>
      <c r="J145" s="139">
        <f>I145-VLOOKUP(B$2,H1:J227,2,FALSE)</f>
        <v>-8.8541922616632149</v>
      </c>
    </row>
    <row r="146" spans="1:10" ht="21.2" customHeight="1">
      <c r="A146" s="8" t="s">
        <v>626</v>
      </c>
      <c r="B146" s="61" t="str">
        <f>VLOOKUP(A146,'The List'!B1:D730,3,FALSE)</f>
        <v>LW</v>
      </c>
      <c r="C146" s="62">
        <f>IF(Settings!$E$15="POINTS",RANK(E146,E3:E227),H146)</f>
        <v>144</v>
      </c>
      <c r="D146" s="34" t="str">
        <f>VLOOKUP(A146,'The List'!B1:F730,5,FALSE)</f>
        <v>COL</v>
      </c>
      <c r="E146" s="38">
        <f>VLOOKUP(A146,'The List'!B1:I730,8,FALSE)</f>
        <v>-1.4980451184014609</v>
      </c>
      <c r="F146" s="38">
        <f>IF(Settings!$E$15="POINTS",E146-VLOOKUP(B$2,C1:E227,3,FALSE),J146)</f>
        <v>-8.1527141625258626</v>
      </c>
      <c r="G146" s="38"/>
      <c r="H146" s="138">
        <f>RANK(I146,I3:I227)</f>
        <v>144</v>
      </c>
      <c r="I146" s="139">
        <f>VLOOKUP(A146,'Standard Deviations'!A1:C731,3,FALSE)</f>
        <v>-1.4980451184014609</v>
      </c>
      <c r="J146" s="139">
        <f>I146-VLOOKUP(B$2,H1:J227,2,FALSE)</f>
        <v>-8.1527141625258626</v>
      </c>
    </row>
    <row r="147" spans="1:10" ht="21.2" customHeight="1">
      <c r="A147" s="8" t="s">
        <v>638</v>
      </c>
      <c r="B147" s="61" t="str">
        <f>VLOOKUP(A147,'The List'!B1:D730,3,FALSE)</f>
        <v>C,LW</v>
      </c>
      <c r="C147" s="62">
        <f>IF(Settings!$E$15="POINTS",RANK(E147,E3:E227),H147)</f>
        <v>138</v>
      </c>
      <c r="D147" s="34" t="str">
        <f>VLOOKUP(A147,'The List'!B1:F730,5,FALSE)</f>
        <v>TBL</v>
      </c>
      <c r="E147" s="38">
        <f>VLOOKUP(A147,'The List'!B1:I730,8,FALSE)</f>
        <v>-1.3645858472567038</v>
      </c>
      <c r="F147" s="38">
        <f>IF(Settings!$E$15="POINTS",E147-VLOOKUP(B$2,C1:E227,3,FALSE),J147)</f>
        <v>-8.0192548913811059</v>
      </c>
      <c r="G147" s="38"/>
      <c r="H147" s="138">
        <f>RANK(I147,I3:I227)</f>
        <v>138</v>
      </c>
      <c r="I147" s="139">
        <f>VLOOKUP(A147,'Standard Deviations'!A1:C731,3,FALSE)</f>
        <v>-1.3645858472567038</v>
      </c>
      <c r="J147" s="139">
        <f>I147-VLOOKUP(B$2,H1:J227,2,FALSE)</f>
        <v>-8.0192548913811059</v>
      </c>
    </row>
    <row r="148" spans="1:10" ht="21.2" customHeight="1">
      <c r="A148" s="8" t="s">
        <v>641</v>
      </c>
      <c r="B148" s="61" t="str">
        <f>VLOOKUP(A148,'The List'!B1:D730,3,FALSE)</f>
        <v>C,LW</v>
      </c>
      <c r="C148" s="62">
        <f>IF(Settings!$E$15="POINTS",RANK(E148,E3:E227),H148)</f>
        <v>136</v>
      </c>
      <c r="D148" s="34" t="str">
        <f>VLOOKUP(A148,'The List'!B1:F730,5,FALSE)</f>
        <v>COL</v>
      </c>
      <c r="E148" s="38">
        <f>VLOOKUP(A148,'The List'!B1:I730,8,FALSE)</f>
        <v>-1.2577877193035096</v>
      </c>
      <c r="F148" s="38">
        <f>IF(Settings!$E$15="POINTS",E148-VLOOKUP(B$2,C1:E227,3,FALSE),J148)</f>
        <v>-7.9124567634279108</v>
      </c>
      <c r="G148" s="38"/>
      <c r="H148" s="138">
        <f>RANK(I148,I3:I227)</f>
        <v>136</v>
      </c>
      <c r="I148" s="139">
        <f>VLOOKUP(A148,'Standard Deviations'!A1:C731,3,FALSE)</f>
        <v>-1.2577877193035096</v>
      </c>
      <c r="J148" s="139">
        <f>I148-VLOOKUP(B$2,H1:J227,2,FALSE)</f>
        <v>-7.9124567634279108</v>
      </c>
    </row>
    <row r="149" spans="1:10" ht="21.2" customHeight="1">
      <c r="A149" s="8" t="s">
        <v>652</v>
      </c>
      <c r="B149" s="61" t="str">
        <f>VLOOKUP(A149,'The List'!B1:D730,3,FALSE)</f>
        <v>C,LW</v>
      </c>
      <c r="C149" s="62">
        <f>IF(Settings!$E$15="POINTS",RANK(E149,E3:E227),H149)</f>
        <v>131</v>
      </c>
      <c r="D149" s="34" t="str">
        <f>VLOOKUP(A149,'The List'!B1:F730,5,FALSE)</f>
        <v>DET</v>
      </c>
      <c r="E149" s="38">
        <f>VLOOKUP(A149,'The List'!B1:I730,8,FALSE)</f>
        <v>-0.8442573942073166</v>
      </c>
      <c r="F149" s="38">
        <f>IF(Settings!$E$15="POINTS",E149-VLOOKUP(B$2,C1:E227,3,FALSE),J149)</f>
        <v>-7.4989264383317176</v>
      </c>
      <c r="G149" s="38"/>
      <c r="H149" s="138">
        <f>RANK(I149,I3:I227)</f>
        <v>131</v>
      </c>
      <c r="I149" s="139">
        <f>VLOOKUP(A149,'Standard Deviations'!A1:C731,3,FALSE)</f>
        <v>-0.8442573942073166</v>
      </c>
      <c r="J149" s="139">
        <f>I149-VLOOKUP(B$2,H1:J227,2,FALSE)</f>
        <v>-7.4989264383317176</v>
      </c>
    </row>
    <row r="150" spans="1:10" ht="21.2" customHeight="1">
      <c r="A150" s="8" t="s">
        <v>610</v>
      </c>
      <c r="B150" s="61" t="str">
        <f>VLOOKUP(A150,'The List'!B1:D730,3,FALSE)</f>
        <v>LW,RW</v>
      </c>
      <c r="C150" s="62">
        <f>IF(Settings!$E$15="POINTS",RANK(E150,E3:E227),H150)</f>
        <v>152</v>
      </c>
      <c r="D150" s="34" t="str">
        <f>VLOOKUP(A150,'The List'!B1:F730,5,FALSE)</f>
        <v>SEA</v>
      </c>
      <c r="E150" s="38">
        <f>VLOOKUP(A150,'The List'!B1:I730,8,FALSE)</f>
        <v>-2.1226206101540477</v>
      </c>
      <c r="F150" s="38">
        <f>IF(Settings!$E$15="POINTS",E150-VLOOKUP(B$2,C1:E227,3,FALSE),J150)</f>
        <v>-8.777289654278448</v>
      </c>
      <c r="G150" s="38"/>
      <c r="H150" s="138">
        <f>RANK(I150,I3:I227)</f>
        <v>152</v>
      </c>
      <c r="I150" s="139">
        <f>VLOOKUP(A150,'Standard Deviations'!A1:C731,3,FALSE)</f>
        <v>-2.1226206101540477</v>
      </c>
      <c r="J150" s="139">
        <f>I150-VLOOKUP(B$2,H1:J227,2,FALSE)</f>
        <v>-8.777289654278448</v>
      </c>
    </row>
    <row r="151" spans="1:10" ht="21.2" customHeight="1">
      <c r="A151" s="8" t="s">
        <v>617</v>
      </c>
      <c r="B151" s="61" t="str">
        <f>VLOOKUP(A151,'The List'!B1:D730,3,FALSE)</f>
        <v>LW,RW</v>
      </c>
      <c r="C151" s="62">
        <f>IF(Settings!$E$15="POINTS",RANK(E151,E3:E227),H151)</f>
        <v>159</v>
      </c>
      <c r="D151" s="34" t="str">
        <f>VLOOKUP(A151,'The List'!B1:F730,5,FALSE)</f>
        <v>UFA</v>
      </c>
      <c r="E151" s="38">
        <f>VLOOKUP(A151,'The List'!B1:I730,8,FALSE)</f>
        <v>-2.2770667206810709</v>
      </c>
      <c r="F151" s="38">
        <f>IF(Settings!$E$15="POINTS",E151-VLOOKUP(B$2,C1:E227,3,FALSE),J151)</f>
        <v>-8.931735764805472</v>
      </c>
      <c r="G151" s="38"/>
      <c r="H151" s="138">
        <f>RANK(I151,I3:I227)</f>
        <v>159</v>
      </c>
      <c r="I151" s="139">
        <f>VLOOKUP(A151,'Standard Deviations'!A1:C731,3,FALSE)</f>
        <v>-2.2770667206810709</v>
      </c>
      <c r="J151" s="139">
        <f>I151-VLOOKUP(B$2,H1:J227,2,FALSE)</f>
        <v>-8.931735764805472</v>
      </c>
    </row>
    <row r="152" spans="1:10" ht="21.2" customHeight="1">
      <c r="A152" s="8" t="s">
        <v>621</v>
      </c>
      <c r="B152" s="61" t="str">
        <f>VLOOKUP(A152,'The List'!B1:D730,3,FALSE)</f>
        <v>LW,RW</v>
      </c>
      <c r="C152" s="62">
        <f>IF(Settings!$E$15="POINTS",RANK(E152,E3:E227),H152)</f>
        <v>157</v>
      </c>
      <c r="D152" s="34" t="str">
        <f>VLOOKUP(A152,'The List'!B1:F730,5,FALSE)</f>
        <v>MIN</v>
      </c>
      <c r="E152" s="38">
        <f>VLOOKUP(A152,'The List'!B1:I730,8,FALSE)</f>
        <v>-2.2671667941877676</v>
      </c>
      <c r="F152" s="38">
        <f>IF(Settings!$E$15="POINTS",E152-VLOOKUP(B$2,C1:E227,3,FALSE),J152)</f>
        <v>-8.9218358383121696</v>
      </c>
      <c r="G152" s="38"/>
      <c r="H152" s="138">
        <f>RANK(I152,I3:I227)</f>
        <v>157</v>
      </c>
      <c r="I152" s="139">
        <f>VLOOKUP(A152,'Standard Deviations'!A1:C731,3,FALSE)</f>
        <v>-2.2671667941877676</v>
      </c>
      <c r="J152" s="139">
        <f>I152-VLOOKUP(B$2,H1:J227,2,FALSE)</f>
        <v>-8.9218358383121696</v>
      </c>
    </row>
    <row r="153" spans="1:10" ht="21.2" customHeight="1">
      <c r="A153" s="8" t="s">
        <v>622</v>
      </c>
      <c r="B153" s="61" t="str">
        <f>VLOOKUP(A153,'The List'!B1:D730,3,FALSE)</f>
        <v>LW,RW</v>
      </c>
      <c r="C153" s="62">
        <f>IF(Settings!$E$15="POINTS",RANK(E153,E3:E227),H153)</f>
        <v>154</v>
      </c>
      <c r="D153" s="34" t="str">
        <f>VLOOKUP(A153,'The List'!B1:F730,5,FALSE)</f>
        <v>WPG</v>
      </c>
      <c r="E153" s="38">
        <f>VLOOKUP(A153,'The List'!B1:I730,8,FALSE)</f>
        <v>-2.1614293472855093</v>
      </c>
      <c r="F153" s="38">
        <f>IF(Settings!$E$15="POINTS",E153-VLOOKUP(B$2,C1:E227,3,FALSE),J153)</f>
        <v>-8.8160983914099109</v>
      </c>
      <c r="G153" s="38"/>
      <c r="H153" s="138">
        <f>RANK(I153,I3:I227)</f>
        <v>154</v>
      </c>
      <c r="I153" s="139">
        <f>VLOOKUP(A153,'Standard Deviations'!A1:C731,3,FALSE)</f>
        <v>-2.1614293472855093</v>
      </c>
      <c r="J153" s="139">
        <f>I153-VLOOKUP(B$2,H1:J227,2,FALSE)</f>
        <v>-8.8160983914099109</v>
      </c>
    </row>
    <row r="154" spans="1:10" ht="21.2" customHeight="1">
      <c r="A154" s="8" t="s">
        <v>662</v>
      </c>
      <c r="B154" s="61" t="str">
        <f>VLOOKUP(A154,'The List'!B1:D730,3,FALSE)</f>
        <v>LW</v>
      </c>
      <c r="C154" s="62">
        <f>IF(Settings!$E$15="POINTS",RANK(E154,E3:E227),H154)</f>
        <v>137</v>
      </c>
      <c r="D154" s="34" t="str">
        <f>VLOOKUP(A154,'The List'!B1:F730,5,FALSE)</f>
        <v>MTL</v>
      </c>
      <c r="E154" s="38">
        <f>VLOOKUP(A154,'The List'!B1:I730,8,FALSE)</f>
        <v>-1.2750703012879434</v>
      </c>
      <c r="F154" s="38">
        <f>IF(Settings!$E$15="POINTS",E154-VLOOKUP(B$2,C1:E227,3,FALSE),J154)</f>
        <v>-7.9297393454123446</v>
      </c>
      <c r="G154" s="38"/>
      <c r="H154" s="138">
        <f>RANK(I154,I3:I227)</f>
        <v>137</v>
      </c>
      <c r="I154" s="139">
        <f>VLOOKUP(A154,'Standard Deviations'!A1:C731,3,FALSE)</f>
        <v>-1.2750703012879434</v>
      </c>
      <c r="J154" s="139">
        <f>I154-VLOOKUP(B$2,H1:J227,2,FALSE)</f>
        <v>-7.9297393454123446</v>
      </c>
    </row>
    <row r="155" spans="1:10" ht="21.2" customHeight="1">
      <c r="A155" s="8" t="s">
        <v>623</v>
      </c>
      <c r="B155" s="61" t="str">
        <f>VLOOKUP(A155,'The List'!B1:D730,3,FALSE)</f>
        <v>LW,RW</v>
      </c>
      <c r="C155" s="62">
        <f>IF(Settings!$E$15="POINTS",RANK(E155,E3:E227),H155)</f>
        <v>147</v>
      </c>
      <c r="D155" s="34" t="str">
        <f>VLOOKUP(A155,'The List'!B1:F730,5,FALSE)</f>
        <v>CBJ</v>
      </c>
      <c r="E155" s="38">
        <f>VLOOKUP(A155,'The List'!B1:I730,8,FALSE)</f>
        <v>-1.7979630022150137</v>
      </c>
      <c r="F155" s="38">
        <f>IF(Settings!$E$15="POINTS",E155-VLOOKUP(B$2,C1:E227,3,FALSE),J155)</f>
        <v>-8.4526320463394153</v>
      </c>
      <c r="G155" s="38"/>
      <c r="H155" s="138">
        <f>RANK(I155,I3:I227)</f>
        <v>147</v>
      </c>
      <c r="I155" s="139">
        <f>VLOOKUP(A155,'Standard Deviations'!A1:C731,3,FALSE)</f>
        <v>-1.7979630022150137</v>
      </c>
      <c r="J155" s="139">
        <f>I155-VLOOKUP(B$2,H1:J227,2,FALSE)</f>
        <v>-8.4526320463394153</v>
      </c>
    </row>
    <row r="156" spans="1:10" ht="21.2" customHeight="1">
      <c r="A156" s="8" t="s">
        <v>665</v>
      </c>
      <c r="B156" s="61" t="str">
        <f>VLOOKUP(A156,'The List'!B1:D730,3,FALSE)</f>
        <v>LW</v>
      </c>
      <c r="C156" s="62">
        <f>IF(Settings!$E$15="POINTS",RANK(E156,E3:E227),H156)</f>
        <v>153</v>
      </c>
      <c r="D156" s="34" t="str">
        <f>VLOOKUP(A156,'The List'!B1:F730,5,FALSE)</f>
        <v>WSH</v>
      </c>
      <c r="E156" s="38">
        <f>VLOOKUP(A156,'The List'!B1:I730,8,FALSE)</f>
        <v>-2.1352747828133083</v>
      </c>
      <c r="F156" s="38">
        <f>IF(Settings!$E$15="POINTS",E156-VLOOKUP(B$2,C1:E227,3,FALSE),J156)</f>
        <v>-8.7899438269377086</v>
      </c>
      <c r="G156" s="38"/>
      <c r="H156" s="138">
        <f>RANK(I156,I3:I227)</f>
        <v>153</v>
      </c>
      <c r="I156" s="139">
        <f>VLOOKUP(A156,'Standard Deviations'!A1:C731,3,FALSE)</f>
        <v>-2.1352747828133083</v>
      </c>
      <c r="J156" s="139">
        <f>I156-VLOOKUP(B$2,H1:J227,2,FALSE)</f>
        <v>-8.7899438269377086</v>
      </c>
    </row>
    <row r="157" spans="1:10" ht="21.2" customHeight="1">
      <c r="A157" s="8" t="s">
        <v>666</v>
      </c>
      <c r="B157" s="61" t="str">
        <f>VLOOKUP(A157,'The List'!B1:D730,3,FALSE)</f>
        <v>LW</v>
      </c>
      <c r="C157" s="62">
        <f>IF(Settings!$E$15="POINTS",RANK(E157,E3:E227),H157)</f>
        <v>172</v>
      </c>
      <c r="D157" s="34" t="str">
        <f>VLOOKUP(A157,'The List'!B1:F730,5,FALSE)</f>
        <v>CBJ</v>
      </c>
      <c r="E157" s="38">
        <f>VLOOKUP(A157,'The List'!B1:I730,8,FALSE)</f>
        <v>-2.7666407063710796</v>
      </c>
      <c r="F157" s="38">
        <f>IF(Settings!$E$15="POINTS",E157-VLOOKUP(B$2,C1:E227,3,FALSE),J157)</f>
        <v>-9.4213097504954817</v>
      </c>
      <c r="G157" s="38"/>
      <c r="H157" s="138">
        <f>RANK(I157,I3:I227)</f>
        <v>172</v>
      </c>
      <c r="I157" s="139">
        <f>VLOOKUP(A157,'Standard Deviations'!A1:C731,3,FALSE)</f>
        <v>-2.7666407063710796</v>
      </c>
      <c r="J157" s="139">
        <f>I157-VLOOKUP(B$2,H1:J227,2,FALSE)</f>
        <v>-9.4213097504954817</v>
      </c>
    </row>
    <row r="158" spans="1:10" ht="21.2" customHeight="1">
      <c r="A158" s="8" t="s">
        <v>632</v>
      </c>
      <c r="B158" s="61" t="str">
        <f>VLOOKUP(A158,'The List'!B1:D730,3,FALSE)</f>
        <v>C,LW,RW</v>
      </c>
      <c r="C158" s="62">
        <f>IF(Settings!$E$15="POINTS",RANK(E158,E3:E227),H158)</f>
        <v>158</v>
      </c>
      <c r="D158" s="34" t="str">
        <f>VLOOKUP(A158,'The List'!B1:F730,5,FALSE)</f>
        <v>UFA</v>
      </c>
      <c r="E158" s="38">
        <f>VLOOKUP(A158,'The List'!B1:I730,8,FALSE)</f>
        <v>-2.2738576876169145</v>
      </c>
      <c r="F158" s="38">
        <f>IF(Settings!$E$15="POINTS",E158-VLOOKUP(B$2,C1:E227,3,FALSE),J158)</f>
        <v>-8.9285267317413162</v>
      </c>
      <c r="G158" s="38"/>
      <c r="H158" s="138">
        <f>RANK(I158,I3:I227)</f>
        <v>158</v>
      </c>
      <c r="I158" s="139">
        <f>VLOOKUP(A158,'Standard Deviations'!A1:C731,3,FALSE)</f>
        <v>-2.2738576876169145</v>
      </c>
      <c r="J158" s="139">
        <f>I158-VLOOKUP(B$2,H1:J227,2,FALSE)</f>
        <v>-8.9285267317413162</v>
      </c>
    </row>
    <row r="159" spans="1:10" ht="21.2" customHeight="1">
      <c r="A159" s="8" t="s">
        <v>675</v>
      </c>
      <c r="B159" s="61" t="str">
        <f>VLOOKUP(A159,'The List'!B1:D730,3,FALSE)</f>
        <v>LW</v>
      </c>
      <c r="C159" s="62">
        <f>IF(Settings!$E$15="POINTS",RANK(E159,E3:E227),H159)</f>
        <v>165</v>
      </c>
      <c r="D159" s="34" t="str">
        <f>VLOOKUP(A159,'The List'!B1:F730,5,FALSE)</f>
        <v>UFA</v>
      </c>
      <c r="E159" s="38">
        <f>VLOOKUP(A159,'The List'!B1:I730,8,FALSE)</f>
        <v>-2.5634290665106083</v>
      </c>
      <c r="F159" s="38">
        <f>IF(Settings!$E$15="POINTS",E159-VLOOKUP(B$2,C1:E227,3,FALSE),J159)</f>
        <v>-9.2180981106350099</v>
      </c>
      <c r="G159" s="38"/>
      <c r="H159" s="138">
        <f>RANK(I159,I3:I227)</f>
        <v>165</v>
      </c>
      <c r="I159" s="139">
        <f>VLOOKUP(A159,'Standard Deviations'!A1:C731,3,FALSE)</f>
        <v>-2.5634290665106083</v>
      </c>
      <c r="J159" s="139">
        <f>I159-VLOOKUP(B$2,H1:J227,2,FALSE)</f>
        <v>-9.2180981106350099</v>
      </c>
    </row>
    <row r="160" spans="1:10" ht="21.2" customHeight="1">
      <c r="A160" s="8" t="s">
        <v>643</v>
      </c>
      <c r="B160" s="61" t="str">
        <f>VLOOKUP(A160,'The List'!B1:D730,3,FALSE)</f>
        <v>LW,RW</v>
      </c>
      <c r="C160" s="62">
        <f>IF(Settings!$E$15="POINTS",RANK(E160,E3:E227),H160)</f>
        <v>176</v>
      </c>
      <c r="D160" s="34" t="str">
        <f>VLOOKUP(A160,'The List'!B1:F730,5,FALSE)</f>
        <v>EDM</v>
      </c>
      <c r="E160" s="38">
        <f>VLOOKUP(A160,'The List'!B1:I730,8,FALSE)</f>
        <v>-2.885786457550918</v>
      </c>
      <c r="F160" s="38">
        <f>IF(Settings!$E$15="POINTS",E160-VLOOKUP(B$2,C1:E227,3,FALSE),J160)</f>
        <v>-9.5404555016753196</v>
      </c>
      <c r="G160" s="38"/>
      <c r="H160" s="138">
        <f>RANK(I160,I3:I227)</f>
        <v>176</v>
      </c>
      <c r="I160" s="139">
        <f>VLOOKUP(A160,'Standard Deviations'!A1:C731,3,FALSE)</f>
        <v>-2.885786457550918</v>
      </c>
      <c r="J160" s="139">
        <f>I160-VLOOKUP(B$2,H1:J227,2,FALSE)</f>
        <v>-9.5404555016753196</v>
      </c>
    </row>
    <row r="161" spans="1:10" ht="21.2" customHeight="1">
      <c r="A161" s="8" t="s">
        <v>678</v>
      </c>
      <c r="B161" s="61" t="str">
        <f>VLOOKUP(A161,'The List'!B1:D730,3,FALSE)</f>
        <v>LW</v>
      </c>
      <c r="C161" s="62">
        <f>IF(Settings!$E$15="POINTS",RANK(E161,E3:E227),H161)</f>
        <v>133</v>
      </c>
      <c r="D161" s="34" t="str">
        <f>VLOOKUP(A161,'The List'!B1:F730,5,FALSE)</f>
        <v>VAN</v>
      </c>
      <c r="E161" s="38">
        <f>VLOOKUP(A161,'The List'!B1:I730,8,FALSE)</f>
        <v>-1.0544852869670454</v>
      </c>
      <c r="F161" s="38">
        <f>IF(Settings!$E$15="POINTS",E161-VLOOKUP(B$2,C1:E227,3,FALSE),J161)</f>
        <v>-7.7091543310914465</v>
      </c>
      <c r="G161" s="38"/>
      <c r="H161" s="138">
        <f>RANK(I161,I3:I227)</f>
        <v>133</v>
      </c>
      <c r="I161" s="139">
        <f>VLOOKUP(A161,'Standard Deviations'!A1:C731,3,FALSE)</f>
        <v>-1.0544852869670454</v>
      </c>
      <c r="J161" s="139">
        <f>I161-VLOOKUP(B$2,H1:J227,2,FALSE)</f>
        <v>-7.7091543310914465</v>
      </c>
    </row>
    <row r="162" spans="1:10" ht="21.2" customHeight="1">
      <c r="A162" s="8" t="s">
        <v>689</v>
      </c>
      <c r="B162" s="61" t="str">
        <f>VLOOKUP(A162,'The List'!B1:D730,3,FALSE)</f>
        <v>LW</v>
      </c>
      <c r="C162" s="62">
        <f>IF(Settings!$E$15="POINTS",RANK(E162,E3:E227),H162)</f>
        <v>162</v>
      </c>
      <c r="D162" s="34" t="str">
        <f>VLOOKUP(A162,'The List'!B1:F730,5,FALSE)</f>
        <v>CBJ</v>
      </c>
      <c r="E162" s="38">
        <f>VLOOKUP(A162,'The List'!B1:I730,8,FALSE)</f>
        <v>-2.3675446458818015</v>
      </c>
      <c r="F162" s="38">
        <f>IF(Settings!$E$15="POINTS",E162-VLOOKUP(B$2,C1:E227,3,FALSE),J162)</f>
        <v>-9.0222136900062022</v>
      </c>
      <c r="G162" s="38"/>
      <c r="H162" s="138">
        <f>RANK(I162,I3:I227)</f>
        <v>162</v>
      </c>
      <c r="I162" s="139">
        <f>VLOOKUP(A162,'Standard Deviations'!A1:C731,3,FALSE)</f>
        <v>-2.3675446458818015</v>
      </c>
      <c r="J162" s="139">
        <f>I162-VLOOKUP(B$2,H1:J227,2,FALSE)</f>
        <v>-9.0222136900062022</v>
      </c>
    </row>
    <row r="163" spans="1:10" ht="21.2" customHeight="1">
      <c r="A163" s="8" t="s">
        <v>695</v>
      </c>
      <c r="B163" s="61" t="str">
        <f>VLOOKUP(A163,'The List'!B1:D730,3,FALSE)</f>
        <v>C,LW</v>
      </c>
      <c r="C163" s="62">
        <f>IF(Settings!$E$15="POINTS",RANK(E163,E3:E227),H163)</f>
        <v>182</v>
      </c>
      <c r="D163" s="34" t="str">
        <f>VLOOKUP(A163,'The List'!B1:F730,5,FALSE)</f>
        <v>WPG</v>
      </c>
      <c r="E163" s="38">
        <f>VLOOKUP(A163,'The List'!B1:I730,8,FALSE)</f>
        <v>-3.2061896101337308</v>
      </c>
      <c r="F163" s="38">
        <f>IF(Settings!$E$15="POINTS",E163-VLOOKUP(B$2,C1:E227,3,FALSE),J163)</f>
        <v>-9.8608586542581325</v>
      </c>
      <c r="G163" s="38"/>
      <c r="H163" s="138">
        <f>RANK(I163,I3:I227)</f>
        <v>182</v>
      </c>
      <c r="I163" s="139">
        <f>VLOOKUP(A163,'Standard Deviations'!A1:C731,3,FALSE)</f>
        <v>-3.2061896101337308</v>
      </c>
      <c r="J163" s="139">
        <f>I163-VLOOKUP(B$2,H1:J227,2,FALSE)</f>
        <v>-9.8608586542581325</v>
      </c>
    </row>
    <row r="164" spans="1:10" ht="21.2" customHeight="1">
      <c r="A164" s="8" t="s">
        <v>659</v>
      </c>
      <c r="B164" s="61" t="str">
        <f>VLOOKUP(A164,'The List'!B1:D730,3,FALSE)</f>
        <v>C,LW,RW</v>
      </c>
      <c r="C164" s="62">
        <f>IF(Settings!$E$15="POINTS",RANK(E164,E3:E227),H164)</f>
        <v>164</v>
      </c>
      <c r="D164" s="34" t="str">
        <f>VLOOKUP(A164,'The List'!B1:F730,5,FALSE)</f>
        <v>VGK</v>
      </c>
      <c r="E164" s="38">
        <f>VLOOKUP(A164,'The List'!B1:I730,8,FALSE)</f>
        <v>-2.3998666408683369</v>
      </c>
      <c r="F164" s="38">
        <f>IF(Settings!$E$15="POINTS",E164-VLOOKUP(B$2,C1:E227,3,FALSE),J164)</f>
        <v>-9.0545356849927376</v>
      </c>
      <c r="G164" s="38"/>
      <c r="H164" s="138">
        <f>RANK(I164,I3:I227)</f>
        <v>164</v>
      </c>
      <c r="I164" s="139">
        <f>VLOOKUP(A164,'Standard Deviations'!A1:C731,3,FALSE)</f>
        <v>-2.3998666408683369</v>
      </c>
      <c r="J164" s="139">
        <f>I164-VLOOKUP(B$2,H1:J227,2,FALSE)</f>
        <v>-9.0545356849927376</v>
      </c>
    </row>
    <row r="165" spans="1:10" ht="21.2" customHeight="1">
      <c r="A165" s="8" t="s">
        <v>699</v>
      </c>
      <c r="B165" s="61" t="str">
        <f>VLOOKUP(A165,'The List'!B1:D730,3,FALSE)</f>
        <v>C,LW</v>
      </c>
      <c r="C165" s="62">
        <f>IF(Settings!$E$15="POINTS",RANK(E165,E3:E227),H165)</f>
        <v>187</v>
      </c>
      <c r="D165" s="34" t="str">
        <f>VLOOKUP(A165,'The List'!B1:F730,5,FALSE)</f>
        <v>VAN</v>
      </c>
      <c r="E165" s="38">
        <f>VLOOKUP(A165,'The List'!B1:I730,8,FALSE)</f>
        <v>-3.2771970947890514</v>
      </c>
      <c r="F165" s="38">
        <f>IF(Settings!$E$15="POINTS",E165-VLOOKUP(B$2,C1:E227,3,FALSE),J165)</f>
        <v>-9.9318661389134526</v>
      </c>
      <c r="G165" s="38"/>
      <c r="H165" s="138">
        <f>RANK(I165,I3:I227)</f>
        <v>187</v>
      </c>
      <c r="I165" s="139">
        <f>VLOOKUP(A165,'Standard Deviations'!A1:C731,3,FALSE)</f>
        <v>-3.2771970947890514</v>
      </c>
      <c r="J165" s="139">
        <f>I165-VLOOKUP(B$2,H1:J227,2,FALSE)</f>
        <v>-9.9318661389134526</v>
      </c>
    </row>
    <row r="166" spans="1:10" ht="21.2" customHeight="1">
      <c r="A166" s="8" t="s">
        <v>700</v>
      </c>
      <c r="B166" s="61" t="str">
        <f>VLOOKUP(A166,'The List'!B1:D730,3,FALSE)</f>
        <v>C,LW</v>
      </c>
      <c r="C166" s="62">
        <f>IF(Settings!$E$15="POINTS",RANK(E166,E3:E227),H166)</f>
        <v>139</v>
      </c>
      <c r="D166" s="34" t="str">
        <f>VLOOKUP(A166,'The List'!B1:F730,5,FALSE)</f>
        <v>CGY</v>
      </c>
      <c r="E166" s="38">
        <f>VLOOKUP(A166,'The List'!B1:I730,8,FALSE)</f>
        <v>-1.4147091682657735</v>
      </c>
      <c r="F166" s="38">
        <f>IF(Settings!$E$15="POINTS",E166-VLOOKUP(B$2,C1:E227,3,FALSE),J166)</f>
        <v>-8.0693782123901752</v>
      </c>
      <c r="G166" s="38"/>
      <c r="H166" s="138">
        <f>RANK(I166,I3:I227)</f>
        <v>139</v>
      </c>
      <c r="I166" s="139">
        <f>VLOOKUP(A166,'Standard Deviations'!A1:C731,3,FALSE)</f>
        <v>-1.4147091682657735</v>
      </c>
      <c r="J166" s="139">
        <f>I166-VLOOKUP(B$2,H1:J227,2,FALSE)</f>
        <v>-8.0693782123901752</v>
      </c>
    </row>
    <row r="167" spans="1:10" ht="21.2" customHeight="1">
      <c r="A167" s="8" t="s">
        <v>670</v>
      </c>
      <c r="B167" s="61" t="str">
        <f>VLOOKUP(A167,'The List'!B1:D730,3,FALSE)</f>
        <v>LW,RW</v>
      </c>
      <c r="C167" s="62">
        <f>IF(Settings!$E$15="POINTS",RANK(E167,E3:E227),H167)</f>
        <v>178</v>
      </c>
      <c r="D167" s="34" t="str">
        <f>VLOOKUP(A167,'The List'!B1:F730,5,FALSE)</f>
        <v>UFA</v>
      </c>
      <c r="E167" s="38">
        <f>VLOOKUP(A167,'The List'!B1:I730,8,FALSE)</f>
        <v>-3.1225923403291196</v>
      </c>
      <c r="F167" s="38">
        <f>IF(Settings!$E$15="POINTS",E167-VLOOKUP(B$2,C1:E227,3,FALSE),J167)</f>
        <v>-9.7772613844535208</v>
      </c>
      <c r="G167" s="38"/>
      <c r="H167" s="138">
        <f>RANK(I167,I3:I227)</f>
        <v>178</v>
      </c>
      <c r="I167" s="139">
        <f>VLOOKUP(A167,'Standard Deviations'!A1:C731,3,FALSE)</f>
        <v>-3.1225923403291196</v>
      </c>
      <c r="J167" s="139">
        <f>I167-VLOOKUP(B$2,H1:J227,2,FALSE)</f>
        <v>-9.7772613844535208</v>
      </c>
    </row>
    <row r="168" spans="1:10" ht="21.2" customHeight="1">
      <c r="A168" s="8" t="s">
        <v>704</v>
      </c>
      <c r="B168" s="61" t="str">
        <f>VLOOKUP(A168,'The List'!B1:D730,3,FALSE)</f>
        <v>LW</v>
      </c>
      <c r="C168" s="62">
        <f>IF(Settings!$E$15="POINTS",RANK(E168,E3:E227),H168)</f>
        <v>185</v>
      </c>
      <c r="D168" s="34" t="str">
        <f>VLOOKUP(A168,'The List'!B1:F730,5,FALSE)</f>
        <v>BUF</v>
      </c>
      <c r="E168" s="38">
        <f>VLOOKUP(A168,'The List'!B1:I730,8,FALSE)</f>
        <v>-3.2601939343875066</v>
      </c>
      <c r="F168" s="38">
        <f>IF(Settings!$E$15="POINTS",E168-VLOOKUP(B$2,C1:E227,3,FALSE),J168)</f>
        <v>-9.9148629785119073</v>
      </c>
      <c r="G168" s="38"/>
      <c r="H168" s="138">
        <f>RANK(I168,I3:I227)</f>
        <v>185</v>
      </c>
      <c r="I168" s="139">
        <f>VLOOKUP(A168,'Standard Deviations'!A1:C731,3,FALSE)</f>
        <v>-3.2601939343875066</v>
      </c>
      <c r="J168" s="139">
        <f>I168-VLOOKUP(B$2,H1:J227,2,FALSE)</f>
        <v>-9.9148629785119073</v>
      </c>
    </row>
    <row r="169" spans="1:10" ht="21.2" customHeight="1">
      <c r="A169" s="8" t="s">
        <v>677</v>
      </c>
      <c r="B169" s="61" t="str">
        <f>VLOOKUP(A169,'The List'!B1:D730,3,FALSE)</f>
        <v>LW,RW</v>
      </c>
      <c r="C169" s="62">
        <f>IF(Settings!$E$15="POINTS",RANK(E169,E3:E227),H169)</f>
        <v>175</v>
      </c>
      <c r="D169" s="34" t="str">
        <f>VLOOKUP(A169,'The List'!B1:F730,5,FALSE)</f>
        <v>STL</v>
      </c>
      <c r="E169" s="38">
        <f>VLOOKUP(A169,'The List'!B1:I730,8,FALSE)</f>
        <v>-2.849660354219071</v>
      </c>
      <c r="F169" s="38">
        <f>IF(Settings!$E$15="POINTS",E169-VLOOKUP(B$2,C1:E227,3,FALSE),J169)</f>
        <v>-9.5043293983434722</v>
      </c>
      <c r="G169" s="38"/>
      <c r="H169" s="138">
        <f>RANK(I169,I3:I227)</f>
        <v>175</v>
      </c>
      <c r="I169" s="139">
        <f>VLOOKUP(A169,'Standard Deviations'!A1:C731,3,FALSE)</f>
        <v>-2.849660354219071</v>
      </c>
      <c r="J169" s="139">
        <f>I169-VLOOKUP(B$2,H1:J227,2,FALSE)</f>
        <v>-9.5043293983434722</v>
      </c>
    </row>
    <row r="170" spans="1:10" ht="21.2" customHeight="1">
      <c r="A170" s="8" t="s">
        <v>707</v>
      </c>
      <c r="B170" s="61" t="str">
        <f>VLOOKUP(A170,'The List'!B1:D730,3,FALSE)</f>
        <v>C,LW</v>
      </c>
      <c r="C170" s="62">
        <f>IF(Settings!$E$15="POINTS",RANK(E170,E3:E227),H170)</f>
        <v>167</v>
      </c>
      <c r="D170" s="34" t="str">
        <f>VLOOKUP(A170,'The List'!B1:F730,5,FALSE)</f>
        <v>BUF</v>
      </c>
      <c r="E170" s="38">
        <f>VLOOKUP(A170,'The List'!B1:I730,8,FALSE)</f>
        <v>-2.6070083433644391</v>
      </c>
      <c r="F170" s="38">
        <f>IF(Settings!$E$15="POINTS",E170-VLOOKUP(B$2,C1:E227,3,FALSE),J170)</f>
        <v>-9.2616773874888398</v>
      </c>
      <c r="G170" s="38"/>
      <c r="H170" s="138">
        <f>RANK(I170,I3:I227)</f>
        <v>167</v>
      </c>
      <c r="I170" s="139">
        <f>VLOOKUP(A170,'Standard Deviations'!A1:C731,3,FALSE)</f>
        <v>-2.6070083433644391</v>
      </c>
      <c r="J170" s="139">
        <f>I170-VLOOKUP(B$2,H1:J227,2,FALSE)</f>
        <v>-9.2616773874888398</v>
      </c>
    </row>
    <row r="171" spans="1:10" ht="21.2" customHeight="1">
      <c r="A171" s="8" t="s">
        <v>708</v>
      </c>
      <c r="B171" s="61" t="str">
        <f>VLOOKUP(A171,'The List'!B1:D730,3,FALSE)</f>
        <v>LW</v>
      </c>
      <c r="C171" s="62">
        <f>IF(Settings!$E$15="POINTS",RANK(E171,E3:E227),H171)</f>
        <v>146</v>
      </c>
      <c r="D171" s="34" t="str">
        <f>VLOOKUP(A171,'The List'!B1:F730,5,FALSE)</f>
        <v>NSH</v>
      </c>
      <c r="E171" s="38">
        <f>VLOOKUP(A171,'The List'!B1:I730,8,FALSE)</f>
        <v>-1.6253436413810398</v>
      </c>
      <c r="F171" s="38">
        <f>IF(Settings!$E$15="POINTS",E171-VLOOKUP(B$2,C1:E227,3,FALSE),J171)</f>
        <v>-8.2800126855054401</v>
      </c>
      <c r="G171" s="38"/>
      <c r="H171" s="138">
        <f>RANK(I171,I3:I227)</f>
        <v>146</v>
      </c>
      <c r="I171" s="139">
        <f>VLOOKUP(A171,'Standard Deviations'!A1:C731,3,FALSE)</f>
        <v>-1.6253436413810398</v>
      </c>
      <c r="J171" s="139">
        <f>I171-VLOOKUP(B$2,H1:J227,2,FALSE)</f>
        <v>-8.2800126855054401</v>
      </c>
    </row>
    <row r="172" spans="1:10" ht="21.2" customHeight="1">
      <c r="A172" s="8" t="s">
        <v>684</v>
      </c>
      <c r="B172" s="61" t="str">
        <f>VLOOKUP(A172,'The List'!B1:D730,3,FALSE)</f>
        <v>C,LW,RW</v>
      </c>
      <c r="C172" s="62">
        <f>IF(Settings!$E$15="POINTS",RANK(E172,E3:E227),H172)</f>
        <v>191</v>
      </c>
      <c r="D172" s="34" t="str">
        <f>VLOOKUP(A172,'The List'!B1:F730,5,FALSE)</f>
        <v>PIT</v>
      </c>
      <c r="E172" s="38">
        <f>VLOOKUP(A172,'The List'!B1:I730,8,FALSE)</f>
        <v>-3.4126410702631458</v>
      </c>
      <c r="F172" s="38">
        <f>IF(Settings!$E$15="POINTS",E172-VLOOKUP(B$2,C1:E227,3,FALSE),J172)</f>
        <v>-10.067310114387547</v>
      </c>
      <c r="G172" s="38"/>
      <c r="H172" s="138">
        <f>RANK(I172,I3:I227)</f>
        <v>191</v>
      </c>
      <c r="I172" s="139">
        <f>VLOOKUP(A172,'Standard Deviations'!A1:C731,3,FALSE)</f>
        <v>-3.4126410702631458</v>
      </c>
      <c r="J172" s="139">
        <f>I172-VLOOKUP(B$2,H1:J227,2,FALSE)</f>
        <v>-10.067310114387547</v>
      </c>
    </row>
    <row r="173" spans="1:10" ht="21.2" customHeight="1">
      <c r="A173" s="8" t="s">
        <v>709</v>
      </c>
      <c r="B173" s="61" t="str">
        <f>VLOOKUP(A173,'The List'!B1:D730,3,FALSE)</f>
        <v>C,LW</v>
      </c>
      <c r="C173" s="62">
        <f>IF(Settings!$E$15="POINTS",RANK(E173,E3:E227),H173)</f>
        <v>173</v>
      </c>
      <c r="D173" s="34" t="str">
        <f>VLOOKUP(A173,'The List'!B1:F730,5,FALSE)</f>
        <v>WPG</v>
      </c>
      <c r="E173" s="38">
        <f>VLOOKUP(A173,'The List'!B1:I730,8,FALSE)</f>
        <v>-2.778755064654594</v>
      </c>
      <c r="F173" s="38">
        <f>IF(Settings!$E$15="POINTS",E173-VLOOKUP(B$2,C1:E227,3,FALSE),J173)</f>
        <v>-9.4334241087789952</v>
      </c>
      <c r="G173" s="38"/>
      <c r="H173" s="138">
        <f>RANK(I173,I3:I227)</f>
        <v>173</v>
      </c>
      <c r="I173" s="139">
        <f>VLOOKUP(A173,'Standard Deviations'!A1:C731,3,FALSE)</f>
        <v>-2.778755064654594</v>
      </c>
      <c r="J173" s="139">
        <f>I173-VLOOKUP(B$2,H1:J227,2,FALSE)</f>
        <v>-9.4334241087789952</v>
      </c>
    </row>
    <row r="174" spans="1:10" ht="21.2" customHeight="1">
      <c r="A174" s="8" t="s">
        <v>688</v>
      </c>
      <c r="B174" s="61" t="str">
        <f>VLOOKUP(A174,'The List'!B1:D730,3,FALSE)</f>
        <v>LW,RW</v>
      </c>
      <c r="C174" s="62">
        <f>IF(Settings!$E$15="POINTS",RANK(E174,E3:E227),H174)</f>
        <v>188</v>
      </c>
      <c r="D174" s="34" t="str">
        <f>VLOOKUP(A174,'The List'!B1:F730,5,FALSE)</f>
        <v>UFA</v>
      </c>
      <c r="E174" s="38">
        <f>VLOOKUP(A174,'The List'!B1:I730,8,FALSE)</f>
        <v>-3.2796792853281387</v>
      </c>
      <c r="F174" s="38">
        <f>IF(Settings!$E$15="POINTS",E174-VLOOKUP(B$2,C1:E227,3,FALSE),J174)</f>
        <v>-9.9343483294525399</v>
      </c>
      <c r="G174" s="38"/>
      <c r="H174" s="138">
        <f>RANK(I174,I3:I227)</f>
        <v>188</v>
      </c>
      <c r="I174" s="139">
        <f>VLOOKUP(A174,'Standard Deviations'!A1:C731,3,FALSE)</f>
        <v>-3.2796792853281387</v>
      </c>
      <c r="J174" s="139">
        <f>I174-VLOOKUP(B$2,H1:J227,2,FALSE)</f>
        <v>-9.9343483294525399</v>
      </c>
    </row>
    <row r="175" spans="1:10" ht="21.2" customHeight="1">
      <c r="A175" s="8" t="s">
        <v>712</v>
      </c>
      <c r="B175" s="61" t="str">
        <f>VLOOKUP(A175,'The List'!B1:D730,3,FALSE)</f>
        <v>LW</v>
      </c>
      <c r="C175" s="62">
        <f>IF(Settings!$E$15="POINTS",RANK(E175,E3:E227),H175)</f>
        <v>177</v>
      </c>
      <c r="D175" s="34" t="str">
        <f>VLOOKUP(A175,'The List'!B1:F730,5,FALSE)</f>
        <v>STL</v>
      </c>
      <c r="E175" s="38">
        <f>VLOOKUP(A175,'The List'!B1:I730,8,FALSE)</f>
        <v>-2.9400181095136171</v>
      </c>
      <c r="F175" s="38">
        <f>IF(Settings!$E$15="POINTS",E175-VLOOKUP(B$2,C1:E227,3,FALSE),J175)</f>
        <v>-9.5946871536380183</v>
      </c>
      <c r="G175" s="38"/>
      <c r="H175" s="138">
        <f>RANK(I175,I3:I227)</f>
        <v>177</v>
      </c>
      <c r="I175" s="139">
        <f>VLOOKUP(A175,'Standard Deviations'!A1:C731,3,FALSE)</f>
        <v>-2.9400181095136171</v>
      </c>
      <c r="J175" s="139">
        <f>I175-VLOOKUP(B$2,H1:J227,2,FALSE)</f>
        <v>-9.5946871536380183</v>
      </c>
    </row>
    <row r="176" spans="1:10" ht="21.2" customHeight="1">
      <c r="A176" s="8" t="s">
        <v>713</v>
      </c>
      <c r="B176" s="61" t="str">
        <f>VLOOKUP(A176,'The List'!B1:D730,3,FALSE)</f>
        <v>C,LW</v>
      </c>
      <c r="C176" s="62">
        <f>IF(Settings!$E$15="POINTS",RANK(E176,E3:E227),H176)</f>
        <v>179</v>
      </c>
      <c r="D176" s="34" t="str">
        <f>VLOOKUP(A176,'The List'!B1:F730,5,FALSE)</f>
        <v>VGK</v>
      </c>
      <c r="E176" s="38">
        <f>VLOOKUP(A176,'The List'!B1:I730,8,FALSE)</f>
        <v>-3.153600121502623</v>
      </c>
      <c r="F176" s="38">
        <f>IF(Settings!$E$15="POINTS",E176-VLOOKUP(B$2,C1:E227,3,FALSE),J176)</f>
        <v>-9.8082691656270242</v>
      </c>
      <c r="G176" s="38"/>
      <c r="H176" s="138">
        <f>RANK(I176,I3:I227)</f>
        <v>179</v>
      </c>
      <c r="I176" s="139">
        <f>VLOOKUP(A176,'Standard Deviations'!A1:C731,3,FALSE)</f>
        <v>-3.153600121502623</v>
      </c>
      <c r="J176" s="139">
        <f>I176-VLOOKUP(B$2,H1:J227,2,FALSE)</f>
        <v>-9.8082691656270242</v>
      </c>
    </row>
    <row r="177" spans="1:10" ht="21.2" customHeight="1">
      <c r="A177" s="8" t="s">
        <v>714</v>
      </c>
      <c r="B177" s="61" t="str">
        <f>VLOOKUP(A177,'The List'!B1:D730,3,FALSE)</f>
        <v>C,LW</v>
      </c>
      <c r="C177" s="62">
        <f>IF(Settings!$E$15="POINTS",RANK(E177,E3:E227),H177)</f>
        <v>161</v>
      </c>
      <c r="D177" s="34" t="str">
        <f>VLOOKUP(A177,'The List'!B1:F730,5,FALSE)</f>
        <v>OTT</v>
      </c>
      <c r="E177" s="38">
        <f>VLOOKUP(A177,'The List'!B1:I730,8,FALSE)</f>
        <v>-2.318433919128486</v>
      </c>
      <c r="F177" s="38">
        <f>IF(Settings!$E$15="POINTS",E177-VLOOKUP(B$2,C1:E227,3,FALSE),J177)</f>
        <v>-8.973102963252888</v>
      </c>
      <c r="G177" s="38"/>
      <c r="H177" s="138">
        <f>RANK(I177,I3:I227)</f>
        <v>161</v>
      </c>
      <c r="I177" s="139">
        <f>VLOOKUP(A177,'Standard Deviations'!A1:C731,3,FALSE)</f>
        <v>-2.318433919128486</v>
      </c>
      <c r="J177" s="139">
        <f>I177-VLOOKUP(B$2,H1:J227,2,FALSE)</f>
        <v>-8.973102963252888</v>
      </c>
    </row>
    <row r="178" spans="1:10" ht="21.2" customHeight="1">
      <c r="A178" s="8" t="s">
        <v>715</v>
      </c>
      <c r="B178" s="61" t="str">
        <f>VLOOKUP(A178,'The List'!B1:D730,3,FALSE)</f>
        <v>LW</v>
      </c>
      <c r="C178" s="62">
        <f>IF(Settings!$E$15="POINTS",RANK(E178,E3:E227),H178)</f>
        <v>192</v>
      </c>
      <c r="D178" s="34" t="str">
        <f>VLOOKUP(A178,'The List'!B1:F730,5,FALSE)</f>
        <v>ANA</v>
      </c>
      <c r="E178" s="38">
        <f>VLOOKUP(A178,'The List'!B1:I730,8,FALSE)</f>
        <v>-3.5891992892531359</v>
      </c>
      <c r="F178" s="38">
        <f>IF(Settings!$E$15="POINTS",E178-VLOOKUP(B$2,C1:E227,3,FALSE),J178)</f>
        <v>-10.243868333377538</v>
      </c>
      <c r="G178" s="38"/>
      <c r="H178" s="138">
        <f>RANK(I178,I3:I227)</f>
        <v>192</v>
      </c>
      <c r="I178" s="139">
        <f>VLOOKUP(A178,'Standard Deviations'!A1:C731,3,FALSE)</f>
        <v>-3.5891992892531359</v>
      </c>
      <c r="J178" s="139">
        <f>I178-VLOOKUP(B$2,H1:J227,2,FALSE)</f>
        <v>-10.243868333377538</v>
      </c>
    </row>
    <row r="179" spans="1:10" ht="21.2" customHeight="1">
      <c r="A179" s="8" t="s">
        <v>693</v>
      </c>
      <c r="B179" s="61" t="str">
        <f>VLOOKUP(A179,'The List'!B1:D730,3,FALSE)</f>
        <v>LW,RW</v>
      </c>
      <c r="C179" s="62">
        <f>IF(Settings!$E$15="POINTS",RANK(E179,E3:E227),H179)</f>
        <v>181</v>
      </c>
      <c r="D179" s="34" t="str">
        <f>VLOOKUP(A179,'The List'!B1:F730,5,FALSE)</f>
        <v>LAK</v>
      </c>
      <c r="E179" s="38">
        <f>VLOOKUP(A179,'The List'!B1:I730,8,FALSE)</f>
        <v>-3.186010341953418</v>
      </c>
      <c r="F179" s="38">
        <f>IF(Settings!$E$15="POINTS",E179-VLOOKUP(B$2,C1:E227,3,FALSE),J179)</f>
        <v>-9.8406793860778201</v>
      </c>
      <c r="G179" s="38"/>
      <c r="H179" s="138">
        <f>RANK(I179,I3:I227)</f>
        <v>181</v>
      </c>
      <c r="I179" s="139">
        <f>VLOOKUP(A179,'Standard Deviations'!A1:C731,3,FALSE)</f>
        <v>-3.186010341953418</v>
      </c>
      <c r="J179" s="139">
        <f>I179-VLOOKUP(B$2,H1:J227,2,FALSE)</f>
        <v>-9.8406793860778201</v>
      </c>
    </row>
    <row r="180" spans="1:10" ht="21.2" customHeight="1">
      <c r="A180" s="8" t="s">
        <v>717</v>
      </c>
      <c r="B180" s="61" t="str">
        <f>VLOOKUP(A180,'The List'!B1:D730,3,FALSE)</f>
        <v>C,LW</v>
      </c>
      <c r="C180" s="62">
        <f>IF(Settings!$E$15="POINTS",RANK(E180,E3:E227),H180)</f>
        <v>169</v>
      </c>
      <c r="D180" s="34" t="str">
        <f>VLOOKUP(A180,'The List'!B1:F730,5,FALSE)</f>
        <v>VGK</v>
      </c>
      <c r="E180" s="38">
        <f>VLOOKUP(A180,'The List'!B1:I730,8,FALSE)</f>
        <v>-2.6563174119345847</v>
      </c>
      <c r="F180" s="38">
        <f>IF(Settings!$E$15="POINTS",E180-VLOOKUP(B$2,C1:E227,3,FALSE),J180)</f>
        <v>-9.3109864560589859</v>
      </c>
      <c r="G180" s="38"/>
      <c r="H180" s="138">
        <f>RANK(I180,I3:I227)</f>
        <v>169</v>
      </c>
      <c r="I180" s="139">
        <f>VLOOKUP(A180,'Standard Deviations'!A1:C731,3,FALSE)</f>
        <v>-2.6563174119345847</v>
      </c>
      <c r="J180" s="139">
        <f>I180-VLOOKUP(B$2,H1:J227,2,FALSE)</f>
        <v>-9.3109864560589859</v>
      </c>
    </row>
    <row r="181" spans="1:10" ht="21.2" customHeight="1">
      <c r="A181" s="8" t="s">
        <v>696</v>
      </c>
      <c r="B181" s="61" t="str">
        <f>VLOOKUP(A181,'The List'!B1:D730,3,FALSE)</f>
        <v>LW,RW</v>
      </c>
      <c r="C181" s="62">
        <f>IF(Settings!$E$15="POINTS",RANK(E181,E3:E227),H181)</f>
        <v>168</v>
      </c>
      <c r="D181" s="34" t="str">
        <f>VLOOKUP(A181,'The List'!B1:F730,5,FALSE)</f>
        <v>VAN</v>
      </c>
      <c r="E181" s="38">
        <f>VLOOKUP(A181,'The List'!B1:I730,8,FALSE)</f>
        <v>-2.6329551939783351</v>
      </c>
      <c r="F181" s="38">
        <f>IF(Settings!$E$15="POINTS",E181-VLOOKUP(B$2,C1:E227,3,FALSE),J181)</f>
        <v>-9.2876242381027367</v>
      </c>
      <c r="G181" s="38"/>
      <c r="H181" s="138">
        <f>RANK(I181,I3:I227)</f>
        <v>168</v>
      </c>
      <c r="I181" s="139">
        <f>VLOOKUP(A181,'Standard Deviations'!A1:C731,3,FALSE)</f>
        <v>-2.6329551939783351</v>
      </c>
      <c r="J181" s="139">
        <f>I181-VLOOKUP(B$2,H1:J227,2,FALSE)</f>
        <v>-9.2876242381027367</v>
      </c>
    </row>
    <row r="182" spans="1:10" ht="21.2" customHeight="1">
      <c r="A182" s="8" t="s">
        <v>698</v>
      </c>
      <c r="B182" s="61" t="str">
        <f>VLOOKUP(A182,'The List'!B1:D730,3,FALSE)</f>
        <v>LW,RW</v>
      </c>
      <c r="C182" s="62">
        <f>IF(Settings!$E$15="POINTS",RANK(E182,E3:E227),H182)</f>
        <v>199</v>
      </c>
      <c r="D182" s="34" t="str">
        <f>VLOOKUP(A182,'The List'!B1:F730,5,FALSE)</f>
        <v>NYR</v>
      </c>
      <c r="E182" s="38">
        <f>VLOOKUP(A182,'The List'!B1:I730,8,FALSE)</f>
        <v>-3.8766896421974497</v>
      </c>
      <c r="F182" s="38">
        <f>IF(Settings!$E$15="POINTS",E182-VLOOKUP(B$2,C1:E227,3,FALSE),J182)</f>
        <v>-10.531358686321852</v>
      </c>
      <c r="G182" s="38"/>
      <c r="H182" s="138">
        <f>RANK(I182,I3:I227)</f>
        <v>199</v>
      </c>
      <c r="I182" s="139">
        <f>VLOOKUP(A182,'Standard Deviations'!A1:C731,3,FALSE)</f>
        <v>-3.8766896421974497</v>
      </c>
      <c r="J182" s="139">
        <f>I182-VLOOKUP(B$2,H1:J227,2,FALSE)</f>
        <v>-10.531358686321852</v>
      </c>
    </row>
    <row r="183" spans="1:10" ht="21.2" customHeight="1">
      <c r="A183" s="8" t="s">
        <v>718</v>
      </c>
      <c r="B183" s="61" t="str">
        <f>VLOOKUP(A183,'The List'!B1:D730,3,FALSE)</f>
        <v>LW</v>
      </c>
      <c r="C183" s="62">
        <f>IF(Settings!$E$15="POINTS",RANK(E183,E3:E227),H183)</f>
        <v>186</v>
      </c>
      <c r="D183" s="34" t="str">
        <f>VLOOKUP(A183,'The List'!B1:F730,5,FALSE)</f>
        <v>FLA</v>
      </c>
      <c r="E183" s="38">
        <f>VLOOKUP(A183,'The List'!B1:I730,8,FALSE)</f>
        <v>-3.2667706376833046</v>
      </c>
      <c r="F183" s="38">
        <f>IF(Settings!$E$15="POINTS",E183-VLOOKUP(B$2,C1:E227,3,FALSE),J183)</f>
        <v>-9.9214396818077049</v>
      </c>
      <c r="G183" s="38"/>
      <c r="H183" s="138">
        <f>RANK(I183,I3:I227)</f>
        <v>186</v>
      </c>
      <c r="I183" s="139">
        <f>VLOOKUP(A183,'Standard Deviations'!A1:C731,3,FALSE)</f>
        <v>-3.2667706376833046</v>
      </c>
      <c r="J183" s="139">
        <f>I183-VLOOKUP(B$2,H1:J227,2,FALSE)</f>
        <v>-9.9214396818077049</v>
      </c>
    </row>
    <row r="184" spans="1:10" ht="21.2" customHeight="1">
      <c r="A184" s="8" t="s">
        <v>719</v>
      </c>
      <c r="B184" s="61" t="str">
        <f>VLOOKUP(A184,'The List'!B1:D730,3,FALSE)</f>
        <v>LW</v>
      </c>
      <c r="C184" s="62">
        <f>IF(Settings!$E$15="POINTS",RANK(E184,E3:E227),H184)</f>
        <v>196</v>
      </c>
      <c r="D184" s="34" t="str">
        <f>VLOOKUP(A184,'The List'!B1:F730,5,FALSE)</f>
        <v>PIT</v>
      </c>
      <c r="E184" s="38">
        <f>VLOOKUP(A184,'The List'!B1:I730,8,FALSE)</f>
        <v>-3.7299819656050444</v>
      </c>
      <c r="F184" s="38">
        <f>IF(Settings!$E$15="POINTS",E184-VLOOKUP(B$2,C1:E227,3,FALSE),J184)</f>
        <v>-10.384651009729446</v>
      </c>
      <c r="G184" s="38"/>
      <c r="H184" s="138">
        <f>RANK(I184,I3:I227)</f>
        <v>196</v>
      </c>
      <c r="I184" s="139">
        <f>VLOOKUP(A184,'Standard Deviations'!A1:C731,3,FALSE)</f>
        <v>-3.7299819656050444</v>
      </c>
      <c r="J184" s="139">
        <f>I184-VLOOKUP(B$2,H1:J227,2,FALSE)</f>
        <v>-10.384651009729446</v>
      </c>
    </row>
    <row r="185" spans="1:10" ht="21.2" customHeight="1">
      <c r="A185" s="8" t="s">
        <v>722</v>
      </c>
      <c r="B185" s="61" t="str">
        <f>VLOOKUP(A185,'The List'!B1:D730,3,FALSE)</f>
        <v>LW</v>
      </c>
      <c r="C185" s="62">
        <f>IF(Settings!$E$15="POINTS",RANK(E185,E3:E227),H185)</f>
        <v>200</v>
      </c>
      <c r="D185" s="34" t="str">
        <f>VLOOKUP(A185,'The List'!B1:F730,5,FALSE)</f>
        <v>SJS</v>
      </c>
      <c r="E185" s="38">
        <f>VLOOKUP(A185,'The List'!B1:I730,8,FALSE)</f>
        <v>-3.9053307575112441</v>
      </c>
      <c r="F185" s="38">
        <f>IF(Settings!$E$15="POINTS",E185-VLOOKUP(B$2,C1:E227,3,FALSE),J185)</f>
        <v>-10.559999801635644</v>
      </c>
      <c r="G185" s="38"/>
      <c r="H185" s="138">
        <f>RANK(I185,I3:I227)</f>
        <v>200</v>
      </c>
      <c r="I185" s="139">
        <f>VLOOKUP(A185,'Standard Deviations'!A1:C731,3,FALSE)</f>
        <v>-3.9053307575112441</v>
      </c>
      <c r="J185" s="139">
        <f>I185-VLOOKUP(B$2,H1:J227,2,FALSE)</f>
        <v>-10.559999801635644</v>
      </c>
    </row>
    <row r="186" spans="1:10" ht="21.2" customHeight="1">
      <c r="A186" s="8" t="s">
        <v>723</v>
      </c>
      <c r="B186" s="61" t="str">
        <f>VLOOKUP(A186,'The List'!B1:D730,3,FALSE)</f>
        <v>C,LW</v>
      </c>
      <c r="C186" s="62">
        <f>IF(Settings!$E$15="POINTS",RANK(E186,E3:E227),H186)</f>
        <v>180</v>
      </c>
      <c r="D186" s="34" t="str">
        <f>VLOOKUP(A186,'The List'!B1:F730,5,FALSE)</f>
        <v>WSH</v>
      </c>
      <c r="E186" s="38">
        <f>VLOOKUP(A186,'The List'!B1:I730,8,FALSE)</f>
        <v>-3.181932982573926</v>
      </c>
      <c r="F186" s="38">
        <f>IF(Settings!$E$15="POINTS",E186-VLOOKUP(B$2,C1:E227,3,FALSE),J186)</f>
        <v>-9.8366020266983263</v>
      </c>
      <c r="G186" s="38"/>
      <c r="H186" s="138">
        <f>RANK(I186,I3:I227)</f>
        <v>180</v>
      </c>
      <c r="I186" s="139">
        <f>VLOOKUP(A186,'Standard Deviations'!A1:C731,3,FALSE)</f>
        <v>-3.181932982573926</v>
      </c>
      <c r="J186" s="139">
        <f>I186-VLOOKUP(B$2,H1:J227,2,FALSE)</f>
        <v>-9.8366020266983263</v>
      </c>
    </row>
    <row r="187" spans="1:10" ht="21.2" customHeight="1">
      <c r="A187" s="8" t="s">
        <v>724</v>
      </c>
      <c r="B187" s="61" t="str">
        <f>VLOOKUP(A187,'The List'!B1:D730,3,FALSE)</f>
        <v>LW</v>
      </c>
      <c r="C187" s="62">
        <f>IF(Settings!$E$15="POINTS",RANK(E187,E3:E227),H187)</f>
        <v>174</v>
      </c>
      <c r="D187" s="34" t="str">
        <f>VLOOKUP(A187,'The List'!B1:F730,5,FALSE)</f>
        <v>ARI</v>
      </c>
      <c r="E187" s="38">
        <f>VLOOKUP(A187,'The List'!B1:I730,8,FALSE)</f>
        <v>-2.8422080971613628</v>
      </c>
      <c r="F187" s="38">
        <f>IF(Settings!$E$15="POINTS",E187-VLOOKUP(B$2,C1:E227,3,FALSE),J187)</f>
        <v>-9.4968771412857649</v>
      </c>
      <c r="G187" s="38"/>
      <c r="H187" s="138">
        <f>RANK(I187,I3:I227)</f>
        <v>174</v>
      </c>
      <c r="I187" s="139">
        <f>VLOOKUP(A187,'Standard Deviations'!A1:C731,3,FALSE)</f>
        <v>-2.8422080971613628</v>
      </c>
      <c r="J187" s="139">
        <f>I187-VLOOKUP(B$2,H1:J227,2,FALSE)</f>
        <v>-9.4968771412857649</v>
      </c>
    </row>
    <row r="188" spans="1:10" ht="21.2" customHeight="1">
      <c r="A188" s="8" t="s">
        <v>728</v>
      </c>
      <c r="B188" s="61" t="str">
        <f>VLOOKUP(A188,'The List'!B1:D730,3,FALSE)</f>
        <v>LW</v>
      </c>
      <c r="C188" s="62">
        <f>IF(Settings!$E$15="POINTS",RANK(E188,E3:E227),H188)</f>
        <v>201</v>
      </c>
      <c r="D188" s="34" t="str">
        <f>VLOOKUP(A188,'The List'!B1:F730,5,FALSE)</f>
        <v>CHI</v>
      </c>
      <c r="E188" s="38">
        <f>VLOOKUP(A188,'The List'!B1:I730,8,FALSE)</f>
        <v>-3.9176149188486202</v>
      </c>
      <c r="F188" s="38">
        <f>IF(Settings!$E$15="POINTS",E188-VLOOKUP(B$2,C1:E227,3,FALSE),J188)</f>
        <v>-10.572283962973021</v>
      </c>
      <c r="G188" s="38"/>
      <c r="H188" s="138">
        <f>RANK(I188,I3:I227)</f>
        <v>201</v>
      </c>
      <c r="I188" s="139">
        <f>VLOOKUP(A188,'Standard Deviations'!A1:C731,3,FALSE)</f>
        <v>-3.9176149188486202</v>
      </c>
      <c r="J188" s="139">
        <f>I188-VLOOKUP(B$2,H1:J227,2,FALSE)</f>
        <v>-10.572283962973021</v>
      </c>
    </row>
    <row r="189" spans="1:10" ht="21.2" customHeight="1">
      <c r="A189" s="8" t="s">
        <v>706</v>
      </c>
      <c r="B189" s="61" t="str">
        <f>VLOOKUP(A189,'The List'!B1:D730,3,FALSE)</f>
        <v>LW,RW</v>
      </c>
      <c r="C189" s="62">
        <f>IF(Settings!$E$15="POINTS",RANK(E189,E3:E227),H189)</f>
        <v>171</v>
      </c>
      <c r="D189" s="34" t="str">
        <f>VLOOKUP(A189,'The List'!B1:F730,5,FALSE)</f>
        <v>DET</v>
      </c>
      <c r="E189" s="38">
        <f>VLOOKUP(A189,'The List'!B1:I730,8,FALSE)</f>
        <v>-2.7498306939977932</v>
      </c>
      <c r="F189" s="38">
        <f>IF(Settings!$E$15="POINTS",E189-VLOOKUP(B$2,C1:E227,3,FALSE),J189)</f>
        <v>-9.404499738122194</v>
      </c>
      <c r="G189" s="38"/>
      <c r="H189" s="138">
        <f>RANK(I189,I3:I227)</f>
        <v>171</v>
      </c>
      <c r="I189" s="139">
        <f>VLOOKUP(A189,'Standard Deviations'!A1:C731,3,FALSE)</f>
        <v>-2.7498306939977932</v>
      </c>
      <c r="J189" s="139">
        <f>I189-VLOOKUP(B$2,H1:J227,2,FALSE)</f>
        <v>-9.404499738122194</v>
      </c>
    </row>
    <row r="190" spans="1:10" ht="21.2" customHeight="1">
      <c r="A190" s="8" t="s">
        <v>733</v>
      </c>
      <c r="B190" s="61" t="str">
        <f>VLOOKUP(A190,'The List'!B1:D730,3,FALSE)</f>
        <v>LW</v>
      </c>
      <c r="C190" s="62">
        <f>IF(Settings!$E$15="POINTS",RANK(E190,E3:E227),H190)</f>
        <v>170</v>
      </c>
      <c r="D190" s="34" t="str">
        <f>VLOOKUP(A190,'The List'!B1:F730,5,FALSE)</f>
        <v>ARI</v>
      </c>
      <c r="E190" s="38">
        <f>VLOOKUP(A190,'The List'!B1:I730,8,FALSE)</f>
        <v>-2.6902452776734291</v>
      </c>
      <c r="F190" s="38">
        <f>IF(Settings!$E$15="POINTS",E190-VLOOKUP(B$2,C1:E227,3,FALSE),J190)</f>
        <v>-9.3449143217978303</v>
      </c>
      <c r="G190" s="38"/>
      <c r="H190" s="138">
        <f>RANK(I190,I3:I227)</f>
        <v>170</v>
      </c>
      <c r="I190" s="139">
        <f>VLOOKUP(A190,'Standard Deviations'!A1:C731,3,FALSE)</f>
        <v>-2.6902452776734291</v>
      </c>
      <c r="J190" s="139">
        <f>I190-VLOOKUP(B$2,H1:J227,2,FALSE)</f>
        <v>-9.3449143217978303</v>
      </c>
    </row>
    <row r="191" spans="1:10" ht="21.2" customHeight="1">
      <c r="A191" s="8" t="s">
        <v>734</v>
      </c>
      <c r="B191" s="61" t="str">
        <f>VLOOKUP(A191,'The List'!B1:D730,3,FALSE)</f>
        <v>C,LW</v>
      </c>
      <c r="C191" s="62">
        <f>IF(Settings!$E$15="POINTS",RANK(E191,E3:E227),H191)</f>
        <v>203</v>
      </c>
      <c r="D191" s="34" t="str">
        <f>VLOOKUP(A191,'The List'!B1:F730,5,FALSE)</f>
        <v>BUF</v>
      </c>
      <c r="E191" s="38">
        <f>VLOOKUP(A191,'The List'!B1:I730,8,FALSE)</f>
        <v>-3.9752289640747072</v>
      </c>
      <c r="F191" s="38">
        <f>IF(Settings!$E$15="POINTS",E191-VLOOKUP(B$2,C1:E227,3,FALSE),J191)</f>
        <v>-10.629898008199108</v>
      </c>
      <c r="G191" s="38"/>
      <c r="H191" s="138">
        <f>RANK(I191,I3:I227)</f>
        <v>203</v>
      </c>
      <c r="I191" s="139">
        <f>VLOOKUP(A191,'Standard Deviations'!A1:C731,3,FALSE)</f>
        <v>-3.9752289640747072</v>
      </c>
      <c r="J191" s="139">
        <f>I191-VLOOKUP(B$2,H1:J227,2,FALSE)</f>
        <v>-10.629898008199108</v>
      </c>
    </row>
    <row r="192" spans="1:10" ht="21.2" customHeight="1">
      <c r="A192" s="8" t="s">
        <v>735</v>
      </c>
      <c r="B192" s="61" t="str">
        <f>VLOOKUP(A192,'The List'!B1:D730,3,FALSE)</f>
        <v>C,LW</v>
      </c>
      <c r="C192" s="62">
        <f>IF(Settings!$E$15="POINTS",RANK(E192,E3:E227),H192)</f>
        <v>166</v>
      </c>
      <c r="D192" s="34" t="str">
        <f>VLOOKUP(A192,'The List'!B1:F730,5,FALSE)</f>
        <v>WSH</v>
      </c>
      <c r="E192" s="38">
        <f>VLOOKUP(A192,'The List'!B1:I730,8,FALSE)</f>
        <v>-2.5729813082637349</v>
      </c>
      <c r="F192" s="38">
        <f>IF(Settings!$E$15="POINTS",E192-VLOOKUP(B$2,C1:E227,3,FALSE),J192)</f>
        <v>-9.2276503523881352</v>
      </c>
      <c r="G192" s="38"/>
      <c r="H192" s="138">
        <f>RANK(I192,I3:I227)</f>
        <v>166</v>
      </c>
      <c r="I192" s="139">
        <f>VLOOKUP(A192,'Standard Deviations'!A1:C731,3,FALSE)</f>
        <v>-2.5729813082637349</v>
      </c>
      <c r="J192" s="139">
        <f>I192-VLOOKUP(B$2,H1:J227,2,FALSE)</f>
        <v>-9.2276503523881352</v>
      </c>
    </row>
    <row r="193" spans="1:10" ht="21.2" customHeight="1">
      <c r="A193" s="8" t="s">
        <v>736</v>
      </c>
      <c r="B193" s="61" t="str">
        <f>VLOOKUP(A193,'The List'!B1:D730,3,FALSE)</f>
        <v>C,LW</v>
      </c>
      <c r="C193" s="62">
        <f>IF(Settings!$E$15="POINTS",RANK(E193,E3:E227),H193)</f>
        <v>205</v>
      </c>
      <c r="D193" s="34" t="str">
        <f>VLOOKUP(A193,'The List'!B1:F730,5,FALSE)</f>
        <v>NYR</v>
      </c>
      <c r="E193" s="38">
        <f>VLOOKUP(A193,'The List'!B1:I730,8,FALSE)</f>
        <v>-4.0336687034884982</v>
      </c>
      <c r="F193" s="38">
        <f>IF(Settings!$E$15="POINTS",E193-VLOOKUP(B$2,C1:E227,3,FALSE),J193)</f>
        <v>-10.688337747612898</v>
      </c>
      <c r="G193" s="38"/>
      <c r="H193" s="138">
        <f>RANK(I193,I3:I227)</f>
        <v>205</v>
      </c>
      <c r="I193" s="139">
        <f>VLOOKUP(A193,'Standard Deviations'!A1:C731,3,FALSE)</f>
        <v>-4.0336687034884982</v>
      </c>
      <c r="J193" s="139">
        <f>I193-VLOOKUP(B$2,H1:J227,2,FALSE)</f>
        <v>-10.688337747612898</v>
      </c>
    </row>
    <row r="194" spans="1:10" ht="21.2" customHeight="1">
      <c r="A194" s="8" t="s">
        <v>711</v>
      </c>
      <c r="B194" s="61" t="str">
        <f>VLOOKUP(A194,'The List'!B1:D730,3,FALSE)</f>
        <v>LW,RW</v>
      </c>
      <c r="C194" s="62">
        <f>IF(Settings!$E$15="POINTS",RANK(E194,E3:E227),H194)</f>
        <v>195</v>
      </c>
      <c r="D194" s="34" t="str">
        <f>VLOOKUP(A194,'The List'!B1:F730,5,FALSE)</f>
        <v>STL</v>
      </c>
      <c r="E194" s="38">
        <f>VLOOKUP(A194,'The List'!B1:I730,8,FALSE)</f>
        <v>-3.7049741314572016</v>
      </c>
      <c r="F194" s="38">
        <f>IF(Settings!$E$15="POINTS",E194-VLOOKUP(B$2,C1:E227,3,FALSE),J194)</f>
        <v>-10.359643175581603</v>
      </c>
      <c r="G194" s="38"/>
      <c r="H194" s="138">
        <f>RANK(I194,I3:I227)</f>
        <v>195</v>
      </c>
      <c r="I194" s="139">
        <f>VLOOKUP(A194,'Standard Deviations'!A1:C731,3,FALSE)</f>
        <v>-3.7049741314572016</v>
      </c>
      <c r="J194" s="139">
        <f>I194-VLOOKUP(B$2,H1:J227,2,FALSE)</f>
        <v>-10.359643175581603</v>
      </c>
    </row>
    <row r="195" spans="1:10" ht="21.2" customHeight="1">
      <c r="A195" s="8" t="s">
        <v>741</v>
      </c>
      <c r="B195" s="61" t="str">
        <f>VLOOKUP(A195,'The List'!B1:D730,3,FALSE)</f>
        <v>LW</v>
      </c>
      <c r="C195" s="62">
        <f>IF(Settings!$E$15="POINTS",RANK(E195,E3:E227),H195)</f>
        <v>184</v>
      </c>
      <c r="D195" s="34" t="str">
        <f>VLOOKUP(A195,'The List'!B1:F730,5,FALSE)</f>
        <v>ANA</v>
      </c>
      <c r="E195" s="38">
        <f>VLOOKUP(A195,'The List'!B1:I730,8,FALSE)</f>
        <v>-3.2443831257741813</v>
      </c>
      <c r="F195" s="38">
        <f>IF(Settings!$E$15="POINTS",E195-VLOOKUP(B$2,C1:E227,3,FALSE),J195)</f>
        <v>-9.8990521698985816</v>
      </c>
      <c r="G195" s="38"/>
      <c r="H195" s="138">
        <f>RANK(I195,I3:I227)</f>
        <v>184</v>
      </c>
      <c r="I195" s="139">
        <f>VLOOKUP(A195,'Standard Deviations'!A1:C731,3,FALSE)</f>
        <v>-3.2443831257741813</v>
      </c>
      <c r="J195" s="139">
        <f>I195-VLOOKUP(B$2,H1:J227,2,FALSE)</f>
        <v>-9.8990521698985816</v>
      </c>
    </row>
    <row r="196" spans="1:10" ht="21.2" customHeight="1">
      <c r="A196" s="8" t="s">
        <v>742</v>
      </c>
      <c r="B196" s="61" t="str">
        <f>VLOOKUP(A196,'The List'!B1:D730,3,FALSE)</f>
        <v>LW</v>
      </c>
      <c r="C196" s="62">
        <f>IF(Settings!$E$15="POINTS",RANK(E196,E3:E227),H196)</f>
        <v>155</v>
      </c>
      <c r="D196" s="34" t="str">
        <f>VLOOKUP(A196,'The List'!B1:F730,5,FALSE)</f>
        <v>TOR</v>
      </c>
      <c r="E196" s="38">
        <f>VLOOKUP(A196,'The List'!B1:I730,8,FALSE)</f>
        <v>-2.1625010816875663</v>
      </c>
      <c r="F196" s="38">
        <f>IF(Settings!$E$15="POINTS",E196-VLOOKUP(B$2,C1:E227,3,FALSE),J196)</f>
        <v>-8.8171701258119679</v>
      </c>
      <c r="G196" s="38"/>
      <c r="H196" s="138">
        <f>RANK(I196,I3:I227)</f>
        <v>155</v>
      </c>
      <c r="I196" s="139">
        <f>VLOOKUP(A196,'Standard Deviations'!A1:C731,3,FALSE)</f>
        <v>-2.1625010816875663</v>
      </c>
      <c r="J196" s="139">
        <f>I196-VLOOKUP(B$2,H1:J227,2,FALSE)</f>
        <v>-8.8171701258119679</v>
      </c>
    </row>
    <row r="197" spans="1:10" ht="21.2" customHeight="1">
      <c r="A197" s="8" t="s">
        <v>743</v>
      </c>
      <c r="B197" s="61" t="str">
        <f>VLOOKUP(A197,'The List'!B1:D730,3,FALSE)</f>
        <v>LW</v>
      </c>
      <c r="C197" s="62">
        <f>IF(Settings!$E$15="POINTS",RANK(E197,E3:E227),H197)</f>
        <v>202</v>
      </c>
      <c r="D197" s="34" t="str">
        <f>VLOOKUP(A197,'The List'!B1:F730,5,FALSE)</f>
        <v>CHI</v>
      </c>
      <c r="E197" s="38">
        <f>VLOOKUP(A197,'The List'!B1:I730,8,FALSE)</f>
        <v>-3.9559172433966978</v>
      </c>
      <c r="F197" s="38">
        <f>IF(Settings!$E$15="POINTS",E197-VLOOKUP(B$2,C1:E227,3,FALSE),J197)</f>
        <v>-10.610586287521098</v>
      </c>
      <c r="G197" s="38"/>
      <c r="H197" s="138">
        <f>RANK(I197,I3:I227)</f>
        <v>202</v>
      </c>
      <c r="I197" s="139">
        <f>VLOOKUP(A197,'Standard Deviations'!A1:C731,3,FALSE)</f>
        <v>-3.9559172433966978</v>
      </c>
      <c r="J197" s="139">
        <f>I197-VLOOKUP(B$2,H1:J227,2,FALSE)</f>
        <v>-10.610586287521098</v>
      </c>
    </row>
    <row r="198" spans="1:10" ht="21.2" customHeight="1">
      <c r="A198" s="8" t="s">
        <v>744</v>
      </c>
      <c r="B198" s="61" t="str">
        <f>VLOOKUP(A198,'The List'!B1:D730,3,FALSE)</f>
        <v>LW</v>
      </c>
      <c r="C198" s="62">
        <f>IF(Settings!$E$15="POINTS",RANK(E198,E3:E227),H198)</f>
        <v>214</v>
      </c>
      <c r="D198" s="34" t="str">
        <f>VLOOKUP(A198,'The List'!B1:F730,5,FALSE)</f>
        <v>COL</v>
      </c>
      <c r="E198" s="38">
        <f>VLOOKUP(A198,'The List'!B1:I730,8,FALSE)</f>
        <v>-4.595605541407366</v>
      </c>
      <c r="F198" s="38">
        <f>IF(Settings!$E$15="POINTS",E198-VLOOKUP(B$2,C1:E227,3,FALSE),J198)</f>
        <v>-11.250274585531766</v>
      </c>
      <c r="G198" s="38"/>
      <c r="H198" s="138">
        <f>RANK(I198,I3:I227)</f>
        <v>214</v>
      </c>
      <c r="I198" s="139">
        <f>VLOOKUP(A198,'Standard Deviations'!A1:C731,3,FALSE)</f>
        <v>-4.595605541407366</v>
      </c>
      <c r="J198" s="139">
        <f>I198-VLOOKUP(B$2,H1:J227,2,FALSE)</f>
        <v>-11.250274585531766</v>
      </c>
    </row>
    <row r="199" spans="1:10" ht="21.2" customHeight="1">
      <c r="A199" s="8" t="s">
        <v>746</v>
      </c>
      <c r="B199" s="61" t="str">
        <f>VLOOKUP(A199,'The List'!B1:D730,3,FALSE)</f>
        <v>LW</v>
      </c>
      <c r="C199" s="62">
        <f>IF(Settings!$E$15="POINTS",RANK(E199,E3:E227),H199)</f>
        <v>163</v>
      </c>
      <c r="D199" s="34" t="str">
        <f>VLOOKUP(A199,'The List'!B1:F730,5,FALSE)</f>
        <v>VAN</v>
      </c>
      <c r="E199" s="38">
        <f>VLOOKUP(A199,'The List'!B1:I730,8,FALSE)</f>
        <v>-2.3904770419940826</v>
      </c>
      <c r="F199" s="38">
        <f>IF(Settings!$E$15="POINTS",E199-VLOOKUP(B$2,C1:E227,3,FALSE),J199)</f>
        <v>-9.0451460861184838</v>
      </c>
      <c r="G199" s="38"/>
      <c r="H199" s="138">
        <f>RANK(I199,I3:I227)</f>
        <v>163</v>
      </c>
      <c r="I199" s="139">
        <f>VLOOKUP(A199,'Standard Deviations'!A1:C731,3,FALSE)</f>
        <v>-2.3904770419940826</v>
      </c>
      <c r="J199" s="139">
        <f>I199-VLOOKUP(B$2,H1:J227,2,FALSE)</f>
        <v>-9.0451460861184838</v>
      </c>
    </row>
    <row r="200" spans="1:10" ht="21.2" customHeight="1">
      <c r="A200" s="8" t="s">
        <v>750</v>
      </c>
      <c r="B200" s="61" t="str">
        <f>VLOOKUP(A200,'The List'!B1:D730,3,FALSE)</f>
        <v>C,LW</v>
      </c>
      <c r="C200" s="62">
        <f>IF(Settings!$E$15="POINTS",RANK(E200,E3:E227),H200)</f>
        <v>121</v>
      </c>
      <c r="D200" s="34" t="str">
        <f>VLOOKUP(A200,'The List'!B1:F730,5,FALSE)</f>
        <v>CGY</v>
      </c>
      <c r="E200" s="38">
        <f>VLOOKUP(A200,'The List'!B1:I730,8,FALSE)</f>
        <v>-0.4382943085740027</v>
      </c>
      <c r="F200" s="38">
        <f>IF(Settings!$E$15="POINTS",E200-VLOOKUP(B$2,C1:E227,3,FALSE),J200)</f>
        <v>-7.0929633526984039</v>
      </c>
      <c r="G200" s="38"/>
      <c r="H200" s="138">
        <f>RANK(I200,I3:I227)</f>
        <v>121</v>
      </c>
      <c r="I200" s="139">
        <f>VLOOKUP(A200,'Standard Deviations'!A1:C731,3,FALSE)</f>
        <v>-0.4382943085740027</v>
      </c>
      <c r="J200" s="139">
        <f>I200-VLOOKUP(B$2,H1:J227,2,FALSE)</f>
        <v>-7.0929633526984039</v>
      </c>
    </row>
    <row r="201" spans="1:10" ht="21.2" customHeight="1">
      <c r="A201" s="8" t="s">
        <v>720</v>
      </c>
      <c r="B201" s="61" t="str">
        <f>VLOOKUP(A201,'The List'!B1:D730,3,FALSE)</f>
        <v>LW,RW</v>
      </c>
      <c r="C201" s="62">
        <f>IF(Settings!$E$15="POINTS",RANK(E201,E3:E227),H201)</f>
        <v>198</v>
      </c>
      <c r="D201" s="34" t="str">
        <f>VLOOKUP(A201,'The List'!B1:F730,5,FALSE)</f>
        <v>MIN</v>
      </c>
      <c r="E201" s="38">
        <f>VLOOKUP(A201,'The List'!B1:I730,8,FALSE)</f>
        <v>-3.847161552483727</v>
      </c>
      <c r="F201" s="38">
        <f>IF(Settings!$E$15="POINTS",E201-VLOOKUP(B$2,C1:E227,3,FALSE),J201)</f>
        <v>-10.501830596608128</v>
      </c>
      <c r="G201" s="38"/>
      <c r="H201" s="138">
        <f>RANK(I201,I3:I227)</f>
        <v>198</v>
      </c>
      <c r="I201" s="139">
        <f>VLOOKUP(A201,'Standard Deviations'!A1:C731,3,FALSE)</f>
        <v>-3.847161552483727</v>
      </c>
      <c r="J201" s="139">
        <f>I201-VLOOKUP(B$2,H1:J227,2,FALSE)</f>
        <v>-10.501830596608128</v>
      </c>
    </row>
    <row r="202" spans="1:10" ht="21.2" customHeight="1">
      <c r="A202" s="8" t="s">
        <v>755</v>
      </c>
      <c r="B202" s="61" t="str">
        <f>VLOOKUP(A202,'The List'!B1:D730,3,FALSE)</f>
        <v>C,LW</v>
      </c>
      <c r="C202" s="62">
        <f>IF(Settings!$E$15="POINTS",RANK(E202,E3:E227),H202)</f>
        <v>207</v>
      </c>
      <c r="D202" s="34" t="str">
        <f>VLOOKUP(A202,'The List'!B1:F730,5,FALSE)</f>
        <v>MIN</v>
      </c>
      <c r="E202" s="38">
        <f>VLOOKUP(A202,'The List'!B1:I730,8,FALSE)</f>
        <v>-4.1870475440077968</v>
      </c>
      <c r="F202" s="38">
        <f>IF(Settings!$E$15="POINTS",E202-VLOOKUP(B$2,C1:E227,3,FALSE),J202)</f>
        <v>-10.841716588132197</v>
      </c>
      <c r="G202" s="38"/>
      <c r="H202" s="138">
        <f>RANK(I202,I3:I227)</f>
        <v>207</v>
      </c>
      <c r="I202" s="139">
        <f>VLOOKUP(A202,'Standard Deviations'!A1:C731,3,FALSE)</f>
        <v>-4.1870475440077968</v>
      </c>
      <c r="J202" s="139">
        <f>I202-VLOOKUP(B$2,H1:J227,2,FALSE)</f>
        <v>-10.841716588132197</v>
      </c>
    </row>
    <row r="203" spans="1:10" ht="21.2" customHeight="1">
      <c r="A203" s="8" t="s">
        <v>757</v>
      </c>
      <c r="B203" s="61" t="str">
        <f>VLOOKUP(A203,'The List'!B1:D730,3,FALSE)</f>
        <v>C,LW</v>
      </c>
      <c r="C203" s="62">
        <f>IF(Settings!$E$15="POINTS",RANK(E203,E3:E227),H203)</f>
        <v>206</v>
      </c>
      <c r="D203" s="34" t="str">
        <f>VLOOKUP(A203,'The List'!B1:F730,5,FALSE)</f>
        <v>NJD</v>
      </c>
      <c r="E203" s="38">
        <f>VLOOKUP(A203,'The List'!B1:I730,8,FALSE)</f>
        <v>-4.1360754113078348</v>
      </c>
      <c r="F203" s="38">
        <f>IF(Settings!$E$15="POINTS",E203-VLOOKUP(B$2,C1:E227,3,FALSE),J203)</f>
        <v>-10.790744455432236</v>
      </c>
      <c r="G203" s="38"/>
      <c r="H203" s="138">
        <f>RANK(I203,I3:I227)</f>
        <v>206</v>
      </c>
      <c r="I203" s="139">
        <f>VLOOKUP(A203,'Standard Deviations'!A1:C731,3,FALSE)</f>
        <v>-4.1360754113078348</v>
      </c>
      <c r="J203" s="139">
        <f>I203-VLOOKUP(B$2,H1:J227,2,FALSE)</f>
        <v>-10.790744455432236</v>
      </c>
    </row>
    <row r="204" spans="1:10" ht="21.2" customHeight="1">
      <c r="A204" s="8" t="s">
        <v>758</v>
      </c>
      <c r="B204" s="61" t="str">
        <f>VLOOKUP(A204,'The List'!B1:D730,3,FALSE)</f>
        <v>LW</v>
      </c>
      <c r="C204" s="62">
        <f>IF(Settings!$E$15="POINTS",RANK(E204,E3:E227),H204)</f>
        <v>197</v>
      </c>
      <c r="D204" s="34" t="str">
        <f>VLOOKUP(A204,'The List'!B1:F730,5,FALSE)</f>
        <v>BOS</v>
      </c>
      <c r="E204" s="38">
        <f>VLOOKUP(A204,'The List'!B1:I730,8,FALSE)</f>
        <v>-3.8421143609125856</v>
      </c>
      <c r="F204" s="38">
        <f>IF(Settings!$E$15="POINTS",E204-VLOOKUP(B$2,C1:E227,3,FALSE),J204)</f>
        <v>-10.496783405036986</v>
      </c>
      <c r="G204" s="38"/>
      <c r="H204" s="138">
        <f>RANK(I204,I3:I227)</f>
        <v>197</v>
      </c>
      <c r="I204" s="139">
        <f>VLOOKUP(A204,'Standard Deviations'!A1:C731,3,FALSE)</f>
        <v>-3.8421143609125856</v>
      </c>
      <c r="J204" s="139">
        <f>I204-VLOOKUP(B$2,H1:J227,2,FALSE)</f>
        <v>-10.496783405036986</v>
      </c>
    </row>
    <row r="205" spans="1:10" ht="21.2" customHeight="1">
      <c r="A205" s="8" t="s">
        <v>759</v>
      </c>
      <c r="B205" s="61" t="str">
        <f>VLOOKUP(A205,'The List'!B1:D730,3,FALSE)</f>
        <v>LW</v>
      </c>
      <c r="C205" s="62">
        <f>IF(Settings!$E$15="POINTS",RANK(E205,E3:E227),H205)</f>
        <v>212</v>
      </c>
      <c r="D205" s="34" t="str">
        <f>VLOOKUP(A205,'The List'!B1:F730,5,FALSE)</f>
        <v>BOS</v>
      </c>
      <c r="E205" s="38">
        <f>VLOOKUP(A205,'The List'!B1:I730,8,FALSE)</f>
        <v>-4.5393853244508895</v>
      </c>
      <c r="F205" s="38">
        <f>IF(Settings!$E$15="POINTS",E205-VLOOKUP(B$2,C1:E227,3,FALSE),J205)</f>
        <v>-11.194054368575291</v>
      </c>
      <c r="G205" s="38"/>
      <c r="H205" s="138">
        <f>RANK(I205,I3:I227)</f>
        <v>212</v>
      </c>
      <c r="I205" s="139">
        <f>VLOOKUP(A205,'Standard Deviations'!A1:C731,3,FALSE)</f>
        <v>-4.5393853244508895</v>
      </c>
      <c r="J205" s="139">
        <f>I205-VLOOKUP(B$2,H1:J227,2,FALSE)</f>
        <v>-11.194054368575291</v>
      </c>
    </row>
    <row r="206" spans="1:10" ht="21.2" customHeight="1">
      <c r="A206" s="8" t="s">
        <v>761</v>
      </c>
      <c r="B206" s="61" t="str">
        <f>VLOOKUP(A206,'The List'!B1:D730,3,FALSE)</f>
        <v>LW</v>
      </c>
      <c r="C206" s="62">
        <f>IF(Settings!$E$15="POINTS",RANK(E206,E3:E227),H206)</f>
        <v>213</v>
      </c>
      <c r="D206" s="34" t="str">
        <f>VLOOKUP(A206,'The List'!B1:F730,5,FALSE)</f>
        <v>UFA</v>
      </c>
      <c r="E206" s="38">
        <f>VLOOKUP(A206,'The List'!B1:I730,8,FALSE)</f>
        <v>-4.5891289709022089</v>
      </c>
      <c r="F206" s="38">
        <f>IF(Settings!$E$15="POINTS",E206-VLOOKUP(B$2,C1:E227,3,FALSE),J206)</f>
        <v>-11.243798015026609</v>
      </c>
      <c r="G206" s="38"/>
      <c r="H206" s="138">
        <f>RANK(I206,I3:I227)</f>
        <v>213</v>
      </c>
      <c r="I206" s="139">
        <f>VLOOKUP(A206,'Standard Deviations'!A1:C731,3,FALSE)</f>
        <v>-4.5891289709022089</v>
      </c>
      <c r="J206" s="139">
        <f>I206-VLOOKUP(B$2,H1:J227,2,FALSE)</f>
        <v>-11.243798015026609</v>
      </c>
    </row>
    <row r="207" spans="1:10" ht="21.2" customHeight="1">
      <c r="A207" s="8" t="s">
        <v>739</v>
      </c>
      <c r="B207" s="61" t="str">
        <f>VLOOKUP(A207,'The List'!B1:D730,3,FALSE)</f>
        <v>C,LW,RW</v>
      </c>
      <c r="C207" s="62">
        <f>IF(Settings!$E$15="POINTS",RANK(E207,E3:E227),H207)</f>
        <v>193</v>
      </c>
      <c r="D207" s="34" t="str">
        <f>VLOOKUP(A207,'The List'!B1:F730,5,FALSE)</f>
        <v>OTT</v>
      </c>
      <c r="E207" s="38">
        <f>VLOOKUP(A207,'The List'!B1:I730,8,FALSE)</f>
        <v>-3.5922632471769935</v>
      </c>
      <c r="F207" s="38">
        <f>IF(Settings!$E$15="POINTS",E207-VLOOKUP(B$2,C1:E227,3,FALSE),J207)</f>
        <v>-10.246932291301395</v>
      </c>
      <c r="G207" s="38"/>
      <c r="H207" s="138">
        <f>RANK(I207,I3:I227)</f>
        <v>193</v>
      </c>
      <c r="I207" s="139">
        <f>VLOOKUP(A207,'Standard Deviations'!A1:C731,3,FALSE)</f>
        <v>-3.5922632471769935</v>
      </c>
      <c r="J207" s="139">
        <f>I207-VLOOKUP(B$2,H1:J227,2,FALSE)</f>
        <v>-10.246932291301395</v>
      </c>
    </row>
    <row r="208" spans="1:10" ht="21.2" customHeight="1">
      <c r="A208" s="8" t="s">
        <v>765</v>
      </c>
      <c r="B208" s="61" t="str">
        <f>VLOOKUP(A208,'The List'!B1:D730,3,FALSE)</f>
        <v>LW</v>
      </c>
      <c r="C208" s="62">
        <f>IF(Settings!$E$15="POINTS",RANK(E208,E3:E227),H208)</f>
        <v>209</v>
      </c>
      <c r="D208" s="34" t="str">
        <f>VLOOKUP(A208,'The List'!B1:F730,5,FALSE)</f>
        <v>NSH</v>
      </c>
      <c r="E208" s="38">
        <f>VLOOKUP(A208,'The List'!B1:I730,8,FALSE)</f>
        <v>-4.4049389066175237</v>
      </c>
      <c r="F208" s="38">
        <f>IF(Settings!$E$15="POINTS",E208-VLOOKUP(B$2,C1:E227,3,FALSE),J208)</f>
        <v>-11.059607950741924</v>
      </c>
      <c r="G208" s="38"/>
      <c r="H208" s="138">
        <f>RANK(I208,I3:I227)</f>
        <v>209</v>
      </c>
      <c r="I208" s="139">
        <f>VLOOKUP(A208,'Standard Deviations'!A1:C731,3,FALSE)</f>
        <v>-4.4049389066175237</v>
      </c>
      <c r="J208" s="139">
        <f>I208-VLOOKUP(B$2,H1:J227,2,FALSE)</f>
        <v>-11.059607950741924</v>
      </c>
    </row>
    <row r="209" spans="1:10" ht="21.2" customHeight="1">
      <c r="A209" s="8" t="s">
        <v>766</v>
      </c>
      <c r="B209" s="61" t="str">
        <f>VLOOKUP(A209,'The List'!B1:D730,3,FALSE)</f>
        <v>C,LW</v>
      </c>
      <c r="C209" s="62">
        <f>IF(Settings!$E$15="POINTS",RANK(E209,E3:E227),H209)</f>
        <v>194</v>
      </c>
      <c r="D209" s="34" t="str">
        <f>VLOOKUP(A209,'The List'!B1:F730,5,FALSE)</f>
        <v>BOS</v>
      </c>
      <c r="E209" s="38">
        <f>VLOOKUP(A209,'The List'!B1:I730,8,FALSE)</f>
        <v>-3.6277871407283206</v>
      </c>
      <c r="F209" s="38">
        <f>IF(Settings!$E$15="POINTS",E209-VLOOKUP(B$2,C1:E227,3,FALSE),J209)</f>
        <v>-10.282456184852721</v>
      </c>
      <c r="G209" s="38"/>
      <c r="H209" s="138">
        <f>RANK(I209,I3:I227)</f>
        <v>194</v>
      </c>
      <c r="I209" s="139">
        <f>VLOOKUP(A209,'Standard Deviations'!A1:C731,3,FALSE)</f>
        <v>-3.6277871407283206</v>
      </c>
      <c r="J209" s="139">
        <f>I209-VLOOKUP(B$2,H1:J227,2,FALSE)</f>
        <v>-10.282456184852721</v>
      </c>
    </row>
    <row r="210" spans="1:10" ht="21.2" customHeight="1">
      <c r="A210" s="8" t="s">
        <v>768</v>
      </c>
      <c r="B210" s="61" t="str">
        <f>VLOOKUP(A210,'The List'!B1:D730,3,FALSE)</f>
        <v>C,LW</v>
      </c>
      <c r="C210" s="62">
        <f>IF(Settings!$E$15="POINTS",RANK(E210,E3:E227),H210)</f>
        <v>190</v>
      </c>
      <c r="D210" s="34" t="str">
        <f>VLOOKUP(A210,'The List'!B1:F730,5,FALSE)</f>
        <v>CAR</v>
      </c>
      <c r="E210" s="38">
        <f>VLOOKUP(A210,'The List'!B1:I730,8,FALSE)</f>
        <v>-3.322707621279247</v>
      </c>
      <c r="F210" s="38">
        <f>IF(Settings!$E$15="POINTS",E210-VLOOKUP(B$2,C1:E227,3,FALSE),J210)</f>
        <v>-9.9773766654036482</v>
      </c>
      <c r="G210" s="38"/>
      <c r="H210" s="138">
        <f>RANK(I210,I3:I227)</f>
        <v>190</v>
      </c>
      <c r="I210" s="139">
        <f>VLOOKUP(A210,'Standard Deviations'!A1:C731,3,FALSE)</f>
        <v>-3.322707621279247</v>
      </c>
      <c r="J210" s="139">
        <f>I210-VLOOKUP(B$2,H1:J227,2,FALSE)</f>
        <v>-9.9773766654036482</v>
      </c>
    </row>
    <row r="211" spans="1:10" ht="21.2" customHeight="1">
      <c r="A211" s="8" t="s">
        <v>748</v>
      </c>
      <c r="B211" s="61" t="str">
        <f>VLOOKUP(A211,'The List'!B1:D730,3,FALSE)</f>
        <v>LW,RW</v>
      </c>
      <c r="C211" s="62">
        <f>IF(Settings!$E$15="POINTS",RANK(E211,E3:E227),H211)</f>
        <v>189</v>
      </c>
      <c r="D211" s="34" t="str">
        <f>VLOOKUP(A211,'The List'!B1:F730,5,FALSE)</f>
        <v>PIT</v>
      </c>
      <c r="E211" s="38">
        <f>VLOOKUP(A211,'The List'!B1:I730,8,FALSE)</f>
        <v>-3.3040523489701288</v>
      </c>
      <c r="F211" s="38">
        <f>IF(Settings!$E$15="POINTS",E211-VLOOKUP(B$2,C1:E227,3,FALSE),J211)</f>
        <v>-9.95872139309453</v>
      </c>
      <c r="G211" s="38"/>
      <c r="H211" s="138">
        <f>RANK(I211,I3:I227)</f>
        <v>189</v>
      </c>
      <c r="I211" s="139">
        <f>VLOOKUP(A211,'Standard Deviations'!A1:C731,3,FALSE)</f>
        <v>-3.3040523489701288</v>
      </c>
      <c r="J211" s="139">
        <f>I211-VLOOKUP(B$2,H1:J227,2,FALSE)</f>
        <v>-9.95872139309453</v>
      </c>
    </row>
    <row r="212" spans="1:10" ht="21.2" customHeight="1">
      <c r="A212" s="8" t="s">
        <v>772</v>
      </c>
      <c r="B212" s="61" t="str">
        <f>VLOOKUP(A212,'The List'!B1:D730,3,FALSE)</f>
        <v>C,LW</v>
      </c>
      <c r="C212" s="62">
        <f>IF(Settings!$E$15="POINTS",RANK(E212,E3:E227),H212)</f>
        <v>204</v>
      </c>
      <c r="D212" s="34" t="str">
        <f>VLOOKUP(A212,'The List'!B1:F730,5,FALSE)</f>
        <v>LAK</v>
      </c>
      <c r="E212" s="38">
        <f>VLOOKUP(A212,'The List'!B1:I730,8,FALSE)</f>
        <v>-4.0097239398523401</v>
      </c>
      <c r="F212" s="38">
        <f>IF(Settings!$E$15="POINTS",E212-VLOOKUP(B$2,C1:E227,3,FALSE),J212)</f>
        <v>-10.664392983976741</v>
      </c>
      <c r="G212" s="38"/>
      <c r="H212" s="138">
        <f>RANK(I212,I3:I227)</f>
        <v>204</v>
      </c>
      <c r="I212" s="139">
        <f>VLOOKUP(A212,'Standard Deviations'!A1:C731,3,FALSE)</f>
        <v>-4.0097239398523401</v>
      </c>
      <c r="J212" s="139">
        <f>I212-VLOOKUP(B$2,H1:J227,2,FALSE)</f>
        <v>-10.664392983976741</v>
      </c>
    </row>
    <row r="213" spans="1:10" ht="21.2" customHeight="1">
      <c r="A213" s="8" t="s">
        <v>775</v>
      </c>
      <c r="B213" s="61" t="str">
        <f>VLOOKUP(A213,'The List'!B1:D730,3,FALSE)</f>
        <v>LW</v>
      </c>
      <c r="C213" s="62">
        <f>IF(Settings!$E$15="POINTS",RANK(E213,E3:E227),H213)</f>
        <v>221</v>
      </c>
      <c r="D213" s="34" t="str">
        <f>VLOOKUP(A213,'The List'!B1:F730,5,FALSE)</f>
        <v>NYI</v>
      </c>
      <c r="E213" s="38">
        <f>VLOOKUP(A213,'The List'!B1:I730,8,FALSE)</f>
        <v>-5.1319470863537751</v>
      </c>
      <c r="F213" s="38">
        <f>IF(Settings!$E$15="POINTS",E213-VLOOKUP(B$2,C1:E227,3,FALSE),J213)</f>
        <v>-11.786616130478176</v>
      </c>
      <c r="G213" s="38"/>
      <c r="H213" s="138">
        <f>RANK(I213,I3:I227)</f>
        <v>221</v>
      </c>
      <c r="I213" s="139">
        <f>VLOOKUP(A213,'Standard Deviations'!A1:C731,3,FALSE)</f>
        <v>-5.1319470863537751</v>
      </c>
      <c r="J213" s="139">
        <f>I213-VLOOKUP(B$2,H1:J227,2,FALSE)</f>
        <v>-11.786616130478176</v>
      </c>
    </row>
    <row r="214" spans="1:10" ht="21.2" customHeight="1">
      <c r="A214" s="8" t="s">
        <v>778</v>
      </c>
      <c r="B214" s="61" t="str">
        <f>VLOOKUP(A214,'The List'!B1:D730,3,FALSE)</f>
        <v>LW</v>
      </c>
      <c r="C214" s="62">
        <f>IF(Settings!$E$15="POINTS",RANK(E214,E3:E227),H214)</f>
        <v>211</v>
      </c>
      <c r="D214" s="34" t="str">
        <f>VLOOKUP(A214,'The List'!B1:F730,5,FALSE)</f>
        <v>EDM</v>
      </c>
      <c r="E214" s="38">
        <f>VLOOKUP(A214,'The List'!B1:I730,8,FALSE)</f>
        <v>-4.5328673239355943</v>
      </c>
      <c r="F214" s="38">
        <f>IF(Settings!$E$15="POINTS",E214-VLOOKUP(B$2,C1:E227,3,FALSE),J214)</f>
        <v>-11.187536368059995</v>
      </c>
      <c r="G214" s="38"/>
      <c r="H214" s="138">
        <f>RANK(I214,I3:I227)</f>
        <v>211</v>
      </c>
      <c r="I214" s="139">
        <f>VLOOKUP(A214,'Standard Deviations'!A1:C731,3,FALSE)</f>
        <v>-4.5328673239355943</v>
      </c>
      <c r="J214" s="139">
        <f>I214-VLOOKUP(B$2,H1:J227,2,FALSE)</f>
        <v>-11.187536368059995</v>
      </c>
    </row>
    <row r="215" spans="1:10" ht="21.2" customHeight="1">
      <c r="A215" s="8" t="s">
        <v>779</v>
      </c>
      <c r="B215" s="61" t="str">
        <f>VLOOKUP(A215,'The List'!B1:D730,3,FALSE)</f>
        <v>LW</v>
      </c>
      <c r="C215" s="62">
        <f>IF(Settings!$E$15="POINTS",RANK(E215,E3:E227),H215)</f>
        <v>218</v>
      </c>
      <c r="D215" s="34" t="str">
        <f>VLOOKUP(A215,'The List'!B1:F730,5,FALSE)</f>
        <v>OTT</v>
      </c>
      <c r="E215" s="38">
        <f>VLOOKUP(A215,'The List'!B1:I730,8,FALSE)</f>
        <v>-4.7602639265964619</v>
      </c>
      <c r="F215" s="38">
        <f>IF(Settings!$E$15="POINTS",E215-VLOOKUP(B$2,C1:E227,3,FALSE),J215)</f>
        <v>-11.414932970720862</v>
      </c>
      <c r="G215" s="38"/>
      <c r="H215" s="138">
        <f>RANK(I215,I3:I227)</f>
        <v>218</v>
      </c>
      <c r="I215" s="139">
        <f>VLOOKUP(A215,'Standard Deviations'!A1:C731,3,FALSE)</f>
        <v>-4.7602639265964619</v>
      </c>
      <c r="J215" s="139">
        <f>I215-VLOOKUP(B$2,H1:J227,2,FALSE)</f>
        <v>-11.414932970720862</v>
      </c>
    </row>
    <row r="216" spans="1:10" ht="21.2" customHeight="1">
      <c r="A216" s="8" t="s">
        <v>781</v>
      </c>
      <c r="B216" s="61" t="str">
        <f>VLOOKUP(A216,'The List'!B1:D730,3,FALSE)</f>
        <v>LW</v>
      </c>
      <c r="C216" s="62">
        <f>IF(Settings!$E$15="POINTS",RANK(E216,E3:E227),H216)</f>
        <v>220</v>
      </c>
      <c r="D216" s="34" t="str">
        <f>VLOOKUP(A216,'The List'!B1:F730,5,FALSE)</f>
        <v>MIN</v>
      </c>
      <c r="E216" s="38">
        <f>VLOOKUP(A216,'The List'!B1:I730,8,FALSE)</f>
        <v>-5.092804477832261</v>
      </c>
      <c r="F216" s="38">
        <f>IF(Settings!$E$15="POINTS",E216-VLOOKUP(B$2,C1:E227,3,FALSE),J216)</f>
        <v>-11.747473521956662</v>
      </c>
      <c r="G216" s="38"/>
      <c r="H216" s="138">
        <f>RANK(I216,I3:I227)</f>
        <v>220</v>
      </c>
      <c r="I216" s="139">
        <f>VLOOKUP(A216,'Standard Deviations'!A1:C731,3,FALSE)</f>
        <v>-5.092804477832261</v>
      </c>
      <c r="J216" s="139">
        <f>I216-VLOOKUP(B$2,H1:J227,2,FALSE)</f>
        <v>-11.747473521956662</v>
      </c>
    </row>
    <row r="217" spans="1:10" ht="21.2" customHeight="1">
      <c r="A217" s="8" t="s">
        <v>787</v>
      </c>
      <c r="B217" s="61" t="str">
        <f>VLOOKUP(A217,'The List'!B1:D730,3,FALSE)</f>
        <v>LW</v>
      </c>
      <c r="C217" s="62">
        <f>IF(Settings!$E$15="POINTS",RANK(E217,E3:E227),H217)</f>
        <v>183</v>
      </c>
      <c r="D217" s="34" t="str">
        <f>VLOOKUP(A217,'The List'!B1:F730,5,FALSE)</f>
        <v>PIT</v>
      </c>
      <c r="E217" s="38">
        <f>VLOOKUP(A217,'The List'!B1:I730,8,FALSE)</f>
        <v>-3.2288039069087691</v>
      </c>
      <c r="F217" s="38">
        <f>IF(Settings!$E$15="POINTS",E217-VLOOKUP(B$2,C1:E227,3,FALSE),J217)</f>
        <v>-9.8834729510331698</v>
      </c>
      <c r="G217" s="38"/>
      <c r="H217" s="138">
        <f>RANK(I217,I3:I227)</f>
        <v>183</v>
      </c>
      <c r="I217" s="139">
        <f>VLOOKUP(A217,'Standard Deviations'!A1:C731,3,FALSE)</f>
        <v>-3.2288039069087691</v>
      </c>
      <c r="J217" s="139">
        <f>I217-VLOOKUP(B$2,H1:J227,2,FALSE)</f>
        <v>-9.8834729510331698</v>
      </c>
    </row>
    <row r="218" spans="1:10" ht="21.2" customHeight="1">
      <c r="A218" s="8" t="s">
        <v>789</v>
      </c>
      <c r="B218" s="61" t="str">
        <f>VLOOKUP(A218,'The List'!B1:D730,3,FALSE)</f>
        <v>LW</v>
      </c>
      <c r="C218" s="62">
        <f>IF(Settings!$E$15="POINTS",RANK(E218,E3:E227),H218)</f>
        <v>222</v>
      </c>
      <c r="D218" s="34" t="str">
        <f>VLOOKUP(A218,'The List'!B1:F730,5,FALSE)</f>
        <v>PHI</v>
      </c>
      <c r="E218" s="38">
        <f>VLOOKUP(A218,'The List'!B1:I730,8,FALSE)</f>
        <v>-5.3846071864428602</v>
      </c>
      <c r="F218" s="38">
        <f>IF(Settings!$E$15="POINTS",E218-VLOOKUP(B$2,C1:E227,3,FALSE),J218)</f>
        <v>-12.03927623056726</v>
      </c>
      <c r="G218" s="38"/>
      <c r="H218" s="138">
        <f>RANK(I218,I3:I227)</f>
        <v>222</v>
      </c>
      <c r="I218" s="139">
        <f>VLOOKUP(A218,'Standard Deviations'!A1:C731,3,FALSE)</f>
        <v>-5.3846071864428602</v>
      </c>
      <c r="J218" s="139">
        <f>I218-VLOOKUP(B$2,H1:J227,2,FALSE)</f>
        <v>-12.03927623056726</v>
      </c>
    </row>
    <row r="219" spans="1:10" ht="21.2" customHeight="1">
      <c r="A219" s="8" t="s">
        <v>791</v>
      </c>
      <c r="B219" s="61" t="str">
        <f>VLOOKUP(A219,'The List'!B1:D730,3,FALSE)</f>
        <v>LW</v>
      </c>
      <c r="C219" s="62">
        <f>IF(Settings!$E$15="POINTS",RANK(E219,E3:E227),H219)</f>
        <v>217</v>
      </c>
      <c r="D219" s="34" t="str">
        <f>VLOOKUP(A219,'The List'!B1:F730,5,FALSE)</f>
        <v>STL</v>
      </c>
      <c r="E219" s="38">
        <f>VLOOKUP(A219,'The List'!B1:I730,8,FALSE)</f>
        <v>-4.706783555182799</v>
      </c>
      <c r="F219" s="38">
        <f>IF(Settings!$E$15="POINTS",E219-VLOOKUP(B$2,C1:E227,3,FALSE),J219)</f>
        <v>-11.361452599307199</v>
      </c>
      <c r="G219" s="38"/>
      <c r="H219" s="138">
        <f>RANK(I219,I3:I227)</f>
        <v>217</v>
      </c>
      <c r="I219" s="139">
        <f>VLOOKUP(A219,'Standard Deviations'!A1:C731,3,FALSE)</f>
        <v>-4.706783555182799</v>
      </c>
      <c r="J219" s="139">
        <f>I219-VLOOKUP(B$2,H1:J227,2,FALSE)</f>
        <v>-11.361452599307199</v>
      </c>
    </row>
    <row r="220" spans="1:10" ht="21.2" customHeight="1">
      <c r="A220" s="8" t="s">
        <v>797</v>
      </c>
      <c r="B220" s="61" t="str">
        <f>VLOOKUP(A220,'The List'!B1:D730,3,FALSE)</f>
        <v>C,LW</v>
      </c>
      <c r="C220" s="62">
        <f>IF(Settings!$E$15="POINTS",RANK(E220,E3:E227),H220)</f>
        <v>223</v>
      </c>
      <c r="D220" s="34" t="str">
        <f>VLOOKUP(A220,'The List'!B1:F730,5,FALSE)</f>
        <v>SEA</v>
      </c>
      <c r="E220" s="38">
        <f>VLOOKUP(A220,'The List'!B1:I730,8,FALSE)</f>
        <v>-5.4266330963892599</v>
      </c>
      <c r="F220" s="38">
        <f>IF(Settings!$E$15="POINTS",E220-VLOOKUP(B$2,C1:E227,3,FALSE),J220)</f>
        <v>-12.08130214051366</v>
      </c>
      <c r="G220" s="38"/>
      <c r="H220" s="138">
        <f>RANK(I220,I3:I227)</f>
        <v>223</v>
      </c>
      <c r="I220" s="139">
        <f>VLOOKUP(A220,'Standard Deviations'!A1:C731,3,FALSE)</f>
        <v>-5.4266330963892599</v>
      </c>
      <c r="J220" s="139">
        <f>I220-VLOOKUP(B$2,H1:J227,2,FALSE)</f>
        <v>-12.08130214051366</v>
      </c>
    </row>
    <row r="221" spans="1:10" ht="21.2" customHeight="1">
      <c r="A221" s="8" t="s">
        <v>799</v>
      </c>
      <c r="B221" s="61" t="str">
        <f>VLOOKUP(A221,'The List'!B1:D730,3,FALSE)</f>
        <v>C,LW</v>
      </c>
      <c r="C221" s="62">
        <f>IF(Settings!$E$15="POINTS",RANK(E221,E3:E227),H221)</f>
        <v>210</v>
      </c>
      <c r="D221" s="34" t="str">
        <f>VLOOKUP(A221,'The List'!B1:F730,5,FALSE)</f>
        <v>MIN</v>
      </c>
      <c r="E221" s="38">
        <f>VLOOKUP(A221,'The List'!B1:I730,8,FALSE)</f>
        <v>-4.445138037026017</v>
      </c>
      <c r="F221" s="38">
        <f>IF(Settings!$E$15="POINTS",E221-VLOOKUP(B$2,C1:E227,3,FALSE),J221)</f>
        <v>-11.099807081150418</v>
      </c>
      <c r="G221" s="38"/>
      <c r="H221" s="138">
        <f>RANK(I221,I3:I227)</f>
        <v>210</v>
      </c>
      <c r="I221" s="139">
        <f>VLOOKUP(A221,'Standard Deviations'!A1:C731,3,FALSE)</f>
        <v>-4.445138037026017</v>
      </c>
      <c r="J221" s="139">
        <f>I221-VLOOKUP(B$2,H1:J227,2,FALSE)</f>
        <v>-11.099807081150418</v>
      </c>
    </row>
    <row r="222" spans="1:10" ht="21.2" customHeight="1">
      <c r="A222" s="8" t="s">
        <v>805</v>
      </c>
      <c r="B222" s="61" t="str">
        <f>VLOOKUP(A222,'The List'!B1:D730,3,FALSE)</f>
        <v>LW</v>
      </c>
      <c r="C222" s="62">
        <f>IF(Settings!$E$15="POINTS",RANK(E222,E3:E227),H222)</f>
        <v>215</v>
      </c>
      <c r="D222" s="34" t="str">
        <f>VLOOKUP(A222,'The List'!B1:F730,5,FALSE)</f>
        <v>COL</v>
      </c>
      <c r="E222" s="38">
        <f>VLOOKUP(A222,'The List'!B1:I730,8,FALSE)</f>
        <v>-4.5970335044850152</v>
      </c>
      <c r="F222" s="38">
        <f>IF(Settings!$E$15="POINTS",E222-VLOOKUP(B$2,C1:E227,3,FALSE),J222)</f>
        <v>-11.251702548609416</v>
      </c>
      <c r="G222" s="38"/>
      <c r="H222" s="138">
        <f>RANK(I222,I3:I227)</f>
        <v>215</v>
      </c>
      <c r="I222" s="139">
        <f>VLOOKUP(A222,'Standard Deviations'!A1:C731,3,FALSE)</f>
        <v>-4.5970335044850152</v>
      </c>
      <c r="J222" s="139">
        <f>I222-VLOOKUP(B$2,H1:J227,2,FALSE)</f>
        <v>-11.251702548609416</v>
      </c>
    </row>
    <row r="223" spans="1:10" ht="21.2" customHeight="1">
      <c r="A223" s="8" t="s">
        <v>806</v>
      </c>
      <c r="B223" s="61" t="str">
        <f>VLOOKUP(A223,'The List'!B1:D730,3,FALSE)</f>
        <v>LW</v>
      </c>
      <c r="C223" s="62">
        <f>IF(Settings!$E$15="POINTS",RANK(E223,E3:E227),H223)</f>
        <v>216</v>
      </c>
      <c r="D223" s="34" t="str">
        <f>VLOOKUP(A223,'The List'!B1:F730,5,FALSE)</f>
        <v>FLA</v>
      </c>
      <c r="E223" s="38">
        <f>VLOOKUP(A223,'The List'!B1:I730,8,FALSE)</f>
        <v>-4.6018728336189882</v>
      </c>
      <c r="F223" s="38">
        <f>IF(Settings!$E$15="POINTS",E223-VLOOKUP(B$2,C1:E227,3,FALSE),J223)</f>
        <v>-11.256541877743389</v>
      </c>
      <c r="G223" s="38"/>
      <c r="H223" s="138">
        <f>RANK(I223,I3:I227)</f>
        <v>216</v>
      </c>
      <c r="I223" s="139">
        <f>VLOOKUP(A223,'Standard Deviations'!A1:C731,3,FALSE)</f>
        <v>-4.6018728336189882</v>
      </c>
      <c r="J223" s="139">
        <f>I223-VLOOKUP(B$2,H1:J227,2,FALSE)</f>
        <v>-11.256541877743389</v>
      </c>
    </row>
    <row r="224" spans="1:10" ht="21.2" customHeight="1">
      <c r="A224" s="8" t="s">
        <v>809</v>
      </c>
      <c r="B224" s="61" t="str">
        <f>VLOOKUP(A224,'The List'!B1:D730,3,FALSE)</f>
        <v>LW</v>
      </c>
      <c r="C224" s="62">
        <f>IF(Settings!$E$15="POINTS",RANK(E224,E3:E227),H224)</f>
        <v>208</v>
      </c>
      <c r="D224" s="34" t="str">
        <f>VLOOKUP(A224,'The List'!B1:F730,5,FALSE)</f>
        <v>NJD</v>
      </c>
      <c r="E224" s="38">
        <f>VLOOKUP(A224,'The List'!B1:I730,8,FALSE)</f>
        <v>-4.3848602024372312</v>
      </c>
      <c r="F224" s="38">
        <f>IF(Settings!$E$15="POINTS",E224-VLOOKUP(B$2,C1:E227,3,FALSE),J224)</f>
        <v>-11.039529246561631</v>
      </c>
      <c r="G224" s="38"/>
      <c r="H224" s="138">
        <f>RANK(I224,I3:I227)</f>
        <v>208</v>
      </c>
      <c r="I224" s="139">
        <f>VLOOKUP(A224,'Standard Deviations'!A1:C731,3,FALSE)</f>
        <v>-4.3848602024372312</v>
      </c>
      <c r="J224" s="139">
        <f>I224-VLOOKUP(B$2,H1:J227,2,FALSE)</f>
        <v>-11.039529246561631</v>
      </c>
    </row>
    <row r="225" spans="1:10" ht="21.2" customHeight="1">
      <c r="A225" s="8" t="s">
        <v>813</v>
      </c>
      <c r="B225" s="61" t="str">
        <f>VLOOKUP(A225,'The List'!B1:D730,3,FALSE)</f>
        <v>LW</v>
      </c>
      <c r="C225" s="62">
        <f>IF(Settings!$E$15="POINTS",RANK(E225,E3:E227),H225)</f>
        <v>219</v>
      </c>
      <c r="D225" s="34" t="str">
        <f>VLOOKUP(A225,'The List'!B1:F730,5,FALSE)</f>
        <v>COL</v>
      </c>
      <c r="E225" s="38">
        <f>VLOOKUP(A225,'The List'!B1:I730,8,FALSE)</f>
        <v>-5.0374279662402941</v>
      </c>
      <c r="F225" s="38">
        <f>IF(Settings!$E$15="POINTS",E225-VLOOKUP(B$2,C1:E227,3,FALSE),J225)</f>
        <v>-11.692097010364694</v>
      </c>
      <c r="G225" s="38"/>
      <c r="H225" s="138">
        <f>RANK(I225,I3:I227)</f>
        <v>219</v>
      </c>
      <c r="I225" s="139">
        <f>VLOOKUP(A225,'Standard Deviations'!A1:C731,3,FALSE)</f>
        <v>-5.0374279662402941</v>
      </c>
      <c r="J225" s="139">
        <f>I225-VLOOKUP(B$2,H1:J227,2,FALSE)</f>
        <v>-11.692097010364694</v>
      </c>
    </row>
    <row r="226" spans="1:10" ht="21.2" customHeight="1">
      <c r="A226" s="8" t="s">
        <v>794</v>
      </c>
      <c r="B226" s="61" t="str">
        <f>VLOOKUP(A226,'The List'!B1:D730,3,FALSE)</f>
        <v>LW,RW</v>
      </c>
      <c r="C226" s="62">
        <f>IF(Settings!$E$15="POINTS",RANK(E226,E3:E227),H226)</f>
        <v>224</v>
      </c>
      <c r="D226" s="34" t="str">
        <f>VLOOKUP(A226,'The List'!B1:F730,5,FALSE)</f>
        <v>SJS</v>
      </c>
      <c r="E226" s="38">
        <f>VLOOKUP(A226,'The List'!B1:I730,8,FALSE)</f>
        <v>-5.5446315249577207</v>
      </c>
      <c r="F226" s="38">
        <f>IF(Settings!$E$15="POINTS",E226-VLOOKUP(B$2,C1:E227,3,FALSE),J226)</f>
        <v>-12.199300569082123</v>
      </c>
      <c r="G226" s="38"/>
      <c r="H226" s="138">
        <f>RANK(I226,I3:I227)</f>
        <v>224</v>
      </c>
      <c r="I226" s="139">
        <f>VLOOKUP(A226,'Standard Deviations'!A1:C731,3,FALSE)</f>
        <v>-5.5446315249577207</v>
      </c>
      <c r="J226" s="139">
        <f>I226-VLOOKUP(B$2,H1:J227,2,FALSE)</f>
        <v>-12.199300569082123</v>
      </c>
    </row>
    <row r="227" spans="1:10" ht="21.2" customHeight="1">
      <c r="A227" s="8" t="s">
        <v>824</v>
      </c>
      <c r="B227" s="61" t="str">
        <f>VLOOKUP(A227,'The List'!B1:D730,3,FALSE)</f>
        <v>LW</v>
      </c>
      <c r="C227" s="62">
        <f>IF(Settings!$E$15="POINTS",RANK(E227,E3:E227),H227)</f>
        <v>225</v>
      </c>
      <c r="D227" s="34" t="str">
        <f>VLOOKUP(A227,'The List'!B1:F730,5,FALSE)</f>
        <v>NYI</v>
      </c>
      <c r="E227" s="38">
        <f>VLOOKUP(A227,'The List'!B1:I730,8,FALSE)</f>
        <v>-6.0101111442322228</v>
      </c>
      <c r="F227" s="38">
        <f>IF(Settings!$E$15="POINTS",E227-VLOOKUP(B$2,C1:E227,3,FALSE),J227)</f>
        <v>-12.664780188356623</v>
      </c>
      <c r="G227" s="38"/>
      <c r="H227" s="138">
        <f>RANK(I227,I3:I227)</f>
        <v>225</v>
      </c>
      <c r="I227" s="139">
        <f>VLOOKUP(A227,'Standard Deviations'!A1:C731,3,FALSE)</f>
        <v>-6.0101111442322228</v>
      </c>
      <c r="J227" s="139">
        <f>I227-VLOOKUP(B$2,H1:J227,2,FALSE)</f>
        <v>-12.664780188356623</v>
      </c>
    </row>
  </sheetData>
  <conditionalFormatting sqref="C3:C227 H3:H227">
    <cfRule type="containsText" dxfId="23" priority="1" stopIfTrue="1" operator="containsText" text="/">
      <formula>NOT(ISERROR(FIND(UPPER("/"),UPPER(C3))))</formula>
      <formula>"/"</formula>
    </cfRule>
    <cfRule type="containsText" dxfId="22" priority="2" stopIfTrue="1" operator="containsText" text="C">
      <formula>NOT(ISERROR(FIND(UPPER("C"),UPPER(C3))))</formula>
      <formula>"C"</formula>
    </cfRule>
    <cfRule type="containsText" dxfId="21" priority="3" stopIfTrue="1" operator="containsText" text="D">
      <formula>NOT(ISERROR(FIND(UPPER("D"),UPPER(C3))))</formula>
      <formula>"D"</formula>
    </cfRule>
    <cfRule type="containsText" dxfId="20" priority="4" stopIfTrue="1" operator="containsText" text="LW">
      <formula>NOT(ISERROR(FIND(UPPER("LW"),UPPER(C3))))</formula>
      <formula>"LW"</formula>
    </cfRule>
    <cfRule type="containsText" dxfId="19" priority="5" stopIfTrue="1" operator="containsText" text="RW">
      <formula>NOT(ISERROR(FIND(UPPER("RW"),UPPER(C3))))</formula>
      <formula>"RW"</formula>
    </cfRule>
    <cfRule type="containsText" dxfId="18" priority="6" stopIfTrue="1" operator="containsText" text="G">
      <formula>NOT(ISERROR(FIND(UPPER("G"),UPPER(C3))))</formula>
      <formula>"G"</formula>
    </cfRule>
  </conditionalFormatting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J189"/>
  <sheetViews>
    <sheetView showGridLines="0" workbookViewId="0">
      <pane ySplit="2" topLeftCell="A3" activePane="bottomLeft" state="frozen"/>
      <selection pane="bottomLeft"/>
    </sheetView>
  </sheetViews>
  <sheetFormatPr defaultColWidth="8" defaultRowHeight="16.350000000000001" customHeight="1"/>
  <cols>
    <col min="1" max="1" width="33" style="1" customWidth="1"/>
    <col min="2" max="2" width="7.140625" style="1" customWidth="1"/>
    <col min="3" max="3" width="6" style="1" customWidth="1"/>
    <col min="4" max="6" width="8.28515625" style="1" customWidth="1"/>
    <col min="7" max="10" width="1.28515625" style="1" customWidth="1"/>
    <col min="11" max="11" width="8" style="1" customWidth="1"/>
    <col min="12" max="16384" width="8" style="1"/>
  </cols>
  <sheetData>
    <row r="1" spans="1:10" ht="28.35" customHeight="1">
      <c r="A1" s="121" t="s">
        <v>841</v>
      </c>
      <c r="B1" s="122" t="s">
        <v>848</v>
      </c>
      <c r="C1" s="123"/>
      <c r="D1" s="4" t="s">
        <v>843</v>
      </c>
      <c r="E1" s="124" t="s">
        <v>844</v>
      </c>
      <c r="F1" s="122" t="s">
        <v>72</v>
      </c>
      <c r="G1" s="125"/>
      <c r="H1" s="126"/>
      <c r="I1" s="127" t="s">
        <v>845</v>
      </c>
      <c r="J1" s="128" t="s">
        <v>72</v>
      </c>
    </row>
    <row r="2" spans="1:10" ht="28.35" customHeight="1">
      <c r="A2" s="129" t="s">
        <v>40</v>
      </c>
      <c r="B2" s="130">
        <f>Settings!F4</f>
        <v>35</v>
      </c>
      <c r="C2" s="131"/>
      <c r="D2" s="132"/>
      <c r="E2" s="133"/>
      <c r="F2" s="133"/>
      <c r="G2" s="133"/>
      <c r="H2" s="140"/>
      <c r="I2" s="141"/>
      <c r="J2" s="141"/>
    </row>
    <row r="3" spans="1:10" ht="21.2" customHeight="1">
      <c r="A3" s="8" t="s">
        <v>107</v>
      </c>
      <c r="B3" s="64" t="str">
        <f>VLOOKUP(A3,'The List'!B1:D730,3,FALSE)</f>
        <v>LW,RW</v>
      </c>
      <c r="C3" s="65">
        <f>IF(Settings!$E$15="POINTS",RANK(E3,E3:E189),H3)</f>
        <v>3</v>
      </c>
      <c r="D3" s="34" t="str">
        <f>VLOOKUP(A3,'The List'!B1:F730,5,FALSE)</f>
        <v>FLA</v>
      </c>
      <c r="E3" s="38">
        <f>VLOOKUP(A3,'The List'!B1:I730,8,FALSE)</f>
        <v>14.152386882929994</v>
      </c>
      <c r="F3" s="38">
        <f>IF(Settings!$E$15="POINTS",E3-VLOOKUP(B$2,C1:E189,3,FALSE),J3)</f>
        <v>7.8721281639189131</v>
      </c>
      <c r="G3" s="38"/>
      <c r="H3" s="142">
        <f>RANK(I3,I3:I189)</f>
        <v>3</v>
      </c>
      <c r="I3" s="143">
        <f>VLOOKUP(A3,'Standard Deviations'!A1:C731,3,FALSE)</f>
        <v>14.152386882929994</v>
      </c>
      <c r="J3" s="143">
        <f>I3-VLOOKUP(B$2,H1:J189,2,FALSE)</f>
        <v>7.8721281639189131</v>
      </c>
    </row>
    <row r="4" spans="1:10" ht="21.2" customHeight="1">
      <c r="A4" s="8" t="s">
        <v>109</v>
      </c>
      <c r="B4" s="64" t="str">
        <f>VLOOKUP(A4,'The List'!B1:D730,3,FALSE)</f>
        <v>RW</v>
      </c>
      <c r="C4" s="65">
        <f>IF(Settings!$E$15="POINTS",RANK(E4,E3:E189),H4)</f>
        <v>2</v>
      </c>
      <c r="D4" s="34" t="str">
        <f>VLOOKUP(A4,'The List'!B1:F730,5,FALSE)</f>
        <v>BOS</v>
      </c>
      <c r="E4" s="38">
        <f>VLOOKUP(A4,'The List'!B1:I730,8,FALSE)</f>
        <v>14.307865123333888</v>
      </c>
      <c r="F4" s="38">
        <f>IF(Settings!$E$15="POINTS",E4-VLOOKUP(B$2,C1:E189,3,FALSE),J4)</f>
        <v>8.0276064043228068</v>
      </c>
      <c r="G4" s="38"/>
      <c r="H4" s="138">
        <f>RANK(I4,I3:I189)</f>
        <v>2</v>
      </c>
      <c r="I4" s="139">
        <f>VLOOKUP(A4,'Standard Deviations'!A1:C731,3,FALSE)</f>
        <v>14.307865123333888</v>
      </c>
      <c r="J4" s="139">
        <f>I4-VLOOKUP(B$2,H1:J189,2,FALSE)</f>
        <v>8.0276064043228068</v>
      </c>
    </row>
    <row r="5" spans="1:10" ht="21.2" customHeight="1">
      <c r="A5" s="8" t="s">
        <v>110</v>
      </c>
      <c r="B5" s="64" t="str">
        <f>VLOOKUP(A5,'The List'!B1:D730,3,FALSE)</f>
        <v>RW</v>
      </c>
      <c r="C5" s="65">
        <f>IF(Settings!$E$15="POINTS",RANK(E5,E3:E189),H5)</f>
        <v>1</v>
      </c>
      <c r="D5" s="34" t="str">
        <f>VLOOKUP(A5,'The List'!B1:F730,5,FALSE)</f>
        <v>TBL</v>
      </c>
      <c r="E5" s="38">
        <f>VLOOKUP(A5,'The List'!B1:I730,8,FALSE)</f>
        <v>14.394723954666029</v>
      </c>
      <c r="F5" s="38">
        <f>IF(Settings!$E$15="POINTS",E5-VLOOKUP(B$2,C1:E189,3,FALSE),J5)</f>
        <v>8.1144652356549472</v>
      </c>
      <c r="G5" s="38"/>
      <c r="H5" s="138">
        <f>RANK(I5,I3:I189)</f>
        <v>1</v>
      </c>
      <c r="I5" s="139">
        <f>VLOOKUP(A5,'Standard Deviations'!A1:C731,3,FALSE)</f>
        <v>14.394723954666029</v>
      </c>
      <c r="J5" s="139">
        <f>I5-VLOOKUP(B$2,H1:J189,2,FALSE)</f>
        <v>8.1144652356549472</v>
      </c>
    </row>
    <row r="6" spans="1:10" ht="21.2" customHeight="1">
      <c r="A6" s="8" t="s">
        <v>111</v>
      </c>
      <c r="B6" s="64" t="str">
        <f>VLOOKUP(A6,'The List'!B1:D730,3,FALSE)</f>
        <v>C,RW</v>
      </c>
      <c r="C6" s="65">
        <f>IF(Settings!$E$15="POINTS",RANK(E6,E3:E189),H6)</f>
        <v>4</v>
      </c>
      <c r="D6" s="34" t="str">
        <f>VLOOKUP(A6,'The List'!B1:F730,5,FALSE)</f>
        <v>COL</v>
      </c>
      <c r="E6" s="38">
        <f>VLOOKUP(A6,'The List'!B1:I730,8,FALSE)</f>
        <v>13.949350066699878</v>
      </c>
      <c r="F6" s="38">
        <f>IF(Settings!$E$15="POINTS",E6-VLOOKUP(B$2,C1:E189,3,FALSE),J6)</f>
        <v>7.6690913476887976</v>
      </c>
      <c r="G6" s="38"/>
      <c r="H6" s="138">
        <f>RANK(I6,I3:I189)</f>
        <v>4</v>
      </c>
      <c r="I6" s="139">
        <f>VLOOKUP(A6,'Standard Deviations'!A1:C731,3,FALSE)</f>
        <v>13.949350066699878</v>
      </c>
      <c r="J6" s="139">
        <f>I6-VLOOKUP(B$2,H1:J189,2,FALSE)</f>
        <v>7.6690913476887976</v>
      </c>
    </row>
    <row r="7" spans="1:10" ht="21.2" customHeight="1">
      <c r="A7" s="8" t="s">
        <v>116</v>
      </c>
      <c r="B7" s="64" t="str">
        <f>VLOOKUP(A7,'The List'!B1:D730,3,FALSE)</f>
        <v>C,RW</v>
      </c>
      <c r="C7" s="65">
        <f>IF(Settings!$E$15="POINTS",RANK(E7,E3:E189),H7)</f>
        <v>5</v>
      </c>
      <c r="D7" s="34" t="str">
        <f>VLOOKUP(A7,'The List'!B1:F730,5,FALSE)</f>
        <v>BUF</v>
      </c>
      <c r="E7" s="38">
        <f>VLOOKUP(A7,'The List'!B1:I730,8,FALSE)</f>
        <v>12.847352372708929</v>
      </c>
      <c r="F7" s="38">
        <f>IF(Settings!$E$15="POINTS",E7-VLOOKUP(B$2,C1:E189,3,FALSE),J7)</f>
        <v>6.5670936536978486</v>
      </c>
      <c r="G7" s="38"/>
      <c r="H7" s="138">
        <f>RANK(I7,I3:I189)</f>
        <v>5</v>
      </c>
      <c r="I7" s="139">
        <f>VLOOKUP(A7,'Standard Deviations'!A1:C731,3,FALSE)</f>
        <v>12.847352372708929</v>
      </c>
      <c r="J7" s="139">
        <f>I7-VLOOKUP(B$2,H1:J189,2,FALSE)</f>
        <v>6.5670936536978486</v>
      </c>
    </row>
    <row r="8" spans="1:10" ht="21.2" customHeight="1">
      <c r="A8" s="8" t="s">
        <v>118</v>
      </c>
      <c r="B8" s="64" t="str">
        <f>VLOOKUP(A8,'The List'!B1:D730,3,FALSE)</f>
        <v>RW</v>
      </c>
      <c r="C8" s="65">
        <f>IF(Settings!$E$15="POINTS",RANK(E8,E3:E189),H8)</f>
        <v>6</v>
      </c>
      <c r="D8" s="34" t="str">
        <f>VLOOKUP(A8,'The List'!B1:F730,5,FALSE)</f>
        <v>TOR</v>
      </c>
      <c r="E8" s="38">
        <f>VLOOKUP(A8,'The List'!B1:I730,8,FALSE)</f>
        <v>11.769975097882236</v>
      </c>
      <c r="F8" s="38">
        <f>IF(Settings!$E$15="POINTS",E8-VLOOKUP(B$2,C1:E189,3,FALSE),J8)</f>
        <v>5.4897163788711554</v>
      </c>
      <c r="G8" s="38"/>
      <c r="H8" s="138">
        <f>RANK(I8,I3:I189)</f>
        <v>6</v>
      </c>
      <c r="I8" s="139">
        <f>VLOOKUP(A8,'Standard Deviations'!A1:C731,3,FALSE)</f>
        <v>11.769975097882236</v>
      </c>
      <c r="J8" s="139">
        <f>I8-VLOOKUP(B$2,H1:J189,2,FALSE)</f>
        <v>5.4897163788711554</v>
      </c>
    </row>
    <row r="9" spans="1:10" ht="21.2" customHeight="1">
      <c r="A9" s="8" t="s">
        <v>120</v>
      </c>
      <c r="B9" s="64" t="str">
        <f>VLOOKUP(A9,'The List'!B1:D730,3,FALSE)</f>
        <v>LW,RW</v>
      </c>
      <c r="C9" s="65">
        <f>IF(Settings!$E$15="POINTS",RANK(E9,E3:E189),H9)</f>
        <v>7</v>
      </c>
      <c r="D9" s="34" t="str">
        <f>VLOOKUP(A9,'The List'!B1:F730,5,FALSE)</f>
        <v>TOR</v>
      </c>
      <c r="E9" s="38">
        <f>VLOOKUP(A9,'The List'!B1:I730,8,FALSE)</f>
        <v>11.115775079553083</v>
      </c>
      <c r="F9" s="38">
        <f>IF(Settings!$E$15="POINTS",E9-VLOOKUP(B$2,C1:E189,3,FALSE),J9)</f>
        <v>4.8355163605420026</v>
      </c>
      <c r="G9" s="38"/>
      <c r="H9" s="138">
        <f>RANK(I9,I3:I189)</f>
        <v>7</v>
      </c>
      <c r="I9" s="139">
        <f>VLOOKUP(A9,'Standard Deviations'!A1:C731,3,FALSE)</f>
        <v>11.115775079553083</v>
      </c>
      <c r="J9" s="139">
        <f>I9-VLOOKUP(B$2,H1:J189,2,FALSE)</f>
        <v>4.8355163605420026</v>
      </c>
    </row>
    <row r="10" spans="1:10" ht="21.2" customHeight="1">
      <c r="A10" s="8" t="s">
        <v>138</v>
      </c>
      <c r="B10" s="64" t="str">
        <f>VLOOKUP(A10,'The List'!B1:D730,3,FALSE)</f>
        <v>LW,RW</v>
      </c>
      <c r="C10" s="65">
        <f>IF(Settings!$E$15="POINTS",RANK(E10,E3:E189),H10)</f>
        <v>9</v>
      </c>
      <c r="D10" s="34" t="str">
        <f>VLOOKUP(A10,'The List'!B1:F730,5,FALSE)</f>
        <v>NJD</v>
      </c>
      <c r="E10" s="38">
        <f>VLOOKUP(A10,'The List'!B1:I730,8,FALSE)</f>
        <v>9.2215876069536442</v>
      </c>
      <c r="F10" s="38">
        <f>IF(Settings!$E$15="POINTS",E10-VLOOKUP(B$2,C1:E189,3,FALSE),J10)</f>
        <v>2.9413288879425634</v>
      </c>
      <c r="G10" s="38"/>
      <c r="H10" s="138">
        <f>RANK(I10,I3:I189)</f>
        <v>9</v>
      </c>
      <c r="I10" s="139">
        <f>VLOOKUP(A10,'Standard Deviations'!A1:C731,3,FALSE)</f>
        <v>9.2215876069536442</v>
      </c>
      <c r="J10" s="139">
        <f>I10-VLOOKUP(B$2,H1:J189,2,FALSE)</f>
        <v>2.9413288879425634</v>
      </c>
    </row>
    <row r="11" spans="1:10" ht="21.2" customHeight="1">
      <c r="A11" s="8" t="s">
        <v>141</v>
      </c>
      <c r="B11" s="64" t="str">
        <f>VLOOKUP(A11,'The List'!B1:D730,3,FALSE)</f>
        <v>LW,RW</v>
      </c>
      <c r="C11" s="65">
        <f>IF(Settings!$E$15="POINTS",RANK(E11,E3:E189),H11)</f>
        <v>8</v>
      </c>
      <c r="D11" s="34" t="str">
        <f>VLOOKUP(A11,'The List'!B1:F730,5,FALSE)</f>
        <v>MIN</v>
      </c>
      <c r="E11" s="38">
        <f>VLOOKUP(A11,'The List'!B1:I730,8,FALSE)</f>
        <v>9.3029657940042263</v>
      </c>
      <c r="F11" s="38">
        <f>IF(Settings!$E$15="POINTS",E11-VLOOKUP(B$2,C1:E189,3,FALSE),J11)</f>
        <v>3.0227070749931455</v>
      </c>
      <c r="G11" s="38"/>
      <c r="H11" s="138">
        <f>RANK(I11,I3:I189)</f>
        <v>8</v>
      </c>
      <c r="I11" s="139">
        <f>VLOOKUP(A11,'Standard Deviations'!A1:C731,3,FALSE)</f>
        <v>9.3029657940042263</v>
      </c>
      <c r="J11" s="139">
        <f>I11-VLOOKUP(B$2,H1:J189,2,FALSE)</f>
        <v>3.0227070749931455</v>
      </c>
    </row>
    <row r="12" spans="1:10" ht="21.2" customHeight="1">
      <c r="A12" s="8" t="s">
        <v>146</v>
      </c>
      <c r="B12" s="64" t="str">
        <f>VLOOKUP(A12,'The List'!B1:D730,3,FALSE)</f>
        <v>C,LW,RW</v>
      </c>
      <c r="C12" s="65">
        <f>IF(Settings!$E$15="POINTS",RANK(E12,E3:E189),H12)</f>
        <v>13</v>
      </c>
      <c r="D12" s="34" t="str">
        <f>VLOOKUP(A12,'The List'!B1:F730,5,FALSE)</f>
        <v>VAN</v>
      </c>
      <c r="E12" s="38">
        <f>VLOOKUP(A12,'The List'!B1:I730,8,FALSE)</f>
        <v>8.466166617614391</v>
      </c>
      <c r="F12" s="38">
        <f>IF(Settings!$E$15="POINTS",E12-VLOOKUP(B$2,C1:E189,3,FALSE),J12)</f>
        <v>2.1859078986033103</v>
      </c>
      <c r="G12" s="38"/>
      <c r="H12" s="138">
        <f>RANK(I12,I3:I189)</f>
        <v>13</v>
      </c>
      <c r="I12" s="139">
        <f>VLOOKUP(A12,'Standard Deviations'!A1:C731,3,FALSE)</f>
        <v>8.466166617614391</v>
      </c>
      <c r="J12" s="139">
        <f>I12-VLOOKUP(B$2,H1:J189,2,FALSE)</f>
        <v>2.1859078986033103</v>
      </c>
    </row>
    <row r="13" spans="1:10" ht="21.2" customHeight="1">
      <c r="A13" s="8" t="s">
        <v>148</v>
      </c>
      <c r="B13" s="64" t="str">
        <f>VLOOKUP(A13,'The List'!B1:D730,3,FALSE)</f>
        <v>LW,RW</v>
      </c>
      <c r="C13" s="65">
        <f>IF(Settings!$E$15="POINTS",RANK(E13,E3:E189),H13)</f>
        <v>10</v>
      </c>
      <c r="D13" s="34" t="str">
        <f>VLOOKUP(A13,'The List'!B1:F730,5,FALSE)</f>
        <v>LAK</v>
      </c>
      <c r="E13" s="38">
        <f>VLOOKUP(A13,'The List'!B1:I730,8,FALSE)</f>
        <v>8.9300965081651817</v>
      </c>
      <c r="F13" s="38">
        <f>IF(Settings!$E$15="POINTS",E13-VLOOKUP(B$2,C1:E189,3,FALSE),J13)</f>
        <v>2.649837789154101</v>
      </c>
      <c r="G13" s="38"/>
      <c r="H13" s="138">
        <f>RANK(I13,I3:I189)</f>
        <v>10</v>
      </c>
      <c r="I13" s="139">
        <f>VLOOKUP(A13,'Standard Deviations'!A1:C731,3,FALSE)</f>
        <v>8.9300965081651817</v>
      </c>
      <c r="J13" s="139">
        <f>I13-VLOOKUP(B$2,H1:J189,2,FALSE)</f>
        <v>2.649837789154101</v>
      </c>
    </row>
    <row r="14" spans="1:10" ht="21.2" customHeight="1">
      <c r="A14" s="8" t="s">
        <v>153</v>
      </c>
      <c r="B14" s="64" t="str">
        <f>VLOOKUP(A14,'The List'!B1:D730,3,FALSE)</f>
        <v>LW,RW</v>
      </c>
      <c r="C14" s="65">
        <f>IF(Settings!$E$15="POINTS",RANK(E14,E3:E189),H14)</f>
        <v>14</v>
      </c>
      <c r="D14" s="34" t="str">
        <f>VLOOKUP(A14,'The List'!B1:F730,5,FALSE)</f>
        <v>ARI</v>
      </c>
      <c r="E14" s="38">
        <f>VLOOKUP(A14,'The List'!B1:I730,8,FALSE)</f>
        <v>8.4498309474357942</v>
      </c>
      <c r="F14" s="38">
        <f>IF(Settings!$E$15="POINTS",E14-VLOOKUP(B$2,C1:E189,3,FALSE),J14)</f>
        <v>2.1695722284247134</v>
      </c>
      <c r="G14" s="38"/>
      <c r="H14" s="138">
        <f>RANK(I14,I3:I189)</f>
        <v>14</v>
      </c>
      <c r="I14" s="139">
        <f>VLOOKUP(A14,'Standard Deviations'!A1:C731,3,FALSE)</f>
        <v>8.4498309474357942</v>
      </c>
      <c r="J14" s="139">
        <f>I14-VLOOKUP(B$2,H1:J189,2,FALSE)</f>
        <v>2.1695722284247134</v>
      </c>
    </row>
    <row r="15" spans="1:10" ht="21.2" customHeight="1">
      <c r="A15" s="8" t="s">
        <v>154</v>
      </c>
      <c r="B15" s="64" t="str">
        <f>VLOOKUP(A15,'The List'!B1:D730,3,FALSE)</f>
        <v>RW</v>
      </c>
      <c r="C15" s="65">
        <f>IF(Settings!$E$15="POINTS",RANK(E15,E3:E189),H15)</f>
        <v>16</v>
      </c>
      <c r="D15" s="34" t="str">
        <f>VLOOKUP(A15,'The List'!B1:F730,5,FALSE)</f>
        <v>STL</v>
      </c>
      <c r="E15" s="38">
        <f>VLOOKUP(A15,'The List'!B1:I730,8,FALSE)</f>
        <v>8.3735546652097597</v>
      </c>
      <c r="F15" s="38">
        <f>IF(Settings!$E$15="POINTS",E15-VLOOKUP(B$2,C1:E189,3,FALSE),J15)</f>
        <v>2.0932959461986789</v>
      </c>
      <c r="G15" s="38"/>
      <c r="H15" s="138">
        <f>RANK(I15,I3:I189)</f>
        <v>16</v>
      </c>
      <c r="I15" s="139">
        <f>VLOOKUP(A15,'Standard Deviations'!A1:C731,3,FALSE)</f>
        <v>8.3735546652097597</v>
      </c>
      <c r="J15" s="139">
        <f>I15-VLOOKUP(B$2,H1:J189,2,FALSE)</f>
        <v>2.0932959461986789</v>
      </c>
    </row>
    <row r="16" spans="1:10" ht="21.2" customHeight="1">
      <c r="A16" s="8" t="s">
        <v>157</v>
      </c>
      <c r="B16" s="64" t="str">
        <f>VLOOKUP(A16,'The List'!B1:D730,3,FALSE)</f>
        <v>LW,RW</v>
      </c>
      <c r="C16" s="65">
        <f>IF(Settings!$E$15="POINTS",RANK(E16,E3:E189),H16)</f>
        <v>11</v>
      </c>
      <c r="D16" s="34" t="str">
        <f>VLOOKUP(A16,'The List'!B1:F730,5,FALSE)</f>
        <v>EDM</v>
      </c>
      <c r="E16" s="38">
        <f>VLOOKUP(A16,'The List'!B1:I730,8,FALSE)</f>
        <v>8.6077746386592171</v>
      </c>
      <c r="F16" s="38">
        <f>IF(Settings!$E$15="POINTS",E16-VLOOKUP(B$2,C1:E189,3,FALSE),J16)</f>
        <v>2.3275159196481363</v>
      </c>
      <c r="G16" s="38"/>
      <c r="H16" s="138">
        <f>RANK(I16,I3:I189)</f>
        <v>11</v>
      </c>
      <c r="I16" s="139">
        <f>VLOOKUP(A16,'Standard Deviations'!A1:C731,3,FALSE)</f>
        <v>8.6077746386592171</v>
      </c>
      <c r="J16" s="139">
        <f>I16-VLOOKUP(B$2,H1:J189,2,FALSE)</f>
        <v>2.3275159196481363</v>
      </c>
    </row>
    <row r="17" spans="1:10" ht="21.2" customHeight="1">
      <c r="A17" s="8" t="s">
        <v>160</v>
      </c>
      <c r="B17" s="64" t="str">
        <f>VLOOKUP(A17,'The List'!B1:D730,3,FALSE)</f>
        <v>LW,RW</v>
      </c>
      <c r="C17" s="65">
        <f>IF(Settings!$E$15="POINTS",RANK(E17,E3:E189),H17)</f>
        <v>12</v>
      </c>
      <c r="D17" s="34" t="str">
        <f>VLOOKUP(A17,'The List'!B1:F730,5,FALSE)</f>
        <v>CAR</v>
      </c>
      <c r="E17" s="38">
        <f>VLOOKUP(A17,'The List'!B1:I730,8,FALSE)</f>
        <v>8.4864292448964616</v>
      </c>
      <c r="F17" s="38">
        <f>IF(Settings!$E$15="POINTS",E17-VLOOKUP(B$2,C1:E189,3,FALSE),J17)</f>
        <v>2.2061705258853808</v>
      </c>
      <c r="G17" s="38"/>
      <c r="H17" s="138">
        <f>RANK(I17,I3:I189)</f>
        <v>12</v>
      </c>
      <c r="I17" s="139">
        <f>VLOOKUP(A17,'Standard Deviations'!A1:C731,3,FALSE)</f>
        <v>8.4864292448964616</v>
      </c>
      <c r="J17" s="139">
        <f>I17-VLOOKUP(B$2,H1:J189,2,FALSE)</f>
        <v>2.2061705258853808</v>
      </c>
    </row>
    <row r="18" spans="1:10" ht="21.2" customHeight="1">
      <c r="A18" s="8" t="s">
        <v>162</v>
      </c>
      <c r="B18" s="64" t="str">
        <f>VLOOKUP(A18,'The List'!B1:D730,3,FALSE)</f>
        <v>RW</v>
      </c>
      <c r="C18" s="65">
        <f>IF(Settings!$E$15="POINTS",RANK(E18,E3:E189),H18)</f>
        <v>17</v>
      </c>
      <c r="D18" s="34" t="str">
        <f>VLOOKUP(A18,'The List'!B1:F730,5,FALSE)</f>
        <v>BUF</v>
      </c>
      <c r="E18" s="38">
        <f>VLOOKUP(A18,'The List'!B1:I730,8,FALSE)</f>
        <v>8.3103855162907294</v>
      </c>
      <c r="F18" s="38">
        <f>IF(Settings!$E$15="POINTS",E18-VLOOKUP(B$2,C1:E189,3,FALSE),J18)</f>
        <v>2.0301267972796486</v>
      </c>
      <c r="G18" s="38"/>
      <c r="H18" s="138">
        <f>RANK(I18,I3:I189)</f>
        <v>17</v>
      </c>
      <c r="I18" s="139">
        <f>VLOOKUP(A18,'Standard Deviations'!A1:C731,3,FALSE)</f>
        <v>8.3103855162907294</v>
      </c>
      <c r="J18" s="139">
        <f>I18-VLOOKUP(B$2,H1:J189,2,FALSE)</f>
        <v>2.0301267972796486</v>
      </c>
    </row>
    <row r="19" spans="1:10" ht="21.2" customHeight="1">
      <c r="A19" s="8" t="s">
        <v>163</v>
      </c>
      <c r="B19" s="64" t="str">
        <f>VLOOKUP(A19,'The List'!B1:D730,3,FALSE)</f>
        <v>LW,RW</v>
      </c>
      <c r="C19" s="65">
        <f>IF(Settings!$E$15="POINTS",RANK(E19,E3:E189),H19)</f>
        <v>18</v>
      </c>
      <c r="D19" s="34" t="str">
        <f>VLOOKUP(A19,'The List'!B1:F730,5,FALSE)</f>
        <v>STL</v>
      </c>
      <c r="E19" s="38">
        <f>VLOOKUP(A19,'The List'!B1:I730,8,FALSE)</f>
        <v>8.1517737192623727</v>
      </c>
      <c r="F19" s="38">
        <f>IF(Settings!$E$15="POINTS",E19-VLOOKUP(B$2,C1:E189,3,FALSE),J19)</f>
        <v>1.8715150002512919</v>
      </c>
      <c r="G19" s="38"/>
      <c r="H19" s="138">
        <f>RANK(I19,I3:I189)</f>
        <v>18</v>
      </c>
      <c r="I19" s="139">
        <f>VLOOKUP(A19,'Standard Deviations'!A1:C731,3,FALSE)</f>
        <v>8.1517737192623727</v>
      </c>
      <c r="J19" s="139">
        <f>I19-VLOOKUP(B$2,H1:J189,2,FALSE)</f>
        <v>1.8715150002512919</v>
      </c>
    </row>
    <row r="20" spans="1:10" ht="21.2" customHeight="1">
      <c r="A20" s="8" t="s">
        <v>166</v>
      </c>
      <c r="B20" s="64" t="str">
        <f>VLOOKUP(A20,'The List'!B1:D730,3,FALSE)</f>
        <v>LW,RW</v>
      </c>
      <c r="C20" s="65">
        <f>IF(Settings!$E$15="POINTS",RANK(E20,E3:E189),H20)</f>
        <v>22</v>
      </c>
      <c r="D20" s="34" t="str">
        <f>VLOOKUP(A20,'The List'!B1:F730,5,FALSE)</f>
        <v>DET</v>
      </c>
      <c r="E20" s="38">
        <f>VLOOKUP(A20,'The List'!B1:I730,8,FALSE)</f>
        <v>7.3446174527156405</v>
      </c>
      <c r="F20" s="38">
        <f>IF(Settings!$E$15="POINTS",E20-VLOOKUP(B$2,C1:E189,3,FALSE),J20)</f>
        <v>1.0643587337045597</v>
      </c>
      <c r="G20" s="38"/>
      <c r="H20" s="138">
        <f>RANK(I20,I3:I189)</f>
        <v>22</v>
      </c>
      <c r="I20" s="139">
        <f>VLOOKUP(A20,'Standard Deviations'!A1:C731,3,FALSE)</f>
        <v>7.3446174527156405</v>
      </c>
      <c r="J20" s="139">
        <f>I20-VLOOKUP(B$2,H1:J189,2,FALSE)</f>
        <v>1.0643587337045597</v>
      </c>
    </row>
    <row r="21" spans="1:10" ht="21.2" customHeight="1">
      <c r="A21" s="8" t="s">
        <v>170</v>
      </c>
      <c r="B21" s="64" t="str">
        <f>VLOOKUP(A21,'The List'!B1:D730,3,FALSE)</f>
        <v>RW</v>
      </c>
      <c r="C21" s="65">
        <f>IF(Settings!$E$15="POINTS",RANK(E21,E3:E189),H21)</f>
        <v>24</v>
      </c>
      <c r="D21" s="34" t="str">
        <f>VLOOKUP(A21,'The List'!B1:F730,5,FALSE)</f>
        <v>PHI</v>
      </c>
      <c r="E21" s="38">
        <f>VLOOKUP(A21,'The List'!B1:I730,8,FALSE)</f>
        <v>7.3121074765195431</v>
      </c>
      <c r="F21" s="38">
        <f>IF(Settings!$E$15="POINTS",E21-VLOOKUP(B$2,C1:E189,3,FALSE),J21)</f>
        <v>1.0318487575084623</v>
      </c>
      <c r="G21" s="38"/>
      <c r="H21" s="138">
        <f>RANK(I21,I3:I189)</f>
        <v>24</v>
      </c>
      <c r="I21" s="139">
        <f>VLOOKUP(A21,'Standard Deviations'!A1:C731,3,FALSE)</f>
        <v>7.3121074765195431</v>
      </c>
      <c r="J21" s="139">
        <f>I21-VLOOKUP(B$2,H1:J189,2,FALSE)</f>
        <v>1.0318487575084623</v>
      </c>
    </row>
    <row r="22" spans="1:10" ht="21.2" customHeight="1">
      <c r="A22" s="8" t="s">
        <v>173</v>
      </c>
      <c r="B22" s="64" t="str">
        <f>VLOOKUP(A22,'The List'!B1:D730,3,FALSE)</f>
        <v>LW,RW</v>
      </c>
      <c r="C22" s="65">
        <f>IF(Settings!$E$15="POINTS",RANK(E22,E3:E189),H22)</f>
        <v>23</v>
      </c>
      <c r="D22" s="34" t="str">
        <f>VLOOKUP(A22,'The List'!B1:F730,5,FALSE)</f>
        <v>NJD</v>
      </c>
      <c r="E22" s="38">
        <f>VLOOKUP(A22,'The List'!B1:I730,8,FALSE)</f>
        <v>7.3232050734584915</v>
      </c>
      <c r="F22" s="38">
        <f>IF(Settings!$E$15="POINTS",E22-VLOOKUP(B$2,C1:E189,3,FALSE),J22)</f>
        <v>1.0429463544474107</v>
      </c>
      <c r="G22" s="38"/>
      <c r="H22" s="138">
        <f>RANK(I22,I3:I189)</f>
        <v>23</v>
      </c>
      <c r="I22" s="139">
        <f>VLOOKUP(A22,'Standard Deviations'!A1:C731,3,FALSE)</f>
        <v>7.3232050734584915</v>
      </c>
      <c r="J22" s="139">
        <f>I22-VLOOKUP(B$2,H1:J189,2,FALSE)</f>
        <v>1.0429463544474107</v>
      </c>
    </row>
    <row r="23" spans="1:10" ht="21.2" customHeight="1">
      <c r="A23" s="8" t="s">
        <v>174</v>
      </c>
      <c r="B23" s="64" t="str">
        <f>VLOOKUP(A23,'The List'!B1:D730,3,FALSE)</f>
        <v>LW,RW</v>
      </c>
      <c r="C23" s="65">
        <f>IF(Settings!$E$15="POINTS",RANK(E23,E3:E189),H23)</f>
        <v>15</v>
      </c>
      <c r="D23" s="34" t="str">
        <f>VLOOKUP(A23,'The List'!B1:F730,5,FALSE)</f>
        <v>CBJ</v>
      </c>
      <c r="E23" s="38">
        <f>VLOOKUP(A23,'The List'!B1:I730,8,FALSE)</f>
        <v>8.4488457205773173</v>
      </c>
      <c r="F23" s="38">
        <f>IF(Settings!$E$15="POINTS",E23-VLOOKUP(B$2,C1:E189,3,FALSE),J23)</f>
        <v>2.1685870015662365</v>
      </c>
      <c r="G23" s="38"/>
      <c r="H23" s="138">
        <f>RANK(I23,I3:I189)</f>
        <v>15</v>
      </c>
      <c r="I23" s="139">
        <f>VLOOKUP(A23,'Standard Deviations'!A1:C731,3,FALSE)</f>
        <v>8.4488457205773173</v>
      </c>
      <c r="J23" s="139">
        <f>I23-VLOOKUP(B$2,H1:J189,2,FALSE)</f>
        <v>2.1685870015662365</v>
      </c>
    </row>
    <row r="24" spans="1:10" ht="21.2" customHeight="1">
      <c r="A24" s="8" t="s">
        <v>175</v>
      </c>
      <c r="B24" s="64" t="str">
        <f>VLOOKUP(A24,'The List'!B1:D730,3,FALSE)</f>
        <v>RW</v>
      </c>
      <c r="C24" s="65">
        <f>IF(Settings!$E$15="POINTS",RANK(E24,E3:E189),H24)</f>
        <v>27</v>
      </c>
      <c r="D24" s="34" t="str">
        <f>VLOOKUP(A24,'The List'!B1:F730,5,FALSE)</f>
        <v>FLA</v>
      </c>
      <c r="E24" s="38">
        <f>VLOOKUP(A24,'The List'!B1:I730,8,FALSE)</f>
        <v>6.8556134373671789</v>
      </c>
      <c r="F24" s="38">
        <f>IF(Settings!$E$15="POINTS",E24-VLOOKUP(B$2,C1:E189,3,FALSE),J24)</f>
        <v>0.57535471835609808</v>
      </c>
      <c r="G24" s="38"/>
      <c r="H24" s="138">
        <f>RANK(I24,I3:I189)</f>
        <v>27</v>
      </c>
      <c r="I24" s="139">
        <f>VLOOKUP(A24,'Standard Deviations'!A1:C731,3,FALSE)</f>
        <v>6.8556134373671789</v>
      </c>
      <c r="J24" s="139">
        <f>I24-VLOOKUP(B$2,H1:J189,2,FALSE)</f>
        <v>0.57535471835609808</v>
      </c>
    </row>
    <row r="25" spans="1:10" ht="21.2" customHeight="1">
      <c r="A25" s="8" t="s">
        <v>185</v>
      </c>
      <c r="B25" s="64" t="str">
        <f>VLOOKUP(A25,'The List'!B1:D730,3,FALSE)</f>
        <v>C,RW</v>
      </c>
      <c r="C25" s="65">
        <f>IF(Settings!$E$15="POINTS",RANK(E25,E3:E189),H25)</f>
        <v>33</v>
      </c>
      <c r="D25" s="34" t="str">
        <f>VLOOKUP(A25,'The List'!B1:F730,5,FALSE)</f>
        <v>DAL</v>
      </c>
      <c r="E25" s="38">
        <f>VLOOKUP(A25,'The List'!B1:I730,8,FALSE)</f>
        <v>6.4454207757164905</v>
      </c>
      <c r="F25" s="38">
        <f>IF(Settings!$E$15="POINTS",E25-VLOOKUP(B$2,C1:E189,3,FALSE),J25)</f>
        <v>0.16516205670540973</v>
      </c>
      <c r="G25" s="38"/>
      <c r="H25" s="138">
        <f>RANK(I25,I3:I189)</f>
        <v>33</v>
      </c>
      <c r="I25" s="139">
        <f>VLOOKUP(A25,'Standard Deviations'!A1:C731,3,FALSE)</f>
        <v>6.4454207757164905</v>
      </c>
      <c r="J25" s="139">
        <f>I25-VLOOKUP(B$2,H1:J189,2,FALSE)</f>
        <v>0.16516205670540973</v>
      </c>
    </row>
    <row r="26" spans="1:10" ht="21.2" customHeight="1">
      <c r="A26" s="8" t="s">
        <v>187</v>
      </c>
      <c r="B26" s="64" t="str">
        <f>VLOOKUP(A26,'The List'!B1:D730,3,FALSE)</f>
        <v>RW</v>
      </c>
      <c r="C26" s="65">
        <f>IF(Settings!$E$15="POINTS",RANK(E26,E3:E189),H26)</f>
        <v>25</v>
      </c>
      <c r="D26" s="34" t="str">
        <f>VLOOKUP(A26,'The List'!B1:F730,5,FALSE)</f>
        <v>ANA</v>
      </c>
      <c r="E26" s="38">
        <f>VLOOKUP(A26,'The List'!B1:I730,8,FALSE)</f>
        <v>7.1688647251580715</v>
      </c>
      <c r="F26" s="38">
        <f>IF(Settings!$E$15="POINTS",E26-VLOOKUP(B$2,C1:E189,3,FALSE),J26)</f>
        <v>0.8886060061469907</v>
      </c>
      <c r="G26" s="38"/>
      <c r="H26" s="138">
        <f>RANK(I26,I3:I189)</f>
        <v>25</v>
      </c>
      <c r="I26" s="139">
        <f>VLOOKUP(A26,'Standard Deviations'!A1:C731,3,FALSE)</f>
        <v>7.1688647251580715</v>
      </c>
      <c r="J26" s="139">
        <f>I26-VLOOKUP(B$2,H1:J189,2,FALSE)</f>
        <v>0.8886060061469907</v>
      </c>
    </row>
    <row r="27" spans="1:10" ht="21.2" customHeight="1">
      <c r="A27" s="8" t="s">
        <v>188</v>
      </c>
      <c r="B27" s="64" t="str">
        <f>VLOOKUP(A27,'The List'!B1:D730,3,FALSE)</f>
        <v>C,RW</v>
      </c>
      <c r="C27" s="65">
        <f>IF(Settings!$E$15="POINTS",RANK(E27,E3:E189),H27)</f>
        <v>21</v>
      </c>
      <c r="D27" s="34" t="str">
        <f>VLOOKUP(A27,'The List'!B1:F730,5,FALSE)</f>
        <v>NYI</v>
      </c>
      <c r="E27" s="38">
        <f>VLOOKUP(A27,'The List'!B1:I730,8,FALSE)</f>
        <v>7.4930103346588677</v>
      </c>
      <c r="F27" s="38">
        <f>IF(Settings!$E$15="POINTS",E27-VLOOKUP(B$2,C1:E189,3,FALSE),J27)</f>
        <v>1.2127516156477869</v>
      </c>
      <c r="G27" s="38"/>
      <c r="H27" s="138">
        <f>RANK(I27,I3:I189)</f>
        <v>21</v>
      </c>
      <c r="I27" s="139">
        <f>VLOOKUP(A27,'Standard Deviations'!A1:C731,3,FALSE)</f>
        <v>7.4930103346588677</v>
      </c>
      <c r="J27" s="139">
        <f>I27-VLOOKUP(B$2,H1:J189,2,FALSE)</f>
        <v>1.2127516156477869</v>
      </c>
    </row>
    <row r="28" spans="1:10" ht="21.2" customHeight="1">
      <c r="A28" s="8" t="s">
        <v>189</v>
      </c>
      <c r="B28" s="64" t="str">
        <f>VLOOKUP(A28,'The List'!B1:D730,3,FALSE)</f>
        <v>LW,RW</v>
      </c>
      <c r="C28" s="65">
        <f>IF(Settings!$E$15="POINTS",RANK(E28,E3:E189),H28)</f>
        <v>28</v>
      </c>
      <c r="D28" s="34" t="str">
        <f>VLOOKUP(A28,'The List'!B1:F730,5,FALSE)</f>
        <v>VGK</v>
      </c>
      <c r="E28" s="38">
        <f>VLOOKUP(A28,'The List'!B1:I730,8,FALSE)</f>
        <v>6.8198689629503599</v>
      </c>
      <c r="F28" s="38">
        <f>IF(Settings!$E$15="POINTS",E28-VLOOKUP(B$2,C1:E189,3,FALSE),J28)</f>
        <v>0.53961024393927914</v>
      </c>
      <c r="G28" s="38"/>
      <c r="H28" s="138">
        <f>RANK(I28,I3:I189)</f>
        <v>28</v>
      </c>
      <c r="I28" s="139">
        <f>VLOOKUP(A28,'Standard Deviations'!A1:C731,3,FALSE)</f>
        <v>6.8198689629503599</v>
      </c>
      <c r="J28" s="139">
        <f>I28-VLOOKUP(B$2,H1:J189,2,FALSE)</f>
        <v>0.53961024393927914</v>
      </c>
    </row>
    <row r="29" spans="1:10" ht="21.2" customHeight="1">
      <c r="A29" s="8" t="s">
        <v>194</v>
      </c>
      <c r="B29" s="64" t="str">
        <f>VLOOKUP(A29,'The List'!B1:D730,3,FALSE)</f>
        <v>LW,RW</v>
      </c>
      <c r="C29" s="65">
        <f>IF(Settings!$E$15="POINTS",RANK(E29,E3:E189),H29)</f>
        <v>30</v>
      </c>
      <c r="D29" s="34" t="str">
        <f>VLOOKUP(A29,'The List'!B1:F730,5,FALSE)</f>
        <v>CGY</v>
      </c>
      <c r="E29" s="38">
        <f>VLOOKUP(A29,'The List'!B1:I730,8,FALSE)</f>
        <v>6.6546690441244012</v>
      </c>
      <c r="F29" s="38">
        <f>IF(Settings!$E$15="POINTS",E29-VLOOKUP(B$2,C1:E189,3,FALSE),J29)</f>
        <v>0.3744103251133204</v>
      </c>
      <c r="G29" s="38"/>
      <c r="H29" s="138">
        <f>RANK(I29,I3:I189)</f>
        <v>30</v>
      </c>
      <c r="I29" s="139">
        <f>VLOOKUP(A29,'Standard Deviations'!A1:C731,3,FALSE)</f>
        <v>6.6546690441244012</v>
      </c>
      <c r="J29" s="139">
        <f>I29-VLOOKUP(B$2,H1:J189,2,FALSE)</f>
        <v>0.3744103251133204</v>
      </c>
    </row>
    <row r="30" spans="1:10" ht="21.2" customHeight="1">
      <c r="A30" s="8" t="s">
        <v>196</v>
      </c>
      <c r="B30" s="64" t="str">
        <f>VLOOKUP(A30,'The List'!B1:D730,3,FALSE)</f>
        <v>RW</v>
      </c>
      <c r="C30" s="65">
        <f>IF(Settings!$E$15="POINTS",RANK(E30,E3:E189),H30)</f>
        <v>34</v>
      </c>
      <c r="D30" s="34" t="str">
        <f>VLOOKUP(A30,'The List'!B1:F730,5,FALSE)</f>
        <v>CAR</v>
      </c>
      <c r="E30" s="38">
        <f>VLOOKUP(A30,'The List'!B1:I730,8,FALSE)</f>
        <v>6.4441422120163754</v>
      </c>
      <c r="F30" s="38">
        <f>IF(Settings!$E$15="POINTS",E30-VLOOKUP(B$2,C1:E189,3,FALSE),J30)</f>
        <v>0.16388349300529459</v>
      </c>
      <c r="G30" s="38"/>
      <c r="H30" s="138">
        <f>RANK(I30,I3:I189)</f>
        <v>34</v>
      </c>
      <c r="I30" s="139">
        <f>VLOOKUP(A30,'Standard Deviations'!A1:C731,3,FALSE)</f>
        <v>6.4441422120163754</v>
      </c>
      <c r="J30" s="139">
        <f>I30-VLOOKUP(B$2,H1:J189,2,FALSE)</f>
        <v>0.16388349300529459</v>
      </c>
    </row>
    <row r="31" spans="1:10" ht="21.2" customHeight="1">
      <c r="A31" s="8" t="s">
        <v>202</v>
      </c>
      <c r="B31" s="64" t="str">
        <f>VLOOKUP(A31,'The List'!B1:D730,3,FALSE)</f>
        <v>RW</v>
      </c>
      <c r="C31" s="65">
        <f>IF(Settings!$E$15="POINTS",RANK(E31,E3:E189),H31)</f>
        <v>29</v>
      </c>
      <c r="D31" s="34" t="str">
        <f>VLOOKUP(A31,'The List'!B1:F730,5,FALSE)</f>
        <v>MIN</v>
      </c>
      <c r="E31" s="38">
        <f>VLOOKUP(A31,'The List'!B1:I730,8,FALSE)</f>
        <v>6.6879968532464398</v>
      </c>
      <c r="F31" s="38">
        <f>IF(Settings!$E$15="POINTS",E31-VLOOKUP(B$2,C1:E189,3,FALSE),J31)</f>
        <v>0.40773813423535898</v>
      </c>
      <c r="G31" s="38"/>
      <c r="H31" s="138">
        <f>RANK(I31,I3:I189)</f>
        <v>29</v>
      </c>
      <c r="I31" s="139">
        <f>VLOOKUP(A31,'Standard Deviations'!A1:C731,3,FALSE)</f>
        <v>6.6879968532464398</v>
      </c>
      <c r="J31" s="139">
        <f>I31-VLOOKUP(B$2,H1:J189,2,FALSE)</f>
        <v>0.40773813423535898</v>
      </c>
    </row>
    <row r="32" spans="1:10" ht="21.2" customHeight="1">
      <c r="A32" s="8" t="s">
        <v>206</v>
      </c>
      <c r="B32" s="64" t="str">
        <f>VLOOKUP(A32,'The List'!B1:D730,3,FALSE)</f>
        <v>LW,RW</v>
      </c>
      <c r="C32" s="65">
        <f>IF(Settings!$E$15="POINTS",RANK(E32,E3:E189),H32)</f>
        <v>37</v>
      </c>
      <c r="D32" s="34" t="str">
        <f>VLOOKUP(A32,'The List'!B1:F730,5,FALSE)</f>
        <v>LAK</v>
      </c>
      <c r="E32" s="38">
        <f>VLOOKUP(A32,'The List'!B1:I730,8,FALSE)</f>
        <v>5.8516478790792794</v>
      </c>
      <c r="F32" s="38">
        <f>IF(Settings!$E$15="POINTS",E32-VLOOKUP(B$2,C1:E189,3,FALSE),J32)</f>
        <v>-0.42861083993180138</v>
      </c>
      <c r="G32" s="38"/>
      <c r="H32" s="138">
        <f>RANK(I32,I3:I189)</f>
        <v>37</v>
      </c>
      <c r="I32" s="139">
        <f>VLOOKUP(A32,'Standard Deviations'!A1:C731,3,FALSE)</f>
        <v>5.8516478790792794</v>
      </c>
      <c r="J32" s="139">
        <f>I32-VLOOKUP(B$2,H1:J189,2,FALSE)</f>
        <v>-0.42861083993180138</v>
      </c>
    </row>
    <row r="33" spans="1:10" ht="21.2" customHeight="1">
      <c r="A33" s="8" t="s">
        <v>207</v>
      </c>
      <c r="B33" s="64" t="str">
        <f>VLOOKUP(A33,'The List'!B1:D730,3,FALSE)</f>
        <v>RW</v>
      </c>
      <c r="C33" s="65">
        <f>IF(Settings!$E$15="POINTS",RANK(E33,E3:E189),H33)</f>
        <v>26</v>
      </c>
      <c r="D33" s="34" t="str">
        <f>VLOOKUP(A33,'The List'!B1:F730,5,FALSE)</f>
        <v>COL</v>
      </c>
      <c r="E33" s="38">
        <f>VLOOKUP(A33,'The List'!B1:I730,8,FALSE)</f>
        <v>6.9041112406426972</v>
      </c>
      <c r="F33" s="38">
        <f>IF(Settings!$E$15="POINTS",E33-VLOOKUP(B$2,C1:E189,3,FALSE),J33)</f>
        <v>0.62385252163161642</v>
      </c>
      <c r="G33" s="38"/>
      <c r="H33" s="138">
        <f>RANK(I33,I3:I189)</f>
        <v>26</v>
      </c>
      <c r="I33" s="139">
        <f>VLOOKUP(A33,'Standard Deviations'!A1:C731,3,FALSE)</f>
        <v>6.9041112406426972</v>
      </c>
      <c r="J33" s="139">
        <f>I33-VLOOKUP(B$2,H1:J189,2,FALSE)</f>
        <v>0.62385252163161642</v>
      </c>
    </row>
    <row r="34" spans="1:10" ht="21.2" customHeight="1">
      <c r="A34" s="8" t="s">
        <v>208</v>
      </c>
      <c r="B34" s="64" t="str">
        <f>VLOOKUP(A34,'The List'!B1:D730,3,FALSE)</f>
        <v>LW,RW</v>
      </c>
      <c r="C34" s="65">
        <f>IF(Settings!$E$15="POINTS",RANK(E34,E3:E189),H34)</f>
        <v>20</v>
      </c>
      <c r="D34" s="34" t="str">
        <f>VLOOKUP(A34,'The List'!B1:F730,5,FALSE)</f>
        <v>MTL</v>
      </c>
      <c r="E34" s="38">
        <f>VLOOKUP(A34,'The List'!B1:I730,8,FALSE)</f>
        <v>7.6906294626593015</v>
      </c>
      <c r="F34" s="38">
        <f>IF(Settings!$E$15="POINTS",E34-VLOOKUP(B$2,C1:E189,3,FALSE),J34)</f>
        <v>1.4103707436482207</v>
      </c>
      <c r="G34" s="38"/>
      <c r="H34" s="138">
        <f>RANK(I34,I3:I189)</f>
        <v>20</v>
      </c>
      <c r="I34" s="139">
        <f>VLOOKUP(A34,'Standard Deviations'!A1:C731,3,FALSE)</f>
        <v>7.6906294626593015</v>
      </c>
      <c r="J34" s="139">
        <f>I34-VLOOKUP(B$2,H1:J189,2,FALSE)</f>
        <v>1.4103707436482207</v>
      </c>
    </row>
    <row r="35" spans="1:10" ht="21.2" customHeight="1">
      <c r="A35" s="8" t="s">
        <v>211</v>
      </c>
      <c r="B35" s="64" t="str">
        <f>VLOOKUP(A35,'The List'!B1:D730,3,FALSE)</f>
        <v>LW,RW</v>
      </c>
      <c r="C35" s="65">
        <f>IF(Settings!$E$15="POINTS",RANK(E35,E3:E189),H35)</f>
        <v>19</v>
      </c>
      <c r="D35" s="34" t="str">
        <f>VLOOKUP(A35,'The List'!B1:F730,5,FALSE)</f>
        <v>WPG</v>
      </c>
      <c r="E35" s="38">
        <f>VLOOKUP(A35,'The List'!B1:I730,8,FALSE)</f>
        <v>7.7011674187222674</v>
      </c>
      <c r="F35" s="38">
        <f>IF(Settings!$E$15="POINTS",E35-VLOOKUP(B$2,C1:E189,3,FALSE),J35)</f>
        <v>1.4209086997111866</v>
      </c>
      <c r="G35" s="38"/>
      <c r="H35" s="138">
        <f>RANK(I35,I3:I189)</f>
        <v>19</v>
      </c>
      <c r="I35" s="139">
        <f>VLOOKUP(A35,'Standard Deviations'!A1:C731,3,FALSE)</f>
        <v>7.7011674187222674</v>
      </c>
      <c r="J35" s="139">
        <f>I35-VLOOKUP(B$2,H1:J189,2,FALSE)</f>
        <v>1.4209086997111866</v>
      </c>
    </row>
    <row r="36" spans="1:10" ht="21.2" customHeight="1">
      <c r="A36" s="8" t="s">
        <v>215</v>
      </c>
      <c r="B36" s="64" t="str">
        <f>VLOOKUP(A36,'The List'!B1:D730,3,FALSE)</f>
        <v>C,RW</v>
      </c>
      <c r="C36" s="65">
        <f>IF(Settings!$E$15="POINTS",RANK(E36,E3:E189),H36)</f>
        <v>31</v>
      </c>
      <c r="D36" s="34" t="str">
        <f>VLOOKUP(A36,'The List'!B1:F730,5,FALSE)</f>
        <v>STL</v>
      </c>
      <c r="E36" s="38">
        <f>VLOOKUP(A36,'The List'!B1:I730,8,FALSE)</f>
        <v>6.6371557313535909</v>
      </c>
      <c r="F36" s="38">
        <f>IF(Settings!$E$15="POINTS",E36-VLOOKUP(B$2,C1:E189,3,FALSE),J36)</f>
        <v>0.35689701234251014</v>
      </c>
      <c r="G36" s="38"/>
      <c r="H36" s="138">
        <f>RANK(I36,I3:I189)</f>
        <v>31</v>
      </c>
      <c r="I36" s="139">
        <f>VLOOKUP(A36,'Standard Deviations'!A1:C731,3,FALSE)</f>
        <v>6.6371557313535909</v>
      </c>
      <c r="J36" s="139">
        <f>I36-VLOOKUP(B$2,H1:J189,2,FALSE)</f>
        <v>0.35689701234251014</v>
      </c>
    </row>
    <row r="37" spans="1:10" ht="21.2" customHeight="1">
      <c r="A37" s="8" t="s">
        <v>217</v>
      </c>
      <c r="B37" s="64" t="str">
        <f>VLOOKUP(A37,'The List'!B1:D730,3,FALSE)</f>
        <v>C,LW,RW</v>
      </c>
      <c r="C37" s="65">
        <f>IF(Settings!$E$15="POINTS",RANK(E37,E3:E189),H37)</f>
        <v>38</v>
      </c>
      <c r="D37" s="34" t="str">
        <f>VLOOKUP(A37,'The List'!B1:F730,5,FALSE)</f>
        <v>OTT</v>
      </c>
      <c r="E37" s="38">
        <f>VLOOKUP(A37,'The List'!B1:I730,8,FALSE)</f>
        <v>5.7530863445599101</v>
      </c>
      <c r="F37" s="38">
        <f>IF(Settings!$E$15="POINTS",E37-VLOOKUP(B$2,C1:E189,3,FALSE),J37)</f>
        <v>-0.52717237445117071</v>
      </c>
      <c r="G37" s="38"/>
      <c r="H37" s="138">
        <f>RANK(I37,I3:I189)</f>
        <v>38</v>
      </c>
      <c r="I37" s="139">
        <f>VLOOKUP(A37,'Standard Deviations'!A1:C731,3,FALSE)</f>
        <v>5.7530863445599101</v>
      </c>
      <c r="J37" s="139">
        <f>I37-VLOOKUP(B$2,H1:J189,2,FALSE)</f>
        <v>-0.52717237445117071</v>
      </c>
    </row>
    <row r="38" spans="1:10" ht="21.2" customHeight="1">
      <c r="A38" s="8" t="s">
        <v>222</v>
      </c>
      <c r="B38" s="64" t="str">
        <f>VLOOKUP(A38,'The List'!B1:D730,3,FALSE)</f>
        <v>RW</v>
      </c>
      <c r="C38" s="65">
        <f>IF(Settings!$E$15="POINTS",RANK(E38,E3:E189),H38)</f>
        <v>36</v>
      </c>
      <c r="D38" s="34" t="str">
        <f>VLOOKUP(A38,'The List'!B1:F730,5,FALSE)</f>
        <v>OTT</v>
      </c>
      <c r="E38" s="38">
        <f>VLOOKUP(A38,'The List'!B1:I730,8,FALSE)</f>
        <v>6.0082347341506273</v>
      </c>
      <c r="F38" s="38">
        <f>IF(Settings!$E$15="POINTS",E38-VLOOKUP(B$2,C1:E189,3,FALSE),J38)</f>
        <v>-0.27202398486045354</v>
      </c>
      <c r="G38" s="38"/>
      <c r="H38" s="138">
        <f>RANK(I38,I3:I189)</f>
        <v>36</v>
      </c>
      <c r="I38" s="139">
        <f>VLOOKUP(A38,'Standard Deviations'!A1:C731,3,FALSE)</f>
        <v>6.0082347341506273</v>
      </c>
      <c r="J38" s="139">
        <f>I38-VLOOKUP(B$2,H1:J189,2,FALSE)</f>
        <v>-0.27202398486045354</v>
      </c>
    </row>
    <row r="39" spans="1:10" ht="21.2" customHeight="1">
      <c r="A39" s="8" t="s">
        <v>223</v>
      </c>
      <c r="B39" s="64" t="str">
        <f>VLOOKUP(A39,'The List'!B1:D730,3,FALSE)</f>
        <v>C,LW,RW</v>
      </c>
      <c r="C39" s="65">
        <f>IF(Settings!$E$15="POINTS",RANK(E39,E3:E189),H39)</f>
        <v>35</v>
      </c>
      <c r="D39" s="34" t="str">
        <f>VLOOKUP(A39,'The List'!B1:F730,5,FALSE)</f>
        <v>ARI</v>
      </c>
      <c r="E39" s="38">
        <f>VLOOKUP(A39,'The List'!B1:I730,8,FALSE)</f>
        <v>6.2802587190110808</v>
      </c>
      <c r="F39" s="38">
        <f>IF(Settings!$E$15="POINTS",E39-VLOOKUP(B$2,C1:E189,3,FALSE),J39)</f>
        <v>0</v>
      </c>
      <c r="G39" s="38"/>
      <c r="H39" s="138">
        <f>RANK(I39,I3:I189)</f>
        <v>35</v>
      </c>
      <c r="I39" s="139">
        <f>VLOOKUP(A39,'Standard Deviations'!A1:C731,3,FALSE)</f>
        <v>6.2802587190110808</v>
      </c>
      <c r="J39" s="139">
        <f>I39-VLOOKUP(B$2,H1:J189,2,FALSE)</f>
        <v>0</v>
      </c>
    </row>
    <row r="40" spans="1:10" ht="21.2" customHeight="1">
      <c r="A40" s="8" t="s">
        <v>231</v>
      </c>
      <c r="B40" s="64" t="str">
        <f>VLOOKUP(A40,'The List'!B1:D730,3,FALSE)</f>
        <v>RW</v>
      </c>
      <c r="C40" s="65">
        <f>IF(Settings!$E$15="POINTS",RANK(E40,E3:E189),H40)</f>
        <v>40</v>
      </c>
      <c r="D40" s="34" t="str">
        <f>VLOOKUP(A40,'The List'!B1:F730,5,FALSE)</f>
        <v>UFA</v>
      </c>
      <c r="E40" s="38">
        <f>VLOOKUP(A40,'The List'!B1:I730,8,FALSE)</f>
        <v>5.0986563421658717</v>
      </c>
      <c r="F40" s="38">
        <f>IF(Settings!$E$15="POINTS",E40-VLOOKUP(B$2,C1:E189,3,FALSE),J40)</f>
        <v>-1.1816023768452091</v>
      </c>
      <c r="G40" s="38"/>
      <c r="H40" s="138">
        <f>RANK(I40,I3:I189)</f>
        <v>40</v>
      </c>
      <c r="I40" s="139">
        <f>VLOOKUP(A40,'Standard Deviations'!A1:C731,3,FALSE)</f>
        <v>5.0986563421658717</v>
      </c>
      <c r="J40" s="139">
        <f>I40-VLOOKUP(B$2,H1:J189,2,FALSE)</f>
        <v>-1.1816023768452091</v>
      </c>
    </row>
    <row r="41" spans="1:10" ht="21.2" customHeight="1">
      <c r="A41" s="8" t="s">
        <v>236</v>
      </c>
      <c r="B41" s="64" t="str">
        <f>VLOOKUP(A41,'The List'!B1:D730,3,FALSE)</f>
        <v>LW,RW</v>
      </c>
      <c r="C41" s="65">
        <f>IF(Settings!$E$15="POINTS",RANK(E41,E3:E189),H41)</f>
        <v>43</v>
      </c>
      <c r="D41" s="34" t="str">
        <f>VLOOKUP(A41,'The List'!B1:F730,5,FALSE)</f>
        <v>VAN</v>
      </c>
      <c r="E41" s="38">
        <f>VLOOKUP(A41,'The List'!B1:I730,8,FALSE)</f>
        <v>5.0042319918234188</v>
      </c>
      <c r="F41" s="38">
        <f>IF(Settings!$E$15="POINTS",E41-VLOOKUP(B$2,C1:E189,3,FALSE),J41)</f>
        <v>-1.276026727187662</v>
      </c>
      <c r="G41" s="38"/>
      <c r="H41" s="138">
        <f>RANK(I41,I3:I189)</f>
        <v>43</v>
      </c>
      <c r="I41" s="139">
        <f>VLOOKUP(A41,'Standard Deviations'!A1:C731,3,FALSE)</f>
        <v>5.0042319918234188</v>
      </c>
      <c r="J41" s="139">
        <f>I41-VLOOKUP(B$2,H1:J189,2,FALSE)</f>
        <v>-1.276026727187662</v>
      </c>
    </row>
    <row r="42" spans="1:10" ht="21.2" customHeight="1">
      <c r="A42" s="8" t="s">
        <v>237</v>
      </c>
      <c r="B42" s="64" t="str">
        <f>VLOOKUP(A42,'The List'!B1:D730,3,FALSE)</f>
        <v>LW,RW</v>
      </c>
      <c r="C42" s="65">
        <f>IF(Settings!$E$15="POINTS",RANK(E42,E3:E189),H42)</f>
        <v>39</v>
      </c>
      <c r="D42" s="34" t="str">
        <f>VLOOKUP(A42,'The List'!B1:F730,5,FALSE)</f>
        <v>BOS</v>
      </c>
      <c r="E42" s="38">
        <f>VLOOKUP(A42,'The List'!B1:I730,8,FALSE)</f>
        <v>5.4794471040127481</v>
      </c>
      <c r="F42" s="38">
        <f>IF(Settings!$E$15="POINTS",E42-VLOOKUP(B$2,C1:E189,3,FALSE),J42)</f>
        <v>-0.80081161499833264</v>
      </c>
      <c r="G42" s="38"/>
      <c r="H42" s="138">
        <f>RANK(I42,I3:I189)</f>
        <v>39</v>
      </c>
      <c r="I42" s="139">
        <f>VLOOKUP(A42,'Standard Deviations'!A1:C731,3,FALSE)</f>
        <v>5.4794471040127481</v>
      </c>
      <c r="J42" s="139">
        <f>I42-VLOOKUP(B$2,H1:J189,2,FALSE)</f>
        <v>-0.80081161499833264</v>
      </c>
    </row>
    <row r="43" spans="1:10" ht="21.2" customHeight="1">
      <c r="A43" s="8" t="s">
        <v>240</v>
      </c>
      <c r="B43" s="64" t="str">
        <f>VLOOKUP(A43,'The List'!B1:D730,3,FALSE)</f>
        <v>LW,RW</v>
      </c>
      <c r="C43" s="65">
        <f>IF(Settings!$E$15="POINTS",RANK(E43,E3:E189),H43)</f>
        <v>42</v>
      </c>
      <c r="D43" s="34" t="str">
        <f>VLOOKUP(A43,'The List'!B1:F730,5,FALSE)</f>
        <v>DET</v>
      </c>
      <c r="E43" s="38">
        <f>VLOOKUP(A43,'The List'!B1:I730,8,FALSE)</f>
        <v>5.036515804325699</v>
      </c>
      <c r="F43" s="38">
        <f>IF(Settings!$E$15="POINTS",E43-VLOOKUP(B$2,C1:E189,3,FALSE),J43)</f>
        <v>-1.2437429146853818</v>
      </c>
      <c r="G43" s="38"/>
      <c r="H43" s="138">
        <f>RANK(I43,I3:I189)</f>
        <v>42</v>
      </c>
      <c r="I43" s="139">
        <f>VLOOKUP(A43,'Standard Deviations'!A1:C731,3,FALSE)</f>
        <v>5.036515804325699</v>
      </c>
      <c r="J43" s="139">
        <f>I43-VLOOKUP(B$2,H1:J189,2,FALSE)</f>
        <v>-1.2437429146853818</v>
      </c>
    </row>
    <row r="44" spans="1:10" ht="21.2" customHeight="1">
      <c r="A44" s="8" t="s">
        <v>244</v>
      </c>
      <c r="B44" s="64" t="str">
        <f>VLOOKUP(A44,'The List'!B1:D730,3,FALSE)</f>
        <v>RW</v>
      </c>
      <c r="C44" s="65">
        <f>IF(Settings!$E$15="POINTS",RANK(E44,E3:E189),H44)</f>
        <v>32</v>
      </c>
      <c r="D44" s="34" t="str">
        <f>VLOOKUP(A44,'The List'!B1:F730,5,FALSE)</f>
        <v>VGK</v>
      </c>
      <c r="E44" s="38">
        <f>VLOOKUP(A44,'The List'!B1:I730,8,FALSE)</f>
        <v>6.6284226913136504</v>
      </c>
      <c r="F44" s="38">
        <f>IF(Settings!$E$15="POINTS",E44-VLOOKUP(B$2,C1:E189,3,FALSE),J44)</f>
        <v>0.34816397230256957</v>
      </c>
      <c r="G44" s="38"/>
      <c r="H44" s="138">
        <f>RANK(I44,I3:I189)</f>
        <v>32</v>
      </c>
      <c r="I44" s="139">
        <f>VLOOKUP(A44,'Standard Deviations'!A1:C731,3,FALSE)</f>
        <v>6.6284226913136504</v>
      </c>
      <c r="J44" s="139">
        <f>I44-VLOOKUP(B$2,H1:J189,2,FALSE)</f>
        <v>0.34816397230256957</v>
      </c>
    </row>
    <row r="45" spans="1:10" ht="21.2" customHeight="1">
      <c r="A45" s="8" t="s">
        <v>247</v>
      </c>
      <c r="B45" s="64" t="str">
        <f>VLOOKUP(A45,'The List'!B1:D730,3,FALSE)</f>
        <v>LW,RW</v>
      </c>
      <c r="C45" s="65">
        <f>IF(Settings!$E$15="POINTS",RANK(E45,E3:E189),H45)</f>
        <v>44</v>
      </c>
      <c r="D45" s="34" t="str">
        <f>VLOOKUP(A45,'The List'!B1:F730,5,FALSE)</f>
        <v>DET</v>
      </c>
      <c r="E45" s="38">
        <f>VLOOKUP(A45,'The List'!B1:I730,8,FALSE)</f>
        <v>4.9639097019045106</v>
      </c>
      <c r="F45" s="38">
        <f>IF(Settings!$E$15="POINTS",E45-VLOOKUP(B$2,C1:E189,3,FALSE),J45)</f>
        <v>-1.3163490171065702</v>
      </c>
      <c r="G45" s="38"/>
      <c r="H45" s="138">
        <f>RANK(I45,I3:I189)</f>
        <v>44</v>
      </c>
      <c r="I45" s="139">
        <f>VLOOKUP(A45,'Standard Deviations'!A1:C731,3,FALSE)</f>
        <v>4.9639097019045106</v>
      </c>
      <c r="J45" s="139">
        <f>I45-VLOOKUP(B$2,H1:J189,2,FALSE)</f>
        <v>-1.3163490171065702</v>
      </c>
    </row>
    <row r="46" spans="1:10" ht="21.2" customHeight="1">
      <c r="A46" s="8" t="s">
        <v>254</v>
      </c>
      <c r="B46" s="64" t="str">
        <f>VLOOKUP(A46,'The List'!B1:D730,3,FALSE)</f>
        <v>C,RW</v>
      </c>
      <c r="C46" s="65">
        <f>IF(Settings!$E$15="POINTS",RANK(E46,E3:E189),H46)</f>
        <v>50</v>
      </c>
      <c r="D46" s="34" t="str">
        <f>VLOOKUP(A46,'The List'!B1:F730,5,FALSE)</f>
        <v>NJD</v>
      </c>
      <c r="E46" s="38">
        <f>VLOOKUP(A46,'The List'!B1:I730,8,FALSE)</f>
        <v>3.7326427499068129</v>
      </c>
      <c r="F46" s="38">
        <f>IF(Settings!$E$15="POINTS",E46-VLOOKUP(B$2,C1:E189,3,FALSE),J46)</f>
        <v>-2.5476159691042679</v>
      </c>
      <c r="G46" s="38"/>
      <c r="H46" s="138">
        <f>RANK(I46,I3:I189)</f>
        <v>50</v>
      </c>
      <c r="I46" s="139">
        <f>VLOOKUP(A46,'Standard Deviations'!A1:C731,3,FALSE)</f>
        <v>3.7326427499068129</v>
      </c>
      <c r="J46" s="139">
        <f>I46-VLOOKUP(B$2,H1:J189,2,FALSE)</f>
        <v>-2.5476159691042679</v>
      </c>
    </row>
    <row r="47" spans="1:10" ht="21.2" customHeight="1">
      <c r="A47" s="8" t="s">
        <v>257</v>
      </c>
      <c r="B47" s="64" t="str">
        <f>VLOOKUP(A47,'The List'!B1:D730,3,FALSE)</f>
        <v>RW</v>
      </c>
      <c r="C47" s="65">
        <f>IF(Settings!$E$15="POINTS",RANK(E47,E3:E189),H47)</f>
        <v>47</v>
      </c>
      <c r="D47" s="34" t="str">
        <f>VLOOKUP(A47,'The List'!B1:F730,5,FALSE)</f>
        <v>NJD</v>
      </c>
      <c r="E47" s="38">
        <f>VLOOKUP(A47,'The List'!B1:I730,8,FALSE)</f>
        <v>4.1338270871323903</v>
      </c>
      <c r="F47" s="38">
        <f>IF(Settings!$E$15="POINTS",E47-VLOOKUP(B$2,C1:E189,3,FALSE),J47)</f>
        <v>-2.1464316318786905</v>
      </c>
      <c r="G47" s="38"/>
      <c r="H47" s="138">
        <f>RANK(I47,I3:I189)</f>
        <v>47</v>
      </c>
      <c r="I47" s="139">
        <f>VLOOKUP(A47,'Standard Deviations'!A1:C731,3,FALSE)</f>
        <v>4.1338270871323903</v>
      </c>
      <c r="J47" s="139">
        <f>I47-VLOOKUP(B$2,H1:J189,2,FALSE)</f>
        <v>-2.1464316318786905</v>
      </c>
    </row>
    <row r="48" spans="1:10" ht="21.2" customHeight="1">
      <c r="A48" s="8" t="s">
        <v>259</v>
      </c>
      <c r="B48" s="64" t="str">
        <f>VLOOKUP(A48,'The List'!B1:D730,3,FALSE)</f>
        <v>RW</v>
      </c>
      <c r="C48" s="65">
        <f>IF(Settings!$E$15="POINTS",RANK(E48,E3:E189),H48)</f>
        <v>45</v>
      </c>
      <c r="D48" s="34" t="str">
        <f>VLOOKUP(A48,'The List'!B1:F730,5,FALSE)</f>
        <v>PHI</v>
      </c>
      <c r="E48" s="38">
        <f>VLOOKUP(A48,'The List'!B1:I730,8,FALSE)</f>
        <v>4.4518812384863455</v>
      </c>
      <c r="F48" s="38">
        <f>IF(Settings!$E$15="POINTS",E48-VLOOKUP(B$2,C1:E189,3,FALSE),J48)</f>
        <v>-1.8283774805247353</v>
      </c>
      <c r="G48" s="38"/>
      <c r="H48" s="138">
        <f>RANK(I48,I3:I189)</f>
        <v>45</v>
      </c>
      <c r="I48" s="139">
        <f>VLOOKUP(A48,'Standard Deviations'!A1:C731,3,FALSE)</f>
        <v>4.4518812384863455</v>
      </c>
      <c r="J48" s="139">
        <f>I48-VLOOKUP(B$2,H1:J189,2,FALSE)</f>
        <v>-1.8283774805247353</v>
      </c>
    </row>
    <row r="49" spans="1:10" ht="21.2" customHeight="1">
      <c r="A49" s="8" t="s">
        <v>260</v>
      </c>
      <c r="B49" s="64" t="str">
        <f>VLOOKUP(A49,'The List'!B1:D730,3,FALSE)</f>
        <v>LW,RW</v>
      </c>
      <c r="C49" s="65">
        <f>IF(Settings!$E$15="POINTS",RANK(E49,E3:E189),H49)</f>
        <v>48</v>
      </c>
      <c r="D49" s="34" t="str">
        <f>VLOOKUP(A49,'The List'!B1:F730,5,FALSE)</f>
        <v>PIT</v>
      </c>
      <c r="E49" s="38">
        <f>VLOOKUP(A49,'The List'!B1:I730,8,FALSE)</f>
        <v>4.0574487696802191</v>
      </c>
      <c r="F49" s="38">
        <f>IF(Settings!$E$15="POINTS",E49-VLOOKUP(B$2,C1:E189,3,FALSE),J49)</f>
        <v>-2.2228099493308617</v>
      </c>
      <c r="G49" s="38"/>
      <c r="H49" s="138">
        <f>RANK(I49,I3:I189)</f>
        <v>48</v>
      </c>
      <c r="I49" s="139">
        <f>VLOOKUP(A49,'Standard Deviations'!A1:C731,3,FALSE)</f>
        <v>4.0574487696802191</v>
      </c>
      <c r="J49" s="139">
        <f>I49-VLOOKUP(B$2,H1:J189,2,FALSE)</f>
        <v>-2.2228099493308617</v>
      </c>
    </row>
    <row r="50" spans="1:10" ht="21.2" customHeight="1">
      <c r="A50" s="8" t="s">
        <v>262</v>
      </c>
      <c r="B50" s="64" t="str">
        <f>VLOOKUP(A50,'The List'!B1:D730,3,FALSE)</f>
        <v>RW</v>
      </c>
      <c r="C50" s="65">
        <f>IF(Settings!$E$15="POINTS",RANK(E50,E3:E189),H50)</f>
        <v>41</v>
      </c>
      <c r="D50" s="34" t="str">
        <f>VLOOKUP(A50,'The List'!B1:F730,5,FALSE)</f>
        <v>UFA</v>
      </c>
      <c r="E50" s="38">
        <f>VLOOKUP(A50,'The List'!B1:I730,8,FALSE)</f>
        <v>5.0930817875009531</v>
      </c>
      <c r="F50" s="38">
        <f>IF(Settings!$E$15="POINTS",E50-VLOOKUP(B$2,C1:E189,3,FALSE),J50)</f>
        <v>-1.1871769315101277</v>
      </c>
      <c r="G50" s="38"/>
      <c r="H50" s="138">
        <f>RANK(I50,I3:I189)</f>
        <v>41</v>
      </c>
      <c r="I50" s="139">
        <f>VLOOKUP(A50,'Standard Deviations'!A1:C731,3,FALSE)</f>
        <v>5.0930817875009531</v>
      </c>
      <c r="J50" s="139">
        <f>I50-VLOOKUP(B$2,H1:J189,2,FALSE)</f>
        <v>-1.1871769315101277</v>
      </c>
    </row>
    <row r="51" spans="1:10" ht="21.2" customHeight="1">
      <c r="A51" s="8" t="s">
        <v>264</v>
      </c>
      <c r="B51" s="64" t="str">
        <f>VLOOKUP(A51,'The List'!B1:D730,3,FALSE)</f>
        <v>LW,RW</v>
      </c>
      <c r="C51" s="65">
        <f>IF(Settings!$E$15="POINTS",RANK(E51,E3:E189),H51)</f>
        <v>46</v>
      </c>
      <c r="D51" s="34" t="str">
        <f>VLOOKUP(A51,'The List'!B1:F730,5,FALSE)</f>
        <v>LAK</v>
      </c>
      <c r="E51" s="38">
        <f>VLOOKUP(A51,'The List'!B1:I730,8,FALSE)</f>
        <v>4.1748489384192276</v>
      </c>
      <c r="F51" s="38">
        <f>IF(Settings!$E$15="POINTS",E51-VLOOKUP(B$2,C1:E189,3,FALSE),J51)</f>
        <v>-2.1054097805918532</v>
      </c>
      <c r="G51" s="38"/>
      <c r="H51" s="138">
        <f>RANK(I51,I3:I189)</f>
        <v>46</v>
      </c>
      <c r="I51" s="139">
        <f>VLOOKUP(A51,'Standard Deviations'!A1:C731,3,FALSE)</f>
        <v>4.1748489384192276</v>
      </c>
      <c r="J51" s="139">
        <f>I51-VLOOKUP(B$2,H1:J189,2,FALSE)</f>
        <v>-2.1054097805918532</v>
      </c>
    </row>
    <row r="52" spans="1:10" ht="21.2" customHeight="1">
      <c r="A52" s="8" t="s">
        <v>276</v>
      </c>
      <c r="B52" s="64" t="str">
        <f>VLOOKUP(A52,'The List'!B1:D730,3,FALSE)</f>
        <v>RW</v>
      </c>
      <c r="C52" s="65">
        <f>IF(Settings!$E$15="POINTS",RANK(E52,E3:E189),H52)</f>
        <v>51</v>
      </c>
      <c r="D52" s="34" t="str">
        <f>VLOOKUP(A52,'The List'!B1:F730,5,FALSE)</f>
        <v>VAN</v>
      </c>
      <c r="E52" s="38">
        <f>VLOOKUP(A52,'The List'!B1:I730,8,FALSE)</f>
        <v>3.6121416210440778</v>
      </c>
      <c r="F52" s="38">
        <f>IF(Settings!$E$15="POINTS",E52-VLOOKUP(B$2,C1:E189,3,FALSE),J52)</f>
        <v>-2.668117097967003</v>
      </c>
      <c r="G52" s="38"/>
      <c r="H52" s="138">
        <f>RANK(I52,I3:I189)</f>
        <v>51</v>
      </c>
      <c r="I52" s="139">
        <f>VLOOKUP(A52,'Standard Deviations'!A1:C731,3,FALSE)</f>
        <v>3.6121416210440778</v>
      </c>
      <c r="J52" s="139">
        <f>I52-VLOOKUP(B$2,H1:J189,2,FALSE)</f>
        <v>-2.668117097967003</v>
      </c>
    </row>
    <row r="53" spans="1:10" ht="21.2" customHeight="1">
      <c r="A53" s="8" t="s">
        <v>277</v>
      </c>
      <c r="B53" s="64" t="str">
        <f>VLOOKUP(A53,'The List'!B1:D730,3,FALSE)</f>
        <v>LW,RW</v>
      </c>
      <c r="C53" s="65">
        <f>IF(Settings!$E$15="POINTS",RANK(E53,E3:E189),H53)</f>
        <v>55</v>
      </c>
      <c r="D53" s="34" t="str">
        <f>VLOOKUP(A53,'The List'!B1:F730,5,FALSE)</f>
        <v>ANA</v>
      </c>
      <c r="E53" s="38">
        <f>VLOOKUP(A53,'The List'!B1:I730,8,FALSE)</f>
        <v>3.1174885233035683</v>
      </c>
      <c r="F53" s="38">
        <f>IF(Settings!$E$15="POINTS",E53-VLOOKUP(B$2,C1:E189,3,FALSE),J53)</f>
        <v>-3.1627701957075125</v>
      </c>
      <c r="G53" s="38"/>
      <c r="H53" s="138">
        <f>RANK(I53,I3:I189)</f>
        <v>55</v>
      </c>
      <c r="I53" s="139">
        <f>VLOOKUP(A53,'Standard Deviations'!A1:C731,3,FALSE)</f>
        <v>3.1174885233035683</v>
      </c>
      <c r="J53" s="139">
        <f>I53-VLOOKUP(B$2,H1:J189,2,FALSE)</f>
        <v>-3.1627701957075125</v>
      </c>
    </row>
    <row r="54" spans="1:10" ht="21.2" customHeight="1">
      <c r="A54" s="8" t="s">
        <v>280</v>
      </c>
      <c r="B54" s="64" t="str">
        <f>VLOOKUP(A54,'The List'!B1:D730,3,FALSE)</f>
        <v>RW</v>
      </c>
      <c r="C54" s="65">
        <f>IF(Settings!$E$15="POINTS",RANK(E54,E3:E189),H54)</f>
        <v>54</v>
      </c>
      <c r="D54" s="34" t="str">
        <f>VLOOKUP(A54,'The List'!B1:F730,5,FALSE)</f>
        <v>CAR</v>
      </c>
      <c r="E54" s="38">
        <f>VLOOKUP(A54,'The List'!B1:I730,8,FALSE)</f>
        <v>3.1362584876266308</v>
      </c>
      <c r="F54" s="38">
        <f>IF(Settings!$E$15="POINTS",E54-VLOOKUP(B$2,C1:E189,3,FALSE),J54)</f>
        <v>-3.14400023138445</v>
      </c>
      <c r="G54" s="38"/>
      <c r="H54" s="138">
        <f>RANK(I54,I3:I189)</f>
        <v>54</v>
      </c>
      <c r="I54" s="139">
        <f>VLOOKUP(A54,'Standard Deviations'!A1:C731,3,FALSE)</f>
        <v>3.1362584876266308</v>
      </c>
      <c r="J54" s="139">
        <f>I54-VLOOKUP(B$2,H1:J189,2,FALSE)</f>
        <v>-3.14400023138445</v>
      </c>
    </row>
    <row r="55" spans="1:10" ht="21.2" customHeight="1">
      <c r="A55" s="8" t="s">
        <v>285</v>
      </c>
      <c r="B55" s="64" t="str">
        <f>VLOOKUP(A55,'The List'!B1:D730,3,FALSE)</f>
        <v>LW,RW</v>
      </c>
      <c r="C55" s="65">
        <f>IF(Settings!$E$15="POINTS",RANK(E55,E3:E189),H55)</f>
        <v>63</v>
      </c>
      <c r="D55" s="34" t="str">
        <f>VLOOKUP(A55,'The List'!B1:F730,5,FALSE)</f>
        <v>CGY</v>
      </c>
      <c r="E55" s="38">
        <f>VLOOKUP(A55,'The List'!B1:I730,8,FALSE)</f>
        <v>2.6355153002385889</v>
      </c>
      <c r="F55" s="38">
        <f>IF(Settings!$E$15="POINTS",E55-VLOOKUP(B$2,C1:E189,3,FALSE),J55)</f>
        <v>-3.6447434187724919</v>
      </c>
      <c r="G55" s="38"/>
      <c r="H55" s="138">
        <f>RANK(I55,I3:I189)</f>
        <v>63</v>
      </c>
      <c r="I55" s="139">
        <f>VLOOKUP(A55,'Standard Deviations'!A1:C731,3,FALSE)</f>
        <v>2.6355153002385889</v>
      </c>
      <c r="J55" s="139">
        <f>I55-VLOOKUP(B$2,H1:J189,2,FALSE)</f>
        <v>-3.6447434187724919</v>
      </c>
    </row>
    <row r="56" spans="1:10" ht="21.2" customHeight="1">
      <c r="A56" s="8" t="s">
        <v>290</v>
      </c>
      <c r="B56" s="64" t="str">
        <f>VLOOKUP(A56,'The List'!B1:D730,3,FALSE)</f>
        <v>RW</v>
      </c>
      <c r="C56" s="65">
        <f>IF(Settings!$E$15="POINTS",RANK(E56,E3:E189),H56)</f>
        <v>62</v>
      </c>
      <c r="D56" s="34" t="str">
        <f>VLOOKUP(A56,'The List'!B1:F730,5,FALSE)</f>
        <v>SEA</v>
      </c>
      <c r="E56" s="38">
        <f>VLOOKUP(A56,'The List'!B1:I730,8,FALSE)</f>
        <v>2.6791340713561493</v>
      </c>
      <c r="F56" s="38">
        <f>IF(Settings!$E$15="POINTS",E56-VLOOKUP(B$2,C1:E189,3,FALSE),J56)</f>
        <v>-3.6011246476549315</v>
      </c>
      <c r="G56" s="38"/>
      <c r="H56" s="138">
        <f>RANK(I56,I3:I189)</f>
        <v>62</v>
      </c>
      <c r="I56" s="139">
        <f>VLOOKUP(A56,'Standard Deviations'!A1:C731,3,FALSE)</f>
        <v>2.6791340713561493</v>
      </c>
      <c r="J56" s="139">
        <f>I56-VLOOKUP(B$2,H1:J189,2,FALSE)</f>
        <v>-3.6011246476549315</v>
      </c>
    </row>
    <row r="57" spans="1:10" ht="21.2" customHeight="1">
      <c r="A57" s="8" t="s">
        <v>291</v>
      </c>
      <c r="B57" s="64" t="str">
        <f>VLOOKUP(A57,'The List'!B1:D730,3,FALSE)</f>
        <v>RW</v>
      </c>
      <c r="C57" s="65">
        <f>IF(Settings!$E$15="POINTS",RANK(E57,E3:E189),H57)</f>
        <v>61</v>
      </c>
      <c r="D57" s="34" t="str">
        <f>VLOOKUP(A57,'The List'!B1:F730,5,FALSE)</f>
        <v>PIT</v>
      </c>
      <c r="E57" s="38">
        <f>VLOOKUP(A57,'The List'!B1:I730,8,FALSE)</f>
        <v>2.766194022323075</v>
      </c>
      <c r="F57" s="38">
        <f>IF(Settings!$E$15="POINTS",E57-VLOOKUP(B$2,C1:E189,3,FALSE),J57)</f>
        <v>-3.5140646966880058</v>
      </c>
      <c r="G57" s="38"/>
      <c r="H57" s="138">
        <f>RANK(I57,I3:I189)</f>
        <v>61</v>
      </c>
      <c r="I57" s="139">
        <f>VLOOKUP(A57,'Standard Deviations'!A1:C731,3,FALSE)</f>
        <v>2.766194022323075</v>
      </c>
      <c r="J57" s="139">
        <f>I57-VLOOKUP(B$2,H1:J189,2,FALSE)</f>
        <v>-3.5140646966880058</v>
      </c>
    </row>
    <row r="58" spans="1:10" ht="21.2" customHeight="1">
      <c r="A58" s="8" t="s">
        <v>295</v>
      </c>
      <c r="B58" s="64" t="str">
        <f>VLOOKUP(A58,'The List'!B1:D730,3,FALSE)</f>
        <v>C,RW</v>
      </c>
      <c r="C58" s="65">
        <f>IF(Settings!$E$15="POINTS",RANK(E58,E3:E189),H58)</f>
        <v>56</v>
      </c>
      <c r="D58" s="34" t="str">
        <f>VLOOKUP(A58,'The List'!B1:F730,5,FALSE)</f>
        <v>DAL</v>
      </c>
      <c r="E58" s="38">
        <f>VLOOKUP(A58,'The List'!B1:I730,8,FALSE)</f>
        <v>3.1171217542416638</v>
      </c>
      <c r="F58" s="38">
        <f>IF(Settings!$E$15="POINTS",E58-VLOOKUP(B$2,C1:E189,3,FALSE),J58)</f>
        <v>-3.163136964769417</v>
      </c>
      <c r="G58" s="38"/>
      <c r="H58" s="138">
        <f>RANK(I58,I3:I189)</f>
        <v>56</v>
      </c>
      <c r="I58" s="139">
        <f>VLOOKUP(A58,'Standard Deviations'!A1:C731,3,FALSE)</f>
        <v>3.1171217542416638</v>
      </c>
      <c r="J58" s="139">
        <f>I58-VLOOKUP(B$2,H1:J189,2,FALSE)</f>
        <v>-3.163136964769417</v>
      </c>
    </row>
    <row r="59" spans="1:10" ht="21.2" customHeight="1">
      <c r="A59" s="8" t="s">
        <v>297</v>
      </c>
      <c r="B59" s="64" t="str">
        <f>VLOOKUP(A59,'The List'!B1:D730,3,FALSE)</f>
        <v>RW</v>
      </c>
      <c r="C59" s="65">
        <f>IF(Settings!$E$15="POINTS",RANK(E59,E3:E189),H59)</f>
        <v>68</v>
      </c>
      <c r="D59" s="34" t="str">
        <f>VLOOKUP(A59,'The List'!B1:F730,5,FALSE)</f>
        <v>PIT</v>
      </c>
      <c r="E59" s="38">
        <f>VLOOKUP(A59,'The List'!B1:I730,8,FALSE)</f>
        <v>2.348026173315596</v>
      </c>
      <c r="F59" s="38">
        <f>IF(Settings!$E$15="POINTS",E59-VLOOKUP(B$2,C1:E189,3,FALSE),J59)</f>
        <v>-3.9322325456954847</v>
      </c>
      <c r="G59" s="38"/>
      <c r="H59" s="138">
        <f>RANK(I59,I3:I189)</f>
        <v>68</v>
      </c>
      <c r="I59" s="139">
        <f>VLOOKUP(A59,'Standard Deviations'!A1:C731,3,FALSE)</f>
        <v>2.348026173315596</v>
      </c>
      <c r="J59" s="139">
        <f>I59-VLOOKUP(B$2,H1:J189,2,FALSE)</f>
        <v>-3.9322325456954847</v>
      </c>
    </row>
    <row r="60" spans="1:10" ht="21.2" customHeight="1">
      <c r="A60" s="8" t="s">
        <v>299</v>
      </c>
      <c r="B60" s="64" t="str">
        <f>VLOOKUP(A60,'The List'!B1:D730,3,FALSE)</f>
        <v>C,RW</v>
      </c>
      <c r="C60" s="65">
        <f>IF(Settings!$E$15="POINTS",RANK(E60,E3:E189),H60)</f>
        <v>60</v>
      </c>
      <c r="D60" s="34" t="str">
        <f>VLOOKUP(A60,'The List'!B1:F730,5,FALSE)</f>
        <v>WSH</v>
      </c>
      <c r="E60" s="38">
        <f>VLOOKUP(A60,'The List'!B1:I730,8,FALSE)</f>
        <v>2.7745477204679556</v>
      </c>
      <c r="F60" s="38">
        <f>IF(Settings!$E$15="POINTS",E60-VLOOKUP(B$2,C1:E189,3,FALSE),J60)</f>
        <v>-3.5057109985431252</v>
      </c>
      <c r="G60" s="38"/>
      <c r="H60" s="138">
        <f>RANK(I60,I3:I189)</f>
        <v>60</v>
      </c>
      <c r="I60" s="139">
        <f>VLOOKUP(A60,'Standard Deviations'!A1:C731,3,FALSE)</f>
        <v>2.7745477204679556</v>
      </c>
      <c r="J60" s="139">
        <f>I60-VLOOKUP(B$2,H1:J189,2,FALSE)</f>
        <v>-3.5057109985431252</v>
      </c>
    </row>
    <row r="61" spans="1:10" ht="21.2" customHeight="1">
      <c r="A61" s="8" t="s">
        <v>309</v>
      </c>
      <c r="B61" s="64" t="str">
        <f>VLOOKUP(A61,'The List'!B1:D730,3,FALSE)</f>
        <v>C,LW,RW</v>
      </c>
      <c r="C61" s="65">
        <f>IF(Settings!$E$15="POINTS",RANK(E61,E3:E189),H61)</f>
        <v>69</v>
      </c>
      <c r="D61" s="34" t="str">
        <f>VLOOKUP(A61,'The List'!B1:F730,5,FALSE)</f>
        <v>CBJ</v>
      </c>
      <c r="E61" s="38">
        <f>VLOOKUP(A61,'The List'!B1:I730,8,FALSE)</f>
        <v>2.2297803244112213</v>
      </c>
      <c r="F61" s="38">
        <f>IF(Settings!$E$15="POINTS",E61-VLOOKUP(B$2,C1:E189,3,FALSE),J61)</f>
        <v>-4.0504783945998595</v>
      </c>
      <c r="G61" s="38"/>
      <c r="H61" s="138">
        <f>RANK(I61,I3:I189)</f>
        <v>69</v>
      </c>
      <c r="I61" s="139">
        <f>VLOOKUP(A61,'Standard Deviations'!A1:C731,3,FALSE)</f>
        <v>2.2297803244112213</v>
      </c>
      <c r="J61" s="139">
        <f>I61-VLOOKUP(B$2,H1:J189,2,FALSE)</f>
        <v>-4.0504783945998595</v>
      </c>
    </row>
    <row r="62" spans="1:10" ht="21.2" customHeight="1">
      <c r="A62" s="8" t="s">
        <v>312</v>
      </c>
      <c r="B62" s="64" t="str">
        <f>VLOOKUP(A62,'The List'!B1:D730,3,FALSE)</f>
        <v>RW</v>
      </c>
      <c r="C62" s="65">
        <f>IF(Settings!$E$15="POINTS",RANK(E62,E3:E189),H62)</f>
        <v>74</v>
      </c>
      <c r="D62" s="34" t="str">
        <f>VLOOKUP(A62,'The List'!B1:F730,5,FALSE)</f>
        <v>SEA</v>
      </c>
      <c r="E62" s="38">
        <f>VLOOKUP(A62,'The List'!B1:I730,8,FALSE)</f>
        <v>1.9427837536120243</v>
      </c>
      <c r="F62" s="38">
        <f>IF(Settings!$E$15="POINTS",E62-VLOOKUP(B$2,C1:E189,3,FALSE),J62)</f>
        <v>-4.337474965399057</v>
      </c>
      <c r="G62" s="38"/>
      <c r="H62" s="138">
        <f>RANK(I62,I3:I189)</f>
        <v>74</v>
      </c>
      <c r="I62" s="139">
        <f>VLOOKUP(A62,'Standard Deviations'!A1:C731,3,FALSE)</f>
        <v>1.9427837536120243</v>
      </c>
      <c r="J62" s="139">
        <f>I62-VLOOKUP(B$2,H1:J189,2,FALSE)</f>
        <v>-4.337474965399057</v>
      </c>
    </row>
    <row r="63" spans="1:10" ht="21.2" customHeight="1">
      <c r="A63" s="8" t="s">
        <v>313</v>
      </c>
      <c r="B63" s="64" t="str">
        <f>VLOOKUP(A63,'The List'!B1:D730,3,FALSE)</f>
        <v>C,RW</v>
      </c>
      <c r="C63" s="65">
        <f>IF(Settings!$E$15="POINTS",RANK(E63,E3:E189),H63)</f>
        <v>72</v>
      </c>
      <c r="D63" s="34" t="str">
        <f>VLOOKUP(A63,'The List'!B1:F730,5,FALSE)</f>
        <v>MIN</v>
      </c>
      <c r="E63" s="38">
        <f>VLOOKUP(A63,'The List'!B1:I730,8,FALSE)</f>
        <v>2.0391096416805512</v>
      </c>
      <c r="F63" s="38">
        <f>IF(Settings!$E$15="POINTS",E63-VLOOKUP(B$2,C1:E189,3,FALSE),J63)</f>
        <v>-4.2411490773305296</v>
      </c>
      <c r="G63" s="38"/>
      <c r="H63" s="138">
        <f>RANK(I63,I3:I189)</f>
        <v>72</v>
      </c>
      <c r="I63" s="139">
        <f>VLOOKUP(A63,'Standard Deviations'!A1:C731,3,FALSE)</f>
        <v>2.0391096416805512</v>
      </c>
      <c r="J63" s="139">
        <f>I63-VLOOKUP(B$2,H1:J189,2,FALSE)</f>
        <v>-4.2411490773305296</v>
      </c>
    </row>
    <row r="64" spans="1:10" ht="21.2" customHeight="1">
      <c r="A64" s="8" t="s">
        <v>318</v>
      </c>
      <c r="B64" s="64" t="str">
        <f>VLOOKUP(A64,'The List'!B1:D730,3,FALSE)</f>
        <v>RW</v>
      </c>
      <c r="C64" s="65">
        <f>IF(Settings!$E$15="POINTS",RANK(E64,E3:E189),H64)</f>
        <v>53</v>
      </c>
      <c r="D64" s="34" t="str">
        <f>VLOOKUP(A64,'The List'!B1:F730,5,FALSE)</f>
        <v>NSH</v>
      </c>
      <c r="E64" s="38">
        <f>VLOOKUP(A64,'The List'!B1:I730,8,FALSE)</f>
        <v>3.2517709157274171</v>
      </c>
      <c r="F64" s="38">
        <f>IF(Settings!$E$15="POINTS",E64-VLOOKUP(B$2,C1:E189,3,FALSE),J64)</f>
        <v>-3.0284878032836637</v>
      </c>
      <c r="G64" s="38"/>
      <c r="H64" s="138">
        <f>RANK(I64,I3:I189)</f>
        <v>53</v>
      </c>
      <c r="I64" s="139">
        <f>VLOOKUP(A64,'Standard Deviations'!A1:C731,3,FALSE)</f>
        <v>3.2517709157274171</v>
      </c>
      <c r="J64" s="139">
        <f>I64-VLOOKUP(B$2,H1:J189,2,FALSE)</f>
        <v>-3.0284878032836637</v>
      </c>
    </row>
    <row r="65" spans="1:10" ht="21.2" customHeight="1">
      <c r="A65" s="8" t="s">
        <v>319</v>
      </c>
      <c r="B65" s="64" t="str">
        <f>VLOOKUP(A65,'The List'!B1:D730,3,FALSE)</f>
        <v>LW,RW</v>
      </c>
      <c r="C65" s="65">
        <f>IF(Settings!$E$15="POINTS",RANK(E65,E3:E189),H65)</f>
        <v>49</v>
      </c>
      <c r="D65" s="34" t="str">
        <f>VLOOKUP(A65,'The List'!B1:F730,5,FALSE)</f>
        <v>TOR</v>
      </c>
      <c r="E65" s="38">
        <f>VLOOKUP(A65,'The List'!B1:I730,8,FALSE)</f>
        <v>3.9996377274450081</v>
      </c>
      <c r="F65" s="38">
        <f>IF(Settings!$E$15="POINTS",E65-VLOOKUP(B$2,C1:E189,3,FALSE),J65)</f>
        <v>-2.2806209915660727</v>
      </c>
      <c r="G65" s="38"/>
      <c r="H65" s="138">
        <f>RANK(I65,I3:I189)</f>
        <v>49</v>
      </c>
      <c r="I65" s="139">
        <f>VLOOKUP(A65,'Standard Deviations'!A1:C731,3,FALSE)</f>
        <v>3.9996377274450081</v>
      </c>
      <c r="J65" s="139">
        <f>I65-VLOOKUP(B$2,H1:J189,2,FALSE)</f>
        <v>-2.2806209915660727</v>
      </c>
    </row>
    <row r="66" spans="1:10" ht="21.2" customHeight="1">
      <c r="A66" s="8" t="s">
        <v>324</v>
      </c>
      <c r="B66" s="64" t="str">
        <f>VLOOKUP(A66,'The List'!B1:D730,3,FALSE)</f>
        <v>RW</v>
      </c>
      <c r="C66" s="65">
        <f>IF(Settings!$E$15="POINTS",RANK(E66,E3:E189),H66)</f>
        <v>57</v>
      </c>
      <c r="D66" s="34" t="str">
        <f>VLOOKUP(A66,'The List'!B1:F730,5,FALSE)</f>
        <v>WSH</v>
      </c>
      <c r="E66" s="38">
        <f>VLOOKUP(A66,'The List'!B1:I730,8,FALSE)</f>
        <v>3.0788320137153238</v>
      </c>
      <c r="F66" s="38">
        <f>IF(Settings!$E$15="POINTS",E66-VLOOKUP(B$2,C1:E189,3,FALSE),J66)</f>
        <v>-3.201426705295757</v>
      </c>
      <c r="G66" s="38"/>
      <c r="H66" s="138">
        <f>RANK(I66,I3:I189)</f>
        <v>57</v>
      </c>
      <c r="I66" s="139">
        <f>VLOOKUP(A66,'Standard Deviations'!A1:C731,3,FALSE)</f>
        <v>3.0788320137153238</v>
      </c>
      <c r="J66" s="139">
        <f>I66-VLOOKUP(B$2,H1:J189,2,FALSE)</f>
        <v>-3.201426705295757</v>
      </c>
    </row>
    <row r="67" spans="1:10" ht="21.2" customHeight="1">
      <c r="A67" s="8" t="s">
        <v>327</v>
      </c>
      <c r="B67" s="64" t="str">
        <f>VLOOKUP(A67,'The List'!B1:D730,3,FALSE)</f>
        <v>C,RW</v>
      </c>
      <c r="C67" s="65">
        <f>IF(Settings!$E$15="POINTS",RANK(E67,E3:E189),H67)</f>
        <v>52</v>
      </c>
      <c r="D67" s="34" t="str">
        <f>VLOOKUP(A67,'The List'!B1:F730,5,FALSE)</f>
        <v>MTL</v>
      </c>
      <c r="E67" s="38">
        <f>VLOOKUP(A67,'The List'!B1:I730,8,FALSE)</f>
        <v>3.41087557349221</v>
      </c>
      <c r="F67" s="38">
        <f>IF(Settings!$E$15="POINTS",E67-VLOOKUP(B$2,C1:E189,3,FALSE),J67)</f>
        <v>-2.8693831455188707</v>
      </c>
      <c r="G67" s="38"/>
      <c r="H67" s="138">
        <f>RANK(I67,I3:I189)</f>
        <v>52</v>
      </c>
      <c r="I67" s="139">
        <f>VLOOKUP(A67,'Standard Deviations'!A1:C731,3,FALSE)</f>
        <v>3.41087557349221</v>
      </c>
      <c r="J67" s="139">
        <f>I67-VLOOKUP(B$2,H1:J189,2,FALSE)</f>
        <v>-2.8693831455188707</v>
      </c>
    </row>
    <row r="68" spans="1:10" ht="21.2" customHeight="1">
      <c r="A68" s="8" t="s">
        <v>329</v>
      </c>
      <c r="B68" s="64" t="str">
        <f>VLOOKUP(A68,'The List'!B1:D730,3,FALSE)</f>
        <v>LW,RW</v>
      </c>
      <c r="C68" s="65">
        <f>IF(Settings!$E$15="POINTS",RANK(E68,E3:E189),H68)</f>
        <v>73</v>
      </c>
      <c r="D68" s="34" t="str">
        <f>VLOOKUP(A68,'The List'!B1:F730,5,FALSE)</f>
        <v>VAN</v>
      </c>
      <c r="E68" s="38">
        <f>VLOOKUP(A68,'The List'!B1:I730,8,FALSE)</f>
        <v>2.0269604016104097</v>
      </c>
      <c r="F68" s="38">
        <f>IF(Settings!$E$15="POINTS",E68-VLOOKUP(B$2,C1:E189,3,FALSE),J68)</f>
        <v>-4.2532983174006711</v>
      </c>
      <c r="G68" s="38"/>
      <c r="H68" s="138">
        <f>RANK(I68,I3:I189)</f>
        <v>73</v>
      </c>
      <c r="I68" s="139">
        <f>VLOOKUP(A68,'Standard Deviations'!A1:C731,3,FALSE)</f>
        <v>2.0269604016104097</v>
      </c>
      <c r="J68" s="139">
        <f>I68-VLOOKUP(B$2,H1:J189,2,FALSE)</f>
        <v>-4.2532983174006711</v>
      </c>
    </row>
    <row r="69" spans="1:10" ht="21.2" customHeight="1">
      <c r="A69" s="8" t="s">
        <v>335</v>
      </c>
      <c r="B69" s="64" t="str">
        <f>VLOOKUP(A69,'The List'!B1:D730,3,FALSE)</f>
        <v>LW,RW</v>
      </c>
      <c r="C69" s="65">
        <f>IF(Settings!$E$15="POINTS",RANK(E69,E3:E189),H69)</f>
        <v>75</v>
      </c>
      <c r="D69" s="34" t="str">
        <f>VLOOKUP(A69,'The List'!B1:F730,5,FALSE)</f>
        <v>VAN</v>
      </c>
      <c r="E69" s="38">
        <f>VLOOKUP(A69,'The List'!B1:I730,8,FALSE)</f>
        <v>1.8195772606404146</v>
      </c>
      <c r="F69" s="38">
        <f>IF(Settings!$E$15="POINTS",E69-VLOOKUP(B$2,C1:E189,3,FALSE),J69)</f>
        <v>-4.460681458370666</v>
      </c>
      <c r="G69" s="38"/>
      <c r="H69" s="138">
        <f>RANK(I69,I3:I189)</f>
        <v>75</v>
      </c>
      <c r="I69" s="139">
        <f>VLOOKUP(A69,'Standard Deviations'!A1:C731,3,FALSE)</f>
        <v>1.8195772606404146</v>
      </c>
      <c r="J69" s="139">
        <f>I69-VLOOKUP(B$2,H1:J189,2,FALSE)</f>
        <v>-4.460681458370666</v>
      </c>
    </row>
    <row r="70" spans="1:10" ht="21.2" customHeight="1">
      <c r="A70" s="8" t="s">
        <v>336</v>
      </c>
      <c r="B70" s="64" t="str">
        <f>VLOOKUP(A70,'The List'!B1:D730,3,FALSE)</f>
        <v>LW,RW</v>
      </c>
      <c r="C70" s="65">
        <f>IF(Settings!$E$15="POINTS",RANK(E70,E3:E189),H70)</f>
        <v>65</v>
      </c>
      <c r="D70" s="34" t="str">
        <f>VLOOKUP(A70,'The List'!B1:F730,5,FALSE)</f>
        <v>CAR</v>
      </c>
      <c r="E70" s="38">
        <f>VLOOKUP(A70,'The List'!B1:I730,8,FALSE)</f>
        <v>2.4864447378146495</v>
      </c>
      <c r="F70" s="38">
        <f>IF(Settings!$E$15="POINTS",E70-VLOOKUP(B$2,C1:E189,3,FALSE),J70)</f>
        <v>-3.7938139811964313</v>
      </c>
      <c r="G70" s="38"/>
      <c r="H70" s="138">
        <f>RANK(I70,I3:I189)</f>
        <v>65</v>
      </c>
      <c r="I70" s="139">
        <f>VLOOKUP(A70,'Standard Deviations'!A1:C731,3,FALSE)</f>
        <v>2.4864447378146495</v>
      </c>
      <c r="J70" s="139">
        <f>I70-VLOOKUP(B$2,H1:J189,2,FALSE)</f>
        <v>-3.7938139811964313</v>
      </c>
    </row>
    <row r="71" spans="1:10" ht="21.2" customHeight="1">
      <c r="A71" s="8" t="s">
        <v>338</v>
      </c>
      <c r="B71" s="64" t="str">
        <f>VLOOKUP(A71,'The List'!B1:D730,3,FALSE)</f>
        <v>LW,RW</v>
      </c>
      <c r="C71" s="65">
        <f>IF(Settings!$E$15="POINTS",RANK(E71,E3:E189),H71)</f>
        <v>81</v>
      </c>
      <c r="D71" s="34" t="str">
        <f>VLOOKUP(A71,'The List'!B1:F730,5,FALSE)</f>
        <v>LAK</v>
      </c>
      <c r="E71" s="38">
        <f>VLOOKUP(A71,'The List'!B1:I730,8,FALSE)</f>
        <v>1.532331179249053</v>
      </c>
      <c r="F71" s="38">
        <f>IF(Settings!$E$15="POINTS",E71-VLOOKUP(B$2,C1:E189,3,FALSE),J71)</f>
        <v>-4.7479275397620277</v>
      </c>
      <c r="G71" s="38"/>
      <c r="H71" s="138">
        <f>RANK(I71,I3:I189)</f>
        <v>81</v>
      </c>
      <c r="I71" s="139">
        <f>VLOOKUP(A71,'Standard Deviations'!A1:C731,3,FALSE)</f>
        <v>1.532331179249053</v>
      </c>
      <c r="J71" s="139">
        <f>I71-VLOOKUP(B$2,H1:J189,2,FALSE)</f>
        <v>-4.7479275397620277</v>
      </c>
    </row>
    <row r="72" spans="1:10" ht="21.2" customHeight="1">
      <c r="A72" s="8" t="s">
        <v>341</v>
      </c>
      <c r="B72" s="64" t="str">
        <f>VLOOKUP(A72,'The List'!B1:D730,3,FALSE)</f>
        <v>C,LW,RW</v>
      </c>
      <c r="C72" s="65">
        <f>IF(Settings!$E$15="POINTS",RANK(E72,E3:E189),H72)</f>
        <v>77</v>
      </c>
      <c r="D72" s="34" t="str">
        <f>VLOOKUP(A72,'The List'!B1:F730,5,FALSE)</f>
        <v>VGK</v>
      </c>
      <c r="E72" s="38">
        <f>VLOOKUP(A72,'The List'!B1:I730,8,FALSE)</f>
        <v>1.7549357413741777</v>
      </c>
      <c r="F72" s="38">
        <f>IF(Settings!$E$15="POINTS",E72-VLOOKUP(B$2,C1:E189,3,FALSE),J72)</f>
        <v>-4.5253229776369031</v>
      </c>
      <c r="G72" s="38"/>
      <c r="H72" s="138">
        <f>RANK(I72,I3:I189)</f>
        <v>77</v>
      </c>
      <c r="I72" s="139">
        <f>VLOOKUP(A72,'Standard Deviations'!A1:C731,3,FALSE)</f>
        <v>1.7549357413741777</v>
      </c>
      <c r="J72" s="139">
        <f>I72-VLOOKUP(B$2,H1:J189,2,FALSE)</f>
        <v>-4.5253229776369031</v>
      </c>
    </row>
    <row r="73" spans="1:10" ht="21.2" customHeight="1">
      <c r="A73" s="8" t="s">
        <v>344</v>
      </c>
      <c r="B73" s="64" t="str">
        <f>VLOOKUP(A73,'The List'!B1:D730,3,FALSE)</f>
        <v>RW</v>
      </c>
      <c r="C73" s="65">
        <f>IF(Settings!$E$15="POINTS",RANK(E73,E3:E189),H73)</f>
        <v>70</v>
      </c>
      <c r="D73" s="34" t="str">
        <f>VLOOKUP(A73,'The List'!B1:F730,5,FALSE)</f>
        <v>NYR</v>
      </c>
      <c r="E73" s="38">
        <f>VLOOKUP(A73,'The List'!B1:I730,8,FALSE)</f>
        <v>2.1356922715073319</v>
      </c>
      <c r="F73" s="38">
        <f>IF(Settings!$E$15="POINTS",E73-VLOOKUP(B$2,C1:E189,3,FALSE),J73)</f>
        <v>-4.1445664475037489</v>
      </c>
      <c r="G73" s="38"/>
      <c r="H73" s="138">
        <f>RANK(I73,I3:I189)</f>
        <v>70</v>
      </c>
      <c r="I73" s="139">
        <f>VLOOKUP(A73,'Standard Deviations'!A1:C731,3,FALSE)</f>
        <v>2.1356922715073319</v>
      </c>
      <c r="J73" s="139">
        <f>I73-VLOOKUP(B$2,H1:J189,2,FALSE)</f>
        <v>-4.1445664475037489</v>
      </c>
    </row>
    <row r="74" spans="1:10" ht="21.2" customHeight="1">
      <c r="A74" s="8" t="s">
        <v>349</v>
      </c>
      <c r="B74" s="64" t="str">
        <f>VLOOKUP(A74,'The List'!B1:D730,3,FALSE)</f>
        <v>C,RW</v>
      </c>
      <c r="C74" s="65">
        <f>IF(Settings!$E$15="POINTS",RANK(E74,E3:E189),H74)</f>
        <v>67</v>
      </c>
      <c r="D74" s="34" t="str">
        <f>VLOOKUP(A74,'The List'!B1:F730,5,FALSE)</f>
        <v>DAL</v>
      </c>
      <c r="E74" s="38">
        <f>VLOOKUP(A74,'The List'!B1:I730,8,FALSE)</f>
        <v>2.348789467429456</v>
      </c>
      <c r="F74" s="38">
        <f>IF(Settings!$E$15="POINTS",E74-VLOOKUP(B$2,C1:E189,3,FALSE),J74)</f>
        <v>-3.9314692515816247</v>
      </c>
      <c r="G74" s="38"/>
      <c r="H74" s="138">
        <f>RANK(I74,I3:I189)</f>
        <v>67</v>
      </c>
      <c r="I74" s="139">
        <f>VLOOKUP(A74,'Standard Deviations'!A1:C731,3,FALSE)</f>
        <v>2.348789467429456</v>
      </c>
      <c r="J74" s="139">
        <f>I74-VLOOKUP(B$2,H1:J189,2,FALSE)</f>
        <v>-3.9314692515816247</v>
      </c>
    </row>
    <row r="75" spans="1:10" ht="21.2" customHeight="1">
      <c r="A75" s="8" t="s">
        <v>353</v>
      </c>
      <c r="B75" s="64" t="str">
        <f>VLOOKUP(A75,'The List'!B1:D730,3,FALSE)</f>
        <v>LW,RW</v>
      </c>
      <c r="C75" s="65">
        <f>IF(Settings!$E$15="POINTS",RANK(E75,E3:E189),H75)</f>
        <v>76</v>
      </c>
      <c r="D75" s="34" t="str">
        <f>VLOOKUP(A75,'The List'!B1:F730,5,FALSE)</f>
        <v>CBJ</v>
      </c>
      <c r="E75" s="38">
        <f>VLOOKUP(A75,'The List'!B1:I730,8,FALSE)</f>
        <v>1.7550229536737803</v>
      </c>
      <c r="F75" s="38">
        <f>IF(Settings!$E$15="POINTS",E75-VLOOKUP(B$2,C1:E189,3,FALSE),J75)</f>
        <v>-4.5252357653373005</v>
      </c>
      <c r="G75" s="38"/>
      <c r="H75" s="138">
        <f>RANK(I75,I3:I189)</f>
        <v>76</v>
      </c>
      <c r="I75" s="139">
        <f>VLOOKUP(A75,'Standard Deviations'!A1:C731,3,FALSE)</f>
        <v>1.7550229536737803</v>
      </c>
      <c r="J75" s="139">
        <f>I75-VLOOKUP(B$2,H1:J189,2,FALSE)</f>
        <v>-4.5252357653373005</v>
      </c>
    </row>
    <row r="76" spans="1:10" ht="21.2" customHeight="1">
      <c r="A76" s="8" t="s">
        <v>357</v>
      </c>
      <c r="B76" s="64" t="str">
        <f>VLOOKUP(A76,'The List'!B1:D730,3,FALSE)</f>
        <v>LW,RW</v>
      </c>
      <c r="C76" s="65">
        <f>IF(Settings!$E$15="POINTS",RANK(E76,E3:E189),H76)</f>
        <v>83</v>
      </c>
      <c r="D76" s="34" t="str">
        <f>VLOOKUP(A76,'The List'!B1:F730,5,FALSE)</f>
        <v>WPG</v>
      </c>
      <c r="E76" s="38">
        <f>VLOOKUP(A76,'The List'!B1:I730,8,FALSE)</f>
        <v>1.4803147672945323</v>
      </c>
      <c r="F76" s="38">
        <f>IF(Settings!$E$15="POINTS",E76-VLOOKUP(B$2,C1:E189,3,FALSE),J76)</f>
        <v>-4.7999439517165481</v>
      </c>
      <c r="G76" s="38"/>
      <c r="H76" s="138">
        <f>RANK(I76,I3:I189)</f>
        <v>83</v>
      </c>
      <c r="I76" s="139">
        <f>VLOOKUP(A76,'Standard Deviations'!A1:C731,3,FALSE)</f>
        <v>1.4803147672945323</v>
      </c>
      <c r="J76" s="139">
        <f>I76-VLOOKUP(B$2,H1:J189,2,FALSE)</f>
        <v>-4.7999439517165481</v>
      </c>
    </row>
    <row r="77" spans="1:10" ht="21.2" customHeight="1">
      <c r="A77" s="8" t="s">
        <v>358</v>
      </c>
      <c r="B77" s="64" t="str">
        <f>VLOOKUP(A77,'The List'!B1:D730,3,FALSE)</f>
        <v>LW,RW</v>
      </c>
      <c r="C77" s="65">
        <f>IF(Settings!$E$15="POINTS",RANK(E77,E3:E189),H77)</f>
        <v>87</v>
      </c>
      <c r="D77" s="34" t="str">
        <f>VLOOKUP(A77,'The List'!B1:F730,5,FALSE)</f>
        <v>ANA</v>
      </c>
      <c r="E77" s="38">
        <f>VLOOKUP(A77,'The List'!B1:I730,8,FALSE)</f>
        <v>0.99335241394041851</v>
      </c>
      <c r="F77" s="38">
        <f>IF(Settings!$E$15="POINTS",E77-VLOOKUP(B$2,C1:E189,3,FALSE),J77)</f>
        <v>-5.2869063050706622</v>
      </c>
      <c r="G77" s="38"/>
      <c r="H77" s="138">
        <f>RANK(I77,I3:I189)</f>
        <v>87</v>
      </c>
      <c r="I77" s="139">
        <f>VLOOKUP(A77,'Standard Deviations'!A1:C731,3,FALSE)</f>
        <v>0.99335241394041851</v>
      </c>
      <c r="J77" s="139">
        <f>I77-VLOOKUP(B$2,H1:J189,2,FALSE)</f>
        <v>-5.2869063050706622</v>
      </c>
    </row>
    <row r="78" spans="1:10" ht="21.2" customHeight="1">
      <c r="A78" s="8" t="s">
        <v>362</v>
      </c>
      <c r="B78" s="64" t="str">
        <f>VLOOKUP(A78,'The List'!B1:D730,3,FALSE)</f>
        <v>C,RW</v>
      </c>
      <c r="C78" s="65">
        <f>IF(Settings!$E$15="POINTS",RANK(E78,E3:E189),H78)</f>
        <v>59</v>
      </c>
      <c r="D78" s="34" t="str">
        <f>VLOOKUP(A78,'The List'!B1:F730,5,FALSE)</f>
        <v>WPG</v>
      </c>
      <c r="E78" s="38">
        <f>VLOOKUP(A78,'The List'!B1:I730,8,FALSE)</f>
        <v>2.7758076656657602</v>
      </c>
      <c r="F78" s="38">
        <f>IF(Settings!$E$15="POINTS",E78-VLOOKUP(B$2,C1:E189,3,FALSE),J78)</f>
        <v>-3.5044510533453206</v>
      </c>
      <c r="G78" s="38"/>
      <c r="H78" s="138">
        <f>RANK(I78,I3:I189)</f>
        <v>59</v>
      </c>
      <c r="I78" s="139">
        <f>VLOOKUP(A78,'Standard Deviations'!A1:C731,3,FALSE)</f>
        <v>2.7758076656657602</v>
      </c>
      <c r="J78" s="139">
        <f>I78-VLOOKUP(B$2,H1:J189,2,FALSE)</f>
        <v>-3.5044510533453206</v>
      </c>
    </row>
    <row r="79" spans="1:10" ht="21.2" customHeight="1">
      <c r="A79" s="8" t="s">
        <v>365</v>
      </c>
      <c r="B79" s="64" t="str">
        <f>VLOOKUP(A79,'The List'!B1:D730,3,FALSE)</f>
        <v>C,RW</v>
      </c>
      <c r="C79" s="65">
        <f>IF(Settings!$E$15="POINTS",RANK(E79,E3:E189),H79)</f>
        <v>90</v>
      </c>
      <c r="D79" s="34" t="str">
        <f>VLOOKUP(A79,'The List'!B1:F730,5,FALSE)</f>
        <v>BOS</v>
      </c>
      <c r="E79" s="38">
        <f>VLOOKUP(A79,'The List'!B1:I730,8,FALSE)</f>
        <v>0.61619896704392985</v>
      </c>
      <c r="F79" s="38">
        <f>IF(Settings!$E$15="POINTS",E79-VLOOKUP(B$2,C1:E189,3,FALSE),J79)</f>
        <v>-5.6640597519671507</v>
      </c>
      <c r="G79" s="38"/>
      <c r="H79" s="138">
        <f>RANK(I79,I3:I189)</f>
        <v>90</v>
      </c>
      <c r="I79" s="139">
        <f>VLOOKUP(A79,'Standard Deviations'!A1:C731,3,FALSE)</f>
        <v>0.61619896704392985</v>
      </c>
      <c r="J79" s="139">
        <f>I79-VLOOKUP(B$2,H1:J189,2,FALSE)</f>
        <v>-5.6640597519671507</v>
      </c>
    </row>
    <row r="80" spans="1:10" ht="21.2" customHeight="1">
      <c r="A80" s="8" t="s">
        <v>367</v>
      </c>
      <c r="B80" s="64" t="str">
        <f>VLOOKUP(A80,'The List'!B1:D730,3,FALSE)</f>
        <v>C,RW</v>
      </c>
      <c r="C80" s="65">
        <f>IF(Settings!$E$15="POINTS",RANK(E80,E3:E189),H80)</f>
        <v>64</v>
      </c>
      <c r="D80" s="34" t="str">
        <f>VLOOKUP(A80,'The List'!B1:F730,5,FALSE)</f>
        <v>NSH</v>
      </c>
      <c r="E80" s="38">
        <f>VLOOKUP(A80,'The List'!B1:I730,8,FALSE)</f>
        <v>2.5671777929696864</v>
      </c>
      <c r="F80" s="38">
        <f>IF(Settings!$E$15="POINTS",E80-VLOOKUP(B$2,C1:E189,3,FALSE),J80)</f>
        <v>-3.7130809260413944</v>
      </c>
      <c r="G80" s="38"/>
      <c r="H80" s="138">
        <f>RANK(I80,I3:I189)</f>
        <v>64</v>
      </c>
      <c r="I80" s="139">
        <f>VLOOKUP(A80,'Standard Deviations'!A1:C731,3,FALSE)</f>
        <v>2.5671777929696864</v>
      </c>
      <c r="J80" s="139">
        <f>I80-VLOOKUP(B$2,H1:J189,2,FALSE)</f>
        <v>-3.7130809260413944</v>
      </c>
    </row>
    <row r="81" spans="1:10" ht="21.2" customHeight="1">
      <c r="A81" s="8" t="s">
        <v>368</v>
      </c>
      <c r="B81" s="64" t="str">
        <f>VLOOKUP(A81,'The List'!B1:D730,3,FALSE)</f>
        <v>LW,RW</v>
      </c>
      <c r="C81" s="65">
        <f>IF(Settings!$E$15="POINTS",RANK(E81,E3:E189),H81)</f>
        <v>71</v>
      </c>
      <c r="D81" s="34" t="str">
        <f>VLOOKUP(A81,'The List'!B1:F730,5,FALSE)</f>
        <v>SJS</v>
      </c>
      <c r="E81" s="38">
        <f>VLOOKUP(A81,'The List'!B1:I730,8,FALSE)</f>
        <v>2.0406029877718854</v>
      </c>
      <c r="F81" s="38">
        <f>IF(Settings!$E$15="POINTS",E81-VLOOKUP(B$2,C1:E189,3,FALSE),J81)</f>
        <v>-4.2396557312391954</v>
      </c>
      <c r="G81" s="38"/>
      <c r="H81" s="138">
        <f>RANK(I81,I3:I189)</f>
        <v>71</v>
      </c>
      <c r="I81" s="139">
        <f>VLOOKUP(A81,'Standard Deviations'!A1:C731,3,FALSE)</f>
        <v>2.0406029877718854</v>
      </c>
      <c r="J81" s="139">
        <f>I81-VLOOKUP(B$2,H1:J189,2,FALSE)</f>
        <v>-4.2396557312391954</v>
      </c>
    </row>
    <row r="82" spans="1:10" ht="21.2" customHeight="1">
      <c r="A82" s="8" t="s">
        <v>372</v>
      </c>
      <c r="B82" s="64" t="str">
        <f>VLOOKUP(A82,'The List'!B1:D730,3,FALSE)</f>
        <v>LW,RW</v>
      </c>
      <c r="C82" s="65">
        <f>IF(Settings!$E$15="POINTS",RANK(E82,E3:E189),H82)</f>
        <v>86</v>
      </c>
      <c r="D82" s="34" t="str">
        <f>VLOOKUP(A82,'The List'!B1:F730,5,FALSE)</f>
        <v>OTT</v>
      </c>
      <c r="E82" s="38">
        <f>VLOOKUP(A82,'The List'!B1:I730,8,FALSE)</f>
        <v>0.99964981291964239</v>
      </c>
      <c r="F82" s="38">
        <f>IF(Settings!$E$15="POINTS",E82-VLOOKUP(B$2,C1:E189,3,FALSE),J82)</f>
        <v>-5.2806089060914383</v>
      </c>
      <c r="G82" s="38"/>
      <c r="H82" s="138">
        <f>RANK(I82,I3:I189)</f>
        <v>86</v>
      </c>
      <c r="I82" s="139">
        <f>VLOOKUP(A82,'Standard Deviations'!A1:C731,3,FALSE)</f>
        <v>0.99964981291964239</v>
      </c>
      <c r="J82" s="139">
        <f>I82-VLOOKUP(B$2,H1:J189,2,FALSE)</f>
        <v>-5.2806089060914383</v>
      </c>
    </row>
    <row r="83" spans="1:10" ht="21.2" customHeight="1">
      <c r="A83" s="8" t="s">
        <v>381</v>
      </c>
      <c r="B83" s="64" t="str">
        <f>VLOOKUP(A83,'The List'!B1:D730,3,FALSE)</f>
        <v>C,LW,RW</v>
      </c>
      <c r="C83" s="65">
        <f>IF(Settings!$E$15="POINTS",RANK(E83,E3:E189),H83)</f>
        <v>89</v>
      </c>
      <c r="D83" s="34" t="str">
        <f>VLOOKUP(A83,'The List'!B1:F730,5,FALSE)</f>
        <v>CGY</v>
      </c>
      <c r="E83" s="38">
        <f>VLOOKUP(A83,'The List'!B1:I730,8,FALSE)</f>
        <v>0.73644007223529417</v>
      </c>
      <c r="F83" s="38">
        <f>IF(Settings!$E$15="POINTS",E83-VLOOKUP(B$2,C1:E189,3,FALSE),J83)</f>
        <v>-5.5438186467757866</v>
      </c>
      <c r="G83" s="38"/>
      <c r="H83" s="138">
        <f>RANK(I83,I3:I189)</f>
        <v>89</v>
      </c>
      <c r="I83" s="139">
        <f>VLOOKUP(A83,'Standard Deviations'!A1:C731,3,FALSE)</f>
        <v>0.73644007223529417</v>
      </c>
      <c r="J83" s="139">
        <f>I83-VLOOKUP(B$2,H1:J189,2,FALSE)</f>
        <v>-5.5438186467757866</v>
      </c>
    </row>
    <row r="84" spans="1:10" ht="21.2" customHeight="1">
      <c r="A84" s="8" t="s">
        <v>385</v>
      </c>
      <c r="B84" s="64" t="str">
        <f>VLOOKUP(A84,'The List'!B1:D730,3,FALSE)</f>
        <v>RW</v>
      </c>
      <c r="C84" s="65">
        <f>IF(Settings!$E$15="POINTS",RANK(E84,E3:E189),H84)</f>
        <v>79</v>
      </c>
      <c r="D84" s="34" t="str">
        <f>VLOOKUP(A84,'The List'!B1:F730,5,FALSE)</f>
        <v>DET</v>
      </c>
      <c r="E84" s="38">
        <f>VLOOKUP(A84,'The List'!B1:I730,8,FALSE)</f>
        <v>1.6891318392193773</v>
      </c>
      <c r="F84" s="38">
        <f>IF(Settings!$E$15="POINTS",E84-VLOOKUP(B$2,C1:E189,3,FALSE),J84)</f>
        <v>-4.5911268797917035</v>
      </c>
      <c r="G84" s="38"/>
      <c r="H84" s="138">
        <f>RANK(I84,I3:I189)</f>
        <v>79</v>
      </c>
      <c r="I84" s="139">
        <f>VLOOKUP(A84,'Standard Deviations'!A1:C731,3,FALSE)</f>
        <v>1.6891318392193773</v>
      </c>
      <c r="J84" s="139">
        <f>I84-VLOOKUP(B$2,H1:J189,2,FALSE)</f>
        <v>-4.5911268797917035</v>
      </c>
    </row>
    <row r="85" spans="1:10" ht="21.2" customHeight="1">
      <c r="A85" s="8" t="s">
        <v>387</v>
      </c>
      <c r="B85" s="64" t="str">
        <f>VLOOKUP(A85,'The List'!B1:D730,3,FALSE)</f>
        <v>RW</v>
      </c>
      <c r="C85" s="65">
        <f>IF(Settings!$E$15="POINTS",RANK(E85,E3:E189),H85)</f>
        <v>58</v>
      </c>
      <c r="D85" s="34" t="str">
        <f>VLOOKUP(A85,'The List'!B1:F730,5,FALSE)</f>
        <v>SJS</v>
      </c>
      <c r="E85" s="38">
        <f>VLOOKUP(A85,'The List'!B1:I730,8,FALSE)</f>
        <v>2.7884992695077098</v>
      </c>
      <c r="F85" s="38">
        <f>IF(Settings!$E$15="POINTS",E85-VLOOKUP(B$2,C1:E189,3,FALSE),J85)</f>
        <v>-3.491759449503371</v>
      </c>
      <c r="G85" s="38"/>
      <c r="H85" s="138">
        <f>RANK(I85,I3:I189)</f>
        <v>58</v>
      </c>
      <c r="I85" s="139">
        <f>VLOOKUP(A85,'Standard Deviations'!A1:C731,3,FALSE)</f>
        <v>2.7884992695077098</v>
      </c>
      <c r="J85" s="139">
        <f>I85-VLOOKUP(B$2,H1:J189,2,FALSE)</f>
        <v>-3.491759449503371</v>
      </c>
    </row>
    <row r="86" spans="1:10" ht="21.2" customHeight="1">
      <c r="A86" s="8" t="s">
        <v>389</v>
      </c>
      <c r="B86" s="64" t="str">
        <f>VLOOKUP(A86,'The List'!B1:D730,3,FALSE)</f>
        <v>C,LW,RW</v>
      </c>
      <c r="C86" s="65">
        <f>IF(Settings!$E$15="POINTS",RANK(E86,E3:E189),H86)</f>
        <v>85</v>
      </c>
      <c r="D86" s="34" t="str">
        <f>VLOOKUP(A86,'The List'!B1:F730,5,FALSE)</f>
        <v>FLA</v>
      </c>
      <c r="E86" s="38">
        <f>VLOOKUP(A86,'The List'!B1:I730,8,FALSE)</f>
        <v>1.0766132214619046</v>
      </c>
      <c r="F86" s="38">
        <f>IF(Settings!$E$15="POINTS",E86-VLOOKUP(B$2,C1:E189,3,FALSE),J86)</f>
        <v>-5.2036454975491759</v>
      </c>
      <c r="G86" s="38"/>
      <c r="H86" s="138">
        <f>RANK(I86,I3:I189)</f>
        <v>85</v>
      </c>
      <c r="I86" s="139">
        <f>VLOOKUP(A86,'Standard Deviations'!A1:C731,3,FALSE)</f>
        <v>1.0766132214619046</v>
      </c>
      <c r="J86" s="139">
        <f>I86-VLOOKUP(B$2,H1:J189,2,FALSE)</f>
        <v>-5.2036454975491759</v>
      </c>
    </row>
    <row r="87" spans="1:10" ht="21.2" customHeight="1">
      <c r="A87" s="8" t="s">
        <v>391</v>
      </c>
      <c r="B87" s="64" t="str">
        <f>VLOOKUP(A87,'The List'!B1:D730,3,FALSE)</f>
        <v>RW</v>
      </c>
      <c r="C87" s="65">
        <f>IF(Settings!$E$15="POINTS",RANK(E87,E3:E189),H87)</f>
        <v>66</v>
      </c>
      <c r="D87" s="34" t="str">
        <f>VLOOKUP(A87,'The List'!B1:F730,5,FALSE)</f>
        <v>PHI</v>
      </c>
      <c r="E87" s="38">
        <f>VLOOKUP(A87,'The List'!B1:I730,8,FALSE)</f>
        <v>2.4729723519051721</v>
      </c>
      <c r="F87" s="38">
        <f>IF(Settings!$E$15="POINTS",E87-VLOOKUP(B$2,C1:E189,3,FALSE),J87)</f>
        <v>-3.8072863671059087</v>
      </c>
      <c r="G87" s="38"/>
      <c r="H87" s="138">
        <f>RANK(I87,I3:I189)</f>
        <v>66</v>
      </c>
      <c r="I87" s="139">
        <f>VLOOKUP(A87,'Standard Deviations'!A1:C731,3,FALSE)</f>
        <v>2.4729723519051721</v>
      </c>
      <c r="J87" s="139">
        <f>I87-VLOOKUP(B$2,H1:J189,2,FALSE)</f>
        <v>-3.8072863671059087</v>
      </c>
    </row>
    <row r="88" spans="1:10" ht="21.2" customHeight="1">
      <c r="A88" s="8" t="s">
        <v>396</v>
      </c>
      <c r="B88" s="64" t="str">
        <f>VLOOKUP(A88,'The List'!B1:D730,3,FALSE)</f>
        <v>LW,RW</v>
      </c>
      <c r="C88" s="65">
        <f>IF(Settings!$E$15="POINTS",RANK(E88,E3:E189),H88)</f>
        <v>91</v>
      </c>
      <c r="D88" s="34" t="str">
        <f>VLOOKUP(A88,'The List'!B1:F730,5,FALSE)</f>
        <v>NYR</v>
      </c>
      <c r="E88" s="38">
        <f>VLOOKUP(A88,'The List'!B1:I730,8,FALSE)</f>
        <v>0.55521426503630367</v>
      </c>
      <c r="F88" s="38">
        <f>IF(Settings!$E$15="POINTS",E88-VLOOKUP(B$2,C1:E189,3,FALSE),J88)</f>
        <v>-5.7250444539747773</v>
      </c>
      <c r="G88" s="38"/>
      <c r="H88" s="138">
        <f>RANK(I88,I3:I189)</f>
        <v>91</v>
      </c>
      <c r="I88" s="139">
        <f>VLOOKUP(A88,'Standard Deviations'!A1:C731,3,FALSE)</f>
        <v>0.55521426503630367</v>
      </c>
      <c r="J88" s="139">
        <f>I88-VLOOKUP(B$2,H1:J189,2,FALSE)</f>
        <v>-5.7250444539747773</v>
      </c>
    </row>
    <row r="89" spans="1:10" ht="21.2" customHeight="1">
      <c r="A89" s="8" t="s">
        <v>398</v>
      </c>
      <c r="B89" s="64" t="str">
        <f>VLOOKUP(A89,'The List'!B1:D730,3,FALSE)</f>
        <v>LW,RW</v>
      </c>
      <c r="C89" s="65">
        <f>IF(Settings!$E$15="POINTS",RANK(E89,E3:E189),H89)</f>
        <v>82</v>
      </c>
      <c r="D89" s="34" t="str">
        <f>VLOOKUP(A89,'The List'!B1:F730,5,FALSE)</f>
        <v>VAN</v>
      </c>
      <c r="E89" s="38">
        <f>VLOOKUP(A89,'The List'!B1:I730,8,FALSE)</f>
        <v>1.496402365959153</v>
      </c>
      <c r="F89" s="38">
        <f>IF(Settings!$E$15="POINTS",E89-VLOOKUP(B$2,C1:E189,3,FALSE),J89)</f>
        <v>-4.7838563530519274</v>
      </c>
      <c r="G89" s="38"/>
      <c r="H89" s="138">
        <f>RANK(I89,I3:I189)</f>
        <v>82</v>
      </c>
      <c r="I89" s="139">
        <f>VLOOKUP(A89,'Standard Deviations'!A1:C731,3,FALSE)</f>
        <v>1.496402365959153</v>
      </c>
      <c r="J89" s="139">
        <f>I89-VLOOKUP(B$2,H1:J189,2,FALSE)</f>
        <v>-4.7838563530519274</v>
      </c>
    </row>
    <row r="90" spans="1:10" ht="21.2" customHeight="1">
      <c r="A90" s="8" t="s">
        <v>401</v>
      </c>
      <c r="B90" s="64" t="str">
        <f>VLOOKUP(A90,'The List'!B1:D730,3,FALSE)</f>
        <v>RW</v>
      </c>
      <c r="C90" s="65">
        <f>IF(Settings!$E$15="POINTS",RANK(E90,E3:E189),H90)</f>
        <v>80</v>
      </c>
      <c r="D90" s="34" t="str">
        <f>VLOOKUP(A90,'The List'!B1:F730,5,FALSE)</f>
        <v>WSH</v>
      </c>
      <c r="E90" s="38">
        <f>VLOOKUP(A90,'The List'!B1:I730,8,FALSE)</f>
        <v>1.573525419067165</v>
      </c>
      <c r="F90" s="38">
        <f>IF(Settings!$E$15="POINTS",E90-VLOOKUP(B$2,C1:E189,3,FALSE),J90)</f>
        <v>-4.7067332999439158</v>
      </c>
      <c r="G90" s="38"/>
      <c r="H90" s="138">
        <f>RANK(I90,I3:I189)</f>
        <v>80</v>
      </c>
      <c r="I90" s="139">
        <f>VLOOKUP(A90,'Standard Deviations'!A1:C731,3,FALSE)</f>
        <v>1.573525419067165</v>
      </c>
      <c r="J90" s="139">
        <f>I90-VLOOKUP(B$2,H1:J189,2,FALSE)</f>
        <v>-4.7067332999439158</v>
      </c>
    </row>
    <row r="91" spans="1:10" ht="21.2" customHeight="1">
      <c r="A91" s="8" t="s">
        <v>402</v>
      </c>
      <c r="B91" s="64" t="str">
        <f>VLOOKUP(A91,'The List'!B1:D730,3,FALSE)</f>
        <v>LW,RW</v>
      </c>
      <c r="C91" s="65">
        <f>IF(Settings!$E$15="POINTS",RANK(E91,E3:E189),H91)</f>
        <v>88</v>
      </c>
      <c r="D91" s="34" t="str">
        <f>VLOOKUP(A91,'The List'!B1:F730,5,FALSE)</f>
        <v>BUF</v>
      </c>
      <c r="E91" s="38">
        <f>VLOOKUP(A91,'The List'!B1:I730,8,FALSE)</f>
        <v>0.77435578813392303</v>
      </c>
      <c r="F91" s="38">
        <f>IF(Settings!$E$15="POINTS",E91-VLOOKUP(B$2,C1:E189,3,FALSE),J91)</f>
        <v>-5.5059029308771574</v>
      </c>
      <c r="G91" s="38"/>
      <c r="H91" s="138">
        <f>RANK(I91,I3:I189)</f>
        <v>88</v>
      </c>
      <c r="I91" s="139">
        <f>VLOOKUP(A91,'Standard Deviations'!A1:C731,3,FALSE)</f>
        <v>0.77435578813392303</v>
      </c>
      <c r="J91" s="139">
        <f>I91-VLOOKUP(B$2,H1:J189,2,FALSE)</f>
        <v>-5.5059029308771574</v>
      </c>
    </row>
    <row r="92" spans="1:10" ht="21.2" customHeight="1">
      <c r="A92" s="8" t="s">
        <v>405</v>
      </c>
      <c r="B92" s="64" t="str">
        <f>VLOOKUP(A92,'The List'!B1:D730,3,FALSE)</f>
        <v>LW,RW</v>
      </c>
      <c r="C92" s="65">
        <f>IF(Settings!$E$15="POINTS",RANK(E92,E3:E189),H92)</f>
        <v>93</v>
      </c>
      <c r="D92" s="34" t="str">
        <f>VLOOKUP(A92,'The List'!B1:F730,5,FALSE)</f>
        <v>ARI</v>
      </c>
      <c r="E92" s="38">
        <f>VLOOKUP(A92,'The List'!B1:I730,8,FALSE)</f>
        <v>0.45234264417587711</v>
      </c>
      <c r="F92" s="38">
        <f>IF(Settings!$E$15="POINTS",E92-VLOOKUP(B$2,C1:E189,3,FALSE),J92)</f>
        <v>-5.8279160748352039</v>
      </c>
      <c r="G92" s="38"/>
      <c r="H92" s="138">
        <f>RANK(I92,I3:I189)</f>
        <v>93</v>
      </c>
      <c r="I92" s="139">
        <f>VLOOKUP(A92,'Standard Deviations'!A1:C731,3,FALSE)</f>
        <v>0.45234264417587711</v>
      </c>
      <c r="J92" s="139">
        <f>I92-VLOOKUP(B$2,H1:J189,2,FALSE)</f>
        <v>-5.8279160748352039</v>
      </c>
    </row>
    <row r="93" spans="1:10" ht="21.2" customHeight="1">
      <c r="A93" s="8" t="s">
        <v>411</v>
      </c>
      <c r="B93" s="64" t="str">
        <f>VLOOKUP(A93,'The List'!B1:D730,3,FALSE)</f>
        <v>LW,RW</v>
      </c>
      <c r="C93" s="65">
        <f>IF(Settings!$E$15="POINTS",RANK(E93,E3:E189),H93)</f>
        <v>78</v>
      </c>
      <c r="D93" s="34" t="str">
        <f>VLOOKUP(A93,'The List'!B1:F730,5,FALSE)</f>
        <v>WPG</v>
      </c>
      <c r="E93" s="38">
        <f>VLOOKUP(A93,'The List'!B1:I730,8,FALSE)</f>
        <v>1.7146893879121561</v>
      </c>
      <c r="F93" s="38">
        <f>IF(Settings!$E$15="POINTS",E93-VLOOKUP(B$2,C1:E189,3,FALSE),J93)</f>
        <v>-4.5655693310989243</v>
      </c>
      <c r="G93" s="38"/>
      <c r="H93" s="138">
        <f>RANK(I93,I3:I189)</f>
        <v>78</v>
      </c>
      <c r="I93" s="139">
        <f>VLOOKUP(A93,'Standard Deviations'!A1:C731,3,FALSE)</f>
        <v>1.7146893879121561</v>
      </c>
      <c r="J93" s="139">
        <f>I93-VLOOKUP(B$2,H1:J189,2,FALSE)</f>
        <v>-4.5655693310989243</v>
      </c>
    </row>
    <row r="94" spans="1:10" ht="21.2" customHeight="1">
      <c r="A94" s="8" t="s">
        <v>417</v>
      </c>
      <c r="B94" s="64" t="str">
        <f>VLOOKUP(A94,'The List'!B1:D730,3,FALSE)</f>
        <v>LW,RW</v>
      </c>
      <c r="C94" s="65">
        <f>IF(Settings!$E$15="POINTS",RANK(E94,E3:E189),H94)</f>
        <v>104</v>
      </c>
      <c r="D94" s="34" t="str">
        <f>VLOOKUP(A94,'The List'!B1:F730,5,FALSE)</f>
        <v>TBL</v>
      </c>
      <c r="E94" s="38">
        <f>VLOOKUP(A94,'The List'!B1:I730,8,FALSE)</f>
        <v>1.2910040615504742E-2</v>
      </c>
      <c r="F94" s="38">
        <f>IF(Settings!$E$15="POINTS",E94-VLOOKUP(B$2,C1:E189,3,FALSE),J94)</f>
        <v>-6.2673486783955763</v>
      </c>
      <c r="G94" s="38"/>
      <c r="H94" s="138">
        <f>RANK(I94,I3:I189)</f>
        <v>104</v>
      </c>
      <c r="I94" s="139">
        <f>VLOOKUP(A94,'Standard Deviations'!A1:C731,3,FALSE)</f>
        <v>1.2910040615504742E-2</v>
      </c>
      <c r="J94" s="139">
        <f>I94-VLOOKUP(B$2,H1:J189,2,FALSE)</f>
        <v>-6.2673486783955763</v>
      </c>
    </row>
    <row r="95" spans="1:10" ht="21.2" customHeight="1">
      <c r="A95" s="8" t="s">
        <v>419</v>
      </c>
      <c r="B95" s="64" t="str">
        <f>VLOOKUP(A95,'The List'!B1:D730,3,FALSE)</f>
        <v>RW</v>
      </c>
      <c r="C95" s="65">
        <f>IF(Settings!$E$15="POINTS",RANK(E95,E3:E189),H95)</f>
        <v>98</v>
      </c>
      <c r="D95" s="34" t="str">
        <f>VLOOKUP(A95,'The List'!B1:F730,5,FALSE)</f>
        <v>MTL</v>
      </c>
      <c r="E95" s="38">
        <f>VLOOKUP(A95,'The List'!B1:I730,8,FALSE)</f>
        <v>0.19409268236957888</v>
      </c>
      <c r="F95" s="38">
        <f>IF(Settings!$E$15="POINTS",E95-VLOOKUP(B$2,C1:E189,3,FALSE),J95)</f>
        <v>-6.0861660366415018</v>
      </c>
      <c r="G95" s="38"/>
      <c r="H95" s="138">
        <f>RANK(I95,I3:I189)</f>
        <v>98</v>
      </c>
      <c r="I95" s="139">
        <f>VLOOKUP(A95,'Standard Deviations'!A1:C731,3,FALSE)</f>
        <v>0.19409268236957888</v>
      </c>
      <c r="J95" s="139">
        <f>I95-VLOOKUP(B$2,H1:J189,2,FALSE)</f>
        <v>-6.0861660366415018</v>
      </c>
    </row>
    <row r="96" spans="1:10" ht="21.2" customHeight="1">
      <c r="A96" s="8" t="s">
        <v>427</v>
      </c>
      <c r="B96" s="64" t="str">
        <f>VLOOKUP(A96,'The List'!B1:D730,3,FALSE)</f>
        <v>C,LW,RW</v>
      </c>
      <c r="C96" s="65">
        <f>IF(Settings!$E$15="POINTS",RANK(E96,E3:E189),H96)</f>
        <v>102</v>
      </c>
      <c r="D96" s="34" t="str">
        <f>VLOOKUP(A96,'The List'!B1:F730,5,FALSE)</f>
        <v>ANA</v>
      </c>
      <c r="E96" s="38">
        <f>VLOOKUP(A96,'The List'!B1:I730,8,FALSE)</f>
        <v>6.0623168759821058E-2</v>
      </c>
      <c r="F96" s="38">
        <f>IF(Settings!$E$15="POINTS",E96-VLOOKUP(B$2,C1:E189,3,FALSE),J96)</f>
        <v>-6.2196355502512599</v>
      </c>
      <c r="G96" s="38"/>
      <c r="H96" s="138">
        <f>RANK(I96,I3:I189)</f>
        <v>102</v>
      </c>
      <c r="I96" s="139">
        <f>VLOOKUP(A96,'Standard Deviations'!A1:C731,3,FALSE)</f>
        <v>6.0623168759821058E-2</v>
      </c>
      <c r="J96" s="139">
        <f>I96-VLOOKUP(B$2,H1:J189,2,FALSE)</f>
        <v>-6.2196355502512599</v>
      </c>
    </row>
    <row r="97" spans="1:10" ht="21.2" customHeight="1">
      <c r="A97" s="8" t="s">
        <v>430</v>
      </c>
      <c r="B97" s="64" t="str">
        <f>VLOOKUP(A97,'The List'!B1:D730,3,FALSE)</f>
        <v>LW,RW</v>
      </c>
      <c r="C97" s="65">
        <f>IF(Settings!$E$15="POINTS",RANK(E97,E3:E189),H97)</f>
        <v>97</v>
      </c>
      <c r="D97" s="34" t="str">
        <f>VLOOKUP(A97,'The List'!B1:F730,5,FALSE)</f>
        <v>NSH</v>
      </c>
      <c r="E97" s="38">
        <f>VLOOKUP(A97,'The List'!B1:I730,8,FALSE)</f>
        <v>0.30395373302398276</v>
      </c>
      <c r="F97" s="38">
        <f>IF(Settings!$E$15="POINTS",E97-VLOOKUP(B$2,C1:E189,3,FALSE),J97)</f>
        <v>-5.976304985987098</v>
      </c>
      <c r="G97" s="38"/>
      <c r="H97" s="138">
        <f>RANK(I97,I3:I189)</f>
        <v>97</v>
      </c>
      <c r="I97" s="139">
        <f>VLOOKUP(A97,'Standard Deviations'!A1:C731,3,FALSE)</f>
        <v>0.30395373302398276</v>
      </c>
      <c r="J97" s="139">
        <f>I97-VLOOKUP(B$2,H1:J189,2,FALSE)</f>
        <v>-5.976304985987098</v>
      </c>
    </row>
    <row r="98" spans="1:10" ht="21.2" customHeight="1">
      <c r="A98" s="8" t="s">
        <v>433</v>
      </c>
      <c r="B98" s="64" t="str">
        <f>VLOOKUP(A98,'The List'!B1:D730,3,FALSE)</f>
        <v>LW,RW</v>
      </c>
      <c r="C98" s="65">
        <f>IF(Settings!$E$15="POINTS",RANK(E98,E3:E189),H98)</f>
        <v>114</v>
      </c>
      <c r="D98" s="34" t="str">
        <f>VLOOKUP(A98,'The List'!B1:F730,5,FALSE)</f>
        <v>CGY</v>
      </c>
      <c r="E98" s="38">
        <f>VLOOKUP(A98,'The List'!B1:I730,8,FALSE)</f>
        <v>-0.5981205346971552</v>
      </c>
      <c r="F98" s="38">
        <f>IF(Settings!$E$15="POINTS",E98-VLOOKUP(B$2,C1:E189,3,FALSE),J98)</f>
        <v>-6.8783792537082356</v>
      </c>
      <c r="G98" s="38"/>
      <c r="H98" s="138">
        <f>RANK(I98,I3:I189)</f>
        <v>114</v>
      </c>
      <c r="I98" s="139">
        <f>VLOOKUP(A98,'Standard Deviations'!A1:C731,3,FALSE)</f>
        <v>-0.5981205346971552</v>
      </c>
      <c r="J98" s="139">
        <f>I98-VLOOKUP(B$2,H1:J189,2,FALSE)</f>
        <v>-6.8783792537082356</v>
      </c>
    </row>
    <row r="99" spans="1:10" ht="21.2" customHeight="1">
      <c r="A99" s="8" t="s">
        <v>434</v>
      </c>
      <c r="B99" s="64" t="str">
        <f>VLOOKUP(A99,'The List'!B1:D730,3,FALSE)</f>
        <v>C,LW,RW</v>
      </c>
      <c r="C99" s="65">
        <f>IF(Settings!$E$15="POINTS",RANK(E99,E3:E189),H99)</f>
        <v>109</v>
      </c>
      <c r="D99" s="34" t="str">
        <f>VLOOKUP(A99,'The List'!B1:F730,5,FALSE)</f>
        <v>DET</v>
      </c>
      <c r="E99" s="38">
        <f>VLOOKUP(A99,'The List'!B1:I730,8,FALSE)</f>
        <v>-0.40479022619704474</v>
      </c>
      <c r="F99" s="38">
        <f>IF(Settings!$E$15="POINTS",E99-VLOOKUP(B$2,C1:E189,3,FALSE),J99)</f>
        <v>-6.6850489452081252</v>
      </c>
      <c r="G99" s="38"/>
      <c r="H99" s="138">
        <f>RANK(I99,I3:I189)</f>
        <v>109</v>
      </c>
      <c r="I99" s="139">
        <f>VLOOKUP(A99,'Standard Deviations'!A1:C731,3,FALSE)</f>
        <v>-0.40479022619704474</v>
      </c>
      <c r="J99" s="139">
        <f>I99-VLOOKUP(B$2,H1:J189,2,FALSE)</f>
        <v>-6.6850489452081252</v>
      </c>
    </row>
    <row r="100" spans="1:10" ht="21.2" customHeight="1">
      <c r="A100" s="8" t="s">
        <v>439</v>
      </c>
      <c r="B100" s="64" t="str">
        <f>VLOOKUP(A100,'The List'!B1:D730,3,FALSE)</f>
        <v>RW</v>
      </c>
      <c r="C100" s="65">
        <f>IF(Settings!$E$15="POINTS",RANK(E100,E3:E189),H100)</f>
        <v>84</v>
      </c>
      <c r="D100" s="34" t="str">
        <f>VLOOKUP(A100,'The List'!B1:F730,5,FALSE)</f>
        <v>NSH</v>
      </c>
      <c r="E100" s="38">
        <f>VLOOKUP(A100,'The List'!B1:I730,8,FALSE)</f>
        <v>1.2573624174413993</v>
      </c>
      <c r="F100" s="38">
        <f>IF(Settings!$E$15="POINTS",E100-VLOOKUP(B$2,C1:E189,3,FALSE),J100)</f>
        <v>-5.0228963015696815</v>
      </c>
      <c r="G100" s="38"/>
      <c r="H100" s="138">
        <f>RANK(I100,I3:I189)</f>
        <v>84</v>
      </c>
      <c r="I100" s="139">
        <f>VLOOKUP(A100,'Standard Deviations'!A1:C731,3,FALSE)</f>
        <v>1.2573624174413993</v>
      </c>
      <c r="J100" s="139">
        <f>I100-VLOOKUP(B$2,H1:J189,2,FALSE)</f>
        <v>-5.0228963015696815</v>
      </c>
    </row>
    <row r="101" spans="1:10" ht="21.2" customHeight="1">
      <c r="A101" s="8" t="s">
        <v>440</v>
      </c>
      <c r="B101" s="64" t="str">
        <f>VLOOKUP(A101,'The List'!B1:D730,3,FALSE)</f>
        <v>C,RW</v>
      </c>
      <c r="C101" s="65">
        <f>IF(Settings!$E$15="POINTS",RANK(E101,E3:E189),H101)</f>
        <v>103</v>
      </c>
      <c r="D101" s="34" t="str">
        <f>VLOOKUP(A101,'The List'!B1:F730,5,FALSE)</f>
        <v>VGK</v>
      </c>
      <c r="E101" s="38">
        <f>VLOOKUP(A101,'The List'!B1:I730,8,FALSE)</f>
        <v>5.2016958963429796E-2</v>
      </c>
      <c r="F101" s="38">
        <f>IF(Settings!$E$15="POINTS",E101-VLOOKUP(B$2,C1:E189,3,FALSE),J101)</f>
        <v>-6.2282417600476512</v>
      </c>
      <c r="G101" s="38"/>
      <c r="H101" s="138">
        <f>RANK(I101,I3:I189)</f>
        <v>103</v>
      </c>
      <c r="I101" s="139">
        <f>VLOOKUP(A101,'Standard Deviations'!A1:C731,3,FALSE)</f>
        <v>5.2016958963429796E-2</v>
      </c>
      <c r="J101" s="139">
        <f>I101-VLOOKUP(B$2,H1:J189,2,FALSE)</f>
        <v>-6.2282417600476512</v>
      </c>
    </row>
    <row r="102" spans="1:10" ht="21.2" customHeight="1">
      <c r="A102" s="8" t="s">
        <v>445</v>
      </c>
      <c r="B102" s="64" t="str">
        <f>VLOOKUP(A102,'The List'!B1:D730,3,FALSE)</f>
        <v>RW</v>
      </c>
      <c r="C102" s="65">
        <f>IF(Settings!$E$15="POINTS",RANK(E102,E3:E189),H102)</f>
        <v>92</v>
      </c>
      <c r="D102" s="34" t="str">
        <f>VLOOKUP(A102,'The List'!B1:F730,5,FALSE)</f>
        <v>NYI</v>
      </c>
      <c r="E102" s="38">
        <f>VLOOKUP(A102,'The List'!B1:I730,8,FALSE)</f>
        <v>0.48362347876182943</v>
      </c>
      <c r="F102" s="38">
        <f>IF(Settings!$E$15="POINTS",E102-VLOOKUP(B$2,C1:E189,3,FALSE),J102)</f>
        <v>-5.7966352402492518</v>
      </c>
      <c r="G102" s="38"/>
      <c r="H102" s="138">
        <f>RANK(I102,I3:I189)</f>
        <v>92</v>
      </c>
      <c r="I102" s="139">
        <f>VLOOKUP(A102,'Standard Deviations'!A1:C731,3,FALSE)</f>
        <v>0.48362347876182943</v>
      </c>
      <c r="J102" s="139">
        <f>I102-VLOOKUP(B$2,H1:J189,2,FALSE)</f>
        <v>-5.7966352402492518</v>
      </c>
    </row>
    <row r="103" spans="1:10" ht="21.2" customHeight="1">
      <c r="A103" s="8" t="s">
        <v>446</v>
      </c>
      <c r="B103" s="64" t="str">
        <f>VLOOKUP(A103,'The List'!B1:D730,3,FALSE)</f>
        <v>RW</v>
      </c>
      <c r="C103" s="65">
        <f>IF(Settings!$E$15="POINTS",RANK(E103,E3:E189),H103)</f>
        <v>99</v>
      </c>
      <c r="D103" s="34" t="str">
        <f>VLOOKUP(A103,'The List'!B1:F730,5,FALSE)</f>
        <v>CHI</v>
      </c>
      <c r="E103" s="38">
        <f>VLOOKUP(A103,'The List'!B1:I730,8,FALSE)</f>
        <v>0.14510855806169834</v>
      </c>
      <c r="F103" s="38">
        <f>IF(Settings!$E$15="POINTS",E103-VLOOKUP(B$2,C1:E189,3,FALSE),J103)</f>
        <v>-6.1351501609493821</v>
      </c>
      <c r="G103" s="38"/>
      <c r="H103" s="138">
        <f>RANK(I103,I3:I189)</f>
        <v>99</v>
      </c>
      <c r="I103" s="139">
        <f>VLOOKUP(A103,'Standard Deviations'!A1:C731,3,FALSE)</f>
        <v>0.14510855806169834</v>
      </c>
      <c r="J103" s="139">
        <f>I103-VLOOKUP(B$2,H1:J189,2,FALSE)</f>
        <v>-6.1351501609493821</v>
      </c>
    </row>
    <row r="104" spans="1:10" ht="21.2" customHeight="1">
      <c r="A104" s="8" t="s">
        <v>456</v>
      </c>
      <c r="B104" s="64" t="str">
        <f>VLOOKUP(A104,'The List'!B1:D730,3,FALSE)</f>
        <v>C,RW</v>
      </c>
      <c r="C104" s="65">
        <f>IF(Settings!$E$15="POINTS",RANK(E104,E3:E189),H104)</f>
        <v>110</v>
      </c>
      <c r="D104" s="34" t="str">
        <f>VLOOKUP(A104,'The List'!B1:F730,5,FALSE)</f>
        <v>SJS</v>
      </c>
      <c r="E104" s="38">
        <f>VLOOKUP(A104,'The List'!B1:I730,8,FALSE)</f>
        <v>-0.45567638894215978</v>
      </c>
      <c r="F104" s="38">
        <f>IF(Settings!$E$15="POINTS",E104-VLOOKUP(B$2,C1:E189,3,FALSE),J104)</f>
        <v>-6.7359351079532406</v>
      </c>
      <c r="G104" s="38"/>
      <c r="H104" s="138">
        <f>RANK(I104,I3:I189)</f>
        <v>110</v>
      </c>
      <c r="I104" s="139">
        <f>VLOOKUP(A104,'Standard Deviations'!A1:C731,3,FALSE)</f>
        <v>-0.45567638894215978</v>
      </c>
      <c r="J104" s="139">
        <f>I104-VLOOKUP(B$2,H1:J189,2,FALSE)</f>
        <v>-6.7359351079532406</v>
      </c>
    </row>
    <row r="105" spans="1:10" ht="21.2" customHeight="1">
      <c r="A105" s="8" t="s">
        <v>469</v>
      </c>
      <c r="B105" s="64" t="str">
        <f>VLOOKUP(A105,'The List'!B1:D730,3,FALSE)</f>
        <v>RW</v>
      </c>
      <c r="C105" s="65">
        <f>IF(Settings!$E$15="POINTS",RANK(E105,E3:E189),H105)</f>
        <v>101</v>
      </c>
      <c r="D105" s="34" t="str">
        <f>VLOOKUP(A105,'The List'!B1:F730,5,FALSE)</f>
        <v>NYR</v>
      </c>
      <c r="E105" s="38">
        <f>VLOOKUP(A105,'The List'!B1:I730,8,FALSE)</f>
        <v>6.3786970140292221E-2</v>
      </c>
      <c r="F105" s="38">
        <f>IF(Settings!$E$15="POINTS",E105-VLOOKUP(B$2,C1:E189,3,FALSE),J105)</f>
        <v>-6.2164717488707888</v>
      </c>
      <c r="G105" s="38"/>
      <c r="H105" s="138">
        <f>RANK(I105,I3:I189)</f>
        <v>101</v>
      </c>
      <c r="I105" s="139">
        <f>VLOOKUP(A105,'Standard Deviations'!A1:C731,3,FALSE)</f>
        <v>6.3786970140292221E-2</v>
      </c>
      <c r="J105" s="139">
        <f>I105-VLOOKUP(B$2,H1:J189,2,FALSE)</f>
        <v>-6.2164717488707888</v>
      </c>
    </row>
    <row r="106" spans="1:10" ht="21.2" customHeight="1">
      <c r="A106" s="8" t="s">
        <v>476</v>
      </c>
      <c r="B106" s="64" t="str">
        <f>VLOOKUP(A106,'The List'!B1:D730,3,FALSE)</f>
        <v>LW,RW</v>
      </c>
      <c r="C106" s="65">
        <f>IF(Settings!$E$15="POINTS",RANK(E106,E3:E189),H106)</f>
        <v>107</v>
      </c>
      <c r="D106" s="34" t="str">
        <f>VLOOKUP(A106,'The List'!B1:F730,5,FALSE)</f>
        <v>TBL</v>
      </c>
      <c r="E106" s="38">
        <f>VLOOKUP(A106,'The List'!B1:I730,8,FALSE)</f>
        <v>-0.33858336483851242</v>
      </c>
      <c r="F106" s="38">
        <f>IF(Settings!$E$15="POINTS",E106-VLOOKUP(B$2,C1:E189,3,FALSE),J106)</f>
        <v>-6.6188420838495929</v>
      </c>
      <c r="G106" s="38"/>
      <c r="H106" s="138">
        <f>RANK(I106,I3:I189)</f>
        <v>107</v>
      </c>
      <c r="I106" s="139">
        <f>VLOOKUP(A106,'Standard Deviations'!A1:C731,3,FALSE)</f>
        <v>-0.33858336483851242</v>
      </c>
      <c r="J106" s="139">
        <f>I106-VLOOKUP(B$2,H1:J189,2,FALSE)</f>
        <v>-6.6188420838495929</v>
      </c>
    </row>
    <row r="107" spans="1:10" ht="21.2" customHeight="1">
      <c r="A107" s="8" t="s">
        <v>479</v>
      </c>
      <c r="B107" s="64" t="str">
        <f>VLOOKUP(A107,'The List'!B1:D730,3,FALSE)</f>
        <v>LW,RW</v>
      </c>
      <c r="C107" s="65">
        <f>IF(Settings!$E$15="POINTS",RANK(E107,E3:E189),H107)</f>
        <v>113</v>
      </c>
      <c r="D107" s="34" t="str">
        <f>VLOOKUP(A107,'The List'!B1:F730,5,FALSE)</f>
        <v>UFA</v>
      </c>
      <c r="E107" s="38">
        <f>VLOOKUP(A107,'The List'!B1:I730,8,FALSE)</f>
        <v>-0.58358225361903582</v>
      </c>
      <c r="F107" s="38">
        <f>IF(Settings!$E$15="POINTS",E107-VLOOKUP(B$2,C1:E189,3,FALSE),J107)</f>
        <v>-6.8638409726301166</v>
      </c>
      <c r="G107" s="38"/>
      <c r="H107" s="138">
        <f>RANK(I107,I3:I189)</f>
        <v>113</v>
      </c>
      <c r="I107" s="139">
        <f>VLOOKUP(A107,'Standard Deviations'!A1:C731,3,FALSE)</f>
        <v>-0.58358225361903582</v>
      </c>
      <c r="J107" s="139">
        <f>I107-VLOOKUP(B$2,H1:J189,2,FALSE)</f>
        <v>-6.8638409726301166</v>
      </c>
    </row>
    <row r="108" spans="1:10" ht="21.2" customHeight="1">
      <c r="A108" s="8" t="s">
        <v>482</v>
      </c>
      <c r="B108" s="64" t="str">
        <f>VLOOKUP(A108,'The List'!B1:D730,3,FALSE)</f>
        <v>LW,RW</v>
      </c>
      <c r="C108" s="65">
        <f>IF(Settings!$E$15="POINTS",RANK(E108,E3:E189),H108)</f>
        <v>100</v>
      </c>
      <c r="D108" s="34" t="str">
        <f>VLOOKUP(A108,'The List'!B1:F730,5,FALSE)</f>
        <v>SEA</v>
      </c>
      <c r="E108" s="38">
        <f>VLOOKUP(A108,'The List'!B1:I730,8,FALSE)</f>
        <v>8.3463200993936656E-2</v>
      </c>
      <c r="F108" s="38">
        <f>IF(Settings!$E$15="POINTS",E108-VLOOKUP(B$2,C1:E189,3,FALSE),J108)</f>
        <v>-6.1967955180171446</v>
      </c>
      <c r="G108" s="38"/>
      <c r="H108" s="138">
        <f>RANK(I108,I3:I189)</f>
        <v>100</v>
      </c>
      <c r="I108" s="139">
        <f>VLOOKUP(A108,'Standard Deviations'!A1:C731,3,FALSE)</f>
        <v>8.3463200993936656E-2</v>
      </c>
      <c r="J108" s="139">
        <f>I108-VLOOKUP(B$2,H1:J189,2,FALSE)</f>
        <v>-6.1967955180171446</v>
      </c>
    </row>
    <row r="109" spans="1:10" ht="21.2" customHeight="1">
      <c r="A109" s="8" t="s">
        <v>489</v>
      </c>
      <c r="B109" s="64" t="str">
        <f>VLOOKUP(A109,'The List'!B1:D730,3,FALSE)</f>
        <v>C,RW</v>
      </c>
      <c r="C109" s="65">
        <f>IF(Settings!$E$15="POINTS",RANK(E109,E3:E189),H109)</f>
        <v>95</v>
      </c>
      <c r="D109" s="34" t="str">
        <f>VLOOKUP(A109,'The List'!B1:F730,5,FALSE)</f>
        <v>CHI</v>
      </c>
      <c r="E109" s="38">
        <f>VLOOKUP(A109,'The List'!B1:I730,8,FALSE)</f>
        <v>0.43438929329162029</v>
      </c>
      <c r="F109" s="38">
        <f>IF(Settings!$E$15="POINTS",E109-VLOOKUP(B$2,C1:E189,3,FALSE),J109)</f>
        <v>-5.8458694257194601</v>
      </c>
      <c r="G109" s="38"/>
      <c r="H109" s="138">
        <f>RANK(I109,I3:I189)</f>
        <v>95</v>
      </c>
      <c r="I109" s="139">
        <f>VLOOKUP(A109,'Standard Deviations'!A1:C731,3,FALSE)</f>
        <v>0.43438929329162029</v>
      </c>
      <c r="J109" s="139">
        <f>I109-VLOOKUP(B$2,H1:J189,2,FALSE)</f>
        <v>-5.8458694257194601</v>
      </c>
    </row>
    <row r="110" spans="1:10" ht="21.2" customHeight="1">
      <c r="A110" s="8" t="s">
        <v>490</v>
      </c>
      <c r="B110" s="64" t="str">
        <f>VLOOKUP(A110,'The List'!B1:D730,3,FALSE)</f>
        <v>C,RW</v>
      </c>
      <c r="C110" s="65">
        <f>IF(Settings!$E$15="POINTS",RANK(E110,E3:E189),H110)</f>
        <v>115</v>
      </c>
      <c r="D110" s="34" t="str">
        <f>VLOOKUP(A110,'The List'!B1:F730,5,FALSE)</f>
        <v>MIN</v>
      </c>
      <c r="E110" s="38">
        <f>VLOOKUP(A110,'The List'!B1:I730,8,FALSE)</f>
        <v>-0.66902699317565273</v>
      </c>
      <c r="F110" s="38">
        <f>IF(Settings!$E$15="POINTS",E110-VLOOKUP(B$2,C1:E189,3,FALSE),J110)</f>
        <v>-6.9492857121867333</v>
      </c>
      <c r="G110" s="38"/>
      <c r="H110" s="138">
        <f>RANK(I110,I3:I189)</f>
        <v>115</v>
      </c>
      <c r="I110" s="139">
        <f>VLOOKUP(A110,'Standard Deviations'!A1:C731,3,FALSE)</f>
        <v>-0.66902699317565273</v>
      </c>
      <c r="J110" s="139">
        <f>I110-VLOOKUP(B$2,H1:J189,2,FALSE)</f>
        <v>-6.9492857121867333</v>
      </c>
    </row>
    <row r="111" spans="1:10" ht="21.2" customHeight="1">
      <c r="A111" s="8" t="s">
        <v>502</v>
      </c>
      <c r="B111" s="64" t="str">
        <f>VLOOKUP(A111,'The List'!B1:D730,3,FALSE)</f>
        <v>RW</v>
      </c>
      <c r="C111" s="65">
        <f>IF(Settings!$E$15="POINTS",RANK(E111,E3:E189),H111)</f>
        <v>111</v>
      </c>
      <c r="D111" s="34" t="str">
        <f>VLOOKUP(A111,'The List'!B1:F730,5,FALSE)</f>
        <v>STL</v>
      </c>
      <c r="E111" s="38">
        <f>VLOOKUP(A111,'The List'!B1:I730,8,FALSE)</f>
        <v>-0.45919423271548199</v>
      </c>
      <c r="F111" s="38">
        <f>IF(Settings!$E$15="POINTS",E111-VLOOKUP(B$2,C1:E189,3,FALSE),J111)</f>
        <v>-6.7394529517265624</v>
      </c>
      <c r="G111" s="38"/>
      <c r="H111" s="138">
        <f>RANK(I111,I3:I189)</f>
        <v>111</v>
      </c>
      <c r="I111" s="139">
        <f>VLOOKUP(A111,'Standard Deviations'!A1:C731,3,FALSE)</f>
        <v>-0.45919423271548199</v>
      </c>
      <c r="J111" s="139">
        <f>I111-VLOOKUP(B$2,H1:J189,2,FALSE)</f>
        <v>-6.7394529517265624</v>
      </c>
    </row>
    <row r="112" spans="1:10" ht="21.2" customHeight="1">
      <c r="A112" s="8" t="s">
        <v>511</v>
      </c>
      <c r="B112" s="64" t="str">
        <f>VLOOKUP(A112,'The List'!B1:D730,3,FALSE)</f>
        <v>RW</v>
      </c>
      <c r="C112" s="65">
        <f>IF(Settings!$E$15="POINTS",RANK(E112,E3:E189),H112)</f>
        <v>121</v>
      </c>
      <c r="D112" s="34" t="str">
        <f>VLOOKUP(A112,'The List'!B1:F730,5,FALSE)</f>
        <v>UFA</v>
      </c>
      <c r="E112" s="38">
        <f>VLOOKUP(A112,'The List'!B1:I730,8,FALSE)</f>
        <v>-1.1604946930148943</v>
      </c>
      <c r="F112" s="38">
        <f>IF(Settings!$E$15="POINTS",E112-VLOOKUP(B$2,C1:E189,3,FALSE),J112)</f>
        <v>-7.4407534120259751</v>
      </c>
      <c r="G112" s="38"/>
      <c r="H112" s="138">
        <f>RANK(I112,I3:I189)</f>
        <v>121</v>
      </c>
      <c r="I112" s="139">
        <f>VLOOKUP(A112,'Standard Deviations'!A1:C731,3,FALSE)</f>
        <v>-1.1604946930148943</v>
      </c>
      <c r="J112" s="139">
        <f>I112-VLOOKUP(B$2,H1:J189,2,FALSE)</f>
        <v>-7.4407534120259751</v>
      </c>
    </row>
    <row r="113" spans="1:10" ht="21.2" customHeight="1">
      <c r="A113" s="8" t="s">
        <v>523</v>
      </c>
      <c r="B113" s="64" t="str">
        <f>VLOOKUP(A113,'The List'!B1:D730,3,FALSE)</f>
        <v>RW</v>
      </c>
      <c r="C113" s="65">
        <f>IF(Settings!$E$15="POINTS",RANK(E113,E3:E189),H113)</f>
        <v>106</v>
      </c>
      <c r="D113" s="34" t="str">
        <f>VLOOKUP(A113,'The List'!B1:F730,5,FALSE)</f>
        <v>EDM</v>
      </c>
      <c r="E113" s="38">
        <f>VLOOKUP(A113,'The List'!B1:I730,8,FALSE)</f>
        <v>-0.14262814300211948</v>
      </c>
      <c r="F113" s="38">
        <f>IF(Settings!$E$15="POINTS",E113-VLOOKUP(B$2,C1:E189,3,FALSE),J113)</f>
        <v>-6.4228868620132005</v>
      </c>
      <c r="G113" s="38"/>
      <c r="H113" s="138">
        <f>RANK(I113,I3:I189)</f>
        <v>106</v>
      </c>
      <c r="I113" s="139">
        <f>VLOOKUP(A113,'Standard Deviations'!A1:C731,3,FALSE)</f>
        <v>-0.14262814300211948</v>
      </c>
      <c r="J113" s="139">
        <f>I113-VLOOKUP(B$2,H1:J189,2,FALSE)</f>
        <v>-6.4228868620132005</v>
      </c>
    </row>
    <row r="114" spans="1:10" ht="21.2" customHeight="1">
      <c r="A114" s="8" t="s">
        <v>528</v>
      </c>
      <c r="B114" s="64" t="str">
        <f>VLOOKUP(A114,'The List'!B1:D730,3,FALSE)</f>
        <v>RW</v>
      </c>
      <c r="C114" s="65">
        <f>IF(Settings!$E$15="POINTS",RANK(E114,E3:E189),H114)</f>
        <v>105</v>
      </c>
      <c r="D114" s="34" t="str">
        <f>VLOOKUP(A114,'The List'!B1:F730,5,FALSE)</f>
        <v>LAK</v>
      </c>
      <c r="E114" s="38">
        <f>VLOOKUP(A114,'The List'!B1:I730,8,FALSE)</f>
        <v>-0.11558295116524991</v>
      </c>
      <c r="F114" s="38">
        <f>IF(Settings!$E$15="POINTS",E114-VLOOKUP(B$2,C1:E189,3,FALSE),J114)</f>
        <v>-6.3958416701763303</v>
      </c>
      <c r="G114" s="38"/>
      <c r="H114" s="138">
        <f>RANK(I114,I3:I189)</f>
        <v>105</v>
      </c>
      <c r="I114" s="139">
        <f>VLOOKUP(A114,'Standard Deviations'!A1:C731,3,FALSE)</f>
        <v>-0.11558295116524991</v>
      </c>
      <c r="J114" s="139">
        <f>I114-VLOOKUP(B$2,H1:J189,2,FALSE)</f>
        <v>-6.3958416701763303</v>
      </c>
    </row>
    <row r="115" spans="1:10" ht="21.2" customHeight="1">
      <c r="A115" s="8" t="s">
        <v>531</v>
      </c>
      <c r="B115" s="64" t="str">
        <f>VLOOKUP(A115,'The List'!B1:D730,3,FALSE)</f>
        <v>LW,RW</v>
      </c>
      <c r="C115" s="65">
        <f>IF(Settings!$E$15="POINTS",RANK(E115,E3:E189),H115)</f>
        <v>118</v>
      </c>
      <c r="D115" s="34" t="str">
        <f>VLOOKUP(A115,'The List'!B1:F730,5,FALSE)</f>
        <v>BUF</v>
      </c>
      <c r="E115" s="38">
        <f>VLOOKUP(A115,'The List'!B1:I730,8,FALSE)</f>
        <v>-0.81107950820774932</v>
      </c>
      <c r="F115" s="38">
        <f>IF(Settings!$E$15="POINTS",E115-VLOOKUP(B$2,C1:E189,3,FALSE),J115)</f>
        <v>-7.0913382272188299</v>
      </c>
      <c r="G115" s="38"/>
      <c r="H115" s="138">
        <f>RANK(I115,I3:I189)</f>
        <v>118</v>
      </c>
      <c r="I115" s="139">
        <f>VLOOKUP(A115,'Standard Deviations'!A1:C731,3,FALSE)</f>
        <v>-0.81107950820774932</v>
      </c>
      <c r="J115" s="139">
        <f>I115-VLOOKUP(B$2,H1:J189,2,FALSE)</f>
        <v>-7.0913382272188299</v>
      </c>
    </row>
    <row r="116" spans="1:10" ht="21.2" customHeight="1">
      <c r="A116" s="8" t="s">
        <v>538</v>
      </c>
      <c r="B116" s="64" t="str">
        <f>VLOOKUP(A116,'The List'!B1:D730,3,FALSE)</f>
        <v>RW</v>
      </c>
      <c r="C116" s="65">
        <f>IF(Settings!$E$15="POINTS",RANK(E116,E3:E189),H116)</f>
        <v>124</v>
      </c>
      <c r="D116" s="34" t="str">
        <f>VLOOKUP(A116,'The List'!B1:F730,5,FALSE)</f>
        <v>DAL</v>
      </c>
      <c r="E116" s="38">
        <f>VLOOKUP(A116,'The List'!B1:I730,8,FALSE)</f>
        <v>-1.5012486948071659</v>
      </c>
      <c r="F116" s="38">
        <f>IF(Settings!$E$15="POINTS",E116-VLOOKUP(B$2,C1:E189,3,FALSE),J116)</f>
        <v>-7.7815074138182467</v>
      </c>
      <c r="G116" s="38"/>
      <c r="H116" s="138">
        <f>RANK(I116,I3:I189)</f>
        <v>124</v>
      </c>
      <c r="I116" s="139">
        <f>VLOOKUP(A116,'Standard Deviations'!A1:C731,3,FALSE)</f>
        <v>-1.5012486948071659</v>
      </c>
      <c r="J116" s="139">
        <f>I116-VLOOKUP(B$2,H1:J189,2,FALSE)</f>
        <v>-7.7815074138182467</v>
      </c>
    </row>
    <row r="117" spans="1:10" ht="21.2" customHeight="1">
      <c r="A117" s="8" t="s">
        <v>546</v>
      </c>
      <c r="B117" s="64" t="str">
        <f>VLOOKUP(A117,'The List'!B1:D730,3,FALSE)</f>
        <v>C,RW</v>
      </c>
      <c r="C117" s="65">
        <f>IF(Settings!$E$15="POINTS",RANK(E117,E3:E189),H117)</f>
        <v>122</v>
      </c>
      <c r="D117" s="34" t="str">
        <f>VLOOKUP(A117,'The List'!B1:F730,5,FALSE)</f>
        <v>TOR</v>
      </c>
      <c r="E117" s="38">
        <f>VLOOKUP(A117,'The List'!B1:I730,8,FALSE)</f>
        <v>-1.2518162173305047</v>
      </c>
      <c r="F117" s="38">
        <f>IF(Settings!$E$15="POINTS",E117-VLOOKUP(B$2,C1:E189,3,FALSE),J117)</f>
        <v>-7.5320749363415853</v>
      </c>
      <c r="G117" s="38"/>
      <c r="H117" s="138">
        <f>RANK(I117,I3:I189)</f>
        <v>122</v>
      </c>
      <c r="I117" s="139">
        <f>VLOOKUP(A117,'Standard Deviations'!A1:C731,3,FALSE)</f>
        <v>-1.2518162173305047</v>
      </c>
      <c r="J117" s="139">
        <f>I117-VLOOKUP(B$2,H1:J189,2,FALSE)</f>
        <v>-7.5320749363415853</v>
      </c>
    </row>
    <row r="118" spans="1:10" ht="21.2" customHeight="1">
      <c r="A118" s="8" t="s">
        <v>548</v>
      </c>
      <c r="B118" s="64" t="str">
        <f>VLOOKUP(A118,'The List'!B1:D730,3,FALSE)</f>
        <v>RW</v>
      </c>
      <c r="C118" s="65">
        <f>IF(Settings!$E$15="POINTS",RANK(E118,E3:E189),H118)</f>
        <v>116</v>
      </c>
      <c r="D118" s="34" t="str">
        <f>VLOOKUP(A118,'The List'!B1:F730,5,FALSE)</f>
        <v>SJS</v>
      </c>
      <c r="E118" s="38">
        <f>VLOOKUP(A118,'The List'!B1:I730,8,FALSE)</f>
        <v>-0.70583714055063551</v>
      </c>
      <c r="F118" s="38">
        <f>IF(Settings!$E$15="POINTS",E118-VLOOKUP(B$2,C1:E189,3,FALSE),J118)</f>
        <v>-6.9860958595617166</v>
      </c>
      <c r="G118" s="38"/>
      <c r="H118" s="138">
        <f>RANK(I118,I3:I189)</f>
        <v>116</v>
      </c>
      <c r="I118" s="139">
        <f>VLOOKUP(A118,'Standard Deviations'!A1:C731,3,FALSE)</f>
        <v>-0.70583714055063551</v>
      </c>
      <c r="J118" s="139">
        <f>I118-VLOOKUP(B$2,H1:J189,2,FALSE)</f>
        <v>-6.9860958595617166</v>
      </c>
    </row>
    <row r="119" spans="1:10" ht="21.2" customHeight="1">
      <c r="A119" s="8" t="s">
        <v>553</v>
      </c>
      <c r="B119" s="64" t="str">
        <f>VLOOKUP(A119,'The List'!B1:D730,3,FALSE)</f>
        <v>RW</v>
      </c>
      <c r="C119" s="65">
        <f>IF(Settings!$E$15="POINTS",RANK(E119,E3:E189),H119)</f>
        <v>112</v>
      </c>
      <c r="D119" s="34" t="str">
        <f>VLOOKUP(A119,'The List'!B1:F730,5,FALSE)</f>
        <v>MTL</v>
      </c>
      <c r="E119" s="38">
        <f>VLOOKUP(A119,'The List'!B1:I730,8,FALSE)</f>
        <v>-0.50048058060842238</v>
      </c>
      <c r="F119" s="38">
        <f>IF(Settings!$E$15="POINTS",E119-VLOOKUP(B$2,C1:E189,3,FALSE),J119)</f>
        <v>-6.7807392996195031</v>
      </c>
      <c r="G119" s="38"/>
      <c r="H119" s="138">
        <f>RANK(I119,I3:I189)</f>
        <v>112</v>
      </c>
      <c r="I119" s="139">
        <f>VLOOKUP(A119,'Standard Deviations'!A1:C731,3,FALSE)</f>
        <v>-0.50048058060842238</v>
      </c>
      <c r="J119" s="139">
        <f>I119-VLOOKUP(B$2,H1:J189,2,FALSE)</f>
        <v>-6.7807392996195031</v>
      </c>
    </row>
    <row r="120" spans="1:10" ht="21.2" customHeight="1">
      <c r="A120" s="8" t="s">
        <v>557</v>
      </c>
      <c r="B120" s="64" t="str">
        <f>VLOOKUP(A120,'The List'!B1:D730,3,FALSE)</f>
        <v>RW</v>
      </c>
      <c r="C120" s="65">
        <f>IF(Settings!$E$15="POINTS",RANK(E120,E3:E189),H120)</f>
        <v>120</v>
      </c>
      <c r="D120" s="34" t="str">
        <f>VLOOKUP(A120,'The List'!B1:F730,5,FALSE)</f>
        <v>WSH</v>
      </c>
      <c r="E120" s="38">
        <f>VLOOKUP(A120,'The List'!B1:I730,8,FALSE)</f>
        <v>-0.97179532796226464</v>
      </c>
      <c r="F120" s="38">
        <f>IF(Settings!$E$15="POINTS",E120-VLOOKUP(B$2,C1:E189,3,FALSE),J120)</f>
        <v>-7.2520540469733454</v>
      </c>
      <c r="G120" s="38"/>
      <c r="H120" s="138">
        <f>RANK(I120,I3:I189)</f>
        <v>120</v>
      </c>
      <c r="I120" s="139">
        <f>VLOOKUP(A120,'Standard Deviations'!A1:C731,3,FALSE)</f>
        <v>-0.97179532796226464</v>
      </c>
      <c r="J120" s="139">
        <f>I120-VLOOKUP(B$2,H1:J189,2,FALSE)</f>
        <v>-7.2520540469733454</v>
      </c>
    </row>
    <row r="121" spans="1:10" ht="21.2" customHeight="1">
      <c r="A121" s="8" t="s">
        <v>561</v>
      </c>
      <c r="B121" s="64" t="str">
        <f>VLOOKUP(A121,'The List'!B1:D730,3,FALSE)</f>
        <v>RW</v>
      </c>
      <c r="C121" s="65">
        <f>IF(Settings!$E$15="POINTS",RANK(E121,E3:E189),H121)</f>
        <v>119</v>
      </c>
      <c r="D121" s="34" t="str">
        <f>VLOOKUP(A121,'The List'!B1:F730,5,FALSE)</f>
        <v>NYI</v>
      </c>
      <c r="E121" s="38">
        <f>VLOOKUP(A121,'The List'!B1:I730,8,FALSE)</f>
        <v>-0.82522897016565233</v>
      </c>
      <c r="F121" s="38">
        <f>IF(Settings!$E$15="POINTS",E121-VLOOKUP(B$2,C1:E189,3,FALSE),J121)</f>
        <v>-7.1054876891767336</v>
      </c>
      <c r="G121" s="38"/>
      <c r="H121" s="138">
        <f>RANK(I121,I3:I189)</f>
        <v>119</v>
      </c>
      <c r="I121" s="139">
        <f>VLOOKUP(A121,'Standard Deviations'!A1:C731,3,FALSE)</f>
        <v>-0.82522897016565233</v>
      </c>
      <c r="J121" s="139">
        <f>I121-VLOOKUP(B$2,H1:J189,2,FALSE)</f>
        <v>-7.1054876891767336</v>
      </c>
    </row>
    <row r="122" spans="1:10" ht="21.2" customHeight="1">
      <c r="A122" s="8" t="s">
        <v>562</v>
      </c>
      <c r="B122" s="64" t="str">
        <f>VLOOKUP(A122,'The List'!B1:D730,3,FALSE)</f>
        <v>LW,RW</v>
      </c>
      <c r="C122" s="65">
        <f>IF(Settings!$E$15="POINTS",RANK(E122,E3:E189),H122)</f>
        <v>96</v>
      </c>
      <c r="D122" s="34" t="str">
        <f>VLOOKUP(A122,'The List'!B1:F730,5,FALSE)</f>
        <v>ARI</v>
      </c>
      <c r="E122" s="38">
        <f>VLOOKUP(A122,'The List'!B1:I730,8,FALSE)</f>
        <v>0.39022823129132511</v>
      </c>
      <c r="F122" s="38">
        <f>IF(Settings!$E$15="POINTS",E122-VLOOKUP(B$2,C1:E189,3,FALSE),J122)</f>
        <v>-5.8900304877197556</v>
      </c>
      <c r="G122" s="38"/>
      <c r="H122" s="138">
        <f>RANK(I122,I3:I189)</f>
        <v>96</v>
      </c>
      <c r="I122" s="139">
        <f>VLOOKUP(A122,'Standard Deviations'!A1:C731,3,FALSE)</f>
        <v>0.39022823129132511</v>
      </c>
      <c r="J122" s="139">
        <f>I122-VLOOKUP(B$2,H1:J189,2,FALSE)</f>
        <v>-5.8900304877197556</v>
      </c>
    </row>
    <row r="123" spans="1:10" ht="21.2" customHeight="1">
      <c r="A123" s="8" t="s">
        <v>564</v>
      </c>
      <c r="B123" s="64" t="str">
        <f>VLOOKUP(A123,'The List'!B1:D730,3,FALSE)</f>
        <v>LW,RW</v>
      </c>
      <c r="C123" s="65">
        <f>IF(Settings!$E$15="POINTS",RANK(E123,E3:E189),H123)</f>
        <v>108</v>
      </c>
      <c r="D123" s="34" t="str">
        <f>VLOOKUP(A123,'The List'!B1:F730,5,FALSE)</f>
        <v>SJS</v>
      </c>
      <c r="E123" s="38">
        <f>VLOOKUP(A123,'The List'!B1:I730,8,FALSE)</f>
        <v>-0.39229664389519248</v>
      </c>
      <c r="F123" s="38">
        <f>IF(Settings!$E$15="POINTS",E123-VLOOKUP(B$2,C1:E189,3,FALSE),J123)</f>
        <v>-6.672555362906273</v>
      </c>
      <c r="G123" s="38"/>
      <c r="H123" s="138">
        <f>RANK(I123,I3:I189)</f>
        <v>108</v>
      </c>
      <c r="I123" s="139">
        <f>VLOOKUP(A123,'Standard Deviations'!A1:C731,3,FALSE)</f>
        <v>-0.39229664389519248</v>
      </c>
      <c r="J123" s="139">
        <f>I123-VLOOKUP(B$2,H1:J189,2,FALSE)</f>
        <v>-6.672555362906273</v>
      </c>
    </row>
    <row r="124" spans="1:10" ht="21.2" customHeight="1">
      <c r="A124" s="8" t="s">
        <v>571</v>
      </c>
      <c r="B124" s="64" t="str">
        <f>VLOOKUP(A124,'The List'!B1:D730,3,FALSE)</f>
        <v>LW,RW</v>
      </c>
      <c r="C124" s="65">
        <f>IF(Settings!$E$15="POINTS",RANK(E124,E3:E189),H124)</f>
        <v>117</v>
      </c>
      <c r="D124" s="34" t="str">
        <f>VLOOKUP(A124,'The List'!B1:F730,5,FALSE)</f>
        <v>CAR</v>
      </c>
      <c r="E124" s="38">
        <f>VLOOKUP(A124,'The List'!B1:I730,8,FALSE)</f>
        <v>-0.72913718363124858</v>
      </c>
      <c r="F124" s="38">
        <f>IF(Settings!$E$15="POINTS",E124-VLOOKUP(B$2,C1:E189,3,FALSE),J124)</f>
        <v>-7.0093959026423294</v>
      </c>
      <c r="G124" s="38"/>
      <c r="H124" s="138">
        <f>RANK(I124,I3:I189)</f>
        <v>117</v>
      </c>
      <c r="I124" s="139">
        <f>VLOOKUP(A124,'Standard Deviations'!A1:C731,3,FALSE)</f>
        <v>-0.72913718363124858</v>
      </c>
      <c r="J124" s="139">
        <f>I124-VLOOKUP(B$2,H1:J189,2,FALSE)</f>
        <v>-7.0093959026423294</v>
      </c>
    </row>
    <row r="125" spans="1:10" ht="21.2" customHeight="1">
      <c r="A125" s="8" t="s">
        <v>576</v>
      </c>
      <c r="B125" s="64" t="str">
        <f>VLOOKUP(A125,'The List'!B1:D730,3,FALSE)</f>
        <v>LW,RW</v>
      </c>
      <c r="C125" s="65">
        <f>IF(Settings!$E$15="POINTS",RANK(E125,E3:E189),H125)</f>
        <v>128</v>
      </c>
      <c r="D125" s="34" t="str">
        <f>VLOOKUP(A125,'The List'!B1:F730,5,FALSE)</f>
        <v>EDM</v>
      </c>
      <c r="E125" s="38">
        <f>VLOOKUP(A125,'The List'!B1:I730,8,FALSE)</f>
        <v>-1.9310335203984619</v>
      </c>
      <c r="F125" s="38">
        <f>IF(Settings!$E$15="POINTS",E125-VLOOKUP(B$2,C1:E189,3,FALSE),J125)</f>
        <v>-8.2112922394095431</v>
      </c>
      <c r="G125" s="38"/>
      <c r="H125" s="138">
        <f>RANK(I125,I3:I189)</f>
        <v>128</v>
      </c>
      <c r="I125" s="139">
        <f>VLOOKUP(A125,'Standard Deviations'!A1:C731,3,FALSE)</f>
        <v>-1.9310335203984619</v>
      </c>
      <c r="J125" s="139">
        <f>I125-VLOOKUP(B$2,H1:J189,2,FALSE)</f>
        <v>-8.2112922394095431</v>
      </c>
    </row>
    <row r="126" spans="1:10" ht="21.2" customHeight="1">
      <c r="A126" s="8" t="s">
        <v>577</v>
      </c>
      <c r="B126" s="64" t="str">
        <f>VLOOKUP(A126,'The List'!B1:D730,3,FALSE)</f>
        <v>LW,RW</v>
      </c>
      <c r="C126" s="65">
        <f>IF(Settings!$E$15="POINTS",RANK(E126,E3:E189),H126)</f>
        <v>123</v>
      </c>
      <c r="D126" s="34" t="str">
        <f>VLOOKUP(A126,'The List'!B1:F730,5,FALSE)</f>
        <v>DET</v>
      </c>
      <c r="E126" s="38">
        <f>VLOOKUP(A126,'The List'!B1:I730,8,FALSE)</f>
        <v>-1.4735546884016946</v>
      </c>
      <c r="F126" s="38">
        <f>IF(Settings!$E$15="POINTS",E126-VLOOKUP(B$2,C1:E189,3,FALSE),J126)</f>
        <v>-7.7538134074127756</v>
      </c>
      <c r="G126" s="38"/>
      <c r="H126" s="138">
        <f>RANK(I126,I3:I189)</f>
        <v>123</v>
      </c>
      <c r="I126" s="139">
        <f>VLOOKUP(A126,'Standard Deviations'!A1:C731,3,FALSE)</f>
        <v>-1.4735546884016946</v>
      </c>
      <c r="J126" s="139">
        <f>I126-VLOOKUP(B$2,H1:J189,2,FALSE)</f>
        <v>-7.7538134074127756</v>
      </c>
    </row>
    <row r="127" spans="1:10" ht="21.2" customHeight="1">
      <c r="A127" s="8" t="s">
        <v>582</v>
      </c>
      <c r="B127" s="64" t="str">
        <f>VLOOKUP(A127,'The List'!B1:D730,3,FALSE)</f>
        <v>LW,RW</v>
      </c>
      <c r="C127" s="65">
        <f>IF(Settings!$E$15="POINTS",RANK(E127,E3:E189),H127)</f>
        <v>132</v>
      </c>
      <c r="D127" s="34" t="str">
        <f>VLOOKUP(A127,'The List'!B1:F730,5,FALSE)</f>
        <v>NSH</v>
      </c>
      <c r="E127" s="38">
        <f>VLOOKUP(A127,'The List'!B1:I730,8,FALSE)</f>
        <v>-2.1995232175388129</v>
      </c>
      <c r="F127" s="38">
        <f>IF(Settings!$E$15="POINTS",E127-VLOOKUP(B$2,C1:E189,3,FALSE),J127)</f>
        <v>-8.4797819365498945</v>
      </c>
      <c r="G127" s="38"/>
      <c r="H127" s="138">
        <f>RANK(I127,I3:I189)</f>
        <v>132</v>
      </c>
      <c r="I127" s="139">
        <f>VLOOKUP(A127,'Standard Deviations'!A1:C731,3,FALSE)</f>
        <v>-2.1995232175388129</v>
      </c>
      <c r="J127" s="139">
        <f>I127-VLOOKUP(B$2,H1:J189,2,FALSE)</f>
        <v>-8.4797819365498945</v>
      </c>
    </row>
    <row r="128" spans="1:10" ht="21.2" customHeight="1">
      <c r="A128" s="8" t="s">
        <v>602</v>
      </c>
      <c r="B128" s="64" t="str">
        <f>VLOOKUP(A128,'The List'!B1:D730,3,FALSE)</f>
        <v>RW</v>
      </c>
      <c r="C128" s="65">
        <f>IF(Settings!$E$15="POINTS",RANK(E128,E3:E189),H128)</f>
        <v>129</v>
      </c>
      <c r="D128" s="34" t="str">
        <f>VLOOKUP(A128,'The List'!B1:F730,5,FALSE)</f>
        <v>SEA</v>
      </c>
      <c r="E128" s="38">
        <f>VLOOKUP(A128,'The List'!B1:I730,8,FALSE)</f>
        <v>-2.1006087952660661</v>
      </c>
      <c r="F128" s="38">
        <f>IF(Settings!$E$15="POINTS",E128-VLOOKUP(B$2,C1:E189,3,FALSE),J128)</f>
        <v>-8.3808675142771474</v>
      </c>
      <c r="G128" s="38"/>
      <c r="H128" s="138">
        <f>RANK(I128,I3:I189)</f>
        <v>129</v>
      </c>
      <c r="I128" s="139">
        <f>VLOOKUP(A128,'Standard Deviations'!A1:C731,3,FALSE)</f>
        <v>-2.1006087952660661</v>
      </c>
      <c r="J128" s="139">
        <f>I128-VLOOKUP(B$2,H1:J189,2,FALSE)</f>
        <v>-8.3808675142771474</v>
      </c>
    </row>
    <row r="129" spans="1:10" ht="21.2" customHeight="1">
      <c r="A129" s="8" t="s">
        <v>605</v>
      </c>
      <c r="B129" s="64" t="str">
        <f>VLOOKUP(A129,'The List'!B1:D730,3,FALSE)</f>
        <v>C,RW</v>
      </c>
      <c r="C129" s="65">
        <f>IF(Settings!$E$15="POINTS",RANK(E129,E3:E189),H129)</f>
        <v>137</v>
      </c>
      <c r="D129" s="34" t="str">
        <f>VLOOKUP(A129,'The List'!B1:F730,5,FALSE)</f>
        <v>ARI</v>
      </c>
      <c r="E129" s="38">
        <f>VLOOKUP(A129,'The List'!B1:I730,8,FALSE)</f>
        <v>-2.3545222506362831</v>
      </c>
      <c r="F129" s="38">
        <f>IF(Settings!$E$15="POINTS",E129-VLOOKUP(B$2,C1:E189,3,FALSE),J129)</f>
        <v>-8.6347809696473643</v>
      </c>
      <c r="G129" s="38"/>
      <c r="H129" s="138">
        <f>RANK(I129,I3:I189)</f>
        <v>137</v>
      </c>
      <c r="I129" s="139">
        <f>VLOOKUP(A129,'Standard Deviations'!A1:C731,3,FALSE)</f>
        <v>-2.3545222506362831</v>
      </c>
      <c r="J129" s="139">
        <f>I129-VLOOKUP(B$2,H1:J189,2,FALSE)</f>
        <v>-8.6347809696473643</v>
      </c>
    </row>
    <row r="130" spans="1:10" ht="21.2" customHeight="1">
      <c r="A130" s="8" t="s">
        <v>606</v>
      </c>
      <c r="B130" s="64" t="str">
        <f>VLOOKUP(A130,'The List'!B1:D730,3,FALSE)</f>
        <v>RW</v>
      </c>
      <c r="C130" s="65">
        <f>IF(Settings!$E$15="POINTS",RANK(E130,E3:E189),H130)</f>
        <v>136</v>
      </c>
      <c r="D130" s="34" t="str">
        <f>VLOOKUP(A130,'The List'!B1:F730,5,FALSE)</f>
        <v>ANA</v>
      </c>
      <c r="E130" s="38">
        <f>VLOOKUP(A130,'The List'!B1:I730,8,FALSE)</f>
        <v>-2.3004301613143303</v>
      </c>
      <c r="F130" s="38">
        <f>IF(Settings!$E$15="POINTS",E130-VLOOKUP(B$2,C1:E189,3,FALSE),J130)</f>
        <v>-8.5806888803254111</v>
      </c>
      <c r="G130" s="38"/>
      <c r="H130" s="138">
        <f>RANK(I130,I3:I189)</f>
        <v>136</v>
      </c>
      <c r="I130" s="139">
        <f>VLOOKUP(A130,'Standard Deviations'!A1:C731,3,FALSE)</f>
        <v>-2.3004301613143303</v>
      </c>
      <c r="J130" s="139">
        <f>I130-VLOOKUP(B$2,H1:J189,2,FALSE)</f>
        <v>-8.5806888803254111</v>
      </c>
    </row>
    <row r="131" spans="1:10" ht="21.2" customHeight="1">
      <c r="A131" s="8" t="s">
        <v>610</v>
      </c>
      <c r="B131" s="64" t="str">
        <f>VLOOKUP(A131,'The List'!B1:D730,3,FALSE)</f>
        <v>LW,RW</v>
      </c>
      <c r="C131" s="65">
        <f>IF(Settings!$E$15="POINTS",RANK(E131,E3:E189),H131)</f>
        <v>130</v>
      </c>
      <c r="D131" s="34" t="str">
        <f>VLOOKUP(A131,'The List'!B1:F730,5,FALSE)</f>
        <v>SEA</v>
      </c>
      <c r="E131" s="38">
        <f>VLOOKUP(A131,'The List'!B1:I730,8,FALSE)</f>
        <v>-2.1226206101540477</v>
      </c>
      <c r="F131" s="38">
        <f>IF(Settings!$E$15="POINTS",E131-VLOOKUP(B$2,C1:E189,3,FALSE),J131)</f>
        <v>-8.4028793291651276</v>
      </c>
      <c r="G131" s="38"/>
      <c r="H131" s="138">
        <f>RANK(I131,I3:I189)</f>
        <v>130</v>
      </c>
      <c r="I131" s="139">
        <f>VLOOKUP(A131,'Standard Deviations'!A1:C731,3,FALSE)</f>
        <v>-2.1226206101540477</v>
      </c>
      <c r="J131" s="139">
        <f>I131-VLOOKUP(B$2,H1:J189,2,FALSE)</f>
        <v>-8.4028793291651276</v>
      </c>
    </row>
    <row r="132" spans="1:10" ht="21.2" customHeight="1">
      <c r="A132" s="8" t="s">
        <v>617</v>
      </c>
      <c r="B132" s="64" t="str">
        <f>VLOOKUP(A132,'The List'!B1:D730,3,FALSE)</f>
        <v>LW,RW</v>
      </c>
      <c r="C132" s="65">
        <f>IF(Settings!$E$15="POINTS",RANK(E132,E3:E189),H132)</f>
        <v>135</v>
      </c>
      <c r="D132" s="34" t="str">
        <f>VLOOKUP(A132,'The List'!B1:F730,5,FALSE)</f>
        <v>UFA</v>
      </c>
      <c r="E132" s="38">
        <f>VLOOKUP(A132,'The List'!B1:I730,8,FALSE)</f>
        <v>-2.2770667206810709</v>
      </c>
      <c r="F132" s="38">
        <f>IF(Settings!$E$15="POINTS",E132-VLOOKUP(B$2,C1:E189,3,FALSE),J132)</f>
        <v>-8.5573254396921516</v>
      </c>
      <c r="G132" s="38"/>
      <c r="H132" s="138">
        <f>RANK(I132,I3:I189)</f>
        <v>135</v>
      </c>
      <c r="I132" s="139">
        <f>VLOOKUP(A132,'Standard Deviations'!A1:C731,3,FALSE)</f>
        <v>-2.2770667206810709</v>
      </c>
      <c r="J132" s="139">
        <f>I132-VLOOKUP(B$2,H1:J189,2,FALSE)</f>
        <v>-8.5573254396921516</v>
      </c>
    </row>
    <row r="133" spans="1:10" ht="21.2" customHeight="1">
      <c r="A133" s="8" t="s">
        <v>621</v>
      </c>
      <c r="B133" s="64" t="str">
        <f>VLOOKUP(A133,'The List'!B1:D730,3,FALSE)</f>
        <v>LW,RW</v>
      </c>
      <c r="C133" s="65">
        <f>IF(Settings!$E$15="POINTS",RANK(E133,E3:E189),H133)</f>
        <v>133</v>
      </c>
      <c r="D133" s="34" t="str">
        <f>VLOOKUP(A133,'The List'!B1:F730,5,FALSE)</f>
        <v>MIN</v>
      </c>
      <c r="E133" s="38">
        <f>VLOOKUP(A133,'The List'!B1:I730,8,FALSE)</f>
        <v>-2.2671667941877676</v>
      </c>
      <c r="F133" s="38">
        <f>IF(Settings!$E$15="POINTS",E133-VLOOKUP(B$2,C1:E189,3,FALSE),J133)</f>
        <v>-8.5474255131988492</v>
      </c>
      <c r="G133" s="38"/>
      <c r="H133" s="138">
        <f>RANK(I133,I3:I189)</f>
        <v>133</v>
      </c>
      <c r="I133" s="139">
        <f>VLOOKUP(A133,'Standard Deviations'!A1:C731,3,FALSE)</f>
        <v>-2.2671667941877676</v>
      </c>
      <c r="J133" s="139">
        <f>I133-VLOOKUP(B$2,H1:J189,2,FALSE)</f>
        <v>-8.5474255131988492</v>
      </c>
    </row>
    <row r="134" spans="1:10" ht="21.2" customHeight="1">
      <c r="A134" s="8" t="s">
        <v>622</v>
      </c>
      <c r="B134" s="64" t="str">
        <f>VLOOKUP(A134,'The List'!B1:D730,3,FALSE)</f>
        <v>LW,RW</v>
      </c>
      <c r="C134" s="65">
        <f>IF(Settings!$E$15="POINTS",RANK(E134,E3:E189),H134)</f>
        <v>131</v>
      </c>
      <c r="D134" s="34" t="str">
        <f>VLOOKUP(A134,'The List'!B1:F730,5,FALSE)</f>
        <v>WPG</v>
      </c>
      <c r="E134" s="38">
        <f>VLOOKUP(A134,'The List'!B1:I730,8,FALSE)</f>
        <v>-2.1614293472855093</v>
      </c>
      <c r="F134" s="38">
        <f>IF(Settings!$E$15="POINTS",E134-VLOOKUP(B$2,C1:E189,3,FALSE),J134)</f>
        <v>-8.4416880662965905</v>
      </c>
      <c r="G134" s="38"/>
      <c r="H134" s="138">
        <f>RANK(I134,I3:I189)</f>
        <v>131</v>
      </c>
      <c r="I134" s="139">
        <f>VLOOKUP(A134,'Standard Deviations'!A1:C731,3,FALSE)</f>
        <v>-2.1614293472855093</v>
      </c>
      <c r="J134" s="139">
        <f>I134-VLOOKUP(B$2,H1:J189,2,FALSE)</f>
        <v>-8.4416880662965905</v>
      </c>
    </row>
    <row r="135" spans="1:10" ht="21.2" customHeight="1">
      <c r="A135" s="8" t="s">
        <v>623</v>
      </c>
      <c r="B135" s="64" t="str">
        <f>VLOOKUP(A135,'The List'!B1:D730,3,FALSE)</f>
        <v>LW,RW</v>
      </c>
      <c r="C135" s="65">
        <f>IF(Settings!$E$15="POINTS",RANK(E135,E3:E189),H135)</f>
        <v>127</v>
      </c>
      <c r="D135" s="34" t="str">
        <f>VLOOKUP(A135,'The List'!B1:F730,5,FALSE)</f>
        <v>CBJ</v>
      </c>
      <c r="E135" s="38">
        <f>VLOOKUP(A135,'The List'!B1:I730,8,FALSE)</f>
        <v>-1.7979630022150137</v>
      </c>
      <c r="F135" s="38">
        <f>IF(Settings!$E$15="POINTS",E135-VLOOKUP(B$2,C1:E189,3,FALSE),J135)</f>
        <v>-8.0782217212260949</v>
      </c>
      <c r="G135" s="38"/>
      <c r="H135" s="138">
        <f>RANK(I135,I3:I189)</f>
        <v>127</v>
      </c>
      <c r="I135" s="139">
        <f>VLOOKUP(A135,'Standard Deviations'!A1:C731,3,FALSE)</f>
        <v>-1.7979630022150137</v>
      </c>
      <c r="J135" s="139">
        <f>I135-VLOOKUP(B$2,H1:J189,2,FALSE)</f>
        <v>-8.0782217212260949</v>
      </c>
    </row>
    <row r="136" spans="1:10" ht="21.2" customHeight="1">
      <c r="A136" s="8" t="s">
        <v>630</v>
      </c>
      <c r="B136" s="64" t="str">
        <f>VLOOKUP(A136,'The List'!B1:D730,3,FALSE)</f>
        <v>RW</v>
      </c>
      <c r="C136" s="65">
        <f>IF(Settings!$E$15="POINTS",RANK(E136,E3:E189),H136)</f>
        <v>144</v>
      </c>
      <c r="D136" s="34" t="str">
        <f>VLOOKUP(A136,'The List'!B1:F730,5,FALSE)</f>
        <v>CHI</v>
      </c>
      <c r="E136" s="38">
        <f>VLOOKUP(A136,'The List'!B1:I730,8,FALSE)</f>
        <v>-2.6965536863636945</v>
      </c>
      <c r="F136" s="38">
        <f>IF(Settings!$E$15="POINTS",E136-VLOOKUP(B$2,C1:E189,3,FALSE),J136)</f>
        <v>-8.9768124053747762</v>
      </c>
      <c r="G136" s="38"/>
      <c r="H136" s="138">
        <f>RANK(I136,I3:I189)</f>
        <v>144</v>
      </c>
      <c r="I136" s="139">
        <f>VLOOKUP(A136,'Standard Deviations'!A1:C731,3,FALSE)</f>
        <v>-2.6965536863636945</v>
      </c>
      <c r="J136" s="139">
        <f>I136-VLOOKUP(B$2,H1:J189,2,FALSE)</f>
        <v>-8.9768124053747762</v>
      </c>
    </row>
    <row r="137" spans="1:10" ht="21.2" customHeight="1">
      <c r="A137" s="8" t="s">
        <v>632</v>
      </c>
      <c r="B137" s="64" t="str">
        <f>VLOOKUP(A137,'The List'!B1:D730,3,FALSE)</f>
        <v>C,LW,RW</v>
      </c>
      <c r="C137" s="65">
        <f>IF(Settings!$E$15="POINTS",RANK(E137,E3:E189),H137)</f>
        <v>134</v>
      </c>
      <c r="D137" s="34" t="str">
        <f>VLOOKUP(A137,'The List'!B1:F730,5,FALSE)</f>
        <v>UFA</v>
      </c>
      <c r="E137" s="38">
        <f>VLOOKUP(A137,'The List'!B1:I730,8,FALSE)</f>
        <v>-2.2738576876169145</v>
      </c>
      <c r="F137" s="38">
        <f>IF(Settings!$E$15="POINTS",E137-VLOOKUP(B$2,C1:E189,3,FALSE),J137)</f>
        <v>-8.5541164066279958</v>
      </c>
      <c r="G137" s="38"/>
      <c r="H137" s="138">
        <f>RANK(I137,I3:I189)</f>
        <v>134</v>
      </c>
      <c r="I137" s="139">
        <f>VLOOKUP(A137,'Standard Deviations'!A1:C731,3,FALSE)</f>
        <v>-2.2738576876169145</v>
      </c>
      <c r="J137" s="139">
        <f>I137-VLOOKUP(B$2,H1:J189,2,FALSE)</f>
        <v>-8.5541164066279958</v>
      </c>
    </row>
    <row r="138" spans="1:10" ht="21.2" customHeight="1">
      <c r="A138" s="8" t="s">
        <v>634</v>
      </c>
      <c r="B138" s="64" t="str">
        <f>VLOOKUP(A138,'The List'!B1:D730,3,FALSE)</f>
        <v>RW</v>
      </c>
      <c r="C138" s="65">
        <f>IF(Settings!$E$15="POINTS",RANK(E138,E3:E189),H138)</f>
        <v>141</v>
      </c>
      <c r="D138" s="34" t="str">
        <f>VLOOKUP(A138,'The List'!B1:F730,5,FALSE)</f>
        <v>BUF</v>
      </c>
      <c r="E138" s="38">
        <f>VLOOKUP(A138,'The List'!B1:I730,8,FALSE)</f>
        <v>-2.6238900985348073</v>
      </c>
      <c r="F138" s="38">
        <f>IF(Settings!$E$15="POINTS",E138-VLOOKUP(B$2,C1:E189,3,FALSE),J138)</f>
        <v>-8.9041488175458881</v>
      </c>
      <c r="G138" s="38"/>
      <c r="H138" s="138">
        <f>RANK(I138,I3:I189)</f>
        <v>141</v>
      </c>
      <c r="I138" s="139">
        <f>VLOOKUP(A138,'Standard Deviations'!A1:C731,3,FALSE)</f>
        <v>-2.6238900985348073</v>
      </c>
      <c r="J138" s="139">
        <f>I138-VLOOKUP(B$2,H1:J189,2,FALSE)</f>
        <v>-8.9041488175458881</v>
      </c>
    </row>
    <row r="139" spans="1:10" ht="21.2" customHeight="1">
      <c r="A139" s="8" t="s">
        <v>637</v>
      </c>
      <c r="B139" s="64" t="str">
        <f>VLOOKUP(A139,'The List'!B1:D730,3,FALSE)</f>
        <v>C,RW</v>
      </c>
      <c r="C139" s="65">
        <f>IF(Settings!$E$15="POINTS",RANK(E139,E3:E189),H139)</f>
        <v>156</v>
      </c>
      <c r="D139" s="34" t="str">
        <f>VLOOKUP(A139,'The List'!B1:F730,5,FALSE)</f>
        <v>NYR</v>
      </c>
      <c r="E139" s="38">
        <f>VLOOKUP(A139,'The List'!B1:I730,8,FALSE)</f>
        <v>-3.1333336128898788</v>
      </c>
      <c r="F139" s="38">
        <f>IF(Settings!$E$15="POINTS",E139-VLOOKUP(B$2,C1:E189,3,FALSE),J139)</f>
        <v>-9.4135923319009596</v>
      </c>
      <c r="G139" s="38"/>
      <c r="H139" s="138">
        <f>RANK(I139,I3:I189)</f>
        <v>156</v>
      </c>
      <c r="I139" s="139">
        <f>VLOOKUP(A139,'Standard Deviations'!A1:C731,3,FALSE)</f>
        <v>-3.1333336128898788</v>
      </c>
      <c r="J139" s="139">
        <f>I139-VLOOKUP(B$2,H1:J189,2,FALSE)</f>
        <v>-9.4135923319009596</v>
      </c>
    </row>
    <row r="140" spans="1:10" ht="21.2" customHeight="1">
      <c r="A140" s="8" t="s">
        <v>643</v>
      </c>
      <c r="B140" s="64" t="str">
        <f>VLOOKUP(A140,'The List'!B1:D730,3,FALSE)</f>
        <v>LW,RW</v>
      </c>
      <c r="C140" s="65">
        <f>IF(Settings!$E$15="POINTS",RANK(E140,E3:E189),H140)</f>
        <v>149</v>
      </c>
      <c r="D140" s="34" t="str">
        <f>VLOOKUP(A140,'The List'!B1:F730,5,FALSE)</f>
        <v>EDM</v>
      </c>
      <c r="E140" s="38">
        <f>VLOOKUP(A140,'The List'!B1:I730,8,FALSE)</f>
        <v>-2.885786457550918</v>
      </c>
      <c r="F140" s="38">
        <f>IF(Settings!$E$15="POINTS",E140-VLOOKUP(B$2,C1:E189,3,FALSE),J140)</f>
        <v>-9.1660451765619992</v>
      </c>
      <c r="G140" s="38"/>
      <c r="H140" s="138">
        <f>RANK(I140,I3:I189)</f>
        <v>149</v>
      </c>
      <c r="I140" s="139">
        <f>VLOOKUP(A140,'Standard Deviations'!A1:C731,3,FALSE)</f>
        <v>-2.885786457550918</v>
      </c>
      <c r="J140" s="139">
        <f>I140-VLOOKUP(B$2,H1:J189,2,FALSE)</f>
        <v>-9.1660451765619992</v>
      </c>
    </row>
    <row r="141" spans="1:10" ht="21.2" customHeight="1">
      <c r="A141" s="8" t="s">
        <v>644</v>
      </c>
      <c r="B141" s="64" t="str">
        <f>VLOOKUP(A141,'The List'!B1:D730,3,FALSE)</f>
        <v>RW</v>
      </c>
      <c r="C141" s="65">
        <f>IF(Settings!$E$15="POINTS",RANK(E141,E3:E189),H141)</f>
        <v>153</v>
      </c>
      <c r="D141" s="34" t="str">
        <f>VLOOKUP(A141,'The List'!B1:F730,5,FALSE)</f>
        <v>COL</v>
      </c>
      <c r="E141" s="38">
        <f>VLOOKUP(A141,'The List'!B1:I730,8,FALSE)</f>
        <v>-3.0930672637696235</v>
      </c>
      <c r="F141" s="38">
        <f>IF(Settings!$E$15="POINTS",E141-VLOOKUP(B$2,C1:E189,3,FALSE),J141)</f>
        <v>-9.3733259827807043</v>
      </c>
      <c r="G141" s="38"/>
      <c r="H141" s="138">
        <f>RANK(I141,I3:I189)</f>
        <v>153</v>
      </c>
      <c r="I141" s="139">
        <f>VLOOKUP(A141,'Standard Deviations'!A1:C731,3,FALSE)</f>
        <v>-3.0930672637696235</v>
      </c>
      <c r="J141" s="139">
        <f>I141-VLOOKUP(B$2,H1:J189,2,FALSE)</f>
        <v>-9.3733259827807043</v>
      </c>
    </row>
    <row r="142" spans="1:10" ht="21.2" customHeight="1">
      <c r="A142" s="8" t="s">
        <v>645</v>
      </c>
      <c r="B142" s="64" t="str">
        <f>VLOOKUP(A142,'The List'!B1:D730,3,FALSE)</f>
        <v>C,RW</v>
      </c>
      <c r="C142" s="65">
        <f>IF(Settings!$E$15="POINTS",RANK(E142,E3:E189),H142)</f>
        <v>146</v>
      </c>
      <c r="D142" s="34" t="str">
        <f>VLOOKUP(A142,'The List'!B1:F730,5,FALSE)</f>
        <v>TOR</v>
      </c>
      <c r="E142" s="38">
        <f>VLOOKUP(A142,'The List'!B1:I730,8,FALSE)</f>
        <v>-2.7424901688594581</v>
      </c>
      <c r="F142" s="38">
        <f>IF(Settings!$E$15="POINTS",E142-VLOOKUP(B$2,C1:E189,3,FALSE),J142)</f>
        <v>-9.022748887870538</v>
      </c>
      <c r="G142" s="38"/>
      <c r="H142" s="138">
        <f>RANK(I142,I3:I189)</f>
        <v>146</v>
      </c>
      <c r="I142" s="139">
        <f>VLOOKUP(A142,'Standard Deviations'!A1:C731,3,FALSE)</f>
        <v>-2.7424901688594581</v>
      </c>
      <c r="J142" s="139">
        <f>I142-VLOOKUP(B$2,H1:J189,2,FALSE)</f>
        <v>-9.022748887870538</v>
      </c>
    </row>
    <row r="143" spans="1:10" ht="21.2" customHeight="1">
      <c r="A143" s="8" t="s">
        <v>646</v>
      </c>
      <c r="B143" s="64" t="str">
        <f>VLOOKUP(A143,'The List'!B1:D730,3,FALSE)</f>
        <v>RW</v>
      </c>
      <c r="C143" s="65">
        <f>IF(Settings!$E$15="POINTS",RANK(E143,E3:E189),H143)</f>
        <v>150</v>
      </c>
      <c r="D143" s="34" t="str">
        <f>VLOOKUP(A143,'The List'!B1:F730,5,FALSE)</f>
        <v>OTT</v>
      </c>
      <c r="E143" s="38">
        <f>VLOOKUP(A143,'The List'!B1:I730,8,FALSE)</f>
        <v>-2.9760154989923975</v>
      </c>
      <c r="F143" s="38">
        <f>IF(Settings!$E$15="POINTS",E143-VLOOKUP(B$2,C1:E189,3,FALSE),J143)</f>
        <v>-9.2562742180034778</v>
      </c>
      <c r="G143" s="38"/>
      <c r="H143" s="138">
        <f>RANK(I143,I3:I189)</f>
        <v>150</v>
      </c>
      <c r="I143" s="139">
        <f>VLOOKUP(A143,'Standard Deviations'!A1:C731,3,FALSE)</f>
        <v>-2.9760154989923975</v>
      </c>
      <c r="J143" s="139">
        <f>I143-VLOOKUP(B$2,H1:J189,2,FALSE)</f>
        <v>-9.2562742180034778</v>
      </c>
    </row>
    <row r="144" spans="1:10" ht="21.2" customHeight="1">
      <c r="A144" s="8" t="s">
        <v>648</v>
      </c>
      <c r="B144" s="64" t="str">
        <f>VLOOKUP(A144,'The List'!B1:D730,3,FALSE)</f>
        <v>RW</v>
      </c>
      <c r="C144" s="65">
        <f>IF(Settings!$E$15="POINTS",RANK(E144,E3:E189),H144)</f>
        <v>94</v>
      </c>
      <c r="D144" s="34" t="str">
        <f>VLOOKUP(A144,'The List'!B1:F730,5,FALSE)</f>
        <v>BUF</v>
      </c>
      <c r="E144" s="38">
        <f>VLOOKUP(A144,'The List'!B1:I730,8,FALSE)</f>
        <v>0.45010488439175816</v>
      </c>
      <c r="F144" s="38">
        <f>IF(Settings!$E$15="POINTS",E144-VLOOKUP(B$2,C1:E189,3,FALSE),J144)</f>
        <v>-5.8301538346193222</v>
      </c>
      <c r="G144" s="38"/>
      <c r="H144" s="138">
        <f>RANK(I144,I3:I189)</f>
        <v>94</v>
      </c>
      <c r="I144" s="139">
        <f>VLOOKUP(A144,'Standard Deviations'!A1:C731,3,FALSE)</f>
        <v>0.45010488439175816</v>
      </c>
      <c r="J144" s="139">
        <f>I144-VLOOKUP(B$2,H1:J189,2,FALSE)</f>
        <v>-5.8301538346193222</v>
      </c>
    </row>
    <row r="145" spans="1:10" ht="21.2" customHeight="1">
      <c r="A145" s="8" t="s">
        <v>649</v>
      </c>
      <c r="B145" s="64" t="str">
        <f>VLOOKUP(A145,'The List'!B1:D730,3,FALSE)</f>
        <v>RW</v>
      </c>
      <c r="C145" s="65">
        <f>IF(Settings!$E$15="POINTS",RANK(E145,E3:E189),H145)</f>
        <v>157</v>
      </c>
      <c r="D145" s="34" t="str">
        <f>VLOOKUP(A145,'The List'!B1:F730,5,FALSE)</f>
        <v>CAR</v>
      </c>
      <c r="E145" s="38">
        <f>VLOOKUP(A145,'The List'!B1:I730,8,FALSE)</f>
        <v>-3.1350340136177088</v>
      </c>
      <c r="F145" s="38">
        <f>IF(Settings!$E$15="POINTS",E145-VLOOKUP(B$2,C1:E189,3,FALSE),J145)</f>
        <v>-9.4152927326287887</v>
      </c>
      <c r="G145" s="38"/>
      <c r="H145" s="138">
        <f>RANK(I145,I3:I189)</f>
        <v>157</v>
      </c>
      <c r="I145" s="139">
        <f>VLOOKUP(A145,'Standard Deviations'!A1:C731,3,FALSE)</f>
        <v>-3.1350340136177088</v>
      </c>
      <c r="J145" s="139">
        <f>I145-VLOOKUP(B$2,H1:J189,2,FALSE)</f>
        <v>-9.4152927326287887</v>
      </c>
    </row>
    <row r="146" spans="1:10" ht="21.2" customHeight="1">
      <c r="A146" s="8" t="s">
        <v>650</v>
      </c>
      <c r="B146" s="64" t="str">
        <f>VLOOKUP(A146,'The List'!B1:D730,3,FALSE)</f>
        <v>RW</v>
      </c>
      <c r="C146" s="65">
        <f>IF(Settings!$E$15="POINTS",RANK(E146,E3:E189),H146)</f>
        <v>138</v>
      </c>
      <c r="D146" s="34" t="str">
        <f>VLOOKUP(A146,'The List'!B1:F730,5,FALSE)</f>
        <v>UFA</v>
      </c>
      <c r="E146" s="38">
        <f>VLOOKUP(A146,'The List'!B1:I730,8,FALSE)</f>
        <v>-2.3948610898173408</v>
      </c>
      <c r="F146" s="38">
        <f>IF(Settings!$E$15="POINTS",E146-VLOOKUP(B$2,C1:E189,3,FALSE),J146)</f>
        <v>-8.6751198088284216</v>
      </c>
      <c r="G146" s="38"/>
      <c r="H146" s="138">
        <f>RANK(I146,I3:I189)</f>
        <v>138</v>
      </c>
      <c r="I146" s="139">
        <f>VLOOKUP(A146,'Standard Deviations'!A1:C731,3,FALSE)</f>
        <v>-2.3948610898173408</v>
      </c>
      <c r="J146" s="139">
        <f>I146-VLOOKUP(B$2,H1:J189,2,FALSE)</f>
        <v>-8.6751198088284216</v>
      </c>
    </row>
    <row r="147" spans="1:10" ht="21.2" customHeight="1">
      <c r="A147" s="8" t="s">
        <v>658</v>
      </c>
      <c r="B147" s="64" t="str">
        <f>VLOOKUP(A147,'The List'!B1:D730,3,FALSE)</f>
        <v>C,RW</v>
      </c>
      <c r="C147" s="65">
        <f>IF(Settings!$E$15="POINTS",RANK(E147,E3:E189),H147)</f>
        <v>158</v>
      </c>
      <c r="D147" s="34" t="str">
        <f>VLOOKUP(A147,'The List'!B1:F730,5,FALSE)</f>
        <v>FLA</v>
      </c>
      <c r="E147" s="38">
        <f>VLOOKUP(A147,'The List'!B1:I730,8,FALSE)</f>
        <v>-3.1769567964247893</v>
      </c>
      <c r="F147" s="38">
        <f>IF(Settings!$E$15="POINTS",E147-VLOOKUP(B$2,C1:E189,3,FALSE),J147)</f>
        <v>-9.4572155154358697</v>
      </c>
      <c r="G147" s="38"/>
      <c r="H147" s="138">
        <f>RANK(I147,I3:I189)</f>
        <v>158</v>
      </c>
      <c r="I147" s="139">
        <f>VLOOKUP(A147,'Standard Deviations'!A1:C731,3,FALSE)</f>
        <v>-3.1769567964247893</v>
      </c>
      <c r="J147" s="139">
        <f>I147-VLOOKUP(B$2,H1:J189,2,FALSE)</f>
        <v>-9.4572155154358697</v>
      </c>
    </row>
    <row r="148" spans="1:10" ht="21.2" customHeight="1">
      <c r="A148" s="8" t="s">
        <v>659</v>
      </c>
      <c r="B148" s="64" t="str">
        <f>VLOOKUP(A148,'The List'!B1:D730,3,FALSE)</f>
        <v>C,LW,RW</v>
      </c>
      <c r="C148" s="65">
        <f>IF(Settings!$E$15="POINTS",RANK(E148,E3:E189),H148)</f>
        <v>139</v>
      </c>
      <c r="D148" s="34" t="str">
        <f>VLOOKUP(A148,'The List'!B1:F730,5,FALSE)</f>
        <v>VGK</v>
      </c>
      <c r="E148" s="38">
        <f>VLOOKUP(A148,'The List'!B1:I730,8,FALSE)</f>
        <v>-2.3998666408683369</v>
      </c>
      <c r="F148" s="38">
        <f>IF(Settings!$E$15="POINTS",E148-VLOOKUP(B$2,C1:E189,3,FALSE),J148)</f>
        <v>-8.6801253598794172</v>
      </c>
      <c r="G148" s="38"/>
      <c r="H148" s="138">
        <f>RANK(I148,I3:I189)</f>
        <v>139</v>
      </c>
      <c r="I148" s="139">
        <f>VLOOKUP(A148,'Standard Deviations'!A1:C731,3,FALSE)</f>
        <v>-2.3998666408683369</v>
      </c>
      <c r="J148" s="139">
        <f>I148-VLOOKUP(B$2,H1:J189,2,FALSE)</f>
        <v>-8.6801253598794172</v>
      </c>
    </row>
    <row r="149" spans="1:10" ht="21.2" customHeight="1">
      <c r="A149" s="8" t="s">
        <v>664</v>
      </c>
      <c r="B149" s="64" t="str">
        <f>VLOOKUP(A149,'The List'!B1:D730,3,FALSE)</f>
        <v>RW</v>
      </c>
      <c r="C149" s="65">
        <f>IF(Settings!$E$15="POINTS",RANK(E149,E3:E189),H149)</f>
        <v>154</v>
      </c>
      <c r="D149" s="34" t="str">
        <f>VLOOKUP(A149,'The List'!B1:F730,5,FALSE)</f>
        <v>DAL</v>
      </c>
      <c r="E149" s="38">
        <f>VLOOKUP(A149,'The List'!B1:I730,8,FALSE)</f>
        <v>-3.0952613951950108</v>
      </c>
      <c r="F149" s="38">
        <f>IF(Settings!$E$15="POINTS",E149-VLOOKUP(B$2,C1:E189,3,FALSE),J149)</f>
        <v>-9.3755201142060915</v>
      </c>
      <c r="G149" s="38"/>
      <c r="H149" s="138">
        <f>RANK(I149,I3:I189)</f>
        <v>154</v>
      </c>
      <c r="I149" s="139">
        <f>VLOOKUP(A149,'Standard Deviations'!A1:C731,3,FALSE)</f>
        <v>-3.0952613951950108</v>
      </c>
      <c r="J149" s="139">
        <f>I149-VLOOKUP(B$2,H1:J189,2,FALSE)</f>
        <v>-9.3755201142060915</v>
      </c>
    </row>
    <row r="150" spans="1:10" ht="21.2" customHeight="1">
      <c r="A150" s="8" t="s">
        <v>667</v>
      </c>
      <c r="B150" s="64" t="str">
        <f>VLOOKUP(A150,'The List'!B1:D730,3,FALSE)</f>
        <v>C,RW</v>
      </c>
      <c r="C150" s="65">
        <f>IF(Settings!$E$15="POINTS",RANK(E150,E3:E189),H150)</f>
        <v>151</v>
      </c>
      <c r="D150" s="34" t="str">
        <f>VLOOKUP(A150,'The List'!B1:F730,5,FALSE)</f>
        <v>DAL</v>
      </c>
      <c r="E150" s="38">
        <f>VLOOKUP(A150,'The List'!B1:I730,8,FALSE)</f>
        <v>-3.0212929414005476</v>
      </c>
      <c r="F150" s="38">
        <f>IF(Settings!$E$15="POINTS",E150-VLOOKUP(B$2,C1:E189,3,FALSE),J150)</f>
        <v>-9.3015516604116293</v>
      </c>
      <c r="G150" s="38"/>
      <c r="H150" s="138">
        <f>RANK(I150,I3:I189)</f>
        <v>151</v>
      </c>
      <c r="I150" s="139">
        <f>VLOOKUP(A150,'Standard Deviations'!A1:C731,3,FALSE)</f>
        <v>-3.0212929414005476</v>
      </c>
      <c r="J150" s="139">
        <f>I150-VLOOKUP(B$2,H1:J189,2,FALSE)</f>
        <v>-9.3015516604116293</v>
      </c>
    </row>
    <row r="151" spans="1:10" ht="21.2" customHeight="1">
      <c r="A151" s="8" t="s">
        <v>668</v>
      </c>
      <c r="B151" s="64" t="str">
        <f>VLOOKUP(A151,'The List'!B1:D730,3,FALSE)</f>
        <v>RW</v>
      </c>
      <c r="C151" s="65">
        <f>IF(Settings!$E$15="POINTS",RANK(E151,E3:E189),H151)</f>
        <v>125</v>
      </c>
      <c r="D151" s="34" t="str">
        <f>VLOOKUP(A151,'The List'!B1:F730,5,FALSE)</f>
        <v>NJD</v>
      </c>
      <c r="E151" s="38">
        <f>VLOOKUP(A151,'The List'!B1:I730,8,FALSE)</f>
        <v>-1.5257614178577437</v>
      </c>
      <c r="F151" s="38">
        <f>IF(Settings!$E$15="POINTS",E151-VLOOKUP(B$2,C1:E189,3,FALSE),J151)</f>
        <v>-7.806020136868824</v>
      </c>
      <c r="G151" s="38"/>
      <c r="H151" s="138">
        <f>RANK(I151,I3:I189)</f>
        <v>125</v>
      </c>
      <c r="I151" s="139">
        <f>VLOOKUP(A151,'Standard Deviations'!A1:C731,3,FALSE)</f>
        <v>-1.5257614178577437</v>
      </c>
      <c r="J151" s="139">
        <f>I151-VLOOKUP(B$2,H1:J189,2,FALSE)</f>
        <v>-7.806020136868824</v>
      </c>
    </row>
    <row r="152" spans="1:10" ht="21.2" customHeight="1">
      <c r="A152" s="8" t="s">
        <v>670</v>
      </c>
      <c r="B152" s="64" t="str">
        <f>VLOOKUP(A152,'The List'!B1:D730,3,FALSE)</f>
        <v>LW,RW</v>
      </c>
      <c r="C152" s="65">
        <f>IF(Settings!$E$15="POINTS",RANK(E152,E3:E189),H152)</f>
        <v>155</v>
      </c>
      <c r="D152" s="34" t="str">
        <f>VLOOKUP(A152,'The List'!B1:F730,5,FALSE)</f>
        <v>UFA</v>
      </c>
      <c r="E152" s="38">
        <f>VLOOKUP(A152,'The List'!B1:I730,8,FALSE)</f>
        <v>-3.1225923403291196</v>
      </c>
      <c r="F152" s="38">
        <f>IF(Settings!$E$15="POINTS",E152-VLOOKUP(B$2,C1:E189,3,FALSE),J152)</f>
        <v>-9.4028510593402004</v>
      </c>
      <c r="G152" s="38"/>
      <c r="H152" s="138">
        <f>RANK(I152,I3:I189)</f>
        <v>155</v>
      </c>
      <c r="I152" s="139">
        <f>VLOOKUP(A152,'Standard Deviations'!A1:C731,3,FALSE)</f>
        <v>-3.1225923403291196</v>
      </c>
      <c r="J152" s="139">
        <f>I152-VLOOKUP(B$2,H1:J189,2,FALSE)</f>
        <v>-9.4028510593402004</v>
      </c>
    </row>
    <row r="153" spans="1:10" ht="21.2" customHeight="1">
      <c r="A153" s="8" t="s">
        <v>673</v>
      </c>
      <c r="B153" s="64" t="str">
        <f>VLOOKUP(A153,'The List'!B1:D730,3,FALSE)</f>
        <v>RW</v>
      </c>
      <c r="C153" s="65">
        <f>IF(Settings!$E$15="POINTS",RANK(E153,E3:E189),H153)</f>
        <v>140</v>
      </c>
      <c r="D153" s="34" t="str">
        <f>VLOOKUP(A153,'The List'!B1:F730,5,FALSE)</f>
        <v>PHI</v>
      </c>
      <c r="E153" s="38">
        <f>VLOOKUP(A153,'The List'!B1:I730,8,FALSE)</f>
        <v>-2.6193532114010392</v>
      </c>
      <c r="F153" s="38">
        <f>IF(Settings!$E$15="POINTS",E153-VLOOKUP(B$2,C1:E189,3,FALSE),J153)</f>
        <v>-8.8996119304121208</v>
      </c>
      <c r="G153" s="38"/>
      <c r="H153" s="138">
        <f>RANK(I153,I3:I189)</f>
        <v>140</v>
      </c>
      <c r="I153" s="139">
        <f>VLOOKUP(A153,'Standard Deviations'!A1:C731,3,FALSE)</f>
        <v>-2.6193532114010392</v>
      </c>
      <c r="J153" s="139">
        <f>I153-VLOOKUP(B$2,H1:J189,2,FALSE)</f>
        <v>-8.8996119304121208</v>
      </c>
    </row>
    <row r="154" spans="1:10" ht="21.2" customHeight="1">
      <c r="A154" s="8" t="s">
        <v>676</v>
      </c>
      <c r="B154" s="64" t="str">
        <f>VLOOKUP(A154,'The List'!B1:D730,3,FALSE)</f>
        <v>RW</v>
      </c>
      <c r="C154" s="65">
        <f>IF(Settings!$E$15="POINTS",RANK(E154,E3:E189),H154)</f>
        <v>173</v>
      </c>
      <c r="D154" s="34" t="str">
        <f>VLOOKUP(A154,'The List'!B1:F730,5,FALSE)</f>
        <v>PHI</v>
      </c>
      <c r="E154" s="38">
        <f>VLOOKUP(A154,'The List'!B1:I730,8,FALSE)</f>
        <v>-3.8852416356307868</v>
      </c>
      <c r="F154" s="38">
        <f>IF(Settings!$E$15="POINTS",E154-VLOOKUP(B$2,C1:E189,3,FALSE),J154)</f>
        <v>-10.165500354641868</v>
      </c>
      <c r="G154" s="38"/>
      <c r="H154" s="138">
        <f>RANK(I154,I3:I189)</f>
        <v>173</v>
      </c>
      <c r="I154" s="139">
        <f>VLOOKUP(A154,'Standard Deviations'!A1:C731,3,FALSE)</f>
        <v>-3.8852416356307868</v>
      </c>
      <c r="J154" s="139">
        <f>I154-VLOOKUP(B$2,H1:J189,2,FALSE)</f>
        <v>-10.165500354641868</v>
      </c>
    </row>
    <row r="155" spans="1:10" ht="21.2" customHeight="1">
      <c r="A155" s="8" t="s">
        <v>677</v>
      </c>
      <c r="B155" s="64" t="str">
        <f>VLOOKUP(A155,'The List'!B1:D730,3,FALSE)</f>
        <v>LW,RW</v>
      </c>
      <c r="C155" s="65">
        <f>IF(Settings!$E$15="POINTS",RANK(E155,E3:E189),H155)</f>
        <v>148</v>
      </c>
      <c r="D155" s="34" t="str">
        <f>VLOOKUP(A155,'The List'!B1:F730,5,FALSE)</f>
        <v>STL</v>
      </c>
      <c r="E155" s="38">
        <f>VLOOKUP(A155,'The List'!B1:I730,8,FALSE)</f>
        <v>-2.849660354219071</v>
      </c>
      <c r="F155" s="38">
        <f>IF(Settings!$E$15="POINTS",E155-VLOOKUP(B$2,C1:E189,3,FALSE),J155)</f>
        <v>-9.1299190732301518</v>
      </c>
      <c r="G155" s="38"/>
      <c r="H155" s="138">
        <f>RANK(I155,I3:I189)</f>
        <v>148</v>
      </c>
      <c r="I155" s="139">
        <f>VLOOKUP(A155,'Standard Deviations'!A1:C731,3,FALSE)</f>
        <v>-2.849660354219071</v>
      </c>
      <c r="J155" s="139">
        <f>I155-VLOOKUP(B$2,H1:J189,2,FALSE)</f>
        <v>-9.1299190732301518</v>
      </c>
    </row>
    <row r="156" spans="1:10" ht="21.2" customHeight="1">
      <c r="A156" s="8" t="s">
        <v>681</v>
      </c>
      <c r="B156" s="64" t="str">
        <f>VLOOKUP(A156,'The List'!B1:D730,3,FALSE)</f>
        <v>RW</v>
      </c>
      <c r="C156" s="65">
        <f>IF(Settings!$E$15="POINTS",RANK(E156,E3:E189),H156)</f>
        <v>143</v>
      </c>
      <c r="D156" s="34" t="str">
        <f>VLOOKUP(A156,'The List'!B1:F730,5,FALSE)</f>
        <v>NYI</v>
      </c>
      <c r="E156" s="38">
        <f>VLOOKUP(A156,'The List'!B1:I730,8,FALSE)</f>
        <v>-2.6392232838667899</v>
      </c>
      <c r="F156" s="38">
        <f>IF(Settings!$E$15="POINTS",E156-VLOOKUP(B$2,C1:E189,3,FALSE),J156)</f>
        <v>-8.9194820028778707</v>
      </c>
      <c r="G156" s="38"/>
      <c r="H156" s="138">
        <f>RANK(I156,I3:I189)</f>
        <v>143</v>
      </c>
      <c r="I156" s="139">
        <f>VLOOKUP(A156,'Standard Deviations'!A1:C731,3,FALSE)</f>
        <v>-2.6392232838667899</v>
      </c>
      <c r="J156" s="139">
        <f>I156-VLOOKUP(B$2,H1:J189,2,FALSE)</f>
        <v>-8.9194820028778707</v>
      </c>
    </row>
    <row r="157" spans="1:10" ht="21.2" customHeight="1">
      <c r="A157" s="8" t="s">
        <v>684</v>
      </c>
      <c r="B157" s="64" t="str">
        <f>VLOOKUP(A157,'The List'!B1:D730,3,FALSE)</f>
        <v>C,LW,RW</v>
      </c>
      <c r="C157" s="65">
        <f>IF(Settings!$E$15="POINTS",RANK(E157,E3:E189),H157)</f>
        <v>167</v>
      </c>
      <c r="D157" s="34" t="str">
        <f>VLOOKUP(A157,'The List'!B1:F730,5,FALSE)</f>
        <v>PIT</v>
      </c>
      <c r="E157" s="38">
        <f>VLOOKUP(A157,'The List'!B1:I730,8,FALSE)</f>
        <v>-3.4126410702631458</v>
      </c>
      <c r="F157" s="38">
        <f>IF(Settings!$E$15="POINTS",E157-VLOOKUP(B$2,C1:E189,3,FALSE),J157)</f>
        <v>-9.692899789274227</v>
      </c>
      <c r="G157" s="38"/>
      <c r="H157" s="138">
        <f>RANK(I157,I3:I189)</f>
        <v>167</v>
      </c>
      <c r="I157" s="139">
        <f>VLOOKUP(A157,'Standard Deviations'!A1:C731,3,FALSE)</f>
        <v>-3.4126410702631458</v>
      </c>
      <c r="J157" s="139">
        <f>I157-VLOOKUP(B$2,H1:J189,2,FALSE)</f>
        <v>-9.692899789274227</v>
      </c>
    </row>
    <row r="158" spans="1:10" ht="21.2" customHeight="1">
      <c r="A158" s="8" t="s">
        <v>685</v>
      </c>
      <c r="B158" s="64" t="str">
        <f>VLOOKUP(A158,'The List'!B1:D730,3,FALSE)</f>
        <v>C,RW</v>
      </c>
      <c r="C158" s="65">
        <f>IF(Settings!$E$15="POINTS",RANK(E158,E3:E189),H158)</f>
        <v>145</v>
      </c>
      <c r="D158" s="34" t="str">
        <f>VLOOKUP(A158,'The List'!B1:F730,5,FALSE)</f>
        <v>CBJ</v>
      </c>
      <c r="E158" s="38">
        <f>VLOOKUP(A158,'The List'!B1:I730,8,FALSE)</f>
        <v>-2.7323736687853604</v>
      </c>
      <c r="F158" s="38">
        <f>IF(Settings!$E$15="POINTS",E158-VLOOKUP(B$2,C1:E189,3,FALSE),J158)</f>
        <v>-9.0126323877964403</v>
      </c>
      <c r="G158" s="38"/>
      <c r="H158" s="138">
        <f>RANK(I158,I3:I189)</f>
        <v>145</v>
      </c>
      <c r="I158" s="139">
        <f>VLOOKUP(A158,'Standard Deviations'!A1:C731,3,FALSE)</f>
        <v>-2.7323736687853604</v>
      </c>
      <c r="J158" s="139">
        <f>I158-VLOOKUP(B$2,H1:J189,2,FALSE)</f>
        <v>-9.0126323877964403</v>
      </c>
    </row>
    <row r="159" spans="1:10" ht="21.2" customHeight="1">
      <c r="A159" s="8" t="s">
        <v>686</v>
      </c>
      <c r="B159" s="64" t="str">
        <f>VLOOKUP(A159,'The List'!B1:D730,3,FALSE)</f>
        <v>RW</v>
      </c>
      <c r="C159" s="65">
        <f>IF(Settings!$E$15="POINTS",RANK(E159,E3:E189),H159)</f>
        <v>126</v>
      </c>
      <c r="D159" s="34" t="str">
        <f>VLOOKUP(A159,'The List'!B1:F730,5,FALSE)</f>
        <v>CGY</v>
      </c>
      <c r="E159" s="38">
        <f>VLOOKUP(A159,'The List'!B1:I730,8,FALSE)</f>
        <v>-1.7719163246054532</v>
      </c>
      <c r="F159" s="38">
        <f>IF(Settings!$E$15="POINTS",E159-VLOOKUP(B$2,C1:E189,3,FALSE),J159)</f>
        <v>-8.0521750436165345</v>
      </c>
      <c r="G159" s="38"/>
      <c r="H159" s="138">
        <f>RANK(I159,I3:I189)</f>
        <v>126</v>
      </c>
      <c r="I159" s="139">
        <f>VLOOKUP(A159,'Standard Deviations'!A1:C731,3,FALSE)</f>
        <v>-1.7719163246054532</v>
      </c>
      <c r="J159" s="139">
        <f>I159-VLOOKUP(B$2,H1:J189,2,FALSE)</f>
        <v>-8.0521750436165345</v>
      </c>
    </row>
    <row r="160" spans="1:10" ht="21.2" customHeight="1">
      <c r="A160" s="8" t="s">
        <v>688</v>
      </c>
      <c r="B160" s="64" t="str">
        <f>VLOOKUP(A160,'The List'!B1:D730,3,FALSE)</f>
        <v>LW,RW</v>
      </c>
      <c r="C160" s="65">
        <f>IF(Settings!$E$15="POINTS",RANK(E160,E3:E189),H160)</f>
        <v>160</v>
      </c>
      <c r="D160" s="34" t="str">
        <f>VLOOKUP(A160,'The List'!B1:F730,5,FALSE)</f>
        <v>UFA</v>
      </c>
      <c r="E160" s="38">
        <f>VLOOKUP(A160,'The List'!B1:I730,8,FALSE)</f>
        <v>-3.2796792853281387</v>
      </c>
      <c r="F160" s="38">
        <f>IF(Settings!$E$15="POINTS",E160-VLOOKUP(B$2,C1:E189,3,FALSE),J160)</f>
        <v>-9.5599380043392195</v>
      </c>
      <c r="G160" s="38"/>
      <c r="H160" s="138">
        <f>RANK(I160,I3:I189)</f>
        <v>160</v>
      </c>
      <c r="I160" s="139">
        <f>VLOOKUP(A160,'Standard Deviations'!A1:C731,3,FALSE)</f>
        <v>-3.2796792853281387</v>
      </c>
      <c r="J160" s="139">
        <f>I160-VLOOKUP(B$2,H1:J189,2,FALSE)</f>
        <v>-9.5599380043392195</v>
      </c>
    </row>
    <row r="161" spans="1:10" ht="21.2" customHeight="1">
      <c r="A161" s="8" t="s">
        <v>690</v>
      </c>
      <c r="B161" s="64" t="str">
        <f>VLOOKUP(A161,'The List'!B1:D730,3,FALSE)</f>
        <v>RW</v>
      </c>
      <c r="C161" s="65">
        <f>IF(Settings!$E$15="POINTS",RANK(E161,E3:E189),H161)</f>
        <v>163</v>
      </c>
      <c r="D161" s="34" t="str">
        <f>VLOOKUP(A161,'The List'!B1:F730,5,FALSE)</f>
        <v>NJD</v>
      </c>
      <c r="E161" s="38">
        <f>VLOOKUP(A161,'The List'!B1:I730,8,FALSE)</f>
        <v>-3.3683471046734512</v>
      </c>
      <c r="F161" s="38">
        <f>IF(Settings!$E$15="POINTS",E161-VLOOKUP(B$2,C1:E189,3,FALSE),J161)</f>
        <v>-9.648605823684532</v>
      </c>
      <c r="G161" s="38"/>
      <c r="H161" s="138">
        <f>RANK(I161,I3:I189)</f>
        <v>163</v>
      </c>
      <c r="I161" s="139">
        <f>VLOOKUP(A161,'Standard Deviations'!A1:C731,3,FALSE)</f>
        <v>-3.3683471046734512</v>
      </c>
      <c r="J161" s="139">
        <f>I161-VLOOKUP(B$2,H1:J189,2,FALSE)</f>
        <v>-9.648605823684532</v>
      </c>
    </row>
    <row r="162" spans="1:10" ht="21.2" customHeight="1">
      <c r="A162" s="8" t="s">
        <v>693</v>
      </c>
      <c r="B162" s="64" t="str">
        <f>VLOOKUP(A162,'The List'!B1:D730,3,FALSE)</f>
        <v>LW,RW</v>
      </c>
      <c r="C162" s="65">
        <f>IF(Settings!$E$15="POINTS",RANK(E162,E3:E189),H162)</f>
        <v>159</v>
      </c>
      <c r="D162" s="34" t="str">
        <f>VLOOKUP(A162,'The List'!B1:F730,5,FALSE)</f>
        <v>LAK</v>
      </c>
      <c r="E162" s="38">
        <f>VLOOKUP(A162,'The List'!B1:I730,8,FALSE)</f>
        <v>-3.186010341953418</v>
      </c>
      <c r="F162" s="38">
        <f>IF(Settings!$E$15="POINTS",E162-VLOOKUP(B$2,C1:E189,3,FALSE),J162)</f>
        <v>-9.4662690609644997</v>
      </c>
      <c r="G162" s="38"/>
      <c r="H162" s="138">
        <f>RANK(I162,I3:I189)</f>
        <v>159</v>
      </c>
      <c r="I162" s="139">
        <f>VLOOKUP(A162,'Standard Deviations'!A1:C731,3,FALSE)</f>
        <v>-3.186010341953418</v>
      </c>
      <c r="J162" s="139">
        <f>I162-VLOOKUP(B$2,H1:J189,2,FALSE)</f>
        <v>-9.4662690609644997</v>
      </c>
    </row>
    <row r="163" spans="1:10" ht="21.2" customHeight="1">
      <c r="A163" s="8" t="s">
        <v>694</v>
      </c>
      <c r="B163" s="64" t="str">
        <f>VLOOKUP(A163,'The List'!B1:D730,3,FALSE)</f>
        <v>RW</v>
      </c>
      <c r="C163" s="65">
        <f>IF(Settings!$E$15="POINTS",RANK(E163,E3:E189),H163)</f>
        <v>165</v>
      </c>
      <c r="D163" s="34" t="str">
        <f>VLOOKUP(A163,'The List'!B1:F730,5,FALSE)</f>
        <v>WSH</v>
      </c>
      <c r="E163" s="38">
        <f>VLOOKUP(A163,'The List'!B1:I730,8,FALSE)</f>
        <v>-3.3932300952228558</v>
      </c>
      <c r="F163" s="38">
        <f>IF(Settings!$E$15="POINTS",E163-VLOOKUP(B$2,C1:E189,3,FALSE),J163)</f>
        <v>-9.6734888142339361</v>
      </c>
      <c r="G163" s="38"/>
      <c r="H163" s="138">
        <f>RANK(I163,I3:I189)</f>
        <v>165</v>
      </c>
      <c r="I163" s="139">
        <f>VLOOKUP(A163,'Standard Deviations'!A1:C731,3,FALSE)</f>
        <v>-3.3932300952228558</v>
      </c>
      <c r="J163" s="139">
        <f>I163-VLOOKUP(B$2,H1:J189,2,FALSE)</f>
        <v>-9.6734888142339361</v>
      </c>
    </row>
    <row r="164" spans="1:10" ht="21.2" customHeight="1">
      <c r="A164" s="8" t="s">
        <v>696</v>
      </c>
      <c r="B164" s="64" t="str">
        <f>VLOOKUP(A164,'The List'!B1:D730,3,FALSE)</f>
        <v>LW,RW</v>
      </c>
      <c r="C164" s="65">
        <f>IF(Settings!$E$15="POINTS",RANK(E164,E3:E189),H164)</f>
        <v>142</v>
      </c>
      <c r="D164" s="34" t="str">
        <f>VLOOKUP(A164,'The List'!B1:F730,5,FALSE)</f>
        <v>VAN</v>
      </c>
      <c r="E164" s="38">
        <f>VLOOKUP(A164,'The List'!B1:I730,8,FALSE)</f>
        <v>-2.6329551939783351</v>
      </c>
      <c r="F164" s="38">
        <f>IF(Settings!$E$15="POINTS",E164-VLOOKUP(B$2,C1:E189,3,FALSE),J164)</f>
        <v>-8.9132139129894163</v>
      </c>
      <c r="G164" s="38"/>
      <c r="H164" s="138">
        <f>RANK(I164,I3:I189)</f>
        <v>142</v>
      </c>
      <c r="I164" s="139">
        <f>VLOOKUP(A164,'Standard Deviations'!A1:C731,3,FALSE)</f>
        <v>-2.6329551939783351</v>
      </c>
      <c r="J164" s="139">
        <f>I164-VLOOKUP(B$2,H1:J189,2,FALSE)</f>
        <v>-8.9132139129894163</v>
      </c>
    </row>
    <row r="165" spans="1:10" ht="21.2" customHeight="1">
      <c r="A165" s="8" t="s">
        <v>697</v>
      </c>
      <c r="B165" s="64" t="str">
        <f>VLOOKUP(A165,'The List'!B1:D730,3,FALSE)</f>
        <v>RW</v>
      </c>
      <c r="C165" s="65">
        <f>IF(Settings!$E$15="POINTS",RANK(E165,E3:E189),H165)</f>
        <v>162</v>
      </c>
      <c r="D165" s="34" t="str">
        <f>VLOOKUP(A165,'The List'!B1:F730,5,FALSE)</f>
        <v>MTL</v>
      </c>
      <c r="E165" s="38">
        <f>VLOOKUP(A165,'The List'!B1:I730,8,FALSE)</f>
        <v>-3.3292495313371768</v>
      </c>
      <c r="F165" s="38">
        <f>IF(Settings!$E$15="POINTS",E165-VLOOKUP(B$2,C1:E189,3,FALSE),J165)</f>
        <v>-9.6095082503482576</v>
      </c>
      <c r="G165" s="38"/>
      <c r="H165" s="138">
        <f>RANK(I165,I3:I189)</f>
        <v>162</v>
      </c>
      <c r="I165" s="139">
        <f>VLOOKUP(A165,'Standard Deviations'!A1:C731,3,FALSE)</f>
        <v>-3.3292495313371768</v>
      </c>
      <c r="J165" s="139">
        <f>I165-VLOOKUP(B$2,H1:J189,2,FALSE)</f>
        <v>-9.6095082503482576</v>
      </c>
    </row>
    <row r="166" spans="1:10" ht="21.2" customHeight="1">
      <c r="A166" s="8" t="s">
        <v>698</v>
      </c>
      <c r="B166" s="64" t="str">
        <f>VLOOKUP(A166,'The List'!B1:D730,3,FALSE)</f>
        <v>LW,RW</v>
      </c>
      <c r="C166" s="65">
        <f>IF(Settings!$E$15="POINTS",RANK(E166,E3:E189),H166)</f>
        <v>171</v>
      </c>
      <c r="D166" s="34" t="str">
        <f>VLOOKUP(A166,'The List'!B1:F730,5,FALSE)</f>
        <v>NYR</v>
      </c>
      <c r="E166" s="38">
        <f>VLOOKUP(A166,'The List'!B1:I730,8,FALSE)</f>
        <v>-3.8766896421974497</v>
      </c>
      <c r="F166" s="38">
        <f>IF(Settings!$E$15="POINTS",E166-VLOOKUP(B$2,C1:E189,3,FALSE),J166)</f>
        <v>-10.156948361208531</v>
      </c>
      <c r="G166" s="38"/>
      <c r="H166" s="138">
        <f>RANK(I166,I3:I189)</f>
        <v>171</v>
      </c>
      <c r="I166" s="139">
        <f>VLOOKUP(A166,'Standard Deviations'!A1:C731,3,FALSE)</f>
        <v>-3.8766896421974497</v>
      </c>
      <c r="J166" s="139">
        <f>I166-VLOOKUP(B$2,H1:J189,2,FALSE)</f>
        <v>-10.156948361208531</v>
      </c>
    </row>
    <row r="167" spans="1:10" ht="21.2" customHeight="1">
      <c r="A167" s="8" t="s">
        <v>701</v>
      </c>
      <c r="B167" s="64" t="str">
        <f>VLOOKUP(A167,'The List'!B1:D730,3,FALSE)</f>
        <v>C,RW</v>
      </c>
      <c r="C167" s="65">
        <f>IF(Settings!$E$15="POINTS",RANK(E167,E3:E189),H167)</f>
        <v>166</v>
      </c>
      <c r="D167" s="34" t="str">
        <f>VLOOKUP(A167,'The List'!B1:F730,5,FALSE)</f>
        <v>ARI</v>
      </c>
      <c r="E167" s="38">
        <f>VLOOKUP(A167,'The List'!B1:I730,8,FALSE)</f>
        <v>-3.3951565016949661</v>
      </c>
      <c r="F167" s="38">
        <f>IF(Settings!$E$15="POINTS",E167-VLOOKUP(B$2,C1:E189,3,FALSE),J167)</f>
        <v>-9.6754152207060464</v>
      </c>
      <c r="G167" s="38"/>
      <c r="H167" s="138">
        <f>RANK(I167,I3:I189)</f>
        <v>166</v>
      </c>
      <c r="I167" s="139">
        <f>VLOOKUP(A167,'Standard Deviations'!A1:C731,3,FALSE)</f>
        <v>-3.3951565016949661</v>
      </c>
      <c r="J167" s="139">
        <f>I167-VLOOKUP(B$2,H1:J189,2,FALSE)</f>
        <v>-9.6754152207060464</v>
      </c>
    </row>
    <row r="168" spans="1:10" ht="21.2" customHeight="1">
      <c r="A168" s="8" t="s">
        <v>702</v>
      </c>
      <c r="B168" s="64" t="str">
        <f>VLOOKUP(A168,'The List'!B1:D730,3,FALSE)</f>
        <v>RW</v>
      </c>
      <c r="C168" s="65">
        <f>IF(Settings!$E$15="POINTS",RANK(E168,E3:E189),H168)</f>
        <v>172</v>
      </c>
      <c r="D168" s="34" t="str">
        <f>VLOOKUP(A168,'The List'!B1:F730,5,FALSE)</f>
        <v>VGK</v>
      </c>
      <c r="E168" s="38">
        <f>VLOOKUP(A168,'The List'!B1:I730,8,FALSE)</f>
        <v>-3.8801562885331955</v>
      </c>
      <c r="F168" s="38">
        <f>IF(Settings!$E$15="POINTS",E168-VLOOKUP(B$2,C1:E189,3,FALSE),J168)</f>
        <v>-10.160415007544277</v>
      </c>
      <c r="G168" s="38"/>
      <c r="H168" s="138">
        <f>RANK(I168,I3:I189)</f>
        <v>172</v>
      </c>
      <c r="I168" s="139">
        <f>VLOOKUP(A168,'Standard Deviations'!A1:C731,3,FALSE)</f>
        <v>-3.8801562885331955</v>
      </c>
      <c r="J168" s="139">
        <f>I168-VLOOKUP(B$2,H1:J189,2,FALSE)</f>
        <v>-10.160415007544277</v>
      </c>
    </row>
    <row r="169" spans="1:10" ht="21.2" customHeight="1">
      <c r="A169" s="8" t="s">
        <v>703</v>
      </c>
      <c r="B169" s="64" t="str">
        <f>VLOOKUP(A169,'The List'!B1:D730,3,FALSE)</f>
        <v>RW</v>
      </c>
      <c r="C169" s="65">
        <f>IF(Settings!$E$15="POINTS",RANK(E169,E3:E189),H169)</f>
        <v>164</v>
      </c>
      <c r="D169" s="34" t="str">
        <f>VLOOKUP(A169,'The List'!B1:F730,5,FALSE)</f>
        <v>DET</v>
      </c>
      <c r="E169" s="38">
        <f>VLOOKUP(A169,'The List'!B1:I730,8,FALSE)</f>
        <v>-3.3919296974618183</v>
      </c>
      <c r="F169" s="38">
        <f>IF(Settings!$E$15="POINTS",E169-VLOOKUP(B$2,C1:E189,3,FALSE),J169)</f>
        <v>-9.6721884164728991</v>
      </c>
      <c r="G169" s="38"/>
      <c r="H169" s="138">
        <f>RANK(I169,I3:I189)</f>
        <v>164</v>
      </c>
      <c r="I169" s="139">
        <f>VLOOKUP(A169,'Standard Deviations'!A1:C731,3,FALSE)</f>
        <v>-3.3919296974618183</v>
      </c>
      <c r="J169" s="139">
        <f>I169-VLOOKUP(B$2,H1:J189,2,FALSE)</f>
        <v>-9.6721884164728991</v>
      </c>
    </row>
    <row r="170" spans="1:10" ht="21.2" customHeight="1">
      <c r="A170" s="8" t="s">
        <v>706</v>
      </c>
      <c r="B170" s="64" t="str">
        <f>VLOOKUP(A170,'The List'!B1:D730,3,FALSE)</f>
        <v>LW,RW</v>
      </c>
      <c r="C170" s="65">
        <f>IF(Settings!$E$15="POINTS",RANK(E170,E3:E189),H170)</f>
        <v>147</v>
      </c>
      <c r="D170" s="34" t="str">
        <f>VLOOKUP(A170,'The List'!B1:F730,5,FALSE)</f>
        <v>DET</v>
      </c>
      <c r="E170" s="38">
        <f>VLOOKUP(A170,'The List'!B1:I730,8,FALSE)</f>
        <v>-2.7498306939977932</v>
      </c>
      <c r="F170" s="38">
        <f>IF(Settings!$E$15="POINTS",E170-VLOOKUP(B$2,C1:E189,3,FALSE),J170)</f>
        <v>-9.0300894130088736</v>
      </c>
      <c r="G170" s="38"/>
      <c r="H170" s="138">
        <f>RANK(I170,I3:I189)</f>
        <v>147</v>
      </c>
      <c r="I170" s="139">
        <f>VLOOKUP(A170,'Standard Deviations'!A1:C731,3,FALSE)</f>
        <v>-2.7498306939977932</v>
      </c>
      <c r="J170" s="139">
        <f>I170-VLOOKUP(B$2,H1:J189,2,FALSE)</f>
        <v>-9.0300894130088736</v>
      </c>
    </row>
    <row r="171" spans="1:10" ht="21.2" customHeight="1">
      <c r="A171" s="8" t="s">
        <v>711</v>
      </c>
      <c r="B171" s="64" t="str">
        <f>VLOOKUP(A171,'The List'!B1:D730,3,FALSE)</f>
        <v>LW,RW</v>
      </c>
      <c r="C171" s="65">
        <f>IF(Settings!$E$15="POINTS",RANK(E171,E3:E189),H171)</f>
        <v>169</v>
      </c>
      <c r="D171" s="34" t="str">
        <f>VLOOKUP(A171,'The List'!B1:F730,5,FALSE)</f>
        <v>STL</v>
      </c>
      <c r="E171" s="38">
        <f>VLOOKUP(A171,'The List'!B1:I730,8,FALSE)</f>
        <v>-3.7049741314572016</v>
      </c>
      <c r="F171" s="38">
        <f>IF(Settings!$E$15="POINTS",E171-VLOOKUP(B$2,C1:E189,3,FALSE),J171)</f>
        <v>-9.9852328504682824</v>
      </c>
      <c r="G171" s="38"/>
      <c r="H171" s="138">
        <f>RANK(I171,I3:I189)</f>
        <v>169</v>
      </c>
      <c r="I171" s="139">
        <f>VLOOKUP(A171,'Standard Deviations'!A1:C731,3,FALSE)</f>
        <v>-3.7049741314572016</v>
      </c>
      <c r="J171" s="139">
        <f>I171-VLOOKUP(B$2,H1:J189,2,FALSE)</f>
        <v>-9.9852328504682824</v>
      </c>
    </row>
    <row r="172" spans="1:10" ht="21.2" customHeight="1">
      <c r="A172" s="8" t="s">
        <v>720</v>
      </c>
      <c r="B172" s="64" t="str">
        <f>VLOOKUP(A172,'The List'!B1:D730,3,FALSE)</f>
        <v>LW,RW</v>
      </c>
      <c r="C172" s="65">
        <f>IF(Settings!$E$15="POINTS",RANK(E172,E3:E189),H172)</f>
        <v>170</v>
      </c>
      <c r="D172" s="34" t="str">
        <f>VLOOKUP(A172,'The List'!B1:F730,5,FALSE)</f>
        <v>MIN</v>
      </c>
      <c r="E172" s="38">
        <f>VLOOKUP(A172,'The List'!B1:I730,8,FALSE)</f>
        <v>-3.847161552483727</v>
      </c>
      <c r="F172" s="38">
        <f>IF(Settings!$E$15="POINTS",E172-VLOOKUP(B$2,C1:E189,3,FALSE),J172)</f>
        <v>-10.127420271494808</v>
      </c>
      <c r="G172" s="38"/>
      <c r="H172" s="138">
        <f>RANK(I172,I3:I189)</f>
        <v>170</v>
      </c>
      <c r="I172" s="139">
        <f>VLOOKUP(A172,'Standard Deviations'!A1:C731,3,FALSE)</f>
        <v>-3.847161552483727</v>
      </c>
      <c r="J172" s="139">
        <f>I172-VLOOKUP(B$2,H1:J189,2,FALSE)</f>
        <v>-10.127420271494808</v>
      </c>
    </row>
    <row r="173" spans="1:10" ht="21.2" customHeight="1">
      <c r="A173" s="8" t="s">
        <v>732</v>
      </c>
      <c r="B173" s="64" t="str">
        <f>VLOOKUP(A173,'The List'!B1:D730,3,FALSE)</f>
        <v>C,RW</v>
      </c>
      <c r="C173" s="65">
        <f>IF(Settings!$E$15="POINTS",RANK(E173,E3:E189),H173)</f>
        <v>174</v>
      </c>
      <c r="D173" s="34" t="str">
        <f>VLOOKUP(A173,'The List'!B1:F730,5,FALSE)</f>
        <v>VAN</v>
      </c>
      <c r="E173" s="38">
        <f>VLOOKUP(A173,'The List'!B1:I730,8,FALSE)</f>
        <v>-3.92227209384464</v>
      </c>
      <c r="F173" s="38">
        <f>IF(Settings!$E$15="POINTS",E173-VLOOKUP(B$2,C1:E189,3,FALSE),J173)</f>
        <v>-10.20253081285572</v>
      </c>
      <c r="G173" s="38"/>
      <c r="H173" s="138">
        <f>RANK(I173,I3:I189)</f>
        <v>174</v>
      </c>
      <c r="I173" s="139">
        <f>VLOOKUP(A173,'Standard Deviations'!A1:C731,3,FALSE)</f>
        <v>-3.92227209384464</v>
      </c>
      <c r="J173" s="139">
        <f>I173-VLOOKUP(B$2,H1:J189,2,FALSE)</f>
        <v>-10.20253081285572</v>
      </c>
    </row>
    <row r="174" spans="1:10" ht="21.2" customHeight="1">
      <c r="A174" s="8" t="s">
        <v>738</v>
      </c>
      <c r="B174" s="64" t="str">
        <f>VLOOKUP(A174,'The List'!B1:D730,3,FALSE)</f>
        <v>C,RW</v>
      </c>
      <c r="C174" s="65">
        <f>IF(Settings!$E$15="POINTS",RANK(E174,E3:E189),H174)</f>
        <v>152</v>
      </c>
      <c r="D174" s="34" t="str">
        <f>VLOOKUP(A174,'The List'!B1:F730,5,FALSE)</f>
        <v>NYR</v>
      </c>
      <c r="E174" s="38">
        <f>VLOOKUP(A174,'The List'!B1:I730,8,FALSE)</f>
        <v>-3.0449206317509745</v>
      </c>
      <c r="F174" s="38">
        <f>IF(Settings!$E$15="POINTS",E174-VLOOKUP(B$2,C1:E189,3,FALSE),J174)</f>
        <v>-9.3251793507620562</v>
      </c>
      <c r="G174" s="38"/>
      <c r="H174" s="138">
        <f>RANK(I174,I3:I189)</f>
        <v>152</v>
      </c>
      <c r="I174" s="139">
        <f>VLOOKUP(A174,'Standard Deviations'!A1:C731,3,FALSE)</f>
        <v>-3.0449206317509745</v>
      </c>
      <c r="J174" s="139">
        <f>I174-VLOOKUP(B$2,H1:J189,2,FALSE)</f>
        <v>-9.3251793507620562</v>
      </c>
    </row>
    <row r="175" spans="1:10" ht="21.2" customHeight="1">
      <c r="A175" s="8" t="s">
        <v>739</v>
      </c>
      <c r="B175" s="64" t="str">
        <f>VLOOKUP(A175,'The List'!B1:D730,3,FALSE)</f>
        <v>C,LW,RW</v>
      </c>
      <c r="C175" s="65">
        <f>IF(Settings!$E$15="POINTS",RANK(E175,E3:E189),H175)</f>
        <v>168</v>
      </c>
      <c r="D175" s="34" t="str">
        <f>VLOOKUP(A175,'The List'!B1:F730,5,FALSE)</f>
        <v>OTT</v>
      </c>
      <c r="E175" s="38">
        <f>VLOOKUP(A175,'The List'!B1:I730,8,FALSE)</f>
        <v>-3.5922632471769935</v>
      </c>
      <c r="F175" s="38">
        <f>IF(Settings!$E$15="POINTS",E175-VLOOKUP(B$2,C1:E189,3,FALSE),J175)</f>
        <v>-9.8725219661880743</v>
      </c>
      <c r="G175" s="38"/>
      <c r="H175" s="138">
        <f>RANK(I175,I3:I189)</f>
        <v>168</v>
      </c>
      <c r="I175" s="139">
        <f>VLOOKUP(A175,'Standard Deviations'!A1:C731,3,FALSE)</f>
        <v>-3.5922632471769935</v>
      </c>
      <c r="J175" s="139">
        <f>I175-VLOOKUP(B$2,H1:J189,2,FALSE)</f>
        <v>-9.8725219661880743</v>
      </c>
    </row>
    <row r="176" spans="1:10" ht="21.2" customHeight="1">
      <c r="A176" s="8" t="s">
        <v>748</v>
      </c>
      <c r="B176" s="64" t="str">
        <f>VLOOKUP(A176,'The List'!B1:D730,3,FALSE)</f>
        <v>LW,RW</v>
      </c>
      <c r="C176" s="65">
        <f>IF(Settings!$E$15="POINTS",RANK(E176,E3:E189),H176)</f>
        <v>161</v>
      </c>
      <c r="D176" s="34" t="str">
        <f>VLOOKUP(A176,'The List'!B1:F730,5,FALSE)</f>
        <v>PIT</v>
      </c>
      <c r="E176" s="38">
        <f>VLOOKUP(A176,'The List'!B1:I730,8,FALSE)</f>
        <v>-3.3040523489701288</v>
      </c>
      <c r="F176" s="38">
        <f>IF(Settings!$E$15="POINTS",E176-VLOOKUP(B$2,C1:E189,3,FALSE),J176)</f>
        <v>-9.5843110679812096</v>
      </c>
      <c r="G176" s="38"/>
      <c r="H176" s="138">
        <f>RANK(I176,I3:I189)</f>
        <v>161</v>
      </c>
      <c r="I176" s="139">
        <f>VLOOKUP(A176,'Standard Deviations'!A1:C731,3,FALSE)</f>
        <v>-3.3040523489701288</v>
      </c>
      <c r="J176" s="139">
        <f>I176-VLOOKUP(B$2,H1:J189,2,FALSE)</f>
        <v>-9.5843110679812096</v>
      </c>
    </row>
    <row r="177" spans="1:10" ht="21.2" customHeight="1">
      <c r="A177" s="8" t="s">
        <v>749</v>
      </c>
      <c r="B177" s="64" t="str">
        <f>VLOOKUP(A177,'The List'!B1:D730,3,FALSE)</f>
        <v>RW</v>
      </c>
      <c r="C177" s="65">
        <f>IF(Settings!$E$15="POINTS",RANK(E177,E3:E189),H177)</f>
        <v>181</v>
      </c>
      <c r="D177" s="34" t="str">
        <f>VLOOKUP(A177,'The List'!B1:F730,5,FALSE)</f>
        <v>OTT</v>
      </c>
      <c r="E177" s="38">
        <f>VLOOKUP(A177,'The List'!B1:I730,8,FALSE)</f>
        <v>-4.744890179862546</v>
      </c>
      <c r="F177" s="38">
        <f>IF(Settings!$E$15="POINTS",E177-VLOOKUP(B$2,C1:E189,3,FALSE),J177)</f>
        <v>-11.025148898873628</v>
      </c>
      <c r="G177" s="38"/>
      <c r="H177" s="138">
        <f>RANK(I177,I3:I189)</f>
        <v>181</v>
      </c>
      <c r="I177" s="139">
        <f>VLOOKUP(A177,'Standard Deviations'!A1:C731,3,FALSE)</f>
        <v>-4.744890179862546</v>
      </c>
      <c r="J177" s="139">
        <f>I177-VLOOKUP(B$2,H1:J189,2,FALSE)</f>
        <v>-11.025148898873628</v>
      </c>
    </row>
    <row r="178" spans="1:10" ht="21.2" customHeight="1">
      <c r="A178" s="8" t="s">
        <v>751</v>
      </c>
      <c r="B178" s="64" t="str">
        <f>VLOOKUP(A178,'The List'!B1:D730,3,FALSE)</f>
        <v>RW</v>
      </c>
      <c r="C178" s="65">
        <f>IF(Settings!$E$15="POINTS",RANK(E178,E3:E189),H178)</f>
        <v>180</v>
      </c>
      <c r="D178" s="34" t="str">
        <f>VLOOKUP(A178,'The List'!B1:F730,5,FALSE)</f>
        <v>NYI</v>
      </c>
      <c r="E178" s="38">
        <f>VLOOKUP(A178,'The List'!B1:I730,8,FALSE)</f>
        <v>-4.70207478511671</v>
      </c>
      <c r="F178" s="38">
        <f>IF(Settings!$E$15="POINTS",E178-VLOOKUP(B$2,C1:E189,3,FALSE),J178)</f>
        <v>-10.982333504127791</v>
      </c>
      <c r="G178" s="38"/>
      <c r="H178" s="138">
        <f>RANK(I178,I3:I189)</f>
        <v>180</v>
      </c>
      <c r="I178" s="139">
        <f>VLOOKUP(A178,'Standard Deviations'!A1:C731,3,FALSE)</f>
        <v>-4.70207478511671</v>
      </c>
      <c r="J178" s="139">
        <f>I178-VLOOKUP(B$2,H1:J189,2,FALSE)</f>
        <v>-10.982333504127791</v>
      </c>
    </row>
    <row r="179" spans="1:10" ht="21.2" customHeight="1">
      <c r="A179" s="8" t="s">
        <v>760</v>
      </c>
      <c r="B179" s="64" t="str">
        <f>VLOOKUP(A179,'The List'!B1:D730,3,FALSE)</f>
        <v>RW</v>
      </c>
      <c r="C179" s="65">
        <f>IF(Settings!$E$15="POINTS",RANK(E179,E3:E189),H179)</f>
        <v>178</v>
      </c>
      <c r="D179" s="34" t="str">
        <f>VLOOKUP(A179,'The List'!B1:F730,5,FALSE)</f>
        <v>LAK</v>
      </c>
      <c r="E179" s="38">
        <f>VLOOKUP(A179,'The List'!B1:I730,8,FALSE)</f>
        <v>-4.5887976170341558</v>
      </c>
      <c r="F179" s="38">
        <f>IF(Settings!$E$15="POINTS",E179-VLOOKUP(B$2,C1:E189,3,FALSE),J179)</f>
        <v>-10.869056336045237</v>
      </c>
      <c r="G179" s="38"/>
      <c r="H179" s="138">
        <f>RANK(I179,I3:I189)</f>
        <v>178</v>
      </c>
      <c r="I179" s="139">
        <f>VLOOKUP(A179,'Standard Deviations'!A1:C731,3,FALSE)</f>
        <v>-4.5887976170341558</v>
      </c>
      <c r="J179" s="139">
        <f>I179-VLOOKUP(B$2,H1:J189,2,FALSE)</f>
        <v>-10.869056336045237</v>
      </c>
    </row>
    <row r="180" spans="1:10" ht="21.2" customHeight="1">
      <c r="A180" s="8" t="s">
        <v>763</v>
      </c>
      <c r="B180" s="64" t="str">
        <f>VLOOKUP(A180,'The List'!B1:D730,3,FALSE)</f>
        <v>RW</v>
      </c>
      <c r="C180" s="65">
        <f>IF(Settings!$E$15="POINTS",RANK(E180,E3:E189),H180)</f>
        <v>177</v>
      </c>
      <c r="D180" s="34" t="str">
        <f>VLOOKUP(A180,'The List'!B1:F730,5,FALSE)</f>
        <v>NSH</v>
      </c>
      <c r="E180" s="38">
        <f>VLOOKUP(A180,'The List'!B1:I730,8,FALSE)</f>
        <v>-4.5851465435594889</v>
      </c>
      <c r="F180" s="38">
        <f>IF(Settings!$E$15="POINTS",E180-VLOOKUP(B$2,C1:E189,3,FALSE),J180)</f>
        <v>-10.865405262570569</v>
      </c>
      <c r="G180" s="38"/>
      <c r="H180" s="138">
        <f>RANK(I180,I3:I189)</f>
        <v>177</v>
      </c>
      <c r="I180" s="139">
        <f>VLOOKUP(A180,'Standard Deviations'!A1:C731,3,FALSE)</f>
        <v>-4.5851465435594889</v>
      </c>
      <c r="J180" s="139">
        <f>I180-VLOOKUP(B$2,H1:J189,2,FALSE)</f>
        <v>-10.865405262570569</v>
      </c>
    </row>
    <row r="181" spans="1:10" ht="21.2" customHeight="1">
      <c r="A181" s="8" t="s">
        <v>764</v>
      </c>
      <c r="B181" s="64" t="str">
        <f>VLOOKUP(A181,'The List'!B1:D730,3,FALSE)</f>
        <v>RW</v>
      </c>
      <c r="C181" s="65">
        <f>IF(Settings!$E$15="POINTS",RANK(E181,E3:E189),H181)</f>
        <v>176</v>
      </c>
      <c r="D181" s="34" t="str">
        <f>VLOOKUP(A181,'The List'!B1:F730,5,FALSE)</f>
        <v>ANA</v>
      </c>
      <c r="E181" s="38">
        <f>VLOOKUP(A181,'The List'!B1:I730,8,FALSE)</f>
        <v>-4.4557596841979228</v>
      </c>
      <c r="F181" s="38">
        <f>IF(Settings!$E$15="POINTS",E181-VLOOKUP(B$2,C1:E189,3,FALSE),J181)</f>
        <v>-10.736018403209004</v>
      </c>
      <c r="G181" s="38"/>
      <c r="H181" s="138">
        <f>RANK(I181,I3:I189)</f>
        <v>176</v>
      </c>
      <c r="I181" s="139">
        <f>VLOOKUP(A181,'Standard Deviations'!A1:C731,3,FALSE)</f>
        <v>-4.4557596841979228</v>
      </c>
      <c r="J181" s="139">
        <f>I181-VLOOKUP(B$2,H1:J189,2,FALSE)</f>
        <v>-10.736018403209004</v>
      </c>
    </row>
    <row r="182" spans="1:10" ht="21.2" customHeight="1">
      <c r="A182" s="8" t="s">
        <v>769</v>
      </c>
      <c r="B182" s="64" t="str">
        <f>VLOOKUP(A182,'The List'!B1:D730,3,FALSE)</f>
        <v>RW</v>
      </c>
      <c r="C182" s="65">
        <f>IF(Settings!$E$15="POINTS",RANK(E182,E3:E189),H182)</f>
        <v>184</v>
      </c>
      <c r="D182" s="34" t="str">
        <f>VLOOKUP(A182,'The List'!B1:F730,5,FALSE)</f>
        <v>TBL</v>
      </c>
      <c r="E182" s="38">
        <f>VLOOKUP(A182,'The List'!B1:I730,8,FALSE)</f>
        <v>-4.8806281516937311</v>
      </c>
      <c r="F182" s="38">
        <f>IF(Settings!$E$15="POINTS",E182-VLOOKUP(B$2,C1:E189,3,FALSE),J182)</f>
        <v>-11.160886870704811</v>
      </c>
      <c r="G182" s="38"/>
      <c r="H182" s="138">
        <f>RANK(I182,I3:I189)</f>
        <v>184</v>
      </c>
      <c r="I182" s="139">
        <f>VLOOKUP(A182,'Standard Deviations'!A1:C731,3,FALSE)</f>
        <v>-4.8806281516937311</v>
      </c>
      <c r="J182" s="139">
        <f>I182-VLOOKUP(B$2,H1:J189,2,FALSE)</f>
        <v>-11.160886870704811</v>
      </c>
    </row>
    <row r="183" spans="1:10" ht="21.2" customHeight="1">
      <c r="A183" s="8" t="s">
        <v>770</v>
      </c>
      <c r="B183" s="64" t="str">
        <f>VLOOKUP(A183,'The List'!B1:D730,3,FALSE)</f>
        <v>RW</v>
      </c>
      <c r="C183" s="65">
        <f>IF(Settings!$E$15="POINTS",RANK(E183,E3:E189),H183)</f>
        <v>175</v>
      </c>
      <c r="D183" s="34" t="str">
        <f>VLOOKUP(A183,'The List'!B1:F730,5,FALSE)</f>
        <v>TOR</v>
      </c>
      <c r="E183" s="38">
        <f>VLOOKUP(A183,'The List'!B1:I730,8,FALSE)</f>
        <v>-4.0045767257232789</v>
      </c>
      <c r="F183" s="38">
        <f>IF(Settings!$E$15="POINTS",E183-VLOOKUP(B$2,C1:E189,3,FALSE),J183)</f>
        <v>-10.284835444734359</v>
      </c>
      <c r="G183" s="38"/>
      <c r="H183" s="138">
        <f>RANK(I183,I3:I189)</f>
        <v>175</v>
      </c>
      <c r="I183" s="139">
        <f>VLOOKUP(A183,'Standard Deviations'!A1:C731,3,FALSE)</f>
        <v>-4.0045767257232789</v>
      </c>
      <c r="J183" s="139">
        <f>I183-VLOOKUP(B$2,H1:J189,2,FALSE)</f>
        <v>-10.284835444734359</v>
      </c>
    </row>
    <row r="184" spans="1:10" ht="21.2" customHeight="1">
      <c r="A184" s="8" t="s">
        <v>774</v>
      </c>
      <c r="B184" s="64" t="str">
        <f>VLOOKUP(A184,'The List'!B1:D730,3,FALSE)</f>
        <v>C,RW</v>
      </c>
      <c r="C184" s="65">
        <f>IF(Settings!$E$15="POINTS",RANK(E184,E3:E189),H184)</f>
        <v>182</v>
      </c>
      <c r="D184" s="34" t="str">
        <f>VLOOKUP(A184,'The List'!B1:F730,5,FALSE)</f>
        <v>NYR</v>
      </c>
      <c r="E184" s="38">
        <f>VLOOKUP(A184,'The List'!B1:I730,8,FALSE)</f>
        <v>-4.7758294702794828</v>
      </c>
      <c r="F184" s="38">
        <f>IF(Settings!$E$15="POINTS",E184-VLOOKUP(B$2,C1:E189,3,FALSE),J184)</f>
        <v>-11.056088189290563</v>
      </c>
      <c r="G184" s="38"/>
      <c r="H184" s="138">
        <f>RANK(I184,I3:I189)</f>
        <v>182</v>
      </c>
      <c r="I184" s="139">
        <f>VLOOKUP(A184,'Standard Deviations'!A1:C731,3,FALSE)</f>
        <v>-4.7758294702794828</v>
      </c>
      <c r="J184" s="139">
        <f>I184-VLOOKUP(B$2,H1:J189,2,FALSE)</f>
        <v>-11.056088189290563</v>
      </c>
    </row>
    <row r="185" spans="1:10" ht="21.2" customHeight="1">
      <c r="A185" s="8" t="s">
        <v>777</v>
      </c>
      <c r="B185" s="64" t="str">
        <f>VLOOKUP(A185,'The List'!B1:D730,3,FALSE)</f>
        <v>RW</v>
      </c>
      <c r="C185" s="65">
        <f>IF(Settings!$E$15="POINTS",RANK(E185,E3:E189),H185)</f>
        <v>183</v>
      </c>
      <c r="D185" s="34" t="str">
        <f>VLOOKUP(A185,'The List'!B1:F730,5,FALSE)</f>
        <v>CBJ</v>
      </c>
      <c r="E185" s="38">
        <f>VLOOKUP(A185,'The List'!B1:I730,8,FALSE)</f>
        <v>-4.8375383816846469</v>
      </c>
      <c r="F185" s="38">
        <f>IF(Settings!$E$15="POINTS",E185-VLOOKUP(B$2,C1:E189,3,FALSE),J185)</f>
        <v>-11.117797100695729</v>
      </c>
      <c r="G185" s="38"/>
      <c r="H185" s="138">
        <f>RANK(I185,I3:I189)</f>
        <v>183</v>
      </c>
      <c r="I185" s="139">
        <f>VLOOKUP(A185,'Standard Deviations'!A1:C731,3,FALSE)</f>
        <v>-4.8375383816846469</v>
      </c>
      <c r="J185" s="139">
        <f>I185-VLOOKUP(B$2,H1:J189,2,FALSE)</f>
        <v>-11.117797100695729</v>
      </c>
    </row>
    <row r="186" spans="1:10" ht="21.2" customHeight="1">
      <c r="A186" s="8" t="s">
        <v>783</v>
      </c>
      <c r="B186" s="64" t="str">
        <f>VLOOKUP(A186,'The List'!B1:D730,3,FALSE)</f>
        <v>C,RW</v>
      </c>
      <c r="C186" s="65">
        <f>IF(Settings!$E$15="POINTS",RANK(E186,E3:E189),H186)</f>
        <v>179</v>
      </c>
      <c r="D186" s="34" t="str">
        <f>VLOOKUP(A186,'The List'!B1:F730,5,FALSE)</f>
        <v>NJD</v>
      </c>
      <c r="E186" s="38">
        <f>VLOOKUP(A186,'The List'!B1:I730,8,FALSE)</f>
        <v>-4.6122811131689705</v>
      </c>
      <c r="F186" s="38">
        <f>IF(Settings!$E$15="POINTS",E186-VLOOKUP(B$2,C1:E189,3,FALSE),J186)</f>
        <v>-10.892539832180052</v>
      </c>
      <c r="G186" s="38"/>
      <c r="H186" s="138">
        <f>RANK(I186,I3:I189)</f>
        <v>179</v>
      </c>
      <c r="I186" s="139">
        <f>VLOOKUP(A186,'Standard Deviations'!A1:C731,3,FALSE)</f>
        <v>-4.6122811131689705</v>
      </c>
      <c r="J186" s="139">
        <f>I186-VLOOKUP(B$2,H1:J189,2,FALSE)</f>
        <v>-10.892539832180052</v>
      </c>
    </row>
    <row r="187" spans="1:10" ht="21.2" customHeight="1">
      <c r="A187" s="8" t="s">
        <v>786</v>
      </c>
      <c r="B187" s="64" t="str">
        <f>VLOOKUP(A187,'The List'!B1:D730,3,FALSE)</f>
        <v>RW</v>
      </c>
      <c r="C187" s="65">
        <f>IF(Settings!$E$15="POINTS",RANK(E187,E3:E189),H187)</f>
        <v>187</v>
      </c>
      <c r="D187" s="34" t="str">
        <f>VLOOKUP(A187,'The List'!B1:F730,5,FALSE)</f>
        <v>TOR</v>
      </c>
      <c r="E187" s="38">
        <f>VLOOKUP(A187,'The List'!B1:I730,8,FALSE)</f>
        <v>-5.5537886752010071</v>
      </c>
      <c r="F187" s="38">
        <f>IF(Settings!$E$15="POINTS",E187-VLOOKUP(B$2,C1:E189,3,FALSE),J187)</f>
        <v>-11.834047394212089</v>
      </c>
      <c r="G187" s="38"/>
      <c r="H187" s="138">
        <f>RANK(I187,I3:I189)</f>
        <v>187</v>
      </c>
      <c r="I187" s="139">
        <f>VLOOKUP(A187,'Standard Deviations'!A1:C731,3,FALSE)</f>
        <v>-5.5537886752010071</v>
      </c>
      <c r="J187" s="139">
        <f>I187-VLOOKUP(B$2,H1:J189,2,FALSE)</f>
        <v>-11.834047394212089</v>
      </c>
    </row>
    <row r="188" spans="1:10" ht="21.2" customHeight="1">
      <c r="A188" s="8" t="s">
        <v>794</v>
      </c>
      <c r="B188" s="64" t="str">
        <f>VLOOKUP(A188,'The List'!B1:D730,3,FALSE)</f>
        <v>LW,RW</v>
      </c>
      <c r="C188" s="65">
        <f>IF(Settings!$E$15="POINTS",RANK(E188,E3:E189),H188)</f>
        <v>186</v>
      </c>
      <c r="D188" s="34" t="str">
        <f>VLOOKUP(A188,'The List'!B1:F730,5,FALSE)</f>
        <v>SJS</v>
      </c>
      <c r="E188" s="38">
        <f>VLOOKUP(A188,'The List'!B1:I730,8,FALSE)</f>
        <v>-5.5446315249577207</v>
      </c>
      <c r="F188" s="38">
        <f>IF(Settings!$E$15="POINTS",E188-VLOOKUP(B$2,C1:E189,3,FALSE),J188)</f>
        <v>-11.824890243968802</v>
      </c>
      <c r="G188" s="38"/>
      <c r="H188" s="138">
        <f>RANK(I188,I3:I189)</f>
        <v>186</v>
      </c>
      <c r="I188" s="139">
        <f>VLOOKUP(A188,'Standard Deviations'!A1:C731,3,FALSE)</f>
        <v>-5.5446315249577207</v>
      </c>
      <c r="J188" s="139">
        <f>I188-VLOOKUP(B$2,H1:J189,2,FALSE)</f>
        <v>-11.824890243968802</v>
      </c>
    </row>
    <row r="189" spans="1:10" ht="21.2" customHeight="1">
      <c r="A189" s="8" t="s">
        <v>796</v>
      </c>
      <c r="B189" s="64" t="str">
        <f>VLOOKUP(A189,'The List'!B1:D730,3,FALSE)</f>
        <v>C,RW</v>
      </c>
      <c r="C189" s="65">
        <f>IF(Settings!$E$15="POINTS",RANK(E189,E3:E189),H189)</f>
        <v>185</v>
      </c>
      <c r="D189" s="34" t="str">
        <f>VLOOKUP(A189,'The List'!B1:F730,5,FALSE)</f>
        <v>PHI</v>
      </c>
      <c r="E189" s="38">
        <f>VLOOKUP(A189,'The List'!B1:I730,8,FALSE)</f>
        <v>-5.15881266495761</v>
      </c>
      <c r="F189" s="38">
        <f>IF(Settings!$E$15="POINTS",E189-VLOOKUP(B$2,C1:E189,3,FALSE),J189)</f>
        <v>-11.439071383968692</v>
      </c>
      <c r="G189" s="38"/>
      <c r="H189" s="138">
        <f>RANK(I189,I3:I189)</f>
        <v>185</v>
      </c>
      <c r="I189" s="139">
        <f>VLOOKUP(A189,'Standard Deviations'!A1:C731,3,FALSE)</f>
        <v>-5.15881266495761</v>
      </c>
      <c r="J189" s="139">
        <f>I189-VLOOKUP(B$2,H1:J189,2,FALSE)</f>
        <v>-11.439071383968692</v>
      </c>
    </row>
  </sheetData>
  <conditionalFormatting sqref="C3:C189 H3:H189">
    <cfRule type="containsText" dxfId="17" priority="1" stopIfTrue="1" operator="containsText" text="/">
      <formula>NOT(ISERROR(FIND(UPPER("/"),UPPER(C3))))</formula>
      <formula>"/"</formula>
    </cfRule>
    <cfRule type="containsText" dxfId="16" priority="2" stopIfTrue="1" operator="containsText" text="C">
      <formula>NOT(ISERROR(FIND(UPPER("C"),UPPER(C3))))</formula>
      <formula>"C"</formula>
    </cfRule>
    <cfRule type="containsText" dxfId="15" priority="3" stopIfTrue="1" operator="containsText" text="D">
      <formula>NOT(ISERROR(FIND(UPPER("D"),UPPER(C3))))</formula>
      <formula>"D"</formula>
    </cfRule>
    <cfRule type="containsText" dxfId="14" priority="4" stopIfTrue="1" operator="containsText" text="LW">
      <formula>NOT(ISERROR(FIND(UPPER("LW"),UPPER(C3))))</formula>
      <formula>"LW"</formula>
    </cfRule>
    <cfRule type="containsText" dxfId="13" priority="5" stopIfTrue="1" operator="containsText" text="RW">
      <formula>NOT(ISERROR(FIND(UPPER("RW"),UPPER(C3))))</formula>
      <formula>"RW"</formula>
    </cfRule>
    <cfRule type="containsText" dxfId="12" priority="6" stopIfTrue="1" operator="containsText" text="G">
      <formula>NOT(ISERROR(FIND(UPPER("G"),UPPER(C3))))</formula>
      <formula>"G"</formula>
    </cfRule>
  </conditionalFormatting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229"/>
  <sheetViews>
    <sheetView showGridLines="0" workbookViewId="0">
      <pane ySplit="2" topLeftCell="A3" activePane="bottomLeft" state="frozen"/>
      <selection pane="bottomLeft"/>
    </sheetView>
  </sheetViews>
  <sheetFormatPr defaultColWidth="8" defaultRowHeight="16.350000000000001" customHeight="1"/>
  <cols>
    <col min="1" max="1" width="33" style="1" customWidth="1"/>
    <col min="2" max="2" width="7.140625" style="1" customWidth="1"/>
    <col min="3" max="3" width="6" style="1" customWidth="1"/>
    <col min="4" max="6" width="8.28515625" style="1" customWidth="1"/>
    <col min="7" max="10" width="1.28515625" style="1" customWidth="1"/>
    <col min="11" max="11" width="8" style="1" customWidth="1"/>
    <col min="12" max="16384" width="8" style="1"/>
  </cols>
  <sheetData>
    <row r="1" spans="1:10" ht="28.35" customHeight="1">
      <c r="A1" s="121" t="s">
        <v>841</v>
      </c>
      <c r="B1" s="122" t="s">
        <v>849</v>
      </c>
      <c r="C1" s="123"/>
      <c r="D1" s="4" t="s">
        <v>843</v>
      </c>
      <c r="E1" s="124" t="s">
        <v>844</v>
      </c>
      <c r="F1" s="122" t="s">
        <v>72</v>
      </c>
      <c r="G1" s="125"/>
      <c r="H1" s="126"/>
      <c r="I1" s="127" t="s">
        <v>845</v>
      </c>
      <c r="J1" s="128" t="s">
        <v>72</v>
      </c>
    </row>
    <row r="2" spans="1:10" ht="28.35" customHeight="1">
      <c r="A2" s="129" t="s">
        <v>40</v>
      </c>
      <c r="B2" s="130">
        <f>Settings!F5</f>
        <v>34</v>
      </c>
      <c r="C2" s="131"/>
      <c r="D2" s="132"/>
      <c r="E2" s="133"/>
      <c r="F2" s="133"/>
      <c r="G2" s="133"/>
      <c r="H2" s="140"/>
      <c r="I2" s="141"/>
      <c r="J2" s="141"/>
    </row>
    <row r="3" spans="1:10" ht="21.2" customHeight="1">
      <c r="A3" s="8" t="s">
        <v>112</v>
      </c>
      <c r="B3" s="144" t="str">
        <f>VLOOKUP(A3,'The List'!B1:D730,3,FALSE)</f>
        <v>D</v>
      </c>
      <c r="C3" s="145">
        <f>IF(Settings!$E$15="POINTS",RANK(E3,E3:E229),H3)</f>
        <v>1</v>
      </c>
      <c r="D3" s="34" t="str">
        <f>VLOOKUP(A3,'The List'!B1:F730,5,FALSE)</f>
        <v>COL</v>
      </c>
      <c r="E3" s="38">
        <f>VLOOKUP(A3,'The List'!B1:I730,8,FALSE)</f>
        <v>10.908265501872471</v>
      </c>
      <c r="F3" s="38">
        <f>IF(Settings!$E$15="POINTS",E3-VLOOKUP(B$2,C1:E229,3,FALSE),J3)</f>
        <v>8.9665249582381605</v>
      </c>
      <c r="G3" s="38"/>
      <c r="H3" s="142">
        <f>RANK(I3,I3:I229)</f>
        <v>1</v>
      </c>
      <c r="I3" s="143">
        <f>VLOOKUP(A3,'Standard Deviations'!A1:C731,3,FALSE)</f>
        <v>10.908265501872471</v>
      </c>
      <c r="J3" s="143">
        <f>I3-VLOOKUP(B$2,H1:J229,2,FALSE)</f>
        <v>8.9665249582381605</v>
      </c>
    </row>
    <row r="4" spans="1:10" ht="21.2" customHeight="1">
      <c r="A4" s="8" t="s">
        <v>113</v>
      </c>
      <c r="B4" s="144" t="str">
        <f>VLOOKUP(A4,'The List'!B1:D730,3,FALSE)</f>
        <v>D</v>
      </c>
      <c r="C4" s="145">
        <f>IF(Settings!$E$15="POINTS",RANK(E4,E3:E229),H4)</f>
        <v>2</v>
      </c>
      <c r="D4" s="34" t="str">
        <f>VLOOKUP(A4,'The List'!B1:F730,5,FALSE)</f>
        <v>NSH</v>
      </c>
      <c r="E4" s="38">
        <f>VLOOKUP(A4,'The List'!B1:I730,8,FALSE)</f>
        <v>9.2616217428406955</v>
      </c>
      <c r="F4" s="38">
        <f>IF(Settings!$E$15="POINTS",E4-VLOOKUP(B$2,C1:E229,3,FALSE),J4)</f>
        <v>7.3198811992063852</v>
      </c>
      <c r="G4" s="38"/>
      <c r="H4" s="138">
        <f>RANK(I4,I3:I229)</f>
        <v>2</v>
      </c>
      <c r="I4" s="139">
        <f>VLOOKUP(A4,'Standard Deviations'!A1:C731,3,FALSE)</f>
        <v>9.2616217428406955</v>
      </c>
      <c r="J4" s="139">
        <f>I4-VLOOKUP(B$2,H1:J229,2,FALSE)</f>
        <v>7.3198811992063852</v>
      </c>
    </row>
    <row r="5" spans="1:10" ht="21.2" customHeight="1">
      <c r="A5" s="8" t="s">
        <v>119</v>
      </c>
      <c r="B5" s="144" t="str">
        <f>VLOOKUP(A5,'The List'!B1:D730,3,FALSE)</f>
        <v>D</v>
      </c>
      <c r="C5" s="145">
        <f>IF(Settings!$E$15="POINTS",RANK(E5,E3:E229),H5)</f>
        <v>3</v>
      </c>
      <c r="D5" s="34" t="str">
        <f>VLOOKUP(A5,'The List'!B1:F730,5,FALSE)</f>
        <v>PIT</v>
      </c>
      <c r="E5" s="38">
        <f>VLOOKUP(A5,'The List'!B1:I730,8,FALSE)</f>
        <v>8.8342976747292852</v>
      </c>
      <c r="F5" s="38">
        <f>IF(Settings!$E$15="POINTS",E5-VLOOKUP(B$2,C1:E229,3,FALSE),J5)</f>
        <v>6.8925571310949749</v>
      </c>
      <c r="G5" s="38"/>
      <c r="H5" s="138">
        <f>RANK(I5,I3:I229)</f>
        <v>3</v>
      </c>
      <c r="I5" s="139">
        <f>VLOOKUP(A5,'Standard Deviations'!A1:C731,3,FALSE)</f>
        <v>8.8342976747292852</v>
      </c>
      <c r="J5" s="139">
        <f>I5-VLOOKUP(B$2,H1:J229,2,FALSE)</f>
        <v>6.8925571310949749</v>
      </c>
    </row>
    <row r="6" spans="1:10" ht="21.2" customHeight="1">
      <c r="A6" s="8" t="s">
        <v>121</v>
      </c>
      <c r="B6" s="144" t="str">
        <f>VLOOKUP(A6,'The List'!B1:D730,3,FALSE)</f>
        <v>D</v>
      </c>
      <c r="C6" s="145">
        <f>IF(Settings!$E$15="POINTS",RANK(E6,E3:E229),H6)</f>
        <v>5</v>
      </c>
      <c r="D6" s="34" t="str">
        <f>VLOOKUP(A6,'The List'!B1:F730,5,FALSE)</f>
        <v>BUF</v>
      </c>
      <c r="E6" s="38">
        <f>VLOOKUP(A6,'The List'!B1:I730,8,FALSE)</f>
        <v>7.1925018774443874</v>
      </c>
      <c r="F6" s="38">
        <f>IF(Settings!$E$15="POINTS",E6-VLOOKUP(B$2,C1:E229,3,FALSE),J6)</f>
        <v>5.2507613338100771</v>
      </c>
      <c r="G6" s="38"/>
      <c r="H6" s="138">
        <f>RANK(I6,I3:I229)</f>
        <v>5</v>
      </c>
      <c r="I6" s="139">
        <f>VLOOKUP(A6,'Standard Deviations'!A1:C731,3,FALSE)</f>
        <v>7.1925018774443874</v>
      </c>
      <c r="J6" s="139">
        <f>I6-VLOOKUP(B$2,H1:J229,2,FALSE)</f>
        <v>5.2507613338100771</v>
      </c>
    </row>
    <row r="7" spans="1:10" ht="21.2" customHeight="1">
      <c r="A7" s="8" t="s">
        <v>122</v>
      </c>
      <c r="B7" s="144" t="str">
        <f>VLOOKUP(A7,'The List'!B1:D730,3,FALSE)</f>
        <v>D</v>
      </c>
      <c r="C7" s="145">
        <f>IF(Settings!$E$15="POINTS",RANK(E7,E3:E229),H7)</f>
        <v>4</v>
      </c>
      <c r="D7" s="34" t="str">
        <f>VLOOKUP(A7,'The List'!B1:F730,5,FALSE)</f>
        <v>NJD</v>
      </c>
      <c r="E7" s="38">
        <f>VLOOKUP(A7,'The List'!B1:I730,8,FALSE)</f>
        <v>7.4620068130550559</v>
      </c>
      <c r="F7" s="38">
        <f>IF(Settings!$E$15="POINTS",E7-VLOOKUP(B$2,C1:E229,3,FALSE),J7)</f>
        <v>5.5202662694207447</v>
      </c>
      <c r="G7" s="38"/>
      <c r="H7" s="138">
        <f>RANK(I7,I3:I229)</f>
        <v>4</v>
      </c>
      <c r="I7" s="139">
        <f>VLOOKUP(A7,'Standard Deviations'!A1:C731,3,FALSE)</f>
        <v>7.4620068130550559</v>
      </c>
      <c r="J7" s="139">
        <f>I7-VLOOKUP(B$2,H1:J229,2,FALSE)</f>
        <v>5.5202662694207447</v>
      </c>
    </row>
    <row r="8" spans="1:10" ht="21.2" customHeight="1">
      <c r="A8" s="8" t="s">
        <v>123</v>
      </c>
      <c r="B8" s="144" t="str">
        <f>VLOOKUP(A8,'The List'!B1:D730,3,FALSE)</f>
        <v>D</v>
      </c>
      <c r="C8" s="145">
        <f>IF(Settings!$E$15="POINTS",RANK(E8,E3:E229),H8)</f>
        <v>8</v>
      </c>
      <c r="D8" s="34" t="str">
        <f>VLOOKUP(A8,'The List'!B1:F730,5,FALSE)</f>
        <v>NYR</v>
      </c>
      <c r="E8" s="38">
        <f>VLOOKUP(A8,'The List'!B1:I730,8,FALSE)</f>
        <v>6.757821943977536</v>
      </c>
      <c r="F8" s="38">
        <f>IF(Settings!$E$15="POINTS",E8-VLOOKUP(B$2,C1:E229,3,FALSE),J8)</f>
        <v>4.8160814003432257</v>
      </c>
      <c r="G8" s="38"/>
      <c r="H8" s="138">
        <f>RANK(I8,I3:I229)</f>
        <v>8</v>
      </c>
      <c r="I8" s="139">
        <f>VLOOKUP(A8,'Standard Deviations'!A1:C731,3,FALSE)</f>
        <v>6.757821943977536</v>
      </c>
      <c r="J8" s="139">
        <f>I8-VLOOKUP(B$2,H1:J229,2,FALSE)</f>
        <v>4.8160814003432257</v>
      </c>
    </row>
    <row r="9" spans="1:10" ht="21.2" customHeight="1">
      <c r="A9" s="8" t="s">
        <v>124</v>
      </c>
      <c r="B9" s="144" t="str">
        <f>VLOOKUP(A9,'The List'!B1:D730,3,FALSE)</f>
        <v>D</v>
      </c>
      <c r="C9" s="145">
        <f>IF(Settings!$E$15="POINTS",RANK(E9,E3:E229),H9)</f>
        <v>6</v>
      </c>
      <c r="D9" s="34" t="str">
        <f>VLOOKUP(A9,'The List'!B1:F730,5,FALSE)</f>
        <v>DAL</v>
      </c>
      <c r="E9" s="38">
        <f>VLOOKUP(A9,'The List'!B1:I730,8,FALSE)</f>
        <v>7.0602215458269182</v>
      </c>
      <c r="F9" s="38">
        <f>IF(Settings!$E$15="POINTS",E9-VLOOKUP(B$2,C1:E229,3,FALSE),J9)</f>
        <v>5.1184810021926079</v>
      </c>
      <c r="G9" s="38"/>
      <c r="H9" s="138">
        <f>RANK(I9,I3:I229)</f>
        <v>6</v>
      </c>
      <c r="I9" s="139">
        <f>VLOOKUP(A9,'Standard Deviations'!A1:C731,3,FALSE)</f>
        <v>7.0602215458269182</v>
      </c>
      <c r="J9" s="139">
        <f>I9-VLOOKUP(B$2,H1:J229,2,FALSE)</f>
        <v>5.1184810021926079</v>
      </c>
    </row>
    <row r="10" spans="1:10" ht="21.2" customHeight="1">
      <c r="A10" s="8" t="s">
        <v>125</v>
      </c>
      <c r="B10" s="144" t="str">
        <f>VLOOKUP(A10,'The List'!B1:D730,3,FALSE)</f>
        <v>D</v>
      </c>
      <c r="C10" s="145">
        <f>IF(Settings!$E$15="POINTS",RANK(E10,E3:E229),H10)</f>
        <v>7</v>
      </c>
      <c r="D10" s="34" t="str">
        <f>VLOOKUP(A10,'The List'!B1:F730,5,FALSE)</f>
        <v>VAN</v>
      </c>
      <c r="E10" s="38">
        <f>VLOOKUP(A10,'The List'!B1:I730,8,FALSE)</f>
        <v>7.0361166303533178</v>
      </c>
      <c r="F10" s="38">
        <f>IF(Settings!$E$15="POINTS",E10-VLOOKUP(B$2,C1:E229,3,FALSE),J10)</f>
        <v>5.0943760867190075</v>
      </c>
      <c r="G10" s="38"/>
      <c r="H10" s="138">
        <f>RANK(I10,I3:I229)</f>
        <v>7</v>
      </c>
      <c r="I10" s="139">
        <f>VLOOKUP(A10,'Standard Deviations'!A1:C731,3,FALSE)</f>
        <v>7.0361166303533178</v>
      </c>
      <c r="J10" s="139">
        <f>I10-VLOOKUP(B$2,H1:J229,2,FALSE)</f>
        <v>5.0943760867190075</v>
      </c>
    </row>
    <row r="11" spans="1:10" ht="21.2" customHeight="1">
      <c r="A11" s="8" t="s">
        <v>126</v>
      </c>
      <c r="B11" s="144" t="str">
        <f>VLOOKUP(A11,'The List'!B1:D730,3,FALSE)</f>
        <v>D</v>
      </c>
      <c r="C11" s="145">
        <f>IF(Settings!$E$15="POINTS",RANK(E11,E3:E229),H11)</f>
        <v>9</v>
      </c>
      <c r="D11" s="34" t="str">
        <f>VLOOKUP(A11,'The List'!B1:F730,5,FALSE)</f>
        <v>EDM</v>
      </c>
      <c r="E11" s="38">
        <f>VLOOKUP(A11,'The List'!B1:I730,8,FALSE)</f>
        <v>6.3018294872998784</v>
      </c>
      <c r="F11" s="38">
        <f>IF(Settings!$E$15="POINTS",E11-VLOOKUP(B$2,C1:E229,3,FALSE),J11)</f>
        <v>4.3600889436655681</v>
      </c>
      <c r="G11" s="38"/>
      <c r="H11" s="138">
        <f>RANK(I11,I3:I229)</f>
        <v>9</v>
      </c>
      <c r="I11" s="139">
        <f>VLOOKUP(A11,'Standard Deviations'!A1:C731,3,FALSE)</f>
        <v>6.3018294872998784</v>
      </c>
      <c r="J11" s="139">
        <f>I11-VLOOKUP(B$2,H1:J229,2,FALSE)</f>
        <v>4.3600889436655681</v>
      </c>
    </row>
    <row r="12" spans="1:10" ht="21.2" customHeight="1">
      <c r="A12" s="8" t="s">
        <v>137</v>
      </c>
      <c r="B12" s="144" t="str">
        <f>VLOOKUP(A12,'The List'!B1:D730,3,FALSE)</f>
        <v>D</v>
      </c>
      <c r="C12" s="145">
        <f>IF(Settings!$E$15="POINTS",RANK(E12,E3:E229),H12)</f>
        <v>11</v>
      </c>
      <c r="D12" s="34" t="str">
        <f>VLOOKUP(A12,'The List'!B1:F730,5,FALSE)</f>
        <v>TBL</v>
      </c>
      <c r="E12" s="38">
        <f>VLOOKUP(A12,'The List'!B1:I730,8,FALSE)</f>
        <v>5.2490957276978873</v>
      </c>
      <c r="F12" s="38">
        <f>IF(Settings!$E$15="POINTS",E12-VLOOKUP(B$2,C1:E229,3,FALSE),J12)</f>
        <v>3.3073551840635766</v>
      </c>
      <c r="G12" s="38"/>
      <c r="H12" s="138">
        <f>RANK(I12,I3:I229)</f>
        <v>11</v>
      </c>
      <c r="I12" s="139">
        <f>VLOOKUP(A12,'Standard Deviations'!A1:C731,3,FALSE)</f>
        <v>5.2490957276978873</v>
      </c>
      <c r="J12" s="139">
        <f>I12-VLOOKUP(B$2,H1:J229,2,FALSE)</f>
        <v>3.3073551840635766</v>
      </c>
    </row>
    <row r="13" spans="1:10" ht="21.2" customHeight="1">
      <c r="A13" s="8" t="s">
        <v>143</v>
      </c>
      <c r="B13" s="144" t="str">
        <f>VLOOKUP(A13,'The List'!B1:D730,3,FALSE)</f>
        <v>D</v>
      </c>
      <c r="C13" s="145">
        <f>IF(Settings!$E$15="POINTS",RANK(E13,E3:E229),H13)</f>
        <v>16</v>
      </c>
      <c r="D13" s="34" t="str">
        <f>VLOOKUP(A13,'The List'!B1:F730,5,FALSE)</f>
        <v>DET</v>
      </c>
      <c r="E13" s="38">
        <f>VLOOKUP(A13,'The List'!B1:I730,8,FALSE)</f>
        <v>4.0366632536687916</v>
      </c>
      <c r="F13" s="38">
        <f>IF(Settings!$E$15="POINTS",E13-VLOOKUP(B$2,C1:E229,3,FALSE),J13)</f>
        <v>2.0949227100344809</v>
      </c>
      <c r="G13" s="38"/>
      <c r="H13" s="138">
        <f>RANK(I13,I3:I229)</f>
        <v>16</v>
      </c>
      <c r="I13" s="139">
        <f>VLOOKUP(A13,'Standard Deviations'!A1:C731,3,FALSE)</f>
        <v>4.0366632536687916</v>
      </c>
      <c r="J13" s="139">
        <f>I13-VLOOKUP(B$2,H1:J229,2,FALSE)</f>
        <v>2.0949227100344809</v>
      </c>
    </row>
    <row r="14" spans="1:10" ht="21.2" customHeight="1">
      <c r="A14" s="8" t="s">
        <v>151</v>
      </c>
      <c r="B14" s="144" t="str">
        <f>VLOOKUP(A14,'The List'!B1:D730,3,FALSE)</f>
        <v>D</v>
      </c>
      <c r="C14" s="145">
        <f>IF(Settings!$E$15="POINTS",RANK(E14,E3:E229),H14)</f>
        <v>12</v>
      </c>
      <c r="D14" s="34" t="str">
        <f>VLOOKUP(A14,'The List'!B1:F730,5,FALSE)</f>
        <v>WPG</v>
      </c>
      <c r="E14" s="38">
        <f>VLOOKUP(A14,'The List'!B1:I730,8,FALSE)</f>
        <v>4.8684555231433269</v>
      </c>
      <c r="F14" s="38">
        <f>IF(Settings!$E$15="POINTS",E14-VLOOKUP(B$2,C1:E229,3,FALSE),J14)</f>
        <v>2.9267149795090162</v>
      </c>
      <c r="G14" s="38"/>
      <c r="H14" s="138">
        <f>RANK(I14,I3:I229)</f>
        <v>12</v>
      </c>
      <c r="I14" s="139">
        <f>VLOOKUP(A14,'Standard Deviations'!A1:C731,3,FALSE)</f>
        <v>4.8684555231433269</v>
      </c>
      <c r="J14" s="139">
        <f>I14-VLOOKUP(B$2,H1:J229,2,FALSE)</f>
        <v>2.9267149795090162</v>
      </c>
    </row>
    <row r="15" spans="1:10" ht="21.2" customHeight="1">
      <c r="A15" s="8" t="s">
        <v>155</v>
      </c>
      <c r="B15" s="144" t="str">
        <f>VLOOKUP(A15,'The List'!B1:D730,3,FALSE)</f>
        <v>D</v>
      </c>
      <c r="C15" s="145">
        <f>IF(Settings!$E$15="POINTS",RANK(E15,E3:E229),H15)</f>
        <v>15</v>
      </c>
      <c r="D15" s="34" t="str">
        <f>VLOOKUP(A15,'The List'!B1:F730,5,FALSE)</f>
        <v>TBL</v>
      </c>
      <c r="E15" s="38">
        <f>VLOOKUP(A15,'The List'!B1:I730,8,FALSE)</f>
        <v>4.1230926761332718</v>
      </c>
      <c r="F15" s="38">
        <f>IF(Settings!$E$15="POINTS",E15-VLOOKUP(B$2,C1:E229,3,FALSE),J15)</f>
        <v>2.1813521324989611</v>
      </c>
      <c r="G15" s="38"/>
      <c r="H15" s="138">
        <f>RANK(I15,I3:I229)</f>
        <v>15</v>
      </c>
      <c r="I15" s="139">
        <f>VLOOKUP(A15,'Standard Deviations'!A1:C731,3,FALSE)</f>
        <v>4.1230926761332718</v>
      </c>
      <c r="J15" s="139">
        <f>I15-VLOOKUP(B$2,H1:J229,2,FALSE)</f>
        <v>2.1813521324989611</v>
      </c>
    </row>
    <row r="16" spans="1:10" ht="21.2" customHeight="1">
      <c r="A16" s="8" t="s">
        <v>161</v>
      </c>
      <c r="B16" s="144" t="str">
        <f>VLOOKUP(A16,'The List'!B1:D730,3,FALSE)</f>
        <v>D</v>
      </c>
      <c r="C16" s="145">
        <f>IF(Settings!$E$15="POINTS",RANK(E16,E3:E229),H16)</f>
        <v>10</v>
      </c>
      <c r="D16" s="34" t="str">
        <f>VLOOKUP(A16,'The List'!B1:F730,5,FALSE)</f>
        <v>FLA</v>
      </c>
      <c r="E16" s="38">
        <f>VLOOKUP(A16,'The List'!B1:I730,8,FALSE)</f>
        <v>6.256987505803548</v>
      </c>
      <c r="F16" s="38">
        <f>IF(Settings!$E$15="POINTS",E16-VLOOKUP(B$2,C1:E229,3,FALSE),J16)</f>
        <v>4.3152469621692369</v>
      </c>
      <c r="G16" s="38"/>
      <c r="H16" s="138">
        <f>RANK(I16,I3:I229)</f>
        <v>10</v>
      </c>
      <c r="I16" s="139">
        <f>VLOOKUP(A16,'Standard Deviations'!A1:C731,3,FALSE)</f>
        <v>6.256987505803548</v>
      </c>
      <c r="J16" s="139">
        <f>I16-VLOOKUP(B$2,H1:J229,2,FALSE)</f>
        <v>4.3152469621692369</v>
      </c>
    </row>
    <row r="17" spans="1:10" ht="21.2" customHeight="1">
      <c r="A17" s="8" t="s">
        <v>165</v>
      </c>
      <c r="B17" s="144" t="str">
        <f>VLOOKUP(A17,'The List'!B1:D730,3,FALSE)</f>
        <v>D</v>
      </c>
      <c r="C17" s="145">
        <f>IF(Settings!$E$15="POINTS",RANK(E17,E3:E229),H17)</f>
        <v>20</v>
      </c>
      <c r="D17" s="34" t="str">
        <f>VLOOKUP(A17,'The List'!B1:F730,5,FALSE)</f>
        <v>CAR</v>
      </c>
      <c r="E17" s="38">
        <f>VLOOKUP(A17,'The List'!B1:I730,8,FALSE)</f>
        <v>3.5395878426656182</v>
      </c>
      <c r="F17" s="38">
        <f>IF(Settings!$E$15="POINTS",E17-VLOOKUP(B$2,C1:E229,3,FALSE),J17)</f>
        <v>1.5978472990313075</v>
      </c>
      <c r="G17" s="38"/>
      <c r="H17" s="138">
        <f>RANK(I17,I3:I229)</f>
        <v>20</v>
      </c>
      <c r="I17" s="139">
        <f>VLOOKUP(A17,'Standard Deviations'!A1:C731,3,FALSE)</f>
        <v>3.5395878426656182</v>
      </c>
      <c r="J17" s="139">
        <f>I17-VLOOKUP(B$2,H1:J229,2,FALSE)</f>
        <v>1.5978472990313075</v>
      </c>
    </row>
    <row r="18" spans="1:10" ht="21.2" customHeight="1">
      <c r="A18" s="8" t="s">
        <v>167</v>
      </c>
      <c r="B18" s="144" t="str">
        <f>VLOOKUP(A18,'The List'!B1:D730,3,FALSE)</f>
        <v>D</v>
      </c>
      <c r="C18" s="145">
        <f>IF(Settings!$E$15="POINTS",RANK(E18,E3:E229),H18)</f>
        <v>18</v>
      </c>
      <c r="D18" s="34" t="str">
        <f>VLOOKUP(A18,'The List'!B1:F730,5,FALSE)</f>
        <v>BOS</v>
      </c>
      <c r="E18" s="38">
        <f>VLOOKUP(A18,'The List'!B1:I730,8,FALSE)</f>
        <v>3.8650349353748927</v>
      </c>
      <c r="F18" s="38">
        <f>IF(Settings!$E$15="POINTS",E18-VLOOKUP(B$2,C1:E229,3,FALSE),J18)</f>
        <v>1.923294391740582</v>
      </c>
      <c r="G18" s="38"/>
      <c r="H18" s="138">
        <f>RANK(I18,I3:I229)</f>
        <v>18</v>
      </c>
      <c r="I18" s="139">
        <f>VLOOKUP(A18,'Standard Deviations'!A1:C731,3,FALSE)</f>
        <v>3.8650349353748927</v>
      </c>
      <c r="J18" s="139">
        <f>I18-VLOOKUP(B$2,H1:J229,2,FALSE)</f>
        <v>1.923294391740582</v>
      </c>
    </row>
    <row r="19" spans="1:10" ht="21.2" customHeight="1">
      <c r="A19" s="8" t="s">
        <v>168</v>
      </c>
      <c r="B19" s="144" t="str">
        <f>VLOOKUP(A19,'The List'!B1:D730,3,FALSE)</f>
        <v>D</v>
      </c>
      <c r="C19" s="145">
        <f>IF(Settings!$E$15="POINTS",RANK(E19,E3:E229),H19)</f>
        <v>13</v>
      </c>
      <c r="D19" s="34" t="str">
        <f>VLOOKUP(A19,'The List'!B1:F730,5,FALSE)</f>
        <v>WSH</v>
      </c>
      <c r="E19" s="38">
        <f>VLOOKUP(A19,'The List'!B1:I730,8,FALSE)</f>
        <v>4.6992128676319442</v>
      </c>
      <c r="F19" s="38">
        <f>IF(Settings!$E$15="POINTS",E19-VLOOKUP(B$2,C1:E229,3,FALSE),J19)</f>
        <v>2.7574723239976335</v>
      </c>
      <c r="G19" s="38"/>
      <c r="H19" s="138">
        <f>RANK(I19,I3:I229)</f>
        <v>13</v>
      </c>
      <c r="I19" s="139">
        <f>VLOOKUP(A19,'Standard Deviations'!A1:C731,3,FALSE)</f>
        <v>4.6992128676319442</v>
      </c>
      <c r="J19" s="139">
        <f>I19-VLOOKUP(B$2,H1:J229,2,FALSE)</f>
        <v>2.7574723239976335</v>
      </c>
    </row>
    <row r="20" spans="1:10" ht="21.2" customHeight="1">
      <c r="A20" s="8" t="s">
        <v>169</v>
      </c>
      <c r="B20" s="144" t="str">
        <f>VLOOKUP(A20,'The List'!B1:D730,3,FALSE)</f>
        <v>D</v>
      </c>
      <c r="C20" s="145">
        <f>IF(Settings!$E$15="POINTS",RANK(E20,E3:E229),H20)</f>
        <v>19</v>
      </c>
      <c r="D20" s="34" t="str">
        <f>VLOOKUP(A20,'The List'!B1:F730,5,FALSE)</f>
        <v>NYI</v>
      </c>
      <c r="E20" s="38">
        <f>VLOOKUP(A20,'The List'!B1:I730,8,FALSE)</f>
        <v>3.7172860755612769</v>
      </c>
      <c r="F20" s="38">
        <f>IF(Settings!$E$15="POINTS",E20-VLOOKUP(B$2,C1:E229,3,FALSE),J20)</f>
        <v>1.7755455319269662</v>
      </c>
      <c r="G20" s="38"/>
      <c r="H20" s="138">
        <f>RANK(I20,I3:I229)</f>
        <v>19</v>
      </c>
      <c r="I20" s="139">
        <f>VLOOKUP(A20,'Standard Deviations'!A1:C731,3,FALSE)</f>
        <v>3.7172860755612769</v>
      </c>
      <c r="J20" s="139">
        <f>I20-VLOOKUP(B$2,H1:J229,2,FALSE)</f>
        <v>1.7755455319269662</v>
      </c>
    </row>
    <row r="21" spans="1:10" ht="21.2" customHeight="1">
      <c r="A21" s="8" t="s">
        <v>171</v>
      </c>
      <c r="B21" s="144" t="str">
        <f>VLOOKUP(A21,'The List'!B1:D730,3,FALSE)</f>
        <v>D</v>
      </c>
      <c r="C21" s="145">
        <f>IF(Settings!$E$15="POINTS",RANK(E21,E3:E229),H21)</f>
        <v>23</v>
      </c>
      <c r="D21" s="34" t="str">
        <f>VLOOKUP(A21,'The List'!B1:F730,5,FALSE)</f>
        <v>CHI</v>
      </c>
      <c r="E21" s="38">
        <f>VLOOKUP(A21,'The List'!B1:I730,8,FALSE)</f>
        <v>3.1780942166383763</v>
      </c>
      <c r="F21" s="38">
        <f>IF(Settings!$E$15="POINTS",E21-VLOOKUP(B$2,C1:E229,3,FALSE),J21)</f>
        <v>1.2363536730040656</v>
      </c>
      <c r="G21" s="38"/>
      <c r="H21" s="138">
        <f>RANK(I21,I3:I229)</f>
        <v>23</v>
      </c>
      <c r="I21" s="139">
        <f>VLOOKUP(A21,'Standard Deviations'!A1:C731,3,FALSE)</f>
        <v>3.1780942166383763</v>
      </c>
      <c r="J21" s="139">
        <f>I21-VLOOKUP(B$2,H1:J229,2,FALSE)</f>
        <v>1.2363536730040656</v>
      </c>
    </row>
    <row r="22" spans="1:10" ht="21.2" customHeight="1">
      <c r="A22" s="8" t="s">
        <v>177</v>
      </c>
      <c r="B22" s="144" t="str">
        <f>VLOOKUP(A22,'The List'!B1:D730,3,FALSE)</f>
        <v>D</v>
      </c>
      <c r="C22" s="145">
        <f>IF(Settings!$E$15="POINTS",RANK(E22,E3:E229),H22)</f>
        <v>17</v>
      </c>
      <c r="D22" s="34" t="str">
        <f>VLOOKUP(A22,'The List'!B1:F730,5,FALSE)</f>
        <v>VGK</v>
      </c>
      <c r="E22" s="38">
        <f>VLOOKUP(A22,'The List'!B1:I730,8,FALSE)</f>
        <v>3.9753189860102234</v>
      </c>
      <c r="F22" s="38">
        <f>IF(Settings!$E$15="POINTS",E22-VLOOKUP(B$2,C1:E229,3,FALSE),J22)</f>
        <v>2.0335784423759127</v>
      </c>
      <c r="G22" s="38"/>
      <c r="H22" s="138">
        <f>RANK(I22,I3:I229)</f>
        <v>17</v>
      </c>
      <c r="I22" s="139">
        <f>VLOOKUP(A22,'Standard Deviations'!A1:C731,3,FALSE)</f>
        <v>3.9753189860102234</v>
      </c>
      <c r="J22" s="139">
        <f>I22-VLOOKUP(B$2,H1:J229,2,FALSE)</f>
        <v>2.0335784423759127</v>
      </c>
    </row>
    <row r="23" spans="1:10" ht="21.2" customHeight="1">
      <c r="A23" s="8" t="s">
        <v>180</v>
      </c>
      <c r="B23" s="144" t="str">
        <f>VLOOKUP(A23,'The List'!B1:D730,3,FALSE)</f>
        <v>D</v>
      </c>
      <c r="C23" s="145">
        <f>IF(Settings!$E$15="POINTS",RANK(E23,E3:E229),H23)</f>
        <v>14</v>
      </c>
      <c r="D23" s="34" t="str">
        <f>VLOOKUP(A23,'The List'!B1:F730,5,FALSE)</f>
        <v>CBJ</v>
      </c>
      <c r="E23" s="38">
        <f>VLOOKUP(A23,'The List'!B1:I730,8,FALSE)</f>
        <v>4.5400515332521438</v>
      </c>
      <c r="F23" s="38">
        <f>IF(Settings!$E$15="POINTS",E23-VLOOKUP(B$2,C1:E229,3,FALSE),J23)</f>
        <v>2.5983109896178331</v>
      </c>
      <c r="G23" s="38"/>
      <c r="H23" s="138">
        <f>RANK(I23,I3:I229)</f>
        <v>14</v>
      </c>
      <c r="I23" s="139">
        <f>VLOOKUP(A23,'Standard Deviations'!A1:C731,3,FALSE)</f>
        <v>4.5400515332521438</v>
      </c>
      <c r="J23" s="139">
        <f>I23-VLOOKUP(B$2,H1:J229,2,FALSE)</f>
        <v>2.5983109896178331</v>
      </c>
    </row>
    <row r="24" spans="1:10" ht="21.2" customHeight="1">
      <c r="A24" s="8" t="s">
        <v>182</v>
      </c>
      <c r="B24" s="144" t="str">
        <f>VLOOKUP(A24,'The List'!B1:D730,3,FALSE)</f>
        <v>D</v>
      </c>
      <c r="C24" s="145">
        <f>IF(Settings!$E$15="POINTS",RANK(E24,E3:E229),H24)</f>
        <v>26</v>
      </c>
      <c r="D24" s="34" t="str">
        <f>VLOOKUP(A24,'The List'!B1:F730,5,FALSE)</f>
        <v>CGY</v>
      </c>
      <c r="E24" s="38">
        <f>VLOOKUP(A24,'The List'!B1:I730,8,FALSE)</f>
        <v>2.9187384347788039</v>
      </c>
      <c r="F24" s="38">
        <f>IF(Settings!$E$15="POINTS",E24-VLOOKUP(B$2,C1:E229,3,FALSE),J24)</f>
        <v>0.9769978911444932</v>
      </c>
      <c r="G24" s="38"/>
      <c r="H24" s="138">
        <f>RANK(I24,I3:I229)</f>
        <v>26</v>
      </c>
      <c r="I24" s="139">
        <f>VLOOKUP(A24,'Standard Deviations'!A1:C731,3,FALSE)</f>
        <v>2.9187384347788039</v>
      </c>
      <c r="J24" s="139">
        <f>I24-VLOOKUP(B$2,H1:J229,2,FALSE)</f>
        <v>0.9769978911444932</v>
      </c>
    </row>
    <row r="25" spans="1:10" ht="21.2" customHeight="1">
      <c r="A25" s="8" t="s">
        <v>183</v>
      </c>
      <c r="B25" s="144" t="str">
        <f>VLOOKUP(A25,'The List'!B1:D730,3,FALSE)</f>
        <v>D</v>
      </c>
      <c r="C25" s="145">
        <f>IF(Settings!$E$15="POINTS",RANK(E25,E3:E229),H25)</f>
        <v>28</v>
      </c>
      <c r="D25" s="34" t="str">
        <f>VLOOKUP(A25,'The List'!B1:F730,5,FALSE)</f>
        <v>VGK</v>
      </c>
      <c r="E25" s="38">
        <f>VLOOKUP(A25,'The List'!B1:I730,8,FALSE)</f>
        <v>2.6590856762594255</v>
      </c>
      <c r="F25" s="38">
        <f>IF(Settings!$E$15="POINTS",E25-VLOOKUP(B$2,C1:E229,3,FALSE),J25)</f>
        <v>0.71734513262511479</v>
      </c>
      <c r="G25" s="38"/>
      <c r="H25" s="138">
        <f>RANK(I25,I3:I229)</f>
        <v>28</v>
      </c>
      <c r="I25" s="139">
        <f>VLOOKUP(A25,'Standard Deviations'!A1:C731,3,FALSE)</f>
        <v>2.6590856762594255</v>
      </c>
      <c r="J25" s="139">
        <f>I25-VLOOKUP(B$2,H1:J229,2,FALSE)</f>
        <v>0.71734513262511479</v>
      </c>
    </row>
    <row r="26" spans="1:10" ht="21.2" customHeight="1">
      <c r="A26" s="8" t="s">
        <v>184</v>
      </c>
      <c r="B26" s="144" t="str">
        <f>VLOOKUP(A26,'The List'!B1:D730,3,FALSE)</f>
        <v>D</v>
      </c>
      <c r="C26" s="145">
        <f>IF(Settings!$E$15="POINTS",RANK(E26,E3:E229),H26)</f>
        <v>22</v>
      </c>
      <c r="D26" s="34" t="str">
        <f>VLOOKUP(A26,'The List'!B1:F730,5,FALSE)</f>
        <v>TOR</v>
      </c>
      <c r="E26" s="38">
        <f>VLOOKUP(A26,'The List'!B1:I730,8,FALSE)</f>
        <v>3.3250194656346799</v>
      </c>
      <c r="F26" s="38">
        <f>IF(Settings!$E$15="POINTS",E26-VLOOKUP(B$2,C1:E229,3,FALSE),J26)</f>
        <v>1.3832789220003692</v>
      </c>
      <c r="G26" s="38"/>
      <c r="H26" s="138">
        <f>RANK(I26,I3:I229)</f>
        <v>22</v>
      </c>
      <c r="I26" s="139">
        <f>VLOOKUP(A26,'Standard Deviations'!A1:C731,3,FALSE)</f>
        <v>3.3250194656346799</v>
      </c>
      <c r="J26" s="139">
        <f>I26-VLOOKUP(B$2,H1:J229,2,FALSE)</f>
        <v>1.3832789220003692</v>
      </c>
    </row>
    <row r="27" spans="1:10" ht="21.2" customHeight="1">
      <c r="A27" s="8" t="s">
        <v>192</v>
      </c>
      <c r="B27" s="144" t="str">
        <f>VLOOKUP(A27,'The List'!B1:D730,3,FALSE)</f>
        <v>D</v>
      </c>
      <c r="C27" s="145">
        <f>IF(Settings!$E$15="POINTS",RANK(E27,E3:E229),H27)</f>
        <v>21</v>
      </c>
      <c r="D27" s="34" t="str">
        <f>VLOOKUP(A27,'The List'!B1:F730,5,FALSE)</f>
        <v>SEA</v>
      </c>
      <c r="E27" s="38">
        <f>VLOOKUP(A27,'The List'!B1:I730,8,FALSE)</f>
        <v>3.3848675562621415</v>
      </c>
      <c r="F27" s="38">
        <f>IF(Settings!$E$15="POINTS",E27-VLOOKUP(B$2,C1:E229,3,FALSE),J27)</f>
        <v>1.4431270126278308</v>
      </c>
      <c r="G27" s="38"/>
      <c r="H27" s="138">
        <f>RANK(I27,I3:I229)</f>
        <v>21</v>
      </c>
      <c r="I27" s="139">
        <f>VLOOKUP(A27,'Standard Deviations'!A1:C731,3,FALSE)</f>
        <v>3.3848675562621415</v>
      </c>
      <c r="J27" s="139">
        <f>I27-VLOOKUP(B$2,H1:J229,2,FALSE)</f>
        <v>1.4431270126278308</v>
      </c>
    </row>
    <row r="28" spans="1:10" ht="21.2" customHeight="1">
      <c r="A28" s="8" t="s">
        <v>193</v>
      </c>
      <c r="B28" s="144" t="str">
        <f>VLOOKUP(A28,'The List'!B1:D730,3,FALSE)</f>
        <v>D</v>
      </c>
      <c r="C28" s="145">
        <f>IF(Settings!$E$15="POINTS",RANK(E28,E3:E229),H28)</f>
        <v>25</v>
      </c>
      <c r="D28" s="34" t="str">
        <f>VLOOKUP(A28,'The List'!B1:F730,5,FALSE)</f>
        <v>PIT</v>
      </c>
      <c r="E28" s="38">
        <f>VLOOKUP(A28,'The List'!B1:I730,8,FALSE)</f>
        <v>3.0143248864281311</v>
      </c>
      <c r="F28" s="38">
        <f>IF(Settings!$E$15="POINTS",E28-VLOOKUP(B$2,C1:E229,3,FALSE),J28)</f>
        <v>1.0725843427938204</v>
      </c>
      <c r="G28" s="38"/>
      <c r="H28" s="138">
        <f>RANK(I28,I3:I229)</f>
        <v>25</v>
      </c>
      <c r="I28" s="139">
        <f>VLOOKUP(A28,'Standard Deviations'!A1:C731,3,FALSE)</f>
        <v>3.0143248864281311</v>
      </c>
      <c r="J28" s="139">
        <f>I28-VLOOKUP(B$2,H1:J229,2,FALSE)</f>
        <v>1.0725843427938204</v>
      </c>
    </row>
    <row r="29" spans="1:10" ht="21.2" customHeight="1">
      <c r="A29" s="8" t="s">
        <v>209</v>
      </c>
      <c r="B29" s="144" t="str">
        <f>VLOOKUP(A29,'The List'!B1:D730,3,FALSE)</f>
        <v>D</v>
      </c>
      <c r="C29" s="145">
        <f>IF(Settings!$E$15="POINTS",RANK(E29,E3:E229),H29)</f>
        <v>24</v>
      </c>
      <c r="D29" s="34" t="str">
        <f>VLOOKUP(A29,'The List'!B1:F730,5,FALSE)</f>
        <v>LAK</v>
      </c>
      <c r="E29" s="38">
        <f>VLOOKUP(A29,'The List'!B1:I730,8,FALSE)</f>
        <v>3.136423936035897</v>
      </c>
      <c r="F29" s="38">
        <f>IF(Settings!$E$15="POINTS",E29-VLOOKUP(B$2,C1:E229,3,FALSE),J29)</f>
        <v>1.1946833924015863</v>
      </c>
      <c r="G29" s="38"/>
      <c r="H29" s="138">
        <f>RANK(I29,I3:I229)</f>
        <v>24</v>
      </c>
      <c r="I29" s="139">
        <f>VLOOKUP(A29,'Standard Deviations'!A1:C731,3,FALSE)</f>
        <v>3.136423936035897</v>
      </c>
      <c r="J29" s="139">
        <f>I29-VLOOKUP(B$2,H1:J229,2,FALSE)</f>
        <v>1.1946833924015863</v>
      </c>
    </row>
    <row r="30" spans="1:10" ht="21.2" customHeight="1">
      <c r="A30" s="8" t="s">
        <v>210</v>
      </c>
      <c r="B30" s="144" t="str">
        <f>VLOOKUP(A30,'The List'!B1:D730,3,FALSE)</f>
        <v>D</v>
      </c>
      <c r="C30" s="145">
        <f>IF(Settings!$E$15="POINTS",RANK(E30,E3:E229),H30)</f>
        <v>37</v>
      </c>
      <c r="D30" s="34" t="str">
        <f>VLOOKUP(A30,'The List'!B1:F730,5,FALSE)</f>
        <v>STL</v>
      </c>
      <c r="E30" s="38">
        <f>VLOOKUP(A30,'The List'!B1:I730,8,FALSE)</f>
        <v>1.8653500083398147</v>
      </c>
      <c r="F30" s="38">
        <f>IF(Settings!$E$15="POINTS",E30-VLOOKUP(B$2,C1:E229,3,FALSE),J30)</f>
        <v>-7.639053529449602E-2</v>
      </c>
      <c r="G30" s="38"/>
      <c r="H30" s="138">
        <f>RANK(I30,I3:I229)</f>
        <v>37</v>
      </c>
      <c r="I30" s="139">
        <f>VLOOKUP(A30,'Standard Deviations'!A1:C731,3,FALSE)</f>
        <v>1.8653500083398147</v>
      </c>
      <c r="J30" s="139">
        <f>I30-VLOOKUP(B$2,H1:J229,2,FALSE)</f>
        <v>-7.639053529449602E-2</v>
      </c>
    </row>
    <row r="31" spans="1:10" ht="21.2" customHeight="1">
      <c r="A31" s="8" t="s">
        <v>213</v>
      </c>
      <c r="B31" s="144" t="str">
        <f>VLOOKUP(A31,'The List'!B1:D730,3,FALSE)</f>
        <v>D</v>
      </c>
      <c r="C31" s="145">
        <f>IF(Settings!$E$15="POINTS",RANK(E31,E3:E229),H31)</f>
        <v>27</v>
      </c>
      <c r="D31" s="34" t="str">
        <f>VLOOKUP(A31,'The List'!B1:F730,5,FALSE)</f>
        <v>OTT</v>
      </c>
      <c r="E31" s="38">
        <f>VLOOKUP(A31,'The List'!B1:I730,8,FALSE)</f>
        <v>2.7360670159639824</v>
      </c>
      <c r="F31" s="38">
        <f>IF(Settings!$E$15="POINTS",E31-VLOOKUP(B$2,C1:E229,3,FALSE),J31)</f>
        <v>0.79432647232967168</v>
      </c>
      <c r="G31" s="38"/>
      <c r="H31" s="138">
        <f>RANK(I31,I3:I229)</f>
        <v>27</v>
      </c>
      <c r="I31" s="139">
        <f>VLOOKUP(A31,'Standard Deviations'!A1:C731,3,FALSE)</f>
        <v>2.7360670159639824</v>
      </c>
      <c r="J31" s="139">
        <f>I31-VLOOKUP(B$2,H1:J229,2,FALSE)</f>
        <v>0.79432647232967168</v>
      </c>
    </row>
    <row r="32" spans="1:10" ht="21.2" customHeight="1">
      <c r="A32" s="8" t="s">
        <v>214</v>
      </c>
      <c r="B32" s="144" t="str">
        <f>VLOOKUP(A32,'The List'!B1:D730,3,FALSE)</f>
        <v>D</v>
      </c>
      <c r="C32" s="145">
        <f>IF(Settings!$E$15="POINTS",RANK(E32,E3:E229),H32)</f>
        <v>35</v>
      </c>
      <c r="D32" s="34" t="str">
        <f>VLOOKUP(A32,'The List'!B1:F730,5,FALSE)</f>
        <v>COL</v>
      </c>
      <c r="E32" s="38">
        <f>VLOOKUP(A32,'The List'!B1:I730,8,FALSE)</f>
        <v>1.9397036480731769</v>
      </c>
      <c r="F32" s="38">
        <f>IF(Settings!$E$15="POINTS",E32-VLOOKUP(B$2,C1:E229,3,FALSE),J32)</f>
        <v>-2.0368955611338446E-3</v>
      </c>
      <c r="G32" s="38"/>
      <c r="H32" s="138">
        <f>RANK(I32,I3:I229)</f>
        <v>35</v>
      </c>
      <c r="I32" s="139">
        <f>VLOOKUP(A32,'Standard Deviations'!A1:C731,3,FALSE)</f>
        <v>1.9397036480731769</v>
      </c>
      <c r="J32" s="139">
        <f>I32-VLOOKUP(B$2,H1:J229,2,FALSE)</f>
        <v>-2.0368955611338446E-3</v>
      </c>
    </row>
    <row r="33" spans="1:10" ht="21.2" customHeight="1">
      <c r="A33" s="8" t="s">
        <v>216</v>
      </c>
      <c r="B33" s="144" t="str">
        <f>VLOOKUP(A33,'The List'!B1:D730,3,FALSE)</f>
        <v>D</v>
      </c>
      <c r="C33" s="145">
        <f>IF(Settings!$E$15="POINTS",RANK(E33,E3:E229),H33)</f>
        <v>32</v>
      </c>
      <c r="D33" s="34" t="str">
        <f>VLOOKUP(A33,'The List'!B1:F730,5,FALSE)</f>
        <v>ANA</v>
      </c>
      <c r="E33" s="38">
        <f>VLOOKUP(A33,'The List'!B1:I730,8,FALSE)</f>
        <v>2.1004180628144611</v>
      </c>
      <c r="F33" s="38">
        <f>IF(Settings!$E$15="POINTS",E33-VLOOKUP(B$2,C1:E229,3,FALSE),J33)</f>
        <v>0.15867751918015038</v>
      </c>
      <c r="G33" s="38"/>
      <c r="H33" s="138">
        <f>RANK(I33,I3:I229)</f>
        <v>32</v>
      </c>
      <c r="I33" s="139">
        <f>VLOOKUP(A33,'Standard Deviations'!A1:C731,3,FALSE)</f>
        <v>2.1004180628144611</v>
      </c>
      <c r="J33" s="139">
        <f>I33-VLOOKUP(B$2,H1:J229,2,FALSE)</f>
        <v>0.15867751918015038</v>
      </c>
    </row>
    <row r="34" spans="1:10" ht="21.2" customHeight="1">
      <c r="A34" s="8" t="s">
        <v>219</v>
      </c>
      <c r="B34" s="144" t="str">
        <f>VLOOKUP(A34,'The List'!B1:D730,3,FALSE)</f>
        <v>D</v>
      </c>
      <c r="C34" s="145">
        <f>IF(Settings!$E$15="POINTS",RANK(E34,E3:E229),H34)</f>
        <v>31</v>
      </c>
      <c r="D34" s="34" t="str">
        <f>VLOOKUP(A34,'The List'!B1:F730,5,FALSE)</f>
        <v>ARI</v>
      </c>
      <c r="E34" s="38">
        <f>VLOOKUP(A34,'The List'!B1:I730,8,FALSE)</f>
        <v>2.2981287010375118</v>
      </c>
      <c r="F34" s="38">
        <f>IF(Settings!$E$15="POINTS",E34-VLOOKUP(B$2,C1:E229,3,FALSE),J34)</f>
        <v>0.35638815740320107</v>
      </c>
      <c r="G34" s="38"/>
      <c r="H34" s="138">
        <f>RANK(I34,I3:I229)</f>
        <v>31</v>
      </c>
      <c r="I34" s="139">
        <f>VLOOKUP(A34,'Standard Deviations'!A1:C731,3,FALSE)</f>
        <v>2.2981287010375118</v>
      </c>
      <c r="J34" s="139">
        <f>I34-VLOOKUP(B$2,H1:J229,2,FALSE)</f>
        <v>0.35638815740320107</v>
      </c>
    </row>
    <row r="35" spans="1:10" ht="21.2" customHeight="1">
      <c r="A35" s="8" t="s">
        <v>220</v>
      </c>
      <c r="B35" s="144" t="str">
        <f>VLOOKUP(A35,'The List'!B1:D730,3,FALSE)</f>
        <v>D</v>
      </c>
      <c r="C35" s="145">
        <f>IF(Settings!$E$15="POINTS",RANK(E35,E3:E229),H35)</f>
        <v>30</v>
      </c>
      <c r="D35" s="34" t="str">
        <f>VLOOKUP(A35,'The List'!B1:F730,5,FALSE)</f>
        <v>MTL</v>
      </c>
      <c r="E35" s="38">
        <f>VLOOKUP(A35,'The List'!B1:I730,8,FALSE)</f>
        <v>2.5247274265116011</v>
      </c>
      <c r="F35" s="38">
        <f>IF(Settings!$E$15="POINTS",E35-VLOOKUP(B$2,C1:E229,3,FALSE),J35)</f>
        <v>0.58298688287729039</v>
      </c>
      <c r="G35" s="38"/>
      <c r="H35" s="138">
        <f>RANK(I35,I3:I229)</f>
        <v>30</v>
      </c>
      <c r="I35" s="139">
        <f>VLOOKUP(A35,'Standard Deviations'!A1:C731,3,FALSE)</f>
        <v>2.5247274265116011</v>
      </c>
      <c r="J35" s="139">
        <f>I35-VLOOKUP(B$2,H1:J229,2,FALSE)</f>
        <v>0.58298688287729039</v>
      </c>
    </row>
    <row r="36" spans="1:10" ht="21.2" customHeight="1">
      <c r="A36" s="8" t="s">
        <v>226</v>
      </c>
      <c r="B36" s="144" t="str">
        <f>VLOOKUP(A36,'The List'!B1:D730,3,FALSE)</f>
        <v>D</v>
      </c>
      <c r="C36" s="145">
        <f>IF(Settings!$E$15="POINTS",RANK(E36,E3:E229),H36)</f>
        <v>29</v>
      </c>
      <c r="D36" s="34" t="str">
        <f>VLOOKUP(A36,'The List'!B1:F730,5,FALSE)</f>
        <v>OTT</v>
      </c>
      <c r="E36" s="38">
        <f>VLOOKUP(A36,'The List'!B1:I730,8,FALSE)</f>
        <v>2.5990839610045353</v>
      </c>
      <c r="F36" s="38">
        <f>IF(Settings!$E$15="POINTS",E36-VLOOKUP(B$2,C1:E229,3,FALSE),J36)</f>
        <v>0.65734341737022461</v>
      </c>
      <c r="G36" s="38"/>
      <c r="H36" s="138">
        <f>RANK(I36,I3:I229)</f>
        <v>29</v>
      </c>
      <c r="I36" s="139">
        <f>VLOOKUP(A36,'Standard Deviations'!A1:C731,3,FALSE)</f>
        <v>2.5990839610045353</v>
      </c>
      <c r="J36" s="139">
        <f>I36-VLOOKUP(B$2,H1:J229,2,FALSE)</f>
        <v>0.65734341737022461</v>
      </c>
    </row>
    <row r="37" spans="1:10" ht="21.2" customHeight="1">
      <c r="A37" s="8" t="s">
        <v>232</v>
      </c>
      <c r="B37" s="144" t="str">
        <f>VLOOKUP(A37,'The List'!B1:D730,3,FALSE)</f>
        <v>D</v>
      </c>
      <c r="C37" s="145">
        <f>IF(Settings!$E$15="POINTS",RANK(E37,E3:E229),H37)</f>
        <v>39</v>
      </c>
      <c r="D37" s="34" t="str">
        <f>VLOOKUP(A37,'The List'!B1:F730,5,FALSE)</f>
        <v>CGY</v>
      </c>
      <c r="E37" s="38">
        <f>VLOOKUP(A37,'The List'!B1:I730,8,FALSE)</f>
        <v>1.096571268206108</v>
      </c>
      <c r="F37" s="38">
        <f>IF(Settings!$E$15="POINTS",E37-VLOOKUP(B$2,C1:E229,3,FALSE),J37)</f>
        <v>-0.84516927542820275</v>
      </c>
      <c r="G37" s="38"/>
      <c r="H37" s="138">
        <f>RANK(I37,I3:I229)</f>
        <v>39</v>
      </c>
      <c r="I37" s="139">
        <f>VLOOKUP(A37,'Standard Deviations'!A1:C731,3,FALSE)</f>
        <v>1.096571268206108</v>
      </c>
      <c r="J37" s="139">
        <f>I37-VLOOKUP(B$2,H1:J229,2,FALSE)</f>
        <v>-0.84516927542820275</v>
      </c>
    </row>
    <row r="38" spans="1:10" ht="21.2" customHeight="1">
      <c r="A38" s="8" t="s">
        <v>235</v>
      </c>
      <c r="B38" s="144" t="str">
        <f>VLOOKUP(A38,'The List'!B1:D730,3,FALSE)</f>
        <v>D</v>
      </c>
      <c r="C38" s="145">
        <f>IF(Settings!$E$15="POINTS",RANK(E38,E3:E229),H38)</f>
        <v>34</v>
      </c>
      <c r="D38" s="34" t="str">
        <f>VLOOKUP(A38,'The List'!B1:F730,5,FALSE)</f>
        <v>STL</v>
      </c>
      <c r="E38" s="38">
        <f>VLOOKUP(A38,'The List'!B1:I730,8,FALSE)</f>
        <v>1.9417405436343107</v>
      </c>
      <c r="F38" s="38">
        <f>IF(Settings!$E$15="POINTS",E38-VLOOKUP(B$2,C1:E229,3,FALSE),J38)</f>
        <v>0</v>
      </c>
      <c r="G38" s="38"/>
      <c r="H38" s="138">
        <f>RANK(I38,I3:I229)</f>
        <v>34</v>
      </c>
      <c r="I38" s="139">
        <f>VLOOKUP(A38,'Standard Deviations'!A1:C731,3,FALSE)</f>
        <v>1.9417405436343107</v>
      </c>
      <c r="J38" s="139">
        <f>I38-VLOOKUP(B$2,H1:J229,2,FALSE)</f>
        <v>0</v>
      </c>
    </row>
    <row r="39" spans="1:10" ht="21.2" customHeight="1">
      <c r="A39" s="8" t="s">
        <v>243</v>
      </c>
      <c r="B39" s="144" t="str">
        <f>VLOOKUP(A39,'The List'!B1:D730,3,FALSE)</f>
        <v>D</v>
      </c>
      <c r="C39" s="145">
        <f>IF(Settings!$E$15="POINTS",RANK(E39,E3:E229),H39)</f>
        <v>36</v>
      </c>
      <c r="D39" s="34" t="str">
        <f>VLOOKUP(A39,'The List'!B1:F730,5,FALSE)</f>
        <v>LAK</v>
      </c>
      <c r="E39" s="38">
        <f>VLOOKUP(A39,'The List'!B1:I730,8,FALSE)</f>
        <v>1.8670483878314061</v>
      </c>
      <c r="F39" s="38">
        <f>IF(Settings!$E$15="POINTS",E39-VLOOKUP(B$2,C1:E229,3,FALSE),J39)</f>
        <v>-7.4692155802904558E-2</v>
      </c>
      <c r="G39" s="38"/>
      <c r="H39" s="138">
        <f>RANK(I39,I3:I229)</f>
        <v>36</v>
      </c>
      <c r="I39" s="139">
        <f>VLOOKUP(A39,'Standard Deviations'!A1:C731,3,FALSE)</f>
        <v>1.8670483878314061</v>
      </c>
      <c r="J39" s="139">
        <f>I39-VLOOKUP(B$2,H1:J229,2,FALSE)</f>
        <v>-7.4692155802904558E-2</v>
      </c>
    </row>
    <row r="40" spans="1:10" ht="21.2" customHeight="1">
      <c r="A40" s="8" t="s">
        <v>246</v>
      </c>
      <c r="B40" s="144" t="str">
        <f>VLOOKUP(A40,'The List'!B1:D730,3,FALSE)</f>
        <v>D</v>
      </c>
      <c r="C40" s="145">
        <f>IF(Settings!$E$15="POINTS",RANK(E40,E3:E229),H40)</f>
        <v>41</v>
      </c>
      <c r="D40" s="34" t="str">
        <f>VLOOKUP(A40,'The List'!B1:F730,5,FALSE)</f>
        <v>FLA</v>
      </c>
      <c r="E40" s="38">
        <f>VLOOKUP(A40,'The List'!B1:I730,8,FALSE)</f>
        <v>0.82985902337235906</v>
      </c>
      <c r="F40" s="38">
        <f>IF(Settings!$E$15="POINTS",E40-VLOOKUP(B$2,C1:E229,3,FALSE),J40)</f>
        <v>-1.1118815202619516</v>
      </c>
      <c r="G40" s="38"/>
      <c r="H40" s="138">
        <f>RANK(I40,I3:I229)</f>
        <v>41</v>
      </c>
      <c r="I40" s="139">
        <f>VLOOKUP(A40,'Standard Deviations'!A1:C731,3,FALSE)</f>
        <v>0.82985902337235906</v>
      </c>
      <c r="J40" s="139">
        <f>I40-VLOOKUP(B$2,H1:J229,2,FALSE)</f>
        <v>-1.1118815202619516</v>
      </c>
    </row>
    <row r="41" spans="1:10" ht="21.2" customHeight="1">
      <c r="A41" s="8" t="s">
        <v>251</v>
      </c>
      <c r="B41" s="144" t="str">
        <f>VLOOKUP(A41,'The List'!B1:D730,3,FALSE)</f>
        <v>D</v>
      </c>
      <c r="C41" s="145">
        <f>IF(Settings!$E$15="POINTS",RANK(E41,E3:E229),H41)</f>
        <v>38</v>
      </c>
      <c r="D41" s="34" t="str">
        <f>VLOOKUP(A41,'The List'!B1:F730,5,FALSE)</f>
        <v>BOS</v>
      </c>
      <c r="E41" s="38">
        <f>VLOOKUP(A41,'The List'!B1:I730,8,FALSE)</f>
        <v>1.1979645638175078</v>
      </c>
      <c r="F41" s="38">
        <f>IF(Settings!$E$15="POINTS",E41-VLOOKUP(B$2,C1:E229,3,FALSE),J41)</f>
        <v>-0.74377597981680288</v>
      </c>
      <c r="G41" s="38"/>
      <c r="H41" s="138">
        <f>RANK(I41,I3:I229)</f>
        <v>38</v>
      </c>
      <c r="I41" s="139">
        <f>VLOOKUP(A41,'Standard Deviations'!A1:C731,3,FALSE)</f>
        <v>1.1979645638175078</v>
      </c>
      <c r="J41" s="139">
        <f>I41-VLOOKUP(B$2,H1:J229,2,FALSE)</f>
        <v>-0.74377597981680288</v>
      </c>
    </row>
    <row r="42" spans="1:10" ht="21.2" customHeight="1">
      <c r="A42" s="8" t="s">
        <v>253</v>
      </c>
      <c r="B42" s="144" t="str">
        <f>VLOOKUP(A42,'The List'!B1:D730,3,FALSE)</f>
        <v>D</v>
      </c>
      <c r="C42" s="145">
        <f>IF(Settings!$E$15="POINTS",RANK(E42,E3:E229),H42)</f>
        <v>49</v>
      </c>
      <c r="D42" s="34" t="str">
        <f>VLOOKUP(A42,'The List'!B1:F730,5,FALSE)</f>
        <v>EDM</v>
      </c>
      <c r="E42" s="38">
        <f>VLOOKUP(A42,'The List'!B1:I730,8,FALSE)</f>
        <v>-7.309199880531142E-2</v>
      </c>
      <c r="F42" s="38">
        <f>IF(Settings!$E$15="POINTS",E42-VLOOKUP(B$2,C1:E229,3,FALSE),J42)</f>
        <v>-2.0148325424396223</v>
      </c>
      <c r="G42" s="38"/>
      <c r="H42" s="138">
        <f>RANK(I42,I3:I229)</f>
        <v>49</v>
      </c>
      <c r="I42" s="139">
        <f>VLOOKUP(A42,'Standard Deviations'!A1:C731,3,FALSE)</f>
        <v>-7.309199880531142E-2</v>
      </c>
      <c r="J42" s="139">
        <f>I42-VLOOKUP(B$2,H1:J229,2,FALSE)</f>
        <v>-2.0148325424396223</v>
      </c>
    </row>
    <row r="43" spans="1:10" ht="21.2" customHeight="1">
      <c r="A43" s="8" t="s">
        <v>263</v>
      </c>
      <c r="B43" s="144" t="str">
        <f>VLOOKUP(A43,'The List'!B1:D730,3,FALSE)</f>
        <v>D</v>
      </c>
      <c r="C43" s="145">
        <f>IF(Settings!$E$15="POINTS",RANK(E43,E3:E229),H43)</f>
        <v>40</v>
      </c>
      <c r="D43" s="34" t="str">
        <f>VLOOKUP(A43,'The List'!B1:F730,5,FALSE)</f>
        <v>TOR</v>
      </c>
      <c r="E43" s="38">
        <f>VLOOKUP(A43,'The List'!B1:I730,8,FALSE)</f>
        <v>0.94687677240131884</v>
      </c>
      <c r="F43" s="38">
        <f>IF(Settings!$E$15="POINTS",E43-VLOOKUP(B$2,C1:E229,3,FALSE),J43)</f>
        <v>-0.99486377123299186</v>
      </c>
      <c r="G43" s="38"/>
      <c r="H43" s="138">
        <f>RANK(I43,I3:I229)</f>
        <v>40</v>
      </c>
      <c r="I43" s="139">
        <f>VLOOKUP(A43,'Standard Deviations'!A1:C731,3,FALSE)</f>
        <v>0.94687677240131884</v>
      </c>
      <c r="J43" s="139">
        <f>I43-VLOOKUP(B$2,H1:J229,2,FALSE)</f>
        <v>-0.99486377123299186</v>
      </c>
    </row>
    <row r="44" spans="1:10" ht="21.2" customHeight="1">
      <c r="A44" s="8" t="s">
        <v>266</v>
      </c>
      <c r="B44" s="144" t="str">
        <f>VLOOKUP(A44,'The List'!B1:D730,3,FALSE)</f>
        <v>D</v>
      </c>
      <c r="C44" s="145">
        <f>IF(Settings!$E$15="POINTS",RANK(E44,E3:E229),H44)</f>
        <v>47</v>
      </c>
      <c r="D44" s="34" t="str">
        <f>VLOOKUP(A44,'The List'!B1:F730,5,FALSE)</f>
        <v>BUF</v>
      </c>
      <c r="E44" s="38">
        <f>VLOOKUP(A44,'The List'!B1:I730,8,FALSE)</f>
        <v>0.14169014419685741</v>
      </c>
      <c r="F44" s="38">
        <f>IF(Settings!$E$15="POINTS",E44-VLOOKUP(B$2,C1:E229,3,FALSE),J44)</f>
        <v>-1.8000503994374533</v>
      </c>
      <c r="G44" s="38"/>
      <c r="H44" s="138">
        <f>RANK(I44,I3:I229)</f>
        <v>47</v>
      </c>
      <c r="I44" s="139">
        <f>VLOOKUP(A44,'Standard Deviations'!A1:C731,3,FALSE)</f>
        <v>0.14169014419685741</v>
      </c>
      <c r="J44" s="139">
        <f>I44-VLOOKUP(B$2,H1:J229,2,FALSE)</f>
        <v>-1.8000503994374533</v>
      </c>
    </row>
    <row r="45" spans="1:10" ht="21.2" customHeight="1">
      <c r="A45" s="8" t="s">
        <v>267</v>
      </c>
      <c r="B45" s="144" t="str">
        <f>VLOOKUP(A45,'The List'!B1:D730,3,FALSE)</f>
        <v>D</v>
      </c>
      <c r="C45" s="145">
        <f>IF(Settings!$E$15="POINTS",RANK(E45,E3:E229),H45)</f>
        <v>50</v>
      </c>
      <c r="D45" s="34" t="str">
        <f>VLOOKUP(A45,'The List'!B1:F730,5,FALSE)</f>
        <v>CGY</v>
      </c>
      <c r="E45" s="38">
        <f>VLOOKUP(A45,'The List'!B1:I730,8,FALSE)</f>
        <v>-0.1837765459868389</v>
      </c>
      <c r="F45" s="38">
        <f>IF(Settings!$E$15="POINTS",E45-VLOOKUP(B$2,C1:E229,3,FALSE),J45)</f>
        <v>-2.1255170896211495</v>
      </c>
      <c r="G45" s="38"/>
      <c r="H45" s="138">
        <f>RANK(I45,I3:I229)</f>
        <v>50</v>
      </c>
      <c r="I45" s="139">
        <f>VLOOKUP(A45,'Standard Deviations'!A1:C731,3,FALSE)</f>
        <v>-0.1837765459868389</v>
      </c>
      <c r="J45" s="139">
        <f>I45-VLOOKUP(B$2,H1:J229,2,FALSE)</f>
        <v>-2.1255170896211495</v>
      </c>
    </row>
    <row r="46" spans="1:10" ht="21.2" customHeight="1">
      <c r="A46" s="8" t="s">
        <v>268</v>
      </c>
      <c r="B46" s="144" t="str">
        <f>VLOOKUP(A46,'The List'!B1:D730,3,FALSE)</f>
        <v>D</v>
      </c>
      <c r="C46" s="145">
        <f>IF(Settings!$E$15="POINTS",RANK(E46,E3:E229),H46)</f>
        <v>43</v>
      </c>
      <c r="D46" s="34" t="str">
        <f>VLOOKUP(A46,'The List'!B1:F730,5,FALSE)</f>
        <v>NJD</v>
      </c>
      <c r="E46" s="38">
        <f>VLOOKUP(A46,'The List'!B1:I730,8,FALSE)</f>
        <v>0.49996421200840635</v>
      </c>
      <c r="F46" s="38">
        <f>IF(Settings!$E$15="POINTS",E46-VLOOKUP(B$2,C1:E229,3,FALSE),J46)</f>
        <v>-1.4417763316259045</v>
      </c>
      <c r="G46" s="38"/>
      <c r="H46" s="138">
        <f>RANK(I46,I3:I229)</f>
        <v>43</v>
      </c>
      <c r="I46" s="139">
        <f>VLOOKUP(A46,'Standard Deviations'!A1:C731,3,FALSE)</f>
        <v>0.49996421200840635</v>
      </c>
      <c r="J46" s="139">
        <f>I46-VLOOKUP(B$2,H1:J229,2,FALSE)</f>
        <v>-1.4417763316259045</v>
      </c>
    </row>
    <row r="47" spans="1:10" ht="21.2" customHeight="1">
      <c r="A47" s="8" t="s">
        <v>269</v>
      </c>
      <c r="B47" s="144" t="str">
        <f>VLOOKUP(A47,'The List'!B1:D730,3,FALSE)</f>
        <v>D</v>
      </c>
      <c r="C47" s="145">
        <f>IF(Settings!$E$15="POINTS",RANK(E47,E3:E229),H47)</f>
        <v>44</v>
      </c>
      <c r="D47" s="34" t="str">
        <f>VLOOKUP(A47,'The List'!B1:F730,5,FALSE)</f>
        <v>VAN</v>
      </c>
      <c r="E47" s="38">
        <f>VLOOKUP(A47,'The List'!B1:I730,8,FALSE)</f>
        <v>0.40876425327896104</v>
      </c>
      <c r="F47" s="38">
        <f>IF(Settings!$E$15="POINTS",E47-VLOOKUP(B$2,C1:E229,3,FALSE),J47)</f>
        <v>-1.5329762903553497</v>
      </c>
      <c r="G47" s="38"/>
      <c r="H47" s="138">
        <f>RANK(I47,I3:I229)</f>
        <v>44</v>
      </c>
      <c r="I47" s="139">
        <f>VLOOKUP(A47,'Standard Deviations'!A1:C731,3,FALSE)</f>
        <v>0.40876425327896104</v>
      </c>
      <c r="J47" s="139">
        <f>I47-VLOOKUP(B$2,H1:J229,2,FALSE)</f>
        <v>-1.5329762903553497</v>
      </c>
    </row>
    <row r="48" spans="1:10" ht="21.2" customHeight="1">
      <c r="A48" s="8" t="s">
        <v>270</v>
      </c>
      <c r="B48" s="144" t="str">
        <f>VLOOKUP(A48,'The List'!B1:D730,3,FALSE)</f>
        <v>D</v>
      </c>
      <c r="C48" s="145">
        <f>IF(Settings!$E$15="POINTS",RANK(E48,E3:E229),H48)</f>
        <v>46</v>
      </c>
      <c r="D48" s="34" t="str">
        <f>VLOOKUP(A48,'The List'!B1:F730,5,FALSE)</f>
        <v>NSH</v>
      </c>
      <c r="E48" s="38">
        <f>VLOOKUP(A48,'The List'!B1:I730,8,FALSE)</f>
        <v>0.21062205227623376</v>
      </c>
      <c r="F48" s="38">
        <f>IF(Settings!$E$15="POINTS",E48-VLOOKUP(B$2,C1:E229,3,FALSE),J48)</f>
        <v>-1.7311184913580768</v>
      </c>
      <c r="G48" s="38"/>
      <c r="H48" s="138">
        <f>RANK(I48,I3:I229)</f>
        <v>46</v>
      </c>
      <c r="I48" s="139">
        <f>VLOOKUP(A48,'Standard Deviations'!A1:C731,3,FALSE)</f>
        <v>0.21062205227623376</v>
      </c>
      <c r="J48" s="139">
        <f>I48-VLOOKUP(B$2,H1:J229,2,FALSE)</f>
        <v>-1.7311184913580768</v>
      </c>
    </row>
    <row r="49" spans="1:10" ht="21.2" customHeight="1">
      <c r="A49" s="8" t="s">
        <v>273</v>
      </c>
      <c r="B49" s="144" t="str">
        <f>VLOOKUP(A49,'The List'!B1:D730,3,FALSE)</f>
        <v>D</v>
      </c>
      <c r="C49" s="145">
        <f>IF(Settings!$E$15="POINTS",RANK(E49,E3:E229),H49)</f>
        <v>33</v>
      </c>
      <c r="D49" s="34" t="str">
        <f>VLOOKUP(A49,'The List'!B1:F730,5,FALSE)</f>
        <v>FLA</v>
      </c>
      <c r="E49" s="38">
        <f>VLOOKUP(A49,'The List'!B1:I730,8,FALSE)</f>
        <v>1.9666695015994498</v>
      </c>
      <c r="F49" s="38">
        <f>IF(Settings!$E$15="POINTS",E49-VLOOKUP(B$2,C1:E229,3,FALSE),J49)</f>
        <v>2.4928957965139054E-2</v>
      </c>
      <c r="G49" s="38"/>
      <c r="H49" s="138">
        <f>RANK(I49,I3:I229)</f>
        <v>33</v>
      </c>
      <c r="I49" s="139">
        <f>VLOOKUP(A49,'Standard Deviations'!A1:C731,3,FALSE)</f>
        <v>1.9666695015994498</v>
      </c>
      <c r="J49" s="139">
        <f>I49-VLOOKUP(B$2,H1:J229,2,FALSE)</f>
        <v>2.4928957965139054E-2</v>
      </c>
    </row>
    <row r="50" spans="1:10" ht="21.2" customHeight="1">
      <c r="A50" s="8" t="s">
        <v>274</v>
      </c>
      <c r="B50" s="144" t="str">
        <f>VLOOKUP(A50,'The List'!B1:D730,3,FALSE)</f>
        <v>D</v>
      </c>
      <c r="C50" s="145">
        <f>IF(Settings!$E$15="POINTS",RANK(E50,E3:E229),H50)</f>
        <v>56</v>
      </c>
      <c r="D50" s="34" t="str">
        <f>VLOOKUP(A50,'The List'!B1:F730,5,FALSE)</f>
        <v>OTT</v>
      </c>
      <c r="E50" s="38">
        <f>VLOOKUP(A50,'The List'!B1:I730,8,FALSE)</f>
        <v>-0.54638343972319769</v>
      </c>
      <c r="F50" s="38">
        <f>IF(Settings!$E$15="POINTS",E50-VLOOKUP(B$2,C1:E229,3,FALSE),J50)</f>
        <v>-2.4881239833575082</v>
      </c>
      <c r="G50" s="38"/>
      <c r="H50" s="138">
        <f>RANK(I50,I3:I229)</f>
        <v>56</v>
      </c>
      <c r="I50" s="139">
        <f>VLOOKUP(A50,'Standard Deviations'!A1:C731,3,FALSE)</f>
        <v>-0.54638343972319769</v>
      </c>
      <c r="J50" s="139">
        <f>I50-VLOOKUP(B$2,H1:J229,2,FALSE)</f>
        <v>-2.4881239833575082</v>
      </c>
    </row>
    <row r="51" spans="1:10" ht="21.2" customHeight="1">
      <c r="A51" s="8" t="s">
        <v>275</v>
      </c>
      <c r="B51" s="144" t="str">
        <f>VLOOKUP(A51,'The List'!B1:D730,3,FALSE)</f>
        <v>D</v>
      </c>
      <c r="C51" s="145">
        <f>IF(Settings!$E$15="POINTS",RANK(E51,E3:E229),H51)</f>
        <v>42</v>
      </c>
      <c r="D51" s="34" t="str">
        <f>VLOOKUP(A51,'The List'!B1:F730,5,FALSE)</f>
        <v>ANA</v>
      </c>
      <c r="E51" s="38">
        <f>VLOOKUP(A51,'The List'!B1:I730,8,FALSE)</f>
        <v>0.51898848940261877</v>
      </c>
      <c r="F51" s="38">
        <f>IF(Settings!$E$15="POINTS",E51-VLOOKUP(B$2,C1:E229,3,FALSE),J51)</f>
        <v>-1.422752054231692</v>
      </c>
      <c r="G51" s="38"/>
      <c r="H51" s="138">
        <f>RANK(I51,I3:I229)</f>
        <v>42</v>
      </c>
      <c r="I51" s="139">
        <f>VLOOKUP(A51,'Standard Deviations'!A1:C731,3,FALSE)</f>
        <v>0.51898848940261877</v>
      </c>
      <c r="J51" s="139">
        <f>I51-VLOOKUP(B$2,H1:J229,2,FALSE)</f>
        <v>-1.422752054231692</v>
      </c>
    </row>
    <row r="52" spans="1:10" ht="21.2" customHeight="1">
      <c r="A52" s="8" t="s">
        <v>278</v>
      </c>
      <c r="B52" s="144" t="str">
        <f>VLOOKUP(A52,'The List'!B1:D730,3,FALSE)</f>
        <v>D</v>
      </c>
      <c r="C52" s="145">
        <f>IF(Settings!$E$15="POINTS",RANK(E52,E3:E229),H52)</f>
        <v>59</v>
      </c>
      <c r="D52" s="34" t="str">
        <f>VLOOKUP(A52,'The List'!B1:F730,5,FALSE)</f>
        <v>MIN</v>
      </c>
      <c r="E52" s="38">
        <f>VLOOKUP(A52,'The List'!B1:I730,8,FALSE)</f>
        <v>-0.82400144787201834</v>
      </c>
      <c r="F52" s="38">
        <f>IF(Settings!$E$15="POINTS",E52-VLOOKUP(B$2,C1:E229,3,FALSE),J52)</f>
        <v>-2.7657419915063288</v>
      </c>
      <c r="G52" s="38"/>
      <c r="H52" s="138">
        <f>RANK(I52,I3:I229)</f>
        <v>59</v>
      </c>
      <c r="I52" s="139">
        <f>VLOOKUP(A52,'Standard Deviations'!A1:C731,3,FALSE)</f>
        <v>-0.82400144787201834</v>
      </c>
      <c r="J52" s="139">
        <f>I52-VLOOKUP(B$2,H1:J229,2,FALSE)</f>
        <v>-2.7657419915063288</v>
      </c>
    </row>
    <row r="53" spans="1:10" ht="21.2" customHeight="1">
      <c r="A53" s="8" t="s">
        <v>279</v>
      </c>
      <c r="B53" s="144" t="str">
        <f>VLOOKUP(A53,'The List'!B1:D730,3,FALSE)</f>
        <v>D</v>
      </c>
      <c r="C53" s="145">
        <f>IF(Settings!$E$15="POINTS",RANK(E53,E3:E229),H53)</f>
        <v>58</v>
      </c>
      <c r="D53" s="34" t="str">
        <f>VLOOKUP(A53,'The List'!B1:F730,5,FALSE)</f>
        <v>WPG</v>
      </c>
      <c r="E53" s="38">
        <f>VLOOKUP(A53,'The List'!B1:I730,8,FALSE)</f>
        <v>-0.7455968402843397</v>
      </c>
      <c r="F53" s="38">
        <f>IF(Settings!$E$15="POINTS",E53-VLOOKUP(B$2,C1:E229,3,FALSE),J53)</f>
        <v>-2.6873373839186505</v>
      </c>
      <c r="G53" s="38"/>
      <c r="H53" s="138">
        <f>RANK(I53,I3:I229)</f>
        <v>58</v>
      </c>
      <c r="I53" s="139">
        <f>VLOOKUP(A53,'Standard Deviations'!A1:C731,3,FALSE)</f>
        <v>-0.7455968402843397</v>
      </c>
      <c r="J53" s="139">
        <f>I53-VLOOKUP(B$2,H1:J229,2,FALSE)</f>
        <v>-2.6873373839186505</v>
      </c>
    </row>
    <row r="54" spans="1:10" ht="21.2" customHeight="1">
      <c r="A54" s="8" t="s">
        <v>281</v>
      </c>
      <c r="B54" s="144" t="str">
        <f>VLOOKUP(A54,'The List'!B1:D730,3,FALSE)</f>
        <v>D</v>
      </c>
      <c r="C54" s="145">
        <f>IF(Settings!$E$15="POINTS",RANK(E54,E3:E229),H54)</f>
        <v>48</v>
      </c>
      <c r="D54" s="34" t="str">
        <f>VLOOKUP(A54,'The List'!B1:F730,5,FALSE)</f>
        <v>CAR</v>
      </c>
      <c r="E54" s="38">
        <f>VLOOKUP(A54,'The List'!B1:I730,8,FALSE)</f>
        <v>-1.9432609295428491E-2</v>
      </c>
      <c r="F54" s="38">
        <f>IF(Settings!$E$15="POINTS",E54-VLOOKUP(B$2,C1:E229,3,FALSE),J54)</f>
        <v>-1.9611731529297391</v>
      </c>
      <c r="G54" s="38"/>
      <c r="H54" s="138">
        <f>RANK(I54,I3:I229)</f>
        <v>48</v>
      </c>
      <c r="I54" s="139">
        <f>VLOOKUP(A54,'Standard Deviations'!A1:C731,3,FALSE)</f>
        <v>-1.9432609295428491E-2</v>
      </c>
      <c r="J54" s="139">
        <f>I54-VLOOKUP(B$2,H1:J229,2,FALSE)</f>
        <v>-1.9611731529297391</v>
      </c>
    </row>
    <row r="55" spans="1:10" ht="21.2" customHeight="1">
      <c r="A55" s="8" t="s">
        <v>284</v>
      </c>
      <c r="B55" s="144" t="str">
        <f>VLOOKUP(A55,'The List'!B1:D730,3,FALSE)</f>
        <v>D</v>
      </c>
      <c r="C55" s="145">
        <f>IF(Settings!$E$15="POINTS",RANK(E55,E3:E229),H55)</f>
        <v>66</v>
      </c>
      <c r="D55" s="34" t="str">
        <f>VLOOKUP(A55,'The List'!B1:F730,5,FALSE)</f>
        <v>NYR</v>
      </c>
      <c r="E55" s="38">
        <f>VLOOKUP(A55,'The List'!B1:I730,8,FALSE)</f>
        <v>-1.3285820349354824</v>
      </c>
      <c r="F55" s="38">
        <f>IF(Settings!$E$15="POINTS",E55-VLOOKUP(B$2,C1:E229,3,FALSE),J55)</f>
        <v>-3.2703225785697931</v>
      </c>
      <c r="G55" s="38"/>
      <c r="H55" s="138">
        <f>RANK(I55,I3:I229)</f>
        <v>66</v>
      </c>
      <c r="I55" s="139">
        <f>VLOOKUP(A55,'Standard Deviations'!A1:C731,3,FALSE)</f>
        <v>-1.3285820349354824</v>
      </c>
      <c r="J55" s="139">
        <f>I55-VLOOKUP(B$2,H1:J229,2,FALSE)</f>
        <v>-3.2703225785697931</v>
      </c>
    </row>
    <row r="56" spans="1:10" ht="21.2" customHeight="1">
      <c r="A56" s="8" t="s">
        <v>286</v>
      </c>
      <c r="B56" s="144" t="str">
        <f>VLOOKUP(A56,'The List'!B1:D730,3,FALSE)</f>
        <v>D</v>
      </c>
      <c r="C56" s="145">
        <f>IF(Settings!$E$15="POINTS",RANK(E56,E3:E229),H56)</f>
        <v>52</v>
      </c>
      <c r="D56" s="34" t="str">
        <f>VLOOKUP(A56,'The List'!B1:F730,5,FALSE)</f>
        <v>CHI</v>
      </c>
      <c r="E56" s="38">
        <f>VLOOKUP(A56,'The List'!B1:I730,8,FALSE)</f>
        <v>-0.35097407218419729</v>
      </c>
      <c r="F56" s="38">
        <f>IF(Settings!$E$15="POINTS",E56-VLOOKUP(B$2,C1:E229,3,FALSE),J56)</f>
        <v>-2.2927146158185079</v>
      </c>
      <c r="G56" s="38"/>
      <c r="H56" s="138">
        <f>RANK(I56,I3:I229)</f>
        <v>52</v>
      </c>
      <c r="I56" s="139">
        <f>VLOOKUP(A56,'Standard Deviations'!A1:C731,3,FALSE)</f>
        <v>-0.35097407218419729</v>
      </c>
      <c r="J56" s="139">
        <f>I56-VLOOKUP(B$2,H1:J229,2,FALSE)</f>
        <v>-2.2927146158185079</v>
      </c>
    </row>
    <row r="57" spans="1:10" ht="21.2" customHeight="1">
      <c r="A57" s="8" t="s">
        <v>288</v>
      </c>
      <c r="B57" s="144" t="str">
        <f>VLOOKUP(A57,'The List'!B1:D730,3,FALSE)</f>
        <v>D</v>
      </c>
      <c r="C57" s="145">
        <f>IF(Settings!$E$15="POINTS",RANK(E57,E3:E229),H57)</f>
        <v>60</v>
      </c>
      <c r="D57" s="34" t="str">
        <f>VLOOKUP(A57,'The List'!B1:F730,5,FALSE)</f>
        <v>EDM</v>
      </c>
      <c r="E57" s="38">
        <f>VLOOKUP(A57,'The List'!B1:I730,8,FALSE)</f>
        <v>-0.8653914334476327</v>
      </c>
      <c r="F57" s="38">
        <f>IF(Settings!$E$15="POINTS",E57-VLOOKUP(B$2,C1:E229,3,FALSE),J57)</f>
        <v>-2.8071319770819434</v>
      </c>
      <c r="G57" s="38"/>
      <c r="H57" s="138">
        <f>RANK(I57,I3:I229)</f>
        <v>60</v>
      </c>
      <c r="I57" s="139">
        <f>VLOOKUP(A57,'Standard Deviations'!A1:C731,3,FALSE)</f>
        <v>-0.8653914334476327</v>
      </c>
      <c r="J57" s="139">
        <f>I57-VLOOKUP(B$2,H1:J229,2,FALSE)</f>
        <v>-2.8071319770819434</v>
      </c>
    </row>
    <row r="58" spans="1:10" ht="21.2" customHeight="1">
      <c r="A58" s="8" t="s">
        <v>289</v>
      </c>
      <c r="B58" s="144" t="str">
        <f>VLOOKUP(A58,'The List'!B1:D730,3,FALSE)</f>
        <v>D</v>
      </c>
      <c r="C58" s="145">
        <f>IF(Settings!$E$15="POINTS",RANK(E58,E3:E229),H58)</f>
        <v>62</v>
      </c>
      <c r="D58" s="34" t="str">
        <f>VLOOKUP(A58,'The List'!B1:F730,5,FALSE)</f>
        <v>CBJ</v>
      </c>
      <c r="E58" s="38">
        <f>VLOOKUP(A58,'The List'!B1:I730,8,FALSE)</f>
        <v>-0.95954048303692707</v>
      </c>
      <c r="F58" s="38">
        <f>IF(Settings!$E$15="POINTS",E58-VLOOKUP(B$2,C1:E229,3,FALSE),J58)</f>
        <v>-2.9012810266712377</v>
      </c>
      <c r="G58" s="38"/>
      <c r="H58" s="138">
        <f>RANK(I58,I3:I229)</f>
        <v>62</v>
      </c>
      <c r="I58" s="139">
        <f>VLOOKUP(A58,'Standard Deviations'!A1:C731,3,FALSE)</f>
        <v>-0.95954048303692707</v>
      </c>
      <c r="J58" s="139">
        <f>I58-VLOOKUP(B$2,H1:J229,2,FALSE)</f>
        <v>-2.9012810266712377</v>
      </c>
    </row>
    <row r="59" spans="1:10" ht="21.2" customHeight="1">
      <c r="A59" s="8" t="s">
        <v>294</v>
      </c>
      <c r="B59" s="144" t="str">
        <f>VLOOKUP(A59,'The List'!B1:D730,3,FALSE)</f>
        <v>D</v>
      </c>
      <c r="C59" s="145">
        <f>IF(Settings!$E$15="POINTS",RANK(E59,E3:E229),H59)</f>
        <v>57</v>
      </c>
      <c r="D59" s="34" t="str">
        <f>VLOOKUP(A59,'The List'!B1:F730,5,FALSE)</f>
        <v>DET</v>
      </c>
      <c r="E59" s="38">
        <f>VLOOKUP(A59,'The List'!B1:I730,8,FALSE)</f>
        <v>-0.71791255583645408</v>
      </c>
      <c r="F59" s="38">
        <f>IF(Settings!$E$15="POINTS",E59-VLOOKUP(B$2,C1:E229,3,FALSE),J59)</f>
        <v>-2.6596530994707646</v>
      </c>
      <c r="G59" s="38"/>
      <c r="H59" s="138">
        <f>RANK(I59,I3:I229)</f>
        <v>57</v>
      </c>
      <c r="I59" s="139">
        <f>VLOOKUP(A59,'Standard Deviations'!A1:C731,3,FALSE)</f>
        <v>-0.71791255583645408</v>
      </c>
      <c r="J59" s="139">
        <f>I59-VLOOKUP(B$2,H1:J229,2,FALSE)</f>
        <v>-2.6596530994707646</v>
      </c>
    </row>
    <row r="60" spans="1:10" ht="21.2" customHeight="1">
      <c r="A60" s="8" t="s">
        <v>298</v>
      </c>
      <c r="B60" s="144" t="str">
        <f>VLOOKUP(A60,'The List'!B1:D730,3,FALSE)</f>
        <v>D</v>
      </c>
      <c r="C60" s="145">
        <f>IF(Settings!$E$15="POINTS",RANK(E60,E3:E229),H60)</f>
        <v>55</v>
      </c>
      <c r="D60" s="34" t="str">
        <f>VLOOKUP(A60,'The List'!B1:F730,5,FALSE)</f>
        <v>ANA</v>
      </c>
      <c r="E60" s="38">
        <f>VLOOKUP(A60,'The List'!B1:I730,8,FALSE)</f>
        <v>-0.54112535854356902</v>
      </c>
      <c r="F60" s="38">
        <f>IF(Settings!$E$15="POINTS",E60-VLOOKUP(B$2,C1:E229,3,FALSE),J60)</f>
        <v>-2.4828659021778798</v>
      </c>
      <c r="G60" s="38"/>
      <c r="H60" s="138">
        <f>RANK(I60,I3:I229)</f>
        <v>55</v>
      </c>
      <c r="I60" s="139">
        <f>VLOOKUP(A60,'Standard Deviations'!A1:C731,3,FALSE)</f>
        <v>-0.54112535854356902</v>
      </c>
      <c r="J60" s="139">
        <f>I60-VLOOKUP(B$2,H1:J229,2,FALSE)</f>
        <v>-2.4828659021778798</v>
      </c>
    </row>
    <row r="61" spans="1:10" ht="21.2" customHeight="1">
      <c r="A61" s="8" t="s">
        <v>301</v>
      </c>
      <c r="B61" s="144" t="str">
        <f>VLOOKUP(A61,'The List'!B1:D730,3,FALSE)</f>
        <v>D</v>
      </c>
      <c r="C61" s="145">
        <f>IF(Settings!$E$15="POINTS",RANK(E61,E3:E229),H61)</f>
        <v>75</v>
      </c>
      <c r="D61" s="34" t="str">
        <f>VLOOKUP(A61,'The List'!B1:F730,5,FALSE)</f>
        <v>STL</v>
      </c>
      <c r="E61" s="38">
        <f>VLOOKUP(A61,'The List'!B1:I730,8,FALSE)</f>
        <v>-1.7168462244865428</v>
      </c>
      <c r="F61" s="38">
        <f>IF(Settings!$E$15="POINTS",E61-VLOOKUP(B$2,C1:E229,3,FALSE),J61)</f>
        <v>-3.6585867681208537</v>
      </c>
      <c r="G61" s="38"/>
      <c r="H61" s="138">
        <f>RANK(I61,I3:I229)</f>
        <v>75</v>
      </c>
      <c r="I61" s="139">
        <f>VLOOKUP(A61,'Standard Deviations'!A1:C731,3,FALSE)</f>
        <v>-1.7168462244865428</v>
      </c>
      <c r="J61" s="139">
        <f>I61-VLOOKUP(B$2,H1:J229,2,FALSE)</f>
        <v>-3.6585867681208537</v>
      </c>
    </row>
    <row r="62" spans="1:10" ht="21.2" customHeight="1">
      <c r="A62" s="8" t="s">
        <v>303</v>
      </c>
      <c r="B62" s="144" t="str">
        <f>VLOOKUP(A62,'The List'!B1:D730,3,FALSE)</f>
        <v>D</v>
      </c>
      <c r="C62" s="145">
        <f>IF(Settings!$E$15="POINTS",RANK(E62,E3:E229),H62)</f>
        <v>74</v>
      </c>
      <c r="D62" s="34" t="str">
        <f>VLOOKUP(A62,'The List'!B1:F730,5,FALSE)</f>
        <v>CAR</v>
      </c>
      <c r="E62" s="38">
        <f>VLOOKUP(A62,'The List'!B1:I730,8,FALSE)</f>
        <v>-1.6573014810760707</v>
      </c>
      <c r="F62" s="38">
        <f>IF(Settings!$E$15="POINTS",E62-VLOOKUP(B$2,C1:E229,3,FALSE),J62)</f>
        <v>-3.5990420247103811</v>
      </c>
      <c r="G62" s="38"/>
      <c r="H62" s="138">
        <f>RANK(I62,I3:I229)</f>
        <v>74</v>
      </c>
      <c r="I62" s="139">
        <f>VLOOKUP(A62,'Standard Deviations'!A1:C731,3,FALSE)</f>
        <v>-1.6573014810760707</v>
      </c>
      <c r="J62" s="139">
        <f>I62-VLOOKUP(B$2,H1:J229,2,FALSE)</f>
        <v>-3.5990420247103811</v>
      </c>
    </row>
    <row r="63" spans="1:10" ht="21.2" customHeight="1">
      <c r="A63" s="8" t="s">
        <v>308</v>
      </c>
      <c r="B63" s="144" t="str">
        <f>VLOOKUP(A63,'The List'!B1:D730,3,FALSE)</f>
        <v>D</v>
      </c>
      <c r="C63" s="145">
        <f>IF(Settings!$E$15="POINTS",RANK(E63,E3:E229),H63)</f>
        <v>78</v>
      </c>
      <c r="D63" s="34" t="str">
        <f>VLOOKUP(A63,'The List'!B1:F730,5,FALSE)</f>
        <v>CAR</v>
      </c>
      <c r="E63" s="38">
        <f>VLOOKUP(A63,'The List'!B1:I730,8,FALSE)</f>
        <v>-1.8312770084705303</v>
      </c>
      <c r="F63" s="38">
        <f>IF(Settings!$E$15="POINTS",E63-VLOOKUP(B$2,C1:E229,3,FALSE),J63)</f>
        <v>-3.7730175521048412</v>
      </c>
      <c r="G63" s="38"/>
      <c r="H63" s="138">
        <f>RANK(I63,I3:I229)</f>
        <v>78</v>
      </c>
      <c r="I63" s="139">
        <f>VLOOKUP(A63,'Standard Deviations'!A1:C731,3,FALSE)</f>
        <v>-1.8312770084705303</v>
      </c>
      <c r="J63" s="139">
        <f>I63-VLOOKUP(B$2,H1:J229,2,FALSE)</f>
        <v>-3.7730175521048412</v>
      </c>
    </row>
    <row r="64" spans="1:10" ht="21.2" customHeight="1">
      <c r="A64" s="8" t="s">
        <v>314</v>
      </c>
      <c r="B64" s="144" t="str">
        <f>VLOOKUP(A64,'The List'!B1:D730,3,FALSE)</f>
        <v>D</v>
      </c>
      <c r="C64" s="145">
        <f>IF(Settings!$E$15="POINTS",RANK(E64,E3:E229),H64)</f>
        <v>67</v>
      </c>
      <c r="D64" s="34" t="str">
        <f>VLOOKUP(A64,'The List'!B1:F730,5,FALSE)</f>
        <v>CAR</v>
      </c>
      <c r="E64" s="38">
        <f>VLOOKUP(A64,'The List'!B1:I730,8,FALSE)</f>
        <v>-1.4221021148618926</v>
      </c>
      <c r="F64" s="38">
        <f>IF(Settings!$E$15="POINTS",E64-VLOOKUP(B$2,C1:E229,3,FALSE),J64)</f>
        <v>-3.3638426584962033</v>
      </c>
      <c r="G64" s="38"/>
      <c r="H64" s="138">
        <f>RANK(I64,I3:I229)</f>
        <v>67</v>
      </c>
      <c r="I64" s="139">
        <f>VLOOKUP(A64,'Standard Deviations'!A1:C731,3,FALSE)</f>
        <v>-1.4221021148618926</v>
      </c>
      <c r="J64" s="139">
        <f>I64-VLOOKUP(B$2,H1:J229,2,FALSE)</f>
        <v>-3.3638426584962033</v>
      </c>
    </row>
    <row r="65" spans="1:10" ht="21.2" customHeight="1">
      <c r="A65" s="8" t="s">
        <v>315</v>
      </c>
      <c r="B65" s="144" t="str">
        <f>VLOOKUP(A65,'The List'!B1:D730,3,FALSE)</f>
        <v>D</v>
      </c>
      <c r="C65" s="145">
        <f>IF(Settings!$E$15="POINTS",RANK(E65,E3:E229),H65)</f>
        <v>71</v>
      </c>
      <c r="D65" s="34" t="str">
        <f>VLOOKUP(A65,'The List'!B1:F730,5,FALSE)</f>
        <v>COL</v>
      </c>
      <c r="E65" s="38">
        <f>VLOOKUP(A65,'The List'!B1:I730,8,FALSE)</f>
        <v>-1.4734191450253451</v>
      </c>
      <c r="F65" s="38">
        <f>IF(Settings!$E$15="POINTS",E65-VLOOKUP(B$2,C1:E229,3,FALSE),J65)</f>
        <v>-3.4151596886596556</v>
      </c>
      <c r="G65" s="38"/>
      <c r="H65" s="138">
        <f>RANK(I65,I3:I229)</f>
        <v>71</v>
      </c>
      <c r="I65" s="139">
        <f>VLOOKUP(A65,'Standard Deviations'!A1:C731,3,FALSE)</f>
        <v>-1.4734191450253451</v>
      </c>
      <c r="J65" s="139">
        <f>I65-VLOOKUP(B$2,H1:J229,2,FALSE)</f>
        <v>-3.4151596886596556</v>
      </c>
    </row>
    <row r="66" spans="1:10" ht="21.2" customHeight="1">
      <c r="A66" s="8" t="s">
        <v>316</v>
      </c>
      <c r="B66" s="144" t="str">
        <f>VLOOKUP(A66,'The List'!B1:D730,3,FALSE)</f>
        <v>D</v>
      </c>
      <c r="C66" s="145">
        <f>IF(Settings!$E$15="POINTS",RANK(E66,E3:E229),H66)</f>
        <v>77</v>
      </c>
      <c r="D66" s="34" t="str">
        <f>VLOOKUP(A66,'The List'!B1:F730,5,FALSE)</f>
        <v>NYR</v>
      </c>
      <c r="E66" s="38">
        <f>VLOOKUP(A66,'The List'!B1:I730,8,FALSE)</f>
        <v>-1.8079946255179389</v>
      </c>
      <c r="F66" s="38">
        <f>IF(Settings!$E$15="POINTS",E66-VLOOKUP(B$2,C1:E229,3,FALSE),J66)</f>
        <v>-3.7497351691522498</v>
      </c>
      <c r="G66" s="38"/>
      <c r="H66" s="138">
        <f>RANK(I66,I3:I229)</f>
        <v>77</v>
      </c>
      <c r="I66" s="139">
        <f>VLOOKUP(A66,'Standard Deviations'!A1:C731,3,FALSE)</f>
        <v>-1.8079946255179389</v>
      </c>
      <c r="J66" s="139">
        <f>I66-VLOOKUP(B$2,H1:J229,2,FALSE)</f>
        <v>-3.7497351691522498</v>
      </c>
    </row>
    <row r="67" spans="1:10" ht="21.2" customHeight="1">
      <c r="A67" s="8" t="s">
        <v>317</v>
      </c>
      <c r="B67" s="144" t="str">
        <f>VLOOKUP(A67,'The List'!B1:D730,3,FALSE)</f>
        <v>D</v>
      </c>
      <c r="C67" s="145">
        <f>IF(Settings!$E$15="POINTS",RANK(E67,E3:E229),H67)</f>
        <v>84</v>
      </c>
      <c r="D67" s="34" t="str">
        <f>VLOOKUP(A67,'The List'!B1:F730,5,FALSE)</f>
        <v>SEA</v>
      </c>
      <c r="E67" s="38">
        <f>VLOOKUP(A67,'The List'!B1:I730,8,FALSE)</f>
        <v>-2.3205697347603951</v>
      </c>
      <c r="F67" s="38">
        <f>IF(Settings!$E$15="POINTS",E67-VLOOKUP(B$2,C1:E229,3,FALSE),J67)</f>
        <v>-4.2623102783947058</v>
      </c>
      <c r="G67" s="38"/>
      <c r="H67" s="138">
        <f>RANK(I67,I3:I229)</f>
        <v>84</v>
      </c>
      <c r="I67" s="139">
        <f>VLOOKUP(A67,'Standard Deviations'!A1:C731,3,FALSE)</f>
        <v>-2.3205697347603951</v>
      </c>
      <c r="J67" s="139">
        <f>I67-VLOOKUP(B$2,H1:J229,2,FALSE)</f>
        <v>-4.2623102783947058</v>
      </c>
    </row>
    <row r="68" spans="1:10" ht="21.2" customHeight="1">
      <c r="A68" s="8" t="s">
        <v>321</v>
      </c>
      <c r="B68" s="144" t="str">
        <f>VLOOKUP(A68,'The List'!B1:D730,3,FALSE)</f>
        <v>D</v>
      </c>
      <c r="C68" s="145">
        <f>IF(Settings!$E$15="POINTS",RANK(E68,E3:E229),H68)</f>
        <v>54</v>
      </c>
      <c r="D68" s="34" t="str">
        <f>VLOOKUP(A68,'The List'!B1:F730,5,FALSE)</f>
        <v>PHI</v>
      </c>
      <c r="E68" s="38">
        <f>VLOOKUP(A68,'The List'!B1:I730,8,FALSE)</f>
        <v>-0.43327725227316627</v>
      </c>
      <c r="F68" s="38">
        <f>IF(Settings!$E$15="POINTS",E68-VLOOKUP(B$2,C1:E229,3,FALSE),J68)</f>
        <v>-2.375017795907477</v>
      </c>
      <c r="G68" s="38"/>
      <c r="H68" s="138">
        <f>RANK(I68,I3:I229)</f>
        <v>54</v>
      </c>
      <c r="I68" s="139">
        <f>VLOOKUP(A68,'Standard Deviations'!A1:C731,3,FALSE)</f>
        <v>-0.43327725227316627</v>
      </c>
      <c r="J68" s="139">
        <f>I68-VLOOKUP(B$2,H1:J229,2,FALSE)</f>
        <v>-2.375017795907477</v>
      </c>
    </row>
    <row r="69" spans="1:10" ht="21.2" customHeight="1">
      <c r="A69" s="8" t="s">
        <v>322</v>
      </c>
      <c r="B69" s="144" t="str">
        <f>VLOOKUP(A69,'The List'!B1:D730,3,FALSE)</f>
        <v>D</v>
      </c>
      <c r="C69" s="145">
        <f>IF(Settings!$E$15="POINTS",RANK(E69,E3:E229),H69)</f>
        <v>63</v>
      </c>
      <c r="D69" s="34" t="str">
        <f>VLOOKUP(A69,'The List'!B1:F730,5,FALSE)</f>
        <v>ARI</v>
      </c>
      <c r="E69" s="38">
        <f>VLOOKUP(A69,'The List'!B1:I730,8,FALSE)</f>
        <v>-1.1112390336864659</v>
      </c>
      <c r="F69" s="38">
        <f>IF(Settings!$E$15="POINTS",E69-VLOOKUP(B$2,C1:E229,3,FALSE),J69)</f>
        <v>-3.0529795773207766</v>
      </c>
      <c r="G69" s="38"/>
      <c r="H69" s="138">
        <f>RANK(I69,I3:I229)</f>
        <v>63</v>
      </c>
      <c r="I69" s="139">
        <f>VLOOKUP(A69,'Standard Deviations'!A1:C731,3,FALSE)</f>
        <v>-1.1112390336864659</v>
      </c>
      <c r="J69" s="139">
        <f>I69-VLOOKUP(B$2,H1:J229,2,FALSE)</f>
        <v>-3.0529795773207766</v>
      </c>
    </row>
    <row r="70" spans="1:10" ht="21.2" customHeight="1">
      <c r="A70" s="8" t="s">
        <v>325</v>
      </c>
      <c r="B70" s="144" t="str">
        <f>VLOOKUP(A70,'The List'!B1:D730,3,FALSE)</f>
        <v>D</v>
      </c>
      <c r="C70" s="145">
        <f>IF(Settings!$E$15="POINTS",RANK(E70,E3:E229),H70)</f>
        <v>73</v>
      </c>
      <c r="D70" s="34" t="str">
        <f>VLOOKUP(A70,'The List'!B1:F730,5,FALSE)</f>
        <v>BOS</v>
      </c>
      <c r="E70" s="38">
        <f>VLOOKUP(A70,'The List'!B1:I730,8,FALSE)</f>
        <v>-1.6404727663840566</v>
      </c>
      <c r="F70" s="38">
        <f>IF(Settings!$E$15="POINTS",E70-VLOOKUP(B$2,C1:E229,3,FALSE),J70)</f>
        <v>-3.5822133100183673</v>
      </c>
      <c r="G70" s="38"/>
      <c r="H70" s="138">
        <f>RANK(I70,I3:I229)</f>
        <v>73</v>
      </c>
      <c r="I70" s="139">
        <f>VLOOKUP(A70,'Standard Deviations'!A1:C731,3,FALSE)</f>
        <v>-1.6404727663840566</v>
      </c>
      <c r="J70" s="139">
        <f>I70-VLOOKUP(B$2,H1:J229,2,FALSE)</f>
        <v>-3.5822133100183673</v>
      </c>
    </row>
    <row r="71" spans="1:10" ht="21.2" customHeight="1">
      <c r="A71" s="8" t="s">
        <v>326</v>
      </c>
      <c r="B71" s="144" t="str">
        <f>VLOOKUP(A71,'The List'!B1:D730,3,FALSE)</f>
        <v>D</v>
      </c>
      <c r="C71" s="145">
        <f>IF(Settings!$E$15="POINTS",RANK(E71,E3:E229),H71)</f>
        <v>70</v>
      </c>
      <c r="D71" s="34" t="str">
        <f>VLOOKUP(A71,'The List'!B1:F730,5,FALSE)</f>
        <v>ARI</v>
      </c>
      <c r="E71" s="38">
        <f>VLOOKUP(A71,'The List'!B1:I730,8,FALSE)</f>
        <v>-1.4690667908369488</v>
      </c>
      <c r="F71" s="38">
        <f>IF(Settings!$E$15="POINTS",E71-VLOOKUP(B$2,C1:E229,3,FALSE),J71)</f>
        <v>-3.4108073344712597</v>
      </c>
      <c r="G71" s="38"/>
      <c r="H71" s="138">
        <f>RANK(I71,I3:I229)</f>
        <v>70</v>
      </c>
      <c r="I71" s="139">
        <f>VLOOKUP(A71,'Standard Deviations'!A1:C731,3,FALSE)</f>
        <v>-1.4690667908369488</v>
      </c>
      <c r="J71" s="139">
        <f>I71-VLOOKUP(B$2,H1:J229,2,FALSE)</f>
        <v>-3.4108073344712597</v>
      </c>
    </row>
    <row r="72" spans="1:10" ht="21.2" customHeight="1">
      <c r="A72" s="8" t="s">
        <v>328</v>
      </c>
      <c r="B72" s="144" t="str">
        <f>VLOOKUP(A72,'The List'!B1:D730,3,FALSE)</f>
        <v>D</v>
      </c>
      <c r="C72" s="145">
        <f>IF(Settings!$E$15="POINTS",RANK(E72,E3:E229),H72)</f>
        <v>69</v>
      </c>
      <c r="D72" s="34" t="str">
        <f>VLOOKUP(A72,'The List'!B1:F730,5,FALSE)</f>
        <v>DET</v>
      </c>
      <c r="E72" s="38">
        <f>VLOOKUP(A72,'The List'!B1:I730,8,FALSE)</f>
        <v>-1.4624001430035323</v>
      </c>
      <c r="F72" s="38">
        <f>IF(Settings!$E$15="POINTS",E72-VLOOKUP(B$2,C1:E229,3,FALSE),J72)</f>
        <v>-3.404140686637843</v>
      </c>
      <c r="G72" s="38"/>
      <c r="H72" s="138">
        <f>RANK(I72,I3:I229)</f>
        <v>69</v>
      </c>
      <c r="I72" s="139">
        <f>VLOOKUP(A72,'Standard Deviations'!A1:C731,3,FALSE)</f>
        <v>-1.4624001430035323</v>
      </c>
      <c r="J72" s="139">
        <f>I72-VLOOKUP(B$2,H1:J229,2,FALSE)</f>
        <v>-3.404140686637843</v>
      </c>
    </row>
    <row r="73" spans="1:10" ht="21.2" customHeight="1">
      <c r="A73" s="8" t="s">
        <v>330</v>
      </c>
      <c r="B73" s="144" t="str">
        <f>VLOOKUP(A73,'The List'!B1:D730,3,FALSE)</f>
        <v>D</v>
      </c>
      <c r="C73" s="145">
        <f>IF(Settings!$E$15="POINTS",RANK(E73,E3:E229),H73)</f>
        <v>64</v>
      </c>
      <c r="D73" s="34" t="str">
        <f>VLOOKUP(A73,'The List'!B1:F730,5,FALSE)</f>
        <v>SEA</v>
      </c>
      <c r="E73" s="38">
        <f>VLOOKUP(A73,'The List'!B1:I730,8,FALSE)</f>
        <v>-1.1854015601676557</v>
      </c>
      <c r="F73" s="38">
        <f>IF(Settings!$E$15="POINTS",E73-VLOOKUP(B$2,C1:E229,3,FALSE),J73)</f>
        <v>-3.1271421038019662</v>
      </c>
      <c r="G73" s="38"/>
      <c r="H73" s="138">
        <f>RANK(I73,I3:I229)</f>
        <v>64</v>
      </c>
      <c r="I73" s="139">
        <f>VLOOKUP(A73,'Standard Deviations'!A1:C731,3,FALSE)</f>
        <v>-1.1854015601676557</v>
      </c>
      <c r="J73" s="139">
        <f>I73-VLOOKUP(B$2,H1:J229,2,FALSE)</f>
        <v>-3.1271421038019662</v>
      </c>
    </row>
    <row r="74" spans="1:10" ht="21.2" customHeight="1">
      <c r="A74" s="8" t="s">
        <v>332</v>
      </c>
      <c r="B74" s="144" t="str">
        <f>VLOOKUP(A74,'The List'!B1:D730,3,FALSE)</f>
        <v>D</v>
      </c>
      <c r="C74" s="145">
        <f>IF(Settings!$E$15="POINTS",RANK(E74,E3:E229),H74)</f>
        <v>85</v>
      </c>
      <c r="D74" s="34" t="str">
        <f>VLOOKUP(A74,'The List'!B1:F730,5,FALSE)</f>
        <v>PIT</v>
      </c>
      <c r="E74" s="38">
        <f>VLOOKUP(A74,'The List'!B1:I730,8,FALSE)</f>
        <v>-2.3619480638132382</v>
      </c>
      <c r="F74" s="38">
        <f>IF(Settings!$E$15="POINTS",E74-VLOOKUP(B$2,C1:E229,3,FALSE),J74)</f>
        <v>-4.3036886074475493</v>
      </c>
      <c r="G74" s="38"/>
      <c r="H74" s="138">
        <f>RANK(I74,I3:I229)</f>
        <v>85</v>
      </c>
      <c r="I74" s="139">
        <f>VLOOKUP(A74,'Standard Deviations'!A1:C731,3,FALSE)</f>
        <v>-2.3619480638132382</v>
      </c>
      <c r="J74" s="139">
        <f>I74-VLOOKUP(B$2,H1:J229,2,FALSE)</f>
        <v>-4.3036886074475493</v>
      </c>
    </row>
    <row r="75" spans="1:10" ht="21.2" customHeight="1">
      <c r="A75" s="8" t="s">
        <v>333</v>
      </c>
      <c r="B75" s="144" t="str">
        <f>VLOOKUP(A75,'The List'!B1:D730,3,FALSE)</f>
        <v>D</v>
      </c>
      <c r="C75" s="145">
        <f>IF(Settings!$E$15="POINTS",RANK(E75,E3:E229),H75)</f>
        <v>86</v>
      </c>
      <c r="D75" s="34" t="str">
        <f>VLOOKUP(A75,'The List'!B1:F730,5,FALSE)</f>
        <v>CBJ</v>
      </c>
      <c r="E75" s="38">
        <f>VLOOKUP(A75,'The List'!B1:I730,8,FALSE)</f>
        <v>-2.4510525203842652</v>
      </c>
      <c r="F75" s="38">
        <f>IF(Settings!$E$15="POINTS",E75-VLOOKUP(B$2,C1:E229,3,FALSE),J75)</f>
        <v>-4.3927930640185764</v>
      </c>
      <c r="G75" s="38"/>
      <c r="H75" s="138">
        <f>RANK(I75,I3:I229)</f>
        <v>86</v>
      </c>
      <c r="I75" s="139">
        <f>VLOOKUP(A75,'Standard Deviations'!A1:C731,3,FALSE)</f>
        <v>-2.4510525203842652</v>
      </c>
      <c r="J75" s="139">
        <f>I75-VLOOKUP(B$2,H1:J229,2,FALSE)</f>
        <v>-4.3927930640185764</v>
      </c>
    </row>
    <row r="76" spans="1:10" ht="21.2" customHeight="1">
      <c r="A76" s="8" t="s">
        <v>334</v>
      </c>
      <c r="B76" s="144" t="str">
        <f>VLOOKUP(A76,'The List'!B1:D730,3,FALSE)</f>
        <v>D</v>
      </c>
      <c r="C76" s="145">
        <f>IF(Settings!$E$15="POINTS",RANK(E76,E3:E229),H76)</f>
        <v>65</v>
      </c>
      <c r="D76" s="34" t="str">
        <f>VLOOKUP(A76,'The List'!B1:F730,5,FALSE)</f>
        <v>DAL</v>
      </c>
      <c r="E76" s="38">
        <f>VLOOKUP(A76,'The List'!B1:I730,8,FALSE)</f>
        <v>-1.2499509105377344</v>
      </c>
      <c r="F76" s="38">
        <f>IF(Settings!$E$15="POINTS",E76-VLOOKUP(B$2,C1:E229,3,FALSE),J76)</f>
        <v>-3.1916914541720454</v>
      </c>
      <c r="G76" s="38"/>
      <c r="H76" s="138">
        <f>RANK(I76,I3:I229)</f>
        <v>65</v>
      </c>
      <c r="I76" s="139">
        <f>VLOOKUP(A76,'Standard Deviations'!A1:C731,3,FALSE)</f>
        <v>-1.2499509105377344</v>
      </c>
      <c r="J76" s="139">
        <f>I76-VLOOKUP(B$2,H1:J229,2,FALSE)</f>
        <v>-3.1916914541720454</v>
      </c>
    </row>
    <row r="77" spans="1:10" ht="21.2" customHeight="1">
      <c r="A77" s="8" t="s">
        <v>337</v>
      </c>
      <c r="B77" s="144" t="str">
        <f>VLOOKUP(A77,'The List'!B1:D730,3,FALSE)</f>
        <v>D</v>
      </c>
      <c r="C77" s="145">
        <f>IF(Settings!$E$15="POINTS",RANK(E77,E3:E229),H77)</f>
        <v>80</v>
      </c>
      <c r="D77" s="34" t="str">
        <f>VLOOKUP(A77,'The List'!B1:F730,5,FALSE)</f>
        <v>SJS</v>
      </c>
      <c r="E77" s="38">
        <f>VLOOKUP(A77,'The List'!B1:I730,8,FALSE)</f>
        <v>-2.0593409076692457</v>
      </c>
      <c r="F77" s="38">
        <f>IF(Settings!$E$15="POINTS",E77-VLOOKUP(B$2,C1:E229,3,FALSE),J77)</f>
        <v>-4.0010814513035564</v>
      </c>
      <c r="G77" s="38"/>
      <c r="H77" s="138">
        <f>RANK(I77,I3:I229)</f>
        <v>80</v>
      </c>
      <c r="I77" s="139">
        <f>VLOOKUP(A77,'Standard Deviations'!A1:C731,3,FALSE)</f>
        <v>-2.0593409076692457</v>
      </c>
      <c r="J77" s="139">
        <f>I77-VLOOKUP(B$2,H1:J229,2,FALSE)</f>
        <v>-4.0010814513035564</v>
      </c>
    </row>
    <row r="78" spans="1:10" ht="21.2" customHeight="1">
      <c r="A78" s="8" t="s">
        <v>339</v>
      </c>
      <c r="B78" s="144" t="str">
        <f>VLOOKUP(A78,'The List'!B1:D730,3,FALSE)</f>
        <v>D</v>
      </c>
      <c r="C78" s="145">
        <f>IF(Settings!$E$15="POINTS",RANK(E78,E3:E229),H78)</f>
        <v>53</v>
      </c>
      <c r="D78" s="34" t="str">
        <f>VLOOKUP(A78,'The List'!B1:F730,5,FALSE)</f>
        <v>ANA</v>
      </c>
      <c r="E78" s="38">
        <f>VLOOKUP(A78,'The List'!B1:I730,8,FALSE)</f>
        <v>-0.35114908602908396</v>
      </c>
      <c r="F78" s="38">
        <f>IF(Settings!$E$15="POINTS",E78-VLOOKUP(B$2,C1:E229,3,FALSE),J78)</f>
        <v>-2.2928896296633945</v>
      </c>
      <c r="G78" s="38"/>
      <c r="H78" s="138">
        <f>RANK(I78,I3:I229)</f>
        <v>53</v>
      </c>
      <c r="I78" s="139">
        <f>VLOOKUP(A78,'Standard Deviations'!A1:C731,3,FALSE)</f>
        <v>-0.35114908602908396</v>
      </c>
      <c r="J78" s="139">
        <f>I78-VLOOKUP(B$2,H1:J229,2,FALSE)</f>
        <v>-2.2928896296633945</v>
      </c>
    </row>
    <row r="79" spans="1:10" ht="21.2" customHeight="1">
      <c r="A79" s="8" t="s">
        <v>340</v>
      </c>
      <c r="B79" s="144" t="str">
        <f>VLOOKUP(A79,'The List'!B1:D730,3,FALSE)</f>
        <v>D</v>
      </c>
      <c r="C79" s="145">
        <f>IF(Settings!$E$15="POINTS",RANK(E79,E3:E229),H79)</f>
        <v>87</v>
      </c>
      <c r="D79" s="34" t="str">
        <f>VLOOKUP(A79,'The List'!B1:F730,5,FALSE)</f>
        <v>PHI</v>
      </c>
      <c r="E79" s="38">
        <f>VLOOKUP(A79,'The List'!B1:I730,8,FALSE)</f>
        <v>-2.4623612641078871</v>
      </c>
      <c r="F79" s="38">
        <f>IF(Settings!$E$15="POINTS",E79-VLOOKUP(B$2,C1:E229,3,FALSE),J79)</f>
        <v>-4.4041018077421974</v>
      </c>
      <c r="G79" s="38"/>
      <c r="H79" s="138">
        <f>RANK(I79,I3:I229)</f>
        <v>87</v>
      </c>
      <c r="I79" s="139">
        <f>VLOOKUP(A79,'Standard Deviations'!A1:C731,3,FALSE)</f>
        <v>-2.4623612641078871</v>
      </c>
      <c r="J79" s="139">
        <f>I79-VLOOKUP(B$2,H1:J229,2,FALSE)</f>
        <v>-4.4041018077421974</v>
      </c>
    </row>
    <row r="80" spans="1:10" ht="21.2" customHeight="1">
      <c r="A80" s="8" t="s">
        <v>342</v>
      </c>
      <c r="B80" s="144" t="str">
        <f>VLOOKUP(A80,'The List'!B1:D730,3,FALSE)</f>
        <v>D</v>
      </c>
      <c r="C80" s="145">
        <f>IF(Settings!$E$15="POINTS",RANK(E80,E3:E229),H80)</f>
        <v>83</v>
      </c>
      <c r="D80" s="34" t="str">
        <f>VLOOKUP(A80,'The List'!B1:F730,5,FALSE)</f>
        <v>NYI</v>
      </c>
      <c r="E80" s="38">
        <f>VLOOKUP(A80,'The List'!B1:I730,8,FALSE)</f>
        <v>-2.2281052678362059</v>
      </c>
      <c r="F80" s="38">
        <f>IF(Settings!$E$15="POINTS",E80-VLOOKUP(B$2,C1:E229,3,FALSE),J80)</f>
        <v>-4.1698458114705161</v>
      </c>
      <c r="G80" s="38"/>
      <c r="H80" s="138">
        <f>RANK(I80,I3:I229)</f>
        <v>83</v>
      </c>
      <c r="I80" s="139">
        <f>VLOOKUP(A80,'Standard Deviations'!A1:C731,3,FALSE)</f>
        <v>-2.2281052678362059</v>
      </c>
      <c r="J80" s="139">
        <f>I80-VLOOKUP(B$2,H1:J229,2,FALSE)</f>
        <v>-4.1698458114705161</v>
      </c>
    </row>
    <row r="81" spans="1:10" ht="21.2" customHeight="1">
      <c r="A81" s="8" t="s">
        <v>345</v>
      </c>
      <c r="B81" s="144" t="str">
        <f>VLOOKUP(A81,'The List'!B1:D730,3,FALSE)</f>
        <v>D</v>
      </c>
      <c r="C81" s="145">
        <f>IF(Settings!$E$15="POINTS",RANK(E81,E3:E229),H81)</f>
        <v>76</v>
      </c>
      <c r="D81" s="34" t="str">
        <f>VLOOKUP(A81,'The List'!B1:F730,5,FALSE)</f>
        <v>MTL</v>
      </c>
      <c r="E81" s="38">
        <f>VLOOKUP(A81,'The List'!B1:I730,8,FALSE)</f>
        <v>-1.7634012996426018</v>
      </c>
      <c r="F81" s="38">
        <f>IF(Settings!$E$15="POINTS",E81-VLOOKUP(B$2,C1:E229,3,FALSE),J81)</f>
        <v>-3.7051418432769125</v>
      </c>
      <c r="G81" s="38"/>
      <c r="H81" s="138">
        <f>RANK(I81,I3:I229)</f>
        <v>76</v>
      </c>
      <c r="I81" s="139">
        <f>VLOOKUP(A81,'Standard Deviations'!A1:C731,3,FALSE)</f>
        <v>-1.7634012996426018</v>
      </c>
      <c r="J81" s="139">
        <f>I81-VLOOKUP(B$2,H1:J229,2,FALSE)</f>
        <v>-3.7051418432769125</v>
      </c>
    </row>
    <row r="82" spans="1:10" ht="21.2" customHeight="1">
      <c r="A82" s="8" t="s">
        <v>346</v>
      </c>
      <c r="B82" s="144" t="str">
        <f>VLOOKUP(A82,'The List'!B1:D730,3,FALSE)</f>
        <v>D</v>
      </c>
      <c r="C82" s="145">
        <f>IF(Settings!$E$15="POINTS",RANK(E82,E3:E229),H82)</f>
        <v>68</v>
      </c>
      <c r="D82" s="34" t="str">
        <f>VLOOKUP(A82,'The List'!B1:F730,5,FALSE)</f>
        <v>MIN</v>
      </c>
      <c r="E82" s="38">
        <f>VLOOKUP(A82,'The List'!B1:I730,8,FALSE)</f>
        <v>-1.4336469758821724</v>
      </c>
      <c r="F82" s="38">
        <f>IF(Settings!$E$15="POINTS",E82-VLOOKUP(B$2,C1:E229,3,FALSE),J82)</f>
        <v>-3.3753875195164831</v>
      </c>
      <c r="G82" s="38"/>
      <c r="H82" s="138">
        <f>RANK(I82,I3:I229)</f>
        <v>68</v>
      </c>
      <c r="I82" s="139">
        <f>VLOOKUP(A82,'Standard Deviations'!A1:C731,3,FALSE)</f>
        <v>-1.4336469758821724</v>
      </c>
      <c r="J82" s="139">
        <f>I82-VLOOKUP(B$2,H1:J229,2,FALSE)</f>
        <v>-3.3753875195164831</v>
      </c>
    </row>
    <row r="83" spans="1:10" ht="21.2" customHeight="1">
      <c r="A83" s="8" t="s">
        <v>348</v>
      </c>
      <c r="B83" s="144" t="str">
        <f>VLOOKUP(A83,'The List'!B1:D730,3,FALSE)</f>
        <v>D</v>
      </c>
      <c r="C83" s="145">
        <f>IF(Settings!$E$15="POINTS",RANK(E83,E3:E229),H83)</f>
        <v>45</v>
      </c>
      <c r="D83" s="34" t="str">
        <f>VLOOKUP(A83,'The List'!B1:F730,5,FALSE)</f>
        <v>MIN</v>
      </c>
      <c r="E83" s="38">
        <f>VLOOKUP(A83,'The List'!B1:I730,8,FALSE)</f>
        <v>0.37262827336903515</v>
      </c>
      <c r="F83" s="38">
        <f>IF(Settings!$E$15="POINTS",E83-VLOOKUP(B$2,C1:E229,3,FALSE),J83)</f>
        <v>-1.5691122702652756</v>
      </c>
      <c r="G83" s="38"/>
      <c r="H83" s="138">
        <f>RANK(I83,I3:I229)</f>
        <v>45</v>
      </c>
      <c r="I83" s="139">
        <f>VLOOKUP(A83,'Standard Deviations'!A1:C731,3,FALSE)</f>
        <v>0.37262827336903515</v>
      </c>
      <c r="J83" s="139">
        <f>I83-VLOOKUP(B$2,H1:J229,2,FALSE)</f>
        <v>-1.5691122702652756</v>
      </c>
    </row>
    <row r="84" spans="1:10" ht="21.2" customHeight="1">
      <c r="A84" s="8" t="s">
        <v>350</v>
      </c>
      <c r="B84" s="144" t="str">
        <f>VLOOKUP(A84,'The List'!B1:D730,3,FALSE)</f>
        <v>D</v>
      </c>
      <c r="C84" s="145">
        <f>IF(Settings!$E$15="POINTS",RANK(E84,E3:E229),H84)</f>
        <v>51</v>
      </c>
      <c r="D84" s="34" t="str">
        <f>VLOOKUP(A84,'The List'!B1:F730,5,FALSE)</f>
        <v>COL</v>
      </c>
      <c r="E84" s="38">
        <f>VLOOKUP(A84,'The List'!B1:I730,8,FALSE)</f>
        <v>-0.20640304525821535</v>
      </c>
      <c r="F84" s="38">
        <f>IF(Settings!$E$15="POINTS",E84-VLOOKUP(B$2,C1:E229,3,FALSE),J84)</f>
        <v>-2.148143588892526</v>
      </c>
      <c r="G84" s="38"/>
      <c r="H84" s="138">
        <f>RANK(I84,I3:I229)</f>
        <v>51</v>
      </c>
      <c r="I84" s="139">
        <f>VLOOKUP(A84,'Standard Deviations'!A1:C731,3,FALSE)</f>
        <v>-0.20640304525821535</v>
      </c>
      <c r="J84" s="139">
        <f>I84-VLOOKUP(B$2,H1:J229,2,FALSE)</f>
        <v>-2.148143588892526</v>
      </c>
    </row>
    <row r="85" spans="1:10" ht="21.2" customHeight="1">
      <c r="A85" s="8" t="s">
        <v>354</v>
      </c>
      <c r="B85" s="144" t="str">
        <f>VLOOKUP(A85,'The List'!B1:D730,3,FALSE)</f>
        <v>D</v>
      </c>
      <c r="C85" s="145">
        <f>IF(Settings!$E$15="POINTS",RANK(E85,E3:E229),H85)</f>
        <v>89</v>
      </c>
      <c r="D85" s="34" t="str">
        <f>VLOOKUP(A85,'The List'!B1:F730,5,FALSE)</f>
        <v>MIN</v>
      </c>
      <c r="E85" s="38">
        <f>VLOOKUP(A85,'The List'!B1:I730,8,FALSE)</f>
        <v>-2.5563201063410528</v>
      </c>
      <c r="F85" s="38">
        <f>IF(Settings!$E$15="POINTS",E85-VLOOKUP(B$2,C1:E229,3,FALSE),J85)</f>
        <v>-4.498060649975363</v>
      </c>
      <c r="G85" s="38"/>
      <c r="H85" s="138">
        <f>RANK(I85,I3:I229)</f>
        <v>89</v>
      </c>
      <c r="I85" s="139">
        <f>VLOOKUP(A85,'Standard Deviations'!A1:C731,3,FALSE)</f>
        <v>-2.5563201063410528</v>
      </c>
      <c r="J85" s="139">
        <f>I85-VLOOKUP(B$2,H1:J229,2,FALSE)</f>
        <v>-4.498060649975363</v>
      </c>
    </row>
    <row r="86" spans="1:10" ht="21.2" customHeight="1">
      <c r="A86" s="8" t="s">
        <v>356</v>
      </c>
      <c r="B86" s="144" t="str">
        <f>VLOOKUP(A86,'The List'!B1:D730,3,FALSE)</f>
        <v>D</v>
      </c>
      <c r="C86" s="145">
        <f>IF(Settings!$E$15="POINTS",RANK(E86,E3:E229),H86)</f>
        <v>90</v>
      </c>
      <c r="D86" s="34" t="str">
        <f>VLOOKUP(A86,'The List'!B1:F730,5,FALSE)</f>
        <v>NYI</v>
      </c>
      <c r="E86" s="38">
        <f>VLOOKUP(A86,'The List'!B1:I730,8,FALSE)</f>
        <v>-2.5598520797341382</v>
      </c>
      <c r="F86" s="38">
        <f>IF(Settings!$E$15="POINTS",E86-VLOOKUP(B$2,C1:E229,3,FALSE),J86)</f>
        <v>-4.5015926233684489</v>
      </c>
      <c r="G86" s="38"/>
      <c r="H86" s="138">
        <f>RANK(I86,I3:I229)</f>
        <v>90</v>
      </c>
      <c r="I86" s="139">
        <f>VLOOKUP(A86,'Standard Deviations'!A1:C731,3,FALSE)</f>
        <v>-2.5598520797341382</v>
      </c>
      <c r="J86" s="139">
        <f>I86-VLOOKUP(B$2,H1:J229,2,FALSE)</f>
        <v>-4.5015926233684489</v>
      </c>
    </row>
    <row r="87" spans="1:10" ht="21.2" customHeight="1">
      <c r="A87" s="8" t="s">
        <v>364</v>
      </c>
      <c r="B87" s="144" t="str">
        <f>VLOOKUP(A87,'The List'!B1:D730,3,FALSE)</f>
        <v>D</v>
      </c>
      <c r="C87" s="145">
        <f>IF(Settings!$E$15="POINTS",RANK(E87,E3:E229),H87)</f>
        <v>72</v>
      </c>
      <c r="D87" s="34" t="str">
        <f>VLOOKUP(A87,'The List'!B1:F730,5,FALSE)</f>
        <v>WSH</v>
      </c>
      <c r="E87" s="38">
        <f>VLOOKUP(A87,'The List'!B1:I730,8,FALSE)</f>
        <v>-1.5256708090529725</v>
      </c>
      <c r="F87" s="38">
        <f>IF(Settings!$E$15="POINTS",E87-VLOOKUP(B$2,C1:E229,3,FALSE),J87)</f>
        <v>-3.4674113526872832</v>
      </c>
      <c r="G87" s="38"/>
      <c r="H87" s="138">
        <f>RANK(I87,I3:I229)</f>
        <v>72</v>
      </c>
      <c r="I87" s="139">
        <f>VLOOKUP(A87,'Standard Deviations'!A1:C731,3,FALSE)</f>
        <v>-1.5256708090529725</v>
      </c>
      <c r="J87" s="139">
        <f>I87-VLOOKUP(B$2,H1:J229,2,FALSE)</f>
        <v>-3.4674113526872832</v>
      </c>
    </row>
    <row r="88" spans="1:10" ht="21.2" customHeight="1">
      <c r="A88" s="8" t="s">
        <v>366</v>
      </c>
      <c r="B88" s="144" t="str">
        <f>VLOOKUP(A88,'The List'!B1:D730,3,FALSE)</f>
        <v>D</v>
      </c>
      <c r="C88" s="145">
        <f>IF(Settings!$E$15="POINTS",RANK(E88,E3:E229),H88)</f>
        <v>106</v>
      </c>
      <c r="D88" s="34" t="str">
        <f>VLOOKUP(A88,'The List'!B1:F730,5,FALSE)</f>
        <v>DAL</v>
      </c>
      <c r="E88" s="38">
        <f>VLOOKUP(A88,'The List'!B1:I730,8,FALSE)</f>
        <v>-3.1842386412538191</v>
      </c>
      <c r="F88" s="38">
        <f>IF(Settings!$E$15="POINTS",E88-VLOOKUP(B$2,C1:E229,3,FALSE),J88)</f>
        <v>-5.1259791848881298</v>
      </c>
      <c r="G88" s="38"/>
      <c r="H88" s="138">
        <f>RANK(I88,I3:I229)</f>
        <v>106</v>
      </c>
      <c r="I88" s="139">
        <f>VLOOKUP(A88,'Standard Deviations'!A1:C731,3,FALSE)</f>
        <v>-3.1842386412538191</v>
      </c>
      <c r="J88" s="139">
        <f>I88-VLOOKUP(B$2,H1:J229,2,FALSE)</f>
        <v>-5.1259791848881298</v>
      </c>
    </row>
    <row r="89" spans="1:10" ht="21.2" customHeight="1">
      <c r="A89" s="8" t="s">
        <v>370</v>
      </c>
      <c r="B89" s="144" t="str">
        <f>VLOOKUP(A89,'The List'!B1:D730,3,FALSE)</f>
        <v>D</v>
      </c>
      <c r="C89" s="145">
        <f>IF(Settings!$E$15="POINTS",RANK(E89,E3:E229),H89)</f>
        <v>81</v>
      </c>
      <c r="D89" s="34" t="str">
        <f>VLOOKUP(A89,'The List'!B1:F730,5,FALSE)</f>
        <v>DET</v>
      </c>
      <c r="E89" s="38">
        <f>VLOOKUP(A89,'The List'!B1:I730,8,FALSE)</f>
        <v>-2.1123319613830294</v>
      </c>
      <c r="F89" s="38">
        <f>IF(Settings!$E$15="POINTS",E89-VLOOKUP(B$2,C1:E229,3,FALSE),J89)</f>
        <v>-4.0540725050173396</v>
      </c>
      <c r="G89" s="38"/>
      <c r="H89" s="138">
        <f>RANK(I89,I3:I229)</f>
        <v>81</v>
      </c>
      <c r="I89" s="139">
        <f>VLOOKUP(A89,'Standard Deviations'!A1:C731,3,FALSE)</f>
        <v>-2.1123319613830294</v>
      </c>
      <c r="J89" s="139">
        <f>I89-VLOOKUP(B$2,H1:J229,2,FALSE)</f>
        <v>-4.0540725050173396</v>
      </c>
    </row>
    <row r="90" spans="1:10" ht="21.2" customHeight="1">
      <c r="A90" s="8" t="s">
        <v>375</v>
      </c>
      <c r="B90" s="144" t="str">
        <f>VLOOKUP(A90,'The List'!B1:D730,3,FALSE)</f>
        <v>D</v>
      </c>
      <c r="C90" s="145">
        <f>IF(Settings!$E$15="POINTS",RANK(E90,E3:E229),H90)</f>
        <v>98</v>
      </c>
      <c r="D90" s="34" t="str">
        <f>VLOOKUP(A90,'The List'!B1:F730,5,FALSE)</f>
        <v>LAK</v>
      </c>
      <c r="E90" s="38">
        <f>VLOOKUP(A90,'The List'!B1:I730,8,FALSE)</f>
        <v>-2.8953305402653968</v>
      </c>
      <c r="F90" s="38">
        <f>IF(Settings!$E$15="POINTS",E90-VLOOKUP(B$2,C1:E229,3,FALSE),J90)</f>
        <v>-4.8370710838997075</v>
      </c>
      <c r="G90" s="38"/>
      <c r="H90" s="138">
        <f>RANK(I90,I3:I229)</f>
        <v>98</v>
      </c>
      <c r="I90" s="139">
        <f>VLOOKUP(A90,'Standard Deviations'!A1:C731,3,FALSE)</f>
        <v>-2.8953305402653968</v>
      </c>
      <c r="J90" s="139">
        <f>I90-VLOOKUP(B$2,H1:J229,2,FALSE)</f>
        <v>-4.8370710838997075</v>
      </c>
    </row>
    <row r="91" spans="1:10" ht="21.2" customHeight="1">
      <c r="A91" s="8" t="s">
        <v>376</v>
      </c>
      <c r="B91" s="144" t="str">
        <f>VLOOKUP(A91,'The List'!B1:D730,3,FALSE)</f>
        <v>D</v>
      </c>
      <c r="C91" s="145">
        <f>IF(Settings!$E$15="POINTS",RANK(E91,E3:E229),H91)</f>
        <v>61</v>
      </c>
      <c r="D91" s="34" t="str">
        <f>VLOOKUP(A91,'The List'!B1:F730,5,FALSE)</f>
        <v>PHI</v>
      </c>
      <c r="E91" s="38">
        <f>VLOOKUP(A91,'The List'!B1:I730,8,FALSE)</f>
        <v>-0.95918710044723221</v>
      </c>
      <c r="F91" s="38">
        <f>IF(Settings!$E$15="POINTS",E91-VLOOKUP(B$2,C1:E229,3,FALSE),J91)</f>
        <v>-2.900927644081543</v>
      </c>
      <c r="G91" s="38"/>
      <c r="H91" s="138">
        <f>RANK(I91,I3:I229)</f>
        <v>61</v>
      </c>
      <c r="I91" s="139">
        <f>VLOOKUP(A91,'Standard Deviations'!A1:C731,3,FALSE)</f>
        <v>-0.95918710044723221</v>
      </c>
      <c r="J91" s="139">
        <f>I91-VLOOKUP(B$2,H1:J229,2,FALSE)</f>
        <v>-2.900927644081543</v>
      </c>
    </row>
    <row r="92" spans="1:10" ht="21.2" customHeight="1">
      <c r="A92" s="8" t="s">
        <v>377</v>
      </c>
      <c r="B92" s="144" t="str">
        <f>VLOOKUP(A92,'The List'!B1:D730,3,FALSE)</f>
        <v>D</v>
      </c>
      <c r="C92" s="145">
        <f>IF(Settings!$E$15="POINTS",RANK(E92,E3:E229),H92)</f>
        <v>99</v>
      </c>
      <c r="D92" s="34" t="str">
        <f>VLOOKUP(A92,'The List'!B1:F730,5,FALSE)</f>
        <v>PHI</v>
      </c>
      <c r="E92" s="38">
        <f>VLOOKUP(A92,'The List'!B1:I730,8,FALSE)</f>
        <v>-2.8988055969033466</v>
      </c>
      <c r="F92" s="38">
        <f>IF(Settings!$E$15="POINTS",E92-VLOOKUP(B$2,C1:E229,3,FALSE),J92)</f>
        <v>-4.8405461405376577</v>
      </c>
      <c r="G92" s="38"/>
      <c r="H92" s="138">
        <f>RANK(I92,I3:I229)</f>
        <v>99</v>
      </c>
      <c r="I92" s="139">
        <f>VLOOKUP(A92,'Standard Deviations'!A1:C731,3,FALSE)</f>
        <v>-2.8988055969033466</v>
      </c>
      <c r="J92" s="139">
        <f>I92-VLOOKUP(B$2,H1:J229,2,FALSE)</f>
        <v>-4.8405461405376577</v>
      </c>
    </row>
    <row r="93" spans="1:10" ht="21.2" customHeight="1">
      <c r="A93" s="8" t="s">
        <v>378</v>
      </c>
      <c r="B93" s="144" t="str">
        <f>VLOOKUP(A93,'The List'!B1:D730,3,FALSE)</f>
        <v>D</v>
      </c>
      <c r="C93" s="145">
        <f>IF(Settings!$E$15="POINTS",RANK(E93,E3:E229),H93)</f>
        <v>88</v>
      </c>
      <c r="D93" s="34" t="str">
        <f>VLOOKUP(A93,'The List'!B1:F730,5,FALSE)</f>
        <v>TBL</v>
      </c>
      <c r="E93" s="38">
        <f>VLOOKUP(A93,'The List'!B1:I730,8,FALSE)</f>
        <v>-2.4934381968305086</v>
      </c>
      <c r="F93" s="38">
        <f>IF(Settings!$E$15="POINTS",E93-VLOOKUP(B$2,C1:E229,3,FALSE),J93)</f>
        <v>-4.4351787404648189</v>
      </c>
      <c r="G93" s="38"/>
      <c r="H93" s="138">
        <f>RANK(I93,I3:I229)</f>
        <v>88</v>
      </c>
      <c r="I93" s="139">
        <f>VLOOKUP(A93,'Standard Deviations'!A1:C731,3,FALSE)</f>
        <v>-2.4934381968305086</v>
      </c>
      <c r="J93" s="139">
        <f>I93-VLOOKUP(B$2,H1:J229,2,FALSE)</f>
        <v>-4.4351787404648189</v>
      </c>
    </row>
    <row r="94" spans="1:10" ht="21.2" customHeight="1">
      <c r="A94" s="8" t="s">
        <v>380</v>
      </c>
      <c r="B94" s="144" t="str">
        <f>VLOOKUP(A94,'The List'!B1:D730,3,FALSE)</f>
        <v>D</v>
      </c>
      <c r="C94" s="145">
        <f>IF(Settings!$E$15="POINTS",RANK(E94,E3:E229),H94)</f>
        <v>101</v>
      </c>
      <c r="D94" s="34" t="str">
        <f>VLOOKUP(A94,'The List'!B1:F730,5,FALSE)</f>
        <v>LAK</v>
      </c>
      <c r="E94" s="38">
        <f>VLOOKUP(A94,'The List'!B1:I730,8,FALSE)</f>
        <v>-3.0565794078415265</v>
      </c>
      <c r="F94" s="38">
        <f>IF(Settings!$E$15="POINTS",E94-VLOOKUP(B$2,C1:E229,3,FALSE),J94)</f>
        <v>-4.9983199514758372</v>
      </c>
      <c r="G94" s="38"/>
      <c r="H94" s="138">
        <f>RANK(I94,I3:I229)</f>
        <v>101</v>
      </c>
      <c r="I94" s="139">
        <f>VLOOKUP(A94,'Standard Deviations'!A1:C731,3,FALSE)</f>
        <v>-3.0565794078415265</v>
      </c>
      <c r="J94" s="139">
        <f>I94-VLOOKUP(B$2,H1:J229,2,FALSE)</f>
        <v>-4.9983199514758372</v>
      </c>
    </row>
    <row r="95" spans="1:10" ht="21.2" customHeight="1">
      <c r="A95" s="8" t="s">
        <v>382</v>
      </c>
      <c r="B95" s="144" t="str">
        <f>VLOOKUP(A95,'The List'!B1:D730,3,FALSE)</f>
        <v>D</v>
      </c>
      <c r="C95" s="145">
        <f>IF(Settings!$E$15="POINTS",RANK(E95,E3:E229),H95)</f>
        <v>100</v>
      </c>
      <c r="D95" s="34" t="str">
        <f>VLOOKUP(A95,'The List'!B1:F730,5,FALSE)</f>
        <v>WSH</v>
      </c>
      <c r="E95" s="38">
        <f>VLOOKUP(A95,'The List'!B1:I730,8,FALSE)</f>
        <v>-3.0146891254994812</v>
      </c>
      <c r="F95" s="38">
        <f>IF(Settings!$E$15="POINTS",E95-VLOOKUP(B$2,C1:E229,3,FALSE),J95)</f>
        <v>-4.9564296691337919</v>
      </c>
      <c r="G95" s="38"/>
      <c r="H95" s="138">
        <f>RANK(I95,I3:I229)</f>
        <v>100</v>
      </c>
      <c r="I95" s="139">
        <f>VLOOKUP(A95,'Standard Deviations'!A1:C731,3,FALSE)</f>
        <v>-3.0146891254994812</v>
      </c>
      <c r="J95" s="139">
        <f>I95-VLOOKUP(B$2,H1:J229,2,FALSE)</f>
        <v>-4.9564296691337919</v>
      </c>
    </row>
    <row r="96" spans="1:10" ht="21.2" customHeight="1">
      <c r="A96" s="8" t="s">
        <v>386</v>
      </c>
      <c r="B96" s="144" t="str">
        <f>VLOOKUP(A96,'The List'!B1:D730,3,FALSE)</f>
        <v>D</v>
      </c>
      <c r="C96" s="145">
        <f>IF(Settings!$E$15="POINTS",RANK(E96,E3:E229),H96)</f>
        <v>93</v>
      </c>
      <c r="D96" s="34" t="str">
        <f>VLOOKUP(A96,'The List'!B1:F730,5,FALSE)</f>
        <v>UFA</v>
      </c>
      <c r="E96" s="38">
        <f>VLOOKUP(A96,'The List'!B1:I730,8,FALSE)</f>
        <v>-2.6988792595058766</v>
      </c>
      <c r="F96" s="38">
        <f>IF(Settings!$E$15="POINTS",E96-VLOOKUP(B$2,C1:E229,3,FALSE),J96)</f>
        <v>-4.6406198031401873</v>
      </c>
      <c r="G96" s="38"/>
      <c r="H96" s="138">
        <f>RANK(I96,I3:I229)</f>
        <v>93</v>
      </c>
      <c r="I96" s="139">
        <f>VLOOKUP(A96,'Standard Deviations'!A1:C731,3,FALSE)</f>
        <v>-2.6988792595058766</v>
      </c>
      <c r="J96" s="139">
        <f>I96-VLOOKUP(B$2,H1:J229,2,FALSE)</f>
        <v>-4.6406198031401873</v>
      </c>
    </row>
    <row r="97" spans="1:10" ht="21.2" customHeight="1">
      <c r="A97" s="8" t="s">
        <v>390</v>
      </c>
      <c r="B97" s="144" t="str">
        <f>VLOOKUP(A97,'The List'!B1:D730,3,FALSE)</f>
        <v>D</v>
      </c>
      <c r="C97" s="145">
        <f>IF(Settings!$E$15="POINTS",RANK(E97,E3:E229),H97)</f>
        <v>114</v>
      </c>
      <c r="D97" s="34" t="str">
        <f>VLOOKUP(A97,'The List'!B1:F730,5,FALSE)</f>
        <v>ANA</v>
      </c>
      <c r="E97" s="38">
        <f>VLOOKUP(A97,'The List'!B1:I730,8,FALSE)</f>
        <v>-3.3781292291857046</v>
      </c>
      <c r="F97" s="38">
        <f>IF(Settings!$E$15="POINTS",E97-VLOOKUP(B$2,C1:E229,3,FALSE),J97)</f>
        <v>-5.3198697728200148</v>
      </c>
      <c r="G97" s="38"/>
      <c r="H97" s="138">
        <f>RANK(I97,I3:I229)</f>
        <v>114</v>
      </c>
      <c r="I97" s="139">
        <f>VLOOKUP(A97,'Standard Deviations'!A1:C731,3,FALSE)</f>
        <v>-3.3781292291857046</v>
      </c>
      <c r="J97" s="139">
        <f>I97-VLOOKUP(B$2,H1:J229,2,FALSE)</f>
        <v>-5.3198697728200148</v>
      </c>
    </row>
    <row r="98" spans="1:10" ht="21.2" customHeight="1">
      <c r="A98" s="8" t="s">
        <v>392</v>
      </c>
      <c r="B98" s="144" t="str">
        <f>VLOOKUP(A98,'The List'!B1:D730,3,FALSE)</f>
        <v>D</v>
      </c>
      <c r="C98" s="145">
        <f>IF(Settings!$E$15="POINTS",RANK(E98,E3:E229),H98)</f>
        <v>103</v>
      </c>
      <c r="D98" s="34" t="str">
        <f>VLOOKUP(A98,'The List'!B1:F730,5,FALSE)</f>
        <v>PIT</v>
      </c>
      <c r="E98" s="38">
        <f>VLOOKUP(A98,'The List'!B1:I730,8,FALSE)</f>
        <v>-3.1263685611758247</v>
      </c>
      <c r="F98" s="38">
        <f>IF(Settings!$E$15="POINTS",E98-VLOOKUP(B$2,C1:E229,3,FALSE),J98)</f>
        <v>-5.0681091048101354</v>
      </c>
      <c r="G98" s="38"/>
      <c r="H98" s="138">
        <f>RANK(I98,I3:I229)</f>
        <v>103</v>
      </c>
      <c r="I98" s="139">
        <f>VLOOKUP(A98,'Standard Deviations'!A1:C731,3,FALSE)</f>
        <v>-3.1263685611758247</v>
      </c>
      <c r="J98" s="139">
        <f>I98-VLOOKUP(B$2,H1:J229,2,FALSE)</f>
        <v>-5.0681091048101354</v>
      </c>
    </row>
    <row r="99" spans="1:10" ht="21.2" customHeight="1">
      <c r="A99" s="8" t="s">
        <v>393</v>
      </c>
      <c r="B99" s="144" t="str">
        <f>VLOOKUP(A99,'The List'!B1:D730,3,FALSE)</f>
        <v>D</v>
      </c>
      <c r="C99" s="145">
        <f>IF(Settings!$E$15="POINTS",RANK(E99,E3:E229),H99)</f>
        <v>94</v>
      </c>
      <c r="D99" s="34" t="str">
        <f>VLOOKUP(A99,'The List'!B1:F730,5,FALSE)</f>
        <v>TOR</v>
      </c>
      <c r="E99" s="38">
        <f>VLOOKUP(A99,'The List'!B1:I730,8,FALSE)</f>
        <v>-2.7204318082011154</v>
      </c>
      <c r="F99" s="38">
        <f>IF(Settings!$E$15="POINTS",E99-VLOOKUP(B$2,C1:E229,3,FALSE),J99)</f>
        <v>-4.6621723518354266</v>
      </c>
      <c r="G99" s="38"/>
      <c r="H99" s="138">
        <f>RANK(I99,I3:I229)</f>
        <v>94</v>
      </c>
      <c r="I99" s="139">
        <f>VLOOKUP(A99,'Standard Deviations'!A1:C731,3,FALSE)</f>
        <v>-2.7204318082011154</v>
      </c>
      <c r="J99" s="139">
        <f>I99-VLOOKUP(B$2,H1:J229,2,FALSE)</f>
        <v>-4.6621723518354266</v>
      </c>
    </row>
    <row r="100" spans="1:10" ht="21.2" customHeight="1">
      <c r="A100" s="8" t="s">
        <v>395</v>
      </c>
      <c r="B100" s="144" t="str">
        <f>VLOOKUP(A100,'The List'!B1:D730,3,FALSE)</f>
        <v>D</v>
      </c>
      <c r="C100" s="145">
        <f>IF(Settings!$E$15="POINTS",RANK(E100,E3:E229),H100)</f>
        <v>116</v>
      </c>
      <c r="D100" s="34" t="str">
        <f>VLOOKUP(A100,'The List'!B1:F730,5,FALSE)</f>
        <v>NYI</v>
      </c>
      <c r="E100" s="38">
        <f>VLOOKUP(A100,'The List'!B1:I730,8,FALSE)</f>
        <v>-3.4381274702102651</v>
      </c>
      <c r="F100" s="38">
        <f>IF(Settings!$E$15="POINTS",E100-VLOOKUP(B$2,C1:E229,3,FALSE),J100)</f>
        <v>-5.3798680138445754</v>
      </c>
      <c r="G100" s="38"/>
      <c r="H100" s="138">
        <f>RANK(I100,I3:I229)</f>
        <v>116</v>
      </c>
      <c r="I100" s="139">
        <f>VLOOKUP(A100,'Standard Deviations'!A1:C731,3,FALSE)</f>
        <v>-3.4381274702102651</v>
      </c>
      <c r="J100" s="139">
        <f>I100-VLOOKUP(B$2,H1:J229,2,FALSE)</f>
        <v>-5.3798680138445754</v>
      </c>
    </row>
    <row r="101" spans="1:10" ht="21.2" customHeight="1">
      <c r="A101" s="8" t="s">
        <v>397</v>
      </c>
      <c r="B101" s="144" t="str">
        <f>VLOOKUP(A101,'The List'!B1:D730,3,FALSE)</f>
        <v>D</v>
      </c>
      <c r="C101" s="145">
        <f>IF(Settings!$E$15="POINTS",RANK(E101,E3:E229),H101)</f>
        <v>79</v>
      </c>
      <c r="D101" s="34" t="str">
        <f>VLOOKUP(A101,'The List'!B1:F730,5,FALSE)</f>
        <v>CBJ</v>
      </c>
      <c r="E101" s="38">
        <f>VLOOKUP(A101,'The List'!B1:I730,8,FALSE)</f>
        <v>-1.941205247102086</v>
      </c>
      <c r="F101" s="38">
        <f>IF(Settings!$E$15="POINTS",E101-VLOOKUP(B$2,C1:E229,3,FALSE),J101)</f>
        <v>-3.8829457907363967</v>
      </c>
      <c r="G101" s="38"/>
      <c r="H101" s="138">
        <f>RANK(I101,I3:I229)</f>
        <v>79</v>
      </c>
      <c r="I101" s="139">
        <f>VLOOKUP(A101,'Standard Deviations'!A1:C731,3,FALSE)</f>
        <v>-1.941205247102086</v>
      </c>
      <c r="J101" s="139">
        <f>I101-VLOOKUP(B$2,H1:J229,2,FALSE)</f>
        <v>-3.8829457907363967</v>
      </c>
    </row>
    <row r="102" spans="1:10" ht="21.2" customHeight="1">
      <c r="A102" s="8" t="s">
        <v>399</v>
      </c>
      <c r="B102" s="144" t="str">
        <f>VLOOKUP(A102,'The List'!B1:D730,3,FALSE)</f>
        <v>D</v>
      </c>
      <c r="C102" s="145">
        <f>IF(Settings!$E$15="POINTS",RANK(E102,E3:E229),H102)</f>
        <v>97</v>
      </c>
      <c r="D102" s="34" t="str">
        <f>VLOOKUP(A102,'The List'!B1:F730,5,FALSE)</f>
        <v>WPG</v>
      </c>
      <c r="E102" s="38">
        <f>VLOOKUP(A102,'The List'!B1:I730,8,FALSE)</f>
        <v>-2.8475116157438545</v>
      </c>
      <c r="F102" s="38">
        <f>IF(Settings!$E$15="POINTS",E102-VLOOKUP(B$2,C1:E229,3,FALSE),J102)</f>
        <v>-4.7892521593781652</v>
      </c>
      <c r="G102" s="38"/>
      <c r="H102" s="138">
        <f>RANK(I102,I3:I229)</f>
        <v>97</v>
      </c>
      <c r="I102" s="139">
        <f>VLOOKUP(A102,'Standard Deviations'!A1:C731,3,FALSE)</f>
        <v>-2.8475116157438545</v>
      </c>
      <c r="J102" s="139">
        <f>I102-VLOOKUP(B$2,H1:J229,2,FALSE)</f>
        <v>-4.7892521593781652</v>
      </c>
    </row>
    <row r="103" spans="1:10" ht="21.2" customHeight="1">
      <c r="A103" s="8" t="s">
        <v>403</v>
      </c>
      <c r="B103" s="144" t="str">
        <f>VLOOKUP(A103,'The List'!B1:D730,3,FALSE)</f>
        <v>D</v>
      </c>
      <c r="C103" s="145">
        <f>IF(Settings!$E$15="POINTS",RANK(E103,E3:E229),H103)</f>
        <v>96</v>
      </c>
      <c r="D103" s="34" t="str">
        <f>VLOOKUP(A103,'The List'!B1:F730,5,FALSE)</f>
        <v>BOS</v>
      </c>
      <c r="E103" s="38">
        <f>VLOOKUP(A103,'The List'!B1:I730,8,FALSE)</f>
        <v>-2.8366520779994189</v>
      </c>
      <c r="F103" s="38">
        <f>IF(Settings!$E$15="POINTS",E103-VLOOKUP(B$2,C1:E229,3,FALSE),J103)</f>
        <v>-4.7783926216337296</v>
      </c>
      <c r="G103" s="38"/>
      <c r="H103" s="138">
        <f>RANK(I103,I3:I229)</f>
        <v>96</v>
      </c>
      <c r="I103" s="139">
        <f>VLOOKUP(A103,'Standard Deviations'!A1:C731,3,FALSE)</f>
        <v>-2.8366520779994189</v>
      </c>
      <c r="J103" s="139">
        <f>I103-VLOOKUP(B$2,H1:J229,2,FALSE)</f>
        <v>-4.7783926216337296</v>
      </c>
    </row>
    <row r="104" spans="1:10" ht="21.2" customHeight="1">
      <c r="A104" s="8" t="s">
        <v>406</v>
      </c>
      <c r="B104" s="144" t="str">
        <f>VLOOKUP(A104,'The List'!B1:D730,3,FALSE)</f>
        <v>D</v>
      </c>
      <c r="C104" s="145">
        <f>IF(Settings!$E$15="POINTS",RANK(E104,E3:E229),H104)</f>
        <v>107</v>
      </c>
      <c r="D104" s="34" t="str">
        <f>VLOOKUP(A104,'The List'!B1:F730,5,FALSE)</f>
        <v>TBL</v>
      </c>
      <c r="E104" s="38">
        <f>VLOOKUP(A104,'The List'!B1:I730,8,FALSE)</f>
        <v>-3.2040053628536138</v>
      </c>
      <c r="F104" s="38">
        <f>IF(Settings!$E$15="POINTS",E104-VLOOKUP(B$2,C1:E229,3,FALSE),J104)</f>
        <v>-5.1457459064879245</v>
      </c>
      <c r="G104" s="38"/>
      <c r="H104" s="138">
        <f>RANK(I104,I3:I229)</f>
        <v>107</v>
      </c>
      <c r="I104" s="139">
        <f>VLOOKUP(A104,'Standard Deviations'!A1:C731,3,FALSE)</f>
        <v>-3.2040053628536138</v>
      </c>
      <c r="J104" s="139">
        <f>I104-VLOOKUP(B$2,H1:J229,2,FALSE)</f>
        <v>-5.1457459064879245</v>
      </c>
    </row>
    <row r="105" spans="1:10" ht="21.2" customHeight="1">
      <c r="A105" s="8" t="s">
        <v>407</v>
      </c>
      <c r="B105" s="144" t="str">
        <f>VLOOKUP(A105,'The List'!B1:D730,3,FALSE)</f>
        <v>D</v>
      </c>
      <c r="C105" s="145">
        <f>IF(Settings!$E$15="POINTS",RANK(E105,E3:E229),H105)</f>
        <v>127</v>
      </c>
      <c r="D105" s="34" t="str">
        <f>VLOOKUP(A105,'The List'!B1:F730,5,FALSE)</f>
        <v>NSH</v>
      </c>
      <c r="E105" s="38">
        <f>VLOOKUP(A105,'The List'!B1:I730,8,FALSE)</f>
        <v>-3.6957709241562782</v>
      </c>
      <c r="F105" s="38">
        <f>IF(Settings!$E$15="POINTS",E105-VLOOKUP(B$2,C1:E229,3,FALSE),J105)</f>
        <v>-5.6375114677905884</v>
      </c>
      <c r="G105" s="38"/>
      <c r="H105" s="138">
        <f>RANK(I105,I3:I229)</f>
        <v>127</v>
      </c>
      <c r="I105" s="139">
        <f>VLOOKUP(A105,'Standard Deviations'!A1:C731,3,FALSE)</f>
        <v>-3.6957709241562782</v>
      </c>
      <c r="J105" s="139">
        <f>I105-VLOOKUP(B$2,H1:J229,2,FALSE)</f>
        <v>-5.6375114677905884</v>
      </c>
    </row>
    <row r="106" spans="1:10" ht="21.2" customHeight="1">
      <c r="A106" s="8" t="s">
        <v>409</v>
      </c>
      <c r="B106" s="144" t="str">
        <f>VLOOKUP(A106,'The List'!B1:D730,3,FALSE)</f>
        <v>D</v>
      </c>
      <c r="C106" s="145">
        <f>IF(Settings!$E$15="POINTS",RANK(E106,E3:E229),H106)</f>
        <v>112</v>
      </c>
      <c r="D106" s="34" t="str">
        <f>VLOOKUP(A106,'The List'!B1:F730,5,FALSE)</f>
        <v>VGK</v>
      </c>
      <c r="E106" s="38">
        <f>VLOOKUP(A106,'The List'!B1:I730,8,FALSE)</f>
        <v>-3.3437685005368252</v>
      </c>
      <c r="F106" s="38">
        <f>IF(Settings!$E$15="POINTS",E106-VLOOKUP(B$2,C1:E229,3,FALSE),J106)</f>
        <v>-5.2855090441711354</v>
      </c>
      <c r="G106" s="38"/>
      <c r="H106" s="138">
        <f>RANK(I106,I3:I229)</f>
        <v>112</v>
      </c>
      <c r="I106" s="139">
        <f>VLOOKUP(A106,'Standard Deviations'!A1:C731,3,FALSE)</f>
        <v>-3.3437685005368252</v>
      </c>
      <c r="J106" s="139">
        <f>I106-VLOOKUP(B$2,H1:J229,2,FALSE)</f>
        <v>-5.2855090441711354</v>
      </c>
    </row>
    <row r="107" spans="1:10" ht="21.2" customHeight="1">
      <c r="A107" s="8" t="s">
        <v>414</v>
      </c>
      <c r="B107" s="144" t="str">
        <f>VLOOKUP(A107,'The List'!B1:D730,3,FALSE)</f>
        <v>D</v>
      </c>
      <c r="C107" s="145">
        <f>IF(Settings!$E$15="POINTS",RANK(E107,E3:E229),H107)</f>
        <v>117</v>
      </c>
      <c r="D107" s="34" t="str">
        <f>VLOOKUP(A107,'The List'!B1:F730,5,FALSE)</f>
        <v>VAN</v>
      </c>
      <c r="E107" s="38">
        <f>VLOOKUP(A107,'The List'!B1:I730,8,FALSE)</f>
        <v>-3.4564877770212101</v>
      </c>
      <c r="F107" s="38">
        <f>IF(Settings!$E$15="POINTS",E107-VLOOKUP(B$2,C1:E229,3,FALSE),J107)</f>
        <v>-5.3982283206555213</v>
      </c>
      <c r="G107" s="38"/>
      <c r="H107" s="138">
        <f>RANK(I107,I3:I229)</f>
        <v>117</v>
      </c>
      <c r="I107" s="139">
        <f>VLOOKUP(A107,'Standard Deviations'!A1:C731,3,FALSE)</f>
        <v>-3.4564877770212101</v>
      </c>
      <c r="J107" s="139">
        <f>I107-VLOOKUP(B$2,H1:J229,2,FALSE)</f>
        <v>-5.3982283206555213</v>
      </c>
    </row>
    <row r="108" spans="1:10" ht="21.2" customHeight="1">
      <c r="A108" s="8" t="s">
        <v>415</v>
      </c>
      <c r="B108" s="144" t="str">
        <f>VLOOKUP(A108,'The List'!B1:D730,3,FALSE)</f>
        <v>D</v>
      </c>
      <c r="C108" s="145">
        <f>IF(Settings!$E$15="POINTS",RANK(E108,E3:E229),H108)</f>
        <v>121</v>
      </c>
      <c r="D108" s="34" t="str">
        <f>VLOOKUP(A108,'The List'!B1:F730,5,FALSE)</f>
        <v>NJD</v>
      </c>
      <c r="E108" s="38">
        <f>VLOOKUP(A108,'The List'!B1:I730,8,FALSE)</f>
        <v>-3.5244629787078701</v>
      </c>
      <c r="F108" s="38">
        <f>IF(Settings!$E$15="POINTS",E108-VLOOKUP(B$2,C1:E229,3,FALSE),J108)</f>
        <v>-5.4662035223421803</v>
      </c>
      <c r="G108" s="38"/>
      <c r="H108" s="138">
        <f>RANK(I108,I3:I229)</f>
        <v>121</v>
      </c>
      <c r="I108" s="139">
        <f>VLOOKUP(A108,'Standard Deviations'!A1:C731,3,FALSE)</f>
        <v>-3.5244629787078701</v>
      </c>
      <c r="J108" s="139">
        <f>I108-VLOOKUP(B$2,H1:J229,2,FALSE)</f>
        <v>-5.4662035223421803</v>
      </c>
    </row>
    <row r="109" spans="1:10" ht="21.2" customHeight="1">
      <c r="A109" s="8" t="s">
        <v>416</v>
      </c>
      <c r="B109" s="144" t="str">
        <f>VLOOKUP(A109,'The List'!B1:D730,3,FALSE)</f>
        <v>D</v>
      </c>
      <c r="C109" s="145">
        <f>IF(Settings!$E$15="POINTS",RANK(E109,E3:E229),H109)</f>
        <v>82</v>
      </c>
      <c r="D109" s="34" t="str">
        <f>VLOOKUP(A109,'The List'!B1:F730,5,FALSE)</f>
        <v>NYR</v>
      </c>
      <c r="E109" s="38">
        <f>VLOOKUP(A109,'The List'!B1:I730,8,FALSE)</f>
        <v>-2.1470053278708616</v>
      </c>
      <c r="F109" s="38">
        <f>IF(Settings!$E$15="POINTS",E109-VLOOKUP(B$2,C1:E229,3,FALSE),J109)</f>
        <v>-4.0887458715051723</v>
      </c>
      <c r="G109" s="38"/>
      <c r="H109" s="138">
        <f>RANK(I109,I3:I229)</f>
        <v>82</v>
      </c>
      <c r="I109" s="139">
        <f>VLOOKUP(A109,'Standard Deviations'!A1:C731,3,FALSE)</f>
        <v>-2.1470053278708616</v>
      </c>
      <c r="J109" s="139">
        <f>I109-VLOOKUP(B$2,H1:J229,2,FALSE)</f>
        <v>-4.0887458715051723</v>
      </c>
    </row>
    <row r="110" spans="1:10" ht="21.2" customHeight="1">
      <c r="A110" s="8" t="s">
        <v>421</v>
      </c>
      <c r="B110" s="144" t="str">
        <f>VLOOKUP(A110,'The List'!B1:D730,3,FALSE)</f>
        <v>D</v>
      </c>
      <c r="C110" s="145">
        <f>IF(Settings!$E$15="POINTS",RANK(E110,E3:E229),H110)</f>
        <v>125</v>
      </c>
      <c r="D110" s="34" t="str">
        <f>VLOOKUP(A110,'The List'!B1:F730,5,FALSE)</f>
        <v>WSH</v>
      </c>
      <c r="E110" s="38">
        <f>VLOOKUP(A110,'The List'!B1:I730,8,FALSE)</f>
        <v>-3.6183690419604413</v>
      </c>
      <c r="F110" s="38">
        <f>IF(Settings!$E$15="POINTS",E110-VLOOKUP(B$2,C1:E229,3,FALSE),J110)</f>
        <v>-5.560109585594752</v>
      </c>
      <c r="G110" s="38"/>
      <c r="H110" s="138">
        <f>RANK(I110,I3:I229)</f>
        <v>125</v>
      </c>
      <c r="I110" s="139">
        <f>VLOOKUP(A110,'Standard Deviations'!A1:C731,3,FALSE)</f>
        <v>-3.6183690419604413</v>
      </c>
      <c r="J110" s="139">
        <f>I110-VLOOKUP(B$2,H1:J229,2,FALSE)</f>
        <v>-5.560109585594752</v>
      </c>
    </row>
    <row r="111" spans="1:10" ht="21.2" customHeight="1">
      <c r="A111" s="8" t="s">
        <v>423</v>
      </c>
      <c r="B111" s="144" t="str">
        <f>VLOOKUP(A111,'The List'!B1:D730,3,FALSE)</f>
        <v>D</v>
      </c>
      <c r="C111" s="145">
        <f>IF(Settings!$E$15="POINTS",RANK(E111,E3:E229),H111)</f>
        <v>124</v>
      </c>
      <c r="D111" s="34" t="str">
        <f>VLOOKUP(A111,'The List'!B1:F730,5,FALSE)</f>
        <v>TOR</v>
      </c>
      <c r="E111" s="38">
        <f>VLOOKUP(A111,'The List'!B1:I730,8,FALSE)</f>
        <v>-3.6037798085919119</v>
      </c>
      <c r="F111" s="38">
        <f>IF(Settings!$E$15="POINTS",E111-VLOOKUP(B$2,C1:E229,3,FALSE),J111)</f>
        <v>-5.5455203522262231</v>
      </c>
      <c r="G111" s="38"/>
      <c r="H111" s="138">
        <f>RANK(I111,I3:I229)</f>
        <v>124</v>
      </c>
      <c r="I111" s="139">
        <f>VLOOKUP(A111,'Standard Deviations'!A1:C731,3,FALSE)</f>
        <v>-3.6037798085919119</v>
      </c>
      <c r="J111" s="139">
        <f>I111-VLOOKUP(B$2,H1:J229,2,FALSE)</f>
        <v>-5.5455203522262231</v>
      </c>
    </row>
    <row r="112" spans="1:10" ht="21.2" customHeight="1">
      <c r="A112" s="8" t="s">
        <v>424</v>
      </c>
      <c r="B112" s="144" t="str">
        <f>VLOOKUP(A112,'The List'!B1:D730,3,FALSE)</f>
        <v>D</v>
      </c>
      <c r="C112" s="145">
        <f>IF(Settings!$E$15="POINTS",RANK(E112,E3:E229),H112)</f>
        <v>155</v>
      </c>
      <c r="D112" s="34" t="str">
        <f>VLOOKUP(A112,'The List'!B1:F730,5,FALSE)</f>
        <v>VGK</v>
      </c>
      <c r="E112" s="38">
        <f>VLOOKUP(A112,'The List'!B1:I730,8,FALSE)</f>
        <v>-4.1578919444438354</v>
      </c>
      <c r="F112" s="38">
        <f>IF(Settings!$E$15="POINTS",E112-VLOOKUP(B$2,C1:E229,3,FALSE),J112)</f>
        <v>-6.0996324880781465</v>
      </c>
      <c r="G112" s="38"/>
      <c r="H112" s="138">
        <f>RANK(I112,I3:I229)</f>
        <v>155</v>
      </c>
      <c r="I112" s="139">
        <f>VLOOKUP(A112,'Standard Deviations'!A1:C731,3,FALSE)</f>
        <v>-4.1578919444438354</v>
      </c>
      <c r="J112" s="139">
        <f>I112-VLOOKUP(B$2,H1:J229,2,FALSE)</f>
        <v>-6.0996324880781465</v>
      </c>
    </row>
    <row r="113" spans="1:10" ht="21.2" customHeight="1">
      <c r="A113" s="8" t="s">
        <v>425</v>
      </c>
      <c r="B113" s="144" t="str">
        <f>VLOOKUP(A113,'The List'!B1:D730,3,FALSE)</f>
        <v>D</v>
      </c>
      <c r="C113" s="145">
        <f>IF(Settings!$E$15="POINTS",RANK(E113,E3:E229),H113)</f>
        <v>110</v>
      </c>
      <c r="D113" s="34" t="str">
        <f>VLOOKUP(A113,'The List'!B1:F730,5,FALSE)</f>
        <v>SJS</v>
      </c>
      <c r="E113" s="38">
        <f>VLOOKUP(A113,'The List'!B1:I730,8,FALSE)</f>
        <v>-3.2722196895485283</v>
      </c>
      <c r="F113" s="38">
        <f>IF(Settings!$E$15="POINTS",E113-VLOOKUP(B$2,C1:E229,3,FALSE),J113)</f>
        <v>-5.2139602331828385</v>
      </c>
      <c r="G113" s="38"/>
      <c r="H113" s="138">
        <f>RANK(I113,I3:I229)</f>
        <v>110</v>
      </c>
      <c r="I113" s="139">
        <f>VLOOKUP(A113,'Standard Deviations'!A1:C731,3,FALSE)</f>
        <v>-3.2722196895485283</v>
      </c>
      <c r="J113" s="139">
        <f>I113-VLOOKUP(B$2,H1:J229,2,FALSE)</f>
        <v>-5.2139602331828385</v>
      </c>
    </row>
    <row r="114" spans="1:10" ht="21.2" customHeight="1">
      <c r="A114" s="8" t="s">
        <v>426</v>
      </c>
      <c r="B114" s="144" t="str">
        <f>VLOOKUP(A114,'The List'!B1:D730,3,FALSE)</f>
        <v>D</v>
      </c>
      <c r="C114" s="145">
        <f>IF(Settings!$E$15="POINTS",RANK(E114,E3:E229),H114)</f>
        <v>95</v>
      </c>
      <c r="D114" s="34" t="str">
        <f>VLOOKUP(A114,'The List'!B1:F730,5,FALSE)</f>
        <v>CBJ</v>
      </c>
      <c r="E114" s="38">
        <f>VLOOKUP(A114,'The List'!B1:I730,8,FALSE)</f>
        <v>-2.7869626266004035</v>
      </c>
      <c r="F114" s="38">
        <f>IF(Settings!$E$15="POINTS",E114-VLOOKUP(B$2,C1:E229,3,FALSE),J114)</f>
        <v>-4.7287031702347146</v>
      </c>
      <c r="G114" s="38"/>
      <c r="H114" s="138">
        <f>RANK(I114,I3:I229)</f>
        <v>95</v>
      </c>
      <c r="I114" s="139">
        <f>VLOOKUP(A114,'Standard Deviations'!A1:C731,3,FALSE)</f>
        <v>-2.7869626266004035</v>
      </c>
      <c r="J114" s="139">
        <f>I114-VLOOKUP(B$2,H1:J229,2,FALSE)</f>
        <v>-4.7287031702347146</v>
      </c>
    </row>
    <row r="115" spans="1:10" ht="21.2" customHeight="1">
      <c r="A115" s="8" t="s">
        <v>432</v>
      </c>
      <c r="B115" s="144" t="str">
        <f>VLOOKUP(A115,'The List'!B1:D730,3,FALSE)</f>
        <v>D</v>
      </c>
      <c r="C115" s="145">
        <f>IF(Settings!$E$15="POINTS",RANK(E115,E3:E229),H115)</f>
        <v>132</v>
      </c>
      <c r="D115" s="34" t="str">
        <f>VLOOKUP(A115,'The List'!B1:F730,5,FALSE)</f>
        <v>DET</v>
      </c>
      <c r="E115" s="38">
        <f>VLOOKUP(A115,'The List'!B1:I730,8,FALSE)</f>
        <v>-3.8144619635019215</v>
      </c>
      <c r="F115" s="38">
        <f>IF(Settings!$E$15="POINTS",E115-VLOOKUP(B$2,C1:E229,3,FALSE),J115)</f>
        <v>-5.7562025071362317</v>
      </c>
      <c r="G115" s="38"/>
      <c r="H115" s="138">
        <f>RANK(I115,I3:I229)</f>
        <v>132</v>
      </c>
      <c r="I115" s="139">
        <f>VLOOKUP(A115,'Standard Deviations'!A1:C731,3,FALSE)</f>
        <v>-3.8144619635019215</v>
      </c>
      <c r="J115" s="139">
        <f>I115-VLOOKUP(B$2,H1:J229,2,FALSE)</f>
        <v>-5.7562025071362317</v>
      </c>
    </row>
    <row r="116" spans="1:10" ht="21.2" customHeight="1">
      <c r="A116" s="8" t="s">
        <v>435</v>
      </c>
      <c r="B116" s="144" t="str">
        <f>VLOOKUP(A116,'The List'!B1:D730,3,FALSE)</f>
        <v>D</v>
      </c>
      <c r="C116" s="145">
        <f>IF(Settings!$E$15="POINTS",RANK(E116,E3:E229),H116)</f>
        <v>126</v>
      </c>
      <c r="D116" s="34" t="str">
        <f>VLOOKUP(A116,'The List'!B1:F730,5,FALSE)</f>
        <v>BUF</v>
      </c>
      <c r="E116" s="38">
        <f>VLOOKUP(A116,'The List'!B1:I730,8,FALSE)</f>
        <v>-3.6946732168093575</v>
      </c>
      <c r="F116" s="38">
        <f>IF(Settings!$E$15="POINTS",E116-VLOOKUP(B$2,C1:E229,3,FALSE),J116)</f>
        <v>-5.6364137604436682</v>
      </c>
      <c r="G116" s="38"/>
      <c r="H116" s="138">
        <f>RANK(I116,I3:I229)</f>
        <v>126</v>
      </c>
      <c r="I116" s="139">
        <f>VLOOKUP(A116,'Standard Deviations'!A1:C731,3,FALSE)</f>
        <v>-3.6946732168093575</v>
      </c>
      <c r="J116" s="139">
        <f>I116-VLOOKUP(B$2,H1:J229,2,FALSE)</f>
        <v>-5.6364137604436682</v>
      </c>
    </row>
    <row r="117" spans="1:10" ht="21.2" customHeight="1">
      <c r="A117" s="8" t="s">
        <v>436</v>
      </c>
      <c r="B117" s="144" t="str">
        <f>VLOOKUP(A117,'The List'!B1:D730,3,FALSE)</f>
        <v>D</v>
      </c>
      <c r="C117" s="145">
        <f>IF(Settings!$E$15="POINTS",RANK(E117,E3:E229),H117)</f>
        <v>122</v>
      </c>
      <c r="D117" s="34" t="str">
        <f>VLOOKUP(A117,'The List'!B1:F730,5,FALSE)</f>
        <v>CGY</v>
      </c>
      <c r="E117" s="38">
        <f>VLOOKUP(A117,'The List'!B1:I730,8,FALSE)</f>
        <v>-3.5380287692873358</v>
      </c>
      <c r="F117" s="38">
        <f>IF(Settings!$E$15="POINTS",E117-VLOOKUP(B$2,C1:E229,3,FALSE),J117)</f>
        <v>-5.4797693129216469</v>
      </c>
      <c r="G117" s="38"/>
      <c r="H117" s="138">
        <f>RANK(I117,I3:I229)</f>
        <v>122</v>
      </c>
      <c r="I117" s="139">
        <f>VLOOKUP(A117,'Standard Deviations'!A1:C731,3,FALSE)</f>
        <v>-3.5380287692873358</v>
      </c>
      <c r="J117" s="139">
        <f>I117-VLOOKUP(B$2,H1:J229,2,FALSE)</f>
        <v>-5.4797693129216469</v>
      </c>
    </row>
    <row r="118" spans="1:10" ht="21.2" customHeight="1">
      <c r="A118" s="8" t="s">
        <v>438</v>
      </c>
      <c r="B118" s="144" t="str">
        <f>VLOOKUP(A118,'The List'!B1:D730,3,FALSE)</f>
        <v>D</v>
      </c>
      <c r="C118" s="145">
        <f>IF(Settings!$E$15="POINTS",RANK(E118,E3:E229),H118)</f>
        <v>149</v>
      </c>
      <c r="D118" s="34" t="str">
        <f>VLOOKUP(A118,'The List'!B1:F730,5,FALSE)</f>
        <v>VGK</v>
      </c>
      <c r="E118" s="38">
        <f>VLOOKUP(A118,'The List'!B1:I730,8,FALSE)</f>
        <v>-4.0472795879918957</v>
      </c>
      <c r="F118" s="38">
        <f>IF(Settings!$E$15="POINTS",E118-VLOOKUP(B$2,C1:E229,3,FALSE),J118)</f>
        <v>-5.9890201316262068</v>
      </c>
      <c r="G118" s="38"/>
      <c r="H118" s="138">
        <f>RANK(I118,I3:I229)</f>
        <v>149</v>
      </c>
      <c r="I118" s="139">
        <f>VLOOKUP(A118,'Standard Deviations'!A1:C731,3,FALSE)</f>
        <v>-4.0472795879918957</v>
      </c>
      <c r="J118" s="139">
        <f>I118-VLOOKUP(B$2,H1:J229,2,FALSE)</f>
        <v>-5.9890201316262068</v>
      </c>
    </row>
    <row r="119" spans="1:10" ht="21.2" customHeight="1">
      <c r="A119" s="8" t="s">
        <v>441</v>
      </c>
      <c r="B119" s="144" t="str">
        <f>VLOOKUP(A119,'The List'!B1:D730,3,FALSE)</f>
        <v>D</v>
      </c>
      <c r="C119" s="145">
        <f>IF(Settings!$E$15="POINTS",RANK(E119,E3:E229),H119)</f>
        <v>137</v>
      </c>
      <c r="D119" s="34" t="str">
        <f>VLOOKUP(A119,'The List'!B1:F730,5,FALSE)</f>
        <v>WPG</v>
      </c>
      <c r="E119" s="38">
        <f>VLOOKUP(A119,'The List'!B1:I730,8,FALSE)</f>
        <v>-3.9078958454242168</v>
      </c>
      <c r="F119" s="38">
        <f>IF(Settings!$E$15="POINTS",E119-VLOOKUP(B$2,C1:E229,3,FALSE),J119)</f>
        <v>-5.8496363890585279</v>
      </c>
      <c r="G119" s="38"/>
      <c r="H119" s="138">
        <f>RANK(I119,I3:I229)</f>
        <v>137</v>
      </c>
      <c r="I119" s="139">
        <f>VLOOKUP(A119,'Standard Deviations'!A1:C731,3,FALSE)</f>
        <v>-3.9078958454242168</v>
      </c>
      <c r="J119" s="139">
        <f>I119-VLOOKUP(B$2,H1:J229,2,FALSE)</f>
        <v>-5.8496363890585279</v>
      </c>
    </row>
    <row r="120" spans="1:10" ht="21.2" customHeight="1">
      <c r="A120" s="8" t="s">
        <v>442</v>
      </c>
      <c r="B120" s="144" t="str">
        <f>VLOOKUP(A120,'The List'!B1:D730,3,FALSE)</f>
        <v>D</v>
      </c>
      <c r="C120" s="145">
        <f>IF(Settings!$E$15="POINTS",RANK(E120,E3:E229),H120)</f>
        <v>148</v>
      </c>
      <c r="D120" s="34" t="str">
        <f>VLOOKUP(A120,'The List'!B1:F730,5,FALSE)</f>
        <v>NJD</v>
      </c>
      <c r="E120" s="38">
        <f>VLOOKUP(A120,'The List'!B1:I730,8,FALSE)</f>
        <v>-4.0426999304001994</v>
      </c>
      <c r="F120" s="38">
        <f>IF(Settings!$E$15="POINTS",E120-VLOOKUP(B$2,C1:E229,3,FALSE),J120)</f>
        <v>-5.9844404740345105</v>
      </c>
      <c r="G120" s="38"/>
      <c r="H120" s="138">
        <f>RANK(I120,I3:I229)</f>
        <v>148</v>
      </c>
      <c r="I120" s="139">
        <f>VLOOKUP(A120,'Standard Deviations'!A1:C731,3,FALSE)</f>
        <v>-4.0426999304001994</v>
      </c>
      <c r="J120" s="139">
        <f>I120-VLOOKUP(B$2,H1:J229,2,FALSE)</f>
        <v>-5.9844404740345105</v>
      </c>
    </row>
    <row r="121" spans="1:10" ht="21.2" customHeight="1">
      <c r="A121" s="8" t="s">
        <v>443</v>
      </c>
      <c r="B121" s="144" t="str">
        <f>VLOOKUP(A121,'The List'!B1:D730,3,FALSE)</f>
        <v>D</v>
      </c>
      <c r="C121" s="145">
        <f>IF(Settings!$E$15="POINTS",RANK(E121,E3:E229),H121)</f>
        <v>143</v>
      </c>
      <c r="D121" s="34" t="str">
        <f>VLOOKUP(A121,'The List'!B1:F730,5,FALSE)</f>
        <v>EDM</v>
      </c>
      <c r="E121" s="38">
        <f>VLOOKUP(A121,'The List'!B1:I730,8,FALSE)</f>
        <v>-3.9616383895529643</v>
      </c>
      <c r="F121" s="38">
        <f>IF(Settings!$E$15="POINTS",E121-VLOOKUP(B$2,C1:E229,3,FALSE),J121)</f>
        <v>-5.903378933187275</v>
      </c>
      <c r="G121" s="38"/>
      <c r="H121" s="138">
        <f>RANK(I121,I3:I229)</f>
        <v>143</v>
      </c>
      <c r="I121" s="139">
        <f>VLOOKUP(A121,'Standard Deviations'!A1:C731,3,FALSE)</f>
        <v>-3.9616383895529643</v>
      </c>
      <c r="J121" s="139">
        <f>I121-VLOOKUP(B$2,H1:J229,2,FALSE)</f>
        <v>-5.903378933187275</v>
      </c>
    </row>
    <row r="122" spans="1:10" ht="21.2" customHeight="1">
      <c r="A122" s="8" t="s">
        <v>444</v>
      </c>
      <c r="B122" s="144" t="str">
        <f>VLOOKUP(A122,'The List'!B1:D730,3,FALSE)</f>
        <v>D</v>
      </c>
      <c r="C122" s="145">
        <f>IF(Settings!$E$15="POINTS",RANK(E122,E3:E229),H122)</f>
        <v>134</v>
      </c>
      <c r="D122" s="34" t="str">
        <f>VLOOKUP(A122,'The List'!B1:F730,5,FALSE)</f>
        <v>LAK</v>
      </c>
      <c r="E122" s="38">
        <f>VLOOKUP(A122,'The List'!B1:I730,8,FALSE)</f>
        <v>-3.8606795565303393</v>
      </c>
      <c r="F122" s="38">
        <f>IF(Settings!$E$15="POINTS",E122-VLOOKUP(B$2,C1:E229,3,FALSE),J122)</f>
        <v>-5.8024201001646496</v>
      </c>
      <c r="G122" s="38"/>
      <c r="H122" s="138">
        <f>RANK(I122,I3:I229)</f>
        <v>134</v>
      </c>
      <c r="I122" s="139">
        <f>VLOOKUP(A122,'Standard Deviations'!A1:C731,3,FALSE)</f>
        <v>-3.8606795565303393</v>
      </c>
      <c r="J122" s="139">
        <f>I122-VLOOKUP(B$2,H1:J229,2,FALSE)</f>
        <v>-5.8024201001646496</v>
      </c>
    </row>
    <row r="123" spans="1:10" ht="21.2" customHeight="1">
      <c r="A123" s="8" t="s">
        <v>448</v>
      </c>
      <c r="B123" s="144" t="str">
        <f>VLOOKUP(A123,'The List'!B1:D730,3,FALSE)</f>
        <v>D</v>
      </c>
      <c r="C123" s="145">
        <f>IF(Settings!$E$15="POINTS",RANK(E123,E3:E229),H123)</f>
        <v>113</v>
      </c>
      <c r="D123" s="34" t="str">
        <f>VLOOKUP(A123,'The List'!B1:F730,5,FALSE)</f>
        <v>CBJ</v>
      </c>
      <c r="E123" s="38">
        <f>VLOOKUP(A123,'The List'!B1:I730,8,FALSE)</f>
        <v>-3.3624082477101074</v>
      </c>
      <c r="F123" s="38">
        <f>IF(Settings!$E$15="POINTS",E123-VLOOKUP(B$2,C1:E229,3,FALSE),J123)</f>
        <v>-5.3041487913444181</v>
      </c>
      <c r="G123" s="38"/>
      <c r="H123" s="138">
        <f>RANK(I123,I3:I229)</f>
        <v>113</v>
      </c>
      <c r="I123" s="139">
        <f>VLOOKUP(A123,'Standard Deviations'!A1:C731,3,FALSE)</f>
        <v>-3.3624082477101074</v>
      </c>
      <c r="J123" s="139">
        <f>I123-VLOOKUP(B$2,H1:J229,2,FALSE)</f>
        <v>-5.3041487913444181</v>
      </c>
    </row>
    <row r="124" spans="1:10" ht="21.2" customHeight="1">
      <c r="A124" s="8" t="s">
        <v>449</v>
      </c>
      <c r="B124" s="144" t="str">
        <f>VLOOKUP(A124,'The List'!B1:D730,3,FALSE)</f>
        <v>D</v>
      </c>
      <c r="C124" s="145">
        <f>IF(Settings!$E$15="POINTS",RANK(E124,E3:E229),H124)</f>
        <v>129</v>
      </c>
      <c r="D124" s="34" t="str">
        <f>VLOOKUP(A124,'The List'!B1:F730,5,FALSE)</f>
        <v>TOR</v>
      </c>
      <c r="E124" s="38">
        <f>VLOOKUP(A124,'The List'!B1:I730,8,FALSE)</f>
        <v>-3.7445288511731007</v>
      </c>
      <c r="F124" s="38">
        <f>IF(Settings!$E$15="POINTS",E124-VLOOKUP(B$2,C1:E229,3,FALSE),J124)</f>
        <v>-5.686269394807411</v>
      </c>
      <c r="G124" s="38"/>
      <c r="H124" s="138">
        <f>RANK(I124,I3:I229)</f>
        <v>129</v>
      </c>
      <c r="I124" s="139">
        <f>VLOOKUP(A124,'Standard Deviations'!A1:C731,3,FALSE)</f>
        <v>-3.7445288511731007</v>
      </c>
      <c r="J124" s="139">
        <f>I124-VLOOKUP(B$2,H1:J229,2,FALSE)</f>
        <v>-5.686269394807411</v>
      </c>
    </row>
    <row r="125" spans="1:10" ht="21.2" customHeight="1">
      <c r="A125" s="8" t="s">
        <v>450</v>
      </c>
      <c r="B125" s="144" t="str">
        <f>VLOOKUP(A125,'The List'!B1:D730,3,FALSE)</f>
        <v>D</v>
      </c>
      <c r="C125" s="145">
        <f>IF(Settings!$E$15="POINTS",RANK(E125,E3:E229),H125)</f>
        <v>91</v>
      </c>
      <c r="D125" s="34" t="str">
        <f>VLOOKUP(A125,'The List'!B1:F730,5,FALSE)</f>
        <v>PIT</v>
      </c>
      <c r="E125" s="38">
        <f>VLOOKUP(A125,'The List'!B1:I730,8,FALSE)</f>
        <v>-2.6161713664567845</v>
      </c>
      <c r="F125" s="38">
        <f>IF(Settings!$E$15="POINTS",E125-VLOOKUP(B$2,C1:E229,3,FALSE),J125)</f>
        <v>-4.5579119100910948</v>
      </c>
      <c r="G125" s="38"/>
      <c r="H125" s="138">
        <f>RANK(I125,I3:I229)</f>
        <v>91</v>
      </c>
      <c r="I125" s="139">
        <f>VLOOKUP(A125,'Standard Deviations'!A1:C731,3,FALSE)</f>
        <v>-2.6161713664567845</v>
      </c>
      <c r="J125" s="139">
        <f>I125-VLOOKUP(B$2,H1:J229,2,FALSE)</f>
        <v>-4.5579119100910948</v>
      </c>
    </row>
    <row r="126" spans="1:10" ht="21.2" customHeight="1">
      <c r="A126" s="8" t="s">
        <v>451</v>
      </c>
      <c r="B126" s="144" t="str">
        <f>VLOOKUP(A126,'The List'!B1:D730,3,FALSE)</f>
        <v>D</v>
      </c>
      <c r="C126" s="145">
        <f>IF(Settings!$E$15="POINTS",RANK(E126,E3:E229),H126)</f>
        <v>154</v>
      </c>
      <c r="D126" s="34" t="str">
        <f>VLOOKUP(A126,'The List'!B1:F730,5,FALSE)</f>
        <v>NYI</v>
      </c>
      <c r="E126" s="38">
        <f>VLOOKUP(A126,'The List'!B1:I730,8,FALSE)</f>
        <v>-4.1400733322183072</v>
      </c>
      <c r="F126" s="38">
        <f>IF(Settings!$E$15="POINTS",E126-VLOOKUP(B$2,C1:E229,3,FALSE),J126)</f>
        <v>-6.0818138758526175</v>
      </c>
      <c r="G126" s="38"/>
      <c r="H126" s="138">
        <f>RANK(I126,I3:I229)</f>
        <v>154</v>
      </c>
      <c r="I126" s="139">
        <f>VLOOKUP(A126,'Standard Deviations'!A1:C731,3,FALSE)</f>
        <v>-4.1400733322183072</v>
      </c>
      <c r="J126" s="139">
        <f>I126-VLOOKUP(B$2,H1:J229,2,FALSE)</f>
        <v>-6.0818138758526175</v>
      </c>
    </row>
    <row r="127" spans="1:10" ht="21.2" customHeight="1">
      <c r="A127" s="8" t="s">
        <v>452</v>
      </c>
      <c r="B127" s="144" t="str">
        <f>VLOOKUP(A127,'The List'!B1:D730,3,FALSE)</f>
        <v>D</v>
      </c>
      <c r="C127" s="145">
        <f>IF(Settings!$E$15="POINTS",RANK(E127,E3:E229),H127)</f>
        <v>130</v>
      </c>
      <c r="D127" s="34" t="str">
        <f>VLOOKUP(A127,'The List'!B1:F730,5,FALSE)</f>
        <v>OTT</v>
      </c>
      <c r="E127" s="38">
        <f>VLOOKUP(A127,'The List'!B1:I730,8,FALSE)</f>
        <v>-3.7992446915309386</v>
      </c>
      <c r="F127" s="38">
        <f>IF(Settings!$E$15="POINTS",E127-VLOOKUP(B$2,C1:E229,3,FALSE),J127)</f>
        <v>-5.7409852351652493</v>
      </c>
      <c r="G127" s="38"/>
      <c r="H127" s="138">
        <f>RANK(I127,I3:I229)</f>
        <v>130</v>
      </c>
      <c r="I127" s="139">
        <f>VLOOKUP(A127,'Standard Deviations'!A1:C731,3,FALSE)</f>
        <v>-3.7992446915309386</v>
      </c>
      <c r="J127" s="139">
        <f>I127-VLOOKUP(B$2,H1:J229,2,FALSE)</f>
        <v>-5.7409852351652493</v>
      </c>
    </row>
    <row r="128" spans="1:10" ht="21.2" customHeight="1">
      <c r="A128" s="8" t="s">
        <v>453</v>
      </c>
      <c r="B128" s="144" t="str">
        <f>VLOOKUP(A128,'The List'!B1:D730,3,FALSE)</f>
        <v>D</v>
      </c>
      <c r="C128" s="145">
        <f>IF(Settings!$E$15="POINTS",RANK(E128,E3:E229),H128)</f>
        <v>142</v>
      </c>
      <c r="D128" s="34" t="str">
        <f>VLOOKUP(A128,'The List'!B1:F730,5,FALSE)</f>
        <v>SEA</v>
      </c>
      <c r="E128" s="38">
        <f>VLOOKUP(A128,'The List'!B1:I730,8,FALSE)</f>
        <v>-3.9614977028683942</v>
      </c>
      <c r="F128" s="38">
        <f>IF(Settings!$E$15="POINTS",E128-VLOOKUP(B$2,C1:E229,3,FALSE),J128)</f>
        <v>-5.9032382465027045</v>
      </c>
      <c r="G128" s="38"/>
      <c r="H128" s="138">
        <f>RANK(I128,I3:I229)</f>
        <v>142</v>
      </c>
      <c r="I128" s="139">
        <f>VLOOKUP(A128,'Standard Deviations'!A1:C731,3,FALSE)</f>
        <v>-3.9614977028683942</v>
      </c>
      <c r="J128" s="139">
        <f>I128-VLOOKUP(B$2,H1:J229,2,FALSE)</f>
        <v>-5.9032382465027045</v>
      </c>
    </row>
    <row r="129" spans="1:10" ht="21.2" customHeight="1">
      <c r="A129" s="8" t="s">
        <v>454</v>
      </c>
      <c r="B129" s="144" t="str">
        <f>VLOOKUP(A129,'The List'!B1:D730,3,FALSE)</f>
        <v>D</v>
      </c>
      <c r="C129" s="145">
        <f>IF(Settings!$E$15="POINTS",RANK(E129,E3:E229),H129)</f>
        <v>111</v>
      </c>
      <c r="D129" s="34" t="str">
        <f>VLOOKUP(A129,'The List'!B1:F730,5,FALSE)</f>
        <v>FLA</v>
      </c>
      <c r="E129" s="38">
        <f>VLOOKUP(A129,'The List'!B1:I730,8,FALSE)</f>
        <v>-3.3038734993000776</v>
      </c>
      <c r="F129" s="38">
        <f>IF(Settings!$E$15="POINTS",E129-VLOOKUP(B$2,C1:E229,3,FALSE),J129)</f>
        <v>-5.2456140429343883</v>
      </c>
      <c r="G129" s="38"/>
      <c r="H129" s="138">
        <f>RANK(I129,I3:I229)</f>
        <v>111</v>
      </c>
      <c r="I129" s="139">
        <f>VLOOKUP(A129,'Standard Deviations'!A1:C731,3,FALSE)</f>
        <v>-3.3038734993000776</v>
      </c>
      <c r="J129" s="139">
        <f>I129-VLOOKUP(B$2,H1:J229,2,FALSE)</f>
        <v>-5.2456140429343883</v>
      </c>
    </row>
    <row r="130" spans="1:10" ht="21.2" customHeight="1">
      <c r="A130" s="8" t="s">
        <v>455</v>
      </c>
      <c r="B130" s="144" t="str">
        <f>VLOOKUP(A130,'The List'!B1:D730,3,FALSE)</f>
        <v>D</v>
      </c>
      <c r="C130" s="145">
        <f>IF(Settings!$E$15="POINTS",RANK(E130,E3:E229),H130)</f>
        <v>138</v>
      </c>
      <c r="D130" s="34" t="str">
        <f>VLOOKUP(A130,'The List'!B1:F730,5,FALSE)</f>
        <v>NSH</v>
      </c>
      <c r="E130" s="38">
        <f>VLOOKUP(A130,'The List'!B1:I730,8,FALSE)</f>
        <v>-3.9116558868091889</v>
      </c>
      <c r="F130" s="38">
        <f>IF(Settings!$E$15="POINTS",E130-VLOOKUP(B$2,C1:E229,3,FALSE),J130)</f>
        <v>-5.8533964304434996</v>
      </c>
      <c r="G130" s="38"/>
      <c r="H130" s="138">
        <f>RANK(I130,I3:I229)</f>
        <v>138</v>
      </c>
      <c r="I130" s="139">
        <f>VLOOKUP(A130,'Standard Deviations'!A1:C731,3,FALSE)</f>
        <v>-3.9116558868091889</v>
      </c>
      <c r="J130" s="139">
        <f>I130-VLOOKUP(B$2,H1:J229,2,FALSE)</f>
        <v>-5.8533964304434996</v>
      </c>
    </row>
    <row r="131" spans="1:10" ht="21.2" customHeight="1">
      <c r="A131" s="8" t="s">
        <v>457</v>
      </c>
      <c r="B131" s="144" t="str">
        <f>VLOOKUP(A131,'The List'!B1:D730,3,FALSE)</f>
        <v>D</v>
      </c>
      <c r="C131" s="145">
        <f>IF(Settings!$E$15="POINTS",RANK(E131,E3:E229),H131)</f>
        <v>141</v>
      </c>
      <c r="D131" s="34" t="str">
        <f>VLOOKUP(A131,'The List'!B1:F730,5,FALSE)</f>
        <v>WSH</v>
      </c>
      <c r="E131" s="38">
        <f>VLOOKUP(A131,'The List'!B1:I730,8,FALSE)</f>
        <v>-3.9611944319665584</v>
      </c>
      <c r="F131" s="38">
        <f>IF(Settings!$E$15="POINTS",E131-VLOOKUP(B$2,C1:E229,3,FALSE),J131)</f>
        <v>-5.9029349756008695</v>
      </c>
      <c r="G131" s="38"/>
      <c r="H131" s="138">
        <f>RANK(I131,I3:I229)</f>
        <v>141</v>
      </c>
      <c r="I131" s="139">
        <f>VLOOKUP(A131,'Standard Deviations'!A1:C731,3,FALSE)</f>
        <v>-3.9611944319665584</v>
      </c>
      <c r="J131" s="139">
        <f>I131-VLOOKUP(B$2,H1:J229,2,FALSE)</f>
        <v>-5.9029349756008695</v>
      </c>
    </row>
    <row r="132" spans="1:10" ht="21.2" customHeight="1">
      <c r="A132" s="8" t="s">
        <v>459</v>
      </c>
      <c r="B132" s="144" t="str">
        <f>VLOOKUP(A132,'The List'!B1:D730,3,FALSE)</f>
        <v>D</v>
      </c>
      <c r="C132" s="145">
        <f>IF(Settings!$E$15="POINTS",RANK(E132,E3:E229),H132)</f>
        <v>156</v>
      </c>
      <c r="D132" s="34" t="str">
        <f>VLOOKUP(A132,'The List'!B1:F730,5,FALSE)</f>
        <v>TOR</v>
      </c>
      <c r="E132" s="38">
        <f>VLOOKUP(A132,'The List'!B1:I730,8,FALSE)</f>
        <v>-4.159247314303979</v>
      </c>
      <c r="F132" s="38">
        <f>IF(Settings!$E$15="POINTS",E132-VLOOKUP(B$2,C1:E229,3,FALSE),J132)</f>
        <v>-6.1009878579382892</v>
      </c>
      <c r="G132" s="38"/>
      <c r="H132" s="138">
        <f>RANK(I132,I3:I229)</f>
        <v>156</v>
      </c>
      <c r="I132" s="139">
        <f>VLOOKUP(A132,'Standard Deviations'!A1:C731,3,FALSE)</f>
        <v>-4.159247314303979</v>
      </c>
      <c r="J132" s="139">
        <f>I132-VLOOKUP(B$2,H1:J229,2,FALSE)</f>
        <v>-6.1009878579382892</v>
      </c>
    </row>
    <row r="133" spans="1:10" ht="21.2" customHeight="1">
      <c r="A133" s="8" t="s">
        <v>460</v>
      </c>
      <c r="B133" s="144" t="str">
        <f>VLOOKUP(A133,'The List'!B1:D730,3,FALSE)</f>
        <v>D</v>
      </c>
      <c r="C133" s="145">
        <f>IF(Settings!$E$15="POINTS",RANK(E133,E3:E229),H133)</f>
        <v>118</v>
      </c>
      <c r="D133" s="34" t="str">
        <f>VLOOKUP(A133,'The List'!B1:F730,5,FALSE)</f>
        <v>BUF</v>
      </c>
      <c r="E133" s="38">
        <f>VLOOKUP(A133,'The List'!B1:I730,8,FALSE)</f>
        <v>-3.4884924030948428</v>
      </c>
      <c r="F133" s="38">
        <f>IF(Settings!$E$15="POINTS",E133-VLOOKUP(B$2,C1:E229,3,FALSE),J133)</f>
        <v>-5.4302329467291539</v>
      </c>
      <c r="G133" s="38"/>
      <c r="H133" s="138">
        <f>RANK(I133,I3:I229)</f>
        <v>118</v>
      </c>
      <c r="I133" s="139">
        <f>VLOOKUP(A133,'Standard Deviations'!A1:C731,3,FALSE)</f>
        <v>-3.4884924030948428</v>
      </c>
      <c r="J133" s="139">
        <f>I133-VLOOKUP(B$2,H1:J229,2,FALSE)</f>
        <v>-5.4302329467291539</v>
      </c>
    </row>
    <row r="134" spans="1:10" ht="21.2" customHeight="1">
      <c r="A134" s="8" t="s">
        <v>461</v>
      </c>
      <c r="B134" s="144" t="str">
        <f>VLOOKUP(A134,'The List'!B1:D730,3,FALSE)</f>
        <v>D</v>
      </c>
      <c r="C134" s="145">
        <f>IF(Settings!$E$15="POINTS",RANK(E134,E3:E229),H134)</f>
        <v>140</v>
      </c>
      <c r="D134" s="34" t="str">
        <f>VLOOKUP(A134,'The List'!B1:F730,5,FALSE)</f>
        <v>CGY</v>
      </c>
      <c r="E134" s="38">
        <f>VLOOKUP(A134,'The List'!B1:I730,8,FALSE)</f>
        <v>-3.9599737996800362</v>
      </c>
      <c r="F134" s="38">
        <f>IF(Settings!$E$15="POINTS",E134-VLOOKUP(B$2,C1:E229,3,FALSE),J134)</f>
        <v>-5.9017143433143469</v>
      </c>
      <c r="G134" s="38"/>
      <c r="H134" s="138">
        <f>RANK(I134,I3:I229)</f>
        <v>140</v>
      </c>
      <c r="I134" s="139">
        <f>VLOOKUP(A134,'Standard Deviations'!A1:C731,3,FALSE)</f>
        <v>-3.9599737996800362</v>
      </c>
      <c r="J134" s="139">
        <f>I134-VLOOKUP(B$2,H1:J229,2,FALSE)</f>
        <v>-5.9017143433143469</v>
      </c>
    </row>
    <row r="135" spans="1:10" ht="21.2" customHeight="1">
      <c r="A135" s="8" t="s">
        <v>464</v>
      </c>
      <c r="B135" s="144" t="str">
        <f>VLOOKUP(A135,'The List'!B1:D730,3,FALSE)</f>
        <v>D</v>
      </c>
      <c r="C135" s="145">
        <f>IF(Settings!$E$15="POINTS",RANK(E135,E3:E229),H135)</f>
        <v>145</v>
      </c>
      <c r="D135" s="34" t="str">
        <f>VLOOKUP(A135,'The List'!B1:F730,5,FALSE)</f>
        <v>EDM</v>
      </c>
      <c r="E135" s="38">
        <f>VLOOKUP(A135,'The List'!B1:I730,8,FALSE)</f>
        <v>-3.9836117979519852</v>
      </c>
      <c r="F135" s="38">
        <f>IF(Settings!$E$15="POINTS",E135-VLOOKUP(B$2,C1:E229,3,FALSE),J135)</f>
        <v>-5.9253523415862954</v>
      </c>
      <c r="G135" s="38"/>
      <c r="H135" s="138">
        <f>RANK(I135,I3:I229)</f>
        <v>145</v>
      </c>
      <c r="I135" s="139">
        <f>VLOOKUP(A135,'Standard Deviations'!A1:C731,3,FALSE)</f>
        <v>-3.9836117979519852</v>
      </c>
      <c r="J135" s="139">
        <f>I135-VLOOKUP(B$2,H1:J229,2,FALSE)</f>
        <v>-5.9253523415862954</v>
      </c>
    </row>
    <row r="136" spans="1:10" ht="21.2" customHeight="1">
      <c r="A136" s="8" t="s">
        <v>465</v>
      </c>
      <c r="B136" s="144" t="str">
        <f>VLOOKUP(A136,'The List'!B1:D730,3,FALSE)</f>
        <v>D</v>
      </c>
      <c r="C136" s="145">
        <f>IF(Settings!$E$15="POINTS",RANK(E136,E3:E229),H136)</f>
        <v>161</v>
      </c>
      <c r="D136" s="34" t="str">
        <f>VLOOKUP(A136,'The List'!B1:F730,5,FALSE)</f>
        <v>VAN</v>
      </c>
      <c r="E136" s="38">
        <f>VLOOKUP(A136,'The List'!B1:I730,8,FALSE)</f>
        <v>-4.243467952561411</v>
      </c>
      <c r="F136" s="38">
        <f>IF(Settings!$E$15="POINTS",E136-VLOOKUP(B$2,C1:E229,3,FALSE),J136)</f>
        <v>-6.1852084961957221</v>
      </c>
      <c r="G136" s="38"/>
      <c r="H136" s="138">
        <f>RANK(I136,I3:I229)</f>
        <v>161</v>
      </c>
      <c r="I136" s="139">
        <f>VLOOKUP(A136,'Standard Deviations'!A1:C731,3,FALSE)</f>
        <v>-4.243467952561411</v>
      </c>
      <c r="J136" s="139">
        <f>I136-VLOOKUP(B$2,H1:J229,2,FALSE)</f>
        <v>-6.1852084961957221</v>
      </c>
    </row>
    <row r="137" spans="1:10" ht="21.2" customHeight="1">
      <c r="A137" s="8" t="s">
        <v>470</v>
      </c>
      <c r="B137" s="144" t="str">
        <f>VLOOKUP(A137,'The List'!B1:D730,3,FALSE)</f>
        <v>D</v>
      </c>
      <c r="C137" s="145">
        <f>IF(Settings!$E$15="POINTS",RANK(E137,E3:E229),H137)</f>
        <v>175</v>
      </c>
      <c r="D137" s="34" t="str">
        <f>VLOOKUP(A137,'The List'!B1:F730,5,FALSE)</f>
        <v>CHI</v>
      </c>
      <c r="E137" s="38">
        <f>VLOOKUP(A137,'The List'!B1:I730,8,FALSE)</f>
        <v>-4.4485052968630061</v>
      </c>
      <c r="F137" s="38">
        <f>IF(Settings!$E$15="POINTS",E137-VLOOKUP(B$2,C1:E229,3,FALSE),J137)</f>
        <v>-6.3902458404973164</v>
      </c>
      <c r="G137" s="38"/>
      <c r="H137" s="138">
        <f>RANK(I137,I3:I229)</f>
        <v>175</v>
      </c>
      <c r="I137" s="139">
        <f>VLOOKUP(A137,'Standard Deviations'!A1:C731,3,FALSE)</f>
        <v>-4.4485052968630061</v>
      </c>
      <c r="J137" s="139">
        <f>I137-VLOOKUP(B$2,H1:J229,2,FALSE)</f>
        <v>-6.3902458404973164</v>
      </c>
    </row>
    <row r="138" spans="1:10" ht="21.2" customHeight="1">
      <c r="A138" s="8" t="s">
        <v>472</v>
      </c>
      <c r="B138" s="144" t="str">
        <f>VLOOKUP(A138,'The List'!B1:D730,3,FALSE)</f>
        <v>D</v>
      </c>
      <c r="C138" s="145">
        <f>IF(Settings!$E$15="POINTS",RANK(E138,E3:E229),H138)</f>
        <v>147</v>
      </c>
      <c r="D138" s="34" t="str">
        <f>VLOOKUP(A138,'The List'!B1:F730,5,FALSE)</f>
        <v>NYR</v>
      </c>
      <c r="E138" s="38">
        <f>VLOOKUP(A138,'The List'!B1:I730,8,FALSE)</f>
        <v>-4.0026880150396336</v>
      </c>
      <c r="F138" s="38">
        <f>IF(Settings!$E$15="POINTS",E138-VLOOKUP(B$2,C1:E229,3,FALSE),J138)</f>
        <v>-5.9444285586739447</v>
      </c>
      <c r="G138" s="38"/>
      <c r="H138" s="138">
        <f>RANK(I138,I3:I229)</f>
        <v>147</v>
      </c>
      <c r="I138" s="139">
        <f>VLOOKUP(A138,'Standard Deviations'!A1:C731,3,FALSE)</f>
        <v>-4.0026880150396336</v>
      </c>
      <c r="J138" s="139">
        <f>I138-VLOOKUP(B$2,H1:J229,2,FALSE)</f>
        <v>-5.9444285586739447</v>
      </c>
    </row>
    <row r="139" spans="1:10" ht="21.2" customHeight="1">
      <c r="A139" s="8" t="s">
        <v>473</v>
      </c>
      <c r="B139" s="144" t="str">
        <f>VLOOKUP(A139,'The List'!B1:D730,3,FALSE)</f>
        <v>D</v>
      </c>
      <c r="C139" s="145">
        <f>IF(Settings!$E$15="POINTS",RANK(E139,E3:E229),H139)</f>
        <v>136</v>
      </c>
      <c r="D139" s="34" t="str">
        <f>VLOOKUP(A139,'The List'!B1:F730,5,FALSE)</f>
        <v>VGK</v>
      </c>
      <c r="E139" s="38">
        <f>VLOOKUP(A139,'The List'!B1:I730,8,FALSE)</f>
        <v>-3.9038653310191989</v>
      </c>
      <c r="F139" s="38">
        <f>IF(Settings!$E$15="POINTS",E139-VLOOKUP(B$2,C1:E229,3,FALSE),J139)</f>
        <v>-5.8456058746535096</v>
      </c>
      <c r="G139" s="38"/>
      <c r="H139" s="138">
        <f>RANK(I139,I3:I229)</f>
        <v>136</v>
      </c>
      <c r="I139" s="139">
        <f>VLOOKUP(A139,'Standard Deviations'!A1:C731,3,FALSE)</f>
        <v>-3.9038653310191989</v>
      </c>
      <c r="J139" s="139">
        <f>I139-VLOOKUP(B$2,H1:J229,2,FALSE)</f>
        <v>-5.8456058746535096</v>
      </c>
    </row>
    <row r="140" spans="1:10" ht="21.2" customHeight="1">
      <c r="A140" s="8" t="s">
        <v>474</v>
      </c>
      <c r="B140" s="144" t="str">
        <f>VLOOKUP(A140,'The List'!B1:D730,3,FALSE)</f>
        <v>D</v>
      </c>
      <c r="C140" s="145">
        <f>IF(Settings!$E$15="POINTS",RANK(E140,E3:E229),H140)</f>
        <v>128</v>
      </c>
      <c r="D140" s="34" t="str">
        <f>VLOOKUP(A140,'The List'!B1:F730,5,FALSE)</f>
        <v>OTT</v>
      </c>
      <c r="E140" s="38">
        <f>VLOOKUP(A140,'The List'!B1:I730,8,FALSE)</f>
        <v>-3.7226598396862283</v>
      </c>
      <c r="F140" s="38">
        <f>IF(Settings!$E$15="POINTS",E140-VLOOKUP(B$2,C1:E229,3,FALSE),J140)</f>
        <v>-5.6644003833205385</v>
      </c>
      <c r="G140" s="38"/>
      <c r="H140" s="138">
        <f>RANK(I140,I3:I229)</f>
        <v>128</v>
      </c>
      <c r="I140" s="139">
        <f>VLOOKUP(A140,'Standard Deviations'!A1:C731,3,FALSE)</f>
        <v>-3.7226598396862283</v>
      </c>
      <c r="J140" s="139">
        <f>I140-VLOOKUP(B$2,H1:J229,2,FALSE)</f>
        <v>-5.6644003833205385</v>
      </c>
    </row>
    <row r="141" spans="1:10" ht="21.2" customHeight="1">
      <c r="A141" s="8" t="s">
        <v>475</v>
      </c>
      <c r="B141" s="144" t="str">
        <f>VLOOKUP(A141,'The List'!B1:D730,3,FALSE)</f>
        <v>D</v>
      </c>
      <c r="C141" s="145">
        <f>IF(Settings!$E$15="POINTS",RANK(E141,E3:E229),H141)</f>
        <v>179</v>
      </c>
      <c r="D141" s="34" t="str">
        <f>VLOOKUP(A141,'The List'!B1:F730,5,FALSE)</f>
        <v>MTL</v>
      </c>
      <c r="E141" s="38">
        <f>VLOOKUP(A141,'The List'!B1:I730,8,FALSE)</f>
        <v>-4.5271447792210529</v>
      </c>
      <c r="F141" s="38">
        <f>IF(Settings!$E$15="POINTS",E141-VLOOKUP(B$2,C1:E229,3,FALSE),J141)</f>
        <v>-6.468885322855364</v>
      </c>
      <c r="G141" s="38"/>
      <c r="H141" s="138">
        <f>RANK(I141,I3:I229)</f>
        <v>179</v>
      </c>
      <c r="I141" s="139">
        <f>VLOOKUP(A141,'Standard Deviations'!A1:C731,3,FALSE)</f>
        <v>-4.5271447792210529</v>
      </c>
      <c r="J141" s="139">
        <f>I141-VLOOKUP(B$2,H1:J229,2,FALSE)</f>
        <v>-6.468885322855364</v>
      </c>
    </row>
    <row r="142" spans="1:10" ht="21.2" customHeight="1">
      <c r="A142" s="8" t="s">
        <v>477</v>
      </c>
      <c r="B142" s="144" t="str">
        <f>VLOOKUP(A142,'The List'!B1:D730,3,FALSE)</f>
        <v>D</v>
      </c>
      <c r="C142" s="145">
        <f>IF(Settings!$E$15="POINTS",RANK(E142,E3:E229),H142)</f>
        <v>164</v>
      </c>
      <c r="D142" s="34" t="str">
        <f>VLOOKUP(A142,'The List'!B1:F730,5,FALSE)</f>
        <v>WPG</v>
      </c>
      <c r="E142" s="38">
        <f>VLOOKUP(A142,'The List'!B1:I730,8,FALSE)</f>
        <v>-4.3066254132104245</v>
      </c>
      <c r="F142" s="38">
        <f>IF(Settings!$E$15="POINTS",E142-VLOOKUP(B$2,C1:E229,3,FALSE),J142)</f>
        <v>-6.2483659568447347</v>
      </c>
      <c r="G142" s="38"/>
      <c r="H142" s="138">
        <f>RANK(I142,I3:I229)</f>
        <v>164</v>
      </c>
      <c r="I142" s="139">
        <f>VLOOKUP(A142,'Standard Deviations'!A1:C731,3,FALSE)</f>
        <v>-4.3066254132104245</v>
      </c>
      <c r="J142" s="139">
        <f>I142-VLOOKUP(B$2,H1:J229,2,FALSE)</f>
        <v>-6.2483659568447347</v>
      </c>
    </row>
    <row r="143" spans="1:10" ht="21.2" customHeight="1">
      <c r="A143" s="8" t="s">
        <v>481</v>
      </c>
      <c r="B143" s="144" t="str">
        <f>VLOOKUP(A143,'The List'!B1:D730,3,FALSE)</f>
        <v>D</v>
      </c>
      <c r="C143" s="145">
        <f>IF(Settings!$E$15="POINTS",RANK(E143,E3:E229),H143)</f>
        <v>119</v>
      </c>
      <c r="D143" s="34" t="str">
        <f>VLOOKUP(A143,'The List'!B1:F730,5,FALSE)</f>
        <v>NSH</v>
      </c>
      <c r="E143" s="38">
        <f>VLOOKUP(A143,'The List'!B1:I730,8,FALSE)</f>
        <v>-3.4891616559337857</v>
      </c>
      <c r="F143" s="38">
        <f>IF(Settings!$E$15="POINTS",E143-VLOOKUP(B$2,C1:E229,3,FALSE),J143)</f>
        <v>-5.4309021995680968</v>
      </c>
      <c r="G143" s="38"/>
      <c r="H143" s="138">
        <f>RANK(I143,I3:I229)</f>
        <v>119</v>
      </c>
      <c r="I143" s="139">
        <f>VLOOKUP(A143,'Standard Deviations'!A1:C731,3,FALSE)</f>
        <v>-3.4891616559337857</v>
      </c>
      <c r="J143" s="139">
        <f>I143-VLOOKUP(B$2,H1:J229,2,FALSE)</f>
        <v>-5.4309021995680968</v>
      </c>
    </row>
    <row r="144" spans="1:10" ht="21.2" customHeight="1">
      <c r="A144" s="8" t="s">
        <v>483</v>
      </c>
      <c r="B144" s="144" t="str">
        <f>VLOOKUP(A144,'The List'!B1:D730,3,FALSE)</f>
        <v>D</v>
      </c>
      <c r="C144" s="145">
        <f>IF(Settings!$E$15="POINTS",RANK(E144,E3:E229),H144)</f>
        <v>135</v>
      </c>
      <c r="D144" s="34" t="str">
        <f>VLOOKUP(A144,'The List'!B1:F730,5,FALSE)</f>
        <v>BUF</v>
      </c>
      <c r="E144" s="38">
        <f>VLOOKUP(A144,'The List'!B1:I730,8,FALSE)</f>
        <v>-3.879629125141757</v>
      </c>
      <c r="F144" s="38">
        <f>IF(Settings!$E$15="POINTS",E144-VLOOKUP(B$2,C1:E229,3,FALSE),J144)</f>
        <v>-5.8213696687760681</v>
      </c>
      <c r="G144" s="38"/>
      <c r="H144" s="138">
        <f>RANK(I144,I3:I229)</f>
        <v>135</v>
      </c>
      <c r="I144" s="139">
        <f>VLOOKUP(A144,'Standard Deviations'!A1:C731,3,FALSE)</f>
        <v>-3.879629125141757</v>
      </c>
      <c r="J144" s="139">
        <f>I144-VLOOKUP(B$2,H1:J229,2,FALSE)</f>
        <v>-5.8213696687760681</v>
      </c>
    </row>
    <row r="145" spans="1:10" ht="21.2" customHeight="1">
      <c r="A145" s="8" t="s">
        <v>484</v>
      </c>
      <c r="B145" s="144" t="str">
        <f>VLOOKUP(A145,'The List'!B1:D730,3,FALSE)</f>
        <v>D</v>
      </c>
      <c r="C145" s="145">
        <f>IF(Settings!$E$15="POINTS",RANK(E145,E3:E229),H145)</f>
        <v>120</v>
      </c>
      <c r="D145" s="34" t="str">
        <f>VLOOKUP(A145,'The List'!B1:F730,5,FALSE)</f>
        <v>PHI</v>
      </c>
      <c r="E145" s="38">
        <f>VLOOKUP(A145,'The List'!B1:I730,8,FALSE)</f>
        <v>-3.506345675715647</v>
      </c>
      <c r="F145" s="38">
        <f>IF(Settings!$E$15="POINTS",E145-VLOOKUP(B$2,C1:E229,3,FALSE),J145)</f>
        <v>-5.4480862193499577</v>
      </c>
      <c r="G145" s="38"/>
      <c r="H145" s="138">
        <f>RANK(I145,I3:I229)</f>
        <v>120</v>
      </c>
      <c r="I145" s="139">
        <f>VLOOKUP(A145,'Standard Deviations'!A1:C731,3,FALSE)</f>
        <v>-3.506345675715647</v>
      </c>
      <c r="J145" s="139">
        <f>I145-VLOOKUP(B$2,H1:J229,2,FALSE)</f>
        <v>-5.4480862193499577</v>
      </c>
    </row>
    <row r="146" spans="1:10" ht="21.2" customHeight="1">
      <c r="A146" s="8" t="s">
        <v>485</v>
      </c>
      <c r="B146" s="144" t="str">
        <f>VLOOKUP(A146,'The List'!B1:D730,3,FALSE)</f>
        <v>D</v>
      </c>
      <c r="C146" s="145">
        <f>IF(Settings!$E$15="POINTS",RANK(E146,E3:E229),H146)</f>
        <v>139</v>
      </c>
      <c r="D146" s="34" t="str">
        <f>VLOOKUP(A146,'The List'!B1:F730,5,FALSE)</f>
        <v>NJD</v>
      </c>
      <c r="E146" s="38">
        <f>VLOOKUP(A146,'The List'!B1:I730,8,FALSE)</f>
        <v>-3.9407285037924358</v>
      </c>
      <c r="F146" s="38">
        <f>IF(Settings!$E$15="POINTS",E146-VLOOKUP(B$2,C1:E229,3,FALSE),J146)</f>
        <v>-5.8824690474267465</v>
      </c>
      <c r="G146" s="38"/>
      <c r="H146" s="138">
        <f>RANK(I146,I3:I229)</f>
        <v>139</v>
      </c>
      <c r="I146" s="139">
        <f>VLOOKUP(A146,'Standard Deviations'!A1:C731,3,FALSE)</f>
        <v>-3.9407285037924358</v>
      </c>
      <c r="J146" s="139">
        <f>I146-VLOOKUP(B$2,H1:J229,2,FALSE)</f>
        <v>-5.8824690474267465</v>
      </c>
    </row>
    <row r="147" spans="1:10" ht="21.2" customHeight="1">
      <c r="A147" s="8" t="s">
        <v>487</v>
      </c>
      <c r="B147" s="144" t="str">
        <f>VLOOKUP(A147,'The List'!B1:D730,3,FALSE)</f>
        <v>D</v>
      </c>
      <c r="C147" s="145">
        <f>IF(Settings!$E$15="POINTS",RANK(E147,E3:E229),H147)</f>
        <v>181</v>
      </c>
      <c r="D147" s="34" t="str">
        <f>VLOOKUP(A147,'The List'!B1:F730,5,FALSE)</f>
        <v>VAN</v>
      </c>
      <c r="E147" s="38">
        <f>VLOOKUP(A147,'The List'!B1:I730,8,FALSE)</f>
        <v>-4.5277782390692174</v>
      </c>
      <c r="F147" s="38">
        <f>IF(Settings!$E$15="POINTS",E147-VLOOKUP(B$2,C1:E229,3,FALSE),J147)</f>
        <v>-6.4695187827035276</v>
      </c>
      <c r="G147" s="38"/>
      <c r="H147" s="138">
        <f>RANK(I147,I3:I229)</f>
        <v>181</v>
      </c>
      <c r="I147" s="139">
        <f>VLOOKUP(A147,'Standard Deviations'!A1:C731,3,FALSE)</f>
        <v>-4.5277782390692174</v>
      </c>
      <c r="J147" s="139">
        <f>I147-VLOOKUP(B$2,H1:J229,2,FALSE)</f>
        <v>-6.4695187827035276</v>
      </c>
    </row>
    <row r="148" spans="1:10" ht="21.2" customHeight="1">
      <c r="A148" s="8" t="s">
        <v>492</v>
      </c>
      <c r="B148" s="144" t="str">
        <f>VLOOKUP(A148,'The List'!B1:D730,3,FALSE)</f>
        <v>D</v>
      </c>
      <c r="C148" s="145">
        <f>IF(Settings!$E$15="POINTS",RANK(E148,E3:E229),H148)</f>
        <v>102</v>
      </c>
      <c r="D148" s="34" t="str">
        <f>VLOOKUP(A148,'The List'!B1:F730,5,FALSE)</f>
        <v>NYI</v>
      </c>
      <c r="E148" s="38">
        <f>VLOOKUP(A148,'The List'!B1:I730,8,FALSE)</f>
        <v>-3.0859099688388514</v>
      </c>
      <c r="F148" s="38">
        <f>IF(Settings!$E$15="POINTS",E148-VLOOKUP(B$2,C1:E229,3,FALSE),J148)</f>
        <v>-5.0276505124731621</v>
      </c>
      <c r="G148" s="38"/>
      <c r="H148" s="138">
        <f>RANK(I148,I3:I229)</f>
        <v>102</v>
      </c>
      <c r="I148" s="139">
        <f>VLOOKUP(A148,'Standard Deviations'!A1:C731,3,FALSE)</f>
        <v>-3.0859099688388514</v>
      </c>
      <c r="J148" s="139">
        <f>I148-VLOOKUP(B$2,H1:J229,2,FALSE)</f>
        <v>-5.0276505124731621</v>
      </c>
    </row>
    <row r="149" spans="1:10" ht="21.2" customHeight="1">
      <c r="A149" s="8" t="s">
        <v>493</v>
      </c>
      <c r="B149" s="144" t="str">
        <f>VLOOKUP(A149,'The List'!B1:D730,3,FALSE)</f>
        <v>D</v>
      </c>
      <c r="C149" s="145">
        <f>IF(Settings!$E$15="POINTS",RANK(E149,E3:E229),H149)</f>
        <v>150</v>
      </c>
      <c r="D149" s="34" t="str">
        <f>VLOOKUP(A149,'The List'!B1:F730,5,FALSE)</f>
        <v>NSH</v>
      </c>
      <c r="E149" s="38">
        <f>VLOOKUP(A149,'The List'!B1:I730,8,FALSE)</f>
        <v>-4.0512321978659322</v>
      </c>
      <c r="F149" s="38">
        <f>IF(Settings!$E$15="POINTS",E149-VLOOKUP(B$2,C1:E229,3,FALSE),J149)</f>
        <v>-5.9929727415002425</v>
      </c>
      <c r="G149" s="38"/>
      <c r="H149" s="138">
        <f>RANK(I149,I3:I229)</f>
        <v>150</v>
      </c>
      <c r="I149" s="139">
        <f>VLOOKUP(A149,'Standard Deviations'!A1:C731,3,FALSE)</f>
        <v>-4.0512321978659322</v>
      </c>
      <c r="J149" s="139">
        <f>I149-VLOOKUP(B$2,H1:J229,2,FALSE)</f>
        <v>-5.9929727415002425</v>
      </c>
    </row>
    <row r="150" spans="1:10" ht="21.2" customHeight="1">
      <c r="A150" s="8" t="s">
        <v>494</v>
      </c>
      <c r="B150" s="144" t="str">
        <f>VLOOKUP(A150,'The List'!B1:D730,3,FALSE)</f>
        <v>D</v>
      </c>
      <c r="C150" s="145">
        <f>IF(Settings!$E$15="POINTS",RANK(E150,E3:E229),H150)</f>
        <v>171</v>
      </c>
      <c r="D150" s="34" t="str">
        <f>VLOOKUP(A150,'The List'!B1:F730,5,FALSE)</f>
        <v>DAL</v>
      </c>
      <c r="E150" s="38">
        <f>VLOOKUP(A150,'The List'!B1:I730,8,FALSE)</f>
        <v>-4.3857190780985906</v>
      </c>
      <c r="F150" s="38">
        <f>IF(Settings!$E$15="POINTS",E150-VLOOKUP(B$2,C1:E229,3,FALSE),J150)</f>
        <v>-6.3274596217329009</v>
      </c>
      <c r="G150" s="38"/>
      <c r="H150" s="138">
        <f>RANK(I150,I3:I229)</f>
        <v>171</v>
      </c>
      <c r="I150" s="139">
        <f>VLOOKUP(A150,'Standard Deviations'!A1:C731,3,FALSE)</f>
        <v>-4.3857190780985906</v>
      </c>
      <c r="J150" s="139">
        <f>I150-VLOOKUP(B$2,H1:J229,2,FALSE)</f>
        <v>-6.3274596217329009</v>
      </c>
    </row>
    <row r="151" spans="1:10" ht="21.2" customHeight="1">
      <c r="A151" s="8" t="s">
        <v>495</v>
      </c>
      <c r="B151" s="144" t="str">
        <f>VLOOKUP(A151,'The List'!B1:D730,3,FALSE)</f>
        <v>D</v>
      </c>
      <c r="C151" s="145">
        <f>IF(Settings!$E$15="POINTS",RANK(E151,E3:E229),H151)</f>
        <v>104</v>
      </c>
      <c r="D151" s="34" t="str">
        <f>VLOOKUP(A151,'The List'!B1:F730,5,FALSE)</f>
        <v>DAL</v>
      </c>
      <c r="E151" s="38">
        <f>VLOOKUP(A151,'The List'!B1:I730,8,FALSE)</f>
        <v>-3.1417751280195723</v>
      </c>
      <c r="F151" s="38">
        <f>IF(Settings!$E$15="POINTS",E151-VLOOKUP(B$2,C1:E229,3,FALSE),J151)</f>
        <v>-5.083515671653883</v>
      </c>
      <c r="G151" s="38"/>
      <c r="H151" s="138">
        <f>RANK(I151,I3:I229)</f>
        <v>104</v>
      </c>
      <c r="I151" s="139">
        <f>VLOOKUP(A151,'Standard Deviations'!A1:C731,3,FALSE)</f>
        <v>-3.1417751280195723</v>
      </c>
      <c r="J151" s="139">
        <f>I151-VLOOKUP(B$2,H1:J229,2,FALSE)</f>
        <v>-5.083515671653883</v>
      </c>
    </row>
    <row r="152" spans="1:10" ht="21.2" customHeight="1">
      <c r="A152" s="8" t="s">
        <v>496</v>
      </c>
      <c r="B152" s="144" t="str">
        <f>VLOOKUP(A152,'The List'!B1:D730,3,FALSE)</f>
        <v>D</v>
      </c>
      <c r="C152" s="145">
        <f>IF(Settings!$E$15="POINTS",RANK(E152,E3:E229),H152)</f>
        <v>152</v>
      </c>
      <c r="D152" s="34" t="str">
        <f>VLOOKUP(A152,'The List'!B1:F730,5,FALSE)</f>
        <v>PIT</v>
      </c>
      <c r="E152" s="38">
        <f>VLOOKUP(A152,'The List'!B1:I730,8,FALSE)</f>
        <v>-4.1117953173854849</v>
      </c>
      <c r="F152" s="38">
        <f>IF(Settings!$E$15="POINTS",E152-VLOOKUP(B$2,C1:E229,3,FALSE),J152)</f>
        <v>-6.053535861019796</v>
      </c>
      <c r="G152" s="38"/>
      <c r="H152" s="138">
        <f>RANK(I152,I3:I229)</f>
        <v>152</v>
      </c>
      <c r="I152" s="139">
        <f>VLOOKUP(A152,'Standard Deviations'!A1:C731,3,FALSE)</f>
        <v>-4.1117953173854849</v>
      </c>
      <c r="J152" s="139">
        <f>I152-VLOOKUP(B$2,H1:J229,2,FALSE)</f>
        <v>-6.053535861019796</v>
      </c>
    </row>
    <row r="153" spans="1:10" ht="21.2" customHeight="1">
      <c r="A153" s="8" t="s">
        <v>497</v>
      </c>
      <c r="B153" s="144" t="str">
        <f>VLOOKUP(A153,'The List'!B1:D730,3,FALSE)</f>
        <v>D</v>
      </c>
      <c r="C153" s="145">
        <f>IF(Settings!$E$15="POINTS",RANK(E153,E3:E229),H153)</f>
        <v>163</v>
      </c>
      <c r="D153" s="34" t="str">
        <f>VLOOKUP(A153,'The List'!B1:F730,5,FALSE)</f>
        <v>BOS</v>
      </c>
      <c r="E153" s="38">
        <f>VLOOKUP(A153,'The List'!B1:I730,8,FALSE)</f>
        <v>-4.2640336823188028</v>
      </c>
      <c r="F153" s="38">
        <f>IF(Settings!$E$15="POINTS",E153-VLOOKUP(B$2,C1:E229,3,FALSE),J153)</f>
        <v>-6.2057742259531139</v>
      </c>
      <c r="G153" s="38"/>
      <c r="H153" s="138">
        <f>RANK(I153,I3:I229)</f>
        <v>163</v>
      </c>
      <c r="I153" s="139">
        <f>VLOOKUP(A153,'Standard Deviations'!A1:C731,3,FALSE)</f>
        <v>-4.2640336823188028</v>
      </c>
      <c r="J153" s="139">
        <f>I153-VLOOKUP(B$2,H1:J229,2,FALSE)</f>
        <v>-6.2057742259531139</v>
      </c>
    </row>
    <row r="154" spans="1:10" ht="21.2" customHeight="1">
      <c r="A154" s="8" t="s">
        <v>498</v>
      </c>
      <c r="B154" s="144" t="str">
        <f>VLOOKUP(A154,'The List'!B1:D730,3,FALSE)</f>
        <v>D</v>
      </c>
      <c r="C154" s="145">
        <f>IF(Settings!$E$15="POINTS",RANK(E154,E3:E229),H154)</f>
        <v>176</v>
      </c>
      <c r="D154" s="34" t="str">
        <f>VLOOKUP(A154,'The List'!B1:F730,5,FALSE)</f>
        <v>DET</v>
      </c>
      <c r="E154" s="38">
        <f>VLOOKUP(A154,'The List'!B1:I730,8,FALSE)</f>
        <v>-4.4879280668842911</v>
      </c>
      <c r="F154" s="38">
        <f>IF(Settings!$E$15="POINTS",E154-VLOOKUP(B$2,C1:E229,3,FALSE),J154)</f>
        <v>-6.4296686105186023</v>
      </c>
      <c r="G154" s="38"/>
      <c r="H154" s="138">
        <f>RANK(I154,I3:I229)</f>
        <v>176</v>
      </c>
      <c r="I154" s="139">
        <f>VLOOKUP(A154,'Standard Deviations'!A1:C731,3,FALSE)</f>
        <v>-4.4879280668842911</v>
      </c>
      <c r="J154" s="139">
        <f>I154-VLOOKUP(B$2,H1:J229,2,FALSE)</f>
        <v>-6.4296686105186023</v>
      </c>
    </row>
    <row r="155" spans="1:10" ht="21.2" customHeight="1">
      <c r="A155" s="8" t="s">
        <v>499</v>
      </c>
      <c r="B155" s="144" t="str">
        <f>VLOOKUP(A155,'The List'!B1:D730,3,FALSE)</f>
        <v>D</v>
      </c>
      <c r="C155" s="145">
        <f>IF(Settings!$E$15="POINTS",RANK(E155,E3:E229),H155)</f>
        <v>151</v>
      </c>
      <c r="D155" s="34" t="str">
        <f>VLOOKUP(A155,'The List'!B1:F730,5,FALSE)</f>
        <v>MTL</v>
      </c>
      <c r="E155" s="38">
        <f>VLOOKUP(A155,'The List'!B1:I730,8,FALSE)</f>
        <v>-4.0880496964378601</v>
      </c>
      <c r="F155" s="38">
        <f>IF(Settings!$E$15="POINTS",E155-VLOOKUP(B$2,C1:E229,3,FALSE),J155)</f>
        <v>-6.0297902400721703</v>
      </c>
      <c r="G155" s="38"/>
      <c r="H155" s="138">
        <f>RANK(I155,I3:I229)</f>
        <v>151</v>
      </c>
      <c r="I155" s="139">
        <f>VLOOKUP(A155,'Standard Deviations'!A1:C731,3,FALSE)</f>
        <v>-4.0880496964378601</v>
      </c>
      <c r="J155" s="139">
        <f>I155-VLOOKUP(B$2,H1:J229,2,FALSE)</f>
        <v>-6.0297902400721703</v>
      </c>
    </row>
    <row r="156" spans="1:10" ht="21.2" customHeight="1">
      <c r="A156" s="8" t="s">
        <v>500</v>
      </c>
      <c r="B156" s="144" t="str">
        <f>VLOOKUP(A156,'The List'!B1:D730,3,FALSE)</f>
        <v>D</v>
      </c>
      <c r="C156" s="145">
        <f>IF(Settings!$E$15="POINTS",RANK(E156,E3:E229),H156)</f>
        <v>178</v>
      </c>
      <c r="D156" s="34" t="str">
        <f>VLOOKUP(A156,'The List'!B1:F730,5,FALSE)</f>
        <v>MIN</v>
      </c>
      <c r="E156" s="38">
        <f>VLOOKUP(A156,'The List'!B1:I730,8,FALSE)</f>
        <v>-4.5171208311545321</v>
      </c>
      <c r="F156" s="38">
        <f>IF(Settings!$E$15="POINTS",E156-VLOOKUP(B$2,C1:E229,3,FALSE),J156)</f>
        <v>-6.4588613747888424</v>
      </c>
      <c r="G156" s="38"/>
      <c r="H156" s="138">
        <f>RANK(I156,I3:I229)</f>
        <v>178</v>
      </c>
      <c r="I156" s="139">
        <f>VLOOKUP(A156,'Standard Deviations'!A1:C731,3,FALSE)</f>
        <v>-4.5171208311545321</v>
      </c>
      <c r="J156" s="139">
        <f>I156-VLOOKUP(B$2,H1:J229,2,FALSE)</f>
        <v>-6.4588613747888424</v>
      </c>
    </row>
    <row r="157" spans="1:10" ht="21.2" customHeight="1">
      <c r="A157" s="8" t="s">
        <v>505</v>
      </c>
      <c r="B157" s="144" t="str">
        <f>VLOOKUP(A157,'The List'!B1:D730,3,FALSE)</f>
        <v>D</v>
      </c>
      <c r="C157" s="145">
        <f>IF(Settings!$E$15="POINTS",RANK(E157,E3:E229),H157)</f>
        <v>180</v>
      </c>
      <c r="D157" s="34" t="str">
        <f>VLOOKUP(A157,'The List'!B1:F730,5,FALSE)</f>
        <v>SEA</v>
      </c>
      <c r="E157" s="38">
        <f>VLOOKUP(A157,'The List'!B1:I730,8,FALSE)</f>
        <v>-4.5273596046403579</v>
      </c>
      <c r="F157" s="38">
        <f>IF(Settings!$E$15="POINTS",E157-VLOOKUP(B$2,C1:E229,3,FALSE),J157)</f>
        <v>-6.4691001482746682</v>
      </c>
      <c r="G157" s="38"/>
      <c r="H157" s="138">
        <f>RANK(I157,I3:I229)</f>
        <v>180</v>
      </c>
      <c r="I157" s="139">
        <f>VLOOKUP(A157,'Standard Deviations'!A1:C731,3,FALSE)</f>
        <v>-4.5273596046403579</v>
      </c>
      <c r="J157" s="139">
        <f>I157-VLOOKUP(B$2,H1:J229,2,FALSE)</f>
        <v>-6.4691001482746682</v>
      </c>
    </row>
    <row r="158" spans="1:10" ht="21.2" customHeight="1">
      <c r="A158" s="8" t="s">
        <v>506</v>
      </c>
      <c r="B158" s="144" t="str">
        <f>VLOOKUP(A158,'The List'!B1:D730,3,FALSE)</f>
        <v>D</v>
      </c>
      <c r="C158" s="145">
        <f>IF(Settings!$E$15="POINTS",RANK(E158,E3:E229),H158)</f>
        <v>115</v>
      </c>
      <c r="D158" s="34" t="str">
        <f>VLOOKUP(A158,'The List'!B1:F730,5,FALSE)</f>
        <v>CHI</v>
      </c>
      <c r="E158" s="38">
        <f>VLOOKUP(A158,'The List'!B1:I730,8,FALSE)</f>
        <v>-3.3870802418735</v>
      </c>
      <c r="F158" s="38">
        <f>IF(Settings!$E$15="POINTS",E158-VLOOKUP(B$2,C1:E229,3,FALSE),J158)</f>
        <v>-5.3288207855078102</v>
      </c>
      <c r="G158" s="38"/>
      <c r="H158" s="138">
        <f>RANK(I158,I3:I229)</f>
        <v>115</v>
      </c>
      <c r="I158" s="139">
        <f>VLOOKUP(A158,'Standard Deviations'!A1:C731,3,FALSE)</f>
        <v>-3.3870802418735</v>
      </c>
      <c r="J158" s="139">
        <f>I158-VLOOKUP(B$2,H1:J229,2,FALSE)</f>
        <v>-5.3288207855078102</v>
      </c>
    </row>
    <row r="159" spans="1:10" ht="21.2" customHeight="1">
      <c r="A159" s="8" t="s">
        <v>507</v>
      </c>
      <c r="B159" s="144" t="str">
        <f>VLOOKUP(A159,'The List'!B1:D730,3,FALSE)</f>
        <v>D</v>
      </c>
      <c r="C159" s="145">
        <f>IF(Settings!$E$15="POINTS",RANK(E159,E3:E229),H159)</f>
        <v>173</v>
      </c>
      <c r="D159" s="34" t="str">
        <f>VLOOKUP(A159,'The List'!B1:F730,5,FALSE)</f>
        <v>FLA</v>
      </c>
      <c r="E159" s="38">
        <f>VLOOKUP(A159,'The List'!B1:I730,8,FALSE)</f>
        <v>-4.4206874869227422</v>
      </c>
      <c r="F159" s="38">
        <f>IF(Settings!$E$15="POINTS",E159-VLOOKUP(B$2,C1:E229,3,FALSE),J159)</f>
        <v>-6.3624280305570533</v>
      </c>
      <c r="G159" s="38"/>
      <c r="H159" s="138">
        <f>RANK(I159,I3:I229)</f>
        <v>173</v>
      </c>
      <c r="I159" s="139">
        <f>VLOOKUP(A159,'Standard Deviations'!A1:C731,3,FALSE)</f>
        <v>-4.4206874869227422</v>
      </c>
      <c r="J159" s="139">
        <f>I159-VLOOKUP(B$2,H1:J229,2,FALSE)</f>
        <v>-6.3624280305570533</v>
      </c>
    </row>
    <row r="160" spans="1:10" ht="21.2" customHeight="1">
      <c r="A160" s="8" t="s">
        <v>509</v>
      </c>
      <c r="B160" s="144" t="str">
        <f>VLOOKUP(A160,'The List'!B1:D730,3,FALSE)</f>
        <v>D</v>
      </c>
      <c r="C160" s="145">
        <f>IF(Settings!$E$15="POINTS",RANK(E160,E3:E229),H160)</f>
        <v>182</v>
      </c>
      <c r="D160" s="34" t="str">
        <f>VLOOKUP(A160,'The List'!B1:F730,5,FALSE)</f>
        <v>PHI</v>
      </c>
      <c r="E160" s="38">
        <f>VLOOKUP(A160,'The List'!B1:I730,8,FALSE)</f>
        <v>-4.5533637007982373</v>
      </c>
      <c r="F160" s="38">
        <f>IF(Settings!$E$15="POINTS",E160-VLOOKUP(B$2,C1:E229,3,FALSE),J160)</f>
        <v>-6.4951042444325484</v>
      </c>
      <c r="G160" s="38"/>
      <c r="H160" s="138">
        <f>RANK(I160,I3:I229)</f>
        <v>182</v>
      </c>
      <c r="I160" s="139">
        <f>VLOOKUP(A160,'Standard Deviations'!A1:C731,3,FALSE)</f>
        <v>-4.5533637007982373</v>
      </c>
      <c r="J160" s="139">
        <f>I160-VLOOKUP(B$2,H1:J229,2,FALSE)</f>
        <v>-6.4951042444325484</v>
      </c>
    </row>
    <row r="161" spans="1:10" ht="21.2" customHeight="1">
      <c r="A161" s="8" t="s">
        <v>510</v>
      </c>
      <c r="B161" s="144" t="str">
        <f>VLOOKUP(A161,'The List'!B1:D730,3,FALSE)</f>
        <v>D</v>
      </c>
      <c r="C161" s="145">
        <f>IF(Settings!$E$15="POINTS",RANK(E161,E3:E229),H161)</f>
        <v>159</v>
      </c>
      <c r="D161" s="34" t="str">
        <f>VLOOKUP(A161,'The List'!B1:F730,5,FALSE)</f>
        <v>OTT</v>
      </c>
      <c r="E161" s="38">
        <f>VLOOKUP(A161,'The List'!B1:I730,8,FALSE)</f>
        <v>-4.2066301316804617</v>
      </c>
      <c r="F161" s="38">
        <f>IF(Settings!$E$15="POINTS",E161-VLOOKUP(B$2,C1:E229,3,FALSE),J161)</f>
        <v>-6.1483706753147729</v>
      </c>
      <c r="G161" s="38"/>
      <c r="H161" s="138">
        <f>RANK(I161,I3:I229)</f>
        <v>159</v>
      </c>
      <c r="I161" s="139">
        <f>VLOOKUP(A161,'Standard Deviations'!A1:C731,3,FALSE)</f>
        <v>-4.2066301316804617</v>
      </c>
      <c r="J161" s="139">
        <f>I161-VLOOKUP(B$2,H1:J229,2,FALSE)</f>
        <v>-6.1483706753147729</v>
      </c>
    </row>
    <row r="162" spans="1:10" ht="21.2" customHeight="1">
      <c r="A162" s="8" t="s">
        <v>513</v>
      </c>
      <c r="B162" s="144" t="str">
        <f>VLOOKUP(A162,'The List'!B1:D730,3,FALSE)</f>
        <v>D</v>
      </c>
      <c r="C162" s="145">
        <f>IF(Settings!$E$15="POINTS",RANK(E162,E3:E229),H162)</f>
        <v>123</v>
      </c>
      <c r="D162" s="34" t="str">
        <f>VLOOKUP(A162,'The List'!B1:F730,5,FALSE)</f>
        <v>FLA</v>
      </c>
      <c r="E162" s="38">
        <f>VLOOKUP(A162,'The List'!B1:I730,8,FALSE)</f>
        <v>-3.5512034137262467</v>
      </c>
      <c r="F162" s="38">
        <f>IF(Settings!$E$15="POINTS",E162-VLOOKUP(B$2,C1:E229,3,FALSE),J162)</f>
        <v>-5.4929439573605574</v>
      </c>
      <c r="G162" s="38"/>
      <c r="H162" s="138">
        <f>RANK(I162,I3:I229)</f>
        <v>123</v>
      </c>
      <c r="I162" s="139">
        <f>VLOOKUP(A162,'Standard Deviations'!A1:C731,3,FALSE)</f>
        <v>-3.5512034137262467</v>
      </c>
      <c r="J162" s="139">
        <f>I162-VLOOKUP(B$2,H1:J229,2,FALSE)</f>
        <v>-5.4929439573605574</v>
      </c>
    </row>
    <row r="163" spans="1:10" ht="21.2" customHeight="1">
      <c r="A163" s="8" t="s">
        <v>515</v>
      </c>
      <c r="B163" s="144" t="str">
        <f>VLOOKUP(A163,'The List'!B1:D730,3,FALSE)</f>
        <v>D</v>
      </c>
      <c r="C163" s="145">
        <f>IF(Settings!$E$15="POINTS",RANK(E163,E3:E229),H163)</f>
        <v>131</v>
      </c>
      <c r="D163" s="34" t="str">
        <f>VLOOKUP(A163,'The List'!B1:F730,5,FALSE)</f>
        <v>COL</v>
      </c>
      <c r="E163" s="38">
        <f>VLOOKUP(A163,'The List'!B1:I730,8,FALSE)</f>
        <v>-3.7995060683518176</v>
      </c>
      <c r="F163" s="38">
        <f>IF(Settings!$E$15="POINTS",E163-VLOOKUP(B$2,C1:E229,3,FALSE),J163)</f>
        <v>-5.7412466119861278</v>
      </c>
      <c r="G163" s="38"/>
      <c r="H163" s="138">
        <f>RANK(I163,I3:I229)</f>
        <v>131</v>
      </c>
      <c r="I163" s="139">
        <f>VLOOKUP(A163,'Standard Deviations'!A1:C731,3,FALSE)</f>
        <v>-3.7995060683518176</v>
      </c>
      <c r="J163" s="139">
        <f>I163-VLOOKUP(B$2,H1:J229,2,FALSE)</f>
        <v>-5.7412466119861278</v>
      </c>
    </row>
    <row r="164" spans="1:10" ht="21.2" customHeight="1">
      <c r="A164" s="8" t="s">
        <v>517</v>
      </c>
      <c r="B164" s="144" t="str">
        <f>VLOOKUP(A164,'The List'!B1:D730,3,FALSE)</f>
        <v>D</v>
      </c>
      <c r="C164" s="145">
        <f>IF(Settings!$E$15="POINTS",RANK(E164,E3:E229),H164)</f>
        <v>177</v>
      </c>
      <c r="D164" s="34" t="str">
        <f>VLOOKUP(A164,'The List'!B1:F730,5,FALSE)</f>
        <v>STL</v>
      </c>
      <c r="E164" s="38">
        <f>VLOOKUP(A164,'The List'!B1:I730,8,FALSE)</f>
        <v>-4.5141941434165043</v>
      </c>
      <c r="F164" s="38">
        <f>IF(Settings!$E$15="POINTS",E164-VLOOKUP(B$2,C1:E229,3,FALSE),J164)</f>
        <v>-6.4559346870508154</v>
      </c>
      <c r="G164" s="38"/>
      <c r="H164" s="138">
        <f>RANK(I164,I3:I229)</f>
        <v>177</v>
      </c>
      <c r="I164" s="139">
        <f>VLOOKUP(A164,'Standard Deviations'!A1:C731,3,FALSE)</f>
        <v>-4.5141941434165043</v>
      </c>
      <c r="J164" s="139">
        <f>I164-VLOOKUP(B$2,H1:J229,2,FALSE)</f>
        <v>-6.4559346870508154</v>
      </c>
    </row>
    <row r="165" spans="1:10" ht="21.2" customHeight="1">
      <c r="A165" s="8" t="s">
        <v>518</v>
      </c>
      <c r="B165" s="144" t="str">
        <f>VLOOKUP(A165,'The List'!B1:D730,3,FALSE)</f>
        <v>D</v>
      </c>
      <c r="C165" s="145">
        <f>IF(Settings!$E$15="POINTS",RANK(E165,E3:E229),H165)</f>
        <v>165</v>
      </c>
      <c r="D165" s="34" t="str">
        <f>VLOOKUP(A165,'The List'!B1:F730,5,FALSE)</f>
        <v>MIN</v>
      </c>
      <c r="E165" s="38">
        <f>VLOOKUP(A165,'The List'!B1:I730,8,FALSE)</f>
        <v>-4.3271861358711359</v>
      </c>
      <c r="F165" s="38">
        <f>IF(Settings!$E$15="POINTS",E165-VLOOKUP(B$2,C1:E229,3,FALSE),J165)</f>
        <v>-6.2689266795054461</v>
      </c>
      <c r="G165" s="38"/>
      <c r="H165" s="138">
        <f>RANK(I165,I3:I229)</f>
        <v>165</v>
      </c>
      <c r="I165" s="139">
        <f>VLOOKUP(A165,'Standard Deviations'!A1:C731,3,FALSE)</f>
        <v>-4.3271861358711359</v>
      </c>
      <c r="J165" s="139">
        <f>I165-VLOOKUP(B$2,H1:J229,2,FALSE)</f>
        <v>-6.2689266795054461</v>
      </c>
    </row>
    <row r="166" spans="1:10" ht="21.2" customHeight="1">
      <c r="A166" s="8" t="s">
        <v>520</v>
      </c>
      <c r="B166" s="144" t="str">
        <f>VLOOKUP(A166,'The List'!B1:D730,3,FALSE)</f>
        <v>D</v>
      </c>
      <c r="C166" s="145">
        <f>IF(Settings!$E$15="POINTS",RANK(E166,E3:E229),H166)</f>
        <v>166</v>
      </c>
      <c r="D166" s="34" t="str">
        <f>VLOOKUP(A166,'The List'!B1:F730,5,FALSE)</f>
        <v>ARI</v>
      </c>
      <c r="E166" s="38">
        <f>VLOOKUP(A166,'The List'!B1:I730,8,FALSE)</f>
        <v>-4.3314981075657633</v>
      </c>
      <c r="F166" s="38">
        <f>IF(Settings!$E$15="POINTS",E166-VLOOKUP(B$2,C1:E229,3,FALSE),J166)</f>
        <v>-6.2732386512000744</v>
      </c>
      <c r="G166" s="38"/>
      <c r="H166" s="138">
        <f>RANK(I166,I3:I229)</f>
        <v>166</v>
      </c>
      <c r="I166" s="139">
        <f>VLOOKUP(A166,'Standard Deviations'!A1:C731,3,FALSE)</f>
        <v>-4.3314981075657633</v>
      </c>
      <c r="J166" s="139">
        <f>I166-VLOOKUP(B$2,H1:J229,2,FALSE)</f>
        <v>-6.2732386512000744</v>
      </c>
    </row>
    <row r="167" spans="1:10" ht="21.2" customHeight="1">
      <c r="A167" s="8" t="s">
        <v>521</v>
      </c>
      <c r="B167" s="144" t="str">
        <f>VLOOKUP(A167,'The List'!B1:D730,3,FALSE)</f>
        <v>D</v>
      </c>
      <c r="C167" s="145">
        <f>IF(Settings!$E$15="POINTS",RANK(E167,E3:E229),H167)</f>
        <v>190</v>
      </c>
      <c r="D167" s="34" t="str">
        <f>VLOOKUP(A167,'The List'!B1:F730,5,FALSE)</f>
        <v>SJS</v>
      </c>
      <c r="E167" s="38">
        <f>VLOOKUP(A167,'The List'!B1:I730,8,FALSE)</f>
        <v>-4.8077912979192066</v>
      </c>
      <c r="F167" s="38">
        <f>IF(Settings!$E$15="POINTS",E167-VLOOKUP(B$2,C1:E229,3,FALSE),J167)</f>
        <v>-6.7495318415535177</v>
      </c>
      <c r="G167" s="38"/>
      <c r="H167" s="138">
        <f>RANK(I167,I3:I229)</f>
        <v>190</v>
      </c>
      <c r="I167" s="139">
        <f>VLOOKUP(A167,'Standard Deviations'!A1:C731,3,FALSE)</f>
        <v>-4.8077912979192066</v>
      </c>
      <c r="J167" s="139">
        <f>I167-VLOOKUP(B$2,H1:J229,2,FALSE)</f>
        <v>-6.7495318415535177</v>
      </c>
    </row>
    <row r="168" spans="1:10" ht="21.2" customHeight="1">
      <c r="A168" s="8" t="s">
        <v>525</v>
      </c>
      <c r="B168" s="144" t="str">
        <f>VLOOKUP(A168,'The List'!B1:D730,3,FALSE)</f>
        <v>D</v>
      </c>
      <c r="C168" s="145">
        <f>IF(Settings!$E$15="POINTS",RANK(E168,E3:E229),H168)</f>
        <v>185</v>
      </c>
      <c r="D168" s="34" t="str">
        <f>VLOOKUP(A168,'The List'!B1:F730,5,FALSE)</f>
        <v>CBJ</v>
      </c>
      <c r="E168" s="38">
        <f>VLOOKUP(A168,'The List'!B1:I730,8,FALSE)</f>
        <v>-4.6374242101236662</v>
      </c>
      <c r="F168" s="38">
        <f>IF(Settings!$E$15="POINTS",E168-VLOOKUP(B$2,C1:E229,3,FALSE),J168)</f>
        <v>-6.5791647537579774</v>
      </c>
      <c r="G168" s="38"/>
      <c r="H168" s="138">
        <f>RANK(I168,I3:I229)</f>
        <v>185</v>
      </c>
      <c r="I168" s="139">
        <f>VLOOKUP(A168,'Standard Deviations'!A1:C731,3,FALSE)</f>
        <v>-4.6374242101236662</v>
      </c>
      <c r="J168" s="139">
        <f>I168-VLOOKUP(B$2,H1:J229,2,FALSE)</f>
        <v>-6.5791647537579774</v>
      </c>
    </row>
    <row r="169" spans="1:10" ht="21.2" customHeight="1">
      <c r="A169" s="8" t="s">
        <v>526</v>
      </c>
      <c r="B169" s="144" t="str">
        <f>VLOOKUP(A169,'The List'!B1:D730,3,FALSE)</f>
        <v>D</v>
      </c>
      <c r="C169" s="145">
        <f>IF(Settings!$E$15="POINTS",RANK(E169,E3:E229),H169)</f>
        <v>109</v>
      </c>
      <c r="D169" s="34" t="str">
        <f>VLOOKUP(A169,'The List'!B1:F730,5,FALSE)</f>
        <v>STL</v>
      </c>
      <c r="E169" s="38">
        <f>VLOOKUP(A169,'The List'!B1:I730,8,FALSE)</f>
        <v>-3.271870409352478</v>
      </c>
      <c r="F169" s="38">
        <f>IF(Settings!$E$15="POINTS",E169-VLOOKUP(B$2,C1:E229,3,FALSE),J169)</f>
        <v>-5.2136109529867891</v>
      </c>
      <c r="G169" s="38"/>
      <c r="H169" s="138">
        <f>RANK(I169,I3:I229)</f>
        <v>109</v>
      </c>
      <c r="I169" s="139">
        <f>VLOOKUP(A169,'Standard Deviations'!A1:C731,3,FALSE)</f>
        <v>-3.271870409352478</v>
      </c>
      <c r="J169" s="139">
        <f>I169-VLOOKUP(B$2,H1:J229,2,FALSE)</f>
        <v>-5.2136109529867891</v>
      </c>
    </row>
    <row r="170" spans="1:10" ht="21.2" customHeight="1">
      <c r="A170" s="8" t="s">
        <v>529</v>
      </c>
      <c r="B170" s="144" t="str">
        <f>VLOOKUP(A170,'The List'!B1:D730,3,FALSE)</f>
        <v>D</v>
      </c>
      <c r="C170" s="145">
        <f>IF(Settings!$E$15="POINTS",RANK(E170,E3:E229),H170)</f>
        <v>169</v>
      </c>
      <c r="D170" s="34" t="str">
        <f>VLOOKUP(A170,'The List'!B1:F730,5,FALSE)</f>
        <v>NYR</v>
      </c>
      <c r="E170" s="38">
        <f>VLOOKUP(A170,'The List'!B1:I730,8,FALSE)</f>
        <v>-4.3784259923568332</v>
      </c>
      <c r="F170" s="38">
        <f>IF(Settings!$E$15="POINTS",E170-VLOOKUP(B$2,C1:E229,3,FALSE),J170)</f>
        <v>-6.3201665359911434</v>
      </c>
      <c r="G170" s="38"/>
      <c r="H170" s="138">
        <f>RANK(I170,I3:I229)</f>
        <v>169</v>
      </c>
      <c r="I170" s="139">
        <f>VLOOKUP(A170,'Standard Deviations'!A1:C731,3,FALSE)</f>
        <v>-4.3784259923568332</v>
      </c>
      <c r="J170" s="139">
        <f>I170-VLOOKUP(B$2,H1:J229,2,FALSE)</f>
        <v>-6.3201665359911434</v>
      </c>
    </row>
    <row r="171" spans="1:10" ht="21.2" customHeight="1">
      <c r="A171" s="8" t="s">
        <v>532</v>
      </c>
      <c r="B171" s="144" t="str">
        <f>VLOOKUP(A171,'The List'!B1:D730,3,FALSE)</f>
        <v>D</v>
      </c>
      <c r="C171" s="145">
        <f>IF(Settings!$E$15="POINTS",RANK(E171,E3:E229),H171)</f>
        <v>205</v>
      </c>
      <c r="D171" s="34" t="str">
        <f>VLOOKUP(A171,'The List'!B1:F730,5,FALSE)</f>
        <v>DAL</v>
      </c>
      <c r="E171" s="38">
        <f>VLOOKUP(A171,'The List'!B1:I730,8,FALSE)</f>
        <v>-5.1320672667622045</v>
      </c>
      <c r="F171" s="38">
        <f>IF(Settings!$E$15="POINTS",E171-VLOOKUP(B$2,C1:E229,3,FALSE),J171)</f>
        <v>-7.0738078103965147</v>
      </c>
      <c r="G171" s="38"/>
      <c r="H171" s="138">
        <f>RANK(I171,I3:I229)</f>
        <v>205</v>
      </c>
      <c r="I171" s="139">
        <f>VLOOKUP(A171,'Standard Deviations'!A1:C731,3,FALSE)</f>
        <v>-5.1320672667622045</v>
      </c>
      <c r="J171" s="139">
        <f>I171-VLOOKUP(B$2,H1:J229,2,FALSE)</f>
        <v>-7.0738078103965147</v>
      </c>
    </row>
    <row r="172" spans="1:10" ht="21.2" customHeight="1">
      <c r="A172" s="8" t="s">
        <v>533</v>
      </c>
      <c r="B172" s="144" t="str">
        <f>VLOOKUP(A172,'The List'!B1:D730,3,FALSE)</f>
        <v>D</v>
      </c>
      <c r="C172" s="145">
        <f>IF(Settings!$E$15="POINTS",RANK(E172,E3:E229),H172)</f>
        <v>167</v>
      </c>
      <c r="D172" s="34" t="str">
        <f>VLOOKUP(A172,'The List'!B1:F730,5,FALSE)</f>
        <v>MTL</v>
      </c>
      <c r="E172" s="38">
        <f>VLOOKUP(A172,'The List'!B1:I730,8,FALSE)</f>
        <v>-4.337573284256834</v>
      </c>
      <c r="F172" s="38">
        <f>IF(Settings!$E$15="POINTS",E172-VLOOKUP(B$2,C1:E229,3,FALSE),J172)</f>
        <v>-6.2793138278911442</v>
      </c>
      <c r="G172" s="38"/>
      <c r="H172" s="138">
        <f>RANK(I172,I3:I229)</f>
        <v>167</v>
      </c>
      <c r="I172" s="139">
        <f>VLOOKUP(A172,'Standard Deviations'!A1:C731,3,FALSE)</f>
        <v>-4.337573284256834</v>
      </c>
      <c r="J172" s="139">
        <f>I172-VLOOKUP(B$2,H1:J229,2,FALSE)</f>
        <v>-6.2793138278911442</v>
      </c>
    </row>
    <row r="173" spans="1:10" ht="21.2" customHeight="1">
      <c r="A173" s="8" t="s">
        <v>534</v>
      </c>
      <c r="B173" s="144" t="str">
        <f>VLOOKUP(A173,'The List'!B1:D730,3,FALSE)</f>
        <v>D</v>
      </c>
      <c r="C173" s="145">
        <f>IF(Settings!$E$15="POINTS",RANK(E173,E3:E229),H173)</f>
        <v>188</v>
      </c>
      <c r="D173" s="34" t="str">
        <f>VLOOKUP(A173,'The List'!B1:F730,5,FALSE)</f>
        <v>WPG</v>
      </c>
      <c r="E173" s="38">
        <f>VLOOKUP(A173,'The List'!B1:I730,8,FALSE)</f>
        <v>-4.746943927063799</v>
      </c>
      <c r="F173" s="38">
        <f>IF(Settings!$E$15="POINTS",E173-VLOOKUP(B$2,C1:E229,3,FALSE),J173)</f>
        <v>-6.6886844706981101</v>
      </c>
      <c r="G173" s="38"/>
      <c r="H173" s="138">
        <f>RANK(I173,I3:I229)</f>
        <v>188</v>
      </c>
      <c r="I173" s="139">
        <f>VLOOKUP(A173,'Standard Deviations'!A1:C731,3,FALSE)</f>
        <v>-4.746943927063799</v>
      </c>
      <c r="J173" s="139">
        <f>I173-VLOOKUP(B$2,H1:J229,2,FALSE)</f>
        <v>-6.6886844706981101</v>
      </c>
    </row>
    <row r="174" spans="1:10" ht="21.2" customHeight="1">
      <c r="A174" s="8" t="s">
        <v>536</v>
      </c>
      <c r="B174" s="144" t="str">
        <f>VLOOKUP(A174,'The List'!B1:D730,3,FALSE)</f>
        <v>D</v>
      </c>
      <c r="C174" s="145">
        <f>IF(Settings!$E$15="POINTS",RANK(E174,E3:E229),H174)</f>
        <v>160</v>
      </c>
      <c r="D174" s="34" t="str">
        <f>VLOOKUP(A174,'The List'!B1:F730,5,FALSE)</f>
        <v>FLA</v>
      </c>
      <c r="E174" s="38">
        <f>VLOOKUP(A174,'The List'!B1:I730,8,FALSE)</f>
        <v>-4.209114498992804</v>
      </c>
      <c r="F174" s="38">
        <f>IF(Settings!$E$15="POINTS",E174-VLOOKUP(B$2,C1:E229,3,FALSE),J174)</f>
        <v>-6.1508550426271142</v>
      </c>
      <c r="G174" s="38"/>
      <c r="H174" s="138">
        <f>RANK(I174,I3:I229)</f>
        <v>160</v>
      </c>
      <c r="I174" s="139">
        <f>VLOOKUP(A174,'Standard Deviations'!A1:C731,3,FALSE)</f>
        <v>-4.209114498992804</v>
      </c>
      <c r="J174" s="139">
        <f>I174-VLOOKUP(B$2,H1:J229,2,FALSE)</f>
        <v>-6.1508550426271142</v>
      </c>
    </row>
    <row r="175" spans="1:10" ht="21.2" customHeight="1">
      <c r="A175" s="8" t="s">
        <v>539</v>
      </c>
      <c r="B175" s="144" t="str">
        <f>VLOOKUP(A175,'The List'!B1:D730,3,FALSE)</f>
        <v>D</v>
      </c>
      <c r="C175" s="145">
        <f>IF(Settings!$E$15="POINTS",RANK(E175,E3:E229),H175)</f>
        <v>197</v>
      </c>
      <c r="D175" s="34" t="str">
        <f>VLOOKUP(A175,'The List'!B1:F730,5,FALSE)</f>
        <v>BOS</v>
      </c>
      <c r="E175" s="38">
        <f>VLOOKUP(A175,'The List'!B1:I730,8,FALSE)</f>
        <v>-4.9840902076760285</v>
      </c>
      <c r="F175" s="38">
        <f>IF(Settings!$E$15="POINTS",E175-VLOOKUP(B$2,C1:E229,3,FALSE),J175)</f>
        <v>-6.9258307513103397</v>
      </c>
      <c r="G175" s="38"/>
      <c r="H175" s="138">
        <f>RANK(I175,I3:I229)</f>
        <v>197</v>
      </c>
      <c r="I175" s="139">
        <f>VLOOKUP(A175,'Standard Deviations'!A1:C731,3,FALSE)</f>
        <v>-4.9840902076760285</v>
      </c>
      <c r="J175" s="139">
        <f>I175-VLOOKUP(B$2,H1:J229,2,FALSE)</f>
        <v>-6.9258307513103397</v>
      </c>
    </row>
    <row r="176" spans="1:10" ht="21.2" customHeight="1">
      <c r="A176" s="8" t="s">
        <v>540</v>
      </c>
      <c r="B176" s="144" t="str">
        <f>VLOOKUP(A176,'The List'!B1:D730,3,FALSE)</f>
        <v>D</v>
      </c>
      <c r="C176" s="145">
        <f>IF(Settings!$E$15="POINTS",RANK(E176,E3:E229),H176)</f>
        <v>168</v>
      </c>
      <c r="D176" s="34" t="str">
        <f>VLOOKUP(A176,'The List'!B1:F730,5,FALSE)</f>
        <v>WSH</v>
      </c>
      <c r="E176" s="38">
        <f>VLOOKUP(A176,'The List'!B1:I730,8,FALSE)</f>
        <v>-4.3522749343678937</v>
      </c>
      <c r="F176" s="38">
        <f>IF(Settings!$E$15="POINTS",E176-VLOOKUP(B$2,C1:E229,3,FALSE),J176)</f>
        <v>-6.2940154780022048</v>
      </c>
      <c r="G176" s="38"/>
      <c r="H176" s="138">
        <f>RANK(I176,I3:I229)</f>
        <v>168</v>
      </c>
      <c r="I176" s="139">
        <f>VLOOKUP(A176,'Standard Deviations'!A1:C731,3,FALSE)</f>
        <v>-4.3522749343678937</v>
      </c>
      <c r="J176" s="139">
        <f>I176-VLOOKUP(B$2,H1:J229,2,FALSE)</f>
        <v>-6.2940154780022048</v>
      </c>
    </row>
    <row r="177" spans="1:10" ht="21.2" customHeight="1">
      <c r="A177" s="8" t="s">
        <v>541</v>
      </c>
      <c r="B177" s="144" t="str">
        <f>VLOOKUP(A177,'The List'!B1:D730,3,FALSE)</f>
        <v>D</v>
      </c>
      <c r="C177" s="145">
        <f>IF(Settings!$E$15="POINTS",RANK(E177,E3:E229),H177)</f>
        <v>92</v>
      </c>
      <c r="D177" s="34" t="str">
        <f>VLOOKUP(A177,'The List'!B1:F730,5,FALSE)</f>
        <v>CGY</v>
      </c>
      <c r="E177" s="38">
        <f>VLOOKUP(A177,'The List'!B1:I730,8,FALSE)</f>
        <v>-2.6614220904772212</v>
      </c>
      <c r="F177" s="38">
        <f>IF(Settings!$E$15="POINTS",E177-VLOOKUP(B$2,C1:E229,3,FALSE),J177)</f>
        <v>-4.6031626341115324</v>
      </c>
      <c r="G177" s="38"/>
      <c r="H177" s="138">
        <f>RANK(I177,I3:I229)</f>
        <v>92</v>
      </c>
      <c r="I177" s="139">
        <f>VLOOKUP(A177,'Standard Deviations'!A1:C731,3,FALSE)</f>
        <v>-2.6614220904772212</v>
      </c>
      <c r="J177" s="139">
        <f>I177-VLOOKUP(B$2,H1:J229,2,FALSE)</f>
        <v>-4.6031626341115324</v>
      </c>
    </row>
    <row r="178" spans="1:10" ht="21.2" customHeight="1">
      <c r="A178" s="8" t="s">
        <v>542</v>
      </c>
      <c r="B178" s="144" t="str">
        <f>VLOOKUP(A178,'The List'!B1:D730,3,FALSE)</f>
        <v>D</v>
      </c>
      <c r="C178" s="145">
        <f>IF(Settings!$E$15="POINTS",RANK(E178,E3:E229),H178)</f>
        <v>157</v>
      </c>
      <c r="D178" s="34" t="str">
        <f>VLOOKUP(A178,'The List'!B1:F730,5,FALSE)</f>
        <v>MTL</v>
      </c>
      <c r="E178" s="38">
        <f>VLOOKUP(A178,'The List'!B1:I730,8,FALSE)</f>
        <v>-4.1772580080061257</v>
      </c>
      <c r="F178" s="38">
        <f>IF(Settings!$E$15="POINTS",E178-VLOOKUP(B$2,C1:E229,3,FALSE),J178)</f>
        <v>-6.1189985516404359</v>
      </c>
      <c r="G178" s="38"/>
      <c r="H178" s="138">
        <f>RANK(I178,I3:I229)</f>
        <v>157</v>
      </c>
      <c r="I178" s="139">
        <f>VLOOKUP(A178,'Standard Deviations'!A1:C731,3,FALSE)</f>
        <v>-4.1772580080061257</v>
      </c>
      <c r="J178" s="139">
        <f>I178-VLOOKUP(B$2,H1:J229,2,FALSE)</f>
        <v>-6.1189985516404359</v>
      </c>
    </row>
    <row r="179" spans="1:10" ht="21.2" customHeight="1">
      <c r="A179" s="8" t="s">
        <v>550</v>
      </c>
      <c r="B179" s="144" t="str">
        <f>VLOOKUP(A179,'The List'!B1:D730,3,FALSE)</f>
        <v>D</v>
      </c>
      <c r="C179" s="145">
        <f>IF(Settings!$E$15="POINTS",RANK(E179,E3:E229),H179)</f>
        <v>183</v>
      </c>
      <c r="D179" s="34" t="str">
        <f>VLOOKUP(A179,'The List'!B1:F730,5,FALSE)</f>
        <v>ANA</v>
      </c>
      <c r="E179" s="38">
        <f>VLOOKUP(A179,'The List'!B1:I730,8,FALSE)</f>
        <v>-4.5574910082540327</v>
      </c>
      <c r="F179" s="38">
        <f>IF(Settings!$E$15="POINTS",E179-VLOOKUP(B$2,C1:E229,3,FALSE),J179)</f>
        <v>-6.499231551888343</v>
      </c>
      <c r="G179" s="38"/>
      <c r="H179" s="138">
        <f>RANK(I179,I3:I229)</f>
        <v>183</v>
      </c>
      <c r="I179" s="139">
        <f>VLOOKUP(A179,'Standard Deviations'!A1:C731,3,FALSE)</f>
        <v>-4.5574910082540327</v>
      </c>
      <c r="J179" s="139">
        <f>I179-VLOOKUP(B$2,H1:J229,2,FALSE)</f>
        <v>-6.499231551888343</v>
      </c>
    </row>
    <row r="180" spans="1:10" ht="21.2" customHeight="1">
      <c r="A180" s="8" t="s">
        <v>552</v>
      </c>
      <c r="B180" s="144" t="str">
        <f>VLOOKUP(A180,'The List'!B1:D730,3,FALSE)</f>
        <v>D</v>
      </c>
      <c r="C180" s="145">
        <f>IF(Settings!$E$15="POINTS",RANK(E180,E3:E229),H180)</f>
        <v>172</v>
      </c>
      <c r="D180" s="34" t="str">
        <f>VLOOKUP(A180,'The List'!B1:F730,5,FALSE)</f>
        <v>SEA</v>
      </c>
      <c r="E180" s="38">
        <f>VLOOKUP(A180,'The List'!B1:I730,8,FALSE)</f>
        <v>-4.4014679045929128</v>
      </c>
      <c r="F180" s="38">
        <f>IF(Settings!$E$15="POINTS",E180-VLOOKUP(B$2,C1:E229,3,FALSE),J180)</f>
        <v>-6.3432084482272231</v>
      </c>
      <c r="G180" s="38"/>
      <c r="H180" s="138">
        <f>RANK(I180,I3:I229)</f>
        <v>172</v>
      </c>
      <c r="I180" s="139">
        <f>VLOOKUP(A180,'Standard Deviations'!A1:C731,3,FALSE)</f>
        <v>-4.4014679045929128</v>
      </c>
      <c r="J180" s="139">
        <f>I180-VLOOKUP(B$2,H1:J229,2,FALSE)</f>
        <v>-6.3432084482272231</v>
      </c>
    </row>
    <row r="181" spans="1:10" ht="21.2" customHeight="1">
      <c r="A181" s="8" t="s">
        <v>554</v>
      </c>
      <c r="B181" s="144" t="str">
        <f>VLOOKUP(A181,'The List'!B1:D730,3,FALSE)</f>
        <v>D</v>
      </c>
      <c r="C181" s="145">
        <f>IF(Settings!$E$15="POINTS",RANK(E181,E3:E229),H181)</f>
        <v>108</v>
      </c>
      <c r="D181" s="34" t="str">
        <f>VLOOKUP(A181,'The List'!B1:F730,5,FALSE)</f>
        <v>SJS</v>
      </c>
      <c r="E181" s="38">
        <f>VLOOKUP(A181,'The List'!B1:I730,8,FALSE)</f>
        <v>-3.2229456424631584</v>
      </c>
      <c r="F181" s="38">
        <f>IF(Settings!$E$15="POINTS",E181-VLOOKUP(B$2,C1:E229,3,FALSE),J181)</f>
        <v>-5.1646861860974695</v>
      </c>
      <c r="G181" s="38"/>
      <c r="H181" s="138">
        <f>RANK(I181,I3:I229)</f>
        <v>108</v>
      </c>
      <c r="I181" s="139">
        <f>VLOOKUP(A181,'Standard Deviations'!A1:C731,3,FALSE)</f>
        <v>-3.2229456424631584</v>
      </c>
      <c r="J181" s="139">
        <f>I181-VLOOKUP(B$2,H1:J229,2,FALSE)</f>
        <v>-5.1646861860974695</v>
      </c>
    </row>
    <row r="182" spans="1:10" ht="21.2" customHeight="1">
      <c r="A182" s="8" t="s">
        <v>556</v>
      </c>
      <c r="B182" s="144" t="str">
        <f>VLOOKUP(A182,'The List'!B1:D730,3,FALSE)</f>
        <v>D</v>
      </c>
      <c r="C182" s="145">
        <f>IF(Settings!$E$15="POINTS",RANK(E182,E3:E229),H182)</f>
        <v>133</v>
      </c>
      <c r="D182" s="34" t="str">
        <f>VLOOKUP(A182,'The List'!B1:F730,5,FALSE)</f>
        <v>CAR</v>
      </c>
      <c r="E182" s="38">
        <f>VLOOKUP(A182,'The List'!B1:I730,8,FALSE)</f>
        <v>-3.8200830613541736</v>
      </c>
      <c r="F182" s="38">
        <f>IF(Settings!$E$15="POINTS",E182-VLOOKUP(B$2,C1:E229,3,FALSE),J182)</f>
        <v>-5.7618236049884839</v>
      </c>
      <c r="G182" s="38"/>
      <c r="H182" s="138">
        <f>RANK(I182,I3:I229)</f>
        <v>133</v>
      </c>
      <c r="I182" s="139">
        <f>VLOOKUP(A182,'Standard Deviations'!A1:C731,3,FALSE)</f>
        <v>-3.8200830613541736</v>
      </c>
      <c r="J182" s="139">
        <f>I182-VLOOKUP(B$2,H1:J229,2,FALSE)</f>
        <v>-5.7618236049884839</v>
      </c>
    </row>
    <row r="183" spans="1:10" ht="21.2" customHeight="1">
      <c r="A183" s="8" t="s">
        <v>560</v>
      </c>
      <c r="B183" s="144" t="str">
        <f>VLOOKUP(A183,'The List'!B1:D730,3,FALSE)</f>
        <v>D</v>
      </c>
      <c r="C183" s="145">
        <f>IF(Settings!$E$15="POINTS",RANK(E183,E3:E229),H183)</f>
        <v>193</v>
      </c>
      <c r="D183" s="34" t="str">
        <f>VLOOKUP(A183,'The List'!B1:F730,5,FALSE)</f>
        <v>NSH</v>
      </c>
      <c r="E183" s="38">
        <f>VLOOKUP(A183,'The List'!B1:I730,8,FALSE)</f>
        <v>-4.8930595232832808</v>
      </c>
      <c r="F183" s="38">
        <f>IF(Settings!$E$15="POINTS",E183-VLOOKUP(B$2,C1:E229,3,FALSE),J183)</f>
        <v>-6.834800066917591</v>
      </c>
      <c r="G183" s="38"/>
      <c r="H183" s="138">
        <f>RANK(I183,I3:I229)</f>
        <v>193</v>
      </c>
      <c r="I183" s="139">
        <f>VLOOKUP(A183,'Standard Deviations'!A1:C731,3,FALSE)</f>
        <v>-4.8930595232832808</v>
      </c>
      <c r="J183" s="139">
        <f>I183-VLOOKUP(B$2,H1:J229,2,FALSE)</f>
        <v>-6.834800066917591</v>
      </c>
    </row>
    <row r="184" spans="1:10" ht="21.2" customHeight="1">
      <c r="A184" s="8" t="s">
        <v>563</v>
      </c>
      <c r="B184" s="144" t="str">
        <f>VLOOKUP(A184,'The List'!B1:D730,3,FALSE)</f>
        <v>D</v>
      </c>
      <c r="C184" s="145">
        <f>IF(Settings!$E$15="POINTS",RANK(E184,E3:E229),H184)</f>
        <v>174</v>
      </c>
      <c r="D184" s="34" t="str">
        <f>VLOOKUP(A184,'The List'!B1:F730,5,FALSE)</f>
        <v>SJS</v>
      </c>
      <c r="E184" s="38">
        <f>VLOOKUP(A184,'The List'!B1:I730,8,FALSE)</f>
        <v>-4.4235658316829287</v>
      </c>
      <c r="F184" s="38">
        <f>IF(Settings!$E$15="POINTS",E184-VLOOKUP(B$2,C1:E229,3,FALSE),J184)</f>
        <v>-6.365306375317239</v>
      </c>
      <c r="G184" s="38"/>
      <c r="H184" s="138">
        <f>RANK(I184,I3:I229)</f>
        <v>174</v>
      </c>
      <c r="I184" s="139">
        <f>VLOOKUP(A184,'Standard Deviations'!A1:C731,3,FALSE)</f>
        <v>-4.4235658316829287</v>
      </c>
      <c r="J184" s="139">
        <f>I184-VLOOKUP(B$2,H1:J229,2,FALSE)</f>
        <v>-6.365306375317239</v>
      </c>
    </row>
    <row r="185" spans="1:10" ht="21.2" customHeight="1">
      <c r="A185" s="8" t="s">
        <v>565</v>
      </c>
      <c r="B185" s="144" t="str">
        <f>VLOOKUP(A185,'The List'!B1:D730,3,FALSE)</f>
        <v>D</v>
      </c>
      <c r="C185" s="145">
        <f>IF(Settings!$E$15="POINTS",RANK(E185,E3:E229),H185)</f>
        <v>202</v>
      </c>
      <c r="D185" s="34" t="str">
        <f>VLOOKUP(A185,'The List'!B1:F730,5,FALSE)</f>
        <v>DET</v>
      </c>
      <c r="E185" s="38">
        <f>VLOOKUP(A185,'The List'!B1:I730,8,FALSE)</f>
        <v>-5.0695697399333062</v>
      </c>
      <c r="F185" s="38">
        <f>IF(Settings!$E$15="POINTS",E185-VLOOKUP(B$2,C1:E229,3,FALSE),J185)</f>
        <v>-7.0113102835676173</v>
      </c>
      <c r="G185" s="38"/>
      <c r="H185" s="138">
        <f>RANK(I185,I3:I229)</f>
        <v>202</v>
      </c>
      <c r="I185" s="139">
        <f>VLOOKUP(A185,'Standard Deviations'!A1:C731,3,FALSE)</f>
        <v>-5.0695697399333062</v>
      </c>
      <c r="J185" s="139">
        <f>I185-VLOOKUP(B$2,H1:J229,2,FALSE)</f>
        <v>-7.0113102835676173</v>
      </c>
    </row>
    <row r="186" spans="1:10" ht="21.2" customHeight="1">
      <c r="A186" s="8" t="s">
        <v>569</v>
      </c>
      <c r="B186" s="144" t="str">
        <f>VLOOKUP(A186,'The List'!B1:D730,3,FALSE)</f>
        <v>D</v>
      </c>
      <c r="C186" s="145">
        <f>IF(Settings!$E$15="POINTS",RANK(E186,E3:E229),H186)</f>
        <v>186</v>
      </c>
      <c r="D186" s="34" t="str">
        <f>VLOOKUP(A186,'The List'!B1:F730,5,FALSE)</f>
        <v>BUF</v>
      </c>
      <c r="E186" s="38">
        <f>VLOOKUP(A186,'The List'!B1:I730,8,FALSE)</f>
        <v>-4.6513739202687567</v>
      </c>
      <c r="F186" s="38">
        <f>IF(Settings!$E$15="POINTS",E186-VLOOKUP(B$2,C1:E229,3,FALSE),J186)</f>
        <v>-6.593114463903067</v>
      </c>
      <c r="G186" s="38"/>
      <c r="H186" s="138">
        <f>RANK(I186,I3:I229)</f>
        <v>186</v>
      </c>
      <c r="I186" s="139">
        <f>VLOOKUP(A186,'Standard Deviations'!A1:C731,3,FALSE)</f>
        <v>-4.6513739202687567</v>
      </c>
      <c r="J186" s="139">
        <f>I186-VLOOKUP(B$2,H1:J229,2,FALSE)</f>
        <v>-6.593114463903067</v>
      </c>
    </row>
    <row r="187" spans="1:10" ht="21.2" customHeight="1">
      <c r="A187" s="8" t="s">
        <v>570</v>
      </c>
      <c r="B187" s="144" t="str">
        <f>VLOOKUP(A187,'The List'!B1:D730,3,FALSE)</f>
        <v>D</v>
      </c>
      <c r="C187" s="145">
        <f>IF(Settings!$E$15="POINTS",RANK(E187,E3:E229),H187)</f>
        <v>144</v>
      </c>
      <c r="D187" s="34" t="str">
        <f>VLOOKUP(A187,'The List'!B1:F730,5,FALSE)</f>
        <v>UFA</v>
      </c>
      <c r="E187" s="38">
        <f>VLOOKUP(A187,'The List'!B1:I730,8,FALSE)</f>
        <v>-3.9764218834270775</v>
      </c>
      <c r="F187" s="38">
        <f>IF(Settings!$E$15="POINTS",E187-VLOOKUP(B$2,C1:E229,3,FALSE),J187)</f>
        <v>-5.9181624270613877</v>
      </c>
      <c r="G187" s="38"/>
      <c r="H187" s="138">
        <f>RANK(I187,I3:I229)</f>
        <v>144</v>
      </c>
      <c r="I187" s="139">
        <f>VLOOKUP(A187,'Standard Deviations'!A1:C731,3,FALSE)</f>
        <v>-3.9764218834270775</v>
      </c>
      <c r="J187" s="139">
        <f>I187-VLOOKUP(B$2,H1:J229,2,FALSE)</f>
        <v>-5.9181624270613877</v>
      </c>
    </row>
    <row r="188" spans="1:10" ht="21.2" customHeight="1">
      <c r="A188" s="8" t="s">
        <v>575</v>
      </c>
      <c r="B188" s="144" t="str">
        <f>VLOOKUP(A188,'The List'!B1:D730,3,FALSE)</f>
        <v>D</v>
      </c>
      <c r="C188" s="145">
        <f>IF(Settings!$E$15="POINTS",RANK(E188,E3:E229),H188)</f>
        <v>211</v>
      </c>
      <c r="D188" s="34" t="str">
        <f>VLOOKUP(A188,'The List'!B1:F730,5,FALSE)</f>
        <v>PHI</v>
      </c>
      <c r="E188" s="38">
        <f>VLOOKUP(A188,'The List'!B1:I730,8,FALSE)</f>
        <v>-5.2844541896762234</v>
      </c>
      <c r="F188" s="38">
        <f>IF(Settings!$E$15="POINTS",E188-VLOOKUP(B$2,C1:E229,3,FALSE),J188)</f>
        <v>-7.2261947333105336</v>
      </c>
      <c r="G188" s="38"/>
      <c r="H188" s="138">
        <f>RANK(I188,I3:I229)</f>
        <v>211</v>
      </c>
      <c r="I188" s="139">
        <f>VLOOKUP(A188,'Standard Deviations'!A1:C731,3,FALSE)</f>
        <v>-5.2844541896762234</v>
      </c>
      <c r="J188" s="139">
        <f>I188-VLOOKUP(B$2,H1:J229,2,FALSE)</f>
        <v>-7.2261947333105336</v>
      </c>
    </row>
    <row r="189" spans="1:10" ht="21.2" customHeight="1">
      <c r="A189" s="8" t="s">
        <v>579</v>
      </c>
      <c r="B189" s="144" t="str">
        <f>VLOOKUP(A189,'The List'!B1:D730,3,FALSE)</f>
        <v>D</v>
      </c>
      <c r="C189" s="145">
        <f>IF(Settings!$E$15="POINTS",RANK(E189,E3:E229),H189)</f>
        <v>198</v>
      </c>
      <c r="D189" s="34" t="str">
        <f>VLOOKUP(A189,'The List'!B1:F730,5,FALSE)</f>
        <v>STL</v>
      </c>
      <c r="E189" s="38">
        <f>VLOOKUP(A189,'The List'!B1:I730,8,FALSE)</f>
        <v>-4.9909045305745527</v>
      </c>
      <c r="F189" s="38">
        <f>IF(Settings!$E$15="POINTS",E189-VLOOKUP(B$2,C1:E229,3,FALSE),J189)</f>
        <v>-6.9326450742088639</v>
      </c>
      <c r="G189" s="38"/>
      <c r="H189" s="138">
        <f>RANK(I189,I3:I229)</f>
        <v>198</v>
      </c>
      <c r="I189" s="139">
        <f>VLOOKUP(A189,'Standard Deviations'!A1:C731,3,FALSE)</f>
        <v>-4.9909045305745527</v>
      </c>
      <c r="J189" s="139">
        <f>I189-VLOOKUP(B$2,H1:J229,2,FALSE)</f>
        <v>-6.9326450742088639</v>
      </c>
    </row>
    <row r="190" spans="1:10" ht="21.2" customHeight="1">
      <c r="A190" s="8" t="s">
        <v>580</v>
      </c>
      <c r="B190" s="144" t="str">
        <f>VLOOKUP(A190,'The List'!B1:D730,3,FALSE)</f>
        <v>D</v>
      </c>
      <c r="C190" s="145">
        <f>IF(Settings!$E$15="POINTS",RANK(E190,E3:E229),H190)</f>
        <v>105</v>
      </c>
      <c r="D190" s="34" t="str">
        <f>VLOOKUP(A190,'The List'!B1:F730,5,FALSE)</f>
        <v>TOR</v>
      </c>
      <c r="E190" s="38">
        <f>VLOOKUP(A190,'The List'!B1:I730,8,FALSE)</f>
        <v>-3.1477369828223436</v>
      </c>
      <c r="F190" s="38">
        <f>IF(Settings!$E$15="POINTS",E190-VLOOKUP(B$2,C1:E229,3,FALSE),J190)</f>
        <v>-5.0894775264566547</v>
      </c>
      <c r="G190" s="38"/>
      <c r="H190" s="138">
        <f>RANK(I190,I3:I229)</f>
        <v>105</v>
      </c>
      <c r="I190" s="139">
        <f>VLOOKUP(A190,'Standard Deviations'!A1:C731,3,FALSE)</f>
        <v>-3.1477369828223436</v>
      </c>
      <c r="J190" s="139">
        <f>I190-VLOOKUP(B$2,H1:J229,2,FALSE)</f>
        <v>-5.0894775264566547</v>
      </c>
    </row>
    <row r="191" spans="1:10" ht="21.2" customHeight="1">
      <c r="A191" s="8" t="s">
        <v>583</v>
      </c>
      <c r="B191" s="144" t="str">
        <f>VLOOKUP(A191,'The List'!B1:D730,3,FALSE)</f>
        <v>D</v>
      </c>
      <c r="C191" s="145">
        <f>IF(Settings!$E$15="POINTS",RANK(E191,E3:E229),H191)</f>
        <v>217</v>
      </c>
      <c r="D191" s="34" t="str">
        <f>VLOOKUP(A191,'The List'!B1:F730,5,FALSE)</f>
        <v>MIN</v>
      </c>
      <c r="E191" s="38">
        <f>VLOOKUP(A191,'The List'!B1:I730,8,FALSE)</f>
        <v>-5.383890072168322</v>
      </c>
      <c r="F191" s="38">
        <f>IF(Settings!$E$15="POINTS",E191-VLOOKUP(B$2,C1:E229,3,FALSE),J191)</f>
        <v>-7.3256306158026323</v>
      </c>
      <c r="G191" s="38"/>
      <c r="H191" s="138">
        <f>RANK(I191,I3:I229)</f>
        <v>217</v>
      </c>
      <c r="I191" s="139">
        <f>VLOOKUP(A191,'Standard Deviations'!A1:C731,3,FALSE)</f>
        <v>-5.383890072168322</v>
      </c>
      <c r="J191" s="139">
        <f>I191-VLOOKUP(B$2,H1:J229,2,FALSE)</f>
        <v>-7.3256306158026323</v>
      </c>
    </row>
    <row r="192" spans="1:10" ht="21.2" customHeight="1">
      <c r="A192" s="8" t="s">
        <v>584</v>
      </c>
      <c r="B192" s="144" t="str">
        <f>VLOOKUP(A192,'The List'!B1:D730,3,FALSE)</f>
        <v>D</v>
      </c>
      <c r="C192" s="145">
        <f>IF(Settings!$E$15="POINTS",RANK(E192,E3:E229),H192)</f>
        <v>153</v>
      </c>
      <c r="D192" s="34" t="str">
        <f>VLOOKUP(A192,'The List'!B1:F730,5,FALSE)</f>
        <v>ARI</v>
      </c>
      <c r="E192" s="38">
        <f>VLOOKUP(A192,'The List'!B1:I730,8,FALSE)</f>
        <v>-4.1175954250175026</v>
      </c>
      <c r="F192" s="38">
        <f>IF(Settings!$E$15="POINTS",E192-VLOOKUP(B$2,C1:E229,3,FALSE),J192)</f>
        <v>-6.0593359686518138</v>
      </c>
      <c r="G192" s="38"/>
      <c r="H192" s="138">
        <f>RANK(I192,I3:I229)</f>
        <v>153</v>
      </c>
      <c r="I192" s="139">
        <f>VLOOKUP(A192,'Standard Deviations'!A1:C731,3,FALSE)</f>
        <v>-4.1175954250175026</v>
      </c>
      <c r="J192" s="139">
        <f>I192-VLOOKUP(B$2,H1:J229,2,FALSE)</f>
        <v>-6.0593359686518138</v>
      </c>
    </row>
    <row r="193" spans="1:10" ht="21.2" customHeight="1">
      <c r="A193" s="8" t="s">
        <v>585</v>
      </c>
      <c r="B193" s="144" t="str">
        <f>VLOOKUP(A193,'The List'!B1:D730,3,FALSE)</f>
        <v>D</v>
      </c>
      <c r="C193" s="145">
        <f>IF(Settings!$E$15="POINTS",RANK(E193,E3:E229),H193)</f>
        <v>216</v>
      </c>
      <c r="D193" s="34" t="str">
        <f>VLOOKUP(A193,'The List'!B1:F730,5,FALSE)</f>
        <v>CHI</v>
      </c>
      <c r="E193" s="38">
        <f>VLOOKUP(A193,'The List'!B1:I730,8,FALSE)</f>
        <v>-5.382067558918477</v>
      </c>
      <c r="F193" s="38">
        <f>IF(Settings!$E$15="POINTS",E193-VLOOKUP(B$2,C1:E229,3,FALSE),J193)</f>
        <v>-7.3238081025527872</v>
      </c>
      <c r="G193" s="38"/>
      <c r="H193" s="138">
        <f>RANK(I193,I3:I229)</f>
        <v>216</v>
      </c>
      <c r="I193" s="139">
        <f>VLOOKUP(A193,'Standard Deviations'!A1:C731,3,FALSE)</f>
        <v>-5.382067558918477</v>
      </c>
      <c r="J193" s="139">
        <f>I193-VLOOKUP(B$2,H1:J229,2,FALSE)</f>
        <v>-7.3238081025527872</v>
      </c>
    </row>
    <row r="194" spans="1:10" ht="21.2" customHeight="1">
      <c r="A194" s="8" t="s">
        <v>586</v>
      </c>
      <c r="B194" s="144" t="str">
        <f>VLOOKUP(A194,'The List'!B1:D730,3,FALSE)</f>
        <v>D</v>
      </c>
      <c r="C194" s="145">
        <f>IF(Settings!$E$15="POINTS",RANK(E194,E3:E229),H194)</f>
        <v>203</v>
      </c>
      <c r="D194" s="34" t="str">
        <f>VLOOKUP(A194,'The List'!B1:F730,5,FALSE)</f>
        <v>NJD</v>
      </c>
      <c r="E194" s="38">
        <f>VLOOKUP(A194,'The List'!B1:I730,8,FALSE)</f>
        <v>-5.0859193194998635</v>
      </c>
      <c r="F194" s="38">
        <f>IF(Settings!$E$15="POINTS",E194-VLOOKUP(B$2,C1:E229,3,FALSE),J194)</f>
        <v>-7.0276598631341738</v>
      </c>
      <c r="G194" s="38"/>
      <c r="H194" s="138">
        <f>RANK(I194,I3:I229)</f>
        <v>203</v>
      </c>
      <c r="I194" s="139">
        <f>VLOOKUP(A194,'Standard Deviations'!A1:C731,3,FALSE)</f>
        <v>-5.0859193194998635</v>
      </c>
      <c r="J194" s="139">
        <f>I194-VLOOKUP(B$2,H1:J229,2,FALSE)</f>
        <v>-7.0276598631341738</v>
      </c>
    </row>
    <row r="195" spans="1:10" ht="21.2" customHeight="1">
      <c r="A195" s="8" t="s">
        <v>587</v>
      </c>
      <c r="B195" s="144" t="str">
        <f>VLOOKUP(A195,'The List'!B1:D730,3,FALSE)</f>
        <v>D</v>
      </c>
      <c r="C195" s="145">
        <f>IF(Settings!$E$15="POINTS",RANK(E195,E3:E229),H195)</f>
        <v>200</v>
      </c>
      <c r="D195" s="34" t="str">
        <f>VLOOKUP(A195,'The List'!B1:F730,5,FALSE)</f>
        <v>CGY</v>
      </c>
      <c r="E195" s="38">
        <f>VLOOKUP(A195,'The List'!B1:I730,8,FALSE)</f>
        <v>-5.0556467191153436</v>
      </c>
      <c r="F195" s="38">
        <f>IF(Settings!$E$15="POINTS",E195-VLOOKUP(B$2,C1:E229,3,FALSE),J195)</f>
        <v>-6.9973872627496547</v>
      </c>
      <c r="G195" s="38"/>
      <c r="H195" s="138">
        <f>RANK(I195,I3:I229)</f>
        <v>200</v>
      </c>
      <c r="I195" s="139">
        <f>VLOOKUP(A195,'Standard Deviations'!A1:C731,3,FALSE)</f>
        <v>-5.0556467191153436</v>
      </c>
      <c r="J195" s="139">
        <f>I195-VLOOKUP(B$2,H1:J229,2,FALSE)</f>
        <v>-6.9973872627496547</v>
      </c>
    </row>
    <row r="196" spans="1:10" ht="21.2" customHeight="1">
      <c r="A196" s="8" t="s">
        <v>588</v>
      </c>
      <c r="B196" s="144" t="str">
        <f>VLOOKUP(A196,'The List'!B1:D730,3,FALSE)</f>
        <v>D</v>
      </c>
      <c r="C196" s="145">
        <f>IF(Settings!$E$15="POINTS",RANK(E196,E3:E229),H196)</f>
        <v>207</v>
      </c>
      <c r="D196" s="34" t="str">
        <f>VLOOKUP(A196,'The List'!B1:F730,5,FALSE)</f>
        <v>SJS</v>
      </c>
      <c r="E196" s="38">
        <f>VLOOKUP(A196,'The List'!B1:I730,8,FALSE)</f>
        <v>-5.174065841401938</v>
      </c>
      <c r="F196" s="38">
        <f>IF(Settings!$E$15="POINTS",E196-VLOOKUP(B$2,C1:E229,3,FALSE),J196)</f>
        <v>-7.1158063850362492</v>
      </c>
      <c r="G196" s="38"/>
      <c r="H196" s="138">
        <f>RANK(I196,I3:I229)</f>
        <v>207</v>
      </c>
      <c r="I196" s="139">
        <f>VLOOKUP(A196,'Standard Deviations'!A1:C731,3,FALSE)</f>
        <v>-5.174065841401938</v>
      </c>
      <c r="J196" s="139">
        <f>I196-VLOOKUP(B$2,H1:J229,2,FALSE)</f>
        <v>-7.1158063850362492</v>
      </c>
    </row>
    <row r="197" spans="1:10" ht="21.2" customHeight="1">
      <c r="A197" s="8" t="s">
        <v>589</v>
      </c>
      <c r="B197" s="144" t="str">
        <f>VLOOKUP(A197,'The List'!B1:D730,3,FALSE)</f>
        <v>D</v>
      </c>
      <c r="C197" s="145">
        <f>IF(Settings!$E$15="POINTS",RANK(E197,E3:E229),H197)</f>
        <v>162</v>
      </c>
      <c r="D197" s="34" t="str">
        <f>VLOOKUP(A197,'The List'!B1:F730,5,FALSE)</f>
        <v>VAN</v>
      </c>
      <c r="E197" s="38">
        <f>VLOOKUP(A197,'The List'!B1:I730,8,FALSE)</f>
        <v>-4.2460348616164554</v>
      </c>
      <c r="F197" s="38">
        <f>IF(Settings!$E$15="POINTS",E197-VLOOKUP(B$2,C1:E229,3,FALSE),J197)</f>
        <v>-6.1877754052507665</v>
      </c>
      <c r="G197" s="38"/>
      <c r="H197" s="138">
        <f>RANK(I197,I3:I229)</f>
        <v>162</v>
      </c>
      <c r="I197" s="139">
        <f>VLOOKUP(A197,'Standard Deviations'!A1:C731,3,FALSE)</f>
        <v>-4.2460348616164554</v>
      </c>
      <c r="J197" s="139">
        <f>I197-VLOOKUP(B$2,H1:J229,2,FALSE)</f>
        <v>-6.1877754052507665</v>
      </c>
    </row>
    <row r="198" spans="1:10" ht="21.2" customHeight="1">
      <c r="A198" s="8" t="s">
        <v>590</v>
      </c>
      <c r="B198" s="144" t="str">
        <f>VLOOKUP(A198,'The List'!B1:D730,3,FALSE)</f>
        <v>D</v>
      </c>
      <c r="C198" s="145">
        <f>IF(Settings!$E$15="POINTS",RANK(E198,E3:E229),H198)</f>
        <v>192</v>
      </c>
      <c r="D198" s="34" t="str">
        <f>VLOOKUP(A198,'The List'!B1:F730,5,FALSE)</f>
        <v>VGK</v>
      </c>
      <c r="E198" s="38">
        <f>VLOOKUP(A198,'The List'!B1:I730,8,FALSE)</f>
        <v>-4.8710014524368184</v>
      </c>
      <c r="F198" s="38">
        <f>IF(Settings!$E$15="POINTS",E198-VLOOKUP(B$2,C1:E229,3,FALSE),J198)</f>
        <v>-6.8127419960711286</v>
      </c>
      <c r="G198" s="38"/>
      <c r="H198" s="138">
        <f>RANK(I198,I3:I229)</f>
        <v>192</v>
      </c>
      <c r="I198" s="139">
        <f>VLOOKUP(A198,'Standard Deviations'!A1:C731,3,FALSE)</f>
        <v>-4.8710014524368184</v>
      </c>
      <c r="J198" s="139">
        <f>I198-VLOOKUP(B$2,H1:J229,2,FALSE)</f>
        <v>-6.8127419960711286</v>
      </c>
    </row>
    <row r="199" spans="1:10" ht="21.2" customHeight="1">
      <c r="A199" s="8" t="s">
        <v>591</v>
      </c>
      <c r="B199" s="144" t="str">
        <f>VLOOKUP(A199,'The List'!B1:D730,3,FALSE)</f>
        <v>D</v>
      </c>
      <c r="C199" s="145">
        <f>IF(Settings!$E$15="POINTS",RANK(E199,E3:E229),H199)</f>
        <v>195</v>
      </c>
      <c r="D199" s="34" t="str">
        <f>VLOOKUP(A199,'The List'!B1:F730,5,FALSE)</f>
        <v>CAR</v>
      </c>
      <c r="E199" s="38">
        <f>VLOOKUP(A199,'The List'!B1:I730,8,FALSE)</f>
        <v>-4.9647593938615895</v>
      </c>
      <c r="F199" s="38">
        <f>IF(Settings!$E$15="POINTS",E199-VLOOKUP(B$2,C1:E229,3,FALSE),J199)</f>
        <v>-6.9064999374958997</v>
      </c>
      <c r="G199" s="38"/>
      <c r="H199" s="138">
        <f>RANK(I199,I3:I229)</f>
        <v>195</v>
      </c>
      <c r="I199" s="139">
        <f>VLOOKUP(A199,'Standard Deviations'!A1:C731,3,FALSE)</f>
        <v>-4.9647593938615895</v>
      </c>
      <c r="J199" s="139">
        <f>I199-VLOOKUP(B$2,H1:J229,2,FALSE)</f>
        <v>-6.9064999374958997</v>
      </c>
    </row>
    <row r="200" spans="1:10" ht="21.2" customHeight="1">
      <c r="A200" s="8" t="s">
        <v>593</v>
      </c>
      <c r="B200" s="144" t="str">
        <f>VLOOKUP(A200,'The List'!B1:D730,3,FALSE)</f>
        <v>D</v>
      </c>
      <c r="C200" s="145">
        <f>IF(Settings!$E$15="POINTS",RANK(E200,E3:E229),H200)</f>
        <v>222</v>
      </c>
      <c r="D200" s="34" t="str">
        <f>VLOOKUP(A200,'The List'!B1:F730,5,FALSE)</f>
        <v>BUF</v>
      </c>
      <c r="E200" s="38">
        <f>VLOOKUP(A200,'The List'!B1:I730,8,FALSE)</f>
        <v>-5.7312077017653724</v>
      </c>
      <c r="F200" s="38">
        <f>IF(Settings!$E$15="POINTS",E200-VLOOKUP(B$2,C1:E229,3,FALSE),J200)</f>
        <v>-7.6729482453996827</v>
      </c>
      <c r="G200" s="38"/>
      <c r="H200" s="138">
        <f>RANK(I200,I3:I229)</f>
        <v>222</v>
      </c>
      <c r="I200" s="139">
        <f>VLOOKUP(A200,'Standard Deviations'!A1:C731,3,FALSE)</f>
        <v>-5.7312077017653724</v>
      </c>
      <c r="J200" s="139">
        <f>I200-VLOOKUP(B$2,H1:J229,2,FALSE)</f>
        <v>-7.6729482453996827</v>
      </c>
    </row>
    <row r="201" spans="1:10" ht="21.2" customHeight="1">
      <c r="A201" s="8" t="s">
        <v>594</v>
      </c>
      <c r="B201" s="144" t="str">
        <f>VLOOKUP(A201,'The List'!B1:D730,3,FALSE)</f>
        <v>D</v>
      </c>
      <c r="C201" s="145">
        <f>IF(Settings!$E$15="POINTS",RANK(E201,E3:E229),H201)</f>
        <v>194</v>
      </c>
      <c r="D201" s="34" t="str">
        <f>VLOOKUP(A201,'The List'!B1:F730,5,FALSE)</f>
        <v>SEA</v>
      </c>
      <c r="E201" s="38">
        <f>VLOOKUP(A201,'The List'!B1:I730,8,FALSE)</f>
        <v>-4.9475347375943732</v>
      </c>
      <c r="F201" s="38">
        <f>IF(Settings!$E$15="POINTS",E201-VLOOKUP(B$2,C1:E229,3,FALSE),J201)</f>
        <v>-6.8892752812286844</v>
      </c>
      <c r="G201" s="38"/>
      <c r="H201" s="138">
        <f>RANK(I201,I3:I229)</f>
        <v>194</v>
      </c>
      <c r="I201" s="139">
        <f>VLOOKUP(A201,'Standard Deviations'!A1:C731,3,FALSE)</f>
        <v>-4.9475347375943732</v>
      </c>
      <c r="J201" s="139">
        <f>I201-VLOOKUP(B$2,H1:J229,2,FALSE)</f>
        <v>-6.8892752812286844</v>
      </c>
    </row>
    <row r="202" spans="1:10" ht="21.2" customHeight="1">
      <c r="A202" s="8" t="s">
        <v>595</v>
      </c>
      <c r="B202" s="144" t="str">
        <f>VLOOKUP(A202,'The List'!B1:D730,3,FALSE)</f>
        <v>D</v>
      </c>
      <c r="C202" s="145">
        <f>IF(Settings!$E$15="POINTS",RANK(E202,E3:E229),H202)</f>
        <v>210</v>
      </c>
      <c r="D202" s="34" t="str">
        <f>VLOOKUP(A202,'The List'!B1:F730,5,FALSE)</f>
        <v>FLA</v>
      </c>
      <c r="E202" s="38">
        <f>VLOOKUP(A202,'The List'!B1:I730,8,FALSE)</f>
        <v>-5.2492700329074751</v>
      </c>
      <c r="F202" s="38">
        <f>IF(Settings!$E$15="POINTS",E202-VLOOKUP(B$2,C1:E229,3,FALSE),J202)</f>
        <v>-7.1910105765417853</v>
      </c>
      <c r="G202" s="38"/>
      <c r="H202" s="138">
        <f>RANK(I202,I3:I229)</f>
        <v>210</v>
      </c>
      <c r="I202" s="139">
        <f>VLOOKUP(A202,'Standard Deviations'!A1:C731,3,FALSE)</f>
        <v>-5.2492700329074751</v>
      </c>
      <c r="J202" s="139">
        <f>I202-VLOOKUP(B$2,H1:J229,2,FALSE)</f>
        <v>-7.1910105765417853</v>
      </c>
    </row>
    <row r="203" spans="1:10" ht="21.2" customHeight="1">
      <c r="A203" s="8" t="s">
        <v>596</v>
      </c>
      <c r="B203" s="144" t="str">
        <f>VLOOKUP(A203,'The List'!B1:D730,3,FALSE)</f>
        <v>D</v>
      </c>
      <c r="C203" s="145">
        <f>IF(Settings!$E$15="POINTS",RANK(E203,E3:E229),H203)</f>
        <v>199</v>
      </c>
      <c r="D203" s="34" t="str">
        <f>VLOOKUP(A203,'The List'!B1:F730,5,FALSE)</f>
        <v>WPG</v>
      </c>
      <c r="E203" s="38">
        <f>VLOOKUP(A203,'The List'!B1:I730,8,FALSE)</f>
        <v>-5.033772221980306</v>
      </c>
      <c r="F203" s="38">
        <f>IF(Settings!$E$15="POINTS",E203-VLOOKUP(B$2,C1:E229,3,FALSE),J203)</f>
        <v>-6.9755127656146172</v>
      </c>
      <c r="G203" s="38"/>
      <c r="H203" s="138">
        <f>RANK(I203,I3:I229)</f>
        <v>199</v>
      </c>
      <c r="I203" s="139">
        <f>VLOOKUP(A203,'Standard Deviations'!A1:C731,3,FALSE)</f>
        <v>-5.033772221980306</v>
      </c>
      <c r="J203" s="139">
        <f>I203-VLOOKUP(B$2,H1:J229,2,FALSE)</f>
        <v>-6.9755127656146172</v>
      </c>
    </row>
    <row r="204" spans="1:10" ht="21.2" customHeight="1">
      <c r="A204" s="8" t="s">
        <v>598</v>
      </c>
      <c r="B204" s="144" t="str">
        <f>VLOOKUP(A204,'The List'!B1:D730,3,FALSE)</f>
        <v>D</v>
      </c>
      <c r="C204" s="145">
        <f>IF(Settings!$E$15="POINTS",RANK(E204,E3:E229),H204)</f>
        <v>220</v>
      </c>
      <c r="D204" s="34" t="str">
        <f>VLOOKUP(A204,'The List'!B1:F730,5,FALSE)</f>
        <v>ARI</v>
      </c>
      <c r="E204" s="38">
        <f>VLOOKUP(A204,'The List'!B1:I730,8,FALSE)</f>
        <v>-5.6524657611646978</v>
      </c>
      <c r="F204" s="38">
        <f>IF(Settings!$E$15="POINTS",E204-VLOOKUP(B$2,C1:E229,3,FALSE),J204)</f>
        <v>-7.5942063047990089</v>
      </c>
      <c r="G204" s="38"/>
      <c r="H204" s="138">
        <f>RANK(I204,I3:I229)</f>
        <v>220</v>
      </c>
      <c r="I204" s="139">
        <f>VLOOKUP(A204,'Standard Deviations'!A1:C731,3,FALSE)</f>
        <v>-5.6524657611646978</v>
      </c>
      <c r="J204" s="139">
        <f>I204-VLOOKUP(B$2,H1:J229,2,FALSE)</f>
        <v>-7.5942063047990089</v>
      </c>
    </row>
    <row r="205" spans="1:10" ht="21.2" customHeight="1">
      <c r="A205" s="8" t="s">
        <v>603</v>
      </c>
      <c r="B205" s="144" t="str">
        <f>VLOOKUP(A205,'The List'!B1:D730,3,FALSE)</f>
        <v>D</v>
      </c>
      <c r="C205" s="145">
        <f>IF(Settings!$E$15="POINTS",RANK(E205,E3:E229),H205)</f>
        <v>146</v>
      </c>
      <c r="D205" s="34" t="str">
        <f>VLOOKUP(A205,'The List'!B1:F730,5,FALSE)</f>
        <v>CHI</v>
      </c>
      <c r="E205" s="38">
        <f>VLOOKUP(A205,'The List'!B1:I730,8,FALSE)</f>
        <v>-4.0013813008379611</v>
      </c>
      <c r="F205" s="38">
        <f>IF(Settings!$E$15="POINTS",E205-VLOOKUP(B$2,C1:E229,3,FALSE),J205)</f>
        <v>-5.9431218444722713</v>
      </c>
      <c r="G205" s="38"/>
      <c r="H205" s="138">
        <f>RANK(I205,I3:I229)</f>
        <v>146</v>
      </c>
      <c r="I205" s="139">
        <f>VLOOKUP(A205,'Standard Deviations'!A1:C731,3,FALSE)</f>
        <v>-4.0013813008379611</v>
      </c>
      <c r="J205" s="139">
        <f>I205-VLOOKUP(B$2,H1:J229,2,FALSE)</f>
        <v>-5.9431218444722713</v>
      </c>
    </row>
    <row r="206" spans="1:10" ht="21.2" customHeight="1">
      <c r="A206" s="8" t="s">
        <v>604</v>
      </c>
      <c r="B206" s="144" t="str">
        <f>VLOOKUP(A206,'The List'!B1:D730,3,FALSE)</f>
        <v>D</v>
      </c>
      <c r="C206" s="145">
        <f>IF(Settings!$E$15="POINTS",RANK(E206,E3:E229),H206)</f>
        <v>158</v>
      </c>
      <c r="D206" s="34" t="str">
        <f>VLOOKUP(A206,'The List'!B1:F730,5,FALSE)</f>
        <v>NYI</v>
      </c>
      <c r="E206" s="38">
        <f>VLOOKUP(A206,'The List'!B1:I730,8,FALSE)</f>
        <v>-4.1790368773706028</v>
      </c>
      <c r="F206" s="38">
        <f>IF(Settings!$E$15="POINTS",E206-VLOOKUP(B$2,C1:E229,3,FALSE),J206)</f>
        <v>-6.1207774210049131</v>
      </c>
      <c r="G206" s="38"/>
      <c r="H206" s="138">
        <f>RANK(I206,I3:I229)</f>
        <v>158</v>
      </c>
      <c r="I206" s="139">
        <f>VLOOKUP(A206,'Standard Deviations'!A1:C731,3,FALSE)</f>
        <v>-4.1790368773706028</v>
      </c>
      <c r="J206" s="139">
        <f>I206-VLOOKUP(B$2,H1:J229,2,FALSE)</f>
        <v>-6.1207774210049131</v>
      </c>
    </row>
    <row r="207" spans="1:10" ht="21.2" customHeight="1">
      <c r="A207" s="8" t="s">
        <v>608</v>
      </c>
      <c r="B207" s="144" t="str">
        <f>VLOOKUP(A207,'The List'!B1:D730,3,FALSE)</f>
        <v>D</v>
      </c>
      <c r="C207" s="145">
        <f>IF(Settings!$E$15="POINTS",RANK(E207,E3:E229),H207)</f>
        <v>214</v>
      </c>
      <c r="D207" s="34" t="str">
        <f>VLOOKUP(A207,'The List'!B1:F730,5,FALSE)</f>
        <v>TBL</v>
      </c>
      <c r="E207" s="38">
        <f>VLOOKUP(A207,'The List'!B1:I730,8,FALSE)</f>
        <v>-5.343506735736522</v>
      </c>
      <c r="F207" s="38">
        <f>IF(Settings!$E$15="POINTS",E207-VLOOKUP(B$2,C1:E229,3,FALSE),J207)</f>
        <v>-7.2852472793708323</v>
      </c>
      <c r="G207" s="38"/>
      <c r="H207" s="138">
        <f>RANK(I207,I3:I229)</f>
        <v>214</v>
      </c>
      <c r="I207" s="139">
        <f>VLOOKUP(A207,'Standard Deviations'!A1:C731,3,FALSE)</f>
        <v>-5.343506735736522</v>
      </c>
      <c r="J207" s="139">
        <f>I207-VLOOKUP(B$2,H1:J229,2,FALSE)</f>
        <v>-7.2852472793708323</v>
      </c>
    </row>
    <row r="208" spans="1:10" ht="21.2" customHeight="1">
      <c r="A208" s="8" t="s">
        <v>612</v>
      </c>
      <c r="B208" s="144" t="str">
        <f>VLOOKUP(A208,'The List'!B1:D730,3,FALSE)</f>
        <v>D</v>
      </c>
      <c r="C208" s="145">
        <f>IF(Settings!$E$15="POINTS",RANK(E208,E3:E229),H208)</f>
        <v>189</v>
      </c>
      <c r="D208" s="34" t="str">
        <f>VLOOKUP(A208,'The List'!B1:F730,5,FALSE)</f>
        <v>ANA</v>
      </c>
      <c r="E208" s="38">
        <f>VLOOKUP(A208,'The List'!B1:I730,8,FALSE)</f>
        <v>-4.7745501415659293</v>
      </c>
      <c r="F208" s="38">
        <f>IF(Settings!$E$15="POINTS",E208-VLOOKUP(B$2,C1:E229,3,FALSE),J208)</f>
        <v>-6.7162906852002404</v>
      </c>
      <c r="G208" s="38"/>
      <c r="H208" s="138">
        <f>RANK(I208,I3:I229)</f>
        <v>189</v>
      </c>
      <c r="I208" s="139">
        <f>VLOOKUP(A208,'Standard Deviations'!A1:C731,3,FALSE)</f>
        <v>-4.7745501415659293</v>
      </c>
      <c r="J208" s="139">
        <f>I208-VLOOKUP(B$2,H1:J229,2,FALSE)</f>
        <v>-6.7162906852002404</v>
      </c>
    </row>
    <row r="209" spans="1:10" ht="21.2" customHeight="1">
      <c r="A209" s="8" t="s">
        <v>614</v>
      </c>
      <c r="B209" s="144" t="str">
        <f>VLOOKUP(A209,'The List'!B1:D730,3,FALSE)</f>
        <v>D</v>
      </c>
      <c r="C209" s="145">
        <f>IF(Settings!$E$15="POINTS",RANK(E209,E3:E229),H209)</f>
        <v>212</v>
      </c>
      <c r="D209" s="34" t="str">
        <f>VLOOKUP(A209,'The List'!B1:F730,5,FALSE)</f>
        <v>TBL</v>
      </c>
      <c r="E209" s="38">
        <f>VLOOKUP(A209,'The List'!B1:I730,8,FALSE)</f>
        <v>-5.309616926052664</v>
      </c>
      <c r="F209" s="38">
        <f>IF(Settings!$E$15="POINTS",E209-VLOOKUP(B$2,C1:E229,3,FALSE),J209)</f>
        <v>-7.2513574696869743</v>
      </c>
      <c r="G209" s="38"/>
      <c r="H209" s="138">
        <f>RANK(I209,I3:I229)</f>
        <v>212</v>
      </c>
      <c r="I209" s="139">
        <f>VLOOKUP(A209,'Standard Deviations'!A1:C731,3,FALSE)</f>
        <v>-5.309616926052664</v>
      </c>
      <c r="J209" s="139">
        <f>I209-VLOOKUP(B$2,H1:J229,2,FALSE)</f>
        <v>-7.2513574696869743</v>
      </c>
    </row>
    <row r="210" spans="1:10" ht="21.2" customHeight="1">
      <c r="A210" s="8" t="s">
        <v>615</v>
      </c>
      <c r="B210" s="144" t="str">
        <f>VLOOKUP(A210,'The List'!B1:D730,3,FALSE)</f>
        <v>D</v>
      </c>
      <c r="C210" s="145">
        <f>IF(Settings!$E$15="POINTS",RANK(E210,E3:E229),H210)</f>
        <v>204</v>
      </c>
      <c r="D210" s="34" t="str">
        <f>VLOOKUP(A210,'The List'!B1:F730,5,FALSE)</f>
        <v>CHI</v>
      </c>
      <c r="E210" s="38">
        <f>VLOOKUP(A210,'The List'!B1:I730,8,FALSE)</f>
        <v>-5.1320624632339449</v>
      </c>
      <c r="F210" s="38">
        <f>IF(Settings!$E$15="POINTS",E210-VLOOKUP(B$2,C1:E229,3,FALSE),J210)</f>
        <v>-7.0738030068682551</v>
      </c>
      <c r="G210" s="38"/>
      <c r="H210" s="138">
        <f>RANK(I210,I3:I229)</f>
        <v>204</v>
      </c>
      <c r="I210" s="139">
        <f>VLOOKUP(A210,'Standard Deviations'!A1:C731,3,FALSE)</f>
        <v>-5.1320624632339449</v>
      </c>
      <c r="J210" s="139">
        <f>I210-VLOOKUP(B$2,H1:J229,2,FALSE)</f>
        <v>-7.0738030068682551</v>
      </c>
    </row>
    <row r="211" spans="1:10" ht="21.2" customHeight="1">
      <c r="A211" s="8" t="s">
        <v>620</v>
      </c>
      <c r="B211" s="144" t="str">
        <f>VLOOKUP(A211,'The List'!B1:D730,3,FALSE)</f>
        <v>D</v>
      </c>
      <c r="C211" s="145">
        <f>IF(Settings!$E$15="POINTS",RANK(E211,E3:E229),H211)</f>
        <v>187</v>
      </c>
      <c r="D211" s="34" t="str">
        <f>VLOOKUP(A211,'The List'!B1:F730,5,FALSE)</f>
        <v>WSH</v>
      </c>
      <c r="E211" s="38">
        <f>VLOOKUP(A211,'The List'!B1:I730,8,FALSE)</f>
        <v>-4.7406170929570788</v>
      </c>
      <c r="F211" s="38">
        <f>IF(Settings!$E$15="POINTS",E211-VLOOKUP(B$2,C1:E229,3,FALSE),J211)</f>
        <v>-6.682357636591389</v>
      </c>
      <c r="G211" s="38"/>
      <c r="H211" s="138">
        <f>RANK(I211,I3:I229)</f>
        <v>187</v>
      </c>
      <c r="I211" s="139">
        <f>VLOOKUP(A211,'Standard Deviations'!A1:C731,3,FALSE)</f>
        <v>-4.7406170929570788</v>
      </c>
      <c r="J211" s="139">
        <f>I211-VLOOKUP(B$2,H1:J229,2,FALSE)</f>
        <v>-6.682357636591389</v>
      </c>
    </row>
    <row r="212" spans="1:10" ht="21.2" customHeight="1">
      <c r="A212" s="8" t="s">
        <v>624</v>
      </c>
      <c r="B212" s="144" t="str">
        <f>VLOOKUP(A212,'The List'!B1:D730,3,FALSE)</f>
        <v>D</v>
      </c>
      <c r="C212" s="145">
        <f>IF(Settings!$E$15="POINTS",RANK(E212,E3:E229),H212)</f>
        <v>196</v>
      </c>
      <c r="D212" s="34" t="str">
        <f>VLOOKUP(A212,'The List'!B1:F730,5,FALSE)</f>
        <v>ANA</v>
      </c>
      <c r="E212" s="38">
        <f>VLOOKUP(A212,'The List'!B1:I730,8,FALSE)</f>
        <v>-4.9831003881560445</v>
      </c>
      <c r="F212" s="38">
        <f>IF(Settings!$E$15="POINTS",E212-VLOOKUP(B$2,C1:E229,3,FALSE),J212)</f>
        <v>-6.9248409317903548</v>
      </c>
      <c r="G212" s="38"/>
      <c r="H212" s="138">
        <f>RANK(I212,I3:I229)</f>
        <v>196</v>
      </c>
      <c r="I212" s="139">
        <f>VLOOKUP(A212,'Standard Deviations'!A1:C731,3,FALSE)</f>
        <v>-4.9831003881560445</v>
      </c>
      <c r="J212" s="139">
        <f>I212-VLOOKUP(B$2,H1:J229,2,FALSE)</f>
        <v>-6.9248409317903548</v>
      </c>
    </row>
    <row r="213" spans="1:10" ht="21.2" customHeight="1">
      <c r="A213" s="8" t="s">
        <v>625</v>
      </c>
      <c r="B213" s="144" t="str">
        <f>VLOOKUP(A213,'The List'!B1:D730,3,FALSE)</f>
        <v>D</v>
      </c>
      <c r="C213" s="145">
        <f>IF(Settings!$E$15="POINTS",RANK(E213,E3:E229),H213)</f>
        <v>206</v>
      </c>
      <c r="D213" s="34" t="str">
        <f>VLOOKUP(A213,'The List'!B1:F730,5,FALSE)</f>
        <v>MTL</v>
      </c>
      <c r="E213" s="38">
        <f>VLOOKUP(A213,'The List'!B1:I730,8,FALSE)</f>
        <v>-5.164335179713877</v>
      </c>
      <c r="F213" s="38">
        <f>IF(Settings!$E$15="POINTS",E213-VLOOKUP(B$2,C1:E229,3,FALSE),J213)</f>
        <v>-7.1060757233481873</v>
      </c>
      <c r="G213" s="38"/>
      <c r="H213" s="138">
        <f>RANK(I213,I3:I229)</f>
        <v>206</v>
      </c>
      <c r="I213" s="139">
        <f>VLOOKUP(A213,'Standard Deviations'!A1:C731,3,FALSE)</f>
        <v>-5.164335179713877</v>
      </c>
      <c r="J213" s="139">
        <f>I213-VLOOKUP(B$2,H1:J229,2,FALSE)</f>
        <v>-7.1060757233481873</v>
      </c>
    </row>
    <row r="214" spans="1:10" ht="21.2" customHeight="1">
      <c r="A214" s="8" t="s">
        <v>627</v>
      </c>
      <c r="B214" s="144" t="str">
        <f>VLOOKUP(A214,'The List'!B1:D730,3,FALSE)</f>
        <v>D</v>
      </c>
      <c r="C214" s="145">
        <f>IF(Settings!$E$15="POINTS",RANK(E214,E3:E229),H214)</f>
        <v>219</v>
      </c>
      <c r="D214" s="34" t="str">
        <f>VLOOKUP(A214,'The List'!B1:F730,5,FALSE)</f>
        <v>PIT</v>
      </c>
      <c r="E214" s="38">
        <f>VLOOKUP(A214,'The List'!B1:I730,8,FALSE)</f>
        <v>-5.6171308662735715</v>
      </c>
      <c r="F214" s="38">
        <f>IF(Settings!$E$15="POINTS",E214-VLOOKUP(B$2,C1:E229,3,FALSE),J214)</f>
        <v>-7.5588714099078818</v>
      </c>
      <c r="G214" s="38"/>
      <c r="H214" s="138">
        <f>RANK(I214,I3:I229)</f>
        <v>219</v>
      </c>
      <c r="I214" s="139">
        <f>VLOOKUP(A214,'Standard Deviations'!A1:C731,3,FALSE)</f>
        <v>-5.6171308662735715</v>
      </c>
      <c r="J214" s="139">
        <f>I214-VLOOKUP(B$2,H1:J229,2,FALSE)</f>
        <v>-7.5588714099078818</v>
      </c>
    </row>
    <row r="215" spans="1:10" ht="21.2" customHeight="1">
      <c r="A215" s="8" t="s">
        <v>629</v>
      </c>
      <c r="B215" s="144" t="str">
        <f>VLOOKUP(A215,'The List'!B1:D730,3,FALSE)</f>
        <v>D</v>
      </c>
      <c r="C215" s="145">
        <f>IF(Settings!$E$15="POINTS",RANK(E215,E3:E229),H215)</f>
        <v>209</v>
      </c>
      <c r="D215" s="34" t="str">
        <f>VLOOKUP(A215,'The List'!B1:F730,5,FALSE)</f>
        <v>NJD</v>
      </c>
      <c r="E215" s="38">
        <f>VLOOKUP(A215,'The List'!B1:I730,8,FALSE)</f>
        <v>-5.2276425160348703</v>
      </c>
      <c r="F215" s="38">
        <f>IF(Settings!$E$15="POINTS",E215-VLOOKUP(B$2,C1:E229,3,FALSE),J215)</f>
        <v>-7.1693830596691814</v>
      </c>
      <c r="G215" s="38"/>
      <c r="H215" s="138">
        <f>RANK(I215,I3:I229)</f>
        <v>209</v>
      </c>
      <c r="I215" s="139">
        <f>VLOOKUP(A215,'Standard Deviations'!A1:C731,3,FALSE)</f>
        <v>-5.2276425160348703</v>
      </c>
      <c r="J215" s="139">
        <f>I215-VLOOKUP(B$2,H1:J229,2,FALSE)</f>
        <v>-7.1693830596691814</v>
      </c>
    </row>
    <row r="216" spans="1:10" ht="21.2" customHeight="1">
      <c r="A216" s="8" t="s">
        <v>631</v>
      </c>
      <c r="B216" s="144" t="str">
        <f>VLOOKUP(A216,'The List'!B1:D730,3,FALSE)</f>
        <v>D</v>
      </c>
      <c r="C216" s="145">
        <f>IF(Settings!$E$15="POINTS",RANK(E216,E3:E229),H216)</f>
        <v>218</v>
      </c>
      <c r="D216" s="34" t="str">
        <f>VLOOKUP(A216,'The List'!B1:F730,5,FALSE)</f>
        <v>VAN</v>
      </c>
      <c r="E216" s="38">
        <f>VLOOKUP(A216,'The List'!B1:I730,8,FALSE)</f>
        <v>-5.4390374344167807</v>
      </c>
      <c r="F216" s="38">
        <f>IF(Settings!$E$15="POINTS",E216-VLOOKUP(B$2,C1:E229,3,FALSE),J216)</f>
        <v>-7.3807779780510909</v>
      </c>
      <c r="G216" s="38"/>
      <c r="H216" s="138">
        <f>RANK(I216,I3:I229)</f>
        <v>218</v>
      </c>
      <c r="I216" s="139">
        <f>VLOOKUP(A216,'Standard Deviations'!A1:C731,3,FALSE)</f>
        <v>-5.4390374344167807</v>
      </c>
      <c r="J216" s="139">
        <f>I216-VLOOKUP(B$2,H1:J229,2,FALSE)</f>
        <v>-7.3807779780510909</v>
      </c>
    </row>
    <row r="217" spans="1:10" ht="21.2" customHeight="1">
      <c r="A217" s="8" t="s">
        <v>633</v>
      </c>
      <c r="B217" s="144" t="str">
        <f>VLOOKUP(A217,'The List'!B1:D730,3,FALSE)</f>
        <v>D</v>
      </c>
      <c r="C217" s="145">
        <f>IF(Settings!$E$15="POINTS",RANK(E217,E3:E229),H217)</f>
        <v>226</v>
      </c>
      <c r="D217" s="34" t="str">
        <f>VLOOKUP(A217,'The List'!B1:F730,5,FALSE)</f>
        <v>COL</v>
      </c>
      <c r="E217" s="38">
        <f>VLOOKUP(A217,'The List'!B1:I730,8,FALSE)</f>
        <v>-6.0630887158674192</v>
      </c>
      <c r="F217" s="38">
        <f>IF(Settings!$E$15="POINTS",E217-VLOOKUP(B$2,C1:E229,3,FALSE),J217)</f>
        <v>-8.0048292595017294</v>
      </c>
      <c r="G217" s="38"/>
      <c r="H217" s="138">
        <f>RANK(I217,I3:I229)</f>
        <v>226</v>
      </c>
      <c r="I217" s="139">
        <f>VLOOKUP(A217,'Standard Deviations'!A1:C731,3,FALSE)</f>
        <v>-6.0630887158674192</v>
      </c>
      <c r="J217" s="139">
        <f>I217-VLOOKUP(B$2,H1:J229,2,FALSE)</f>
        <v>-8.0048292595017294</v>
      </c>
    </row>
    <row r="218" spans="1:10" ht="21.2" customHeight="1">
      <c r="A218" s="8" t="s">
        <v>635</v>
      </c>
      <c r="B218" s="144" t="str">
        <f>VLOOKUP(A218,'The List'!B1:D730,3,FALSE)</f>
        <v>D</v>
      </c>
      <c r="C218" s="145">
        <f>IF(Settings!$E$15="POINTS",RANK(E218,E3:E229),H218)</f>
        <v>201</v>
      </c>
      <c r="D218" s="34" t="str">
        <f>VLOOKUP(A218,'The List'!B1:F730,5,FALSE)</f>
        <v>COL</v>
      </c>
      <c r="E218" s="38">
        <f>VLOOKUP(A218,'The List'!B1:I730,8,FALSE)</f>
        <v>-5.0619462428606399</v>
      </c>
      <c r="F218" s="38">
        <f>IF(Settings!$E$15="POINTS",E218-VLOOKUP(B$2,C1:E229,3,FALSE),J218)</f>
        <v>-7.003686786494951</v>
      </c>
      <c r="G218" s="38"/>
      <c r="H218" s="138">
        <f>RANK(I218,I3:I229)</f>
        <v>201</v>
      </c>
      <c r="I218" s="139">
        <f>VLOOKUP(A218,'Standard Deviations'!A1:C731,3,FALSE)</f>
        <v>-5.0619462428606399</v>
      </c>
      <c r="J218" s="139">
        <f>I218-VLOOKUP(B$2,H1:J229,2,FALSE)</f>
        <v>-7.003686786494951</v>
      </c>
    </row>
    <row r="219" spans="1:10" ht="21.2" customHeight="1">
      <c r="A219" s="8" t="s">
        <v>639</v>
      </c>
      <c r="B219" s="144" t="str">
        <f>VLOOKUP(A219,'The List'!B1:D730,3,FALSE)</f>
        <v>D</v>
      </c>
      <c r="C219" s="145">
        <f>IF(Settings!$E$15="POINTS",RANK(E219,E3:E229),H219)</f>
        <v>184</v>
      </c>
      <c r="D219" s="34" t="str">
        <f>VLOOKUP(A219,'The List'!B1:F730,5,FALSE)</f>
        <v>NYR</v>
      </c>
      <c r="E219" s="38">
        <f>VLOOKUP(A219,'The List'!B1:I730,8,FALSE)</f>
        <v>-4.6116148160253072</v>
      </c>
      <c r="F219" s="38">
        <f>IF(Settings!$E$15="POINTS",E219-VLOOKUP(B$2,C1:E229,3,FALSE),J219)</f>
        <v>-6.5533553596596175</v>
      </c>
      <c r="G219" s="38"/>
      <c r="H219" s="138">
        <f>RANK(I219,I3:I229)</f>
        <v>184</v>
      </c>
      <c r="I219" s="139">
        <f>VLOOKUP(A219,'Standard Deviations'!A1:C731,3,FALSE)</f>
        <v>-4.6116148160253072</v>
      </c>
      <c r="J219" s="139">
        <f>I219-VLOOKUP(B$2,H1:J229,2,FALSE)</f>
        <v>-6.5533553596596175</v>
      </c>
    </row>
    <row r="220" spans="1:10" ht="21.2" customHeight="1">
      <c r="A220" s="8" t="s">
        <v>640</v>
      </c>
      <c r="B220" s="144" t="str">
        <f>VLOOKUP(A220,'The List'!B1:D730,3,FALSE)</f>
        <v>D</v>
      </c>
      <c r="C220" s="145">
        <f>IF(Settings!$E$15="POINTS",RANK(E220,E3:E229),H220)</f>
        <v>191</v>
      </c>
      <c r="D220" s="34" t="str">
        <f>VLOOKUP(A220,'The List'!B1:F730,5,FALSE)</f>
        <v>OTT</v>
      </c>
      <c r="E220" s="38">
        <f>VLOOKUP(A220,'The List'!B1:I730,8,FALSE)</f>
        <v>-4.8658027327979472</v>
      </c>
      <c r="F220" s="38">
        <f>IF(Settings!$E$15="POINTS",E220-VLOOKUP(B$2,C1:E229,3,FALSE),J220)</f>
        <v>-6.8075432764322574</v>
      </c>
      <c r="G220" s="38"/>
      <c r="H220" s="138">
        <f>RANK(I220,I3:I229)</f>
        <v>191</v>
      </c>
      <c r="I220" s="139">
        <f>VLOOKUP(A220,'Standard Deviations'!A1:C731,3,FALSE)</f>
        <v>-4.8658027327979472</v>
      </c>
      <c r="J220" s="139">
        <f>I220-VLOOKUP(B$2,H1:J229,2,FALSE)</f>
        <v>-6.8075432764322574</v>
      </c>
    </row>
    <row r="221" spans="1:10" ht="21.2" customHeight="1">
      <c r="A221" s="8" t="s">
        <v>647</v>
      </c>
      <c r="B221" s="144" t="str">
        <f>VLOOKUP(A221,'The List'!B1:D730,3,FALSE)</f>
        <v>D</v>
      </c>
      <c r="C221" s="145">
        <f>IF(Settings!$E$15="POINTS",RANK(E221,E3:E229),H221)</f>
        <v>215</v>
      </c>
      <c r="D221" s="34" t="str">
        <f>VLOOKUP(A221,'The List'!B1:F730,5,FALSE)</f>
        <v>EDM</v>
      </c>
      <c r="E221" s="38">
        <f>VLOOKUP(A221,'The List'!B1:I730,8,FALSE)</f>
        <v>-5.3651318448637957</v>
      </c>
      <c r="F221" s="38">
        <f>IF(Settings!$E$15="POINTS",E221-VLOOKUP(B$2,C1:E229,3,FALSE),J221)</f>
        <v>-7.3068723884981068</v>
      </c>
      <c r="G221" s="38"/>
      <c r="H221" s="138">
        <f>RANK(I221,I3:I229)</f>
        <v>215</v>
      </c>
      <c r="I221" s="139">
        <f>VLOOKUP(A221,'Standard Deviations'!A1:C731,3,FALSE)</f>
        <v>-5.3651318448637957</v>
      </c>
      <c r="J221" s="139">
        <f>I221-VLOOKUP(B$2,H1:J229,2,FALSE)</f>
        <v>-7.3068723884981068</v>
      </c>
    </row>
    <row r="222" spans="1:10" ht="21.2" customHeight="1">
      <c r="A222" s="8" t="s">
        <v>651</v>
      </c>
      <c r="B222" s="144" t="str">
        <f>VLOOKUP(A222,'The List'!B1:D730,3,FALSE)</f>
        <v>D</v>
      </c>
      <c r="C222" s="145">
        <f>IF(Settings!$E$15="POINTS",RANK(E222,E3:E229),H222)</f>
        <v>223</v>
      </c>
      <c r="D222" s="34" t="str">
        <f>VLOOKUP(A222,'The List'!B1:F730,5,FALSE)</f>
        <v>EDM</v>
      </c>
      <c r="E222" s="38">
        <f>VLOOKUP(A222,'The List'!B1:I730,8,FALSE)</f>
        <v>-5.8316120054957166</v>
      </c>
      <c r="F222" s="38">
        <f>IF(Settings!$E$15="POINTS",E222-VLOOKUP(B$2,C1:E229,3,FALSE),J222)</f>
        <v>-7.7733525491300277</v>
      </c>
      <c r="G222" s="38"/>
      <c r="H222" s="138">
        <f>RANK(I222,I3:I229)</f>
        <v>223</v>
      </c>
      <c r="I222" s="139">
        <f>VLOOKUP(A222,'Standard Deviations'!A1:C731,3,FALSE)</f>
        <v>-5.8316120054957166</v>
      </c>
      <c r="J222" s="139">
        <f>I222-VLOOKUP(B$2,H1:J229,2,FALSE)</f>
        <v>-7.7733525491300277</v>
      </c>
    </row>
    <row r="223" spans="1:10" ht="21.2" customHeight="1">
      <c r="A223" s="8" t="s">
        <v>654</v>
      </c>
      <c r="B223" s="144" t="str">
        <f>VLOOKUP(A223,'The List'!B1:D730,3,FALSE)</f>
        <v>D</v>
      </c>
      <c r="C223" s="145">
        <f>IF(Settings!$E$15="POINTS",RANK(E223,E3:E229),H223)</f>
        <v>221</v>
      </c>
      <c r="D223" s="34" t="str">
        <f>VLOOKUP(A223,'The List'!B1:F730,5,FALSE)</f>
        <v>LAK</v>
      </c>
      <c r="E223" s="38">
        <f>VLOOKUP(A223,'The List'!B1:I730,8,FALSE)</f>
        <v>-5.6579259266747481</v>
      </c>
      <c r="F223" s="38">
        <f>IF(Settings!$E$15="POINTS",E223-VLOOKUP(B$2,C1:E229,3,FALSE),J223)</f>
        <v>-7.5996664703090584</v>
      </c>
      <c r="G223" s="38"/>
      <c r="H223" s="138">
        <f>RANK(I223,I3:I229)</f>
        <v>221</v>
      </c>
      <c r="I223" s="139">
        <f>VLOOKUP(A223,'Standard Deviations'!A1:C731,3,FALSE)</f>
        <v>-5.6579259266747481</v>
      </c>
      <c r="J223" s="139">
        <f>I223-VLOOKUP(B$2,H1:J229,2,FALSE)</f>
        <v>-7.5996664703090584</v>
      </c>
    </row>
    <row r="224" spans="1:10" ht="21.2" customHeight="1">
      <c r="A224" s="8" t="s">
        <v>809</v>
      </c>
      <c r="B224" s="144" t="str">
        <f>VLOOKUP(A224,'The List'!B1:D730,3,FALSE)</f>
        <v>LW</v>
      </c>
      <c r="C224" s="145">
        <f>IF(Settings!$E$15="POINTS",RANK(E224,E3:E229),H224)</f>
        <v>170</v>
      </c>
      <c r="D224" s="34" t="str">
        <f>VLOOKUP(A224,'The List'!B1:F730,5,FALSE)</f>
        <v>NJD</v>
      </c>
      <c r="E224" s="38">
        <f>VLOOKUP(A224,'The List'!B1:I730,8,FALSE)</f>
        <v>-4.3848602024372312</v>
      </c>
      <c r="F224" s="38">
        <f>IF(Settings!$E$15="POINTS",E224-VLOOKUP(B$2,C1:E229,3,FALSE),J224)</f>
        <v>-6.3266007460715414</v>
      </c>
      <c r="G224" s="38"/>
      <c r="H224" s="138">
        <f>RANK(I224,I3:I229)</f>
        <v>170</v>
      </c>
      <c r="I224" s="139">
        <f>VLOOKUP(A224,'Standard Deviations'!A1:C731,3,FALSE)</f>
        <v>-4.3848602024372312</v>
      </c>
      <c r="J224" s="139">
        <f>I224-VLOOKUP(B$2,H1:J229,2,FALSE)</f>
        <v>-6.3266007460715414</v>
      </c>
    </row>
    <row r="225" spans="1:10" ht="21.2" customHeight="1">
      <c r="A225" s="8" t="s">
        <v>661</v>
      </c>
      <c r="B225" s="144" t="str">
        <f>VLOOKUP(A225,'The List'!B1:D730,3,FALSE)</f>
        <v>D</v>
      </c>
      <c r="C225" s="145">
        <f>IF(Settings!$E$15="POINTS",RANK(E225,E3:E229),H225)</f>
        <v>208</v>
      </c>
      <c r="D225" s="34" t="str">
        <f>VLOOKUP(A225,'The List'!B1:F730,5,FALSE)</f>
        <v>PHI</v>
      </c>
      <c r="E225" s="38">
        <f>VLOOKUP(A225,'The List'!B1:I730,8,FALSE)</f>
        <v>-5.2096864647544772</v>
      </c>
      <c r="F225" s="38">
        <f>IF(Settings!$E$15="POINTS",E225-VLOOKUP(B$2,C1:E229,3,FALSE),J225)</f>
        <v>-7.1514270083887883</v>
      </c>
      <c r="G225" s="38"/>
      <c r="H225" s="138">
        <f>RANK(I225,I3:I229)</f>
        <v>208</v>
      </c>
      <c r="I225" s="139">
        <f>VLOOKUP(A225,'Standard Deviations'!A1:C731,3,FALSE)</f>
        <v>-5.2096864647544772</v>
      </c>
      <c r="J225" s="139">
        <f>I225-VLOOKUP(B$2,H1:J229,2,FALSE)</f>
        <v>-7.1514270083887883</v>
      </c>
    </row>
    <row r="226" spans="1:10" ht="21.2" customHeight="1">
      <c r="A226" s="8" t="s">
        <v>663</v>
      </c>
      <c r="B226" s="144" t="str">
        <f>VLOOKUP(A226,'The List'!B1:D730,3,FALSE)</f>
        <v>D</v>
      </c>
      <c r="C226" s="145">
        <f>IF(Settings!$E$15="POINTS",RANK(E226,E3:E229),H226)</f>
        <v>227</v>
      </c>
      <c r="D226" s="34" t="str">
        <f>VLOOKUP(A226,'The List'!B1:F730,5,FALSE)</f>
        <v>STL</v>
      </c>
      <c r="E226" s="38">
        <f>VLOOKUP(A226,'The List'!B1:I730,8,FALSE)</f>
        <v>-6.2591888466518144</v>
      </c>
      <c r="F226" s="38">
        <f>IF(Settings!$E$15="POINTS",E226-VLOOKUP(B$2,C1:E229,3,FALSE),J226)</f>
        <v>-8.2009293902861256</v>
      </c>
      <c r="G226" s="38"/>
      <c r="H226" s="138">
        <f>RANK(I226,I3:I229)</f>
        <v>227</v>
      </c>
      <c r="I226" s="139">
        <f>VLOOKUP(A226,'Standard Deviations'!A1:C731,3,FALSE)</f>
        <v>-6.2591888466518144</v>
      </c>
      <c r="J226" s="139">
        <f>I226-VLOOKUP(B$2,H1:J229,2,FALSE)</f>
        <v>-8.2009293902861256</v>
      </c>
    </row>
    <row r="227" spans="1:10" ht="21.2" customHeight="1">
      <c r="A227" s="8" t="s">
        <v>671</v>
      </c>
      <c r="B227" s="144" t="str">
        <f>VLOOKUP(A227,'The List'!B1:D730,3,FALSE)</f>
        <v>D</v>
      </c>
      <c r="C227" s="145">
        <f>IF(Settings!$E$15="POINTS",RANK(E227,E3:E229),H227)</f>
        <v>213</v>
      </c>
      <c r="D227" s="34" t="str">
        <f>VLOOKUP(A227,'The List'!B1:F730,5,FALSE)</f>
        <v>BOS</v>
      </c>
      <c r="E227" s="38">
        <f>VLOOKUP(A227,'The List'!B1:I730,8,FALSE)</f>
        <v>-5.3368744166048483</v>
      </c>
      <c r="F227" s="38">
        <f>IF(Settings!$E$15="POINTS",E227-VLOOKUP(B$2,C1:E229,3,FALSE),J227)</f>
        <v>-7.2786149602391585</v>
      </c>
      <c r="G227" s="38"/>
      <c r="H227" s="138">
        <f>RANK(I227,I3:I229)</f>
        <v>213</v>
      </c>
      <c r="I227" s="139">
        <f>VLOOKUP(A227,'Standard Deviations'!A1:C731,3,FALSE)</f>
        <v>-5.3368744166048483</v>
      </c>
      <c r="J227" s="139">
        <f>I227-VLOOKUP(B$2,H1:J229,2,FALSE)</f>
        <v>-7.2786149602391585</v>
      </c>
    </row>
    <row r="228" spans="1:10" ht="21.2" customHeight="1">
      <c r="A228" s="8" t="s">
        <v>674</v>
      </c>
      <c r="B228" s="144" t="str">
        <f>VLOOKUP(A228,'The List'!B1:D730,3,FALSE)</f>
        <v>D</v>
      </c>
      <c r="C228" s="145">
        <f>IF(Settings!$E$15="POINTS",RANK(E228,E3:E229),H228)</f>
        <v>224</v>
      </c>
      <c r="D228" s="34" t="str">
        <f>VLOOKUP(A228,'The List'!B1:F730,5,FALSE)</f>
        <v>DAL</v>
      </c>
      <c r="E228" s="38">
        <f>VLOOKUP(A228,'The List'!B1:I730,8,FALSE)</f>
        <v>-5.9895614062339551</v>
      </c>
      <c r="F228" s="38">
        <f>IF(Settings!$E$15="POINTS",E228-VLOOKUP(B$2,C1:E229,3,FALSE),J228)</f>
        <v>-7.9313019498682653</v>
      </c>
      <c r="G228" s="38"/>
      <c r="H228" s="138">
        <f>RANK(I228,I3:I229)</f>
        <v>224</v>
      </c>
      <c r="I228" s="139">
        <f>VLOOKUP(A228,'Standard Deviations'!A1:C731,3,FALSE)</f>
        <v>-5.9895614062339551</v>
      </c>
      <c r="J228" s="139">
        <f>I228-VLOOKUP(B$2,H1:J229,2,FALSE)</f>
        <v>-7.9313019498682653</v>
      </c>
    </row>
    <row r="229" spans="1:10" ht="21.2" customHeight="1">
      <c r="A229" s="8" t="s">
        <v>692</v>
      </c>
      <c r="B229" s="144" t="str">
        <f>VLOOKUP(A229,'The List'!B1:D730,3,FALSE)</f>
        <v>D</v>
      </c>
      <c r="C229" s="145">
        <f>IF(Settings!$E$15="POINTS",RANK(E229,E3:E229),H229)</f>
        <v>225</v>
      </c>
      <c r="D229" s="34" t="str">
        <f>VLOOKUP(A229,'The List'!B1:F730,5,FALSE)</f>
        <v>LAK</v>
      </c>
      <c r="E229" s="38">
        <f>VLOOKUP(A229,'The List'!B1:I730,8,FALSE)</f>
        <v>-5.9962582231167634</v>
      </c>
      <c r="F229" s="38">
        <f>IF(Settings!$E$15="POINTS",E229-VLOOKUP(B$2,C1:E229,3,FALSE),J229)</f>
        <v>-7.9379987667510736</v>
      </c>
      <c r="G229" s="38"/>
      <c r="H229" s="138">
        <f>RANK(I229,I3:I229)</f>
        <v>225</v>
      </c>
      <c r="I229" s="139">
        <f>VLOOKUP(A229,'Standard Deviations'!A1:C731,3,FALSE)</f>
        <v>-5.9962582231167634</v>
      </c>
      <c r="J229" s="139">
        <f>I229-VLOOKUP(B$2,H1:J229,2,FALSE)</f>
        <v>-7.9379987667510736</v>
      </c>
    </row>
  </sheetData>
  <conditionalFormatting sqref="C3:C229 H3:H229">
    <cfRule type="containsText" dxfId="11" priority="1" stopIfTrue="1" operator="containsText" text="/">
      <formula>NOT(ISERROR(FIND(UPPER("/"),UPPER(C3))))</formula>
      <formula>"/"</formula>
    </cfRule>
    <cfRule type="containsText" dxfId="10" priority="2" stopIfTrue="1" operator="containsText" text="C">
      <formula>NOT(ISERROR(FIND(UPPER("C"),UPPER(C3))))</formula>
      <formula>"C"</formula>
    </cfRule>
    <cfRule type="containsText" dxfId="9" priority="3" stopIfTrue="1" operator="containsText" text="D">
      <formula>NOT(ISERROR(FIND(UPPER("D"),UPPER(C3))))</formula>
      <formula>"D"</formula>
    </cfRule>
    <cfRule type="containsText" dxfId="8" priority="4" stopIfTrue="1" operator="containsText" text="LW">
      <formula>NOT(ISERROR(FIND(UPPER("LW"),UPPER(C3))))</formula>
      <formula>"LW"</formula>
    </cfRule>
    <cfRule type="containsText" dxfId="7" priority="5" stopIfTrue="1" operator="containsText" text="RW">
      <formula>NOT(ISERROR(FIND(UPPER("RW"),UPPER(C3))))</formula>
      <formula>"RW"</formula>
    </cfRule>
    <cfRule type="containsText" dxfId="6" priority="6" stopIfTrue="1" operator="containsText" text="G">
      <formula>NOT(ISERROR(FIND(UPPER("G"),UPPER(C3))))</formula>
      <formula>"G"</formula>
    </cfRule>
  </conditionalFormatting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J75"/>
  <sheetViews>
    <sheetView showGridLines="0" workbookViewId="0">
      <pane ySplit="2" topLeftCell="A3" activePane="bottomLeft" state="frozen"/>
      <selection pane="bottomLeft"/>
    </sheetView>
  </sheetViews>
  <sheetFormatPr defaultColWidth="8" defaultRowHeight="16.350000000000001" customHeight="1"/>
  <cols>
    <col min="1" max="1" width="33" style="1" customWidth="1"/>
    <col min="2" max="2" width="7.140625" style="1" customWidth="1"/>
    <col min="3" max="3" width="6" style="1" customWidth="1"/>
    <col min="4" max="6" width="8.28515625" style="1" customWidth="1"/>
    <col min="7" max="10" width="1.28515625" style="1" customWidth="1"/>
    <col min="11" max="11" width="8" style="1" customWidth="1"/>
    <col min="12" max="16384" width="8" style="1"/>
  </cols>
  <sheetData>
    <row r="1" spans="1:10" ht="28.35" customHeight="1">
      <c r="A1" s="121" t="s">
        <v>841</v>
      </c>
      <c r="B1" s="122" t="s">
        <v>79</v>
      </c>
      <c r="C1" s="123"/>
      <c r="D1" s="4" t="s">
        <v>843</v>
      </c>
      <c r="E1" s="124" t="s">
        <v>844</v>
      </c>
      <c r="F1" s="122" t="s">
        <v>72</v>
      </c>
      <c r="G1" s="125"/>
      <c r="H1" s="126"/>
      <c r="I1" s="127" t="s">
        <v>845</v>
      </c>
      <c r="J1" s="128" t="s">
        <v>72</v>
      </c>
    </row>
    <row r="2" spans="1:10" ht="28.35" customHeight="1">
      <c r="A2" s="129" t="s">
        <v>40</v>
      </c>
      <c r="B2" s="130">
        <f>Settings!F6</f>
        <v>18</v>
      </c>
      <c r="C2" s="131"/>
      <c r="D2" s="132"/>
      <c r="E2" s="133"/>
      <c r="F2" s="133"/>
      <c r="G2" s="133"/>
      <c r="H2" s="140"/>
      <c r="I2" s="141"/>
      <c r="J2" s="141"/>
    </row>
    <row r="3" spans="1:10" ht="21.2" customHeight="1">
      <c r="A3" s="8" t="s">
        <v>129</v>
      </c>
      <c r="B3" s="110" t="str">
        <f>VLOOKUP(A3,'The List'!B1:D730,3,FALSE)</f>
        <v>G</v>
      </c>
      <c r="C3" s="146">
        <f>RANK(E3,E3:E75)</f>
        <v>4</v>
      </c>
      <c r="D3" s="34" t="str">
        <f>VLOOKUP(A3,'The List'!B1:F730,5,FALSE)</f>
        <v>NYI</v>
      </c>
      <c r="E3" s="38">
        <f>VLOOKUP(A3,'The List'!B1:I730,8,FALSE)</f>
        <v>3.1640175721886212</v>
      </c>
      <c r="F3" s="38">
        <f>IF(Settings!$E$15="POINTS",E3-VLOOKUP(B$2,C1:E75,3,FALSE),J3)</f>
        <v>1.4597885209983297</v>
      </c>
      <c r="G3" s="38"/>
      <c r="H3" s="142">
        <f>RANK(I3,I3:I75)</f>
        <v>4</v>
      </c>
      <c r="I3" s="143">
        <f>VLOOKUP(A3,'Standard Deviations'!A1:C731,3,FALSE)</f>
        <v>3.1640175721886212</v>
      </c>
      <c r="J3" s="143">
        <f>I3-VLOOKUP(B$2,H1:J75,2,FALSE)</f>
        <v>1.4597885209983297</v>
      </c>
    </row>
    <row r="4" spans="1:10" ht="21.2" customHeight="1">
      <c r="A4" s="8" t="s">
        <v>130</v>
      </c>
      <c r="B4" s="110" t="str">
        <f>VLOOKUP(A4,'The List'!B1:D730,3,FALSE)</f>
        <v>G</v>
      </c>
      <c r="C4" s="146">
        <f>RANK(E4,E3:E75)</f>
        <v>2</v>
      </c>
      <c r="D4" s="34" t="str">
        <f>VLOOKUP(A4,'The List'!B1:F730,5,FALSE)</f>
        <v>NYR</v>
      </c>
      <c r="E4" s="38">
        <f>VLOOKUP(A4,'The List'!B1:I730,8,FALSE)</f>
        <v>3.464178384051916</v>
      </c>
      <c r="F4" s="38">
        <f>IF(Settings!$E$15="POINTS",E4-VLOOKUP(B$2,C1:E75,3,FALSE),J4)</f>
        <v>1.7599493328616245</v>
      </c>
      <c r="G4" s="38"/>
      <c r="H4" s="138">
        <f>RANK(I4,I3:I75)</f>
        <v>2</v>
      </c>
      <c r="I4" s="139">
        <f>VLOOKUP(A4,'Standard Deviations'!A1:C731,3,FALSE)</f>
        <v>3.464178384051916</v>
      </c>
      <c r="J4" s="139">
        <f>I4-VLOOKUP(B$2,H1:J75,2,FALSE)</f>
        <v>1.7599493328616245</v>
      </c>
    </row>
    <row r="5" spans="1:10" ht="21.2" customHeight="1">
      <c r="A5" s="8" t="s">
        <v>134</v>
      </c>
      <c r="B5" s="110" t="str">
        <f>VLOOKUP(A5,'The List'!B1:D730,3,FALSE)</f>
        <v>G</v>
      </c>
      <c r="C5" s="146">
        <f>RANK(E5,E3:E75)</f>
        <v>1</v>
      </c>
      <c r="D5" s="34" t="str">
        <f>VLOOKUP(A5,'The List'!B1:F730,5,FALSE)</f>
        <v>DAL</v>
      </c>
      <c r="E5" s="38">
        <f>VLOOKUP(A5,'The List'!B1:I730,8,FALSE)</f>
        <v>3.7400598115202563</v>
      </c>
      <c r="F5" s="38">
        <f>IF(Settings!$E$15="POINTS",E5-VLOOKUP(B$2,C1:E75,3,FALSE),J5)</f>
        <v>2.035830760329965</v>
      </c>
      <c r="G5" s="38"/>
      <c r="H5" s="138">
        <f>RANK(I5,I3:I75)</f>
        <v>1</v>
      </c>
      <c r="I5" s="139">
        <f>VLOOKUP(A5,'Standard Deviations'!A1:C731,3,FALSE)</f>
        <v>3.7400598115202563</v>
      </c>
      <c r="J5" s="139">
        <f>I5-VLOOKUP(B$2,H1:J75,2,FALSE)</f>
        <v>2.035830760329965</v>
      </c>
    </row>
    <row r="6" spans="1:10" ht="21.2" customHeight="1">
      <c r="A6" s="8" t="s">
        <v>142</v>
      </c>
      <c r="B6" s="110" t="str">
        <f>VLOOKUP(A6,'The List'!B1:D730,3,FALSE)</f>
        <v>G</v>
      </c>
      <c r="C6" s="146">
        <f>RANK(E6,E3:E75)</f>
        <v>3</v>
      </c>
      <c r="D6" s="34" t="str">
        <f>VLOOKUP(A6,'The List'!B1:F730,5,FALSE)</f>
        <v>WPG</v>
      </c>
      <c r="E6" s="38">
        <f>VLOOKUP(A6,'The List'!B1:I730,8,FALSE)</f>
        <v>3.3844555754589498</v>
      </c>
      <c r="F6" s="38">
        <f>IF(Settings!$E$15="POINTS",E6-VLOOKUP(B$2,C1:E75,3,FALSE),J6)</f>
        <v>1.6802265242686583</v>
      </c>
      <c r="G6" s="38"/>
      <c r="H6" s="138">
        <f>RANK(I6,I3:I75)</f>
        <v>3</v>
      </c>
      <c r="I6" s="139">
        <f>VLOOKUP(A6,'Standard Deviations'!A1:C731,3,FALSE)</f>
        <v>3.3844555754589498</v>
      </c>
      <c r="J6" s="139">
        <f>I6-VLOOKUP(B$2,H1:J75,2,FALSE)</f>
        <v>1.6802265242686583</v>
      </c>
    </row>
    <row r="7" spans="1:10" ht="21.2" customHeight="1">
      <c r="A7" s="8" t="s">
        <v>150</v>
      </c>
      <c r="B7" s="110" t="str">
        <f>VLOOKUP(A7,'The List'!B1:D730,3,FALSE)</f>
        <v>G</v>
      </c>
      <c r="C7" s="146">
        <f>RANK(E7,E3:E75)</f>
        <v>6</v>
      </c>
      <c r="D7" s="34" t="str">
        <f>VLOOKUP(A7,'The List'!B1:F730,5,FALSE)</f>
        <v>NSH</v>
      </c>
      <c r="E7" s="38">
        <f>VLOOKUP(A7,'The List'!B1:I730,8,FALSE)</f>
        <v>2.885503156000083</v>
      </c>
      <c r="F7" s="38">
        <f>IF(Settings!$E$15="POINTS",E7-VLOOKUP(B$2,C1:E75,3,FALSE),J7)</f>
        <v>1.1812741048097914</v>
      </c>
      <c r="G7" s="38"/>
      <c r="H7" s="138">
        <f>RANK(I7,I3:I75)</f>
        <v>6</v>
      </c>
      <c r="I7" s="139">
        <f>VLOOKUP(A7,'Standard Deviations'!A1:C731,3,FALSE)</f>
        <v>2.885503156000083</v>
      </c>
      <c r="J7" s="139">
        <f>I7-VLOOKUP(B$2,H1:J75,2,FALSE)</f>
        <v>1.1812741048097914</v>
      </c>
    </row>
    <row r="8" spans="1:10" ht="21.2" customHeight="1">
      <c r="A8" s="8" t="s">
        <v>178</v>
      </c>
      <c r="B8" s="110" t="str">
        <f>VLOOKUP(A8,'The List'!B1:D730,3,FALSE)</f>
        <v>G</v>
      </c>
      <c r="C8" s="146">
        <f>RANK(E8,E3:E75)</f>
        <v>7</v>
      </c>
      <c r="D8" s="34" t="str">
        <f>VLOOKUP(A8,'The List'!B1:F730,5,FALSE)</f>
        <v>VAN</v>
      </c>
      <c r="E8" s="38">
        <f>VLOOKUP(A8,'The List'!B1:I730,8,FALSE)</f>
        <v>2.7933322148167123</v>
      </c>
      <c r="F8" s="38">
        <f>IF(Settings!$E$15="POINTS",E8-VLOOKUP(B$2,C1:E75,3,FALSE),J8)</f>
        <v>1.0891031636264208</v>
      </c>
      <c r="G8" s="38"/>
      <c r="H8" s="138">
        <f>RANK(I8,I3:I75)</f>
        <v>7</v>
      </c>
      <c r="I8" s="139">
        <f>VLOOKUP(A8,'Standard Deviations'!A1:C731,3,FALSE)</f>
        <v>2.7933322148167123</v>
      </c>
      <c r="J8" s="139">
        <f>I8-VLOOKUP(B$2,H1:J75,2,FALSE)</f>
        <v>1.0891031636264208</v>
      </c>
    </row>
    <row r="9" spans="1:10" ht="21.2" customHeight="1">
      <c r="A9" s="8" t="s">
        <v>181</v>
      </c>
      <c r="B9" s="110" t="str">
        <f>VLOOKUP(A9,'The List'!B1:D730,3,FALSE)</f>
        <v>G</v>
      </c>
      <c r="C9" s="146">
        <f>RANK(E9,E3:E75)</f>
        <v>5</v>
      </c>
      <c r="D9" s="34" t="str">
        <f>VLOOKUP(A9,'The List'!B1:F730,5,FALSE)</f>
        <v>COL</v>
      </c>
      <c r="E9" s="38">
        <f>VLOOKUP(A9,'The List'!B1:I730,8,FALSE)</f>
        <v>3.025853558987643</v>
      </c>
      <c r="F9" s="38">
        <f>IF(Settings!$E$15="POINTS",E9-VLOOKUP(B$2,C1:E75,3,FALSE),J9)</f>
        <v>1.3216245077973514</v>
      </c>
      <c r="G9" s="38"/>
      <c r="H9" s="138">
        <f>RANK(I9,I3:I75)</f>
        <v>5</v>
      </c>
      <c r="I9" s="139">
        <f>VLOOKUP(A9,'Standard Deviations'!A1:C731,3,FALSE)</f>
        <v>3.025853558987643</v>
      </c>
      <c r="J9" s="139">
        <f>I9-VLOOKUP(B$2,H1:J75,2,FALSE)</f>
        <v>1.3216245077973514</v>
      </c>
    </row>
    <row r="10" spans="1:10" ht="21.2" customHeight="1">
      <c r="A10" s="8" t="s">
        <v>199</v>
      </c>
      <c r="B10" s="110" t="str">
        <f>VLOOKUP(A10,'The List'!B1:D730,3,FALSE)</f>
        <v>G</v>
      </c>
      <c r="C10" s="146">
        <f>RANK(E10,E3:E75)</f>
        <v>11</v>
      </c>
      <c r="D10" s="34" t="str">
        <f>VLOOKUP(A10,'The List'!B1:F730,5,FALSE)</f>
        <v>MIN</v>
      </c>
      <c r="E10" s="38">
        <f>VLOOKUP(A10,'The List'!B1:I730,8,FALSE)</f>
        <v>2.465804343501782</v>
      </c>
      <c r="F10" s="38">
        <f>IF(Settings!$E$15="POINTS",E10-VLOOKUP(B$2,C1:E75,3,FALSE),J10)</f>
        <v>0.76157529231149046</v>
      </c>
      <c r="G10" s="38"/>
      <c r="H10" s="138">
        <f>RANK(I10,I3:I75)</f>
        <v>11</v>
      </c>
      <c r="I10" s="139">
        <f>VLOOKUP(A10,'Standard Deviations'!A1:C731,3,FALSE)</f>
        <v>2.465804343501782</v>
      </c>
      <c r="J10" s="139">
        <f>I10-VLOOKUP(B$2,H1:J75,2,FALSE)</f>
        <v>0.76157529231149046</v>
      </c>
    </row>
    <row r="11" spans="1:10" ht="21.2" customHeight="1">
      <c r="A11" s="8" t="s">
        <v>200</v>
      </c>
      <c r="B11" s="110" t="str">
        <f>VLOOKUP(A11,'The List'!B1:D730,3,FALSE)</f>
        <v>G</v>
      </c>
      <c r="C11" s="146">
        <f>RANK(E11,E3:E75)</f>
        <v>10</v>
      </c>
      <c r="D11" s="34" t="str">
        <f>VLOOKUP(A11,'The List'!B1:F730,5,FALSE)</f>
        <v>PIT</v>
      </c>
      <c r="E11" s="38">
        <f>VLOOKUP(A11,'The List'!B1:I730,8,FALSE)</f>
        <v>2.5292196067867474</v>
      </c>
      <c r="F11" s="38">
        <f>IF(Settings!$E$15="POINTS",E11-VLOOKUP(B$2,C1:E75,3,FALSE),J11)</f>
        <v>0.82499055559645584</v>
      </c>
      <c r="G11" s="38"/>
      <c r="H11" s="138">
        <f>RANK(I11,I3:I75)</f>
        <v>10</v>
      </c>
      <c r="I11" s="139">
        <f>VLOOKUP(A11,'Standard Deviations'!A1:C731,3,FALSE)</f>
        <v>2.5292196067867474</v>
      </c>
      <c r="J11" s="139">
        <f>I11-VLOOKUP(B$2,H1:J75,2,FALSE)</f>
        <v>0.82499055559645584</v>
      </c>
    </row>
    <row r="12" spans="1:10" ht="21.2" customHeight="1">
      <c r="A12" s="8" t="s">
        <v>233</v>
      </c>
      <c r="B12" s="110" t="str">
        <f>VLOOKUP(A12,'The List'!B1:D730,3,FALSE)</f>
        <v>G</v>
      </c>
      <c r="C12" s="146">
        <f>RANK(E12,E3:E75)</f>
        <v>8</v>
      </c>
      <c r="D12" s="34" t="str">
        <f>VLOOKUP(A12,'The List'!B1:F730,5,FALSE)</f>
        <v>CGY</v>
      </c>
      <c r="E12" s="38">
        <f>VLOOKUP(A12,'The List'!B1:I730,8,FALSE)</f>
        <v>2.6927710949822523</v>
      </c>
      <c r="F12" s="38">
        <f>IF(Settings!$E$15="POINTS",E12-VLOOKUP(B$2,C1:E75,3,FALSE),J12)</f>
        <v>0.98854204379196076</v>
      </c>
      <c r="G12" s="38"/>
      <c r="H12" s="138">
        <f>RANK(I12,I3:I75)</f>
        <v>8</v>
      </c>
      <c r="I12" s="139">
        <f>VLOOKUP(A12,'Standard Deviations'!A1:C731,3,FALSE)</f>
        <v>2.6927710949822523</v>
      </c>
      <c r="J12" s="139">
        <f>I12-VLOOKUP(B$2,H1:J75,2,FALSE)</f>
        <v>0.98854204379196076</v>
      </c>
    </row>
    <row r="13" spans="1:10" ht="21.2" customHeight="1">
      <c r="A13" s="8" t="s">
        <v>234</v>
      </c>
      <c r="B13" s="110" t="str">
        <f>VLOOKUP(A13,'The List'!B1:D730,3,FALSE)</f>
        <v>G</v>
      </c>
      <c r="C13" s="146">
        <f>RANK(E13,E3:E75)</f>
        <v>16</v>
      </c>
      <c r="D13" s="34" t="str">
        <f>VLOOKUP(A13,'The List'!B1:F730,5,FALSE)</f>
        <v>ANA</v>
      </c>
      <c r="E13" s="38">
        <f>VLOOKUP(A13,'The List'!B1:I730,8,FALSE)</f>
        <v>1.9847474227843245</v>
      </c>
      <c r="F13" s="38">
        <f>IF(Settings!$E$15="POINTS",E13-VLOOKUP(B$2,C1:E75,3,FALSE),J13)</f>
        <v>0.28051837159403292</v>
      </c>
      <c r="G13" s="38"/>
      <c r="H13" s="138">
        <f>RANK(I13,I3:I75)</f>
        <v>16</v>
      </c>
      <c r="I13" s="139">
        <f>VLOOKUP(A13,'Standard Deviations'!A1:C731,3,FALSE)</f>
        <v>1.9847474227843245</v>
      </c>
      <c r="J13" s="139">
        <f>I13-VLOOKUP(B$2,H1:J75,2,FALSE)</f>
        <v>0.28051837159403292</v>
      </c>
    </row>
    <row r="14" spans="1:10" ht="21.2" customHeight="1">
      <c r="A14" s="8" t="s">
        <v>238</v>
      </c>
      <c r="B14" s="110" t="str">
        <f>VLOOKUP(A14,'The List'!B1:D730,3,FALSE)</f>
        <v>G</v>
      </c>
      <c r="C14" s="146">
        <f>RANK(E14,E3:E75)</f>
        <v>12</v>
      </c>
      <c r="D14" s="34" t="str">
        <f>VLOOKUP(A14,'The List'!B1:F730,5,FALSE)</f>
        <v>TOR</v>
      </c>
      <c r="E14" s="38">
        <f>VLOOKUP(A14,'The List'!B1:I730,8,FALSE)</f>
        <v>2.4376092606347135</v>
      </c>
      <c r="F14" s="38">
        <f>IF(Settings!$E$15="POINTS",E14-VLOOKUP(B$2,C1:E75,3,FALSE),J14)</f>
        <v>0.73338020944442195</v>
      </c>
      <c r="G14" s="38"/>
      <c r="H14" s="138">
        <f>RANK(I14,I3:I75)</f>
        <v>12</v>
      </c>
      <c r="I14" s="139">
        <f>VLOOKUP(A14,'Standard Deviations'!A1:C731,3,FALSE)</f>
        <v>2.4376092606347135</v>
      </c>
      <c r="J14" s="139">
        <f>I14-VLOOKUP(B$2,H1:J75,2,FALSE)</f>
        <v>0.73338020944442195</v>
      </c>
    </row>
    <row r="15" spans="1:10" ht="21.2" customHeight="1">
      <c r="A15" s="8" t="s">
        <v>241</v>
      </c>
      <c r="B15" s="110" t="str">
        <f>VLOOKUP(A15,'The List'!B1:D730,3,FALSE)</f>
        <v>G</v>
      </c>
      <c r="C15" s="146">
        <f>RANK(E15,E3:E75)</f>
        <v>13</v>
      </c>
      <c r="D15" s="34" t="str">
        <f>VLOOKUP(A15,'The List'!B1:F730,5,FALSE)</f>
        <v>STL</v>
      </c>
      <c r="E15" s="38">
        <f>VLOOKUP(A15,'The List'!B1:I730,8,FALSE)</f>
        <v>2.4214631416697765</v>
      </c>
      <c r="F15" s="38">
        <f>IF(Settings!$E$15="POINTS",E15-VLOOKUP(B$2,C1:E75,3,FALSE),J15)</f>
        <v>0.71723409047948494</v>
      </c>
      <c r="G15" s="38"/>
      <c r="H15" s="138">
        <f>RANK(I15,I3:I75)</f>
        <v>13</v>
      </c>
      <c r="I15" s="139">
        <f>VLOOKUP(A15,'Standard Deviations'!A1:C731,3,FALSE)</f>
        <v>2.4214631416697765</v>
      </c>
      <c r="J15" s="139">
        <f>I15-VLOOKUP(B$2,H1:J75,2,FALSE)</f>
        <v>0.71723409047948494</v>
      </c>
    </row>
    <row r="16" spans="1:10" ht="21.2" customHeight="1">
      <c r="A16" s="8" t="s">
        <v>249</v>
      </c>
      <c r="B16" s="110" t="str">
        <f>VLOOKUP(A16,'The List'!B1:D730,3,FALSE)</f>
        <v>G</v>
      </c>
      <c r="C16" s="146">
        <f>RANK(E16,E3:E75)</f>
        <v>14</v>
      </c>
      <c r="D16" s="34" t="str">
        <f>VLOOKUP(A16,'The List'!B1:F730,5,FALSE)</f>
        <v>VGK</v>
      </c>
      <c r="E16" s="38">
        <f>VLOOKUP(A16,'The List'!B1:I730,8,FALSE)</f>
        <v>2.2068464689607268</v>
      </c>
      <c r="F16" s="38">
        <f>IF(Settings!$E$15="POINTS",E16-VLOOKUP(B$2,C1:E75,3,FALSE),J16)</f>
        <v>0.50261741777043523</v>
      </c>
      <c r="G16" s="38"/>
      <c r="H16" s="138">
        <f>RANK(I16,I3:I75)</f>
        <v>14</v>
      </c>
      <c r="I16" s="139">
        <f>VLOOKUP(A16,'Standard Deviations'!A1:C731,3,FALSE)</f>
        <v>2.2068464689607268</v>
      </c>
      <c r="J16" s="139">
        <f>I16-VLOOKUP(B$2,H1:J75,2,FALSE)</f>
        <v>0.50261741777043523</v>
      </c>
    </row>
    <row r="17" spans="1:10" ht="21.2" customHeight="1">
      <c r="A17" s="8" t="s">
        <v>250</v>
      </c>
      <c r="B17" s="110" t="str">
        <f>VLOOKUP(A17,'The List'!B1:D730,3,FALSE)</f>
        <v>G</v>
      </c>
      <c r="C17" s="146">
        <f>RANK(E17,E3:E75)</f>
        <v>9</v>
      </c>
      <c r="D17" s="34" t="str">
        <f>VLOOKUP(A17,'The List'!B1:F730,5,FALSE)</f>
        <v>FLA</v>
      </c>
      <c r="E17" s="38">
        <f>VLOOKUP(A17,'The List'!B1:I730,8,FALSE)</f>
        <v>2.5823115211006948</v>
      </c>
      <c r="F17" s="38">
        <f>IF(Settings!$E$15="POINTS",E17-VLOOKUP(B$2,C1:E75,3,FALSE),J17)</f>
        <v>0.87808246991040328</v>
      </c>
      <c r="G17" s="38"/>
      <c r="H17" s="138">
        <f>RANK(I17,I3:I75)</f>
        <v>9</v>
      </c>
      <c r="I17" s="139">
        <f>VLOOKUP(A17,'Standard Deviations'!A1:C731,3,FALSE)</f>
        <v>2.5823115211006948</v>
      </c>
      <c r="J17" s="139">
        <f>I17-VLOOKUP(B$2,H1:J75,2,FALSE)</f>
        <v>0.87808246991040328</v>
      </c>
    </row>
    <row r="18" spans="1:10" ht="21.2" customHeight="1">
      <c r="A18" s="8" t="s">
        <v>252</v>
      </c>
      <c r="B18" s="110" t="str">
        <f>VLOOKUP(A18,'The List'!B1:D730,3,FALSE)</f>
        <v>G</v>
      </c>
      <c r="C18" s="146">
        <f>RANK(E18,E3:E75)</f>
        <v>17</v>
      </c>
      <c r="D18" s="34" t="str">
        <f>VLOOKUP(A18,'The List'!B1:F730,5,FALSE)</f>
        <v>WSH</v>
      </c>
      <c r="E18" s="38">
        <f>VLOOKUP(A18,'The List'!B1:I730,8,FALSE)</f>
        <v>1.7864887701213337</v>
      </c>
      <c r="F18" s="38">
        <f>IF(Settings!$E$15="POINTS",E18-VLOOKUP(B$2,C1:E75,3,FALSE),J18)</f>
        <v>8.2259718931042114E-2</v>
      </c>
      <c r="G18" s="38"/>
      <c r="H18" s="138">
        <f>RANK(I18,I3:I75)</f>
        <v>17</v>
      </c>
      <c r="I18" s="139">
        <f>VLOOKUP(A18,'Standard Deviations'!A1:C731,3,FALSE)</f>
        <v>1.7864887701213337</v>
      </c>
      <c r="J18" s="139">
        <f>I18-VLOOKUP(B$2,H1:J75,2,FALSE)</f>
        <v>8.2259718931042114E-2</v>
      </c>
    </row>
    <row r="19" spans="1:10" ht="21.2" customHeight="1">
      <c r="A19" s="8" t="s">
        <v>255</v>
      </c>
      <c r="B19" s="110" t="str">
        <f>VLOOKUP(A19,'The List'!B1:D730,3,FALSE)</f>
        <v>G</v>
      </c>
      <c r="C19" s="146">
        <f>RANK(E19,E3:E75)</f>
        <v>15</v>
      </c>
      <c r="D19" s="34" t="str">
        <f>VLOOKUP(A19,'The List'!B1:F730,5,FALSE)</f>
        <v>EDM</v>
      </c>
      <c r="E19" s="38">
        <f>VLOOKUP(A19,'The List'!B1:I730,8,FALSE)</f>
        <v>2.2002690990200922</v>
      </c>
      <c r="F19" s="38">
        <f>IF(Settings!$E$15="POINTS",E19-VLOOKUP(B$2,C1:E75,3,FALSE),J19)</f>
        <v>0.4960400478298006</v>
      </c>
      <c r="G19" s="38"/>
      <c r="H19" s="138">
        <f>RANK(I19,I3:I75)</f>
        <v>15</v>
      </c>
      <c r="I19" s="139">
        <f>VLOOKUP(A19,'Standard Deviations'!A1:C731,3,FALSE)</f>
        <v>2.2002690990200922</v>
      </c>
      <c r="J19" s="139">
        <f>I19-VLOOKUP(B$2,H1:J75,2,FALSE)</f>
        <v>0.4960400478298006</v>
      </c>
    </row>
    <row r="20" spans="1:10" ht="21.2" customHeight="1">
      <c r="A20" s="8" t="s">
        <v>265</v>
      </c>
      <c r="B20" s="110" t="str">
        <f>VLOOKUP(A20,'The List'!B1:D730,3,FALSE)</f>
        <v>G</v>
      </c>
      <c r="C20" s="146">
        <f>RANK(E20,E3:E75)</f>
        <v>19</v>
      </c>
      <c r="D20" s="34" t="str">
        <f>VLOOKUP(A20,'The List'!B1:F730,5,FALSE)</f>
        <v>BOS</v>
      </c>
      <c r="E20" s="38">
        <f>VLOOKUP(A20,'The List'!B1:I730,8,FALSE)</f>
        <v>1.5914839465715365</v>
      </c>
      <c r="F20" s="38">
        <f>IF(Settings!$E$15="POINTS",E20-VLOOKUP(B$2,C1:E75,3,FALSE),J20)</f>
        <v>-0.11274510461875509</v>
      </c>
      <c r="G20" s="38"/>
      <c r="H20" s="138">
        <f>RANK(I20,I3:I75)</f>
        <v>19</v>
      </c>
      <c r="I20" s="139">
        <f>VLOOKUP(A20,'Standard Deviations'!A1:C731,3,FALSE)</f>
        <v>1.5914839465715365</v>
      </c>
      <c r="J20" s="139">
        <f>I20-VLOOKUP(B$2,H1:J75,2,FALSE)</f>
        <v>-0.11274510461875509</v>
      </c>
    </row>
    <row r="21" spans="1:10" ht="21.2" customHeight="1">
      <c r="A21" s="8" t="s">
        <v>282</v>
      </c>
      <c r="B21" s="110" t="str">
        <f>VLOOKUP(A21,'The List'!B1:D730,3,FALSE)</f>
        <v>G</v>
      </c>
      <c r="C21" s="146">
        <f>RANK(E21,E3:E75)</f>
        <v>24</v>
      </c>
      <c r="D21" s="34" t="str">
        <f>VLOOKUP(A21,'The List'!B1:F730,5,FALSE)</f>
        <v>TBL</v>
      </c>
      <c r="E21" s="38">
        <f>VLOOKUP(A21,'The List'!B1:I730,8,FALSE)</f>
        <v>1.2580547883083208</v>
      </c>
      <c r="F21" s="38">
        <f>IF(Settings!$E$15="POINTS",E21-VLOOKUP(B$2,C1:E75,3,FALSE),J21)</f>
        <v>-0.44617426288197071</v>
      </c>
      <c r="G21" s="38"/>
      <c r="H21" s="138">
        <f>RANK(I21,I3:I75)</f>
        <v>24</v>
      </c>
      <c r="I21" s="139">
        <f>VLOOKUP(A21,'Standard Deviations'!A1:C731,3,FALSE)</f>
        <v>1.2580547883083208</v>
      </c>
      <c r="J21" s="139">
        <f>I21-VLOOKUP(B$2,H1:J75,2,FALSE)</f>
        <v>-0.44617426288197071</v>
      </c>
    </row>
    <row r="22" spans="1:10" ht="21.2" customHeight="1">
      <c r="A22" s="8" t="s">
        <v>287</v>
      </c>
      <c r="B22" s="110" t="str">
        <f>VLOOKUP(A22,'The List'!B1:D730,3,FALSE)</f>
        <v>G</v>
      </c>
      <c r="C22" s="146">
        <f>RANK(E22,E3:E75)</f>
        <v>22</v>
      </c>
      <c r="D22" s="34" t="str">
        <f>VLOOKUP(A22,'The List'!B1:F730,5,FALSE)</f>
        <v>CBJ</v>
      </c>
      <c r="E22" s="38">
        <f>VLOOKUP(A22,'The List'!B1:I730,8,FALSE)</f>
        <v>1.3881040847469317</v>
      </c>
      <c r="F22" s="38">
        <f>IF(Settings!$E$15="POINTS",E22-VLOOKUP(B$2,C1:E75,3,FALSE),J22)</f>
        <v>-0.31612496644335986</v>
      </c>
      <c r="G22" s="38"/>
      <c r="H22" s="138">
        <f>RANK(I22,I3:I75)</f>
        <v>22</v>
      </c>
      <c r="I22" s="139">
        <f>VLOOKUP(A22,'Standard Deviations'!A1:C731,3,FALSE)</f>
        <v>1.3881040847469317</v>
      </c>
      <c r="J22" s="139">
        <f>I22-VLOOKUP(B$2,H1:J75,2,FALSE)</f>
        <v>-0.31612496644335986</v>
      </c>
    </row>
    <row r="23" spans="1:10" ht="21.2" customHeight="1">
      <c r="A23" s="8" t="s">
        <v>292</v>
      </c>
      <c r="B23" s="110" t="str">
        <f>VLOOKUP(A23,'The List'!B1:D730,3,FALSE)</f>
        <v>G</v>
      </c>
      <c r="C23" s="146">
        <f>RANK(E23,E3:E75)</f>
        <v>18</v>
      </c>
      <c r="D23" s="34" t="str">
        <f>VLOOKUP(A23,'The List'!B1:F730,5,FALSE)</f>
        <v>NJD</v>
      </c>
      <c r="E23" s="38">
        <f>VLOOKUP(A23,'The List'!B1:I730,8,FALSE)</f>
        <v>1.7042290511902916</v>
      </c>
      <c r="F23" s="38">
        <f>IF(Settings!$E$15="POINTS",E23-VLOOKUP(B$2,C1:E75,3,FALSE),J23)</f>
        <v>0</v>
      </c>
      <c r="G23" s="38"/>
      <c r="H23" s="138">
        <f>RANK(I23,I3:I75)</f>
        <v>18</v>
      </c>
      <c r="I23" s="139">
        <f>VLOOKUP(A23,'Standard Deviations'!A1:C731,3,FALSE)</f>
        <v>1.7042290511902916</v>
      </c>
      <c r="J23" s="139">
        <f>I23-VLOOKUP(B$2,H1:J75,2,FALSE)</f>
        <v>0</v>
      </c>
    </row>
    <row r="24" spans="1:10" ht="21.2" customHeight="1">
      <c r="A24" s="8" t="s">
        <v>305</v>
      </c>
      <c r="B24" s="110" t="str">
        <f>VLOOKUP(A24,'The List'!B1:D730,3,FALSE)</f>
        <v>G</v>
      </c>
      <c r="C24" s="146">
        <f>RANK(E24,E3:E75)</f>
        <v>20</v>
      </c>
      <c r="D24" s="34" t="str">
        <f>VLOOKUP(A24,'The List'!B1:F730,5,FALSE)</f>
        <v>BUF</v>
      </c>
      <c r="E24" s="38">
        <f>VLOOKUP(A24,'The List'!B1:I730,8,FALSE)</f>
        <v>1.5123765898805908</v>
      </c>
      <c r="F24" s="38">
        <f>IF(Settings!$E$15="POINTS",E24-VLOOKUP(B$2,C1:E75,3,FALSE),J24)</f>
        <v>-0.19185246130970079</v>
      </c>
      <c r="G24" s="38"/>
      <c r="H24" s="138">
        <f>RANK(I24,I3:I75)</f>
        <v>20</v>
      </c>
      <c r="I24" s="139">
        <f>VLOOKUP(A24,'Standard Deviations'!A1:C731,3,FALSE)</f>
        <v>1.5123765898805908</v>
      </c>
      <c r="J24" s="139">
        <f>I24-VLOOKUP(B$2,H1:J75,2,FALSE)</f>
        <v>-0.19185246130970079</v>
      </c>
    </row>
    <row r="25" spans="1:10" ht="21.2" customHeight="1">
      <c r="A25" s="8" t="s">
        <v>310</v>
      </c>
      <c r="B25" s="110" t="str">
        <f>VLOOKUP(A25,'The List'!B1:D730,3,FALSE)</f>
        <v>G</v>
      </c>
      <c r="C25" s="146">
        <f>RANK(E25,E3:E75)</f>
        <v>26</v>
      </c>
      <c r="D25" s="34" t="str">
        <f>VLOOKUP(A25,'The List'!B1:F730,5,FALSE)</f>
        <v>PHI</v>
      </c>
      <c r="E25" s="38">
        <f>VLOOKUP(A25,'The List'!B1:I730,8,FALSE)</f>
        <v>0.96537791431035502</v>
      </c>
      <c r="F25" s="38">
        <f>IF(Settings!$E$15="POINTS",E25-VLOOKUP(B$2,C1:E75,3,FALSE),J25)</f>
        <v>-0.73885113687993653</v>
      </c>
      <c r="G25" s="38"/>
      <c r="H25" s="138">
        <f>RANK(I25,I3:I75)</f>
        <v>26</v>
      </c>
      <c r="I25" s="139">
        <f>VLOOKUP(A25,'Standard Deviations'!A1:C731,3,FALSE)</f>
        <v>0.96537791431035502</v>
      </c>
      <c r="J25" s="139">
        <f>I25-VLOOKUP(B$2,H1:J75,2,FALSE)</f>
        <v>-0.73885113687993653</v>
      </c>
    </row>
    <row r="26" spans="1:10" ht="21.2" customHeight="1">
      <c r="A26" s="8" t="s">
        <v>355</v>
      </c>
      <c r="B26" s="110" t="str">
        <f>VLOOKUP(A26,'The List'!B1:D730,3,FALSE)</f>
        <v>G</v>
      </c>
      <c r="C26" s="146">
        <f>RANK(E26,E3:E75)</f>
        <v>21</v>
      </c>
      <c r="D26" s="34" t="str">
        <f>VLOOKUP(A26,'The List'!B1:F730,5,FALSE)</f>
        <v>SEA</v>
      </c>
      <c r="E26" s="38">
        <f>VLOOKUP(A26,'The List'!B1:I730,8,FALSE)</f>
        <v>1.4298859441628888</v>
      </c>
      <c r="F26" s="38">
        <f>IF(Settings!$E$15="POINTS",E26-VLOOKUP(B$2,C1:E75,3,FALSE),J26)</f>
        <v>-0.27434310702740272</v>
      </c>
      <c r="G26" s="38"/>
      <c r="H26" s="138">
        <f>RANK(I26,I3:I75)</f>
        <v>21</v>
      </c>
      <c r="I26" s="139">
        <f>VLOOKUP(A26,'Standard Deviations'!A1:C731,3,FALSE)</f>
        <v>1.4298859441628888</v>
      </c>
      <c r="J26" s="139">
        <f>I26-VLOOKUP(B$2,H1:J75,2,FALSE)</f>
        <v>-0.27434310702740272</v>
      </c>
    </row>
    <row r="27" spans="1:10" ht="21.2" customHeight="1">
      <c r="A27" s="8" t="s">
        <v>361</v>
      </c>
      <c r="B27" s="110" t="str">
        <f>VLOOKUP(A27,'The List'!B1:D730,3,FALSE)</f>
        <v>G</v>
      </c>
      <c r="C27" s="146">
        <f>RANK(E27,E3:E75)</f>
        <v>25</v>
      </c>
      <c r="D27" s="34" t="str">
        <f>VLOOKUP(A27,'The List'!B1:F730,5,FALSE)</f>
        <v>OTT</v>
      </c>
      <c r="E27" s="38">
        <f>VLOOKUP(A27,'The List'!B1:I730,8,FALSE)</f>
        <v>1.1937284377781698</v>
      </c>
      <c r="F27" s="38">
        <f>IF(Settings!$E$15="POINTS",E27-VLOOKUP(B$2,C1:E75,3,FALSE),J27)</f>
        <v>-0.51050061341212172</v>
      </c>
      <c r="G27" s="38"/>
      <c r="H27" s="138">
        <f>RANK(I27,I3:I75)</f>
        <v>25</v>
      </c>
      <c r="I27" s="139">
        <f>VLOOKUP(A27,'Standard Deviations'!A1:C731,3,FALSE)</f>
        <v>1.1937284377781698</v>
      </c>
      <c r="J27" s="139">
        <f>I27-VLOOKUP(B$2,H1:J75,2,FALSE)</f>
        <v>-0.51050061341212172</v>
      </c>
    </row>
    <row r="28" spans="1:10" ht="21.2" customHeight="1">
      <c r="A28" s="8" t="s">
        <v>371</v>
      </c>
      <c r="B28" s="110" t="str">
        <f>VLOOKUP(A28,'The List'!B1:D730,3,FALSE)</f>
        <v>G</v>
      </c>
      <c r="C28" s="146">
        <f>RANK(E28,E3:E75)</f>
        <v>28</v>
      </c>
      <c r="D28" s="34" t="str">
        <f>VLOOKUP(A28,'The List'!B1:F730,5,FALSE)</f>
        <v>DET</v>
      </c>
      <c r="E28" s="38">
        <f>VLOOKUP(A28,'The List'!B1:I730,8,FALSE)</f>
        <v>0.85955570804788051</v>
      </c>
      <c r="F28" s="38">
        <f>IF(Settings!$E$15="POINTS",E28-VLOOKUP(B$2,C1:E75,3,FALSE),J28)</f>
        <v>-0.84467334314241105</v>
      </c>
      <c r="G28" s="38"/>
      <c r="H28" s="138">
        <f>RANK(I28,I3:I75)</f>
        <v>28</v>
      </c>
      <c r="I28" s="139">
        <f>VLOOKUP(A28,'Standard Deviations'!A1:C731,3,FALSE)</f>
        <v>0.85955570804788051</v>
      </c>
      <c r="J28" s="139">
        <f>I28-VLOOKUP(B$2,H1:J75,2,FALSE)</f>
        <v>-0.84467334314241105</v>
      </c>
    </row>
    <row r="29" spans="1:10" ht="21.2" customHeight="1">
      <c r="A29" s="8" t="s">
        <v>373</v>
      </c>
      <c r="B29" s="110" t="str">
        <f>VLOOKUP(A29,'The List'!B1:D730,3,FALSE)</f>
        <v>G</v>
      </c>
      <c r="C29" s="146">
        <f>RANK(E29,E3:E75)</f>
        <v>23</v>
      </c>
      <c r="D29" s="34" t="str">
        <f>VLOOKUP(A29,'The List'!B1:F730,5,FALSE)</f>
        <v>CAR</v>
      </c>
      <c r="E29" s="38">
        <f>VLOOKUP(A29,'The List'!B1:I730,8,FALSE)</f>
        <v>1.2585302140310204</v>
      </c>
      <c r="F29" s="38">
        <f>IF(Settings!$E$15="POINTS",E29-VLOOKUP(B$2,C1:E75,3,FALSE),J29)</f>
        <v>-0.44569883715927117</v>
      </c>
      <c r="G29" s="38"/>
      <c r="H29" s="138">
        <f>RANK(I29,I3:I75)</f>
        <v>23</v>
      </c>
      <c r="I29" s="139">
        <f>VLOOKUP(A29,'Standard Deviations'!A1:C731,3,FALSE)</f>
        <v>1.2585302140310204</v>
      </c>
      <c r="J29" s="139">
        <f>I29-VLOOKUP(B$2,H1:J75,2,FALSE)</f>
        <v>-0.44569883715927117</v>
      </c>
    </row>
    <row r="30" spans="1:10" ht="21.2" customHeight="1">
      <c r="A30" s="8" t="s">
        <v>408</v>
      </c>
      <c r="B30" s="110" t="str">
        <f>VLOOKUP(A30,'The List'!B1:D730,3,FALSE)</f>
        <v>G</v>
      </c>
      <c r="C30" s="146">
        <f>RANK(E30,E3:E75)</f>
        <v>29</v>
      </c>
      <c r="D30" s="34" t="str">
        <f>VLOOKUP(A30,'The List'!B1:F730,5,FALSE)</f>
        <v>ARI</v>
      </c>
      <c r="E30" s="38">
        <f>VLOOKUP(A30,'The List'!B1:I730,8,FALSE)</f>
        <v>0.58644566356808481</v>
      </c>
      <c r="F30" s="38">
        <f>IF(Settings!$E$15="POINTS",E30-VLOOKUP(B$2,C1:E75,3,FALSE),J30)</f>
        <v>-1.1177833876222067</v>
      </c>
      <c r="G30" s="38"/>
      <c r="H30" s="138">
        <f>RANK(I30,I3:I75)</f>
        <v>29</v>
      </c>
      <c r="I30" s="139">
        <f>VLOOKUP(A30,'Standard Deviations'!A1:C731,3,FALSE)</f>
        <v>0.58644566356808481</v>
      </c>
      <c r="J30" s="139">
        <f>I30-VLOOKUP(B$2,H1:J75,2,FALSE)</f>
        <v>-1.1177833876222067</v>
      </c>
    </row>
    <row r="31" spans="1:10" ht="21.2" customHeight="1">
      <c r="A31" s="8" t="s">
        <v>418</v>
      </c>
      <c r="B31" s="110" t="str">
        <f>VLOOKUP(A31,'The List'!B1:D730,3,FALSE)</f>
        <v>G</v>
      </c>
      <c r="C31" s="146">
        <f>RANK(E31,E3:E75)</f>
        <v>27</v>
      </c>
      <c r="D31" s="34" t="str">
        <f>VLOOKUP(A31,'The List'!B1:F730,5,FALSE)</f>
        <v>LAK</v>
      </c>
      <c r="E31" s="38">
        <f>VLOOKUP(A31,'The List'!B1:I730,8,FALSE)</f>
        <v>0.95091834096043959</v>
      </c>
      <c r="F31" s="38">
        <f>IF(Settings!$E$15="POINTS",E31-VLOOKUP(B$2,C1:E75,3,FALSE),J31)</f>
        <v>-0.75331071022985197</v>
      </c>
      <c r="G31" s="38"/>
      <c r="H31" s="138">
        <f>RANK(I31,I3:I75)</f>
        <v>27</v>
      </c>
      <c r="I31" s="139">
        <f>VLOOKUP(A31,'Standard Deviations'!A1:C731,3,FALSE)</f>
        <v>0.95091834096043959</v>
      </c>
      <c r="J31" s="139">
        <f>I31-VLOOKUP(B$2,H1:J75,2,FALSE)</f>
        <v>-0.75331071022985197</v>
      </c>
    </row>
    <row r="32" spans="1:10" ht="21.2" customHeight="1">
      <c r="A32" s="8" t="s">
        <v>422</v>
      </c>
      <c r="B32" s="110" t="str">
        <f>VLOOKUP(A32,'The List'!B1:D730,3,FALSE)</f>
        <v>G</v>
      </c>
      <c r="C32" s="146">
        <f>RANK(E32,E3:E75)</f>
        <v>30</v>
      </c>
      <c r="D32" s="34" t="str">
        <f>VLOOKUP(A32,'The List'!B1:F730,5,FALSE)</f>
        <v>BOS</v>
      </c>
      <c r="E32" s="38">
        <f>VLOOKUP(A32,'The List'!B1:I730,8,FALSE)</f>
        <v>0.47195335007228612</v>
      </c>
      <c r="F32" s="38">
        <f>IF(Settings!$E$15="POINTS",E32-VLOOKUP(B$2,C1:E75,3,FALSE),J32)</f>
        <v>-1.2322757011180054</v>
      </c>
      <c r="G32" s="38"/>
      <c r="H32" s="138">
        <f>RANK(I32,I3:I75)</f>
        <v>30</v>
      </c>
      <c r="I32" s="139">
        <f>VLOOKUP(A32,'Standard Deviations'!A1:C731,3,FALSE)</f>
        <v>0.47195335007228612</v>
      </c>
      <c r="J32" s="139">
        <f>I32-VLOOKUP(B$2,H1:J75,2,FALSE)</f>
        <v>-1.2322757011180054</v>
      </c>
    </row>
    <row r="33" spans="1:10" ht="21.2" customHeight="1">
      <c r="A33" s="8" t="s">
        <v>447</v>
      </c>
      <c r="B33" s="110" t="str">
        <f>VLOOKUP(A33,'The List'!B1:D730,3,FALSE)</f>
        <v>G</v>
      </c>
      <c r="C33" s="146">
        <f>RANK(E33,E3:E75)</f>
        <v>31</v>
      </c>
      <c r="D33" s="34" t="str">
        <f>VLOOKUP(A33,'The List'!B1:F730,5,FALSE)</f>
        <v>SJS</v>
      </c>
      <c r="E33" s="38">
        <f>VLOOKUP(A33,'The List'!B1:I730,8,FALSE)</f>
        <v>0.37987244605328713</v>
      </c>
      <c r="F33" s="38">
        <f>IF(Settings!$E$15="POINTS",E33-VLOOKUP(B$2,C1:E75,3,FALSE),J33)</f>
        <v>-1.3243566051370044</v>
      </c>
      <c r="G33" s="38"/>
      <c r="H33" s="138">
        <f>RANK(I33,I3:I75)</f>
        <v>31</v>
      </c>
      <c r="I33" s="139">
        <f>VLOOKUP(A33,'Standard Deviations'!A1:C731,3,FALSE)</f>
        <v>0.37987244605328713</v>
      </c>
      <c r="J33" s="139">
        <f>I33-VLOOKUP(B$2,H1:J75,2,FALSE)</f>
        <v>-1.3243566051370044</v>
      </c>
    </row>
    <row r="34" spans="1:10" ht="21.2" customHeight="1">
      <c r="A34" s="8" t="s">
        <v>543</v>
      </c>
      <c r="B34" s="110" t="str">
        <f>VLOOKUP(A34,'The List'!B1:D730,3,FALSE)</f>
        <v>G</v>
      </c>
      <c r="C34" s="146">
        <f>RANK(E34,E3:E75)</f>
        <v>33</v>
      </c>
      <c r="D34" s="34" t="str">
        <f>VLOOKUP(A34,'The List'!B1:F730,5,FALSE)</f>
        <v>OTT</v>
      </c>
      <c r="E34" s="38">
        <f>VLOOKUP(A34,'The List'!B1:I730,8,FALSE)</f>
        <v>1.4582879375380865E-2</v>
      </c>
      <c r="F34" s="38">
        <f>IF(Settings!$E$15="POINTS",E34-VLOOKUP(B$2,C1:E75,3,FALSE),J34)</f>
        <v>-1.6896461718149107</v>
      </c>
      <c r="G34" s="38"/>
      <c r="H34" s="138">
        <f>RANK(I34,I3:I75)</f>
        <v>33</v>
      </c>
      <c r="I34" s="139">
        <f>VLOOKUP(A34,'Standard Deviations'!A1:C731,3,FALSE)</f>
        <v>1.4582879375380865E-2</v>
      </c>
      <c r="J34" s="139">
        <f>I34-VLOOKUP(B$2,H1:J75,2,FALSE)</f>
        <v>-1.6896461718149107</v>
      </c>
    </row>
    <row r="35" spans="1:10" ht="21.2" customHeight="1">
      <c r="A35" s="8" t="s">
        <v>551</v>
      </c>
      <c r="B35" s="110" t="str">
        <f>VLOOKUP(A35,'The List'!B1:D730,3,FALSE)</f>
        <v>G</v>
      </c>
      <c r="C35" s="146">
        <f>RANK(E35,E3:E75)</f>
        <v>37</v>
      </c>
      <c r="D35" s="34" t="str">
        <f>VLOOKUP(A35,'The List'!B1:F730,5,FALSE)</f>
        <v>VGK</v>
      </c>
      <c r="E35" s="38">
        <f>VLOOKUP(A35,'The List'!B1:I730,8,FALSE)</f>
        <v>-6.2093884206538552E-2</v>
      </c>
      <c r="F35" s="38">
        <f>IF(Settings!$E$15="POINTS",E35-VLOOKUP(B$2,C1:E75,3,FALSE),J35)</f>
        <v>-1.7663229353968302</v>
      </c>
      <c r="G35" s="38"/>
      <c r="H35" s="138">
        <f>RANK(I35,I3:I75)</f>
        <v>37</v>
      </c>
      <c r="I35" s="139">
        <f>VLOOKUP(A35,'Standard Deviations'!A1:C731,3,FALSE)</f>
        <v>-6.2093884206538552E-2</v>
      </c>
      <c r="J35" s="139">
        <f>I35-VLOOKUP(B$2,H1:J75,2,FALSE)</f>
        <v>-1.7663229353968302</v>
      </c>
    </row>
    <row r="36" spans="1:10" ht="21.2" customHeight="1">
      <c r="A36" s="8" t="s">
        <v>559</v>
      </c>
      <c r="B36" s="110" t="str">
        <f>VLOOKUP(A36,'The List'!B1:D730,3,FALSE)</f>
        <v>G</v>
      </c>
      <c r="C36" s="146">
        <f>RANK(E36,E3:E75)</f>
        <v>38</v>
      </c>
      <c r="D36" s="34" t="str">
        <f>VLOOKUP(A36,'The List'!B1:F730,5,FALSE)</f>
        <v>ARI</v>
      </c>
      <c r="E36" s="38">
        <f>VLOOKUP(A36,'The List'!B1:I730,8,FALSE)</f>
        <v>-0.1927368628169206</v>
      </c>
      <c r="F36" s="38">
        <f>IF(Settings!$E$15="POINTS",E36-VLOOKUP(B$2,C1:E75,3,FALSE),J36)</f>
        <v>-1.8969659140072122</v>
      </c>
      <c r="G36" s="38"/>
      <c r="H36" s="138">
        <f>RANK(I36,I3:I75)</f>
        <v>38</v>
      </c>
      <c r="I36" s="139">
        <f>VLOOKUP(A36,'Standard Deviations'!A1:C731,3,FALSE)</f>
        <v>-0.1927368628169206</v>
      </c>
      <c r="J36" s="139">
        <f>I36-VLOOKUP(B$2,H1:J75,2,FALSE)</f>
        <v>-1.8969659140072122</v>
      </c>
    </row>
    <row r="37" spans="1:10" ht="21.2" customHeight="1">
      <c r="A37" s="8" t="s">
        <v>573</v>
      </c>
      <c r="B37" s="110" t="str">
        <f>VLOOKUP(A37,'The List'!B1:D730,3,FALSE)</f>
        <v>G</v>
      </c>
      <c r="C37" s="146">
        <f>RANK(E37,E3:E75)</f>
        <v>40</v>
      </c>
      <c r="D37" s="34" t="str">
        <f>VLOOKUP(A37,'The List'!B1:F730,5,FALSE)</f>
        <v>CHI</v>
      </c>
      <c r="E37" s="38">
        <f>VLOOKUP(A37,'The List'!B1:I730,8,FALSE)</f>
        <v>-0.27236448623648168</v>
      </c>
      <c r="F37" s="38">
        <f>IF(Settings!$E$15="POINTS",E37-VLOOKUP(B$2,C1:E75,3,FALSE),J37)</f>
        <v>-1.9765935374267731</v>
      </c>
      <c r="G37" s="38"/>
      <c r="H37" s="138">
        <f>RANK(I37,I3:I75)</f>
        <v>40</v>
      </c>
      <c r="I37" s="139">
        <f>VLOOKUP(A37,'Standard Deviations'!A1:C731,3,FALSE)</f>
        <v>-0.27236448623648168</v>
      </c>
      <c r="J37" s="139">
        <f>I37-VLOOKUP(B$2,H1:J75,2,FALSE)</f>
        <v>-1.9765935374267731</v>
      </c>
    </row>
    <row r="38" spans="1:10" ht="21.2" customHeight="1">
      <c r="A38" s="8" t="s">
        <v>574</v>
      </c>
      <c r="B38" s="110" t="str">
        <f>VLOOKUP(A38,'The List'!B1:D730,3,FALSE)</f>
        <v>G</v>
      </c>
      <c r="C38" s="146">
        <f>RANK(E38,E3:E75)</f>
        <v>34</v>
      </c>
      <c r="D38" s="34" t="str">
        <f>VLOOKUP(A38,'The List'!B1:F730,5,FALSE)</f>
        <v>NJD</v>
      </c>
      <c r="E38" s="38">
        <f>VLOOKUP(A38,'The List'!B1:I730,8,FALSE)</f>
        <v>-2.8274475598769916E-2</v>
      </c>
      <c r="F38" s="38">
        <f>IF(Settings!$E$15="POINTS",E38-VLOOKUP(B$2,C1:E75,3,FALSE),J38)</f>
        <v>-1.7325035267890614</v>
      </c>
      <c r="G38" s="38"/>
      <c r="H38" s="138">
        <f>RANK(I38,I3:I75)</f>
        <v>34</v>
      </c>
      <c r="I38" s="139">
        <f>VLOOKUP(A38,'Standard Deviations'!A1:C731,3,FALSE)</f>
        <v>-2.8274475598769916E-2</v>
      </c>
      <c r="J38" s="139">
        <f>I38-VLOOKUP(B$2,H1:J75,2,FALSE)</f>
        <v>-1.7325035267890614</v>
      </c>
    </row>
    <row r="39" spans="1:10" ht="21.2" customHeight="1">
      <c r="A39" s="8" t="s">
        <v>597</v>
      </c>
      <c r="B39" s="110" t="str">
        <f>VLOOKUP(A39,'The List'!B1:D730,3,FALSE)</f>
        <v>G</v>
      </c>
      <c r="C39" s="146">
        <f>RANK(E39,E3:E75)</f>
        <v>39</v>
      </c>
      <c r="D39" s="34" t="str">
        <f>VLOOKUP(A39,'The List'!B1:F730,5,FALSE)</f>
        <v>CHI</v>
      </c>
      <c r="E39" s="38">
        <f>VLOOKUP(A39,'The List'!B1:I730,8,FALSE)</f>
        <v>-0.25062864997033252</v>
      </c>
      <c r="F39" s="38">
        <f>IF(Settings!$E$15="POINTS",E39-VLOOKUP(B$2,C1:E75,3,FALSE),J39)</f>
        <v>-1.9548577011606241</v>
      </c>
      <c r="G39" s="38"/>
      <c r="H39" s="138">
        <f>RANK(I39,I3:I75)</f>
        <v>39</v>
      </c>
      <c r="I39" s="139">
        <f>VLOOKUP(A39,'Standard Deviations'!A1:C731,3,FALSE)</f>
        <v>-0.25062864997033252</v>
      </c>
      <c r="J39" s="139">
        <f>I39-VLOOKUP(B$2,H1:J75,2,FALSE)</f>
        <v>-1.9548577011606241</v>
      </c>
    </row>
    <row r="40" spans="1:10" ht="21.2" customHeight="1">
      <c r="A40" s="8" t="s">
        <v>599</v>
      </c>
      <c r="B40" s="110" t="str">
        <f>VLOOKUP(A40,'The List'!B1:D730,3,FALSE)</f>
        <v>G</v>
      </c>
      <c r="C40" s="146">
        <f>RANK(E40,E3:E75)</f>
        <v>35</v>
      </c>
      <c r="D40" s="34" t="str">
        <f>VLOOKUP(A40,'The List'!B1:F730,5,FALSE)</f>
        <v>EDM</v>
      </c>
      <c r="E40" s="38">
        <f>VLOOKUP(A40,'The List'!B1:I730,8,FALSE)</f>
        <v>-3.1772936826700987E-2</v>
      </c>
      <c r="F40" s="38">
        <f>IF(Settings!$E$15="POINTS",E40-VLOOKUP(B$2,C1:E75,3,FALSE),J40)</f>
        <v>-1.7360019880169926</v>
      </c>
      <c r="G40" s="38"/>
      <c r="H40" s="138">
        <f>RANK(I40,I3:I75)</f>
        <v>35</v>
      </c>
      <c r="I40" s="139">
        <f>VLOOKUP(A40,'Standard Deviations'!A1:C731,3,FALSE)</f>
        <v>-3.1772936826700987E-2</v>
      </c>
      <c r="J40" s="139">
        <f>I40-VLOOKUP(B$2,H1:J75,2,FALSE)</f>
        <v>-1.7360019880169926</v>
      </c>
    </row>
    <row r="41" spans="1:10" ht="21.2" customHeight="1">
      <c r="A41" s="8" t="s">
        <v>601</v>
      </c>
      <c r="B41" s="110" t="str">
        <f>VLOOKUP(A41,'The List'!B1:D730,3,FALSE)</f>
        <v>G</v>
      </c>
      <c r="C41" s="146">
        <f>RANK(E41,E3:E75)</f>
        <v>41</v>
      </c>
      <c r="D41" s="34" t="str">
        <f>VLOOKUP(A41,'The List'!B1:F730,5,FALSE)</f>
        <v>MTL</v>
      </c>
      <c r="E41" s="38">
        <f>VLOOKUP(A41,'The List'!B1:I730,8,FALSE)</f>
        <v>-0.32484780751655629</v>
      </c>
      <c r="F41" s="38">
        <f>IF(Settings!$E$15="POINTS",E41-VLOOKUP(B$2,C1:E75,3,FALSE),J41)</f>
        <v>-2.0290768587068477</v>
      </c>
      <c r="G41" s="38"/>
      <c r="H41" s="138">
        <f>RANK(I41,I3:I75)</f>
        <v>41</v>
      </c>
      <c r="I41" s="139">
        <f>VLOOKUP(A41,'Standard Deviations'!A1:C731,3,FALSE)</f>
        <v>-0.32484780751655629</v>
      </c>
      <c r="J41" s="139">
        <f>I41-VLOOKUP(B$2,H1:J75,2,FALSE)</f>
        <v>-2.0290768587068477</v>
      </c>
    </row>
    <row r="42" spans="1:10" ht="21.2" customHeight="1">
      <c r="A42" s="8" t="s">
        <v>607</v>
      </c>
      <c r="B42" s="110" t="str">
        <f>VLOOKUP(A42,'The List'!B1:D730,3,FALSE)</f>
        <v>G</v>
      </c>
      <c r="C42" s="146">
        <f>RANK(E42,E3:E75)</f>
        <v>32</v>
      </c>
      <c r="D42" s="34" t="str">
        <f>VLOOKUP(A42,'The List'!B1:F730,5,FALSE)</f>
        <v>TBL</v>
      </c>
      <c r="E42" s="38">
        <f>VLOOKUP(A42,'The List'!B1:I730,8,FALSE)</f>
        <v>0.11854065839805565</v>
      </c>
      <c r="F42" s="38">
        <f>IF(Settings!$E$15="POINTS",E42-VLOOKUP(B$2,C1:E75,3,FALSE),J42)</f>
        <v>-1.5856883927922358</v>
      </c>
      <c r="G42" s="38"/>
      <c r="H42" s="138">
        <f>RANK(I42,I3:I75)</f>
        <v>32</v>
      </c>
      <c r="I42" s="139">
        <f>VLOOKUP(A42,'Standard Deviations'!A1:C731,3,FALSE)</f>
        <v>0.11854065839805565</v>
      </c>
      <c r="J42" s="139">
        <f>I42-VLOOKUP(B$2,H1:J75,2,FALSE)</f>
        <v>-1.5856883927922358</v>
      </c>
    </row>
    <row r="43" spans="1:10" ht="21.2" customHeight="1">
      <c r="A43" s="8" t="s">
        <v>642</v>
      </c>
      <c r="B43" s="110" t="str">
        <f>VLOOKUP(A43,'The List'!B1:D730,3,FALSE)</f>
        <v>G</v>
      </c>
      <c r="C43" s="146">
        <f>RANK(E43,E3:E75)</f>
        <v>36</v>
      </c>
      <c r="D43" s="34" t="str">
        <f>VLOOKUP(A43,'The List'!B1:F730,5,FALSE)</f>
        <v>LAK</v>
      </c>
      <c r="E43" s="38">
        <f>VLOOKUP(A43,'The List'!B1:I730,8,FALSE)</f>
        <v>-5.505161092317274E-2</v>
      </c>
      <c r="F43" s="38">
        <f>IF(Settings!$E$15="POINTS",E43-VLOOKUP(B$2,C1:E75,3,FALSE),J43)</f>
        <v>-1.7592806621134642</v>
      </c>
      <c r="G43" s="38"/>
      <c r="H43" s="138">
        <f>RANK(I43,I3:I75)</f>
        <v>36</v>
      </c>
      <c r="I43" s="139">
        <f>VLOOKUP(A43,'Standard Deviations'!A1:C731,3,FALSE)</f>
        <v>-5.505161092317274E-2</v>
      </c>
      <c r="J43" s="139">
        <f>I43-VLOOKUP(B$2,H1:J75,2,FALSE)</f>
        <v>-1.7592806621134642</v>
      </c>
    </row>
    <row r="44" spans="1:10" ht="21.2" customHeight="1">
      <c r="A44" s="8" t="s">
        <v>653</v>
      </c>
      <c r="B44" s="110" t="str">
        <f>VLOOKUP(A44,'The List'!B1:D730,3,FALSE)</f>
        <v>G</v>
      </c>
      <c r="C44" s="146">
        <f>RANK(E44,E3:E75)</f>
        <v>43</v>
      </c>
      <c r="D44" s="34" t="str">
        <f>VLOOKUP(A44,'The List'!B1:F730,5,FALSE)</f>
        <v>MTL</v>
      </c>
      <c r="E44" s="38">
        <f>VLOOKUP(A44,'The List'!B1:I730,8,FALSE)</f>
        <v>-0.73746056706204621</v>
      </c>
      <c r="F44" s="38">
        <f>IF(Settings!$E$15="POINTS",E44-VLOOKUP(B$2,C1:E75,3,FALSE),J44)</f>
        <v>-2.4416896182523375</v>
      </c>
      <c r="G44" s="38"/>
      <c r="H44" s="138">
        <f>RANK(I44,I3:I75)</f>
        <v>43</v>
      </c>
      <c r="I44" s="139">
        <f>VLOOKUP(A44,'Standard Deviations'!A1:C731,3,FALSE)</f>
        <v>-0.73746056706204621</v>
      </c>
      <c r="J44" s="139">
        <f>I44-VLOOKUP(B$2,H1:J75,2,FALSE)</f>
        <v>-2.4416896182523375</v>
      </c>
    </row>
    <row r="45" spans="1:10" ht="21.2" customHeight="1">
      <c r="A45" s="8" t="s">
        <v>679</v>
      </c>
      <c r="B45" s="110" t="str">
        <f>VLOOKUP(A45,'The List'!B1:D730,3,FALSE)</f>
        <v>G</v>
      </c>
      <c r="C45" s="146">
        <f>RANK(E45,E3:E75)</f>
        <v>42</v>
      </c>
      <c r="D45" s="34" t="str">
        <f>VLOOKUP(A45,'The List'!B1:F730,5,FALSE)</f>
        <v>MIN</v>
      </c>
      <c r="E45" s="38">
        <f>VLOOKUP(A45,'The List'!B1:I730,8,FALSE)</f>
        <v>-0.67493291754254936</v>
      </c>
      <c r="F45" s="38">
        <f>IF(Settings!$E$15="POINTS",E45-VLOOKUP(B$2,C1:E75,3,FALSE),J45)</f>
        <v>-2.3791619687328409</v>
      </c>
      <c r="G45" s="38"/>
      <c r="H45" s="138">
        <f>RANK(I45,I3:I75)</f>
        <v>42</v>
      </c>
      <c r="I45" s="139">
        <f>VLOOKUP(A45,'Standard Deviations'!A1:C731,3,FALSE)</f>
        <v>-0.67493291754254936</v>
      </c>
      <c r="J45" s="139">
        <f>I45-VLOOKUP(B$2,H1:J75,2,FALSE)</f>
        <v>-2.3791619687328409</v>
      </c>
    </row>
    <row r="46" spans="1:10" ht="21.2" customHeight="1">
      <c r="A46" s="8" t="s">
        <v>687</v>
      </c>
      <c r="B46" s="110" t="str">
        <f>VLOOKUP(A46,'The List'!B1:D730,3,FALSE)</f>
        <v>G</v>
      </c>
      <c r="C46" s="146">
        <f>RANK(E46,E3:E75)</f>
        <v>44</v>
      </c>
      <c r="D46" s="34" t="str">
        <f>VLOOKUP(A46,'The List'!B1:F730,5,FALSE)</f>
        <v>SJS</v>
      </c>
      <c r="E46" s="38">
        <f>VLOOKUP(A46,'The List'!B1:I730,8,FALSE)</f>
        <v>-0.97211205114022403</v>
      </c>
      <c r="F46" s="38">
        <f>IF(Settings!$E$15="POINTS",E46-VLOOKUP(B$2,C1:E75,3,FALSE),J46)</f>
        <v>-2.6763411023305155</v>
      </c>
      <c r="G46" s="38"/>
      <c r="H46" s="138">
        <f>RANK(I46,I3:I75)</f>
        <v>44</v>
      </c>
      <c r="I46" s="139">
        <f>VLOOKUP(A46,'Standard Deviations'!A1:C731,3,FALSE)</f>
        <v>-0.97211205114022403</v>
      </c>
      <c r="J46" s="139">
        <f>I46-VLOOKUP(B$2,H1:J75,2,FALSE)</f>
        <v>-2.6763411023305155</v>
      </c>
    </row>
    <row r="47" spans="1:10" ht="21.2" customHeight="1">
      <c r="A47" s="8" t="s">
        <v>727</v>
      </c>
      <c r="B47" s="110" t="str">
        <f>VLOOKUP(A47,'The List'!B1:D730,3,FALSE)</f>
        <v>G</v>
      </c>
      <c r="C47" s="146">
        <f>RANK(E47,E3:E75)</f>
        <v>45</v>
      </c>
      <c r="D47" s="34" t="str">
        <f>VLOOKUP(A47,'The List'!B1:F730,5,FALSE)</f>
        <v>TOR</v>
      </c>
      <c r="E47" s="38">
        <f>VLOOKUP(A47,'The List'!B1:I730,8,FALSE)</f>
        <v>-1.044152656201232</v>
      </c>
      <c r="F47" s="38">
        <f>IF(Settings!$E$15="POINTS",E47-VLOOKUP(B$2,C1:E75,3,FALSE),J47)</f>
        <v>-2.7483817073915233</v>
      </c>
      <c r="G47" s="38"/>
      <c r="H47" s="138">
        <f>RANK(I47,I3:I75)</f>
        <v>45</v>
      </c>
      <c r="I47" s="139">
        <f>VLOOKUP(A47,'Standard Deviations'!A1:C731,3,FALSE)</f>
        <v>-1.044152656201232</v>
      </c>
      <c r="J47" s="139">
        <f>I47-VLOOKUP(B$2,H1:J75,2,FALSE)</f>
        <v>-2.7483817073915233</v>
      </c>
    </row>
    <row r="48" spans="1:10" ht="21.2" customHeight="1">
      <c r="A48" s="8" t="s">
        <v>737</v>
      </c>
      <c r="B48" s="110" t="str">
        <f>VLOOKUP(A48,'The List'!B1:D730,3,FALSE)</f>
        <v>G</v>
      </c>
      <c r="C48" s="146">
        <f>RANK(E48,E3:E75)</f>
        <v>49</v>
      </c>
      <c r="D48" s="34" t="str">
        <f>VLOOKUP(A48,'The List'!B1:F730,5,FALSE)</f>
        <v>CBJ</v>
      </c>
      <c r="E48" s="38">
        <f>VLOOKUP(A48,'The List'!B1:I730,8,FALSE)</f>
        <v>-1.3345115784347761</v>
      </c>
      <c r="F48" s="38">
        <f>IF(Settings!$E$15="POINTS",E48-VLOOKUP(B$2,C1:E75,3,FALSE),J48)</f>
        <v>-3.0387406296250674</v>
      </c>
      <c r="G48" s="38"/>
      <c r="H48" s="138">
        <f>RANK(I48,I3:I75)</f>
        <v>49</v>
      </c>
      <c r="I48" s="139">
        <f>VLOOKUP(A48,'Standard Deviations'!A1:C731,3,FALSE)</f>
        <v>-1.3345115784347761</v>
      </c>
      <c r="J48" s="139">
        <f>I48-VLOOKUP(B$2,H1:J75,2,FALSE)</f>
        <v>-3.0387406296250674</v>
      </c>
    </row>
    <row r="49" spans="1:10" ht="21.2" customHeight="1">
      <c r="A49" s="8" t="s">
        <v>745</v>
      </c>
      <c r="B49" s="110" t="str">
        <f>VLOOKUP(A49,'The List'!B1:D730,3,FALSE)</f>
        <v>G</v>
      </c>
      <c r="C49" s="146">
        <f>RANK(E49,E3:E75)</f>
        <v>48</v>
      </c>
      <c r="D49" s="34" t="str">
        <f>VLOOKUP(A49,'The List'!B1:F730,5,FALSE)</f>
        <v>PIT</v>
      </c>
      <c r="E49" s="38">
        <f>VLOOKUP(A49,'The List'!B1:I730,8,FALSE)</f>
        <v>-1.2370579074477557</v>
      </c>
      <c r="F49" s="38">
        <f>IF(Settings!$E$15="POINTS",E49-VLOOKUP(B$2,C1:E75,3,FALSE),J49)</f>
        <v>-2.941286958638047</v>
      </c>
      <c r="G49" s="38"/>
      <c r="H49" s="138">
        <f>RANK(I49,I3:I75)</f>
        <v>48</v>
      </c>
      <c r="I49" s="139">
        <f>VLOOKUP(A49,'Standard Deviations'!A1:C731,3,FALSE)</f>
        <v>-1.2370579074477557</v>
      </c>
      <c r="J49" s="139">
        <f>I49-VLOOKUP(B$2,H1:J75,2,FALSE)</f>
        <v>-2.941286958638047</v>
      </c>
    </row>
    <row r="50" spans="1:10" ht="21.2" customHeight="1">
      <c r="A50" s="8" t="s">
        <v>747</v>
      </c>
      <c r="B50" s="110" t="str">
        <f>VLOOKUP(A50,'The List'!B1:D730,3,FALSE)</f>
        <v>G</v>
      </c>
      <c r="C50" s="146">
        <f>RANK(E50,E3:E75)</f>
        <v>46</v>
      </c>
      <c r="D50" s="34" t="str">
        <f>VLOOKUP(A50,'The List'!B1:F730,5,FALSE)</f>
        <v>COL</v>
      </c>
      <c r="E50" s="38">
        <f>VLOOKUP(A50,'The List'!B1:I730,8,FALSE)</f>
        <v>-1.1399086003262058</v>
      </c>
      <c r="F50" s="38">
        <f>IF(Settings!$E$15="POINTS",E50-VLOOKUP(B$2,C1:E75,3,FALSE),J50)</f>
        <v>-2.8441376515164976</v>
      </c>
      <c r="G50" s="38"/>
      <c r="H50" s="138">
        <f>RANK(I50,I3:I75)</f>
        <v>46</v>
      </c>
      <c r="I50" s="139">
        <f>VLOOKUP(A50,'Standard Deviations'!A1:C731,3,FALSE)</f>
        <v>-1.1399086003262058</v>
      </c>
      <c r="J50" s="139">
        <f>I50-VLOOKUP(B$2,H1:J75,2,FALSE)</f>
        <v>-2.8441376515164976</v>
      </c>
    </row>
    <row r="51" spans="1:10" ht="21.2" customHeight="1">
      <c r="A51" s="8" t="s">
        <v>754</v>
      </c>
      <c r="B51" s="110" t="str">
        <f>VLOOKUP(A51,'The List'!B1:D730,3,FALSE)</f>
        <v>G</v>
      </c>
      <c r="C51" s="146">
        <f>RANK(E51,E3:E75)</f>
        <v>51</v>
      </c>
      <c r="D51" s="34" t="str">
        <f>VLOOKUP(A51,'The List'!B1:F730,5,FALSE)</f>
        <v>WSH</v>
      </c>
      <c r="E51" s="38">
        <f>VLOOKUP(A51,'The List'!B1:I730,8,FALSE)</f>
        <v>-1.4301429385689137</v>
      </c>
      <c r="F51" s="38">
        <f>IF(Settings!$E$15="POINTS",E51-VLOOKUP(B$2,C1:E75,3,FALSE),J51)</f>
        <v>-3.1343719897592051</v>
      </c>
      <c r="G51" s="38"/>
      <c r="H51" s="138">
        <f>RANK(I51,I3:I75)</f>
        <v>51</v>
      </c>
      <c r="I51" s="139">
        <f>VLOOKUP(A51,'Standard Deviations'!A1:C731,3,FALSE)</f>
        <v>-1.4301429385689137</v>
      </c>
      <c r="J51" s="139">
        <f>I51-VLOOKUP(B$2,H1:J75,2,FALSE)</f>
        <v>-3.1343719897592051</v>
      </c>
    </row>
    <row r="52" spans="1:10" ht="21.2" customHeight="1">
      <c r="A52" s="8" t="s">
        <v>771</v>
      </c>
      <c r="B52" s="110" t="str">
        <f>VLOOKUP(A52,'The List'!B1:D730,3,FALSE)</f>
        <v>G</v>
      </c>
      <c r="C52" s="146">
        <f>RANK(E52,E3:E75)</f>
        <v>47</v>
      </c>
      <c r="D52" s="34" t="str">
        <f>VLOOKUP(A52,'The List'!B1:F730,5,FALSE)</f>
        <v>NYR</v>
      </c>
      <c r="E52" s="38">
        <f>VLOOKUP(A52,'The List'!B1:I730,8,FALSE)</f>
        <v>-1.1560242231456963</v>
      </c>
      <c r="F52" s="38">
        <f>IF(Settings!$E$15="POINTS",E52-VLOOKUP(B$2,C1:E75,3,FALSE),J52)</f>
        <v>-2.8602532743359879</v>
      </c>
      <c r="G52" s="38"/>
      <c r="H52" s="138">
        <f>RANK(I52,I3:I75)</f>
        <v>47</v>
      </c>
      <c r="I52" s="139">
        <f>VLOOKUP(A52,'Standard Deviations'!A1:C731,3,FALSE)</f>
        <v>-1.1560242231456963</v>
      </c>
      <c r="J52" s="139">
        <f>I52-VLOOKUP(B$2,H1:J75,2,FALSE)</f>
        <v>-2.8602532743359879</v>
      </c>
    </row>
    <row r="53" spans="1:10" ht="21.2" customHeight="1">
      <c r="A53" s="8" t="s">
        <v>773</v>
      </c>
      <c r="B53" s="110" t="str">
        <f>VLOOKUP(A53,'The List'!B1:D730,3,FALSE)</f>
        <v>G</v>
      </c>
      <c r="C53" s="146">
        <f>RANK(E53,E3:E75)</f>
        <v>55</v>
      </c>
      <c r="D53" s="34" t="str">
        <f>VLOOKUP(A53,'The List'!B1:F730,5,FALSE)</f>
        <v>PHI</v>
      </c>
      <c r="E53" s="38">
        <f>VLOOKUP(A53,'The List'!B1:I730,8,FALSE)</f>
        <v>-1.5915124010553607</v>
      </c>
      <c r="F53" s="38">
        <f>IF(Settings!$E$15="POINTS",E53-VLOOKUP(B$2,C1:E75,3,FALSE),J53)</f>
        <v>-3.2957414522456521</v>
      </c>
      <c r="G53" s="38"/>
      <c r="H53" s="138">
        <f>RANK(I53,I3:I75)</f>
        <v>55</v>
      </c>
      <c r="I53" s="139">
        <f>VLOOKUP(A53,'Standard Deviations'!A1:C731,3,FALSE)</f>
        <v>-1.5915124010553607</v>
      </c>
      <c r="J53" s="139">
        <f>I53-VLOOKUP(B$2,H1:J75,2,FALSE)</f>
        <v>-3.2957414522456521</v>
      </c>
    </row>
    <row r="54" spans="1:10" ht="21.2" customHeight="1">
      <c r="A54" s="8" t="s">
        <v>776</v>
      </c>
      <c r="B54" s="110" t="str">
        <f>VLOOKUP(A54,'The List'!B1:D730,3,FALSE)</f>
        <v>G</v>
      </c>
      <c r="C54" s="146">
        <f>RANK(E54,E3:E75)</f>
        <v>52</v>
      </c>
      <c r="D54" s="34" t="str">
        <f>VLOOKUP(A54,'The List'!B1:F730,5,FALSE)</f>
        <v>CAR</v>
      </c>
      <c r="E54" s="38">
        <f>VLOOKUP(A54,'The List'!B1:I730,8,FALSE)</f>
        <v>-1.4711410207417539</v>
      </c>
      <c r="F54" s="38">
        <f>IF(Settings!$E$15="POINTS",E54-VLOOKUP(B$2,C1:E75,3,FALSE),J54)</f>
        <v>-3.1753700719320452</v>
      </c>
      <c r="G54" s="38"/>
      <c r="H54" s="138">
        <f>RANK(I54,I3:I75)</f>
        <v>52</v>
      </c>
      <c r="I54" s="139">
        <f>VLOOKUP(A54,'Standard Deviations'!A1:C731,3,FALSE)</f>
        <v>-1.4711410207417539</v>
      </c>
      <c r="J54" s="139">
        <f>I54-VLOOKUP(B$2,H1:J75,2,FALSE)</f>
        <v>-3.1753700719320452</v>
      </c>
    </row>
    <row r="55" spans="1:10" ht="21.2" customHeight="1">
      <c r="A55" s="8" t="s">
        <v>780</v>
      </c>
      <c r="B55" s="110" t="str">
        <f>VLOOKUP(A55,'The List'!B1:D730,3,FALSE)</f>
        <v>G</v>
      </c>
      <c r="C55" s="146">
        <f>RANK(E55,E3:E75)</f>
        <v>53</v>
      </c>
      <c r="D55" s="34" t="str">
        <f>VLOOKUP(A55,'The List'!B1:F730,5,FALSE)</f>
        <v>BUF</v>
      </c>
      <c r="E55" s="38">
        <f>VLOOKUP(A55,'The List'!B1:I730,8,FALSE)</f>
        <v>-1.5637571513654489</v>
      </c>
      <c r="F55" s="38">
        <f>IF(Settings!$E$15="POINTS",E55-VLOOKUP(B$2,C1:E75,3,FALSE),J55)</f>
        <v>-3.2679862025557407</v>
      </c>
      <c r="G55" s="38"/>
      <c r="H55" s="138">
        <f>RANK(I55,I3:I75)</f>
        <v>53</v>
      </c>
      <c r="I55" s="139">
        <f>VLOOKUP(A55,'Standard Deviations'!A1:C731,3,FALSE)</f>
        <v>-1.5637571513654489</v>
      </c>
      <c r="J55" s="139">
        <f>I55-VLOOKUP(B$2,H1:J75,2,FALSE)</f>
        <v>-3.2679862025557407</v>
      </c>
    </row>
    <row r="56" spans="1:10" ht="21.2" customHeight="1">
      <c r="A56" s="8" t="s">
        <v>785</v>
      </c>
      <c r="B56" s="110" t="str">
        <f>VLOOKUP(A56,'The List'!B1:D730,3,FALSE)</f>
        <v>G</v>
      </c>
      <c r="C56" s="146">
        <f>RANK(E56,E3:E75)</f>
        <v>50</v>
      </c>
      <c r="D56" s="34" t="str">
        <f>VLOOKUP(A56,'The List'!B1:F730,5,FALSE)</f>
        <v>CAR</v>
      </c>
      <c r="E56" s="38">
        <f>VLOOKUP(A56,'The List'!B1:I730,8,FALSE)</f>
        <v>-1.4056333044845402</v>
      </c>
      <c r="F56" s="38">
        <f>IF(Settings!$E$15="POINTS",E56-VLOOKUP(B$2,C1:E75,3,FALSE),J56)</f>
        <v>-3.1098623556748315</v>
      </c>
      <c r="G56" s="38"/>
      <c r="H56" s="138">
        <f>RANK(I56,I3:I75)</f>
        <v>50</v>
      </c>
      <c r="I56" s="139">
        <f>VLOOKUP(A56,'Standard Deviations'!A1:C731,3,FALSE)</f>
        <v>-1.4056333044845402</v>
      </c>
      <c r="J56" s="139">
        <f>I56-VLOOKUP(B$2,H1:J75,2,FALSE)</f>
        <v>-3.1098623556748315</v>
      </c>
    </row>
    <row r="57" spans="1:10" ht="21.2" customHeight="1">
      <c r="A57" s="8" t="s">
        <v>788</v>
      </c>
      <c r="B57" s="110" t="str">
        <f>VLOOKUP(A57,'The List'!B1:D730,3,FALSE)</f>
        <v>G</v>
      </c>
      <c r="C57" s="146">
        <f>RANK(E57,E3:E75)</f>
        <v>54</v>
      </c>
      <c r="D57" s="34" t="str">
        <f>VLOOKUP(A57,'The List'!B1:F730,5,FALSE)</f>
        <v>FLA</v>
      </c>
      <c r="E57" s="38">
        <f>VLOOKUP(A57,'The List'!B1:I730,8,FALSE)</f>
        <v>-1.5875459889654464</v>
      </c>
      <c r="F57" s="38">
        <f>IF(Settings!$E$15="POINTS",E57-VLOOKUP(B$2,C1:E75,3,FALSE),J57)</f>
        <v>-3.2917750401557377</v>
      </c>
      <c r="G57" s="38"/>
      <c r="H57" s="138">
        <f>RANK(I57,I3:I75)</f>
        <v>54</v>
      </c>
      <c r="I57" s="139">
        <f>VLOOKUP(A57,'Standard Deviations'!A1:C731,3,FALSE)</f>
        <v>-1.5875459889654464</v>
      </c>
      <c r="J57" s="139">
        <f>I57-VLOOKUP(B$2,H1:J75,2,FALSE)</f>
        <v>-3.2917750401557377</v>
      </c>
    </row>
    <row r="58" spans="1:10" ht="21.2" customHeight="1">
      <c r="A58" s="8" t="s">
        <v>793</v>
      </c>
      <c r="B58" s="110" t="str">
        <f>VLOOKUP(A58,'The List'!B1:D730,3,FALSE)</f>
        <v>G</v>
      </c>
      <c r="C58" s="146">
        <f>RANK(E58,E3:E75)</f>
        <v>56</v>
      </c>
      <c r="D58" s="34" t="str">
        <f>VLOOKUP(A58,'The List'!B1:F730,5,FALSE)</f>
        <v>NYI</v>
      </c>
      <c r="E58" s="38">
        <f>VLOOKUP(A58,'The List'!B1:I730,8,FALSE)</f>
        <v>-1.8245775283859678</v>
      </c>
      <c r="F58" s="38">
        <f>IF(Settings!$E$15="POINTS",E58-VLOOKUP(B$2,C1:E75,3,FALSE),J58)</f>
        <v>-3.5288065795762593</v>
      </c>
      <c r="G58" s="38"/>
      <c r="H58" s="138">
        <f>RANK(I58,I3:I75)</f>
        <v>56</v>
      </c>
      <c r="I58" s="139">
        <f>VLOOKUP(A58,'Standard Deviations'!A1:C731,3,FALSE)</f>
        <v>-1.8245775283859678</v>
      </c>
      <c r="J58" s="139">
        <f>I58-VLOOKUP(B$2,H1:J75,2,FALSE)</f>
        <v>-3.5288065795762593</v>
      </c>
    </row>
    <row r="59" spans="1:10" ht="21.2" customHeight="1">
      <c r="A59" s="8" t="s">
        <v>803</v>
      </c>
      <c r="B59" s="110" t="str">
        <f>VLOOKUP(A59,'The List'!B1:D730,3,FALSE)</f>
        <v>G</v>
      </c>
      <c r="C59" s="146">
        <f>RANK(E59,E3:E75)</f>
        <v>60</v>
      </c>
      <c r="D59" s="34" t="str">
        <f>VLOOKUP(A59,'The List'!B1:F730,5,FALSE)</f>
        <v>STL</v>
      </c>
      <c r="E59" s="38">
        <f>VLOOKUP(A59,'The List'!B1:I730,8,FALSE)</f>
        <v>-1.9199198745436696</v>
      </c>
      <c r="F59" s="38">
        <f>IF(Settings!$E$15="POINTS",E59-VLOOKUP(B$2,C1:E75,3,FALSE),J59)</f>
        <v>-3.6241489257339614</v>
      </c>
      <c r="G59" s="38"/>
      <c r="H59" s="138">
        <f>RANK(I59,I3:I75)</f>
        <v>60</v>
      </c>
      <c r="I59" s="139">
        <f>VLOOKUP(A59,'Standard Deviations'!A1:C731,3,FALSE)</f>
        <v>-1.9199198745436696</v>
      </c>
      <c r="J59" s="139">
        <f>I59-VLOOKUP(B$2,H1:J75,2,FALSE)</f>
        <v>-3.6241489257339614</v>
      </c>
    </row>
    <row r="60" spans="1:10" ht="21.2" customHeight="1">
      <c r="A60" s="8" t="s">
        <v>807</v>
      </c>
      <c r="B60" s="110" t="str">
        <f>VLOOKUP(A60,'The List'!B1:D730,3,FALSE)</f>
        <v>G</v>
      </c>
      <c r="C60" s="146">
        <f>RANK(E60,E3:E75)</f>
        <v>59</v>
      </c>
      <c r="D60" s="34" t="str">
        <f>VLOOKUP(A60,'The List'!B1:F730,5,FALSE)</f>
        <v>DAL</v>
      </c>
      <c r="E60" s="38">
        <f>VLOOKUP(A60,'The List'!B1:I730,8,FALSE)</f>
        <v>-1.8941764597144568</v>
      </c>
      <c r="F60" s="38">
        <f>IF(Settings!$E$15="POINTS",E60-VLOOKUP(B$2,C1:E75,3,FALSE),J60)</f>
        <v>-3.5984055109047484</v>
      </c>
      <c r="G60" s="38"/>
      <c r="H60" s="138">
        <f>RANK(I60,I3:I75)</f>
        <v>59</v>
      </c>
      <c r="I60" s="139">
        <f>VLOOKUP(A60,'Standard Deviations'!A1:C731,3,FALSE)</f>
        <v>-1.8941764597144568</v>
      </c>
      <c r="J60" s="139">
        <f>I60-VLOOKUP(B$2,H1:J75,2,FALSE)</f>
        <v>-3.5984055109047484</v>
      </c>
    </row>
    <row r="61" spans="1:10" ht="21.2" customHeight="1">
      <c r="A61" s="8" t="s">
        <v>808</v>
      </c>
      <c r="B61" s="110" t="str">
        <f>VLOOKUP(A61,'The List'!B1:D730,3,FALSE)</f>
        <v>G</v>
      </c>
      <c r="C61" s="146">
        <f>RANK(E61,E3:E75)</f>
        <v>64</v>
      </c>
      <c r="D61" s="34" t="str">
        <f>VLOOKUP(A61,'The List'!B1:F730,5,FALSE)</f>
        <v>ANA</v>
      </c>
      <c r="E61" s="38">
        <f>VLOOKUP(A61,'The List'!B1:I730,8,FALSE)</f>
        <v>-2.1181348887636737</v>
      </c>
      <c r="F61" s="38">
        <f>IF(Settings!$E$15="POINTS",E61-VLOOKUP(B$2,C1:E75,3,FALSE),J61)</f>
        <v>-3.8223639399539655</v>
      </c>
      <c r="G61" s="38"/>
      <c r="H61" s="138">
        <f>RANK(I61,I3:I75)</f>
        <v>64</v>
      </c>
      <c r="I61" s="139">
        <f>VLOOKUP(A61,'Standard Deviations'!A1:C731,3,FALSE)</f>
        <v>-2.1181348887636737</v>
      </c>
      <c r="J61" s="139">
        <f>I61-VLOOKUP(B$2,H1:J75,2,FALSE)</f>
        <v>-3.8223639399539655</v>
      </c>
    </row>
    <row r="62" spans="1:10" ht="21.2" customHeight="1">
      <c r="A62" s="8" t="s">
        <v>810</v>
      </c>
      <c r="B62" s="110" t="str">
        <f>VLOOKUP(A62,'The List'!B1:D730,3,FALSE)</f>
        <v>G</v>
      </c>
      <c r="C62" s="146">
        <f>RANK(E62,E3:E75)</f>
        <v>58</v>
      </c>
      <c r="D62" s="34" t="str">
        <f>VLOOKUP(A62,'The List'!B1:F730,5,FALSE)</f>
        <v>DET</v>
      </c>
      <c r="E62" s="38">
        <f>VLOOKUP(A62,'The List'!B1:I730,8,FALSE)</f>
        <v>-1.8634189823249427</v>
      </c>
      <c r="F62" s="38">
        <f>IF(Settings!$E$15="POINTS",E62-VLOOKUP(B$2,C1:E75,3,FALSE),J62)</f>
        <v>-3.5676480335152343</v>
      </c>
      <c r="G62" s="38"/>
      <c r="H62" s="138">
        <f>RANK(I62,I3:I75)</f>
        <v>58</v>
      </c>
      <c r="I62" s="139">
        <f>VLOOKUP(A62,'Standard Deviations'!A1:C731,3,FALSE)</f>
        <v>-1.8634189823249427</v>
      </c>
      <c r="J62" s="139">
        <f>I62-VLOOKUP(B$2,H1:J75,2,FALSE)</f>
        <v>-3.5676480335152343</v>
      </c>
    </row>
    <row r="63" spans="1:10" ht="21.2" customHeight="1">
      <c r="A63" s="8" t="s">
        <v>812</v>
      </c>
      <c r="B63" s="110" t="str">
        <f>VLOOKUP(A63,'The List'!B1:D730,3,FALSE)</f>
        <v>G</v>
      </c>
      <c r="C63" s="146">
        <f>RANK(E63,E3:E75)</f>
        <v>57</v>
      </c>
      <c r="D63" s="34" t="str">
        <f>VLOOKUP(A63,'The List'!B1:F730,5,FALSE)</f>
        <v>SEA</v>
      </c>
      <c r="E63" s="38">
        <f>VLOOKUP(A63,'The List'!B1:I730,8,FALSE)</f>
        <v>-1.8507891490850734</v>
      </c>
      <c r="F63" s="38">
        <f>IF(Settings!$E$15="POINTS",E63-VLOOKUP(B$2,C1:E75,3,FALSE),J63)</f>
        <v>-3.5550182002753647</v>
      </c>
      <c r="G63" s="38"/>
      <c r="H63" s="138">
        <f>RANK(I63,I3:I75)</f>
        <v>57</v>
      </c>
      <c r="I63" s="139">
        <f>VLOOKUP(A63,'Standard Deviations'!A1:C731,3,FALSE)</f>
        <v>-1.8507891490850734</v>
      </c>
      <c r="J63" s="139">
        <f>I63-VLOOKUP(B$2,H1:J75,2,FALSE)</f>
        <v>-3.5550182002753647</v>
      </c>
    </row>
    <row r="64" spans="1:10" ht="21.2" customHeight="1">
      <c r="A64" s="8" t="s">
        <v>815</v>
      </c>
      <c r="B64" s="110" t="str">
        <f>VLOOKUP(A64,'The List'!B1:D730,3,FALSE)</f>
        <v>G</v>
      </c>
      <c r="C64" s="146">
        <f>RANK(E64,E3:E75)</f>
        <v>62</v>
      </c>
      <c r="D64" s="34" t="str">
        <f>VLOOKUP(A64,'The List'!B1:F730,5,FALSE)</f>
        <v>WPG</v>
      </c>
      <c r="E64" s="38">
        <f>VLOOKUP(A64,'The List'!B1:I730,8,FALSE)</f>
        <v>-2.032959178886641</v>
      </c>
      <c r="F64" s="38">
        <f>IF(Settings!$E$15="POINTS",E64-VLOOKUP(B$2,C1:E75,3,FALSE),J64)</f>
        <v>-3.7371882300769323</v>
      </c>
      <c r="G64" s="38"/>
      <c r="H64" s="138">
        <f>RANK(I64,I3:I75)</f>
        <v>62</v>
      </c>
      <c r="I64" s="139">
        <f>VLOOKUP(A64,'Standard Deviations'!A1:C731,3,FALSE)</f>
        <v>-2.032959178886641</v>
      </c>
      <c r="J64" s="139">
        <f>I64-VLOOKUP(B$2,H1:J75,2,FALSE)</f>
        <v>-3.7371882300769323</v>
      </c>
    </row>
    <row r="65" spans="1:10" ht="21.2" customHeight="1">
      <c r="A65" s="8" t="s">
        <v>816</v>
      </c>
      <c r="B65" s="110" t="str">
        <f>VLOOKUP(A65,'The List'!B1:D730,3,FALSE)</f>
        <v>G</v>
      </c>
      <c r="C65" s="146">
        <f>RANK(E65,E3:E75)</f>
        <v>61</v>
      </c>
      <c r="D65" s="34" t="str">
        <f>VLOOKUP(A65,'The List'!B1:F730,5,FALSE)</f>
        <v>CGY</v>
      </c>
      <c r="E65" s="38">
        <f>VLOOKUP(A65,'The List'!B1:I730,8,FALSE)</f>
        <v>-1.9955415366596088</v>
      </c>
      <c r="F65" s="38">
        <f>IF(Settings!$E$15="POINTS",E65-VLOOKUP(B$2,C1:E75,3,FALSE),J65)</f>
        <v>-3.6997705878499003</v>
      </c>
      <c r="G65" s="38"/>
      <c r="H65" s="138">
        <f>RANK(I65,I3:I75)</f>
        <v>61</v>
      </c>
      <c r="I65" s="139">
        <f>VLOOKUP(A65,'Standard Deviations'!A1:C731,3,FALSE)</f>
        <v>-1.9955415366596088</v>
      </c>
      <c r="J65" s="139">
        <f>I65-VLOOKUP(B$2,H1:J75,2,FALSE)</f>
        <v>-3.6997705878499003</v>
      </c>
    </row>
    <row r="66" spans="1:10" ht="21.2" customHeight="1">
      <c r="A66" s="8" t="s">
        <v>817</v>
      </c>
      <c r="B66" s="110" t="str">
        <f>VLOOKUP(A66,'The List'!B1:D730,3,FALSE)</f>
        <v>G</v>
      </c>
      <c r="C66" s="146">
        <f>RANK(E66,E3:E75)</f>
        <v>63</v>
      </c>
      <c r="D66" s="34" t="str">
        <f>VLOOKUP(A66,'The List'!B1:F730,5,FALSE)</f>
        <v>DET</v>
      </c>
      <c r="E66" s="38">
        <f>VLOOKUP(A66,'The List'!B1:I730,8,FALSE)</f>
        <v>-2.0887163812656229</v>
      </c>
      <c r="F66" s="38">
        <f>IF(Settings!$E$15="POINTS",E66-VLOOKUP(B$2,C1:E75,3,FALSE),J66)</f>
        <v>-3.7929454324559142</v>
      </c>
      <c r="G66" s="38"/>
      <c r="H66" s="138">
        <f>RANK(I66,I3:I75)</f>
        <v>63</v>
      </c>
      <c r="I66" s="139">
        <f>VLOOKUP(A66,'Standard Deviations'!A1:C731,3,FALSE)</f>
        <v>-2.0887163812656229</v>
      </c>
      <c r="J66" s="139">
        <f>I66-VLOOKUP(B$2,H1:J75,2,FALSE)</f>
        <v>-3.7929454324559142</v>
      </c>
    </row>
    <row r="67" spans="1:10" ht="21.2" customHeight="1">
      <c r="A67" s="8" t="s">
        <v>823</v>
      </c>
      <c r="B67" s="110" t="str">
        <f>VLOOKUP(A67,'The List'!B1:D730,3,FALSE)</f>
        <v>G</v>
      </c>
      <c r="C67" s="146">
        <f>RANK(E67,E3:E75)</f>
        <v>65</v>
      </c>
      <c r="D67" s="34" t="str">
        <f>VLOOKUP(A67,'The List'!B1:F730,5,FALSE)</f>
        <v>NSH</v>
      </c>
      <c r="E67" s="38">
        <f>VLOOKUP(A67,'The List'!B1:I730,8,FALSE)</f>
        <v>-2.3124813013207266</v>
      </c>
      <c r="F67" s="38">
        <f>IF(Settings!$E$15="POINTS",E67-VLOOKUP(B$2,C1:E75,3,FALSE),J67)</f>
        <v>-4.0167103525110184</v>
      </c>
      <c r="G67" s="38"/>
      <c r="H67" s="138">
        <f>RANK(I67,I3:I75)</f>
        <v>65</v>
      </c>
      <c r="I67" s="139">
        <f>VLOOKUP(A67,'Standard Deviations'!A1:C731,3,FALSE)</f>
        <v>-2.3124813013207266</v>
      </c>
      <c r="J67" s="139">
        <f>I67-VLOOKUP(B$2,H1:J75,2,FALSE)</f>
        <v>-4.0167103525110184</v>
      </c>
    </row>
    <row r="68" spans="1:10" ht="21.2" customHeight="1">
      <c r="A68" s="8" t="s">
        <v>825</v>
      </c>
      <c r="B68" s="110" t="str">
        <f>VLOOKUP(A68,'The List'!B1:D730,3,FALSE)</f>
        <v>G</v>
      </c>
      <c r="C68" s="146">
        <f>RANK(E68,E3:E75)</f>
        <v>66</v>
      </c>
      <c r="D68" s="34" t="str">
        <f>VLOOKUP(A68,'The List'!B1:F730,5,FALSE)</f>
        <v>SEA</v>
      </c>
      <c r="E68" s="38">
        <f>VLOOKUP(A68,'The List'!B1:I730,8,FALSE)</f>
        <v>-2.3924408381179418</v>
      </c>
      <c r="F68" s="38">
        <f>IF(Settings!$E$15="POINTS",E68-VLOOKUP(B$2,C1:E75,3,FALSE),J68)</f>
        <v>-4.0966698893082336</v>
      </c>
      <c r="G68" s="38"/>
      <c r="H68" s="138">
        <f>RANK(I68,I3:I75)</f>
        <v>66</v>
      </c>
      <c r="I68" s="139">
        <f>VLOOKUP(A68,'Standard Deviations'!A1:C731,3,FALSE)</f>
        <v>-2.3924408381179418</v>
      </c>
      <c r="J68" s="139">
        <f>I68-VLOOKUP(B$2,H1:J75,2,FALSE)</f>
        <v>-4.0966698893082336</v>
      </c>
    </row>
    <row r="69" spans="1:10" ht="21.2" customHeight="1">
      <c r="A69" s="8" t="s">
        <v>826</v>
      </c>
      <c r="B69" s="110" t="str">
        <f>VLOOKUP(A69,'The List'!B1:D730,3,FALSE)</f>
        <v>G</v>
      </c>
      <c r="C69" s="146">
        <f>RANK(E69,E3:E75)</f>
        <v>67</v>
      </c>
      <c r="D69" s="34" t="str">
        <f>VLOOKUP(A69,'The List'!B1:F730,5,FALSE)</f>
        <v>MTL</v>
      </c>
      <c r="E69" s="38">
        <f>VLOOKUP(A69,'The List'!B1:I730,8,FALSE)</f>
        <v>-2.6242568375108122</v>
      </c>
      <c r="F69" s="38">
        <f>IF(Settings!$E$15="POINTS",E69-VLOOKUP(B$2,C1:E75,3,FALSE),J69)</f>
        <v>-4.3284858887011035</v>
      </c>
      <c r="G69" s="38"/>
      <c r="H69" s="138">
        <f>RANK(I69,I3:I75)</f>
        <v>67</v>
      </c>
      <c r="I69" s="139">
        <f>VLOOKUP(A69,'Standard Deviations'!A1:C731,3,FALSE)</f>
        <v>-2.6242568375108122</v>
      </c>
      <c r="J69" s="139">
        <f>I69-VLOOKUP(B$2,H1:J75,2,FALSE)</f>
        <v>-4.3284858887011035</v>
      </c>
    </row>
    <row r="70" spans="1:10" ht="21.2" customHeight="1">
      <c r="A70" s="8" t="s">
        <v>827</v>
      </c>
      <c r="B70" s="110" t="str">
        <f>VLOOKUP(A70,'The List'!B1:D730,3,FALSE)</f>
        <v>G</v>
      </c>
      <c r="C70" s="146">
        <f>RANK(E70,E3:E75)</f>
        <v>68</v>
      </c>
      <c r="D70" s="34" t="str">
        <f>VLOOKUP(A70,'The List'!B1:F730,5,FALSE)</f>
        <v>BUF</v>
      </c>
      <c r="E70" s="38">
        <f>VLOOKUP(A70,'The List'!B1:I730,8,FALSE)</f>
        <v>-2.7206743852082984</v>
      </c>
      <c r="F70" s="38">
        <f>IF(Settings!$E$15="POINTS",E70-VLOOKUP(B$2,C1:E75,3,FALSE),J70)</f>
        <v>-4.4249034363985897</v>
      </c>
      <c r="G70" s="38"/>
      <c r="H70" s="138">
        <f>RANK(I70,I3:I75)</f>
        <v>68</v>
      </c>
      <c r="I70" s="139">
        <f>VLOOKUP(A70,'Standard Deviations'!A1:C731,3,FALSE)</f>
        <v>-2.7206743852082984</v>
      </c>
      <c r="J70" s="139">
        <f>I70-VLOOKUP(B$2,H1:J75,2,FALSE)</f>
        <v>-4.4249034363985897</v>
      </c>
    </row>
    <row r="71" spans="1:10" ht="21.2" customHeight="1">
      <c r="A71" s="8" t="s">
        <v>828</v>
      </c>
      <c r="B71" s="110" t="str">
        <f>VLOOKUP(A71,'The List'!B1:D730,3,FALSE)</f>
        <v>G</v>
      </c>
      <c r="C71" s="146">
        <f>RANK(E71,E3:E75)</f>
        <v>69</v>
      </c>
      <c r="D71" s="34" t="str">
        <f>VLOOKUP(A71,'The List'!B1:F730,5,FALSE)</f>
        <v>FLA</v>
      </c>
      <c r="E71" s="38">
        <f>VLOOKUP(A71,'The List'!B1:I730,8,FALSE)</f>
        <v>-2.834071883832662</v>
      </c>
      <c r="F71" s="38">
        <f>IF(Settings!$E$15="POINTS",E71-VLOOKUP(B$2,C1:E75,3,FALSE),J71)</f>
        <v>-4.5383009350229537</v>
      </c>
      <c r="G71" s="38"/>
      <c r="H71" s="138">
        <f>RANK(I71,I3:I75)</f>
        <v>69</v>
      </c>
      <c r="I71" s="139">
        <f>VLOOKUP(A71,'Standard Deviations'!A1:C731,3,FALSE)</f>
        <v>-2.834071883832662</v>
      </c>
      <c r="J71" s="139">
        <f>I71-VLOOKUP(B$2,H1:J75,2,FALSE)</f>
        <v>-4.5383009350229537</v>
      </c>
    </row>
    <row r="72" spans="1:10" ht="21.2" customHeight="1">
      <c r="A72" s="8" t="s">
        <v>829</v>
      </c>
      <c r="B72" s="110" t="str">
        <f>VLOOKUP(A72,'The List'!B1:D730,3,FALSE)</f>
        <v>G</v>
      </c>
      <c r="C72" s="146">
        <f>RANK(E72,E3:E75)</f>
        <v>70</v>
      </c>
      <c r="D72" s="34" t="str">
        <f>VLOOKUP(A72,'The List'!B1:F730,5,FALSE)</f>
        <v>PHI</v>
      </c>
      <c r="E72" s="38">
        <f>VLOOKUP(A72,'The List'!B1:I730,8,FALSE)</f>
        <v>-3.0494229753074489</v>
      </c>
      <c r="F72" s="38">
        <f>IF(Settings!$E$15="POINTS",E72-VLOOKUP(B$2,C1:E75,3,FALSE),J72)</f>
        <v>-4.7536520264977407</v>
      </c>
      <c r="G72" s="38"/>
      <c r="H72" s="138">
        <f>RANK(I72,I3:I75)</f>
        <v>70</v>
      </c>
      <c r="I72" s="139">
        <f>VLOOKUP(A72,'Standard Deviations'!A1:C731,3,FALSE)</f>
        <v>-3.0494229753074489</v>
      </c>
      <c r="J72" s="139">
        <f>I72-VLOOKUP(B$2,H1:J75,2,FALSE)</f>
        <v>-4.7536520264977407</v>
      </c>
    </row>
    <row r="73" spans="1:10" ht="21.2" customHeight="1">
      <c r="A73" s="8" t="s">
        <v>830</v>
      </c>
      <c r="B73" s="110" t="str">
        <f>VLOOKUP(A73,'The List'!B1:D730,3,FALSE)</f>
        <v>G</v>
      </c>
      <c r="C73" s="146">
        <f>IF(Settings!$E$15="POINTS",RANK(E73,E3:E75),H73)</f>
        <v>72</v>
      </c>
      <c r="D73" s="34" t="str">
        <f>VLOOKUP(A73,'The List'!B1:F730,5,FALSE)</f>
        <v>CGY</v>
      </c>
      <c r="E73" s="38">
        <f>VLOOKUP(A73,'The List'!B1:I730,8,FALSE)</f>
        <v>-3.1184243145490989</v>
      </c>
      <c r="F73" s="38">
        <f>IF(Settings!$E$15="POINTS",E73-VLOOKUP(B$2,C1:E75,3,FALSE),J73)</f>
        <v>-4.8226533657393906</v>
      </c>
      <c r="G73" s="38"/>
      <c r="H73" s="138">
        <f>RANK(I73,I3:I75)</f>
        <v>72</v>
      </c>
      <c r="I73" s="139">
        <f>VLOOKUP(A73,'Standard Deviations'!A1:C731,3,FALSE)</f>
        <v>-3.1184243145490989</v>
      </c>
      <c r="J73" s="139">
        <f>I73-VLOOKUP(B$2,H1:J75,2,FALSE)</f>
        <v>-4.8226533657393906</v>
      </c>
    </row>
    <row r="74" spans="1:10" ht="21.2" customHeight="1">
      <c r="A74" s="8" t="s">
        <v>831</v>
      </c>
      <c r="B74" s="110" t="str">
        <f>VLOOKUP(A74,'The List'!B1:D730,3,FALSE)</f>
        <v>G</v>
      </c>
      <c r="C74" s="146">
        <f>RANK(E74,E3:E75)</f>
        <v>71</v>
      </c>
      <c r="D74" s="34" t="str">
        <f>VLOOKUP(A74,'The List'!B1:F730,5,FALSE)</f>
        <v>TOR</v>
      </c>
      <c r="E74" s="38">
        <f>VLOOKUP(A74,'The List'!B1:I730,8,FALSE)</f>
        <v>-3.0725494053036346</v>
      </c>
      <c r="F74" s="38">
        <f>IF(Settings!$E$15="POINTS",E74-VLOOKUP(B$2,C1:E75,3,FALSE),J74)</f>
        <v>-4.7767784564939264</v>
      </c>
      <c r="G74" s="38"/>
      <c r="H74" s="138">
        <f>RANK(I74,I3:I75)</f>
        <v>71</v>
      </c>
      <c r="I74" s="139">
        <f>VLOOKUP(A74,'Standard Deviations'!A1:C731,3,FALSE)</f>
        <v>-3.0725494053036346</v>
      </c>
      <c r="J74" s="139">
        <f>I74-VLOOKUP(B$2,H1:J75,2,FALSE)</f>
        <v>-4.7767784564939264</v>
      </c>
    </row>
    <row r="75" spans="1:10" ht="21.2" customHeight="1">
      <c r="A75" s="8" t="s">
        <v>832</v>
      </c>
      <c r="B75" s="110" t="str">
        <f>VLOOKUP(A75,'The List'!B1:D730,3,FALSE)</f>
        <v>G</v>
      </c>
      <c r="C75" s="146">
        <f>RANK(E75,E3:E75)</f>
        <v>73</v>
      </c>
      <c r="D75" s="34" t="str">
        <f>VLOOKUP(A75,'The List'!B1:F730,5,FALSE)</f>
        <v>VAN</v>
      </c>
      <c r="E75" s="38">
        <f>VLOOKUP(A75,'The List'!B1:I730,8,FALSE)</f>
        <v>-3.172351078684474</v>
      </c>
      <c r="F75" s="38">
        <f>IF(Settings!$E$15="POINTS",E75-VLOOKUP(B$2,C1:E75,3,FALSE),J75)</f>
        <v>-4.8765801298747657</v>
      </c>
      <c r="G75" s="38"/>
      <c r="H75" s="138">
        <f>RANK(I75,I3:I75)</f>
        <v>73</v>
      </c>
      <c r="I75" s="139">
        <f>VLOOKUP(A75,'Standard Deviations'!A1:C731,3,FALSE)</f>
        <v>-3.172351078684474</v>
      </c>
      <c r="J75" s="139">
        <f>I75-VLOOKUP(B$2,H1:J75,2,FALSE)</f>
        <v>-4.8765801298747657</v>
      </c>
    </row>
  </sheetData>
  <conditionalFormatting sqref="C3:C75 H3:H75">
    <cfRule type="containsText" dxfId="5" priority="1" stopIfTrue="1" operator="containsText" text="/">
      <formula>NOT(ISERROR(FIND(UPPER("/"),UPPER(C3))))</formula>
      <formula>"/"</formula>
    </cfRule>
    <cfRule type="containsText" dxfId="4" priority="2" stopIfTrue="1" operator="containsText" text="C">
      <formula>NOT(ISERROR(FIND(UPPER("C"),UPPER(C3))))</formula>
      <formula>"C"</formula>
    </cfRule>
    <cfRule type="containsText" dxfId="3" priority="3" stopIfTrue="1" operator="containsText" text="D">
      <formula>NOT(ISERROR(FIND(UPPER("D"),UPPER(C3))))</formula>
      <formula>"D"</formula>
    </cfRule>
    <cfRule type="containsText" dxfId="2" priority="4" stopIfTrue="1" operator="containsText" text="LW">
      <formula>NOT(ISERROR(FIND(UPPER("LW"),UPPER(C3))))</formula>
      <formula>"LW"</formula>
    </cfRule>
    <cfRule type="containsText" dxfId="1" priority="5" stopIfTrue="1" operator="containsText" text="RW">
      <formula>NOT(ISERROR(FIND(UPPER("RW"),UPPER(C3))))</formula>
      <formula>"RW"</formula>
    </cfRule>
    <cfRule type="containsText" dxfId="0" priority="6" stopIfTrue="1" operator="containsText" text="G">
      <formula>NOT(ISERROR(FIND(UPPER("G"),UPPER(C3))))</formula>
      <formula>"G"</formula>
    </cfRule>
  </conditionalFormatting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H731"/>
  <sheetViews>
    <sheetView showGridLines="0" workbookViewId="0">
      <pane ySplit="1" topLeftCell="A2" activePane="bottomLeft" state="frozen"/>
      <selection pane="bottomLeft"/>
    </sheetView>
  </sheetViews>
  <sheetFormatPr defaultColWidth="8" defaultRowHeight="16.350000000000001" customHeight="1"/>
  <cols>
    <col min="1" max="1" width="28.28515625" style="1" customWidth="1"/>
    <col min="2" max="6" width="9.42578125" style="1" customWidth="1"/>
    <col min="7" max="8" width="11.85546875" style="1" customWidth="1"/>
    <col min="9" max="9" width="8" style="1" customWidth="1"/>
    <col min="10" max="16384" width="8" style="1"/>
  </cols>
  <sheetData>
    <row r="1" spans="1:8" ht="42.6" customHeight="1">
      <c r="A1" s="121" t="s">
        <v>64</v>
      </c>
      <c r="B1" s="147" t="s">
        <v>850</v>
      </c>
      <c r="C1" s="124" t="s">
        <v>851</v>
      </c>
      <c r="D1" s="124" t="s">
        <v>852</v>
      </c>
      <c r="E1" s="147" t="s">
        <v>853</v>
      </c>
      <c r="F1" s="148"/>
      <c r="G1" s="124" t="s">
        <v>69</v>
      </c>
      <c r="H1" s="124" t="s">
        <v>854</v>
      </c>
    </row>
    <row r="2" spans="1:8" ht="21.2" customHeight="1">
      <c r="A2" s="99" t="s">
        <v>103</v>
      </c>
      <c r="B2" s="149">
        <v>1.1000000000000001</v>
      </c>
      <c r="C2" s="150"/>
      <c r="D2" s="150">
        <v>1.03</v>
      </c>
      <c r="E2" s="149">
        <f t="shared" ref="E2:E65" si="0">IFERROR(AVERAGE(B2:D2),"—")</f>
        <v>1.0649999999999999</v>
      </c>
      <c r="F2" s="149"/>
      <c r="G2" s="151">
        <v>12500000</v>
      </c>
      <c r="H2" s="120" t="s">
        <v>834</v>
      </c>
    </row>
    <row r="3" spans="1:8" ht="21.2" customHeight="1">
      <c r="A3" s="8" t="s">
        <v>105</v>
      </c>
      <c r="B3" s="149">
        <v>2.4</v>
      </c>
      <c r="C3" s="149"/>
      <c r="D3" s="149">
        <v>2.4900000000000002</v>
      </c>
      <c r="E3" s="149">
        <f t="shared" si="0"/>
        <v>2.4450000000000003</v>
      </c>
      <c r="F3" s="149"/>
      <c r="G3" s="152">
        <v>8500000</v>
      </c>
      <c r="H3" s="52" t="s">
        <v>834</v>
      </c>
    </row>
    <row r="4" spans="1:8" ht="21.2" customHeight="1">
      <c r="A4" s="8" t="s">
        <v>106</v>
      </c>
      <c r="B4" s="149">
        <v>3.9</v>
      </c>
      <c r="C4" s="149"/>
      <c r="D4" s="149">
        <v>2.8</v>
      </c>
      <c r="E4" s="149">
        <f t="shared" si="0"/>
        <v>3.3499999999999996</v>
      </c>
      <c r="F4" s="149"/>
      <c r="G4" s="152">
        <v>12600000</v>
      </c>
      <c r="H4" s="52" t="s">
        <v>834</v>
      </c>
    </row>
    <row r="5" spans="1:8" ht="21.2" customHeight="1">
      <c r="A5" s="8" t="s">
        <v>110</v>
      </c>
      <c r="B5" s="149">
        <v>8.6999999999999993</v>
      </c>
      <c r="C5" s="149"/>
      <c r="D5" s="149">
        <v>9.49</v>
      </c>
      <c r="E5" s="149">
        <f t="shared" si="0"/>
        <v>9.0949999999999989</v>
      </c>
      <c r="F5" s="149"/>
      <c r="G5" s="152">
        <v>9500000</v>
      </c>
      <c r="H5" s="52" t="s">
        <v>834</v>
      </c>
    </row>
    <row r="6" spans="1:8" ht="21.2" customHeight="1">
      <c r="A6" s="8" t="s">
        <v>107</v>
      </c>
      <c r="B6" s="149">
        <v>6.3</v>
      </c>
      <c r="C6" s="149"/>
      <c r="D6" s="149">
        <v>7.55</v>
      </c>
      <c r="E6" s="149">
        <f t="shared" si="0"/>
        <v>6.9249999999999998</v>
      </c>
      <c r="F6" s="149"/>
      <c r="G6" s="152">
        <v>9500000</v>
      </c>
      <c r="H6" s="52" t="s">
        <v>834</v>
      </c>
    </row>
    <row r="7" spans="1:8" ht="21.2" customHeight="1">
      <c r="A7" s="8" t="s">
        <v>111</v>
      </c>
      <c r="B7" s="149">
        <v>9</v>
      </c>
      <c r="C7" s="149"/>
      <c r="D7" s="149">
        <v>6.09</v>
      </c>
      <c r="E7" s="149">
        <f t="shared" si="0"/>
        <v>7.5449999999999999</v>
      </c>
      <c r="F7" s="149"/>
      <c r="G7" s="152">
        <v>9250000</v>
      </c>
      <c r="H7" s="52" t="s">
        <v>834</v>
      </c>
    </row>
    <row r="8" spans="1:8" ht="21.2" customHeight="1">
      <c r="A8" s="8" t="s">
        <v>108</v>
      </c>
      <c r="B8" s="149">
        <v>7.8</v>
      </c>
      <c r="C8" s="149"/>
      <c r="D8" s="149">
        <v>4.68</v>
      </c>
      <c r="E8" s="149">
        <f t="shared" si="0"/>
        <v>6.24</v>
      </c>
      <c r="F8" s="149"/>
      <c r="G8" s="152">
        <v>11640250</v>
      </c>
      <c r="H8" s="52" t="s">
        <v>58</v>
      </c>
    </row>
    <row r="9" spans="1:8" ht="21.2" customHeight="1">
      <c r="A9" s="8" t="s">
        <v>118</v>
      </c>
      <c r="B9" s="149">
        <v>18.100000000000001</v>
      </c>
      <c r="C9" s="149"/>
      <c r="D9" s="149">
        <v>18.21</v>
      </c>
      <c r="E9" s="149">
        <f t="shared" si="0"/>
        <v>18.155000000000001</v>
      </c>
      <c r="F9" s="149"/>
      <c r="G9" s="152">
        <v>10903000</v>
      </c>
      <c r="H9" s="52" t="s">
        <v>834</v>
      </c>
    </row>
    <row r="10" spans="1:8" ht="21.2" customHeight="1">
      <c r="A10" s="8" t="s">
        <v>115</v>
      </c>
      <c r="B10" s="149">
        <v>15.2</v>
      </c>
      <c r="C10" s="149"/>
      <c r="D10" s="149">
        <v>14.27</v>
      </c>
      <c r="E10" s="149">
        <f t="shared" si="0"/>
        <v>14.734999999999999</v>
      </c>
      <c r="F10" s="149"/>
      <c r="G10" s="152">
        <v>9000000</v>
      </c>
      <c r="H10" s="52" t="s">
        <v>834</v>
      </c>
    </row>
    <row r="11" spans="1:8" ht="21.2" customHeight="1">
      <c r="A11" s="8" t="s">
        <v>114</v>
      </c>
      <c r="B11" s="149">
        <v>13.6</v>
      </c>
      <c r="C11" s="149"/>
      <c r="D11" s="149">
        <v>9.01</v>
      </c>
      <c r="E11" s="149">
        <f t="shared" si="0"/>
        <v>11.305</v>
      </c>
      <c r="F11" s="149"/>
      <c r="G11" s="152">
        <v>8000000</v>
      </c>
      <c r="H11" s="52" t="s">
        <v>58</v>
      </c>
    </row>
    <row r="12" spans="1:8" ht="21.2" customHeight="1">
      <c r="A12" s="8" t="s">
        <v>117</v>
      </c>
      <c r="B12" s="149">
        <v>8</v>
      </c>
      <c r="C12" s="149"/>
      <c r="D12" s="149">
        <v>9.81</v>
      </c>
      <c r="E12" s="149">
        <f t="shared" si="0"/>
        <v>8.9050000000000011</v>
      </c>
      <c r="F12" s="149"/>
      <c r="G12" s="152">
        <v>7750000</v>
      </c>
      <c r="H12" s="52" t="s">
        <v>834</v>
      </c>
    </row>
    <row r="13" spans="1:8" ht="21.2" customHeight="1">
      <c r="A13" s="8" t="s">
        <v>109</v>
      </c>
      <c r="B13" s="149">
        <v>3.7</v>
      </c>
      <c r="C13" s="149"/>
      <c r="D13" s="149">
        <v>5.05</v>
      </c>
      <c r="E13" s="149">
        <f t="shared" si="0"/>
        <v>4.375</v>
      </c>
      <c r="F13" s="149"/>
      <c r="G13" s="152">
        <v>11250000</v>
      </c>
      <c r="H13" s="52" t="s">
        <v>834</v>
      </c>
    </row>
    <row r="14" spans="1:8" ht="21.2" customHeight="1">
      <c r="A14" s="8" t="s">
        <v>136</v>
      </c>
      <c r="B14" s="149">
        <v>36.1</v>
      </c>
      <c r="C14" s="149"/>
      <c r="D14" s="149">
        <v>39.72</v>
      </c>
      <c r="E14" s="149">
        <f t="shared" si="0"/>
        <v>37.909999999999997</v>
      </c>
      <c r="F14" s="149"/>
      <c r="G14" s="152">
        <v>11642857</v>
      </c>
      <c r="H14" s="52" t="s">
        <v>834</v>
      </c>
    </row>
    <row r="15" spans="1:8" ht="21.2" customHeight="1">
      <c r="A15" s="8" t="s">
        <v>132</v>
      </c>
      <c r="B15" s="149">
        <v>60.2</v>
      </c>
      <c r="C15" s="149"/>
      <c r="D15" s="149">
        <v>28.81</v>
      </c>
      <c r="E15" s="149">
        <f t="shared" si="0"/>
        <v>44.505000000000003</v>
      </c>
      <c r="F15" s="149"/>
      <c r="G15" s="152">
        <v>10000000</v>
      </c>
      <c r="H15" s="52" t="s">
        <v>834</v>
      </c>
    </row>
    <row r="16" spans="1:8" ht="21.2" customHeight="1">
      <c r="A16" s="8" t="s">
        <v>116</v>
      </c>
      <c r="B16" s="149">
        <v>12.9</v>
      </c>
      <c r="C16" s="149"/>
      <c r="D16" s="149">
        <v>14.66</v>
      </c>
      <c r="E16" s="149">
        <f t="shared" si="0"/>
        <v>13.780000000000001</v>
      </c>
      <c r="F16" s="149"/>
      <c r="G16" s="152">
        <v>7140000</v>
      </c>
      <c r="H16" s="52" t="s">
        <v>834</v>
      </c>
    </row>
    <row r="17" spans="1:8" ht="21.2" customHeight="1">
      <c r="A17" s="8" t="s">
        <v>127</v>
      </c>
      <c r="B17" s="149">
        <v>31.4</v>
      </c>
      <c r="C17" s="149"/>
      <c r="D17" s="149">
        <v>12.39</v>
      </c>
      <c r="E17" s="149">
        <f t="shared" si="0"/>
        <v>21.895</v>
      </c>
      <c r="F17" s="149"/>
      <c r="G17" s="152">
        <v>7350000</v>
      </c>
      <c r="H17" s="52" t="s">
        <v>58</v>
      </c>
    </row>
    <row r="18" spans="1:8" ht="21.2" customHeight="1">
      <c r="A18" s="8" t="s">
        <v>139</v>
      </c>
      <c r="B18" s="149">
        <v>19</v>
      </c>
      <c r="C18" s="149"/>
      <c r="D18" s="149">
        <v>22.75</v>
      </c>
      <c r="E18" s="149">
        <f t="shared" si="0"/>
        <v>20.875</v>
      </c>
      <c r="F18" s="149"/>
      <c r="G18" s="152">
        <v>8700000</v>
      </c>
      <c r="H18" s="52" t="s">
        <v>834</v>
      </c>
    </row>
    <row r="19" spans="1:8" ht="21.2" customHeight="1">
      <c r="A19" s="8" t="s">
        <v>156</v>
      </c>
      <c r="B19" s="149">
        <v>74.5</v>
      </c>
      <c r="C19" s="149"/>
      <c r="D19" s="149">
        <v>59.74</v>
      </c>
      <c r="E19" s="149">
        <f t="shared" si="0"/>
        <v>67.12</v>
      </c>
      <c r="F19" s="149"/>
      <c r="G19" s="152">
        <v>9750000</v>
      </c>
      <c r="H19" s="52" t="s">
        <v>60</v>
      </c>
    </row>
    <row r="20" spans="1:8" ht="21.2" customHeight="1">
      <c r="A20" s="8" t="s">
        <v>145</v>
      </c>
      <c r="B20" s="149">
        <v>35.200000000000003</v>
      </c>
      <c r="C20" s="149"/>
      <c r="D20" s="149">
        <v>29.4</v>
      </c>
      <c r="E20" s="149">
        <f t="shared" si="0"/>
        <v>32.299999999999997</v>
      </c>
      <c r="F20" s="149"/>
      <c r="G20" s="152">
        <v>8500000</v>
      </c>
      <c r="H20" s="52" t="s">
        <v>60</v>
      </c>
    </row>
    <row r="21" spans="1:8" ht="21.2" customHeight="1">
      <c r="A21" s="8" t="s">
        <v>163</v>
      </c>
      <c r="B21" s="149">
        <v>139</v>
      </c>
      <c r="C21" s="149"/>
      <c r="D21" s="149">
        <v>86.4</v>
      </c>
      <c r="E21" s="149">
        <f t="shared" si="0"/>
        <v>112.7</v>
      </c>
      <c r="F21" s="149"/>
      <c r="G21" s="152">
        <v>5800000</v>
      </c>
      <c r="H21" s="52" t="s">
        <v>60</v>
      </c>
    </row>
    <row r="22" spans="1:8" ht="21.2" customHeight="1">
      <c r="A22" s="8" t="s">
        <v>112</v>
      </c>
      <c r="B22" s="149">
        <v>13.9</v>
      </c>
      <c r="C22" s="149"/>
      <c r="D22" s="149">
        <v>14.96</v>
      </c>
      <c r="E22" s="149">
        <f t="shared" si="0"/>
        <v>14.43</v>
      </c>
      <c r="F22" s="149"/>
      <c r="G22" s="152">
        <v>9000000</v>
      </c>
      <c r="H22" s="52" t="s">
        <v>58</v>
      </c>
    </row>
    <row r="23" spans="1:8" ht="21.2" customHeight="1">
      <c r="A23" s="8" t="s">
        <v>128</v>
      </c>
      <c r="B23" s="149">
        <v>26</v>
      </c>
      <c r="C23" s="149"/>
      <c r="D23" s="149">
        <v>26.47</v>
      </c>
      <c r="E23" s="149">
        <f t="shared" si="0"/>
        <v>26.234999999999999</v>
      </c>
      <c r="F23" s="149"/>
      <c r="G23" s="152">
        <v>8500000</v>
      </c>
      <c r="H23" s="52" t="s">
        <v>834</v>
      </c>
    </row>
    <row r="24" spans="1:8" ht="21.2" customHeight="1">
      <c r="A24" s="8" t="s">
        <v>140</v>
      </c>
      <c r="B24" s="149">
        <v>30.2</v>
      </c>
      <c r="C24" s="149"/>
      <c r="D24" s="149">
        <v>27.76</v>
      </c>
      <c r="E24" s="149">
        <f t="shared" si="0"/>
        <v>28.98</v>
      </c>
      <c r="F24" s="149"/>
      <c r="G24" s="152">
        <v>9500000</v>
      </c>
      <c r="H24" s="52" t="s">
        <v>58</v>
      </c>
    </row>
    <row r="25" spans="1:8" ht="21.2" customHeight="1">
      <c r="A25" s="8" t="s">
        <v>133</v>
      </c>
      <c r="B25" s="149">
        <v>44.7</v>
      </c>
      <c r="C25" s="149"/>
      <c r="D25" s="149">
        <v>28.95</v>
      </c>
      <c r="E25" s="149">
        <f t="shared" si="0"/>
        <v>36.825000000000003</v>
      </c>
      <c r="F25" s="149"/>
      <c r="G25" s="152">
        <v>7142857</v>
      </c>
      <c r="H25" s="52" t="s">
        <v>834</v>
      </c>
    </row>
    <row r="26" spans="1:8" ht="21.2" customHeight="1">
      <c r="A26" s="8" t="s">
        <v>153</v>
      </c>
      <c r="B26" s="149">
        <v>64.3</v>
      </c>
      <c r="C26" s="149"/>
      <c r="D26" s="149">
        <v>38.32</v>
      </c>
      <c r="E26" s="149">
        <f t="shared" si="0"/>
        <v>51.31</v>
      </c>
      <c r="F26" s="149"/>
      <c r="G26" s="152">
        <v>7150000</v>
      </c>
      <c r="H26" s="52" t="s">
        <v>834</v>
      </c>
    </row>
    <row r="27" spans="1:8" ht="21.2" customHeight="1">
      <c r="A27" s="8" t="s">
        <v>135</v>
      </c>
      <c r="B27" s="149">
        <v>32.200000000000003</v>
      </c>
      <c r="C27" s="149"/>
      <c r="D27" s="149">
        <v>18.13</v>
      </c>
      <c r="E27" s="149">
        <f t="shared" si="0"/>
        <v>25.164999999999999</v>
      </c>
      <c r="F27" s="149"/>
      <c r="G27" s="152">
        <v>8350000</v>
      </c>
      <c r="H27" s="52" t="s">
        <v>58</v>
      </c>
    </row>
    <row r="28" spans="1:8" ht="21.2" customHeight="1">
      <c r="A28" s="8" t="s">
        <v>120</v>
      </c>
      <c r="B28" s="149">
        <v>26.5</v>
      </c>
      <c r="C28" s="149"/>
      <c r="D28" s="149">
        <v>25.58</v>
      </c>
      <c r="E28" s="149">
        <f t="shared" si="0"/>
        <v>26.04</v>
      </c>
      <c r="F28" s="149"/>
      <c r="G28" s="152">
        <v>6962000</v>
      </c>
      <c r="H28" s="52" t="s">
        <v>58</v>
      </c>
    </row>
    <row r="29" spans="1:8" ht="21.2" customHeight="1">
      <c r="A29" s="8" t="s">
        <v>146</v>
      </c>
      <c r="B29" s="149">
        <v>38.700000000000003</v>
      </c>
      <c r="C29" s="149"/>
      <c r="D29" s="149">
        <v>24.28</v>
      </c>
      <c r="E29" s="149">
        <f t="shared" si="0"/>
        <v>31.490000000000002</v>
      </c>
      <c r="F29" s="149"/>
      <c r="G29" s="152">
        <v>8000000</v>
      </c>
      <c r="H29" s="52" t="s">
        <v>60</v>
      </c>
    </row>
    <row r="30" spans="1:8" ht="21.2" customHeight="1">
      <c r="A30" s="8" t="s">
        <v>147</v>
      </c>
      <c r="B30" s="149">
        <v>33</v>
      </c>
      <c r="C30" s="149"/>
      <c r="D30" s="149">
        <v>43.43</v>
      </c>
      <c r="E30" s="149">
        <f t="shared" si="0"/>
        <v>38.215000000000003</v>
      </c>
      <c r="F30" s="149"/>
      <c r="G30" s="152">
        <v>5125000</v>
      </c>
      <c r="H30" s="52" t="s">
        <v>834</v>
      </c>
    </row>
    <row r="31" spans="1:8" ht="21.2" customHeight="1">
      <c r="A31" s="8" t="s">
        <v>215</v>
      </c>
      <c r="B31" s="149">
        <v>163.6</v>
      </c>
      <c r="C31" s="149"/>
      <c r="D31" s="149">
        <v>161.27000000000001</v>
      </c>
      <c r="E31" s="149">
        <f t="shared" si="0"/>
        <v>162.435</v>
      </c>
      <c r="F31" s="149"/>
      <c r="G31" s="152">
        <v>8125000</v>
      </c>
      <c r="H31" s="52" t="s">
        <v>834</v>
      </c>
    </row>
    <row r="32" spans="1:8" ht="21.2" customHeight="1">
      <c r="A32" s="8" t="s">
        <v>176</v>
      </c>
      <c r="B32" s="149">
        <v>25.8</v>
      </c>
      <c r="C32" s="149"/>
      <c r="D32" s="149">
        <v>39.11</v>
      </c>
      <c r="E32" s="149">
        <f t="shared" si="0"/>
        <v>32.454999999999998</v>
      </c>
      <c r="F32" s="149"/>
      <c r="G32" s="152">
        <v>8000000</v>
      </c>
      <c r="H32" s="52" t="s">
        <v>834</v>
      </c>
    </row>
    <row r="33" spans="1:8" ht="21.2" customHeight="1">
      <c r="A33" s="8" t="s">
        <v>204</v>
      </c>
      <c r="B33" s="149">
        <v>42</v>
      </c>
      <c r="C33" s="149"/>
      <c r="D33" s="149">
        <v>50.17</v>
      </c>
      <c r="E33" s="149">
        <f t="shared" si="0"/>
        <v>46.085000000000001</v>
      </c>
      <c r="F33" s="149"/>
      <c r="G33" s="152"/>
      <c r="H33" s="52" t="s">
        <v>60</v>
      </c>
    </row>
    <row r="34" spans="1:8" ht="21.2" customHeight="1">
      <c r="A34" s="8" t="s">
        <v>152</v>
      </c>
      <c r="B34" s="149">
        <v>54</v>
      </c>
      <c r="C34" s="149"/>
      <c r="D34" s="149">
        <v>38.200000000000003</v>
      </c>
      <c r="E34" s="149">
        <f t="shared" si="0"/>
        <v>46.1</v>
      </c>
      <c r="F34" s="149"/>
      <c r="G34" s="152">
        <v>6000000</v>
      </c>
      <c r="H34" s="52" t="s">
        <v>834</v>
      </c>
    </row>
    <row r="35" spans="1:8" ht="21.2" customHeight="1">
      <c r="A35" s="8" t="s">
        <v>154</v>
      </c>
      <c r="B35" s="149">
        <v>129.5</v>
      </c>
      <c r="C35" s="149"/>
      <c r="D35" s="149">
        <v>62.27</v>
      </c>
      <c r="E35" s="149">
        <f t="shared" si="0"/>
        <v>95.885000000000005</v>
      </c>
      <c r="F35" s="149"/>
      <c r="G35" s="152">
        <v>8125000</v>
      </c>
      <c r="H35" s="52" t="s">
        <v>60</v>
      </c>
    </row>
    <row r="36" spans="1:8" ht="21.2" customHeight="1">
      <c r="A36" s="8" t="s">
        <v>131</v>
      </c>
      <c r="B36" s="149">
        <v>18.399999999999999</v>
      </c>
      <c r="C36" s="149"/>
      <c r="D36" s="149">
        <v>17.68</v>
      </c>
      <c r="E36" s="149">
        <f t="shared" si="0"/>
        <v>18.04</v>
      </c>
      <c r="F36" s="149"/>
      <c r="G36" s="152">
        <v>9500000</v>
      </c>
      <c r="H36" s="52" t="s">
        <v>834</v>
      </c>
    </row>
    <row r="37" spans="1:8" ht="21.2" customHeight="1">
      <c r="A37" s="8" t="s">
        <v>148</v>
      </c>
      <c r="B37" s="149">
        <v>76.400000000000006</v>
      </c>
      <c r="C37" s="149"/>
      <c r="D37" s="149">
        <v>47.7</v>
      </c>
      <c r="E37" s="149">
        <f t="shared" si="0"/>
        <v>62.050000000000004</v>
      </c>
      <c r="F37" s="149"/>
      <c r="G37" s="152">
        <v>7875000</v>
      </c>
      <c r="H37" s="52" t="s">
        <v>834</v>
      </c>
    </row>
    <row r="38" spans="1:8" ht="21.2" customHeight="1">
      <c r="A38" s="8" t="s">
        <v>164</v>
      </c>
      <c r="B38" s="149">
        <v>43.8</v>
      </c>
      <c r="C38" s="149"/>
      <c r="D38" s="149">
        <v>49.32</v>
      </c>
      <c r="E38" s="149">
        <f t="shared" si="0"/>
        <v>46.56</v>
      </c>
      <c r="F38" s="149"/>
      <c r="G38" s="152">
        <v>9606600</v>
      </c>
      <c r="H38" s="52" t="s">
        <v>834</v>
      </c>
    </row>
    <row r="39" spans="1:8" ht="21.2" customHeight="1">
      <c r="A39" s="8" t="s">
        <v>158</v>
      </c>
      <c r="B39" s="149">
        <v>69.099999999999994</v>
      </c>
      <c r="C39" s="149"/>
      <c r="D39" s="149">
        <v>45.3</v>
      </c>
      <c r="E39" s="149">
        <f t="shared" si="0"/>
        <v>57.199999999999996</v>
      </c>
      <c r="F39" s="149"/>
      <c r="G39" s="152">
        <v>7250000</v>
      </c>
      <c r="H39" s="52" t="s">
        <v>58</v>
      </c>
    </row>
    <row r="40" spans="1:8" ht="21.2" customHeight="1">
      <c r="A40" s="8" t="s">
        <v>162</v>
      </c>
      <c r="B40" s="149">
        <v>50.8</v>
      </c>
      <c r="C40" s="149"/>
      <c r="D40" s="149">
        <v>47.37</v>
      </c>
      <c r="E40" s="149">
        <f t="shared" si="0"/>
        <v>49.084999999999994</v>
      </c>
      <c r="F40" s="149"/>
      <c r="G40" s="152">
        <v>4750000</v>
      </c>
      <c r="H40" s="52" t="s">
        <v>834</v>
      </c>
    </row>
    <row r="41" spans="1:8" ht="21.2" customHeight="1">
      <c r="A41" s="8" t="s">
        <v>174</v>
      </c>
      <c r="B41" s="149">
        <v>161.4</v>
      </c>
      <c r="C41" s="149"/>
      <c r="D41" s="149">
        <v>69.319999999999993</v>
      </c>
      <c r="E41" s="149">
        <f t="shared" si="0"/>
        <v>115.36</v>
      </c>
      <c r="F41" s="149"/>
      <c r="G41" s="152">
        <v>8700000</v>
      </c>
      <c r="H41" s="52" t="s">
        <v>834</v>
      </c>
    </row>
    <row r="42" spans="1:8" ht="21.2" customHeight="1">
      <c r="A42" s="8" t="s">
        <v>194</v>
      </c>
      <c r="B42" s="149">
        <v>123.7</v>
      </c>
      <c r="C42" s="149"/>
      <c r="D42" s="149">
        <v>79.75</v>
      </c>
      <c r="E42" s="149">
        <f t="shared" si="0"/>
        <v>101.72499999999999</v>
      </c>
      <c r="F42" s="149"/>
      <c r="G42" s="152">
        <v>10500000</v>
      </c>
      <c r="H42" s="52" t="s">
        <v>834</v>
      </c>
    </row>
    <row r="43" spans="1:8" ht="21.2" customHeight="1">
      <c r="A43" s="8" t="s">
        <v>119</v>
      </c>
      <c r="B43" s="149">
        <v>41.1</v>
      </c>
      <c r="C43" s="149"/>
      <c r="D43" s="149">
        <v>34.07</v>
      </c>
      <c r="E43" s="149">
        <f t="shared" si="0"/>
        <v>37.585000000000001</v>
      </c>
      <c r="F43" s="149"/>
      <c r="G43" s="152">
        <v>10000000</v>
      </c>
      <c r="H43" s="52" t="s">
        <v>57</v>
      </c>
    </row>
    <row r="44" spans="1:8" ht="21.2" customHeight="1">
      <c r="A44" s="8" t="s">
        <v>223</v>
      </c>
      <c r="B44" s="149">
        <v>154.30000000000001</v>
      </c>
      <c r="C44" s="149"/>
      <c r="D44" s="149">
        <v>133.25</v>
      </c>
      <c r="E44" s="149">
        <f t="shared" si="0"/>
        <v>143.77500000000001</v>
      </c>
      <c r="F44" s="149"/>
      <c r="G44" s="152">
        <v>5850000</v>
      </c>
      <c r="H44" s="52" t="s">
        <v>834</v>
      </c>
    </row>
    <row r="45" spans="1:8" ht="21.2" customHeight="1">
      <c r="A45" s="8" t="s">
        <v>179</v>
      </c>
      <c r="B45" s="149">
        <v>35.799999999999997</v>
      </c>
      <c r="C45" s="149"/>
      <c r="D45" s="149">
        <v>58.89</v>
      </c>
      <c r="E45" s="149">
        <f t="shared" si="0"/>
        <v>47.344999999999999</v>
      </c>
      <c r="F45" s="149"/>
      <c r="G45" s="152">
        <v>6125000</v>
      </c>
      <c r="H45" s="52" t="s">
        <v>834</v>
      </c>
    </row>
    <row r="46" spans="1:8" ht="21.2" customHeight="1">
      <c r="A46" s="8" t="s">
        <v>195</v>
      </c>
      <c r="B46" s="149">
        <v>61.5</v>
      </c>
      <c r="C46" s="149"/>
      <c r="D46" s="149">
        <v>29.21</v>
      </c>
      <c r="E46" s="149">
        <f t="shared" si="0"/>
        <v>45.355000000000004</v>
      </c>
      <c r="F46" s="149"/>
      <c r="G46" s="152">
        <v>10000000</v>
      </c>
      <c r="H46" s="52" t="s">
        <v>58</v>
      </c>
    </row>
    <row r="47" spans="1:8" ht="21.2" customHeight="1">
      <c r="A47" s="8" t="s">
        <v>187</v>
      </c>
      <c r="B47" s="149">
        <v>131.5</v>
      </c>
      <c r="C47" s="149"/>
      <c r="D47" s="149">
        <v>117.35</v>
      </c>
      <c r="E47" s="149">
        <f t="shared" si="0"/>
        <v>124.425</v>
      </c>
      <c r="F47" s="149"/>
      <c r="G47" s="152">
        <v>7000000</v>
      </c>
      <c r="H47" s="52" t="s">
        <v>834</v>
      </c>
    </row>
    <row r="48" spans="1:8" ht="21.2" customHeight="1">
      <c r="A48" s="8" t="s">
        <v>157</v>
      </c>
      <c r="B48" s="149">
        <v>41.4</v>
      </c>
      <c r="C48" s="149"/>
      <c r="D48" s="149">
        <v>45.18</v>
      </c>
      <c r="E48" s="149">
        <f t="shared" si="0"/>
        <v>43.29</v>
      </c>
      <c r="F48" s="149"/>
      <c r="G48" s="152">
        <v>5500000</v>
      </c>
      <c r="H48" s="52" t="s">
        <v>834</v>
      </c>
    </row>
    <row r="49" spans="1:8" ht="21.2" customHeight="1">
      <c r="A49" s="8" t="s">
        <v>113</v>
      </c>
      <c r="B49" s="149">
        <v>46.7</v>
      </c>
      <c r="C49" s="149"/>
      <c r="D49" s="149">
        <v>20.84</v>
      </c>
      <c r="E49" s="149">
        <f t="shared" si="0"/>
        <v>33.770000000000003</v>
      </c>
      <c r="F49" s="149"/>
      <c r="G49" s="152">
        <v>9059000</v>
      </c>
      <c r="H49" s="52" t="s">
        <v>834</v>
      </c>
    </row>
    <row r="50" spans="1:8" ht="21.2" customHeight="1">
      <c r="A50" s="8" t="s">
        <v>125</v>
      </c>
      <c r="B50" s="149">
        <v>60.6</v>
      </c>
      <c r="C50" s="149"/>
      <c r="D50" s="149">
        <v>68.05</v>
      </c>
      <c r="E50" s="149">
        <f t="shared" si="0"/>
        <v>64.325000000000003</v>
      </c>
      <c r="F50" s="149"/>
      <c r="G50" s="152">
        <v>7850000</v>
      </c>
      <c r="H50" s="52" t="s">
        <v>834</v>
      </c>
    </row>
    <row r="51" spans="1:8" ht="21.2" customHeight="1">
      <c r="A51" s="8" t="s">
        <v>173</v>
      </c>
      <c r="B51" s="149">
        <v>88.6</v>
      </c>
      <c r="C51" s="149"/>
      <c r="D51" s="149">
        <v>76.760000000000005</v>
      </c>
      <c r="E51" s="149">
        <f t="shared" si="0"/>
        <v>82.68</v>
      </c>
      <c r="F51" s="149"/>
      <c r="G51" s="152">
        <v>7850000</v>
      </c>
      <c r="H51" s="52" t="s">
        <v>834</v>
      </c>
    </row>
    <row r="52" spans="1:8" ht="21.2" customHeight="1">
      <c r="A52" s="8" t="s">
        <v>149</v>
      </c>
      <c r="B52" s="149">
        <v>38.200000000000003</v>
      </c>
      <c r="C52" s="149"/>
      <c r="D52" s="149">
        <v>37.36</v>
      </c>
      <c r="E52" s="149">
        <f t="shared" si="0"/>
        <v>37.78</v>
      </c>
      <c r="F52" s="149"/>
      <c r="G52" s="152">
        <v>11000000</v>
      </c>
      <c r="H52" s="52" t="s">
        <v>834</v>
      </c>
    </row>
    <row r="53" spans="1:8" ht="21.2" customHeight="1">
      <c r="A53" s="8" t="s">
        <v>141</v>
      </c>
      <c r="B53" s="149">
        <v>59.4</v>
      </c>
      <c r="C53" s="149"/>
      <c r="D53" s="149">
        <v>82.92</v>
      </c>
      <c r="E53" s="149">
        <f t="shared" si="0"/>
        <v>71.16</v>
      </c>
      <c r="F53" s="149"/>
      <c r="G53" s="152">
        <v>7000000</v>
      </c>
      <c r="H53" s="52" t="s">
        <v>58</v>
      </c>
    </row>
    <row r="54" spans="1:8" ht="21.2" customHeight="1">
      <c r="A54" s="8" t="s">
        <v>159</v>
      </c>
      <c r="B54" s="149">
        <v>70.599999999999994</v>
      </c>
      <c r="C54" s="149"/>
      <c r="D54" s="149">
        <v>59.12</v>
      </c>
      <c r="E54" s="149">
        <f t="shared" si="0"/>
        <v>64.86</v>
      </c>
      <c r="F54" s="149"/>
      <c r="G54" s="152">
        <v>8700000</v>
      </c>
      <c r="H54" s="52" t="s">
        <v>57</v>
      </c>
    </row>
    <row r="55" spans="1:8" ht="21.2" customHeight="1">
      <c r="A55" s="8" t="s">
        <v>198</v>
      </c>
      <c r="B55" s="149">
        <v>145.69999999999999</v>
      </c>
      <c r="C55" s="149"/>
      <c r="D55" s="149">
        <v>95.68</v>
      </c>
      <c r="E55" s="149">
        <f t="shared" si="0"/>
        <v>120.69</v>
      </c>
      <c r="F55" s="149"/>
      <c r="G55" s="152">
        <v>6125000</v>
      </c>
      <c r="H55" s="52" t="s">
        <v>58</v>
      </c>
    </row>
    <row r="56" spans="1:8" ht="21.2" customHeight="1">
      <c r="A56" s="8" t="s">
        <v>170</v>
      </c>
      <c r="B56" s="149">
        <v>93.6</v>
      </c>
      <c r="C56" s="149"/>
      <c r="D56" s="149">
        <v>61.81</v>
      </c>
      <c r="E56" s="149">
        <f t="shared" si="0"/>
        <v>77.704999999999998</v>
      </c>
      <c r="F56" s="149"/>
      <c r="G56" s="152">
        <v>5500000</v>
      </c>
      <c r="H56" s="52" t="s">
        <v>834</v>
      </c>
    </row>
    <row r="57" spans="1:8" ht="21.2" customHeight="1">
      <c r="A57" s="8" t="s">
        <v>144</v>
      </c>
      <c r="B57" s="149">
        <v>12.4</v>
      </c>
      <c r="C57" s="149"/>
      <c r="D57" s="149">
        <v>12.41</v>
      </c>
      <c r="E57" s="149">
        <f t="shared" si="0"/>
        <v>12.405000000000001</v>
      </c>
      <c r="F57" s="149"/>
      <c r="G57" s="152">
        <v>8205714</v>
      </c>
      <c r="H57" s="52" t="s">
        <v>834</v>
      </c>
    </row>
    <row r="58" spans="1:8" ht="21.2" customHeight="1">
      <c r="A58" s="8" t="s">
        <v>244</v>
      </c>
      <c r="B58" s="149">
        <v>64.7</v>
      </c>
      <c r="C58" s="149"/>
      <c r="D58" s="149">
        <v>111</v>
      </c>
      <c r="E58" s="149">
        <f t="shared" si="0"/>
        <v>87.85</v>
      </c>
      <c r="F58" s="149"/>
      <c r="G58" s="152">
        <v>9500000</v>
      </c>
      <c r="H58" s="52" t="s">
        <v>834</v>
      </c>
    </row>
    <row r="59" spans="1:8" ht="21.2" customHeight="1">
      <c r="A59" s="8" t="s">
        <v>205</v>
      </c>
      <c r="B59" s="149">
        <v>135.6</v>
      </c>
      <c r="C59" s="149"/>
      <c r="D59" s="149">
        <v>64.88</v>
      </c>
      <c r="E59" s="149">
        <f t="shared" si="0"/>
        <v>100.24</v>
      </c>
      <c r="F59" s="149"/>
      <c r="G59" s="152">
        <v>8500000</v>
      </c>
      <c r="H59" s="52" t="s">
        <v>58</v>
      </c>
    </row>
    <row r="60" spans="1:8" ht="21.2" customHeight="1">
      <c r="A60" s="8" t="s">
        <v>160</v>
      </c>
      <c r="B60" s="149">
        <v>68</v>
      </c>
      <c r="C60" s="149"/>
      <c r="D60" s="149">
        <v>51.24</v>
      </c>
      <c r="E60" s="149">
        <f t="shared" si="0"/>
        <v>59.620000000000005</v>
      </c>
      <c r="F60" s="149"/>
      <c r="G60" s="152">
        <v>7750000</v>
      </c>
      <c r="H60" s="52" t="s">
        <v>58</v>
      </c>
    </row>
    <row r="61" spans="1:8" ht="21.2" customHeight="1">
      <c r="A61" s="8" t="s">
        <v>123</v>
      </c>
      <c r="B61" s="149">
        <v>34.299999999999997</v>
      </c>
      <c r="C61" s="149"/>
      <c r="D61" s="149">
        <v>41.61</v>
      </c>
      <c r="E61" s="149">
        <f t="shared" si="0"/>
        <v>37.954999999999998</v>
      </c>
      <c r="F61" s="149"/>
      <c r="G61" s="152">
        <v>9500000</v>
      </c>
      <c r="H61" s="52" t="s">
        <v>834</v>
      </c>
    </row>
    <row r="62" spans="1:8" ht="21.2" customHeight="1">
      <c r="A62" s="8" t="s">
        <v>203</v>
      </c>
      <c r="B62" s="149">
        <v>107.4</v>
      </c>
      <c r="C62" s="149"/>
      <c r="D62" s="149">
        <v>70.81</v>
      </c>
      <c r="E62" s="149">
        <f t="shared" si="0"/>
        <v>89.105000000000004</v>
      </c>
      <c r="F62" s="149"/>
      <c r="G62" s="152">
        <v>6100000</v>
      </c>
      <c r="H62" s="52" t="s">
        <v>58</v>
      </c>
    </row>
    <row r="63" spans="1:8" ht="21.2" customHeight="1">
      <c r="A63" s="8" t="s">
        <v>197</v>
      </c>
      <c r="B63" s="149">
        <v>75.400000000000006</v>
      </c>
      <c r="C63" s="149"/>
      <c r="D63" s="149">
        <v>60.18</v>
      </c>
      <c r="E63" s="149">
        <f t="shared" si="0"/>
        <v>67.790000000000006</v>
      </c>
      <c r="F63" s="149"/>
      <c r="G63" s="152">
        <v>4166700</v>
      </c>
      <c r="H63" s="52" t="s">
        <v>834</v>
      </c>
    </row>
    <row r="64" spans="1:8" ht="21.2" customHeight="1">
      <c r="A64" s="8" t="s">
        <v>186</v>
      </c>
      <c r="B64" s="149">
        <v>152.9</v>
      </c>
      <c r="C64" s="149"/>
      <c r="D64" s="149">
        <v>111.33</v>
      </c>
      <c r="E64" s="149">
        <f t="shared" si="0"/>
        <v>132.11500000000001</v>
      </c>
      <c r="F64" s="149"/>
      <c r="G64" s="152"/>
      <c r="H64" s="52" t="s">
        <v>58</v>
      </c>
    </row>
    <row r="65" spans="1:8" ht="21.2" customHeight="1">
      <c r="A65" s="8" t="s">
        <v>188</v>
      </c>
      <c r="B65" s="149">
        <v>165.9</v>
      </c>
      <c r="C65" s="149"/>
      <c r="D65" s="149">
        <v>141.65</v>
      </c>
      <c r="E65" s="149">
        <f t="shared" si="0"/>
        <v>153.77500000000001</v>
      </c>
      <c r="F65" s="149"/>
      <c r="G65" s="152">
        <v>9150000</v>
      </c>
      <c r="H65" s="52" t="s">
        <v>58</v>
      </c>
    </row>
    <row r="66" spans="1:8" ht="21.2" customHeight="1">
      <c r="A66" s="8" t="s">
        <v>202</v>
      </c>
      <c r="B66" s="149">
        <v>93.8</v>
      </c>
      <c r="C66" s="149"/>
      <c r="D66" s="149">
        <v>119.24</v>
      </c>
      <c r="E66" s="149">
        <f t="shared" ref="E66:E129" si="1">IFERROR(AVERAGE(B66:D66),"—")</f>
        <v>106.52</v>
      </c>
      <c r="F66" s="149"/>
      <c r="G66" s="152">
        <v>6000000</v>
      </c>
      <c r="H66" s="52" t="s">
        <v>60</v>
      </c>
    </row>
    <row r="67" spans="1:8" ht="21.2" customHeight="1">
      <c r="A67" s="8" t="s">
        <v>138</v>
      </c>
      <c r="B67" s="149">
        <v>36.799999999999997</v>
      </c>
      <c r="C67" s="149"/>
      <c r="D67" s="149">
        <v>21.78</v>
      </c>
      <c r="E67" s="149">
        <f t="shared" si="1"/>
        <v>29.29</v>
      </c>
      <c r="F67" s="149"/>
      <c r="G67" s="152">
        <v>8800000</v>
      </c>
      <c r="H67" s="52" t="s">
        <v>834</v>
      </c>
    </row>
    <row r="68" spans="1:8" ht="21.2" customHeight="1">
      <c r="A68" s="8" t="s">
        <v>175</v>
      </c>
      <c r="B68" s="149">
        <v>150.30000000000001</v>
      </c>
      <c r="C68" s="149"/>
      <c r="D68" s="149">
        <v>88.6</v>
      </c>
      <c r="E68" s="149">
        <f t="shared" si="1"/>
        <v>119.45</v>
      </c>
      <c r="F68" s="149"/>
      <c r="G68" s="152">
        <v>6500000</v>
      </c>
      <c r="H68" s="52" t="s">
        <v>60</v>
      </c>
    </row>
    <row r="69" spans="1:8" ht="21.2" customHeight="1">
      <c r="A69" s="8" t="s">
        <v>211</v>
      </c>
      <c r="B69" s="149">
        <v>159.4</v>
      </c>
      <c r="C69" s="149"/>
      <c r="D69" s="149">
        <v>85.81</v>
      </c>
      <c r="E69" s="149">
        <f t="shared" si="1"/>
        <v>122.605</v>
      </c>
      <c r="F69" s="149"/>
      <c r="G69" s="152">
        <v>6000000</v>
      </c>
      <c r="H69" s="52" t="s">
        <v>834</v>
      </c>
    </row>
    <row r="70" spans="1:8" ht="21.2" customHeight="1">
      <c r="A70" s="8" t="s">
        <v>236</v>
      </c>
      <c r="B70" s="149">
        <v>109.4</v>
      </c>
      <c r="C70" s="149"/>
      <c r="D70" s="149">
        <v>111</v>
      </c>
      <c r="E70" s="149">
        <f t="shared" si="1"/>
        <v>110.2</v>
      </c>
      <c r="F70" s="149"/>
      <c r="G70" s="152">
        <v>5500000</v>
      </c>
      <c r="H70" s="52" t="s">
        <v>60</v>
      </c>
    </row>
    <row r="71" spans="1:8" ht="21.2" customHeight="1">
      <c r="A71" s="8" t="s">
        <v>207</v>
      </c>
      <c r="B71" s="149">
        <v>135.80000000000001</v>
      </c>
      <c r="C71" s="149"/>
      <c r="D71" s="149">
        <v>90.47</v>
      </c>
      <c r="E71" s="149">
        <f t="shared" si="1"/>
        <v>113.13500000000001</v>
      </c>
      <c r="F71" s="149"/>
      <c r="G71" s="152">
        <v>6125000</v>
      </c>
      <c r="H71" s="52" t="s">
        <v>834</v>
      </c>
    </row>
    <row r="72" spans="1:8" ht="21.2" customHeight="1">
      <c r="A72" s="8" t="s">
        <v>191</v>
      </c>
      <c r="B72" s="149">
        <v>56.1</v>
      </c>
      <c r="C72" s="149"/>
      <c r="D72" s="149">
        <v>79.48</v>
      </c>
      <c r="E72" s="149">
        <f t="shared" si="1"/>
        <v>67.790000000000006</v>
      </c>
      <c r="F72" s="149"/>
      <c r="G72" s="152">
        <v>9000000</v>
      </c>
      <c r="H72" s="52" t="s">
        <v>834</v>
      </c>
    </row>
    <row r="73" spans="1:8" ht="21.2" customHeight="1">
      <c r="A73" s="8" t="s">
        <v>212</v>
      </c>
      <c r="B73" s="149">
        <v>143</v>
      </c>
      <c r="C73" s="149"/>
      <c r="D73" s="149">
        <v>108.84</v>
      </c>
      <c r="E73" s="149">
        <f t="shared" si="1"/>
        <v>125.92</v>
      </c>
      <c r="F73" s="149"/>
      <c r="G73" s="152">
        <v>4850000</v>
      </c>
      <c r="H73" s="52" t="s">
        <v>834</v>
      </c>
    </row>
    <row r="74" spans="1:8" ht="21.2" customHeight="1">
      <c r="A74" s="8" t="s">
        <v>228</v>
      </c>
      <c r="B74" s="149">
        <v>148.9</v>
      </c>
      <c r="C74" s="149"/>
      <c r="D74" s="149">
        <v>152.4</v>
      </c>
      <c r="E74" s="149">
        <f t="shared" si="1"/>
        <v>150.65</v>
      </c>
      <c r="F74" s="149"/>
      <c r="G74" s="152">
        <v>897500</v>
      </c>
      <c r="H74" s="52" t="s">
        <v>58</v>
      </c>
    </row>
    <row r="75" spans="1:8" ht="21.2" customHeight="1">
      <c r="A75" s="8" t="s">
        <v>224</v>
      </c>
      <c r="B75" s="149">
        <v>147.9</v>
      </c>
      <c r="C75" s="149"/>
      <c r="D75" s="149">
        <v>131.49</v>
      </c>
      <c r="E75" s="149">
        <f t="shared" si="1"/>
        <v>139.69499999999999</v>
      </c>
      <c r="F75" s="149"/>
      <c r="G75" s="152">
        <v>6000000</v>
      </c>
      <c r="H75" s="52" t="s">
        <v>834</v>
      </c>
    </row>
    <row r="76" spans="1:8" ht="21.2" customHeight="1">
      <c r="A76" s="8" t="s">
        <v>245</v>
      </c>
      <c r="B76" s="149">
        <v>156.6</v>
      </c>
      <c r="C76" s="149"/>
      <c r="D76" s="149">
        <v>160.38999999999999</v>
      </c>
      <c r="E76" s="149">
        <f t="shared" si="1"/>
        <v>158.495</v>
      </c>
      <c r="F76" s="149"/>
      <c r="G76" s="152">
        <v>8137500</v>
      </c>
      <c r="H76" s="52" t="s">
        <v>60</v>
      </c>
    </row>
    <row r="77" spans="1:8" ht="21.2" customHeight="1">
      <c r="A77" s="8" t="s">
        <v>229</v>
      </c>
      <c r="B77" s="149">
        <v>154</v>
      </c>
      <c r="C77" s="149"/>
      <c r="D77" s="149">
        <v>136.04</v>
      </c>
      <c r="E77" s="149">
        <f t="shared" si="1"/>
        <v>145.01999999999998</v>
      </c>
      <c r="F77" s="149"/>
      <c r="G77" s="152">
        <v>7875000</v>
      </c>
      <c r="H77" s="52" t="s">
        <v>834</v>
      </c>
    </row>
    <row r="78" spans="1:8" ht="21.2" customHeight="1">
      <c r="A78" s="8" t="s">
        <v>190</v>
      </c>
      <c r="B78" s="149">
        <v>140.80000000000001</v>
      </c>
      <c r="C78" s="149"/>
      <c r="D78" s="149">
        <v>108.2</v>
      </c>
      <c r="E78" s="149">
        <f t="shared" si="1"/>
        <v>124.5</v>
      </c>
      <c r="F78" s="149"/>
      <c r="G78" s="152">
        <v>8500000</v>
      </c>
      <c r="H78" s="52" t="s">
        <v>58</v>
      </c>
    </row>
    <row r="79" spans="1:8" ht="21.2" customHeight="1">
      <c r="A79" s="8" t="s">
        <v>185</v>
      </c>
      <c r="B79" s="149">
        <v>102</v>
      </c>
      <c r="C79" s="149"/>
      <c r="D79" s="149">
        <v>84.37</v>
      </c>
      <c r="E79" s="149">
        <f t="shared" si="1"/>
        <v>93.185000000000002</v>
      </c>
      <c r="F79" s="149"/>
      <c r="G79" s="152">
        <v>3500000</v>
      </c>
      <c r="H79" s="52" t="s">
        <v>834</v>
      </c>
    </row>
    <row r="80" spans="1:8" ht="21.2" customHeight="1">
      <c r="A80" s="8" t="s">
        <v>172</v>
      </c>
      <c r="B80" s="149">
        <v>141</v>
      </c>
      <c r="C80" s="149"/>
      <c r="D80" s="149">
        <v>118.7</v>
      </c>
      <c r="E80" s="149">
        <f t="shared" si="1"/>
        <v>129.85</v>
      </c>
      <c r="F80" s="149"/>
      <c r="G80" s="152">
        <v>7100000</v>
      </c>
      <c r="H80" s="52" t="s">
        <v>57</v>
      </c>
    </row>
    <row r="81" spans="1:8" ht="21.2" customHeight="1">
      <c r="A81" s="8" t="s">
        <v>166</v>
      </c>
      <c r="B81" s="149">
        <v>57.5</v>
      </c>
      <c r="C81" s="149"/>
      <c r="D81" s="149">
        <v>44.14</v>
      </c>
      <c r="E81" s="149">
        <f t="shared" si="1"/>
        <v>50.82</v>
      </c>
      <c r="F81" s="149"/>
      <c r="G81" s="152">
        <v>7875000</v>
      </c>
      <c r="H81" s="52" t="s">
        <v>834</v>
      </c>
    </row>
    <row r="82" spans="1:8" ht="21.2" customHeight="1">
      <c r="A82" s="8" t="s">
        <v>196</v>
      </c>
      <c r="B82" s="149">
        <v>146.19999999999999</v>
      </c>
      <c r="C82" s="149"/>
      <c r="D82" s="149">
        <v>91.31</v>
      </c>
      <c r="E82" s="149">
        <f t="shared" si="1"/>
        <v>118.755</v>
      </c>
      <c r="F82" s="149"/>
      <c r="G82" s="152">
        <v>3000000</v>
      </c>
      <c r="H82" s="52" t="s">
        <v>834</v>
      </c>
    </row>
    <row r="83" spans="1:8" ht="21.2" customHeight="1">
      <c r="A83" s="8" t="s">
        <v>225</v>
      </c>
      <c r="B83" s="149">
        <v>87.4</v>
      </c>
      <c r="C83" s="149"/>
      <c r="D83" s="149">
        <v>107.61</v>
      </c>
      <c r="E83" s="149">
        <f t="shared" si="1"/>
        <v>97.504999999999995</v>
      </c>
      <c r="F83" s="149"/>
      <c r="G83" s="152">
        <v>5000000</v>
      </c>
      <c r="H83" s="52" t="s">
        <v>834</v>
      </c>
    </row>
    <row r="84" spans="1:8" ht="21.2" customHeight="1">
      <c r="A84" s="8" t="s">
        <v>121</v>
      </c>
      <c r="B84" s="149">
        <v>42.3</v>
      </c>
      <c r="C84" s="149"/>
      <c r="D84" s="149">
        <v>29.68</v>
      </c>
      <c r="E84" s="149">
        <f t="shared" si="1"/>
        <v>35.989999999999995</v>
      </c>
      <c r="F84" s="149"/>
      <c r="G84" s="152">
        <v>6000000</v>
      </c>
      <c r="H84" s="52" t="s">
        <v>58</v>
      </c>
    </row>
    <row r="85" spans="1:8" ht="21.2" customHeight="1">
      <c r="A85" s="8" t="s">
        <v>221</v>
      </c>
      <c r="B85" s="149">
        <v>100.2</v>
      </c>
      <c r="C85" s="149"/>
      <c r="D85" s="149">
        <v>102.1</v>
      </c>
      <c r="E85" s="149">
        <f t="shared" si="1"/>
        <v>101.15</v>
      </c>
      <c r="F85" s="149"/>
      <c r="G85" s="152">
        <v>8500000</v>
      </c>
      <c r="H85" s="52" t="s">
        <v>834</v>
      </c>
    </row>
    <row r="86" spans="1:8" ht="21.2" customHeight="1">
      <c r="A86" s="8" t="s">
        <v>227</v>
      </c>
      <c r="B86" s="149">
        <v>140.9</v>
      </c>
      <c r="C86" s="149"/>
      <c r="D86" s="149">
        <v>147.96</v>
      </c>
      <c r="E86" s="149">
        <f t="shared" si="1"/>
        <v>144.43</v>
      </c>
      <c r="F86" s="149"/>
      <c r="G86" s="152">
        <v>1500000</v>
      </c>
      <c r="H86" s="52" t="s">
        <v>834</v>
      </c>
    </row>
    <row r="87" spans="1:8" ht="21.2" customHeight="1">
      <c r="A87" s="8" t="s">
        <v>258</v>
      </c>
      <c r="B87" s="149">
        <v>155.5</v>
      </c>
      <c r="C87" s="149"/>
      <c r="D87" s="149">
        <v>174.92</v>
      </c>
      <c r="E87" s="149">
        <f t="shared" si="1"/>
        <v>165.20999999999998</v>
      </c>
      <c r="F87" s="149"/>
      <c r="G87" s="152">
        <v>4750000</v>
      </c>
      <c r="H87" s="52" t="s">
        <v>834</v>
      </c>
    </row>
    <row r="88" spans="1:8" ht="21.2" customHeight="1">
      <c r="A88" s="8" t="s">
        <v>208</v>
      </c>
      <c r="B88" s="149">
        <v>142</v>
      </c>
      <c r="C88" s="149"/>
      <c r="D88" s="149">
        <v>72.33</v>
      </c>
      <c r="E88" s="149">
        <f t="shared" si="1"/>
        <v>107.16499999999999</v>
      </c>
      <c r="F88" s="149"/>
      <c r="G88" s="152">
        <v>7850000</v>
      </c>
      <c r="H88" s="52" t="s">
        <v>58</v>
      </c>
    </row>
    <row r="89" spans="1:8" ht="21.2" customHeight="1">
      <c r="A89" s="8" t="s">
        <v>222</v>
      </c>
      <c r="B89" s="149">
        <v>84.1</v>
      </c>
      <c r="C89" s="149"/>
      <c r="D89" s="149">
        <v>99.59</v>
      </c>
      <c r="E89" s="149">
        <f t="shared" si="1"/>
        <v>91.844999999999999</v>
      </c>
      <c r="F89" s="149"/>
      <c r="G89" s="152">
        <v>4975000</v>
      </c>
      <c r="H89" s="52" t="s">
        <v>834</v>
      </c>
    </row>
    <row r="90" spans="1:8" ht="21.2" customHeight="1">
      <c r="A90" s="8" t="s">
        <v>272</v>
      </c>
      <c r="B90" s="149">
        <v>163.1</v>
      </c>
      <c r="C90" s="149"/>
      <c r="D90" s="149">
        <v>218.58</v>
      </c>
      <c r="E90" s="149">
        <f t="shared" si="1"/>
        <v>190.84</v>
      </c>
      <c r="F90" s="149"/>
      <c r="G90" s="152">
        <v>5500000</v>
      </c>
      <c r="H90" s="52" t="s">
        <v>834</v>
      </c>
    </row>
    <row r="91" spans="1:8" ht="21.2" customHeight="1">
      <c r="A91" s="8" t="s">
        <v>242</v>
      </c>
      <c r="B91" s="149">
        <v>147.80000000000001</v>
      </c>
      <c r="C91" s="149"/>
      <c r="D91" s="149">
        <v>108.98</v>
      </c>
      <c r="E91" s="149">
        <f t="shared" si="1"/>
        <v>128.39000000000001</v>
      </c>
      <c r="F91" s="149"/>
      <c r="G91" s="152">
        <v>8000000</v>
      </c>
      <c r="H91" s="52" t="s">
        <v>834</v>
      </c>
    </row>
    <row r="92" spans="1:8" ht="21.2" customHeight="1">
      <c r="A92" s="8" t="s">
        <v>283</v>
      </c>
      <c r="B92" s="149">
        <v>158.80000000000001</v>
      </c>
      <c r="C92" s="149"/>
      <c r="D92" s="149">
        <v>184.94</v>
      </c>
      <c r="E92" s="149">
        <f t="shared" si="1"/>
        <v>171.87</v>
      </c>
      <c r="F92" s="149"/>
      <c r="G92" s="152">
        <v>2750000</v>
      </c>
      <c r="H92" s="52" t="s">
        <v>834</v>
      </c>
    </row>
    <row r="93" spans="1:8" ht="21.2" customHeight="1">
      <c r="A93" s="8" t="s">
        <v>189</v>
      </c>
      <c r="B93" s="149">
        <v>93.7</v>
      </c>
      <c r="C93" s="149"/>
      <c r="D93" s="149">
        <v>100.74</v>
      </c>
      <c r="E93" s="149">
        <f t="shared" si="1"/>
        <v>97.22</v>
      </c>
      <c r="F93" s="149"/>
      <c r="G93" s="152">
        <v>5000000</v>
      </c>
      <c r="H93" s="52" t="s">
        <v>834</v>
      </c>
    </row>
    <row r="94" spans="1:8" ht="21.2" customHeight="1">
      <c r="A94" s="8" t="s">
        <v>383</v>
      </c>
      <c r="B94" s="52" t="s">
        <v>60</v>
      </c>
      <c r="C94" s="149"/>
      <c r="D94" s="149">
        <v>211.44</v>
      </c>
      <c r="E94" s="149">
        <f t="shared" si="1"/>
        <v>211.44</v>
      </c>
      <c r="F94" s="149"/>
      <c r="G94" s="152">
        <v>7750000</v>
      </c>
      <c r="H94" s="52" t="s">
        <v>834</v>
      </c>
    </row>
    <row r="95" spans="1:8" ht="21.2" customHeight="1">
      <c r="A95" s="8" t="s">
        <v>217</v>
      </c>
      <c r="B95" s="149">
        <v>63.9</v>
      </c>
      <c r="C95" s="149"/>
      <c r="D95" s="149">
        <v>80.63</v>
      </c>
      <c r="E95" s="149">
        <f t="shared" si="1"/>
        <v>72.265000000000001</v>
      </c>
      <c r="F95" s="51"/>
      <c r="G95" s="152">
        <v>6500000</v>
      </c>
      <c r="H95" s="52" t="s">
        <v>834</v>
      </c>
    </row>
    <row r="96" spans="1:8" ht="21.2" customHeight="1">
      <c r="A96" s="8" t="s">
        <v>124</v>
      </c>
      <c r="B96" s="149">
        <v>72.5</v>
      </c>
      <c r="C96" s="149"/>
      <c r="D96" s="149">
        <v>37.32</v>
      </c>
      <c r="E96" s="149">
        <f t="shared" si="1"/>
        <v>54.91</v>
      </c>
      <c r="F96" s="149"/>
      <c r="G96" s="152">
        <v>8450000</v>
      </c>
      <c r="H96" s="52" t="s">
        <v>57</v>
      </c>
    </row>
    <row r="97" spans="1:8" ht="21.2" customHeight="1">
      <c r="A97" s="8" t="s">
        <v>161</v>
      </c>
      <c r="B97" s="149">
        <v>75.099999999999994</v>
      </c>
      <c r="C97" s="149"/>
      <c r="D97" s="149">
        <v>64.88</v>
      </c>
      <c r="E97" s="149">
        <f t="shared" si="1"/>
        <v>69.989999999999995</v>
      </c>
      <c r="F97" s="149"/>
      <c r="G97" s="152">
        <v>3500000</v>
      </c>
      <c r="H97" s="52" t="s">
        <v>834</v>
      </c>
    </row>
    <row r="98" spans="1:8" ht="21.2" customHeight="1">
      <c r="A98" s="8" t="s">
        <v>248</v>
      </c>
      <c r="B98" s="149">
        <v>170.2</v>
      </c>
      <c r="C98" s="149"/>
      <c r="D98" s="149">
        <v>145.66999999999999</v>
      </c>
      <c r="E98" s="149">
        <f t="shared" si="1"/>
        <v>157.935</v>
      </c>
      <c r="F98" s="149"/>
      <c r="G98" s="152">
        <v>4500000</v>
      </c>
      <c r="H98" s="52" t="s">
        <v>834</v>
      </c>
    </row>
    <row r="99" spans="1:8" ht="21.2" customHeight="1">
      <c r="A99" s="8" t="s">
        <v>122</v>
      </c>
      <c r="B99" s="149">
        <v>52.7</v>
      </c>
      <c r="C99" s="149"/>
      <c r="D99" s="149">
        <v>29.9</v>
      </c>
      <c r="E99" s="149">
        <f t="shared" si="1"/>
        <v>41.3</v>
      </c>
      <c r="F99" s="149"/>
      <c r="G99" s="152">
        <v>9000000</v>
      </c>
      <c r="H99" s="52" t="s">
        <v>58</v>
      </c>
    </row>
    <row r="100" spans="1:8" ht="21.2" customHeight="1">
      <c r="A100" s="8" t="s">
        <v>201</v>
      </c>
      <c r="B100" s="149">
        <v>155</v>
      </c>
      <c r="C100" s="149"/>
      <c r="D100" s="149">
        <v>115.45</v>
      </c>
      <c r="E100" s="149">
        <f t="shared" si="1"/>
        <v>135.22499999999999</v>
      </c>
      <c r="F100" s="51"/>
      <c r="G100" s="152">
        <v>5250000</v>
      </c>
      <c r="H100" s="52" t="s">
        <v>58</v>
      </c>
    </row>
    <row r="101" spans="1:8" ht="21.2" customHeight="1">
      <c r="A101" s="8" t="s">
        <v>137</v>
      </c>
      <c r="B101" s="149">
        <v>68.8</v>
      </c>
      <c r="C101" s="149"/>
      <c r="D101" s="149">
        <v>80.180000000000007</v>
      </c>
      <c r="E101" s="149">
        <f t="shared" si="1"/>
        <v>74.490000000000009</v>
      </c>
      <c r="F101" s="149"/>
      <c r="G101" s="152">
        <v>7875000</v>
      </c>
      <c r="H101" s="52" t="s">
        <v>834</v>
      </c>
    </row>
    <row r="102" spans="1:8" ht="21.2" customHeight="1">
      <c r="A102" s="8" t="s">
        <v>206</v>
      </c>
      <c r="B102" s="149">
        <v>96.7</v>
      </c>
      <c r="C102" s="149"/>
      <c r="D102" s="149">
        <v>62.93</v>
      </c>
      <c r="E102" s="149">
        <f t="shared" si="1"/>
        <v>79.814999999999998</v>
      </c>
      <c r="F102" s="149"/>
      <c r="G102" s="152">
        <v>5500000</v>
      </c>
      <c r="H102" s="52" t="s">
        <v>834</v>
      </c>
    </row>
    <row r="103" spans="1:8" ht="21.2" customHeight="1">
      <c r="A103" s="8" t="s">
        <v>230</v>
      </c>
      <c r="B103" s="149">
        <v>161.6</v>
      </c>
      <c r="C103" s="149"/>
      <c r="D103" s="149">
        <v>144.61000000000001</v>
      </c>
      <c r="E103" s="149">
        <f t="shared" si="1"/>
        <v>153.10500000000002</v>
      </c>
      <c r="F103" s="51"/>
      <c r="G103" s="152">
        <v>7000000</v>
      </c>
      <c r="H103" s="52" t="s">
        <v>834</v>
      </c>
    </row>
    <row r="104" spans="1:8" ht="21.2" customHeight="1">
      <c r="A104" s="8" t="s">
        <v>293</v>
      </c>
      <c r="B104" s="149">
        <v>175.4</v>
      </c>
      <c r="C104" s="149"/>
      <c r="D104" s="149">
        <v>186.83</v>
      </c>
      <c r="E104" s="149">
        <f t="shared" si="1"/>
        <v>181.11500000000001</v>
      </c>
      <c r="F104" s="149"/>
      <c r="G104" s="152">
        <v>6500000</v>
      </c>
      <c r="H104" s="52" t="s">
        <v>834</v>
      </c>
    </row>
    <row r="105" spans="1:8" ht="21.2" customHeight="1">
      <c r="A105" s="8" t="s">
        <v>351</v>
      </c>
      <c r="B105" s="52" t="s">
        <v>60</v>
      </c>
      <c r="C105" s="149"/>
      <c r="D105" s="149">
        <v>294.7</v>
      </c>
      <c r="E105" s="149">
        <f t="shared" si="1"/>
        <v>294.7</v>
      </c>
      <c r="F105" s="149"/>
      <c r="G105" s="152">
        <v>3425000</v>
      </c>
      <c r="H105" s="52" t="s">
        <v>834</v>
      </c>
    </row>
    <row r="106" spans="1:8" ht="21.2" customHeight="1">
      <c r="A106" s="8" t="s">
        <v>320</v>
      </c>
      <c r="B106" s="52" t="s">
        <v>60</v>
      </c>
      <c r="C106" s="149"/>
      <c r="D106" s="149">
        <v>222.87</v>
      </c>
      <c r="E106" s="149">
        <f t="shared" si="1"/>
        <v>222.87</v>
      </c>
      <c r="F106" s="149"/>
      <c r="G106" s="152">
        <v>800000</v>
      </c>
      <c r="H106" s="52" t="s">
        <v>834</v>
      </c>
    </row>
    <row r="107" spans="1:8" ht="21.2" customHeight="1">
      <c r="A107" s="8" t="s">
        <v>168</v>
      </c>
      <c r="B107" s="149">
        <v>93.6</v>
      </c>
      <c r="C107" s="149"/>
      <c r="D107" s="149">
        <v>46.84</v>
      </c>
      <c r="E107" s="149">
        <f t="shared" si="1"/>
        <v>70.22</v>
      </c>
      <c r="F107" s="149"/>
      <c r="G107" s="152">
        <v>8000000</v>
      </c>
      <c r="H107" s="52" t="s">
        <v>60</v>
      </c>
    </row>
    <row r="108" spans="1:8" ht="21.2" customHeight="1">
      <c r="A108" s="8" t="s">
        <v>323</v>
      </c>
      <c r="B108" s="149">
        <v>180.1</v>
      </c>
      <c r="C108" s="149"/>
      <c r="D108" s="149">
        <v>132.81</v>
      </c>
      <c r="E108" s="149">
        <f t="shared" si="1"/>
        <v>156.45499999999998</v>
      </c>
      <c r="F108" s="149"/>
      <c r="G108" s="152">
        <v>7950000</v>
      </c>
      <c r="H108" s="52" t="s">
        <v>834</v>
      </c>
    </row>
    <row r="109" spans="1:8" ht="21.2" customHeight="1">
      <c r="A109" s="8" t="s">
        <v>480</v>
      </c>
      <c r="B109" s="52" t="s">
        <v>60</v>
      </c>
      <c r="C109" s="149"/>
      <c r="D109" s="149">
        <v>235.44</v>
      </c>
      <c r="E109" s="149">
        <f t="shared" si="1"/>
        <v>235.44</v>
      </c>
      <c r="F109" s="149"/>
      <c r="G109" s="152">
        <v>894167</v>
      </c>
      <c r="H109" s="52" t="s">
        <v>60</v>
      </c>
    </row>
    <row r="110" spans="1:8" ht="21.2" customHeight="1">
      <c r="A110" s="8" t="s">
        <v>262</v>
      </c>
      <c r="B110" s="149">
        <v>129.69999999999999</v>
      </c>
      <c r="C110" s="149"/>
      <c r="D110" s="149">
        <v>122.35</v>
      </c>
      <c r="E110" s="149">
        <f t="shared" si="1"/>
        <v>126.02499999999999</v>
      </c>
      <c r="F110" s="149"/>
      <c r="G110" s="152">
        <v>5000000</v>
      </c>
      <c r="H110" s="52" t="s">
        <v>834</v>
      </c>
    </row>
    <row r="111" spans="1:8" ht="21.2" customHeight="1">
      <c r="A111" s="8" t="s">
        <v>218</v>
      </c>
      <c r="B111" s="149">
        <v>73.3</v>
      </c>
      <c r="C111" s="149"/>
      <c r="D111" s="149">
        <v>108.4</v>
      </c>
      <c r="E111" s="149">
        <f t="shared" si="1"/>
        <v>90.85</v>
      </c>
      <c r="F111" s="51"/>
      <c r="G111" s="152">
        <v>6500000</v>
      </c>
      <c r="H111" s="52" t="s">
        <v>834</v>
      </c>
    </row>
    <row r="112" spans="1:8" ht="21.2" customHeight="1">
      <c r="A112" s="8" t="s">
        <v>240</v>
      </c>
      <c r="B112" s="149">
        <v>170</v>
      </c>
      <c r="C112" s="149"/>
      <c r="D112" s="149">
        <v>179.46</v>
      </c>
      <c r="E112" s="149">
        <f t="shared" si="1"/>
        <v>174.73000000000002</v>
      </c>
      <c r="F112" s="149"/>
      <c r="G112" s="152">
        <v>925000</v>
      </c>
      <c r="H112" s="52" t="s">
        <v>58</v>
      </c>
    </row>
    <row r="113" spans="1:8" ht="21.2" customHeight="1">
      <c r="A113" s="8" t="s">
        <v>237</v>
      </c>
      <c r="B113" s="149">
        <v>156</v>
      </c>
      <c r="C113" s="149"/>
      <c r="D113" s="149">
        <v>131.30000000000001</v>
      </c>
      <c r="E113" s="149">
        <f t="shared" si="1"/>
        <v>143.65</v>
      </c>
      <c r="F113" s="149"/>
      <c r="G113" s="152">
        <v>4000000</v>
      </c>
      <c r="H113" s="52" t="s">
        <v>834</v>
      </c>
    </row>
    <row r="114" spans="1:8" ht="21.2" customHeight="1">
      <c r="A114" s="8" t="s">
        <v>239</v>
      </c>
      <c r="B114" s="149">
        <v>167.5</v>
      </c>
      <c r="C114" s="149"/>
      <c r="D114" s="149">
        <v>155.44</v>
      </c>
      <c r="E114" s="149">
        <f t="shared" si="1"/>
        <v>161.47</v>
      </c>
      <c r="F114" s="149"/>
      <c r="G114" s="152">
        <v>6000000</v>
      </c>
      <c r="H114" s="52" t="s">
        <v>58</v>
      </c>
    </row>
    <row r="115" spans="1:8" ht="21.2" customHeight="1">
      <c r="A115" s="8" t="s">
        <v>261</v>
      </c>
      <c r="B115" s="149">
        <v>166.9</v>
      </c>
      <c r="C115" s="149"/>
      <c r="D115" s="149">
        <v>163.29</v>
      </c>
      <c r="E115" s="149">
        <f t="shared" si="1"/>
        <v>165.095</v>
      </c>
      <c r="F115" s="149"/>
      <c r="G115" s="152">
        <v>8000000</v>
      </c>
      <c r="H115" s="52" t="s">
        <v>834</v>
      </c>
    </row>
    <row r="116" spans="1:8" ht="21.2" customHeight="1">
      <c r="A116" s="8" t="s">
        <v>231</v>
      </c>
      <c r="B116" s="149">
        <v>172.1</v>
      </c>
      <c r="C116" s="149"/>
      <c r="D116" s="149">
        <v>150.21</v>
      </c>
      <c r="E116" s="149">
        <f t="shared" si="1"/>
        <v>161.155</v>
      </c>
      <c r="F116" s="149"/>
      <c r="G116" s="152">
        <v>6654000</v>
      </c>
      <c r="H116" s="52" t="s">
        <v>834</v>
      </c>
    </row>
    <row r="117" spans="1:8" ht="21.2" customHeight="1">
      <c r="A117" s="8" t="s">
        <v>167</v>
      </c>
      <c r="B117" s="149">
        <v>61.5</v>
      </c>
      <c r="C117" s="149"/>
      <c r="D117" s="149">
        <v>94.55</v>
      </c>
      <c r="E117" s="149">
        <f t="shared" si="1"/>
        <v>78.025000000000006</v>
      </c>
      <c r="F117" s="149"/>
      <c r="G117" s="152">
        <v>9500000</v>
      </c>
      <c r="H117" s="52" t="s">
        <v>834</v>
      </c>
    </row>
    <row r="118" spans="1:8" ht="21.2" customHeight="1">
      <c r="A118" s="8" t="s">
        <v>155</v>
      </c>
      <c r="B118" s="149">
        <v>86.9</v>
      </c>
      <c r="C118" s="149"/>
      <c r="D118" s="149">
        <v>67.55</v>
      </c>
      <c r="E118" s="149">
        <f t="shared" si="1"/>
        <v>77.224999999999994</v>
      </c>
      <c r="F118" s="149"/>
      <c r="G118" s="152">
        <v>8088900</v>
      </c>
      <c r="H118" s="52" t="s">
        <v>834</v>
      </c>
    </row>
    <row r="119" spans="1:8" ht="21.2" customHeight="1">
      <c r="A119" s="8" t="s">
        <v>304</v>
      </c>
      <c r="B119" s="149">
        <v>158.19999999999999</v>
      </c>
      <c r="C119" s="149"/>
      <c r="D119" s="149">
        <v>215.16</v>
      </c>
      <c r="E119" s="149">
        <f t="shared" si="1"/>
        <v>186.68</v>
      </c>
      <c r="F119" s="149"/>
      <c r="G119" s="152">
        <v>7800000</v>
      </c>
      <c r="H119" s="52" t="s">
        <v>834</v>
      </c>
    </row>
    <row r="120" spans="1:8" ht="21.2" customHeight="1">
      <c r="A120" s="8" t="s">
        <v>318</v>
      </c>
      <c r="B120" s="52" t="s">
        <v>60</v>
      </c>
      <c r="C120" s="149"/>
      <c r="D120" s="149">
        <v>346.8</v>
      </c>
      <c r="E120" s="149">
        <f t="shared" si="1"/>
        <v>346.8</v>
      </c>
      <c r="F120" s="149"/>
      <c r="G120" s="152">
        <v>797500</v>
      </c>
      <c r="H120" s="52" t="s">
        <v>60</v>
      </c>
    </row>
    <row r="121" spans="1:8" ht="21.2" customHeight="1">
      <c r="A121" s="8" t="s">
        <v>307</v>
      </c>
      <c r="B121" s="149">
        <v>166.4</v>
      </c>
      <c r="C121" s="149"/>
      <c r="D121" s="149">
        <v>226.82</v>
      </c>
      <c r="E121" s="149">
        <f t="shared" si="1"/>
        <v>196.61</v>
      </c>
      <c r="F121" s="149"/>
      <c r="G121" s="152"/>
      <c r="H121" s="52" t="s">
        <v>834</v>
      </c>
    </row>
    <row r="122" spans="1:8" ht="21.2" customHeight="1">
      <c r="A122" s="8" t="s">
        <v>277</v>
      </c>
      <c r="B122" s="149">
        <v>171.7</v>
      </c>
      <c r="C122" s="149"/>
      <c r="D122" s="149">
        <v>206.22</v>
      </c>
      <c r="E122" s="149">
        <f t="shared" si="1"/>
        <v>188.95999999999998</v>
      </c>
      <c r="F122" s="149"/>
      <c r="G122" s="152">
        <v>6250000</v>
      </c>
      <c r="H122" s="52" t="s">
        <v>834</v>
      </c>
    </row>
    <row r="123" spans="1:8" ht="21.2" customHeight="1">
      <c r="A123" s="8" t="s">
        <v>256</v>
      </c>
      <c r="B123" s="149">
        <v>71.599999999999994</v>
      </c>
      <c r="C123" s="149"/>
      <c r="D123" s="149">
        <v>139.41</v>
      </c>
      <c r="E123" s="149">
        <f t="shared" si="1"/>
        <v>105.505</v>
      </c>
      <c r="F123" s="149"/>
      <c r="G123" s="152">
        <v>9500000</v>
      </c>
      <c r="H123" s="52" t="s">
        <v>834</v>
      </c>
    </row>
    <row r="124" spans="1:8" ht="21.2" customHeight="1">
      <c r="A124" s="8" t="s">
        <v>257</v>
      </c>
      <c r="B124" s="149">
        <v>73.099999999999994</v>
      </c>
      <c r="C124" s="149"/>
      <c r="D124" s="149">
        <v>85.15</v>
      </c>
      <c r="E124" s="149">
        <f t="shared" si="1"/>
        <v>79.125</v>
      </c>
      <c r="F124" s="149"/>
      <c r="G124" s="152">
        <v>4250000</v>
      </c>
      <c r="H124" s="52" t="s">
        <v>60</v>
      </c>
    </row>
    <row r="125" spans="1:8" ht="21.2" customHeight="1">
      <c r="A125" s="8" t="s">
        <v>306</v>
      </c>
      <c r="B125" s="149">
        <v>147.5</v>
      </c>
      <c r="C125" s="149"/>
      <c r="D125" s="149">
        <v>124.58</v>
      </c>
      <c r="E125" s="149">
        <f t="shared" si="1"/>
        <v>136.04</v>
      </c>
      <c r="F125" s="149"/>
      <c r="G125" s="152">
        <v>5625000</v>
      </c>
      <c r="H125" s="52" t="s">
        <v>834</v>
      </c>
    </row>
    <row r="126" spans="1:8" ht="21.2" customHeight="1">
      <c r="A126" s="8" t="s">
        <v>247</v>
      </c>
      <c r="B126" s="149">
        <v>155.9</v>
      </c>
      <c r="C126" s="149"/>
      <c r="D126" s="149">
        <v>177.75</v>
      </c>
      <c r="E126" s="149">
        <f t="shared" si="1"/>
        <v>166.82499999999999</v>
      </c>
      <c r="F126" s="149"/>
      <c r="G126" s="152">
        <v>4750000</v>
      </c>
      <c r="H126" s="52" t="s">
        <v>834</v>
      </c>
    </row>
    <row r="127" spans="1:8" ht="21.2" customHeight="1">
      <c r="A127" s="8" t="s">
        <v>151</v>
      </c>
      <c r="B127" s="149">
        <v>71.900000000000006</v>
      </c>
      <c r="C127" s="149"/>
      <c r="D127" s="149">
        <v>69.86</v>
      </c>
      <c r="E127" s="149">
        <f t="shared" si="1"/>
        <v>70.88</v>
      </c>
      <c r="F127" s="149"/>
      <c r="G127" s="152">
        <v>6250000</v>
      </c>
      <c r="H127" s="52" t="s">
        <v>58</v>
      </c>
    </row>
    <row r="128" spans="1:8" ht="21.2" customHeight="1">
      <c r="A128" s="8" t="s">
        <v>331</v>
      </c>
      <c r="B128" s="52" t="s">
        <v>60</v>
      </c>
      <c r="C128" s="149"/>
      <c r="D128" s="149">
        <v>212.66</v>
      </c>
      <c r="E128" s="149">
        <f t="shared" si="1"/>
        <v>212.66</v>
      </c>
      <c r="F128" s="149"/>
      <c r="G128" s="152"/>
      <c r="H128" s="52" t="s">
        <v>834</v>
      </c>
    </row>
    <row r="129" spans="1:8" ht="21.2" customHeight="1">
      <c r="A129" s="8" t="s">
        <v>271</v>
      </c>
      <c r="B129" s="52" t="s">
        <v>60</v>
      </c>
      <c r="C129" s="149"/>
      <c r="D129" s="149">
        <v>223.35</v>
      </c>
      <c r="E129" s="149">
        <f t="shared" si="1"/>
        <v>223.35</v>
      </c>
      <c r="F129" s="149"/>
      <c r="G129" s="152">
        <v>894167</v>
      </c>
      <c r="H129" s="52" t="s">
        <v>834</v>
      </c>
    </row>
    <row r="130" spans="1:8" ht="21.2" customHeight="1">
      <c r="A130" s="8" t="s">
        <v>177</v>
      </c>
      <c r="B130" s="149">
        <v>143.80000000000001</v>
      </c>
      <c r="C130" s="149"/>
      <c r="D130" s="149">
        <v>106.95</v>
      </c>
      <c r="E130" s="149">
        <f t="shared" ref="E130:E193" si="2">IFERROR(AVERAGE(B130:D130),"—")</f>
        <v>125.375</v>
      </c>
      <c r="F130" s="149"/>
      <c r="G130" s="152">
        <v>5200000</v>
      </c>
      <c r="H130" s="52" t="s">
        <v>834</v>
      </c>
    </row>
    <row r="131" spans="1:8" ht="21.2" customHeight="1">
      <c r="A131" s="8" t="s">
        <v>300</v>
      </c>
      <c r="B131" s="52" t="s">
        <v>60</v>
      </c>
      <c r="C131" s="149"/>
      <c r="D131" s="149">
        <v>222.41</v>
      </c>
      <c r="E131" s="149">
        <f t="shared" si="2"/>
        <v>222.41</v>
      </c>
      <c r="F131" s="149"/>
      <c r="G131" s="152">
        <v>2500000</v>
      </c>
      <c r="H131" s="52" t="s">
        <v>58</v>
      </c>
    </row>
    <row r="132" spans="1:8" ht="21.2" customHeight="1">
      <c r="A132" s="8" t="s">
        <v>295</v>
      </c>
      <c r="B132" s="149">
        <v>166</v>
      </c>
      <c r="C132" s="149"/>
      <c r="D132" s="149">
        <v>174.04</v>
      </c>
      <c r="E132" s="149">
        <f t="shared" si="2"/>
        <v>170.01999999999998</v>
      </c>
      <c r="F132" s="149"/>
      <c r="G132" s="152">
        <v>3000000</v>
      </c>
      <c r="H132" s="52" t="s">
        <v>834</v>
      </c>
    </row>
    <row r="133" spans="1:8" ht="21.2" customHeight="1">
      <c r="A133" s="8" t="s">
        <v>254</v>
      </c>
      <c r="B133" s="149">
        <v>156.9</v>
      </c>
      <c r="C133" s="149"/>
      <c r="D133" s="149">
        <v>159.97</v>
      </c>
      <c r="E133" s="149">
        <f t="shared" si="2"/>
        <v>158.435</v>
      </c>
      <c r="F133" s="51"/>
      <c r="G133" s="152">
        <v>894167</v>
      </c>
      <c r="H133" s="52" t="s">
        <v>57</v>
      </c>
    </row>
    <row r="134" spans="1:8" ht="21.2" customHeight="1">
      <c r="A134" s="8" t="s">
        <v>192</v>
      </c>
      <c r="B134" s="149">
        <v>98.9</v>
      </c>
      <c r="C134" s="149"/>
      <c r="D134" s="149">
        <v>101.25</v>
      </c>
      <c r="E134" s="149">
        <f t="shared" si="2"/>
        <v>100.075</v>
      </c>
      <c r="F134" s="149"/>
      <c r="G134" s="152">
        <v>7350000</v>
      </c>
      <c r="H134" s="52" t="s">
        <v>58</v>
      </c>
    </row>
    <row r="135" spans="1:8" ht="21.2" customHeight="1">
      <c r="A135" s="8" t="s">
        <v>276</v>
      </c>
      <c r="B135" s="149">
        <v>162.19999999999999</v>
      </c>
      <c r="C135" s="149"/>
      <c r="D135" s="149">
        <v>186.59</v>
      </c>
      <c r="E135" s="149">
        <f t="shared" si="2"/>
        <v>174.39499999999998</v>
      </c>
      <c r="F135" s="149"/>
      <c r="G135" s="152">
        <v>6500000</v>
      </c>
      <c r="H135" s="52" t="s">
        <v>834</v>
      </c>
    </row>
    <row r="136" spans="1:8" ht="21.2" customHeight="1">
      <c r="A136" s="8" t="s">
        <v>260</v>
      </c>
      <c r="B136" s="149">
        <v>101.7</v>
      </c>
      <c r="C136" s="149"/>
      <c r="D136" s="149">
        <v>110.19</v>
      </c>
      <c r="E136" s="149">
        <f t="shared" si="2"/>
        <v>105.94499999999999</v>
      </c>
      <c r="F136" s="149"/>
      <c r="G136" s="152">
        <v>5000000</v>
      </c>
      <c r="H136" s="52" t="s">
        <v>834</v>
      </c>
    </row>
    <row r="137" spans="1:8" ht="21.2" customHeight="1">
      <c r="A137" s="8" t="s">
        <v>343</v>
      </c>
      <c r="B137" s="52" t="s">
        <v>60</v>
      </c>
      <c r="C137" s="149"/>
      <c r="D137" s="149">
        <v>186.98</v>
      </c>
      <c r="E137" s="149">
        <f t="shared" si="2"/>
        <v>186.98</v>
      </c>
      <c r="F137" s="149"/>
      <c r="G137" s="152">
        <v>2625000</v>
      </c>
      <c r="H137" s="52" t="s">
        <v>834</v>
      </c>
    </row>
    <row r="138" spans="1:8" ht="21.2" customHeight="1">
      <c r="A138" s="8" t="s">
        <v>184</v>
      </c>
      <c r="B138" s="149">
        <v>130.4</v>
      </c>
      <c r="C138" s="149"/>
      <c r="D138" s="149">
        <v>114.63</v>
      </c>
      <c r="E138" s="149">
        <f t="shared" si="2"/>
        <v>122.515</v>
      </c>
      <c r="F138" s="149"/>
      <c r="G138" s="152">
        <v>7500000</v>
      </c>
      <c r="H138" s="52" t="s">
        <v>58</v>
      </c>
    </row>
    <row r="139" spans="1:8" ht="21.2" customHeight="1">
      <c r="A139" s="8" t="s">
        <v>387</v>
      </c>
      <c r="B139" s="52" t="s">
        <v>60</v>
      </c>
      <c r="C139" s="149"/>
      <c r="D139" s="149">
        <v>220.75</v>
      </c>
      <c r="E139" s="149">
        <f t="shared" si="2"/>
        <v>220.75</v>
      </c>
      <c r="F139" s="149"/>
      <c r="G139" s="152">
        <v>3000000</v>
      </c>
      <c r="H139" s="52" t="s">
        <v>834</v>
      </c>
    </row>
    <row r="140" spans="1:8" ht="21.2" customHeight="1">
      <c r="A140" s="8" t="s">
        <v>264</v>
      </c>
      <c r="B140" s="149">
        <v>147.5</v>
      </c>
      <c r="C140" s="149"/>
      <c r="D140" s="149">
        <v>131.38999999999999</v>
      </c>
      <c r="E140" s="149">
        <f t="shared" si="2"/>
        <v>139.44499999999999</v>
      </c>
      <c r="F140" s="149"/>
      <c r="G140" s="152">
        <v>4250000</v>
      </c>
      <c r="H140" s="52" t="s">
        <v>834</v>
      </c>
    </row>
    <row r="141" spans="1:8" ht="21.2" customHeight="1">
      <c r="A141" s="8" t="s">
        <v>180</v>
      </c>
      <c r="B141" s="149">
        <v>155.19999999999999</v>
      </c>
      <c r="C141" s="149"/>
      <c r="D141" s="149">
        <v>70.84</v>
      </c>
      <c r="E141" s="149">
        <f t="shared" si="2"/>
        <v>113.02</v>
      </c>
      <c r="F141" s="149"/>
      <c r="G141" s="152">
        <v>9583330</v>
      </c>
      <c r="H141" s="52" t="s">
        <v>58</v>
      </c>
    </row>
    <row r="142" spans="1:8" ht="21.2" customHeight="1">
      <c r="A142" s="8" t="s">
        <v>126</v>
      </c>
      <c r="B142" s="149">
        <v>84.7</v>
      </c>
      <c r="C142" s="149"/>
      <c r="D142" s="149">
        <v>45.9</v>
      </c>
      <c r="E142" s="149">
        <f t="shared" si="2"/>
        <v>65.3</v>
      </c>
      <c r="F142" s="149"/>
      <c r="G142" s="152"/>
      <c r="H142" s="52" t="s">
        <v>54</v>
      </c>
    </row>
    <row r="143" spans="1:8" ht="21.2" customHeight="1">
      <c r="A143" s="8" t="s">
        <v>259</v>
      </c>
      <c r="B143" s="149">
        <v>158.4</v>
      </c>
      <c r="C143" s="149"/>
      <c r="D143" s="149">
        <v>132.78</v>
      </c>
      <c r="E143" s="149">
        <f t="shared" si="2"/>
        <v>145.59</v>
      </c>
      <c r="F143" s="149"/>
      <c r="G143" s="152">
        <v>1500000</v>
      </c>
      <c r="H143" s="52" t="s">
        <v>834</v>
      </c>
    </row>
    <row r="144" spans="1:8" ht="21.2" customHeight="1">
      <c r="A144" s="8" t="s">
        <v>360</v>
      </c>
      <c r="B144" s="149">
        <v>166.6</v>
      </c>
      <c r="C144" s="149"/>
      <c r="D144" s="149">
        <v>229.51</v>
      </c>
      <c r="E144" s="149">
        <f t="shared" si="2"/>
        <v>198.05500000000001</v>
      </c>
      <c r="F144" s="149"/>
      <c r="G144" s="152">
        <v>4500000</v>
      </c>
      <c r="H144" s="52" t="s">
        <v>834</v>
      </c>
    </row>
    <row r="145" spans="1:8" ht="21.2" customHeight="1">
      <c r="A145" s="8" t="s">
        <v>516</v>
      </c>
      <c r="B145" s="149">
        <v>166.3</v>
      </c>
      <c r="C145" s="149"/>
      <c r="D145" s="149">
        <v>152.51</v>
      </c>
      <c r="E145" s="149">
        <f t="shared" si="2"/>
        <v>159.405</v>
      </c>
      <c r="F145" s="51"/>
      <c r="G145" s="152">
        <v>2000000</v>
      </c>
      <c r="H145" s="52" t="s">
        <v>834</v>
      </c>
    </row>
    <row r="146" spans="1:8" ht="21.2" customHeight="1">
      <c r="A146" s="8" t="s">
        <v>209</v>
      </c>
      <c r="B146" s="149">
        <v>116.8</v>
      </c>
      <c r="C146" s="149"/>
      <c r="D146" s="149">
        <v>120.39</v>
      </c>
      <c r="E146" s="149">
        <f t="shared" si="2"/>
        <v>118.595</v>
      </c>
      <c r="F146" s="51"/>
      <c r="G146" s="152">
        <v>11000000</v>
      </c>
      <c r="H146" s="52" t="s">
        <v>60</v>
      </c>
    </row>
    <row r="147" spans="1:8" ht="21.2" customHeight="1">
      <c r="A147" s="8" t="s">
        <v>359</v>
      </c>
      <c r="B147" s="149">
        <v>159.19999999999999</v>
      </c>
      <c r="C147" s="149"/>
      <c r="D147" s="149">
        <v>222.26</v>
      </c>
      <c r="E147" s="149">
        <f t="shared" si="2"/>
        <v>190.73</v>
      </c>
      <c r="F147" s="149"/>
      <c r="G147" s="152"/>
      <c r="H147" s="52" t="s">
        <v>834</v>
      </c>
    </row>
    <row r="148" spans="1:8" ht="21.2" customHeight="1">
      <c r="A148" s="8" t="s">
        <v>324</v>
      </c>
      <c r="B148" s="149">
        <v>153.9</v>
      </c>
      <c r="C148" s="149"/>
      <c r="D148" s="149">
        <v>141.65</v>
      </c>
      <c r="E148" s="149">
        <f t="shared" si="2"/>
        <v>147.77500000000001</v>
      </c>
      <c r="F148" s="149"/>
      <c r="G148" s="152">
        <v>6343750</v>
      </c>
      <c r="H148" s="52" t="s">
        <v>834</v>
      </c>
    </row>
    <row r="149" spans="1:8" ht="21.2" customHeight="1">
      <c r="A149" s="8" t="s">
        <v>368</v>
      </c>
      <c r="B149" s="52" t="s">
        <v>60</v>
      </c>
      <c r="C149" s="149"/>
      <c r="D149" s="149">
        <v>424.9</v>
      </c>
      <c r="E149" s="149">
        <f t="shared" si="2"/>
        <v>424.9</v>
      </c>
      <c r="F149" s="51"/>
      <c r="G149" s="152">
        <v>2500000</v>
      </c>
      <c r="H149" s="52" t="s">
        <v>834</v>
      </c>
    </row>
    <row r="150" spans="1:8" ht="21.2" customHeight="1">
      <c r="A150" s="8" t="s">
        <v>285</v>
      </c>
      <c r="B150" s="52" t="s">
        <v>60</v>
      </c>
      <c r="C150" s="149"/>
      <c r="D150" s="149">
        <v>229.84</v>
      </c>
      <c r="E150" s="149">
        <f t="shared" si="2"/>
        <v>229.84</v>
      </c>
      <c r="F150" s="149"/>
      <c r="G150" s="152">
        <v>5800000</v>
      </c>
      <c r="H150" s="52" t="s">
        <v>834</v>
      </c>
    </row>
    <row r="151" spans="1:8" ht="21.2" customHeight="1">
      <c r="A151" s="8" t="s">
        <v>362</v>
      </c>
      <c r="B151" s="52" t="s">
        <v>60</v>
      </c>
      <c r="C151" s="149"/>
      <c r="D151" s="149">
        <v>203.3</v>
      </c>
      <c r="E151" s="149">
        <f t="shared" si="2"/>
        <v>203.3</v>
      </c>
      <c r="F151" s="149"/>
      <c r="G151" s="152">
        <v>3437500</v>
      </c>
      <c r="H151" s="52" t="s">
        <v>834</v>
      </c>
    </row>
    <row r="152" spans="1:8" ht="21.2" customHeight="1">
      <c r="A152" s="8" t="s">
        <v>302</v>
      </c>
      <c r="B152" s="149">
        <v>150.9</v>
      </c>
      <c r="C152" s="149"/>
      <c r="D152" s="149">
        <v>169.93</v>
      </c>
      <c r="E152" s="149">
        <f t="shared" si="2"/>
        <v>160.41500000000002</v>
      </c>
      <c r="F152" s="149"/>
      <c r="G152" s="152">
        <v>4425000</v>
      </c>
      <c r="H152" s="52" t="s">
        <v>834</v>
      </c>
    </row>
    <row r="153" spans="1:8" ht="21.2" customHeight="1">
      <c r="A153" s="8" t="s">
        <v>344</v>
      </c>
      <c r="B153" s="149">
        <v>162.69999999999999</v>
      </c>
      <c r="C153" s="149"/>
      <c r="D153" s="149">
        <v>180.76</v>
      </c>
      <c r="E153" s="149">
        <f t="shared" si="2"/>
        <v>171.73</v>
      </c>
      <c r="F153" s="149"/>
      <c r="G153" s="152">
        <v>880000</v>
      </c>
      <c r="H153" s="52" t="s">
        <v>60</v>
      </c>
    </row>
    <row r="154" spans="1:8" ht="21.2" customHeight="1">
      <c r="A154" s="8" t="s">
        <v>143</v>
      </c>
      <c r="B154" s="149">
        <v>86</v>
      </c>
      <c r="C154" s="149"/>
      <c r="D154" s="149">
        <v>77.17</v>
      </c>
      <c r="E154" s="149">
        <f t="shared" si="2"/>
        <v>81.585000000000008</v>
      </c>
      <c r="F154" s="149"/>
      <c r="G154" s="152">
        <v>863000</v>
      </c>
      <c r="H154" s="52" t="s">
        <v>57</v>
      </c>
    </row>
    <row r="155" spans="1:8" ht="21.2" customHeight="1">
      <c r="A155" s="8" t="s">
        <v>214</v>
      </c>
      <c r="B155" s="149">
        <v>100.9</v>
      </c>
      <c r="C155" s="149"/>
      <c r="D155" s="149">
        <v>130.36000000000001</v>
      </c>
      <c r="E155" s="149">
        <f t="shared" si="2"/>
        <v>115.63000000000001</v>
      </c>
      <c r="F155" s="149"/>
      <c r="G155" s="152">
        <v>4100000</v>
      </c>
      <c r="H155" s="52" t="s">
        <v>834</v>
      </c>
    </row>
    <row r="156" spans="1:8" ht="21.2" customHeight="1">
      <c r="A156" s="8" t="s">
        <v>327</v>
      </c>
      <c r="B156" s="52" t="s">
        <v>60</v>
      </c>
      <c r="C156" s="149"/>
      <c r="D156" s="149">
        <v>223.46</v>
      </c>
      <c r="E156" s="149">
        <f t="shared" si="2"/>
        <v>223.46</v>
      </c>
      <c r="F156" s="149"/>
      <c r="G156" s="152">
        <v>3362500</v>
      </c>
      <c r="H156" s="52" t="s">
        <v>58</v>
      </c>
    </row>
    <row r="157" spans="1:8" ht="21.2" customHeight="1">
      <c r="A157" s="8" t="s">
        <v>193</v>
      </c>
      <c r="B157" s="149">
        <v>112.5</v>
      </c>
      <c r="C157" s="149"/>
      <c r="D157" s="149">
        <v>92.49</v>
      </c>
      <c r="E157" s="149">
        <f t="shared" si="2"/>
        <v>102.495</v>
      </c>
      <c r="F157" s="51"/>
      <c r="G157" s="152">
        <v>6100000</v>
      </c>
      <c r="H157" s="52" t="s">
        <v>60</v>
      </c>
    </row>
    <row r="158" spans="1:8" ht="21.2" customHeight="1">
      <c r="A158" s="8" t="s">
        <v>290</v>
      </c>
      <c r="B158" s="149">
        <v>125.2</v>
      </c>
      <c r="C158" s="149"/>
      <c r="D158" s="149">
        <v>216.09</v>
      </c>
      <c r="E158" s="149">
        <f t="shared" si="2"/>
        <v>170.64500000000001</v>
      </c>
      <c r="F158" s="51"/>
      <c r="G158" s="152">
        <v>5500000</v>
      </c>
      <c r="H158" s="52" t="s">
        <v>834</v>
      </c>
    </row>
    <row r="159" spans="1:8" ht="21.2" customHeight="1">
      <c r="A159" s="8" t="s">
        <v>341</v>
      </c>
      <c r="B159" s="149">
        <v>164.2</v>
      </c>
      <c r="C159" s="149"/>
      <c r="D159" s="149">
        <v>161.62</v>
      </c>
      <c r="E159" s="149">
        <f t="shared" si="2"/>
        <v>162.91</v>
      </c>
      <c r="F159" s="149"/>
      <c r="G159" s="152">
        <v>5000000</v>
      </c>
      <c r="H159" s="52" t="s">
        <v>58</v>
      </c>
    </row>
    <row r="160" spans="1:8" ht="21.2" customHeight="1">
      <c r="A160" s="8" t="s">
        <v>299</v>
      </c>
      <c r="B160" s="149">
        <v>158.69999999999999</v>
      </c>
      <c r="C160" s="149"/>
      <c r="D160" s="149">
        <v>188.91</v>
      </c>
      <c r="E160" s="149">
        <f t="shared" si="2"/>
        <v>173.80500000000001</v>
      </c>
      <c r="F160" s="51"/>
      <c r="G160" s="152">
        <v>5000000</v>
      </c>
      <c r="H160" s="52" t="s">
        <v>834</v>
      </c>
    </row>
    <row r="161" spans="1:8" ht="21.2" customHeight="1">
      <c r="A161" s="8" t="s">
        <v>411</v>
      </c>
      <c r="B161" s="52" t="s">
        <v>60</v>
      </c>
      <c r="C161" s="149"/>
      <c r="D161" s="149">
        <v>239.55</v>
      </c>
      <c r="E161" s="149">
        <f t="shared" si="2"/>
        <v>239.55</v>
      </c>
      <c r="F161" s="149"/>
      <c r="G161" s="152">
        <v>849167</v>
      </c>
      <c r="H161" s="52" t="s">
        <v>834</v>
      </c>
    </row>
    <row r="162" spans="1:8" ht="21.2" customHeight="1">
      <c r="A162" s="8" t="s">
        <v>297</v>
      </c>
      <c r="B162" s="149">
        <v>152</v>
      </c>
      <c r="C162" s="149"/>
      <c r="D162" s="149">
        <v>164.82</v>
      </c>
      <c r="E162" s="149">
        <f t="shared" si="2"/>
        <v>158.41</v>
      </c>
      <c r="F162" s="149"/>
      <c r="G162" s="152">
        <v>5000000</v>
      </c>
      <c r="H162" s="52" t="s">
        <v>834</v>
      </c>
    </row>
    <row r="163" spans="1:8" ht="21.2" customHeight="1">
      <c r="A163" s="8" t="s">
        <v>544</v>
      </c>
      <c r="B163" s="52" t="s">
        <v>60</v>
      </c>
      <c r="C163" s="149"/>
      <c r="D163" s="52" t="s">
        <v>60</v>
      </c>
      <c r="E163" s="52" t="str">
        <f t="shared" si="2"/>
        <v>—</v>
      </c>
      <c r="F163" s="149"/>
      <c r="G163" s="152">
        <v>775000</v>
      </c>
      <c r="H163" s="52" t="s">
        <v>834</v>
      </c>
    </row>
    <row r="164" spans="1:8" ht="21.2" customHeight="1">
      <c r="A164" s="8" t="s">
        <v>182</v>
      </c>
      <c r="B164" s="149">
        <v>127.9</v>
      </c>
      <c r="C164" s="149"/>
      <c r="D164" s="149">
        <v>131.84</v>
      </c>
      <c r="E164" s="149">
        <f t="shared" si="2"/>
        <v>129.87</v>
      </c>
      <c r="F164" s="149"/>
      <c r="G164" s="152">
        <v>4550000</v>
      </c>
      <c r="H164" s="52" t="s">
        <v>834</v>
      </c>
    </row>
    <row r="165" spans="1:8" ht="21.2" customHeight="1">
      <c r="A165" s="8" t="s">
        <v>169</v>
      </c>
      <c r="B165" s="149">
        <v>112.4</v>
      </c>
      <c r="C165" s="149"/>
      <c r="D165" s="149">
        <v>93.98</v>
      </c>
      <c r="E165" s="149">
        <f t="shared" si="2"/>
        <v>103.19</v>
      </c>
      <c r="F165" s="149"/>
      <c r="G165" s="152">
        <v>4000000</v>
      </c>
      <c r="H165" s="52" t="s">
        <v>834</v>
      </c>
    </row>
    <row r="166" spans="1:8" ht="21.2" customHeight="1">
      <c r="A166" s="8" t="s">
        <v>313</v>
      </c>
      <c r="B166" s="149">
        <v>179.1</v>
      </c>
      <c r="C166" s="149"/>
      <c r="D166" s="149">
        <v>175.12</v>
      </c>
      <c r="E166" s="149">
        <f t="shared" si="2"/>
        <v>177.11</v>
      </c>
      <c r="F166" s="149"/>
      <c r="G166" s="152">
        <v>1700000</v>
      </c>
      <c r="H166" s="52" t="s">
        <v>834</v>
      </c>
    </row>
    <row r="167" spans="1:8" ht="21.2" customHeight="1">
      <c r="A167" s="8" t="s">
        <v>394</v>
      </c>
      <c r="B167" s="52" t="s">
        <v>60</v>
      </c>
      <c r="C167" s="149"/>
      <c r="D167" s="149">
        <v>211.37</v>
      </c>
      <c r="E167" s="149">
        <f t="shared" si="2"/>
        <v>211.37</v>
      </c>
      <c r="F167" s="51"/>
      <c r="G167" s="152">
        <v>4500000</v>
      </c>
      <c r="H167" s="52" t="s">
        <v>834</v>
      </c>
    </row>
    <row r="168" spans="1:8" ht="21.2" customHeight="1">
      <c r="A168" s="8" t="s">
        <v>280</v>
      </c>
      <c r="B168" s="52" t="s">
        <v>60</v>
      </c>
      <c r="C168" s="149"/>
      <c r="D168" s="149">
        <v>201.38</v>
      </c>
      <c r="E168" s="149">
        <f t="shared" si="2"/>
        <v>201.38</v>
      </c>
      <c r="F168" s="149"/>
      <c r="G168" s="152">
        <v>894167</v>
      </c>
      <c r="H168" s="52" t="s">
        <v>58</v>
      </c>
    </row>
    <row r="169" spans="1:8" ht="21.2" customHeight="1">
      <c r="A169" s="8" t="s">
        <v>220</v>
      </c>
      <c r="B169" s="149">
        <v>166.3</v>
      </c>
      <c r="C169" s="149"/>
      <c r="D169" s="149">
        <v>118.67</v>
      </c>
      <c r="E169" s="149">
        <f t="shared" si="2"/>
        <v>142.48500000000001</v>
      </c>
      <c r="F169" s="51"/>
      <c r="G169" s="152">
        <v>4875000</v>
      </c>
      <c r="H169" s="52" t="s">
        <v>60</v>
      </c>
    </row>
    <row r="170" spans="1:8" ht="21.2" customHeight="1">
      <c r="A170" s="8" t="s">
        <v>379</v>
      </c>
      <c r="B170" s="149">
        <v>92.6</v>
      </c>
      <c r="C170" s="149"/>
      <c r="D170" s="149">
        <v>50.86</v>
      </c>
      <c r="E170" s="149">
        <f t="shared" si="2"/>
        <v>71.72999999999999</v>
      </c>
      <c r="F170" s="51"/>
      <c r="G170" s="152">
        <v>5125000</v>
      </c>
      <c r="H170" s="52" t="s">
        <v>834</v>
      </c>
    </row>
    <row r="171" spans="1:8" ht="21.2" customHeight="1">
      <c r="A171" s="8" t="s">
        <v>347</v>
      </c>
      <c r="B171" s="52" t="s">
        <v>60</v>
      </c>
      <c r="C171" s="149"/>
      <c r="D171" s="149">
        <v>350.23</v>
      </c>
      <c r="E171" s="149">
        <f t="shared" si="2"/>
        <v>350.23</v>
      </c>
      <c r="F171" s="51"/>
      <c r="G171" s="152">
        <v>5825000</v>
      </c>
      <c r="H171" s="52" t="s">
        <v>834</v>
      </c>
    </row>
    <row r="172" spans="1:8" ht="21.2" customHeight="1">
      <c r="A172" s="8" t="s">
        <v>352</v>
      </c>
      <c r="B172" s="52" t="s">
        <v>60</v>
      </c>
      <c r="C172" s="149"/>
      <c r="D172" s="149">
        <v>226.95</v>
      </c>
      <c r="E172" s="149">
        <f t="shared" si="2"/>
        <v>226.95</v>
      </c>
      <c r="F172" s="149"/>
      <c r="G172" s="152">
        <v>5500000</v>
      </c>
      <c r="H172" s="52" t="s">
        <v>834</v>
      </c>
    </row>
    <row r="173" spans="1:8" ht="21.2" customHeight="1">
      <c r="A173" s="8" t="s">
        <v>296</v>
      </c>
      <c r="B173" s="149">
        <v>163.5</v>
      </c>
      <c r="C173" s="149"/>
      <c r="D173" s="149">
        <v>190.51</v>
      </c>
      <c r="E173" s="149">
        <f t="shared" si="2"/>
        <v>177.005</v>
      </c>
      <c r="F173" s="149"/>
      <c r="G173" s="152">
        <v>7000000</v>
      </c>
      <c r="H173" s="52" t="s">
        <v>834</v>
      </c>
    </row>
    <row r="174" spans="1:8" ht="21.2" customHeight="1">
      <c r="A174" s="8" t="s">
        <v>319</v>
      </c>
      <c r="B174" s="149">
        <v>137.1</v>
      </c>
      <c r="C174" s="149"/>
      <c r="D174" s="149">
        <v>135.4</v>
      </c>
      <c r="E174" s="149">
        <f t="shared" si="2"/>
        <v>136.25</v>
      </c>
      <c r="F174" s="51"/>
      <c r="G174" s="152">
        <v>5500000</v>
      </c>
      <c r="H174" s="52" t="s">
        <v>54</v>
      </c>
    </row>
    <row r="175" spans="1:8" ht="21.2" customHeight="1">
      <c r="A175" s="8" t="s">
        <v>491</v>
      </c>
      <c r="B175" s="52" t="s">
        <v>60</v>
      </c>
      <c r="C175" s="149"/>
      <c r="D175" s="149">
        <v>330.03</v>
      </c>
      <c r="E175" s="149">
        <f t="shared" si="2"/>
        <v>330.03</v>
      </c>
      <c r="F175" s="149"/>
      <c r="G175" s="152">
        <v>9200000</v>
      </c>
      <c r="H175" s="52" t="s">
        <v>834</v>
      </c>
    </row>
    <row r="176" spans="1:8" ht="21.2" customHeight="1">
      <c r="A176" s="8" t="s">
        <v>291</v>
      </c>
      <c r="B176" s="149">
        <v>169.6</v>
      </c>
      <c r="C176" s="149"/>
      <c r="D176" s="149">
        <v>189.4</v>
      </c>
      <c r="E176" s="149">
        <f t="shared" si="2"/>
        <v>179.5</v>
      </c>
      <c r="F176" s="51"/>
      <c r="G176" s="152">
        <v>5125000</v>
      </c>
      <c r="H176" s="52" t="s">
        <v>834</v>
      </c>
    </row>
    <row r="177" spans="1:8" ht="21.2" customHeight="1">
      <c r="A177" s="8" t="s">
        <v>183</v>
      </c>
      <c r="B177" s="149">
        <v>111.6</v>
      </c>
      <c r="C177" s="149"/>
      <c r="D177" s="149">
        <v>78.569999999999993</v>
      </c>
      <c r="E177" s="149">
        <f t="shared" si="2"/>
        <v>95.084999999999994</v>
      </c>
      <c r="F177" s="51"/>
      <c r="G177" s="152">
        <v>8800000</v>
      </c>
      <c r="H177" s="52" t="s">
        <v>834</v>
      </c>
    </row>
    <row r="178" spans="1:8" ht="21.2" customHeight="1">
      <c r="A178" s="8" t="s">
        <v>384</v>
      </c>
      <c r="B178" s="52" t="s">
        <v>60</v>
      </c>
      <c r="C178" s="149"/>
      <c r="D178" s="149">
        <v>329.49</v>
      </c>
      <c r="E178" s="149">
        <f t="shared" si="2"/>
        <v>329.49</v>
      </c>
      <c r="F178" s="149"/>
      <c r="G178" s="152">
        <v>5900000</v>
      </c>
      <c r="H178" s="52" t="s">
        <v>834</v>
      </c>
    </row>
    <row r="179" spans="1:8" ht="21.2" customHeight="1">
      <c r="A179" s="8" t="s">
        <v>363</v>
      </c>
      <c r="B179" s="52" t="s">
        <v>60</v>
      </c>
      <c r="C179" s="149"/>
      <c r="D179" s="149">
        <v>144.63</v>
      </c>
      <c r="E179" s="149">
        <f t="shared" si="2"/>
        <v>144.63</v>
      </c>
      <c r="F179" s="51"/>
      <c r="G179" s="152">
        <v>3750000</v>
      </c>
      <c r="H179" s="52" t="s">
        <v>834</v>
      </c>
    </row>
    <row r="180" spans="1:8" ht="21.2" customHeight="1">
      <c r="A180" s="8" t="s">
        <v>336</v>
      </c>
      <c r="B180" s="149">
        <v>168.8</v>
      </c>
      <c r="C180" s="149"/>
      <c r="D180" s="149">
        <v>217.68</v>
      </c>
      <c r="E180" s="149">
        <f t="shared" si="2"/>
        <v>193.24</v>
      </c>
      <c r="F180" s="149"/>
      <c r="G180" s="152">
        <v>5400000</v>
      </c>
      <c r="H180" s="52" t="s">
        <v>834</v>
      </c>
    </row>
    <row r="181" spans="1:8" ht="21.2" customHeight="1">
      <c r="A181" s="8" t="s">
        <v>335</v>
      </c>
      <c r="B181" s="149">
        <v>182.3</v>
      </c>
      <c r="C181" s="149"/>
      <c r="D181" s="149">
        <v>1210.5999999999999</v>
      </c>
      <c r="E181" s="149">
        <f t="shared" si="2"/>
        <v>696.44999999999993</v>
      </c>
      <c r="F181" s="51"/>
      <c r="G181" s="152">
        <v>4950000</v>
      </c>
      <c r="H181" s="52" t="s">
        <v>834</v>
      </c>
    </row>
    <row r="182" spans="1:8" ht="21.2" customHeight="1">
      <c r="A182" s="8" t="s">
        <v>226</v>
      </c>
      <c r="B182" s="149">
        <v>144.9</v>
      </c>
      <c r="C182" s="149"/>
      <c r="D182" s="149">
        <v>103.76</v>
      </c>
      <c r="E182" s="149">
        <f t="shared" si="2"/>
        <v>124.33000000000001</v>
      </c>
      <c r="F182" s="51"/>
      <c r="G182" s="152">
        <v>4600000</v>
      </c>
      <c r="H182" s="52" t="s">
        <v>834</v>
      </c>
    </row>
    <row r="183" spans="1:8" ht="21.2" customHeight="1">
      <c r="A183" s="8" t="s">
        <v>374</v>
      </c>
      <c r="B183" s="52" t="s">
        <v>60</v>
      </c>
      <c r="C183" s="149"/>
      <c r="D183" s="149">
        <v>237.09</v>
      </c>
      <c r="E183" s="149">
        <f t="shared" si="2"/>
        <v>237.09</v>
      </c>
      <c r="F183" s="51"/>
      <c r="G183" s="152">
        <v>925000</v>
      </c>
      <c r="H183" s="52" t="s">
        <v>834</v>
      </c>
    </row>
    <row r="184" spans="1:8" ht="21.2" customHeight="1">
      <c r="A184" s="8" t="s">
        <v>213</v>
      </c>
      <c r="B184" s="149">
        <v>132.30000000000001</v>
      </c>
      <c r="C184" s="149"/>
      <c r="D184" s="149">
        <v>120.32</v>
      </c>
      <c r="E184" s="149">
        <f t="shared" si="2"/>
        <v>126.31</v>
      </c>
      <c r="F184" s="149"/>
      <c r="G184" s="152">
        <v>8000000</v>
      </c>
      <c r="H184" s="52" t="s">
        <v>834</v>
      </c>
    </row>
    <row r="185" spans="1:8" ht="21.2" customHeight="1">
      <c r="A185" s="8" t="s">
        <v>309</v>
      </c>
      <c r="B185" s="52" t="s">
        <v>60</v>
      </c>
      <c r="C185" s="149"/>
      <c r="D185" s="149">
        <v>225.65</v>
      </c>
      <c r="E185" s="149">
        <f t="shared" si="2"/>
        <v>225.65</v>
      </c>
      <c r="F185" s="51"/>
      <c r="G185" s="152">
        <v>925000</v>
      </c>
      <c r="H185" s="52" t="s">
        <v>58</v>
      </c>
    </row>
    <row r="186" spans="1:8" ht="21.2" customHeight="1">
      <c r="A186" s="8" t="s">
        <v>216</v>
      </c>
      <c r="B186" s="149">
        <v>144.4</v>
      </c>
      <c r="C186" s="149"/>
      <c r="D186" s="149">
        <v>208.79</v>
      </c>
      <c r="E186" s="149">
        <f t="shared" si="2"/>
        <v>176.595</v>
      </c>
      <c r="F186" s="149"/>
      <c r="G186" s="152">
        <v>6500000</v>
      </c>
      <c r="H186" s="52" t="s">
        <v>834</v>
      </c>
    </row>
    <row r="187" spans="1:8" ht="21.2" customHeight="1">
      <c r="A187" s="8" t="s">
        <v>369</v>
      </c>
      <c r="B187" s="52" t="s">
        <v>60</v>
      </c>
      <c r="C187" s="149"/>
      <c r="D187" s="149">
        <v>221.28</v>
      </c>
      <c r="E187" s="149">
        <f t="shared" si="2"/>
        <v>221.28</v>
      </c>
      <c r="F187" s="51"/>
      <c r="G187" s="152">
        <v>894167</v>
      </c>
      <c r="H187" s="52" t="s">
        <v>58</v>
      </c>
    </row>
    <row r="188" spans="1:8" ht="21.2" customHeight="1">
      <c r="A188" s="8" t="s">
        <v>367</v>
      </c>
      <c r="B188" s="52" t="s">
        <v>60</v>
      </c>
      <c r="C188" s="149"/>
      <c r="D188" s="52" t="s">
        <v>60</v>
      </c>
      <c r="E188" s="52" t="str">
        <f t="shared" si="2"/>
        <v>—</v>
      </c>
      <c r="F188" s="51"/>
      <c r="G188" s="152">
        <v>2500000</v>
      </c>
      <c r="H188" s="52" t="s">
        <v>58</v>
      </c>
    </row>
    <row r="189" spans="1:8" ht="21.2" customHeight="1">
      <c r="A189" s="8" t="s">
        <v>349</v>
      </c>
      <c r="B189" s="52" t="s">
        <v>60</v>
      </c>
      <c r="C189" s="149"/>
      <c r="D189" s="149">
        <v>220.86</v>
      </c>
      <c r="E189" s="149">
        <f t="shared" si="2"/>
        <v>220.86</v>
      </c>
      <c r="F189" s="149"/>
      <c r="G189" s="152">
        <v>9850000</v>
      </c>
      <c r="H189" s="52" t="s">
        <v>834</v>
      </c>
    </row>
    <row r="190" spans="1:8" ht="21.2" customHeight="1">
      <c r="A190" s="8" t="s">
        <v>391</v>
      </c>
      <c r="B190" s="52" t="s">
        <v>60</v>
      </c>
      <c r="C190" s="149"/>
      <c r="D190" s="149">
        <v>232.43</v>
      </c>
      <c r="E190" s="149">
        <f t="shared" si="2"/>
        <v>232.43</v>
      </c>
      <c r="F190" s="51"/>
      <c r="G190" s="152">
        <v>5875000</v>
      </c>
      <c r="H190" s="52" t="s">
        <v>834</v>
      </c>
    </row>
    <row r="191" spans="1:8" ht="21.2" customHeight="1">
      <c r="A191" s="8" t="s">
        <v>398</v>
      </c>
      <c r="B191" s="149">
        <v>161.5</v>
      </c>
      <c r="C191" s="149"/>
      <c r="D191" s="149">
        <v>446.55</v>
      </c>
      <c r="E191" s="149">
        <f t="shared" si="2"/>
        <v>304.02499999999998</v>
      </c>
      <c r="F191" s="51"/>
      <c r="G191" s="152">
        <v>4750000</v>
      </c>
      <c r="H191" s="52" t="s">
        <v>834</v>
      </c>
    </row>
    <row r="192" spans="1:8" ht="21.2" customHeight="1">
      <c r="A192" s="8" t="s">
        <v>410</v>
      </c>
      <c r="B192" s="52" t="s">
        <v>60</v>
      </c>
      <c r="C192" s="149"/>
      <c r="D192" s="52" t="s">
        <v>60</v>
      </c>
      <c r="E192" s="52" t="str">
        <f t="shared" si="2"/>
        <v>—</v>
      </c>
      <c r="F192" s="51"/>
      <c r="G192" s="152">
        <v>4000000</v>
      </c>
      <c r="H192" s="52" t="s">
        <v>834</v>
      </c>
    </row>
    <row r="193" spans="1:8" ht="21.2" customHeight="1">
      <c r="A193" s="8" t="s">
        <v>400</v>
      </c>
      <c r="B193" s="52" t="s">
        <v>60</v>
      </c>
      <c r="C193" s="149"/>
      <c r="D193" s="149">
        <v>417.5</v>
      </c>
      <c r="E193" s="149">
        <f t="shared" si="2"/>
        <v>417.5</v>
      </c>
      <c r="F193" s="149"/>
      <c r="G193" s="152">
        <v>5000000</v>
      </c>
      <c r="H193" s="52" t="s">
        <v>834</v>
      </c>
    </row>
    <row r="194" spans="1:8" ht="21.2" customHeight="1">
      <c r="A194" s="8" t="s">
        <v>171</v>
      </c>
      <c r="B194" s="149">
        <v>112.1</v>
      </c>
      <c r="C194" s="149"/>
      <c r="D194" s="149">
        <v>116.71</v>
      </c>
      <c r="E194" s="149">
        <f t="shared" ref="E194:E257" si="3">IFERROR(AVERAGE(B194:D194),"—")</f>
        <v>114.405</v>
      </c>
      <c r="F194" s="149"/>
      <c r="G194" s="152">
        <v>9500000</v>
      </c>
      <c r="H194" s="52" t="s">
        <v>58</v>
      </c>
    </row>
    <row r="195" spans="1:8" ht="21.2" customHeight="1">
      <c r="A195" s="8" t="s">
        <v>165</v>
      </c>
      <c r="B195" s="149">
        <v>83.4</v>
      </c>
      <c r="C195" s="149"/>
      <c r="D195" s="149">
        <v>73.680000000000007</v>
      </c>
      <c r="E195" s="149">
        <f t="shared" si="3"/>
        <v>78.540000000000006</v>
      </c>
      <c r="F195" s="149"/>
      <c r="G195" s="152">
        <v>5280000</v>
      </c>
      <c r="H195" s="52" t="s">
        <v>58</v>
      </c>
    </row>
    <row r="196" spans="1:8" ht="21.2" customHeight="1">
      <c r="A196" s="8" t="s">
        <v>210</v>
      </c>
      <c r="B196" s="149">
        <v>118.2</v>
      </c>
      <c r="C196" s="149"/>
      <c r="D196" s="149">
        <v>134.16999999999999</v>
      </c>
      <c r="E196" s="149">
        <f t="shared" si="3"/>
        <v>126.185</v>
      </c>
      <c r="F196" s="149"/>
      <c r="G196" s="152">
        <v>6500000</v>
      </c>
      <c r="H196" s="52" t="s">
        <v>834</v>
      </c>
    </row>
    <row r="197" spans="1:8" ht="21.2" customHeight="1">
      <c r="A197" s="8" t="s">
        <v>404</v>
      </c>
      <c r="B197" s="52" t="s">
        <v>60</v>
      </c>
      <c r="C197" s="149"/>
      <c r="D197" s="149">
        <v>202.81</v>
      </c>
      <c r="E197" s="149">
        <f t="shared" si="3"/>
        <v>202.81</v>
      </c>
      <c r="F197" s="51"/>
      <c r="G197" s="152">
        <v>1775000</v>
      </c>
      <c r="H197" s="52" t="s">
        <v>834</v>
      </c>
    </row>
    <row r="198" spans="1:8" ht="21.2" customHeight="1">
      <c r="A198" s="8" t="s">
        <v>401</v>
      </c>
      <c r="B198" s="149">
        <v>162.5</v>
      </c>
      <c r="C198" s="149"/>
      <c r="D198" s="149">
        <v>241.34</v>
      </c>
      <c r="E198" s="149">
        <f t="shared" si="3"/>
        <v>201.92000000000002</v>
      </c>
      <c r="F198" s="149"/>
      <c r="G198" s="152">
        <v>5750000</v>
      </c>
      <c r="H198" s="52" t="s">
        <v>834</v>
      </c>
    </row>
    <row r="199" spans="1:8" ht="21.2" customHeight="1">
      <c r="A199" s="8" t="s">
        <v>219</v>
      </c>
      <c r="B199" s="149">
        <v>157.80000000000001</v>
      </c>
      <c r="C199" s="149"/>
      <c r="D199" s="149">
        <v>164.8</v>
      </c>
      <c r="E199" s="149">
        <f t="shared" si="3"/>
        <v>161.30000000000001</v>
      </c>
      <c r="F199" s="51"/>
      <c r="G199" s="152">
        <v>1700000</v>
      </c>
      <c r="H199" s="52" t="s">
        <v>834</v>
      </c>
    </row>
    <row r="200" spans="1:8" ht="21.2" customHeight="1">
      <c r="A200" s="8" t="s">
        <v>329</v>
      </c>
      <c r="B200" s="52" t="s">
        <v>60</v>
      </c>
      <c r="C200" s="149"/>
      <c r="D200" s="149">
        <v>226.35</v>
      </c>
      <c r="E200" s="149">
        <f t="shared" si="3"/>
        <v>226.35</v>
      </c>
      <c r="F200" s="51"/>
      <c r="G200" s="152">
        <v>4150000</v>
      </c>
      <c r="H200" s="52" t="s">
        <v>834</v>
      </c>
    </row>
    <row r="201" spans="1:8" ht="21.2" customHeight="1">
      <c r="A201" s="8" t="s">
        <v>429</v>
      </c>
      <c r="B201" s="52" t="s">
        <v>60</v>
      </c>
      <c r="C201" s="149"/>
      <c r="D201" s="149">
        <v>395.01</v>
      </c>
      <c r="E201" s="149">
        <f t="shared" si="3"/>
        <v>395.01</v>
      </c>
      <c r="F201" s="149"/>
      <c r="G201" s="152">
        <v>4820000</v>
      </c>
      <c r="H201" s="52" t="s">
        <v>834</v>
      </c>
    </row>
    <row r="202" spans="1:8" ht="21.2" customHeight="1">
      <c r="A202" s="8" t="s">
        <v>312</v>
      </c>
      <c r="B202" s="149">
        <v>174.5</v>
      </c>
      <c r="C202" s="149"/>
      <c r="D202" s="149">
        <v>218.25</v>
      </c>
      <c r="E202" s="149">
        <f t="shared" si="3"/>
        <v>196.375</v>
      </c>
      <c r="F202" s="51"/>
      <c r="G202" s="152">
        <v>5400000</v>
      </c>
      <c r="H202" s="52" t="s">
        <v>834</v>
      </c>
    </row>
    <row r="203" spans="1:8" ht="21.2" customHeight="1">
      <c r="A203" s="8" t="s">
        <v>439</v>
      </c>
      <c r="B203" s="52" t="s">
        <v>60</v>
      </c>
      <c r="C203" s="149"/>
      <c r="D203" s="149">
        <v>502.5</v>
      </c>
      <c r="E203" s="149">
        <f t="shared" si="3"/>
        <v>502.5</v>
      </c>
      <c r="F203" s="149"/>
      <c r="G203" s="152">
        <v>863333</v>
      </c>
      <c r="H203" s="52" t="s">
        <v>834</v>
      </c>
    </row>
    <row r="204" spans="1:8" ht="21.2" customHeight="1">
      <c r="A204" s="8" t="s">
        <v>311</v>
      </c>
      <c r="B204" s="149">
        <v>162</v>
      </c>
      <c r="C204" s="149"/>
      <c r="D204" s="149">
        <v>209.31</v>
      </c>
      <c r="E204" s="149">
        <f t="shared" si="3"/>
        <v>185.655</v>
      </c>
      <c r="F204" s="51"/>
      <c r="G204" s="152">
        <v>5350000</v>
      </c>
      <c r="H204" s="52" t="s">
        <v>834</v>
      </c>
    </row>
    <row r="205" spans="1:8" ht="21.2" customHeight="1">
      <c r="A205" s="8" t="s">
        <v>468</v>
      </c>
      <c r="B205" s="52" t="s">
        <v>60</v>
      </c>
      <c r="C205" s="149"/>
      <c r="D205" s="52" t="s">
        <v>60</v>
      </c>
      <c r="E205" s="52" t="str">
        <f t="shared" si="3"/>
        <v>—</v>
      </c>
      <c r="F205" s="149"/>
      <c r="G205" s="152">
        <v>2625000</v>
      </c>
      <c r="H205" s="52" t="s">
        <v>834</v>
      </c>
    </row>
    <row r="206" spans="1:8" ht="21.2" customHeight="1">
      <c r="A206" s="8" t="s">
        <v>357</v>
      </c>
      <c r="B206" s="149">
        <v>180</v>
      </c>
      <c r="C206" s="149"/>
      <c r="D206" s="149">
        <v>231.82</v>
      </c>
      <c r="E206" s="149">
        <f t="shared" si="3"/>
        <v>205.91</v>
      </c>
      <c r="F206" s="51"/>
      <c r="G206" s="152">
        <v>4000000</v>
      </c>
      <c r="H206" s="52" t="s">
        <v>834</v>
      </c>
    </row>
    <row r="207" spans="1:8" ht="21.2" customHeight="1">
      <c r="A207" s="8" t="s">
        <v>428</v>
      </c>
      <c r="B207" s="52" t="s">
        <v>60</v>
      </c>
      <c r="C207" s="149"/>
      <c r="D207" s="149">
        <v>325.68</v>
      </c>
      <c r="E207" s="149">
        <f t="shared" si="3"/>
        <v>325.68</v>
      </c>
      <c r="F207" s="149"/>
      <c r="G207" s="152">
        <v>894167</v>
      </c>
      <c r="H207" s="52" t="s">
        <v>54</v>
      </c>
    </row>
    <row r="208" spans="1:8" ht="21.2" customHeight="1">
      <c r="A208" s="8" t="s">
        <v>437</v>
      </c>
      <c r="B208" s="52" t="s">
        <v>60</v>
      </c>
      <c r="C208" s="149"/>
      <c r="D208" s="149">
        <v>243.41</v>
      </c>
      <c r="E208" s="149">
        <f t="shared" si="3"/>
        <v>243.41</v>
      </c>
      <c r="F208" s="149"/>
      <c r="G208" s="152">
        <v>4437500</v>
      </c>
      <c r="H208" s="52" t="s">
        <v>834</v>
      </c>
    </row>
    <row r="209" spans="1:8" ht="21.2" customHeight="1">
      <c r="A209" s="8" t="s">
        <v>365</v>
      </c>
      <c r="B209" s="149">
        <v>154.19999999999999</v>
      </c>
      <c r="C209" s="149"/>
      <c r="D209" s="149">
        <v>409.4</v>
      </c>
      <c r="E209" s="149">
        <f t="shared" si="3"/>
        <v>281.79999999999995</v>
      </c>
      <c r="F209" s="51"/>
      <c r="G209" s="152">
        <v>5250000</v>
      </c>
      <c r="H209" s="52" t="s">
        <v>834</v>
      </c>
    </row>
    <row r="210" spans="1:8" ht="21.2" customHeight="1">
      <c r="A210" s="8" t="s">
        <v>412</v>
      </c>
      <c r="B210" s="52" t="s">
        <v>60</v>
      </c>
      <c r="C210" s="149"/>
      <c r="D210" s="52" t="s">
        <v>60</v>
      </c>
      <c r="E210" s="52" t="str">
        <f t="shared" si="3"/>
        <v>—</v>
      </c>
      <c r="F210" s="51"/>
      <c r="G210" s="152">
        <v>4500000</v>
      </c>
      <c r="H210" s="52" t="s">
        <v>834</v>
      </c>
    </row>
    <row r="211" spans="1:8" ht="21.2" customHeight="1">
      <c r="A211" s="8" t="s">
        <v>478</v>
      </c>
      <c r="B211" s="149">
        <v>165.8</v>
      </c>
      <c r="C211" s="149"/>
      <c r="D211" s="149">
        <v>465.5</v>
      </c>
      <c r="E211" s="149">
        <f t="shared" si="3"/>
        <v>315.64999999999998</v>
      </c>
      <c r="F211" s="149"/>
      <c r="G211" s="152">
        <v>5166600</v>
      </c>
      <c r="H211" s="52" t="s">
        <v>834</v>
      </c>
    </row>
    <row r="212" spans="1:8" ht="21.2" customHeight="1">
      <c r="A212" s="8" t="s">
        <v>235</v>
      </c>
      <c r="B212" s="149">
        <v>160.80000000000001</v>
      </c>
      <c r="C212" s="149"/>
      <c r="D212" s="149">
        <v>214.3</v>
      </c>
      <c r="E212" s="149">
        <f t="shared" si="3"/>
        <v>187.55</v>
      </c>
      <c r="F212" s="51"/>
      <c r="G212" s="152">
        <v>6500000</v>
      </c>
      <c r="H212" s="52" t="s">
        <v>834</v>
      </c>
    </row>
    <row r="213" spans="1:8" ht="21.2" customHeight="1">
      <c r="A213" s="8" t="s">
        <v>413</v>
      </c>
      <c r="B213" s="149">
        <v>147.80000000000001</v>
      </c>
      <c r="C213" s="149"/>
      <c r="D213" s="149">
        <v>220.12</v>
      </c>
      <c r="E213" s="149">
        <f t="shared" si="3"/>
        <v>183.96</v>
      </c>
      <c r="F213" s="51"/>
      <c r="G213" s="152">
        <v>3571429</v>
      </c>
      <c r="H213" s="52" t="s">
        <v>834</v>
      </c>
    </row>
    <row r="214" spans="1:8" ht="21.2" customHeight="1">
      <c r="A214" s="8" t="s">
        <v>381</v>
      </c>
      <c r="B214" s="52" t="s">
        <v>60</v>
      </c>
      <c r="C214" s="149"/>
      <c r="D214" s="149">
        <v>454.4</v>
      </c>
      <c r="E214" s="149">
        <f t="shared" si="3"/>
        <v>454.4</v>
      </c>
      <c r="F214" s="51"/>
      <c r="G214" s="152">
        <v>2300000</v>
      </c>
      <c r="H214" s="52" t="s">
        <v>834</v>
      </c>
    </row>
    <row r="215" spans="1:8" ht="21.2" customHeight="1">
      <c r="A215" s="8" t="s">
        <v>385</v>
      </c>
      <c r="B215" s="149">
        <v>185.6</v>
      </c>
      <c r="C215" s="149"/>
      <c r="D215" s="52" t="s">
        <v>60</v>
      </c>
      <c r="E215" s="149">
        <f t="shared" si="3"/>
        <v>185.6</v>
      </c>
      <c r="F215" s="149"/>
      <c r="G215" s="152">
        <v>2000000</v>
      </c>
      <c r="H215" s="52" t="s">
        <v>834</v>
      </c>
    </row>
    <row r="216" spans="1:8" ht="21.2" customHeight="1">
      <c r="A216" s="8" t="s">
        <v>431</v>
      </c>
      <c r="B216" s="149">
        <v>151</v>
      </c>
      <c r="C216" s="149"/>
      <c r="D216" s="149">
        <v>219.87</v>
      </c>
      <c r="E216" s="149">
        <f t="shared" si="3"/>
        <v>185.435</v>
      </c>
      <c r="F216" s="149"/>
      <c r="G216" s="152">
        <v>2500000</v>
      </c>
      <c r="H216" s="52" t="s">
        <v>834</v>
      </c>
    </row>
    <row r="217" spans="1:8" ht="21.2" customHeight="1">
      <c r="A217" s="8" t="s">
        <v>458</v>
      </c>
      <c r="B217" s="149">
        <v>164.7</v>
      </c>
      <c r="C217" s="149"/>
      <c r="D217" s="149">
        <v>319.89999999999998</v>
      </c>
      <c r="E217" s="149">
        <f t="shared" si="3"/>
        <v>242.29999999999998</v>
      </c>
      <c r="F217" s="149"/>
      <c r="G217" s="152">
        <v>5100000</v>
      </c>
      <c r="H217" s="52" t="s">
        <v>834</v>
      </c>
    </row>
    <row r="218" spans="1:8" ht="21.2" customHeight="1">
      <c r="A218" s="8" t="s">
        <v>537</v>
      </c>
      <c r="B218" s="52" t="s">
        <v>60</v>
      </c>
      <c r="C218" s="149"/>
      <c r="D218" s="52" t="s">
        <v>60</v>
      </c>
      <c r="E218" s="52" t="str">
        <f t="shared" si="3"/>
        <v>—</v>
      </c>
      <c r="F218" s="149"/>
      <c r="G218" s="152">
        <v>850833</v>
      </c>
      <c r="H218" s="52" t="s">
        <v>834</v>
      </c>
    </row>
    <row r="219" spans="1:8" ht="21.2" customHeight="1">
      <c r="A219" s="8" t="s">
        <v>463</v>
      </c>
      <c r="B219" s="52" t="s">
        <v>60</v>
      </c>
      <c r="C219" s="149"/>
      <c r="D219" s="149">
        <v>417.28</v>
      </c>
      <c r="E219" s="149">
        <f t="shared" si="3"/>
        <v>417.28</v>
      </c>
      <c r="F219" s="51"/>
      <c r="G219" s="152">
        <v>6088890</v>
      </c>
      <c r="H219" s="52" t="s">
        <v>834</v>
      </c>
    </row>
    <row r="220" spans="1:8" ht="21.2" customHeight="1">
      <c r="A220" s="8" t="s">
        <v>501</v>
      </c>
      <c r="B220" s="52" t="s">
        <v>60</v>
      </c>
      <c r="C220" s="149"/>
      <c r="D220" s="149">
        <v>223.52</v>
      </c>
      <c r="E220" s="149">
        <f t="shared" si="3"/>
        <v>223.52</v>
      </c>
      <c r="F220" s="51"/>
      <c r="G220" s="152"/>
      <c r="H220" s="52" t="s">
        <v>834</v>
      </c>
    </row>
    <row r="221" spans="1:8" ht="21.2" customHeight="1">
      <c r="A221" s="8" t="s">
        <v>338</v>
      </c>
      <c r="B221" s="52" t="s">
        <v>60</v>
      </c>
      <c r="C221" s="149"/>
      <c r="D221" s="149">
        <v>346.16</v>
      </c>
      <c r="E221" s="149">
        <f t="shared" si="3"/>
        <v>346.16</v>
      </c>
      <c r="F221" s="51"/>
      <c r="G221" s="152">
        <v>4200000</v>
      </c>
      <c r="H221" s="52" t="s">
        <v>834</v>
      </c>
    </row>
    <row r="222" spans="1:8" ht="21.2" customHeight="1">
      <c r="A222" s="8" t="s">
        <v>273</v>
      </c>
      <c r="B222" s="149">
        <v>113.4</v>
      </c>
      <c r="C222" s="149"/>
      <c r="D222" s="149">
        <v>134.65</v>
      </c>
      <c r="E222" s="149">
        <f t="shared" si="3"/>
        <v>124.02500000000001</v>
      </c>
      <c r="F222" s="51"/>
      <c r="G222" s="152">
        <v>7500000</v>
      </c>
      <c r="H222" s="52" t="s">
        <v>834</v>
      </c>
    </row>
    <row r="223" spans="1:8" ht="21.2" customHeight="1">
      <c r="A223" s="8" t="s">
        <v>545</v>
      </c>
      <c r="B223" s="52" t="s">
        <v>60</v>
      </c>
      <c r="C223" s="149"/>
      <c r="D223" s="149">
        <v>306.68</v>
      </c>
      <c r="E223" s="149">
        <f t="shared" si="3"/>
        <v>306.68</v>
      </c>
      <c r="F223" s="51"/>
      <c r="G223" s="152">
        <v>1100000</v>
      </c>
      <c r="H223" s="52" t="s">
        <v>834</v>
      </c>
    </row>
    <row r="224" spans="1:8" ht="21.2" customHeight="1">
      <c r="A224" s="8" t="s">
        <v>388</v>
      </c>
      <c r="B224" s="52" t="s">
        <v>60</v>
      </c>
      <c r="C224" s="149"/>
      <c r="D224" s="149">
        <v>244.77</v>
      </c>
      <c r="E224" s="149">
        <f t="shared" si="3"/>
        <v>244.77</v>
      </c>
      <c r="F224" s="51"/>
      <c r="G224" s="152">
        <v>3000000</v>
      </c>
      <c r="H224" s="52" t="s">
        <v>834</v>
      </c>
    </row>
    <row r="225" spans="1:8" ht="21.2" customHeight="1">
      <c r="A225" s="8" t="s">
        <v>648</v>
      </c>
      <c r="B225" s="52" t="s">
        <v>60</v>
      </c>
      <c r="C225" s="149"/>
      <c r="D225" s="149">
        <v>1226.5999999999999</v>
      </c>
      <c r="E225" s="149">
        <f t="shared" si="3"/>
        <v>1226.5999999999999</v>
      </c>
      <c r="F225" s="51"/>
      <c r="G225" s="152">
        <v>863333</v>
      </c>
      <c r="H225" s="52" t="s">
        <v>834</v>
      </c>
    </row>
    <row r="226" spans="1:8" ht="21.2" customHeight="1">
      <c r="A226" s="8" t="s">
        <v>430</v>
      </c>
      <c r="B226" s="52" t="s">
        <v>60</v>
      </c>
      <c r="C226" s="149"/>
      <c r="D226" s="52" t="s">
        <v>60</v>
      </c>
      <c r="E226" s="52" t="str">
        <f t="shared" si="3"/>
        <v>—</v>
      </c>
      <c r="F226" s="51"/>
      <c r="G226" s="152">
        <v>3185000</v>
      </c>
      <c r="H226" s="52" t="s">
        <v>834</v>
      </c>
    </row>
    <row r="227" spans="1:8" ht="21.2" customHeight="1">
      <c r="A227" s="8" t="s">
        <v>471</v>
      </c>
      <c r="B227" s="52" t="s">
        <v>60</v>
      </c>
      <c r="C227" s="149"/>
      <c r="D227" s="149">
        <v>291.10000000000002</v>
      </c>
      <c r="E227" s="149">
        <f t="shared" si="3"/>
        <v>291.10000000000002</v>
      </c>
      <c r="F227" s="149"/>
      <c r="G227" s="152">
        <v>4250000</v>
      </c>
      <c r="H227" s="52" t="s">
        <v>834</v>
      </c>
    </row>
    <row r="228" spans="1:8" ht="21.2" customHeight="1">
      <c r="A228" s="8" t="s">
        <v>434</v>
      </c>
      <c r="B228" s="52" t="s">
        <v>60</v>
      </c>
      <c r="C228" s="149"/>
      <c r="D228" s="52" t="s">
        <v>60</v>
      </c>
      <c r="E228" s="52" t="str">
        <f t="shared" si="3"/>
        <v>—</v>
      </c>
      <c r="F228" s="149"/>
      <c r="G228" s="152">
        <v>5625000</v>
      </c>
      <c r="H228" s="52" t="s">
        <v>834</v>
      </c>
    </row>
    <row r="229" spans="1:8" ht="21.2" customHeight="1">
      <c r="A229" s="8" t="s">
        <v>527</v>
      </c>
      <c r="B229" s="52" t="s">
        <v>60</v>
      </c>
      <c r="C229" s="149"/>
      <c r="D229" s="149">
        <v>327.5</v>
      </c>
      <c r="E229" s="149">
        <f t="shared" si="3"/>
        <v>327.5</v>
      </c>
      <c r="F229" s="51"/>
      <c r="G229" s="152">
        <v>4000000</v>
      </c>
      <c r="H229" s="52" t="s">
        <v>834</v>
      </c>
    </row>
    <row r="230" spans="1:8" ht="21.2" customHeight="1">
      <c r="A230" s="8" t="s">
        <v>243</v>
      </c>
      <c r="B230" s="149">
        <v>158.6</v>
      </c>
      <c r="C230" s="149"/>
      <c r="D230" s="149">
        <v>243.34</v>
      </c>
      <c r="E230" s="149">
        <f t="shared" si="3"/>
        <v>200.97</v>
      </c>
      <c r="F230" s="51"/>
      <c r="G230" s="152">
        <v>863000</v>
      </c>
      <c r="H230" s="52" t="s">
        <v>834</v>
      </c>
    </row>
    <row r="231" spans="1:8" ht="21.2" customHeight="1">
      <c r="A231" s="8" t="s">
        <v>396</v>
      </c>
      <c r="B231" s="149">
        <v>171.2</v>
      </c>
      <c r="C231" s="149"/>
      <c r="D231" s="149">
        <v>235.35</v>
      </c>
      <c r="E231" s="149">
        <f t="shared" si="3"/>
        <v>203.27499999999998</v>
      </c>
      <c r="F231" s="51"/>
      <c r="G231" s="152"/>
      <c r="H231" s="52" t="s">
        <v>58</v>
      </c>
    </row>
    <row r="232" spans="1:8" ht="21.2" customHeight="1">
      <c r="A232" s="8" t="s">
        <v>503</v>
      </c>
      <c r="B232" s="52" t="s">
        <v>60</v>
      </c>
      <c r="C232" s="149"/>
      <c r="D232" s="149">
        <v>456.5</v>
      </c>
      <c r="E232" s="149">
        <f t="shared" si="3"/>
        <v>456.5</v>
      </c>
      <c r="F232" s="51"/>
      <c r="G232" s="152">
        <v>5500000</v>
      </c>
      <c r="H232" s="52" t="s">
        <v>834</v>
      </c>
    </row>
    <row r="233" spans="1:8" ht="21.2" customHeight="1">
      <c r="A233" s="8" t="s">
        <v>246</v>
      </c>
      <c r="B233" s="149">
        <v>131</v>
      </c>
      <c r="C233" s="149"/>
      <c r="D233" s="149">
        <v>171.45</v>
      </c>
      <c r="E233" s="149">
        <f t="shared" si="3"/>
        <v>151.22499999999999</v>
      </c>
      <c r="F233" s="51"/>
      <c r="G233" s="152">
        <v>2667000</v>
      </c>
      <c r="H233" s="52" t="s">
        <v>834</v>
      </c>
    </row>
    <row r="234" spans="1:8" ht="21.2" customHeight="1">
      <c r="A234" s="8" t="s">
        <v>232</v>
      </c>
      <c r="B234" s="149">
        <v>146.30000000000001</v>
      </c>
      <c r="C234" s="149"/>
      <c r="D234" s="149">
        <v>214.17</v>
      </c>
      <c r="E234" s="149">
        <f t="shared" si="3"/>
        <v>180.23500000000001</v>
      </c>
      <c r="F234" s="51"/>
      <c r="G234" s="152">
        <v>4950000</v>
      </c>
      <c r="H234" s="52" t="s">
        <v>834</v>
      </c>
    </row>
    <row r="235" spans="1:8" ht="21.2" customHeight="1">
      <c r="A235" s="8" t="s">
        <v>427</v>
      </c>
      <c r="B235" s="52" t="s">
        <v>60</v>
      </c>
      <c r="C235" s="149"/>
      <c r="D235" s="52" t="s">
        <v>60</v>
      </c>
      <c r="E235" s="52" t="str">
        <f t="shared" si="3"/>
        <v>—</v>
      </c>
      <c r="F235" s="51"/>
      <c r="G235" s="152">
        <v>5000000</v>
      </c>
      <c r="H235" s="52" t="s">
        <v>834</v>
      </c>
    </row>
    <row r="236" spans="1:8" ht="21.2" customHeight="1">
      <c r="A236" s="8" t="s">
        <v>405</v>
      </c>
      <c r="B236" s="149">
        <v>175</v>
      </c>
      <c r="C236" s="149"/>
      <c r="D236" s="149">
        <v>193.25</v>
      </c>
      <c r="E236" s="149">
        <f t="shared" si="3"/>
        <v>184.125</v>
      </c>
      <c r="F236" s="51"/>
      <c r="G236" s="152">
        <v>4300000</v>
      </c>
      <c r="H236" s="52" t="s">
        <v>834</v>
      </c>
    </row>
    <row r="237" spans="1:8" ht="21.2" customHeight="1">
      <c r="A237" s="8" t="s">
        <v>353</v>
      </c>
      <c r="B237" s="149">
        <v>170.1</v>
      </c>
      <c r="C237" s="149"/>
      <c r="D237" s="149">
        <v>241.82</v>
      </c>
      <c r="E237" s="149">
        <f t="shared" si="3"/>
        <v>205.95999999999998</v>
      </c>
      <c r="F237" s="51"/>
      <c r="G237" s="152">
        <v>925000</v>
      </c>
      <c r="H237" s="52" t="s">
        <v>834</v>
      </c>
    </row>
    <row r="238" spans="1:8" ht="21.2" customHeight="1">
      <c r="A238" s="8" t="s">
        <v>469</v>
      </c>
      <c r="B238" s="149">
        <v>176.8</v>
      </c>
      <c r="C238" s="149"/>
      <c r="D238" s="149">
        <v>409.02</v>
      </c>
      <c r="E238" s="149">
        <f t="shared" si="3"/>
        <v>292.90999999999997</v>
      </c>
      <c r="F238" s="149"/>
      <c r="G238" s="152">
        <v>2100000</v>
      </c>
      <c r="H238" s="52" t="s">
        <v>58</v>
      </c>
    </row>
    <row r="239" spans="1:8" ht="21.2" customHeight="1">
      <c r="A239" s="8" t="s">
        <v>251</v>
      </c>
      <c r="B239" s="149">
        <v>111.3</v>
      </c>
      <c r="C239" s="149"/>
      <c r="D239" s="149">
        <v>156.88999999999999</v>
      </c>
      <c r="E239" s="149">
        <f t="shared" si="3"/>
        <v>134.095</v>
      </c>
      <c r="F239" s="149"/>
      <c r="G239" s="152">
        <v>6500000</v>
      </c>
      <c r="H239" s="52" t="s">
        <v>58</v>
      </c>
    </row>
    <row r="240" spans="1:8" ht="21.2" customHeight="1">
      <c r="A240" s="8" t="s">
        <v>269</v>
      </c>
      <c r="B240" s="149">
        <v>148.80000000000001</v>
      </c>
      <c r="C240" s="149"/>
      <c r="D240" s="149">
        <v>217.26</v>
      </c>
      <c r="E240" s="149">
        <f t="shared" si="3"/>
        <v>183.03</v>
      </c>
      <c r="F240" s="149"/>
      <c r="G240" s="152">
        <v>4400000</v>
      </c>
      <c r="H240" s="52" t="s">
        <v>834</v>
      </c>
    </row>
    <row r="241" spans="1:8" ht="21.2" customHeight="1">
      <c r="A241" s="8" t="s">
        <v>350</v>
      </c>
      <c r="B241" s="149">
        <v>164.7</v>
      </c>
      <c r="C241" s="149"/>
      <c r="D241" s="149">
        <v>162.66</v>
      </c>
      <c r="E241" s="149">
        <f t="shared" si="3"/>
        <v>163.68</v>
      </c>
      <c r="F241" s="51"/>
      <c r="G241" s="152">
        <v>3850000</v>
      </c>
      <c r="H241" s="52" t="s">
        <v>834</v>
      </c>
    </row>
    <row r="242" spans="1:8" ht="21.2" customHeight="1">
      <c r="A242" s="8" t="s">
        <v>523</v>
      </c>
      <c r="B242" s="149">
        <v>168.8</v>
      </c>
      <c r="C242" s="149"/>
      <c r="D242" s="149">
        <v>195.95</v>
      </c>
      <c r="E242" s="149">
        <f t="shared" si="3"/>
        <v>182.375</v>
      </c>
      <c r="F242" s="51"/>
      <c r="G242" s="152">
        <v>775000</v>
      </c>
      <c r="H242" s="52" t="s">
        <v>834</v>
      </c>
    </row>
    <row r="243" spans="1:8" ht="21.2" customHeight="1">
      <c r="A243" s="8" t="s">
        <v>466</v>
      </c>
      <c r="B243" s="52" t="s">
        <v>60</v>
      </c>
      <c r="C243" s="149"/>
      <c r="D243" s="149">
        <v>297.56</v>
      </c>
      <c r="E243" s="149">
        <f t="shared" si="3"/>
        <v>297.56</v>
      </c>
      <c r="F243" s="149"/>
      <c r="G243" s="152">
        <v>4000000</v>
      </c>
      <c r="H243" s="52" t="s">
        <v>834</v>
      </c>
    </row>
    <row r="244" spans="1:8" ht="21.2" customHeight="1">
      <c r="A244" s="8" t="s">
        <v>440</v>
      </c>
      <c r="B244" s="52" t="s">
        <v>60</v>
      </c>
      <c r="C244" s="149"/>
      <c r="D244" s="52" t="s">
        <v>60</v>
      </c>
      <c r="E244" s="52" t="str">
        <f t="shared" si="3"/>
        <v>—</v>
      </c>
      <c r="F244" s="149"/>
      <c r="G244" s="152">
        <v>3000000</v>
      </c>
      <c r="H244" s="52" t="s">
        <v>834</v>
      </c>
    </row>
    <row r="245" spans="1:8" ht="21.2" customHeight="1">
      <c r="A245" s="8" t="s">
        <v>547</v>
      </c>
      <c r="B245" s="52" t="s">
        <v>60</v>
      </c>
      <c r="C245" s="149"/>
      <c r="D245" s="149">
        <v>461.5</v>
      </c>
      <c r="E245" s="149">
        <f t="shared" si="3"/>
        <v>461.5</v>
      </c>
      <c r="F245" s="51"/>
      <c r="G245" s="152">
        <v>1985000</v>
      </c>
      <c r="H245" s="52" t="s">
        <v>834</v>
      </c>
    </row>
    <row r="246" spans="1:8" ht="21.2" customHeight="1">
      <c r="A246" s="8" t="s">
        <v>530</v>
      </c>
      <c r="B246" s="52" t="s">
        <v>60</v>
      </c>
      <c r="C246" s="149"/>
      <c r="D246" s="52" t="s">
        <v>60</v>
      </c>
      <c r="E246" s="52" t="str">
        <f t="shared" si="3"/>
        <v>—</v>
      </c>
      <c r="F246" s="149"/>
      <c r="G246" s="152">
        <v>2900000</v>
      </c>
      <c r="H246" s="52" t="s">
        <v>834</v>
      </c>
    </row>
    <row r="247" spans="1:8" ht="21.2" customHeight="1">
      <c r="A247" s="8" t="s">
        <v>286</v>
      </c>
      <c r="B247" s="52" t="s">
        <v>60</v>
      </c>
      <c r="C247" s="149"/>
      <c r="D247" s="52" t="s">
        <v>60</v>
      </c>
      <c r="E247" s="52" t="str">
        <f t="shared" si="3"/>
        <v>—</v>
      </c>
      <c r="F247" s="51"/>
      <c r="G247" s="152"/>
      <c r="H247" s="52" t="s">
        <v>60</v>
      </c>
    </row>
    <row r="248" spans="1:8" ht="21.2" customHeight="1">
      <c r="A248" s="8" t="s">
        <v>522</v>
      </c>
      <c r="B248" s="52" t="s">
        <v>60</v>
      </c>
      <c r="C248" s="149"/>
      <c r="D248" s="52" t="s">
        <v>60</v>
      </c>
      <c r="E248" s="52" t="str">
        <f t="shared" si="3"/>
        <v>—</v>
      </c>
      <c r="F248" s="51"/>
      <c r="G248" s="152">
        <v>6000000</v>
      </c>
      <c r="H248" s="52" t="s">
        <v>834</v>
      </c>
    </row>
    <row r="249" spans="1:8" ht="21.2" customHeight="1">
      <c r="A249" s="8" t="s">
        <v>402</v>
      </c>
      <c r="B249" s="52" t="s">
        <v>60</v>
      </c>
      <c r="C249" s="149"/>
      <c r="D249" s="52" t="s">
        <v>60</v>
      </c>
      <c r="E249" s="52" t="str">
        <f t="shared" si="3"/>
        <v>—</v>
      </c>
      <c r="F249" s="149"/>
      <c r="G249" s="152">
        <v>4750000</v>
      </c>
      <c r="H249" s="52" t="s">
        <v>834</v>
      </c>
    </row>
    <row r="250" spans="1:8" ht="21.2" customHeight="1">
      <c r="A250" s="8" t="s">
        <v>445</v>
      </c>
      <c r="B250" s="52" t="s">
        <v>60</v>
      </c>
      <c r="C250" s="149"/>
      <c r="D250" s="52" t="s">
        <v>60</v>
      </c>
      <c r="E250" s="52" t="str">
        <f t="shared" si="3"/>
        <v>—</v>
      </c>
      <c r="F250" s="51"/>
      <c r="G250" s="152">
        <v>5000000</v>
      </c>
      <c r="H250" s="52" t="s">
        <v>834</v>
      </c>
    </row>
    <row r="251" spans="1:8" ht="21.2" customHeight="1">
      <c r="A251" s="8" t="s">
        <v>486</v>
      </c>
      <c r="B251" s="149">
        <v>171.4</v>
      </c>
      <c r="C251" s="149"/>
      <c r="D251" s="149">
        <v>218.23</v>
      </c>
      <c r="E251" s="149">
        <f t="shared" si="3"/>
        <v>194.815</v>
      </c>
      <c r="F251" s="51"/>
      <c r="G251" s="152">
        <v>5300000</v>
      </c>
      <c r="H251" s="52" t="s">
        <v>834</v>
      </c>
    </row>
    <row r="252" spans="1:8" ht="21.2" customHeight="1">
      <c r="A252" s="8" t="s">
        <v>372</v>
      </c>
      <c r="B252" s="149">
        <v>180.3</v>
      </c>
      <c r="C252" s="149"/>
      <c r="D252" s="149">
        <v>281.02999999999997</v>
      </c>
      <c r="E252" s="149">
        <f t="shared" si="3"/>
        <v>230.66499999999999</v>
      </c>
      <c r="F252" s="51"/>
      <c r="G252" s="152">
        <v>2500000</v>
      </c>
      <c r="H252" s="52" t="s">
        <v>834</v>
      </c>
    </row>
    <row r="253" spans="1:8" ht="21.2" customHeight="1">
      <c r="A253" s="8" t="s">
        <v>562</v>
      </c>
      <c r="B253" s="52" t="s">
        <v>60</v>
      </c>
      <c r="C253" s="149"/>
      <c r="D253" s="149">
        <v>484.5</v>
      </c>
      <c r="E253" s="149">
        <f t="shared" si="3"/>
        <v>484.5</v>
      </c>
      <c r="F253" s="149"/>
      <c r="G253" s="152">
        <v>894167</v>
      </c>
      <c r="H253" s="52" t="s">
        <v>834</v>
      </c>
    </row>
    <row r="254" spans="1:8" ht="21.2" customHeight="1">
      <c r="A254" s="8" t="s">
        <v>558</v>
      </c>
      <c r="B254" s="52" t="s">
        <v>60</v>
      </c>
      <c r="C254" s="149"/>
      <c r="D254" s="52" t="s">
        <v>60</v>
      </c>
      <c r="E254" s="52" t="str">
        <f t="shared" si="3"/>
        <v>—</v>
      </c>
      <c r="F254" s="51"/>
      <c r="G254" s="152">
        <v>2000000</v>
      </c>
      <c r="H254" s="52" t="s">
        <v>834</v>
      </c>
    </row>
    <row r="255" spans="1:8" ht="21.2" customHeight="1">
      <c r="A255" s="8" t="s">
        <v>555</v>
      </c>
      <c r="B255" s="52" t="s">
        <v>60</v>
      </c>
      <c r="C255" s="149"/>
      <c r="D255" s="52" t="s">
        <v>60</v>
      </c>
      <c r="E255" s="52" t="str">
        <f t="shared" si="3"/>
        <v>—</v>
      </c>
      <c r="F255" s="51"/>
      <c r="G255" s="152">
        <v>4500000</v>
      </c>
      <c r="H255" s="52" t="s">
        <v>834</v>
      </c>
    </row>
    <row r="256" spans="1:8" ht="21.2" customHeight="1">
      <c r="A256" s="8" t="s">
        <v>266</v>
      </c>
      <c r="B256" s="149">
        <v>159.6</v>
      </c>
      <c r="C256" s="149"/>
      <c r="D256" s="149">
        <v>206.65</v>
      </c>
      <c r="E256" s="149">
        <f t="shared" si="3"/>
        <v>183.125</v>
      </c>
      <c r="F256" s="51"/>
      <c r="G256" s="152">
        <v>916667</v>
      </c>
      <c r="H256" s="52" t="s">
        <v>58</v>
      </c>
    </row>
    <row r="257" spans="1:8" ht="21.2" customHeight="1">
      <c r="A257" s="8" t="s">
        <v>389</v>
      </c>
      <c r="B257" s="52" t="s">
        <v>60</v>
      </c>
      <c r="C257" s="149"/>
      <c r="D257" s="149">
        <v>223.01</v>
      </c>
      <c r="E257" s="149">
        <f t="shared" si="3"/>
        <v>223.01</v>
      </c>
      <c r="F257" s="149"/>
      <c r="G257" s="152">
        <v>3000000</v>
      </c>
      <c r="H257" s="52" t="s">
        <v>834</v>
      </c>
    </row>
    <row r="258" spans="1:8" ht="21.2" customHeight="1">
      <c r="A258" s="8" t="s">
        <v>655</v>
      </c>
      <c r="B258" s="52" t="s">
        <v>60</v>
      </c>
      <c r="C258" s="149"/>
      <c r="D258" s="52" t="s">
        <v>60</v>
      </c>
      <c r="E258" s="52" t="str">
        <f t="shared" ref="E258:E321" si="4">IFERROR(AVERAGE(B258:D258),"—")</f>
        <v>—</v>
      </c>
      <c r="F258" s="51"/>
      <c r="G258" s="152"/>
      <c r="H258" s="52" t="s">
        <v>834</v>
      </c>
    </row>
    <row r="259" spans="1:8" ht="21.2" customHeight="1">
      <c r="A259" s="8" t="s">
        <v>268</v>
      </c>
      <c r="B259" s="149">
        <v>120.2</v>
      </c>
      <c r="C259" s="149"/>
      <c r="D259" s="149">
        <v>182.35</v>
      </c>
      <c r="E259" s="149">
        <f t="shared" si="4"/>
        <v>151.27500000000001</v>
      </c>
      <c r="F259" s="51"/>
      <c r="G259" s="152"/>
      <c r="H259" s="52" t="s">
        <v>834</v>
      </c>
    </row>
    <row r="260" spans="1:8" ht="21.2" customHeight="1">
      <c r="A260" s="8" t="s">
        <v>512</v>
      </c>
      <c r="B260" s="52" t="s">
        <v>60</v>
      </c>
      <c r="C260" s="149"/>
      <c r="D260" s="52" t="s">
        <v>60</v>
      </c>
      <c r="E260" s="52" t="str">
        <f t="shared" si="4"/>
        <v>—</v>
      </c>
      <c r="F260" s="51"/>
      <c r="G260" s="152">
        <v>5000000</v>
      </c>
      <c r="H260" s="52" t="s">
        <v>834</v>
      </c>
    </row>
    <row r="261" spans="1:8" ht="21.2" customHeight="1">
      <c r="A261" s="8" t="s">
        <v>446</v>
      </c>
      <c r="B261" s="52" t="s">
        <v>60</v>
      </c>
      <c r="C261" s="149"/>
      <c r="D261" s="149">
        <v>389.01</v>
      </c>
      <c r="E261" s="149">
        <f t="shared" si="4"/>
        <v>389.01</v>
      </c>
      <c r="F261" s="51"/>
      <c r="G261" s="152">
        <v>758333</v>
      </c>
      <c r="H261" s="52" t="s">
        <v>834</v>
      </c>
    </row>
    <row r="262" spans="1:8" ht="21.2" customHeight="1">
      <c r="A262" s="8" t="s">
        <v>456</v>
      </c>
      <c r="B262" s="52" t="s">
        <v>60</v>
      </c>
      <c r="C262" s="149"/>
      <c r="D262" s="52" t="s">
        <v>60</v>
      </c>
      <c r="E262" s="52" t="str">
        <f t="shared" si="4"/>
        <v>—</v>
      </c>
      <c r="F262" s="51"/>
      <c r="G262" s="152">
        <v>5000000</v>
      </c>
      <c r="H262" s="52" t="s">
        <v>834</v>
      </c>
    </row>
    <row r="263" spans="1:8" ht="21.2" customHeight="1">
      <c r="A263" s="8" t="s">
        <v>281</v>
      </c>
      <c r="B263" s="149">
        <v>159.6</v>
      </c>
      <c r="C263" s="149"/>
      <c r="D263" s="149">
        <v>215.21</v>
      </c>
      <c r="E263" s="149">
        <f t="shared" si="4"/>
        <v>187.405</v>
      </c>
      <c r="F263" s="51"/>
      <c r="G263" s="152">
        <v>7750000</v>
      </c>
      <c r="H263" s="52" t="s">
        <v>834</v>
      </c>
    </row>
    <row r="264" spans="1:8" ht="21.2" customHeight="1">
      <c r="A264" s="8" t="s">
        <v>504</v>
      </c>
      <c r="B264" s="52" t="s">
        <v>60</v>
      </c>
      <c r="C264" s="149"/>
      <c r="D264" s="52" t="s">
        <v>60</v>
      </c>
      <c r="E264" s="52" t="str">
        <f t="shared" si="4"/>
        <v>—</v>
      </c>
      <c r="F264" s="149"/>
      <c r="G264" s="152">
        <v>4000000</v>
      </c>
      <c r="H264" s="52" t="s">
        <v>834</v>
      </c>
    </row>
    <row r="265" spans="1:8" ht="21.2" customHeight="1">
      <c r="A265" s="8" t="s">
        <v>490</v>
      </c>
      <c r="B265" s="52" t="s">
        <v>60</v>
      </c>
      <c r="C265" s="149"/>
      <c r="D265" s="52" t="s">
        <v>60</v>
      </c>
      <c r="E265" s="52" t="str">
        <f t="shared" si="4"/>
        <v>—</v>
      </c>
      <c r="F265" s="149"/>
      <c r="G265" s="152">
        <v>2100000</v>
      </c>
      <c r="H265" s="52" t="s">
        <v>834</v>
      </c>
    </row>
    <row r="266" spans="1:8" ht="21.2" customHeight="1">
      <c r="A266" s="8" t="s">
        <v>263</v>
      </c>
      <c r="B266" s="149">
        <v>162.30000000000001</v>
      </c>
      <c r="C266" s="149"/>
      <c r="D266" s="149">
        <v>191.87</v>
      </c>
      <c r="E266" s="149">
        <f t="shared" si="4"/>
        <v>177.08500000000001</v>
      </c>
      <c r="F266" s="51"/>
      <c r="G266" s="152">
        <v>4150000</v>
      </c>
      <c r="H266" s="52" t="s">
        <v>58</v>
      </c>
    </row>
    <row r="267" spans="1:8" ht="21.2" customHeight="1">
      <c r="A267" s="8" t="s">
        <v>479</v>
      </c>
      <c r="B267" s="52" t="s">
        <v>60</v>
      </c>
      <c r="C267" s="149"/>
      <c r="D267" s="52" t="s">
        <v>60</v>
      </c>
      <c r="E267" s="52" t="str">
        <f t="shared" si="4"/>
        <v>—</v>
      </c>
      <c r="F267" s="149"/>
      <c r="G267" s="152">
        <v>4277000</v>
      </c>
      <c r="H267" s="52" t="s">
        <v>834</v>
      </c>
    </row>
    <row r="268" spans="1:8" ht="21.2" customHeight="1">
      <c r="A268" s="8" t="s">
        <v>417</v>
      </c>
      <c r="B268" s="52" t="s">
        <v>60</v>
      </c>
      <c r="C268" s="149"/>
      <c r="D268" s="52" t="s">
        <v>60</v>
      </c>
      <c r="E268" s="52" t="str">
        <f t="shared" si="4"/>
        <v>—</v>
      </c>
      <c r="F268" s="149"/>
      <c r="G268" s="152">
        <v>2000000</v>
      </c>
      <c r="H268" s="52" t="s">
        <v>834</v>
      </c>
    </row>
    <row r="269" spans="1:8" ht="21.2" customHeight="1">
      <c r="A269" s="8" t="s">
        <v>270</v>
      </c>
      <c r="B269" s="149">
        <v>108.3</v>
      </c>
      <c r="C269" s="149"/>
      <c r="D269" s="149">
        <v>185.88</v>
      </c>
      <c r="E269" s="149">
        <f t="shared" si="4"/>
        <v>147.09</v>
      </c>
      <c r="F269" s="149"/>
      <c r="G269" s="152">
        <v>4500000</v>
      </c>
      <c r="H269" s="52" t="s">
        <v>60</v>
      </c>
    </row>
    <row r="270" spans="1:8" ht="21.2" customHeight="1">
      <c r="A270" s="8" t="s">
        <v>489</v>
      </c>
      <c r="B270" s="52" t="s">
        <v>60</v>
      </c>
      <c r="C270" s="149"/>
      <c r="D270" s="52" t="s">
        <v>60</v>
      </c>
      <c r="E270" s="52" t="str">
        <f t="shared" si="4"/>
        <v>—</v>
      </c>
      <c r="F270" s="149"/>
      <c r="G270" s="152">
        <v>5000000</v>
      </c>
      <c r="H270" s="52" t="s">
        <v>834</v>
      </c>
    </row>
    <row r="271" spans="1:8" ht="21.2" customHeight="1">
      <c r="A271" s="8" t="s">
        <v>502</v>
      </c>
      <c r="B271" s="149">
        <v>181.9</v>
      </c>
      <c r="C271" s="149"/>
      <c r="D271" s="149">
        <v>448.52</v>
      </c>
      <c r="E271" s="149">
        <f t="shared" si="4"/>
        <v>315.20999999999998</v>
      </c>
      <c r="F271" s="51"/>
      <c r="G271" s="152">
        <v>3200000</v>
      </c>
      <c r="H271" s="52" t="s">
        <v>834</v>
      </c>
    </row>
    <row r="272" spans="1:8" ht="21.2" customHeight="1">
      <c r="A272" s="8" t="s">
        <v>358</v>
      </c>
      <c r="B272" s="52" t="s">
        <v>60</v>
      </c>
      <c r="C272" s="149"/>
      <c r="D272" s="149">
        <v>218.38</v>
      </c>
      <c r="E272" s="149">
        <f t="shared" si="4"/>
        <v>218.38</v>
      </c>
      <c r="F272" s="149"/>
      <c r="G272" s="152">
        <v>3650000</v>
      </c>
      <c r="H272" s="52" t="s">
        <v>834</v>
      </c>
    </row>
    <row r="273" spans="1:8" ht="21.2" customHeight="1">
      <c r="A273" s="8" t="s">
        <v>476</v>
      </c>
      <c r="B273" s="149">
        <v>157.9</v>
      </c>
      <c r="C273" s="149"/>
      <c r="D273" s="149">
        <v>267.12</v>
      </c>
      <c r="E273" s="149">
        <f t="shared" si="4"/>
        <v>212.51</v>
      </c>
      <c r="F273" s="51"/>
      <c r="G273" s="152">
        <v>2665000</v>
      </c>
      <c r="H273" s="52" t="s">
        <v>834</v>
      </c>
    </row>
    <row r="274" spans="1:8" ht="21.2" customHeight="1">
      <c r="A274" s="8" t="s">
        <v>321</v>
      </c>
      <c r="B274" s="52" t="s">
        <v>60</v>
      </c>
      <c r="C274" s="149"/>
      <c r="D274" s="149">
        <v>217.91</v>
      </c>
      <c r="E274" s="149">
        <f t="shared" si="4"/>
        <v>217.91</v>
      </c>
      <c r="F274" s="51"/>
      <c r="G274" s="152">
        <v>1600000</v>
      </c>
      <c r="H274" s="52" t="s">
        <v>58</v>
      </c>
    </row>
    <row r="275" spans="1:8" ht="21.2" customHeight="1">
      <c r="A275" s="8" t="s">
        <v>419</v>
      </c>
      <c r="B275" s="149">
        <v>182.4</v>
      </c>
      <c r="C275" s="149"/>
      <c r="D275" s="149">
        <v>403.4</v>
      </c>
      <c r="E275" s="149">
        <f t="shared" si="4"/>
        <v>292.89999999999998</v>
      </c>
      <c r="F275" s="51"/>
      <c r="G275" s="152">
        <v>5500000</v>
      </c>
      <c r="H275" s="52" t="s">
        <v>834</v>
      </c>
    </row>
    <row r="276" spans="1:8" ht="21.2" customHeight="1">
      <c r="A276" s="8" t="s">
        <v>348</v>
      </c>
      <c r="B276" s="52" t="s">
        <v>60</v>
      </c>
      <c r="C276" s="149"/>
      <c r="D276" s="149">
        <v>227.49</v>
      </c>
      <c r="E276" s="149">
        <f t="shared" si="4"/>
        <v>227.49</v>
      </c>
      <c r="F276" s="149"/>
      <c r="G276" s="152"/>
      <c r="H276" s="52" t="s">
        <v>834</v>
      </c>
    </row>
    <row r="277" spans="1:8" ht="21.2" customHeight="1">
      <c r="A277" s="8" t="s">
        <v>420</v>
      </c>
      <c r="B277" s="52" t="s">
        <v>60</v>
      </c>
      <c r="C277" s="149"/>
      <c r="D277" s="149">
        <v>223.67</v>
      </c>
      <c r="E277" s="149">
        <f t="shared" si="4"/>
        <v>223.67</v>
      </c>
      <c r="F277" s="51"/>
      <c r="G277" s="152">
        <v>3100000</v>
      </c>
      <c r="H277" s="52" t="s">
        <v>834</v>
      </c>
    </row>
    <row r="278" spans="1:8" ht="21.2" customHeight="1">
      <c r="A278" s="8" t="s">
        <v>519</v>
      </c>
      <c r="B278" s="52" t="s">
        <v>60</v>
      </c>
      <c r="C278" s="149"/>
      <c r="D278" s="52" t="s">
        <v>60</v>
      </c>
      <c r="E278" s="52" t="str">
        <f t="shared" si="4"/>
        <v>—</v>
      </c>
      <c r="F278" s="51"/>
      <c r="G278" s="152">
        <v>3000000</v>
      </c>
      <c r="H278" s="52" t="s">
        <v>834</v>
      </c>
    </row>
    <row r="279" spans="1:8" ht="21.2" customHeight="1">
      <c r="A279" s="8" t="s">
        <v>253</v>
      </c>
      <c r="B279" s="149">
        <v>104.6</v>
      </c>
      <c r="C279" s="149"/>
      <c r="D279" s="149">
        <v>102.13</v>
      </c>
      <c r="E279" s="149">
        <f t="shared" si="4"/>
        <v>103.36499999999999</v>
      </c>
      <c r="F279" s="51"/>
      <c r="G279" s="152">
        <v>9250000</v>
      </c>
      <c r="H279" s="52" t="s">
        <v>834</v>
      </c>
    </row>
    <row r="280" spans="1:8" ht="21.2" customHeight="1">
      <c r="A280" s="8" t="s">
        <v>641</v>
      </c>
      <c r="B280" s="52" t="s">
        <v>60</v>
      </c>
      <c r="C280" s="149"/>
      <c r="D280" s="149">
        <v>243.07</v>
      </c>
      <c r="E280" s="149">
        <f t="shared" si="4"/>
        <v>243.07</v>
      </c>
      <c r="F280" s="51"/>
      <c r="G280" s="152">
        <v>825000</v>
      </c>
      <c r="H280" s="52" t="s">
        <v>834</v>
      </c>
    </row>
    <row r="281" spans="1:8" ht="21.2" customHeight="1">
      <c r="A281" s="8" t="s">
        <v>488</v>
      </c>
      <c r="B281" s="52" t="s">
        <v>60</v>
      </c>
      <c r="C281" s="149"/>
      <c r="D281" s="52" t="s">
        <v>60</v>
      </c>
      <c r="E281" s="52" t="str">
        <f t="shared" si="4"/>
        <v>—</v>
      </c>
      <c r="F281" s="51"/>
      <c r="G281" s="152">
        <v>1000000</v>
      </c>
      <c r="H281" s="52" t="s">
        <v>834</v>
      </c>
    </row>
    <row r="282" spans="1:8" ht="21.2" customHeight="1">
      <c r="A282" s="8" t="s">
        <v>619</v>
      </c>
      <c r="B282" s="52" t="s">
        <v>60</v>
      </c>
      <c r="C282" s="149"/>
      <c r="D282" s="52" t="s">
        <v>60</v>
      </c>
      <c r="E282" s="52" t="str">
        <f t="shared" si="4"/>
        <v>—</v>
      </c>
      <c r="F282" s="51"/>
      <c r="G282" s="152">
        <v>950000</v>
      </c>
      <c r="H282" s="52" t="s">
        <v>834</v>
      </c>
    </row>
    <row r="283" spans="1:8" ht="21.2" customHeight="1">
      <c r="A283" s="8" t="s">
        <v>482</v>
      </c>
      <c r="B283" s="149">
        <v>169.1</v>
      </c>
      <c r="C283" s="149"/>
      <c r="D283" s="149">
        <v>239.91</v>
      </c>
      <c r="E283" s="149">
        <f t="shared" si="4"/>
        <v>204.505</v>
      </c>
      <c r="F283" s="51"/>
      <c r="G283" s="152">
        <v>1450000</v>
      </c>
      <c r="H283" s="52" t="s">
        <v>834</v>
      </c>
    </row>
    <row r="284" spans="1:8" ht="21.2" customHeight="1">
      <c r="A284" s="8" t="s">
        <v>267</v>
      </c>
      <c r="B284" s="149">
        <v>142</v>
      </c>
      <c r="C284" s="149"/>
      <c r="D284" s="149">
        <v>162.29</v>
      </c>
      <c r="E284" s="149">
        <f t="shared" si="4"/>
        <v>152.14499999999998</v>
      </c>
      <c r="F284" s="149"/>
      <c r="G284" s="152">
        <v>6250000</v>
      </c>
      <c r="H284" s="52" t="s">
        <v>834</v>
      </c>
    </row>
    <row r="285" spans="1:8" ht="21.2" customHeight="1">
      <c r="A285" s="8" t="s">
        <v>592</v>
      </c>
      <c r="B285" s="52" t="s">
        <v>60</v>
      </c>
      <c r="C285" s="149"/>
      <c r="D285" s="52" t="s">
        <v>60</v>
      </c>
      <c r="E285" s="52" t="str">
        <f t="shared" si="4"/>
        <v>—</v>
      </c>
      <c r="F285" s="149"/>
      <c r="G285" s="152">
        <v>4450000</v>
      </c>
      <c r="H285" s="52" t="s">
        <v>834</v>
      </c>
    </row>
    <row r="286" spans="1:8" ht="21.2" customHeight="1">
      <c r="A286" s="8" t="s">
        <v>581</v>
      </c>
      <c r="B286" s="52" t="s">
        <v>60</v>
      </c>
      <c r="C286" s="149"/>
      <c r="D286" s="52" t="s">
        <v>60</v>
      </c>
      <c r="E286" s="52" t="str">
        <f t="shared" si="4"/>
        <v>—</v>
      </c>
      <c r="F286" s="51"/>
      <c r="G286" s="152">
        <v>4500000</v>
      </c>
      <c r="H286" s="52" t="s">
        <v>834</v>
      </c>
    </row>
    <row r="287" spans="1:8" ht="21.2" customHeight="1">
      <c r="A287" s="8" t="s">
        <v>611</v>
      </c>
      <c r="B287" s="52" t="s">
        <v>60</v>
      </c>
      <c r="C287" s="149"/>
      <c r="D287" s="149">
        <v>501.5</v>
      </c>
      <c r="E287" s="149">
        <f t="shared" si="4"/>
        <v>501.5</v>
      </c>
      <c r="F287" s="51"/>
      <c r="G287" s="152">
        <v>825000</v>
      </c>
      <c r="H287" s="52" t="s">
        <v>834</v>
      </c>
    </row>
    <row r="288" spans="1:8" ht="21.2" customHeight="1">
      <c r="A288" s="8" t="s">
        <v>750</v>
      </c>
      <c r="B288" s="52" t="s">
        <v>60</v>
      </c>
      <c r="C288" s="149"/>
      <c r="D288" s="149">
        <v>407.9</v>
      </c>
      <c r="E288" s="149">
        <f t="shared" si="4"/>
        <v>407.9</v>
      </c>
      <c r="F288" s="51"/>
      <c r="G288" s="152"/>
      <c r="H288" s="52" t="s">
        <v>834</v>
      </c>
    </row>
    <row r="289" spans="1:8" ht="21.2" customHeight="1">
      <c r="A289" s="8" t="s">
        <v>548</v>
      </c>
      <c r="B289" s="52" t="s">
        <v>60</v>
      </c>
      <c r="C289" s="149"/>
      <c r="D289" s="52" t="s">
        <v>60</v>
      </c>
      <c r="E289" s="52" t="str">
        <f t="shared" si="4"/>
        <v>—</v>
      </c>
      <c r="F289" s="51"/>
      <c r="G289" s="152">
        <v>4725000</v>
      </c>
      <c r="H289" s="52" t="s">
        <v>834</v>
      </c>
    </row>
    <row r="290" spans="1:8" ht="21.2" customHeight="1">
      <c r="A290" s="8" t="s">
        <v>524</v>
      </c>
      <c r="B290" s="52" t="s">
        <v>60</v>
      </c>
      <c r="C290" s="149"/>
      <c r="D290" s="52" t="s">
        <v>60</v>
      </c>
      <c r="E290" s="52" t="str">
        <f t="shared" si="4"/>
        <v>—</v>
      </c>
      <c r="F290" s="51"/>
      <c r="G290" s="152">
        <v>3150000</v>
      </c>
      <c r="H290" s="52" t="s">
        <v>834</v>
      </c>
    </row>
    <row r="291" spans="1:8" ht="21.2" customHeight="1">
      <c r="A291" s="8" t="s">
        <v>531</v>
      </c>
      <c r="B291" s="52" t="s">
        <v>60</v>
      </c>
      <c r="C291" s="149"/>
      <c r="D291" s="52" t="s">
        <v>60</v>
      </c>
      <c r="E291" s="52" t="str">
        <f t="shared" si="4"/>
        <v>—</v>
      </c>
      <c r="F291" s="51"/>
      <c r="G291" s="152">
        <v>855833</v>
      </c>
      <c r="H291" s="52" t="s">
        <v>834</v>
      </c>
    </row>
    <row r="292" spans="1:8" ht="21.2" customHeight="1">
      <c r="A292" s="8" t="s">
        <v>535</v>
      </c>
      <c r="B292" s="52" t="s">
        <v>60</v>
      </c>
      <c r="C292" s="149"/>
      <c r="D292" s="149">
        <v>414.95</v>
      </c>
      <c r="E292" s="149">
        <f t="shared" si="4"/>
        <v>414.95</v>
      </c>
      <c r="F292" s="51"/>
      <c r="G292" s="152">
        <v>2000000</v>
      </c>
      <c r="H292" s="52" t="s">
        <v>834</v>
      </c>
    </row>
    <row r="293" spans="1:8" ht="21.2" customHeight="1">
      <c r="A293" s="8" t="s">
        <v>568</v>
      </c>
      <c r="B293" s="52" t="s">
        <v>60</v>
      </c>
      <c r="C293" s="149"/>
      <c r="D293" s="52" t="s">
        <v>60</v>
      </c>
      <c r="E293" s="52" t="str">
        <f t="shared" si="4"/>
        <v>—</v>
      </c>
      <c r="F293" s="51"/>
      <c r="G293" s="152">
        <v>2625000</v>
      </c>
      <c r="H293" s="52" t="s">
        <v>834</v>
      </c>
    </row>
    <row r="294" spans="1:8" ht="21.2" customHeight="1">
      <c r="A294" s="8" t="s">
        <v>289</v>
      </c>
      <c r="B294" s="149">
        <v>154.69999999999999</v>
      </c>
      <c r="C294" s="149"/>
      <c r="D294" s="149">
        <v>361.21</v>
      </c>
      <c r="E294" s="149">
        <f t="shared" si="4"/>
        <v>257.95499999999998</v>
      </c>
      <c r="F294" s="51"/>
      <c r="G294" s="152">
        <v>6250000</v>
      </c>
      <c r="H294" s="52" t="s">
        <v>834</v>
      </c>
    </row>
    <row r="295" spans="1:8" ht="21.2" customHeight="1">
      <c r="A295" s="8" t="s">
        <v>508</v>
      </c>
      <c r="B295" s="52" t="s">
        <v>60</v>
      </c>
      <c r="C295" s="149"/>
      <c r="D295" s="52" t="s">
        <v>60</v>
      </c>
      <c r="E295" s="52" t="str">
        <f t="shared" si="4"/>
        <v>—</v>
      </c>
      <c r="F295" s="51"/>
      <c r="G295" s="152">
        <v>3150000</v>
      </c>
      <c r="H295" s="52" t="s">
        <v>834</v>
      </c>
    </row>
    <row r="296" spans="1:8" ht="21.2" customHeight="1">
      <c r="A296" s="8" t="s">
        <v>279</v>
      </c>
      <c r="B296" s="149">
        <v>167.6</v>
      </c>
      <c r="C296" s="149"/>
      <c r="D296" s="149">
        <v>213.38</v>
      </c>
      <c r="E296" s="149">
        <f t="shared" si="4"/>
        <v>190.49</v>
      </c>
      <c r="F296" s="149"/>
      <c r="G296" s="152">
        <v>5875000</v>
      </c>
      <c r="H296" s="52" t="s">
        <v>834</v>
      </c>
    </row>
    <row r="297" spans="1:8" ht="21.2" customHeight="1">
      <c r="A297" s="8" t="s">
        <v>326</v>
      </c>
      <c r="B297" s="52" t="s">
        <v>60</v>
      </c>
      <c r="C297" s="149"/>
      <c r="D297" s="149">
        <v>400.07</v>
      </c>
      <c r="E297" s="149">
        <f t="shared" si="4"/>
        <v>400.07</v>
      </c>
      <c r="F297" s="51"/>
      <c r="G297" s="152">
        <v>886667</v>
      </c>
      <c r="H297" s="52" t="s">
        <v>834</v>
      </c>
    </row>
    <row r="298" spans="1:8" ht="21.2" customHeight="1">
      <c r="A298" s="8" t="s">
        <v>315</v>
      </c>
      <c r="B298" s="149">
        <v>176.6</v>
      </c>
      <c r="C298" s="149"/>
      <c r="D298" s="149">
        <v>321.64999999999998</v>
      </c>
      <c r="E298" s="149">
        <f t="shared" si="4"/>
        <v>249.125</v>
      </c>
      <c r="F298" s="51"/>
      <c r="G298" s="152">
        <v>5000000</v>
      </c>
      <c r="H298" s="52" t="s">
        <v>834</v>
      </c>
    </row>
    <row r="299" spans="1:8" ht="21.2" customHeight="1">
      <c r="A299" s="8" t="s">
        <v>557</v>
      </c>
      <c r="B299" s="149">
        <v>186.7</v>
      </c>
      <c r="C299" s="149"/>
      <c r="D299" s="52" t="s">
        <v>60</v>
      </c>
      <c r="E299" s="149">
        <f t="shared" si="4"/>
        <v>186.7</v>
      </c>
      <c r="F299" s="51"/>
      <c r="G299" s="152">
        <v>5700000</v>
      </c>
      <c r="H299" s="52" t="s">
        <v>834</v>
      </c>
    </row>
    <row r="300" spans="1:8" ht="21.2" customHeight="1">
      <c r="A300" s="8" t="s">
        <v>549</v>
      </c>
      <c r="B300" s="52" t="s">
        <v>60</v>
      </c>
      <c r="C300" s="149"/>
      <c r="D300" s="52" t="s">
        <v>60</v>
      </c>
      <c r="E300" s="52" t="str">
        <f t="shared" si="4"/>
        <v>—</v>
      </c>
      <c r="F300" s="149"/>
      <c r="G300" s="152">
        <v>1460000</v>
      </c>
      <c r="H300" s="52" t="s">
        <v>834</v>
      </c>
    </row>
    <row r="301" spans="1:8" ht="21.2" customHeight="1">
      <c r="A301" s="8" t="s">
        <v>334</v>
      </c>
      <c r="B301" s="52" t="s">
        <v>60</v>
      </c>
      <c r="C301" s="149"/>
      <c r="D301" s="52" t="s">
        <v>60</v>
      </c>
      <c r="E301" s="52" t="str">
        <f t="shared" si="4"/>
        <v>—</v>
      </c>
      <c r="F301" s="149"/>
      <c r="G301" s="152">
        <v>863000</v>
      </c>
      <c r="H301" s="52" t="s">
        <v>834</v>
      </c>
    </row>
    <row r="302" spans="1:8" ht="21.2" customHeight="1">
      <c r="A302" s="8" t="s">
        <v>672</v>
      </c>
      <c r="B302" s="52" t="s">
        <v>60</v>
      </c>
      <c r="C302" s="149"/>
      <c r="D302" s="52" t="s">
        <v>60</v>
      </c>
      <c r="E302" s="52" t="str">
        <f t="shared" si="4"/>
        <v>—</v>
      </c>
      <c r="F302" s="51"/>
      <c r="G302" s="152">
        <v>3730000</v>
      </c>
      <c r="H302" s="52" t="s">
        <v>834</v>
      </c>
    </row>
    <row r="303" spans="1:8" ht="21.2" customHeight="1">
      <c r="A303" s="8" t="s">
        <v>652</v>
      </c>
      <c r="B303" s="52" t="s">
        <v>60</v>
      </c>
      <c r="C303" s="149"/>
      <c r="D303" s="52" t="s">
        <v>60</v>
      </c>
      <c r="E303" s="52" t="str">
        <f t="shared" si="4"/>
        <v>—</v>
      </c>
      <c r="F303" s="149"/>
      <c r="G303" s="152">
        <v>4000000</v>
      </c>
      <c r="H303" s="52" t="s">
        <v>834</v>
      </c>
    </row>
    <row r="304" spans="1:8" ht="21.2" customHeight="1">
      <c r="A304" s="8" t="s">
        <v>571</v>
      </c>
      <c r="B304" s="52" t="s">
        <v>60</v>
      </c>
      <c r="C304" s="149"/>
      <c r="D304" s="52" t="s">
        <v>60</v>
      </c>
      <c r="E304" s="52" t="str">
        <f t="shared" si="4"/>
        <v>—</v>
      </c>
      <c r="F304" s="51"/>
      <c r="G304" s="152">
        <v>762500</v>
      </c>
      <c r="H304" s="52" t="s">
        <v>834</v>
      </c>
    </row>
    <row r="305" spans="1:8" ht="21.2" customHeight="1">
      <c r="A305" s="8" t="s">
        <v>546</v>
      </c>
      <c r="B305" s="52" t="s">
        <v>60</v>
      </c>
      <c r="C305" s="149"/>
      <c r="D305" s="149">
        <v>455.5</v>
      </c>
      <c r="E305" s="149">
        <f t="shared" si="4"/>
        <v>455.5</v>
      </c>
      <c r="F305" s="51"/>
      <c r="G305" s="152">
        <v>2100000</v>
      </c>
      <c r="H305" s="52" t="s">
        <v>834</v>
      </c>
    </row>
    <row r="306" spans="1:8" ht="21.2" customHeight="1">
      <c r="A306" s="8" t="s">
        <v>433</v>
      </c>
      <c r="B306" s="52" t="s">
        <v>60</v>
      </c>
      <c r="C306" s="149"/>
      <c r="D306" s="149">
        <v>469.7</v>
      </c>
      <c r="E306" s="149">
        <f t="shared" si="4"/>
        <v>469.7</v>
      </c>
      <c r="F306" s="149"/>
      <c r="G306" s="152">
        <v>4900000</v>
      </c>
      <c r="H306" s="52" t="s">
        <v>834</v>
      </c>
    </row>
    <row r="307" spans="1:8" ht="21.2" customHeight="1">
      <c r="A307" s="8" t="s">
        <v>700</v>
      </c>
      <c r="B307" s="52" t="s">
        <v>60</v>
      </c>
      <c r="C307" s="149"/>
      <c r="D307" s="52" t="s">
        <v>60</v>
      </c>
      <c r="E307" s="52" t="str">
        <f t="shared" si="4"/>
        <v>—</v>
      </c>
      <c r="F307" s="149"/>
      <c r="G307" s="152">
        <v>765200</v>
      </c>
      <c r="H307" s="52" t="s">
        <v>834</v>
      </c>
    </row>
    <row r="308" spans="1:8" ht="21.2" customHeight="1">
      <c r="A308" s="8" t="s">
        <v>462</v>
      </c>
      <c r="B308" s="52" t="s">
        <v>60</v>
      </c>
      <c r="C308" s="149"/>
      <c r="D308" s="52" t="s">
        <v>60</v>
      </c>
      <c r="E308" s="52" t="str">
        <f t="shared" si="4"/>
        <v>—</v>
      </c>
      <c r="F308" s="51"/>
      <c r="G308" s="152">
        <v>4500000</v>
      </c>
      <c r="H308" s="52" t="s">
        <v>834</v>
      </c>
    </row>
    <row r="309" spans="1:8" ht="21.2" customHeight="1">
      <c r="A309" s="8" t="s">
        <v>345</v>
      </c>
      <c r="B309" s="52" t="s">
        <v>60</v>
      </c>
      <c r="C309" s="149"/>
      <c r="D309" s="52" t="s">
        <v>60</v>
      </c>
      <c r="E309" s="52" t="str">
        <f t="shared" si="4"/>
        <v>—</v>
      </c>
      <c r="F309" s="149"/>
      <c r="G309" s="152">
        <v>863333</v>
      </c>
      <c r="H309" s="52" t="s">
        <v>834</v>
      </c>
    </row>
    <row r="310" spans="1:8" ht="21.2" customHeight="1">
      <c r="A310" s="8" t="s">
        <v>316</v>
      </c>
      <c r="B310" s="149">
        <v>145.1</v>
      </c>
      <c r="C310" s="149"/>
      <c r="D310" s="149">
        <v>178.36</v>
      </c>
      <c r="E310" s="149">
        <f t="shared" si="4"/>
        <v>161.73000000000002</v>
      </c>
      <c r="F310" s="149"/>
      <c r="G310" s="152">
        <v>3872000</v>
      </c>
      <c r="H310" s="52" t="s">
        <v>834</v>
      </c>
    </row>
    <row r="311" spans="1:8" ht="21.2" customHeight="1">
      <c r="A311" s="8" t="s">
        <v>566</v>
      </c>
      <c r="B311" s="52" t="s">
        <v>60</v>
      </c>
      <c r="C311" s="149"/>
      <c r="D311" s="149">
        <v>447.5</v>
      </c>
      <c r="E311" s="149">
        <f t="shared" si="4"/>
        <v>447.5</v>
      </c>
      <c r="F311" s="149"/>
      <c r="G311" s="152">
        <v>2250000</v>
      </c>
      <c r="H311" s="52" t="s">
        <v>834</v>
      </c>
    </row>
    <row r="312" spans="1:8" ht="21.2" customHeight="1">
      <c r="A312" s="8" t="s">
        <v>364</v>
      </c>
      <c r="B312" s="149">
        <v>168.1</v>
      </c>
      <c r="C312" s="149"/>
      <c r="D312" s="149">
        <v>211.84</v>
      </c>
      <c r="E312" s="149">
        <f t="shared" si="4"/>
        <v>189.97</v>
      </c>
      <c r="F312" s="51"/>
      <c r="G312" s="152">
        <v>1400000</v>
      </c>
      <c r="H312" s="52" t="s">
        <v>834</v>
      </c>
    </row>
    <row r="313" spans="1:8" ht="21.2" customHeight="1">
      <c r="A313" s="8" t="s">
        <v>572</v>
      </c>
      <c r="B313" s="52" t="s">
        <v>60</v>
      </c>
      <c r="C313" s="149"/>
      <c r="D313" s="52" t="s">
        <v>60</v>
      </c>
      <c r="E313" s="52" t="str">
        <f t="shared" si="4"/>
        <v>—</v>
      </c>
      <c r="F313" s="51"/>
      <c r="G313" s="152">
        <v>3500000</v>
      </c>
      <c r="H313" s="52" t="s">
        <v>834</v>
      </c>
    </row>
    <row r="314" spans="1:8" ht="21.2" customHeight="1">
      <c r="A314" s="8" t="s">
        <v>514</v>
      </c>
      <c r="B314" s="149">
        <v>152.1</v>
      </c>
      <c r="C314" s="149"/>
      <c r="D314" s="149">
        <v>227.5</v>
      </c>
      <c r="E314" s="149">
        <f t="shared" si="4"/>
        <v>189.8</v>
      </c>
      <c r="F314" s="51"/>
      <c r="G314" s="152"/>
      <c r="H314" s="52" t="s">
        <v>54</v>
      </c>
    </row>
    <row r="315" spans="1:8" ht="21.2" customHeight="1">
      <c r="A315" s="8" t="s">
        <v>322</v>
      </c>
      <c r="B315" s="52" t="s">
        <v>60</v>
      </c>
      <c r="C315" s="149"/>
      <c r="D315" s="149">
        <v>228.68</v>
      </c>
      <c r="E315" s="149">
        <f t="shared" si="4"/>
        <v>228.68</v>
      </c>
      <c r="F315" s="51"/>
      <c r="G315" s="152">
        <v>1000000</v>
      </c>
      <c r="H315" s="52" t="s">
        <v>834</v>
      </c>
    </row>
    <row r="316" spans="1:8" ht="21.2" customHeight="1">
      <c r="A316" s="8" t="s">
        <v>294</v>
      </c>
      <c r="B316" s="149">
        <v>141.30000000000001</v>
      </c>
      <c r="C316" s="149"/>
      <c r="D316" s="149">
        <v>161.16</v>
      </c>
      <c r="E316" s="149">
        <f t="shared" si="4"/>
        <v>151.23000000000002</v>
      </c>
      <c r="F316" s="51"/>
      <c r="G316" s="152">
        <v>4125000</v>
      </c>
      <c r="H316" s="52" t="s">
        <v>834</v>
      </c>
    </row>
    <row r="317" spans="1:8" ht="21.2" customHeight="1">
      <c r="A317" s="8" t="s">
        <v>274</v>
      </c>
      <c r="B317" s="149">
        <v>169.2</v>
      </c>
      <c r="C317" s="149"/>
      <c r="D317" s="149">
        <v>192.13</v>
      </c>
      <c r="E317" s="149">
        <f t="shared" si="4"/>
        <v>180.66499999999999</v>
      </c>
      <c r="F317" s="149"/>
      <c r="G317" s="152">
        <v>925000</v>
      </c>
      <c r="H317" s="52" t="s">
        <v>834</v>
      </c>
    </row>
    <row r="318" spans="1:8" ht="21.2" customHeight="1">
      <c r="A318" s="8" t="s">
        <v>278</v>
      </c>
      <c r="B318" s="149">
        <v>161.5</v>
      </c>
      <c r="C318" s="149"/>
      <c r="D318" s="149">
        <v>192.35</v>
      </c>
      <c r="E318" s="149">
        <f t="shared" si="4"/>
        <v>176.92500000000001</v>
      </c>
      <c r="F318" s="149"/>
      <c r="G318" s="152">
        <v>7575000</v>
      </c>
      <c r="H318" s="52" t="s">
        <v>834</v>
      </c>
    </row>
    <row r="319" spans="1:8" ht="21.2" customHeight="1">
      <c r="A319" s="8" t="s">
        <v>328</v>
      </c>
      <c r="B319" s="149">
        <v>172.6</v>
      </c>
      <c r="C319" s="149"/>
      <c r="D319" s="149">
        <v>208.82</v>
      </c>
      <c r="E319" s="149">
        <f t="shared" si="4"/>
        <v>190.70999999999998</v>
      </c>
      <c r="F319" s="149"/>
      <c r="G319" s="152">
        <v>6250000</v>
      </c>
      <c r="H319" s="52" t="s">
        <v>834</v>
      </c>
    </row>
    <row r="320" spans="1:8" ht="21.2" customHeight="1">
      <c r="A320" s="8" t="s">
        <v>656</v>
      </c>
      <c r="B320" s="52" t="s">
        <v>60</v>
      </c>
      <c r="C320" s="149"/>
      <c r="D320" s="52" t="s">
        <v>60</v>
      </c>
      <c r="E320" s="52" t="str">
        <f t="shared" si="4"/>
        <v>—</v>
      </c>
      <c r="F320" s="51"/>
      <c r="G320" s="152"/>
      <c r="H320" s="52" t="s">
        <v>834</v>
      </c>
    </row>
    <row r="321" spans="1:8" ht="21.2" customHeight="1">
      <c r="A321" s="8" t="s">
        <v>467</v>
      </c>
      <c r="B321" s="52" t="s">
        <v>60</v>
      </c>
      <c r="C321" s="149"/>
      <c r="D321" s="52" t="s">
        <v>60</v>
      </c>
      <c r="E321" s="52" t="str">
        <f t="shared" si="4"/>
        <v>—</v>
      </c>
      <c r="F321" s="51"/>
      <c r="G321" s="152">
        <v>2000000</v>
      </c>
      <c r="H321" s="52" t="s">
        <v>834</v>
      </c>
    </row>
    <row r="322" spans="1:8" ht="21.2" customHeight="1">
      <c r="A322" s="8" t="s">
        <v>298</v>
      </c>
      <c r="B322" s="52" t="s">
        <v>60</v>
      </c>
      <c r="C322" s="149"/>
      <c r="D322" s="149">
        <v>220.36</v>
      </c>
      <c r="E322" s="149">
        <f t="shared" ref="E322:E385" si="5">IFERROR(AVERAGE(B322:D322),"—")</f>
        <v>220.36</v>
      </c>
      <c r="F322" s="149"/>
      <c r="G322" s="152"/>
      <c r="H322" s="52" t="s">
        <v>58</v>
      </c>
    </row>
    <row r="323" spans="1:8" ht="21.2" customHeight="1">
      <c r="A323" s="8" t="s">
        <v>288</v>
      </c>
      <c r="B323" s="149">
        <v>170.8</v>
      </c>
      <c r="C323" s="149"/>
      <c r="D323" s="149">
        <v>175.92</v>
      </c>
      <c r="E323" s="149">
        <f t="shared" si="5"/>
        <v>173.36</v>
      </c>
      <c r="F323" s="51"/>
      <c r="G323" s="152">
        <v>6000000</v>
      </c>
      <c r="H323" s="52" t="s">
        <v>58</v>
      </c>
    </row>
    <row r="324" spans="1:8" ht="21.2" customHeight="1">
      <c r="A324" s="8" t="s">
        <v>330</v>
      </c>
      <c r="B324" s="52" t="s">
        <v>60</v>
      </c>
      <c r="C324" s="149"/>
      <c r="D324" s="149">
        <v>480.5</v>
      </c>
      <c r="E324" s="149">
        <f t="shared" si="5"/>
        <v>480.5</v>
      </c>
      <c r="F324" s="51"/>
      <c r="G324" s="152">
        <v>3000000</v>
      </c>
      <c r="H324" s="52" t="s">
        <v>834</v>
      </c>
    </row>
    <row r="325" spans="1:8" ht="21.2" customHeight="1">
      <c r="A325" s="8" t="s">
        <v>669</v>
      </c>
      <c r="B325" s="52" t="s">
        <v>60</v>
      </c>
      <c r="C325" s="149"/>
      <c r="D325" s="52" t="s">
        <v>60</v>
      </c>
      <c r="E325" s="52" t="str">
        <f t="shared" si="5"/>
        <v>—</v>
      </c>
      <c r="F325" s="51"/>
      <c r="G325" s="152"/>
      <c r="H325" s="52" t="s">
        <v>834</v>
      </c>
    </row>
    <row r="326" spans="1:8" ht="21.2" customHeight="1">
      <c r="A326" s="8" t="s">
        <v>346</v>
      </c>
      <c r="B326" s="52" t="s">
        <v>60</v>
      </c>
      <c r="C326" s="149"/>
      <c r="D326" s="52" t="s">
        <v>60</v>
      </c>
      <c r="E326" s="52" t="str">
        <f t="shared" si="5"/>
        <v>—</v>
      </c>
      <c r="F326" s="149"/>
      <c r="G326" s="152"/>
      <c r="H326" s="52" t="s">
        <v>834</v>
      </c>
    </row>
    <row r="327" spans="1:8" ht="21.2" customHeight="1">
      <c r="A327" s="8" t="s">
        <v>511</v>
      </c>
      <c r="B327" s="52" t="s">
        <v>60</v>
      </c>
      <c r="C327" s="149"/>
      <c r="D327" s="52" t="s">
        <v>60</v>
      </c>
      <c r="E327" s="52" t="str">
        <f t="shared" si="5"/>
        <v>—</v>
      </c>
      <c r="F327" s="51"/>
      <c r="G327" s="152">
        <v>2085000</v>
      </c>
      <c r="H327" s="52" t="s">
        <v>834</v>
      </c>
    </row>
    <row r="328" spans="1:8" ht="21.2" customHeight="1">
      <c r="A328" s="8" t="s">
        <v>301</v>
      </c>
      <c r="B328" s="52" t="s">
        <v>60</v>
      </c>
      <c r="C328" s="149"/>
      <c r="D328" s="149">
        <v>434.62</v>
      </c>
      <c r="E328" s="149">
        <f t="shared" si="5"/>
        <v>434.62</v>
      </c>
      <c r="F328" s="51"/>
      <c r="G328" s="152">
        <v>6500000</v>
      </c>
      <c r="H328" s="52" t="s">
        <v>834</v>
      </c>
    </row>
    <row r="329" spans="1:8" ht="21.2" customHeight="1">
      <c r="A329" s="8" t="s">
        <v>602</v>
      </c>
      <c r="B329" s="52" t="s">
        <v>60</v>
      </c>
      <c r="C329" s="149"/>
      <c r="D329" s="149">
        <v>498.6</v>
      </c>
      <c r="E329" s="149">
        <f t="shared" si="5"/>
        <v>498.6</v>
      </c>
      <c r="F329" s="149"/>
      <c r="G329" s="152">
        <v>1500000</v>
      </c>
      <c r="H329" s="52" t="s">
        <v>834</v>
      </c>
    </row>
    <row r="330" spans="1:8" ht="21.2" customHeight="1">
      <c r="A330" s="8" t="s">
        <v>564</v>
      </c>
      <c r="B330" s="52" t="s">
        <v>60</v>
      </c>
      <c r="C330" s="149"/>
      <c r="D330" s="52" t="s">
        <v>60</v>
      </c>
      <c r="E330" s="52" t="str">
        <f t="shared" si="5"/>
        <v>—</v>
      </c>
      <c r="F330" s="149"/>
      <c r="G330" s="152">
        <v>1450000</v>
      </c>
      <c r="H330" s="52" t="s">
        <v>834</v>
      </c>
    </row>
    <row r="331" spans="1:8" ht="21.2" customHeight="1">
      <c r="A331" s="8" t="s">
        <v>665</v>
      </c>
      <c r="B331" s="52" t="s">
        <v>60</v>
      </c>
      <c r="C331" s="149"/>
      <c r="D331" s="52" t="s">
        <v>60</v>
      </c>
      <c r="E331" s="52" t="str">
        <f t="shared" si="5"/>
        <v>—</v>
      </c>
      <c r="F331" s="51"/>
      <c r="G331" s="152">
        <v>1900000</v>
      </c>
      <c r="H331" s="52" t="s">
        <v>834</v>
      </c>
    </row>
    <row r="332" spans="1:8" ht="21.2" customHeight="1">
      <c r="A332" s="8" t="s">
        <v>376</v>
      </c>
      <c r="B332" s="149">
        <v>126.9</v>
      </c>
      <c r="C332" s="149"/>
      <c r="D332" s="149">
        <v>175.29</v>
      </c>
      <c r="E332" s="149">
        <f t="shared" si="5"/>
        <v>151.095</v>
      </c>
      <c r="F332" s="51"/>
      <c r="G332" s="152">
        <v>1675000</v>
      </c>
      <c r="H332" s="52" t="s">
        <v>834</v>
      </c>
    </row>
    <row r="333" spans="1:8" ht="21.2" customHeight="1">
      <c r="A333" s="8" t="s">
        <v>682</v>
      </c>
      <c r="B333" s="52" t="s">
        <v>60</v>
      </c>
      <c r="C333" s="149"/>
      <c r="D333" s="52" t="s">
        <v>60</v>
      </c>
      <c r="E333" s="52" t="str">
        <f t="shared" si="5"/>
        <v>—</v>
      </c>
      <c r="F333" s="51"/>
      <c r="G333" s="152">
        <v>1675000</v>
      </c>
      <c r="H333" s="52" t="s">
        <v>834</v>
      </c>
    </row>
    <row r="334" spans="1:8" ht="21.2" customHeight="1">
      <c r="A334" s="8" t="s">
        <v>662</v>
      </c>
      <c r="B334" s="149">
        <v>169</v>
      </c>
      <c r="C334" s="149"/>
      <c r="D334" s="149">
        <v>422.91</v>
      </c>
      <c r="E334" s="149">
        <f t="shared" si="5"/>
        <v>295.95500000000004</v>
      </c>
      <c r="F334" s="51"/>
      <c r="G334" s="152">
        <v>950000</v>
      </c>
      <c r="H334" s="52" t="s">
        <v>834</v>
      </c>
    </row>
    <row r="335" spans="1:8" ht="21.2" customHeight="1">
      <c r="A335" s="8" t="s">
        <v>610</v>
      </c>
      <c r="B335" s="149">
        <v>161.6</v>
      </c>
      <c r="C335" s="149"/>
      <c r="D335" s="52" t="s">
        <v>60</v>
      </c>
      <c r="E335" s="149">
        <f t="shared" si="5"/>
        <v>161.6</v>
      </c>
      <c r="F335" s="51"/>
      <c r="G335" s="152">
        <v>3500000</v>
      </c>
      <c r="H335" s="52" t="s">
        <v>834</v>
      </c>
    </row>
    <row r="336" spans="1:8" ht="21.2" customHeight="1">
      <c r="A336" s="8" t="s">
        <v>609</v>
      </c>
      <c r="B336" s="52" t="s">
        <v>60</v>
      </c>
      <c r="C336" s="149"/>
      <c r="D336" s="52" t="s">
        <v>60</v>
      </c>
      <c r="E336" s="52" t="str">
        <f t="shared" si="5"/>
        <v>—</v>
      </c>
      <c r="F336" s="51"/>
      <c r="G336" s="152">
        <v>1400000</v>
      </c>
      <c r="H336" s="52" t="s">
        <v>834</v>
      </c>
    </row>
    <row r="337" spans="1:8" ht="21.2" customHeight="1">
      <c r="A337" s="8" t="s">
        <v>561</v>
      </c>
      <c r="B337" s="52" t="s">
        <v>60</v>
      </c>
      <c r="C337" s="149"/>
      <c r="D337" s="149">
        <v>439.4</v>
      </c>
      <c r="E337" s="149">
        <f t="shared" si="5"/>
        <v>439.4</v>
      </c>
      <c r="F337" s="51"/>
      <c r="G337" s="152">
        <v>874000</v>
      </c>
      <c r="H337" s="52" t="s">
        <v>834</v>
      </c>
    </row>
    <row r="338" spans="1:8" ht="21.2" customHeight="1">
      <c r="A338" s="8" t="s">
        <v>553</v>
      </c>
      <c r="B338" s="52" t="s">
        <v>60</v>
      </c>
      <c r="C338" s="149"/>
      <c r="D338" s="149">
        <v>1190.5999999999999</v>
      </c>
      <c r="E338" s="149">
        <f t="shared" si="5"/>
        <v>1190.5999999999999</v>
      </c>
      <c r="F338" s="51"/>
      <c r="G338" s="152">
        <v>6500000</v>
      </c>
      <c r="H338" s="52" t="s">
        <v>834</v>
      </c>
    </row>
    <row r="339" spans="1:8" ht="21.2" customHeight="1">
      <c r="A339" s="8" t="s">
        <v>678</v>
      </c>
      <c r="B339" s="52" t="s">
        <v>60</v>
      </c>
      <c r="C339" s="149"/>
      <c r="D339" s="52" t="s">
        <v>60</v>
      </c>
      <c r="E339" s="52" t="str">
        <f t="shared" si="5"/>
        <v>—</v>
      </c>
      <c r="F339" s="149"/>
      <c r="G339" s="152">
        <v>775000</v>
      </c>
      <c r="H339" s="52" t="s">
        <v>834</v>
      </c>
    </row>
    <row r="340" spans="1:8" ht="21.2" customHeight="1">
      <c r="A340" s="8" t="s">
        <v>308</v>
      </c>
      <c r="B340" s="149">
        <v>170.4</v>
      </c>
      <c r="C340" s="149"/>
      <c r="D340" s="52" t="s">
        <v>60</v>
      </c>
      <c r="E340" s="149">
        <f t="shared" si="5"/>
        <v>170.4</v>
      </c>
      <c r="F340" s="51"/>
      <c r="G340" s="152">
        <v>5300000</v>
      </c>
      <c r="H340" s="52" t="s">
        <v>834</v>
      </c>
    </row>
    <row r="341" spans="1:8" ht="21.2" customHeight="1">
      <c r="A341" s="8" t="s">
        <v>538</v>
      </c>
      <c r="B341" s="52" t="s">
        <v>60</v>
      </c>
      <c r="C341" s="149"/>
      <c r="D341" s="52" t="s">
        <v>60</v>
      </c>
      <c r="E341" s="52" t="str">
        <f t="shared" si="5"/>
        <v>—</v>
      </c>
      <c r="F341" s="51"/>
      <c r="G341" s="152">
        <v>2710000</v>
      </c>
      <c r="H341" s="52" t="s">
        <v>834</v>
      </c>
    </row>
    <row r="342" spans="1:8" ht="21.2" customHeight="1">
      <c r="A342" s="8" t="s">
        <v>617</v>
      </c>
      <c r="B342" s="52" t="s">
        <v>60</v>
      </c>
      <c r="C342" s="149"/>
      <c r="D342" s="52" t="s">
        <v>60</v>
      </c>
      <c r="E342" s="52" t="str">
        <f t="shared" si="5"/>
        <v>—</v>
      </c>
      <c r="F342" s="51"/>
      <c r="G342" s="152">
        <v>5000000</v>
      </c>
      <c r="H342" s="52" t="s">
        <v>834</v>
      </c>
    </row>
    <row r="343" spans="1:8" ht="21.2" customHeight="1">
      <c r="A343" s="8" t="s">
        <v>600</v>
      </c>
      <c r="B343" s="52" t="s">
        <v>60</v>
      </c>
      <c r="C343" s="149"/>
      <c r="D343" s="52" t="s">
        <v>60</v>
      </c>
      <c r="E343" s="52" t="str">
        <f t="shared" si="5"/>
        <v>—</v>
      </c>
      <c r="F343" s="51"/>
      <c r="G343" s="152">
        <v>2750000</v>
      </c>
      <c r="H343" s="52" t="s">
        <v>834</v>
      </c>
    </row>
    <row r="344" spans="1:8" ht="21.2" customHeight="1">
      <c r="A344" s="8" t="s">
        <v>303</v>
      </c>
      <c r="B344" s="52" t="s">
        <v>60</v>
      </c>
      <c r="C344" s="149"/>
      <c r="D344" s="52" t="s">
        <v>60</v>
      </c>
      <c r="E344" s="52" t="str">
        <f t="shared" si="5"/>
        <v>—</v>
      </c>
      <c r="F344" s="51"/>
      <c r="G344" s="152">
        <v>4025000</v>
      </c>
      <c r="H344" s="52" t="s">
        <v>834</v>
      </c>
    </row>
    <row r="345" spans="1:8" ht="21.2" customHeight="1">
      <c r="A345" s="8" t="s">
        <v>689</v>
      </c>
      <c r="B345" s="52" t="s">
        <v>60</v>
      </c>
      <c r="C345" s="149"/>
      <c r="D345" s="52" t="s">
        <v>60</v>
      </c>
      <c r="E345" s="52" t="str">
        <f t="shared" si="5"/>
        <v>—</v>
      </c>
      <c r="F345" s="51"/>
      <c r="G345" s="152">
        <v>1525000</v>
      </c>
      <c r="H345" s="52" t="s">
        <v>834</v>
      </c>
    </row>
    <row r="346" spans="1:8" ht="21.2" customHeight="1">
      <c r="A346" s="8" t="s">
        <v>686</v>
      </c>
      <c r="B346" s="52" t="s">
        <v>60</v>
      </c>
      <c r="C346" s="149"/>
      <c r="D346" s="52" t="s">
        <v>60</v>
      </c>
      <c r="E346" s="52" t="str">
        <f t="shared" si="5"/>
        <v>—</v>
      </c>
      <c r="F346" s="51"/>
      <c r="G346" s="152"/>
      <c r="H346" s="52" t="s">
        <v>834</v>
      </c>
    </row>
    <row r="347" spans="1:8" ht="21.2" customHeight="1">
      <c r="A347" s="8" t="s">
        <v>708</v>
      </c>
      <c r="B347" s="52" t="s">
        <v>60</v>
      </c>
      <c r="C347" s="149"/>
      <c r="D347" s="52" t="s">
        <v>60</v>
      </c>
      <c r="E347" s="52" t="str">
        <f t="shared" si="5"/>
        <v>—</v>
      </c>
      <c r="F347" s="51"/>
      <c r="G347" s="152">
        <v>775000</v>
      </c>
      <c r="H347" s="52" t="s">
        <v>834</v>
      </c>
    </row>
    <row r="348" spans="1:8" ht="21.2" customHeight="1">
      <c r="A348" s="8" t="s">
        <v>621</v>
      </c>
      <c r="B348" s="52" t="s">
        <v>60</v>
      </c>
      <c r="C348" s="149"/>
      <c r="D348" s="149">
        <v>427.5</v>
      </c>
      <c r="E348" s="149">
        <f t="shared" si="5"/>
        <v>427.5</v>
      </c>
      <c r="F348" s="51"/>
      <c r="G348" s="152">
        <v>3100000</v>
      </c>
      <c r="H348" s="52" t="s">
        <v>834</v>
      </c>
    </row>
    <row r="349" spans="1:8" ht="21.2" customHeight="1">
      <c r="A349" s="8" t="s">
        <v>397</v>
      </c>
      <c r="B349" s="52" t="s">
        <v>60</v>
      </c>
      <c r="C349" s="149"/>
      <c r="D349" s="52" t="s">
        <v>60</v>
      </c>
      <c r="E349" s="52" t="str">
        <f t="shared" si="5"/>
        <v>—</v>
      </c>
      <c r="F349" s="51"/>
      <c r="G349" s="152">
        <v>2600000</v>
      </c>
      <c r="H349" s="52" t="s">
        <v>834</v>
      </c>
    </row>
    <row r="350" spans="1:8" ht="21.2" customHeight="1">
      <c r="A350" s="8" t="s">
        <v>622</v>
      </c>
      <c r="B350" s="52" t="s">
        <v>60</v>
      </c>
      <c r="C350" s="149"/>
      <c r="D350" s="52" t="s">
        <v>60</v>
      </c>
      <c r="E350" s="52" t="str">
        <f t="shared" si="5"/>
        <v>—</v>
      </c>
      <c r="F350" s="51"/>
      <c r="G350" s="152">
        <v>2166667</v>
      </c>
      <c r="H350" s="52" t="s">
        <v>834</v>
      </c>
    </row>
    <row r="351" spans="1:8" ht="21.2" customHeight="1">
      <c r="A351" s="8" t="s">
        <v>668</v>
      </c>
      <c r="B351" s="52" t="s">
        <v>60</v>
      </c>
      <c r="C351" s="149"/>
      <c r="D351" s="52" t="s">
        <v>60</v>
      </c>
      <c r="E351" s="52" t="str">
        <f t="shared" si="5"/>
        <v>—</v>
      </c>
      <c r="F351" s="51"/>
      <c r="G351" s="152"/>
      <c r="H351" s="52" t="s">
        <v>834</v>
      </c>
    </row>
    <row r="352" spans="1:8" ht="21.2" customHeight="1">
      <c r="A352" s="8" t="s">
        <v>660</v>
      </c>
      <c r="B352" s="52" t="s">
        <v>60</v>
      </c>
      <c r="C352" s="149"/>
      <c r="D352" s="149">
        <v>400.5</v>
      </c>
      <c r="E352" s="149">
        <f t="shared" si="5"/>
        <v>400.5</v>
      </c>
      <c r="F352" s="51"/>
      <c r="G352" s="152">
        <v>2900000</v>
      </c>
      <c r="H352" s="52" t="s">
        <v>834</v>
      </c>
    </row>
    <row r="353" spans="1:8" ht="21.2" customHeight="1">
      <c r="A353" s="8" t="s">
        <v>577</v>
      </c>
      <c r="B353" s="52" t="s">
        <v>60</v>
      </c>
      <c r="C353" s="149"/>
      <c r="D353" s="52" t="s">
        <v>60</v>
      </c>
      <c r="E353" s="52" t="str">
        <f t="shared" si="5"/>
        <v>—</v>
      </c>
      <c r="F353" s="149"/>
      <c r="G353" s="152">
        <v>925000</v>
      </c>
      <c r="H353" s="52" t="s">
        <v>834</v>
      </c>
    </row>
    <row r="354" spans="1:8" ht="21.2" customHeight="1">
      <c r="A354" s="8" t="s">
        <v>618</v>
      </c>
      <c r="B354" s="52" t="s">
        <v>60</v>
      </c>
      <c r="C354" s="149"/>
      <c r="D354" s="52" t="s">
        <v>60</v>
      </c>
      <c r="E354" s="52" t="str">
        <f t="shared" si="5"/>
        <v>—</v>
      </c>
      <c r="F354" s="51"/>
      <c r="G354" s="152">
        <v>2300000</v>
      </c>
      <c r="H354" s="52" t="s">
        <v>834</v>
      </c>
    </row>
    <row r="355" spans="1:8" ht="21.2" customHeight="1">
      <c r="A355" s="8" t="s">
        <v>706</v>
      </c>
      <c r="B355" s="52" t="s">
        <v>60</v>
      </c>
      <c r="C355" s="149"/>
      <c r="D355" s="52" t="s">
        <v>60</v>
      </c>
      <c r="E355" s="52" t="str">
        <f t="shared" si="5"/>
        <v>—</v>
      </c>
      <c r="F355" s="51"/>
      <c r="G355" s="152">
        <v>2000000</v>
      </c>
      <c r="H355" s="52" t="s">
        <v>834</v>
      </c>
    </row>
    <row r="356" spans="1:8" ht="21.2" customHeight="1">
      <c r="A356" s="8" t="s">
        <v>314</v>
      </c>
      <c r="B356" s="149">
        <v>138.4</v>
      </c>
      <c r="C356" s="149"/>
      <c r="D356" s="149">
        <v>209.34</v>
      </c>
      <c r="E356" s="149">
        <f t="shared" si="5"/>
        <v>173.87</v>
      </c>
      <c r="F356" s="51"/>
      <c r="G356" s="152">
        <v>5250000</v>
      </c>
      <c r="H356" s="52" t="s">
        <v>834</v>
      </c>
    </row>
    <row r="357" spans="1:8" ht="21.2" customHeight="1">
      <c r="A357" s="8" t="s">
        <v>284</v>
      </c>
      <c r="B357" s="149">
        <v>126.3</v>
      </c>
      <c r="C357" s="149"/>
      <c r="D357" s="149">
        <v>117.16</v>
      </c>
      <c r="E357" s="149">
        <f t="shared" si="5"/>
        <v>121.72999999999999</v>
      </c>
      <c r="F357" s="51"/>
      <c r="G357" s="152">
        <v>8000000</v>
      </c>
      <c r="H357" s="52" t="s">
        <v>834</v>
      </c>
    </row>
    <row r="358" spans="1:8" ht="21.2" customHeight="1">
      <c r="A358" s="8" t="s">
        <v>623</v>
      </c>
      <c r="B358" s="52" t="s">
        <v>60</v>
      </c>
      <c r="C358" s="149"/>
      <c r="D358" s="52" t="s">
        <v>60</v>
      </c>
      <c r="E358" s="52" t="str">
        <f t="shared" si="5"/>
        <v>—</v>
      </c>
      <c r="F358" s="51"/>
      <c r="G358" s="152">
        <v>800000</v>
      </c>
      <c r="H358" s="52" t="s">
        <v>834</v>
      </c>
    </row>
    <row r="359" spans="1:8" ht="21.2" customHeight="1">
      <c r="A359" s="8" t="s">
        <v>337</v>
      </c>
      <c r="B359" s="52" t="s">
        <v>60</v>
      </c>
      <c r="C359" s="149"/>
      <c r="D359" s="52" t="s">
        <v>60</v>
      </c>
      <c r="E359" s="52" t="str">
        <f t="shared" si="5"/>
        <v>—</v>
      </c>
      <c r="F359" s="51"/>
      <c r="G359" s="152">
        <v>3250000</v>
      </c>
      <c r="H359" s="52" t="s">
        <v>834</v>
      </c>
    </row>
    <row r="360" spans="1:8" ht="21.2" customHeight="1">
      <c r="A360" s="8" t="s">
        <v>714</v>
      </c>
      <c r="B360" s="52" t="s">
        <v>60</v>
      </c>
      <c r="C360" s="149"/>
      <c r="D360" s="52" t="s">
        <v>60</v>
      </c>
      <c r="E360" s="52" t="str">
        <f t="shared" si="5"/>
        <v>—</v>
      </c>
      <c r="F360" s="51"/>
      <c r="G360" s="152">
        <v>863300</v>
      </c>
      <c r="H360" s="52" t="s">
        <v>834</v>
      </c>
    </row>
    <row r="361" spans="1:8" ht="21.2" customHeight="1">
      <c r="A361" s="8" t="s">
        <v>677</v>
      </c>
      <c r="B361" s="149">
        <v>172.6</v>
      </c>
      <c r="C361" s="149"/>
      <c r="D361" s="149">
        <v>225.91</v>
      </c>
      <c r="E361" s="149">
        <f t="shared" si="5"/>
        <v>199.255</v>
      </c>
      <c r="F361" s="51"/>
      <c r="G361" s="152">
        <v>1000000</v>
      </c>
      <c r="H361" s="52" t="s">
        <v>834</v>
      </c>
    </row>
    <row r="362" spans="1:8" ht="21.2" customHeight="1">
      <c r="A362" s="8" t="s">
        <v>626</v>
      </c>
      <c r="B362" s="52" t="s">
        <v>60</v>
      </c>
      <c r="C362" s="149"/>
      <c r="D362" s="52" t="s">
        <v>60</v>
      </c>
      <c r="E362" s="52" t="str">
        <f t="shared" si="5"/>
        <v>—</v>
      </c>
      <c r="F362" s="149"/>
      <c r="G362" s="152">
        <v>2500000</v>
      </c>
      <c r="H362" s="52" t="s">
        <v>834</v>
      </c>
    </row>
    <row r="363" spans="1:8" ht="21.2" customHeight="1">
      <c r="A363" s="8" t="s">
        <v>576</v>
      </c>
      <c r="B363" s="52" t="s">
        <v>60</v>
      </c>
      <c r="C363" s="149"/>
      <c r="D363" s="52" t="s">
        <v>60</v>
      </c>
      <c r="E363" s="52" t="str">
        <f t="shared" si="5"/>
        <v>—</v>
      </c>
      <c r="F363" s="149"/>
      <c r="G363" s="152">
        <v>2750000</v>
      </c>
      <c r="H363" s="52" t="s">
        <v>834</v>
      </c>
    </row>
    <row r="364" spans="1:8" ht="21.2" customHeight="1">
      <c r="A364" s="8" t="s">
        <v>613</v>
      </c>
      <c r="B364" s="52" t="s">
        <v>60</v>
      </c>
      <c r="C364" s="149"/>
      <c r="D364" s="52" t="s">
        <v>60</v>
      </c>
      <c r="E364" s="52" t="str">
        <f t="shared" si="5"/>
        <v>—</v>
      </c>
      <c r="F364" s="149"/>
      <c r="G364" s="152">
        <v>1600000</v>
      </c>
      <c r="H364" s="52" t="s">
        <v>834</v>
      </c>
    </row>
    <row r="365" spans="1:8" ht="21.2" customHeight="1">
      <c r="A365" s="8" t="s">
        <v>616</v>
      </c>
      <c r="B365" s="52" t="s">
        <v>60</v>
      </c>
      <c r="C365" s="149"/>
      <c r="D365" s="52" t="s">
        <v>60</v>
      </c>
      <c r="E365" s="52" t="str">
        <f t="shared" si="5"/>
        <v>—</v>
      </c>
      <c r="F365" s="51"/>
      <c r="G365" s="152">
        <v>1800000</v>
      </c>
      <c r="H365" s="52" t="s">
        <v>834</v>
      </c>
    </row>
    <row r="366" spans="1:8" ht="21.2" customHeight="1">
      <c r="A366" s="8" t="s">
        <v>528</v>
      </c>
      <c r="B366" s="52" t="s">
        <v>60</v>
      </c>
      <c r="C366" s="149"/>
      <c r="D366" s="149">
        <v>343.13</v>
      </c>
      <c r="E366" s="149">
        <f t="shared" si="5"/>
        <v>343.13</v>
      </c>
      <c r="F366" s="51"/>
      <c r="G366" s="152">
        <v>894167</v>
      </c>
      <c r="H366" s="52" t="s">
        <v>834</v>
      </c>
    </row>
    <row r="367" spans="1:8" ht="21.2" customHeight="1">
      <c r="A367" s="8" t="s">
        <v>707</v>
      </c>
      <c r="B367" s="52" t="s">
        <v>60</v>
      </c>
      <c r="C367" s="149"/>
      <c r="D367" s="52" t="s">
        <v>60</v>
      </c>
      <c r="E367" s="52" t="str">
        <f t="shared" si="5"/>
        <v>—</v>
      </c>
      <c r="F367" s="51"/>
      <c r="G367" s="152">
        <v>863333</v>
      </c>
      <c r="H367" s="52" t="s">
        <v>834</v>
      </c>
    </row>
    <row r="368" spans="1:8" ht="21.2" customHeight="1">
      <c r="A368" s="8" t="s">
        <v>416</v>
      </c>
      <c r="B368" s="149">
        <v>166.1</v>
      </c>
      <c r="C368" s="149"/>
      <c r="D368" s="149">
        <v>467.5</v>
      </c>
      <c r="E368" s="149">
        <f t="shared" si="5"/>
        <v>316.8</v>
      </c>
      <c r="F368" s="51"/>
      <c r="G368" s="152">
        <v>825000</v>
      </c>
      <c r="H368" s="52" t="s">
        <v>834</v>
      </c>
    </row>
    <row r="369" spans="1:8" ht="21.2" customHeight="1">
      <c r="A369" s="8" t="s">
        <v>735</v>
      </c>
      <c r="B369" s="52" t="s">
        <v>60</v>
      </c>
      <c r="C369" s="149"/>
      <c r="D369" s="52" t="s">
        <v>60</v>
      </c>
      <c r="E369" s="52" t="str">
        <f t="shared" si="5"/>
        <v>—</v>
      </c>
      <c r="F369" s="149"/>
      <c r="G369" s="152"/>
      <c r="H369" s="52" t="s">
        <v>834</v>
      </c>
    </row>
    <row r="370" spans="1:8" ht="21.2" customHeight="1">
      <c r="A370" s="8" t="s">
        <v>636</v>
      </c>
      <c r="B370" s="52" t="s">
        <v>60</v>
      </c>
      <c r="C370" s="149"/>
      <c r="D370" s="149">
        <v>459.5</v>
      </c>
      <c r="E370" s="149">
        <f t="shared" si="5"/>
        <v>459.5</v>
      </c>
      <c r="F370" s="51"/>
      <c r="G370" s="152">
        <v>3250000</v>
      </c>
      <c r="H370" s="52" t="s">
        <v>834</v>
      </c>
    </row>
    <row r="371" spans="1:8" ht="21.2" customHeight="1">
      <c r="A371" s="8" t="s">
        <v>657</v>
      </c>
      <c r="B371" s="52" t="s">
        <v>60</v>
      </c>
      <c r="C371" s="149"/>
      <c r="D371" s="52" t="s">
        <v>60</v>
      </c>
      <c r="E371" s="52" t="str">
        <f t="shared" si="5"/>
        <v>—</v>
      </c>
      <c r="F371" s="51"/>
      <c r="G371" s="152">
        <v>925000</v>
      </c>
      <c r="H371" s="52" t="s">
        <v>834</v>
      </c>
    </row>
    <row r="372" spans="1:8" ht="21.2" customHeight="1">
      <c r="A372" s="8" t="s">
        <v>659</v>
      </c>
      <c r="B372" s="52" t="s">
        <v>60</v>
      </c>
      <c r="C372" s="149"/>
      <c r="D372" s="52" t="s">
        <v>60</v>
      </c>
      <c r="E372" s="52" t="str">
        <f t="shared" si="5"/>
        <v>—</v>
      </c>
      <c r="F372" s="51"/>
      <c r="G372" s="152">
        <v>762500</v>
      </c>
      <c r="H372" s="52" t="s">
        <v>834</v>
      </c>
    </row>
    <row r="373" spans="1:8" ht="21.2" customHeight="1">
      <c r="A373" s="8" t="s">
        <v>742</v>
      </c>
      <c r="B373" s="52" t="s">
        <v>60</v>
      </c>
      <c r="C373" s="149"/>
      <c r="D373" s="52" t="s">
        <v>60</v>
      </c>
      <c r="E373" s="52" t="str">
        <f t="shared" si="5"/>
        <v>—</v>
      </c>
      <c r="F373" s="51"/>
      <c r="G373" s="152">
        <v>796667</v>
      </c>
      <c r="H373" s="52" t="s">
        <v>834</v>
      </c>
    </row>
    <row r="374" spans="1:8" ht="21.2" customHeight="1">
      <c r="A374" s="8" t="s">
        <v>317</v>
      </c>
      <c r="B374" s="149">
        <v>154</v>
      </c>
      <c r="C374" s="149"/>
      <c r="D374" s="149">
        <v>170.06</v>
      </c>
      <c r="E374" s="149">
        <f t="shared" si="5"/>
        <v>162.03</v>
      </c>
      <c r="F374" s="51"/>
      <c r="G374" s="152">
        <v>4000000</v>
      </c>
      <c r="H374" s="52" t="s">
        <v>834</v>
      </c>
    </row>
    <row r="375" spans="1:8" ht="21.2" customHeight="1">
      <c r="A375" s="8" t="s">
        <v>340</v>
      </c>
      <c r="B375" s="52" t="s">
        <v>60</v>
      </c>
      <c r="C375" s="149"/>
      <c r="D375" s="52" t="s">
        <v>60</v>
      </c>
      <c r="E375" s="52" t="str">
        <f t="shared" si="5"/>
        <v>—</v>
      </c>
      <c r="F375" s="51"/>
      <c r="G375" s="152">
        <v>6250000</v>
      </c>
      <c r="H375" s="52" t="s">
        <v>834</v>
      </c>
    </row>
    <row r="376" spans="1:8" ht="21.2" customHeight="1">
      <c r="A376" s="8" t="s">
        <v>667</v>
      </c>
      <c r="B376" s="52" t="s">
        <v>60</v>
      </c>
      <c r="C376" s="149"/>
      <c r="D376" s="52" t="s">
        <v>60</v>
      </c>
      <c r="E376" s="52" t="str">
        <f t="shared" si="5"/>
        <v>—</v>
      </c>
      <c r="F376" s="51"/>
      <c r="G376" s="152">
        <v>900000</v>
      </c>
      <c r="H376" s="52" t="s">
        <v>834</v>
      </c>
    </row>
    <row r="377" spans="1:8" ht="21.2" customHeight="1">
      <c r="A377" s="8" t="s">
        <v>649</v>
      </c>
      <c r="B377" s="52" t="s">
        <v>60</v>
      </c>
      <c r="C377" s="149"/>
      <c r="D377" s="52" t="s">
        <v>60</v>
      </c>
      <c r="E377" s="52" t="str">
        <f t="shared" si="5"/>
        <v>—</v>
      </c>
      <c r="F377" s="51"/>
      <c r="G377" s="152">
        <v>2400000</v>
      </c>
      <c r="H377" s="52" t="s">
        <v>834</v>
      </c>
    </row>
    <row r="378" spans="1:8" ht="21.2" customHeight="1">
      <c r="A378" s="8" t="s">
        <v>638</v>
      </c>
      <c r="B378" s="52" t="s">
        <v>60</v>
      </c>
      <c r="C378" s="149"/>
      <c r="D378" s="52" t="s">
        <v>60</v>
      </c>
      <c r="E378" s="52" t="str">
        <f t="shared" si="5"/>
        <v>—</v>
      </c>
      <c r="F378" s="51"/>
      <c r="G378" s="152">
        <v>800000</v>
      </c>
      <c r="H378" s="52" t="s">
        <v>834</v>
      </c>
    </row>
    <row r="379" spans="1:8" ht="21.2" customHeight="1">
      <c r="A379" s="8" t="s">
        <v>681</v>
      </c>
      <c r="B379" s="52" t="s">
        <v>60</v>
      </c>
      <c r="C379" s="149"/>
      <c r="D379" s="52" t="s">
        <v>60</v>
      </c>
      <c r="E379" s="52" t="str">
        <f t="shared" si="5"/>
        <v>—</v>
      </c>
      <c r="F379" s="51"/>
      <c r="G379" s="152">
        <v>775000</v>
      </c>
      <c r="H379" s="52" t="s">
        <v>834</v>
      </c>
    </row>
    <row r="380" spans="1:8" ht="21.2" customHeight="1">
      <c r="A380" s="8" t="s">
        <v>567</v>
      </c>
      <c r="B380" s="52" t="s">
        <v>60</v>
      </c>
      <c r="C380" s="149"/>
      <c r="D380" s="52" t="s">
        <v>60</v>
      </c>
      <c r="E380" s="52" t="str">
        <f t="shared" si="5"/>
        <v>—</v>
      </c>
      <c r="F380" s="51"/>
      <c r="G380" s="152">
        <v>2629000</v>
      </c>
      <c r="H380" s="52" t="s">
        <v>834</v>
      </c>
    </row>
    <row r="381" spans="1:8" ht="21.2" customHeight="1">
      <c r="A381" s="8" t="s">
        <v>746</v>
      </c>
      <c r="B381" s="52" t="s">
        <v>60</v>
      </c>
      <c r="C381" s="149"/>
      <c r="D381" s="52" t="s">
        <v>60</v>
      </c>
      <c r="E381" s="52" t="str">
        <f t="shared" si="5"/>
        <v>—</v>
      </c>
      <c r="F381" s="51"/>
      <c r="G381" s="152">
        <v>1100000</v>
      </c>
      <c r="H381" s="52" t="s">
        <v>834</v>
      </c>
    </row>
    <row r="382" spans="1:8" ht="21.2" customHeight="1">
      <c r="A382" s="8" t="s">
        <v>356</v>
      </c>
      <c r="B382" s="52" t="s">
        <v>60</v>
      </c>
      <c r="C382" s="149"/>
      <c r="D382" s="52" t="s">
        <v>60</v>
      </c>
      <c r="E382" s="52" t="str">
        <f t="shared" si="5"/>
        <v>—</v>
      </c>
      <c r="F382" s="51"/>
      <c r="G382" s="152">
        <v>5750000</v>
      </c>
      <c r="H382" s="52" t="s">
        <v>834</v>
      </c>
    </row>
    <row r="383" spans="1:8" ht="21.2" customHeight="1">
      <c r="A383" s="8" t="s">
        <v>375</v>
      </c>
      <c r="B383" s="52" t="s">
        <v>60</v>
      </c>
      <c r="C383" s="149"/>
      <c r="D383" s="149">
        <v>469.6</v>
      </c>
      <c r="E383" s="149">
        <f t="shared" si="5"/>
        <v>469.6</v>
      </c>
      <c r="F383" s="51"/>
      <c r="G383" s="152">
        <v>5875000</v>
      </c>
      <c r="H383" s="52" t="s">
        <v>834</v>
      </c>
    </row>
    <row r="384" spans="1:8" ht="21.2" customHeight="1">
      <c r="A384" s="8" t="s">
        <v>643</v>
      </c>
      <c r="B384" s="52" t="s">
        <v>60</v>
      </c>
      <c r="C384" s="149"/>
      <c r="D384" s="52" t="s">
        <v>60</v>
      </c>
      <c r="E384" s="52" t="str">
        <f t="shared" si="5"/>
        <v>—</v>
      </c>
      <c r="F384" s="51"/>
      <c r="G384" s="152">
        <v>1000000</v>
      </c>
      <c r="H384" s="52" t="s">
        <v>834</v>
      </c>
    </row>
    <row r="385" spans="1:8" ht="21.2" customHeight="1">
      <c r="A385" s="8" t="s">
        <v>332</v>
      </c>
      <c r="B385" s="149">
        <v>149.80000000000001</v>
      </c>
      <c r="C385" s="149"/>
      <c r="D385" s="149">
        <v>432.1</v>
      </c>
      <c r="E385" s="149">
        <f t="shared" si="5"/>
        <v>290.95000000000005</v>
      </c>
      <c r="F385" s="51"/>
      <c r="G385" s="152">
        <v>4500000</v>
      </c>
      <c r="H385" s="52" t="s">
        <v>834</v>
      </c>
    </row>
    <row r="386" spans="1:8" ht="21.2" customHeight="1">
      <c r="A386" s="8" t="s">
        <v>691</v>
      </c>
      <c r="B386" s="52" t="s">
        <v>60</v>
      </c>
      <c r="C386" s="149"/>
      <c r="D386" s="52" t="s">
        <v>60</v>
      </c>
      <c r="E386" s="52" t="str">
        <f t="shared" ref="E386:E449" si="6">IFERROR(AVERAGE(B386:D386),"—")</f>
        <v>—</v>
      </c>
      <c r="F386" s="51"/>
      <c r="G386" s="152">
        <v>2857000</v>
      </c>
      <c r="H386" s="52" t="s">
        <v>834</v>
      </c>
    </row>
    <row r="387" spans="1:8" ht="21.2" customHeight="1">
      <c r="A387" s="8" t="s">
        <v>580</v>
      </c>
      <c r="B387" s="52" t="s">
        <v>60</v>
      </c>
      <c r="C387" s="149"/>
      <c r="D387" s="52" t="s">
        <v>60</v>
      </c>
      <c r="E387" s="52" t="str">
        <f t="shared" si="6"/>
        <v>—</v>
      </c>
      <c r="F387" s="51"/>
      <c r="G387" s="152">
        <v>1100000</v>
      </c>
      <c r="H387" s="52" t="s">
        <v>834</v>
      </c>
    </row>
    <row r="388" spans="1:8" ht="21.2" customHeight="1">
      <c r="A388" s="8" t="s">
        <v>713</v>
      </c>
      <c r="B388" s="52" t="s">
        <v>60</v>
      </c>
      <c r="C388" s="149"/>
      <c r="D388" s="52" t="s">
        <v>60</v>
      </c>
      <c r="E388" s="52" t="str">
        <f t="shared" si="6"/>
        <v>—</v>
      </c>
      <c r="F388" s="51"/>
      <c r="G388" s="152">
        <v>1900000</v>
      </c>
      <c r="H388" s="52" t="s">
        <v>834</v>
      </c>
    </row>
    <row r="389" spans="1:8" ht="21.2" customHeight="1">
      <c r="A389" s="8" t="s">
        <v>425</v>
      </c>
      <c r="B389" s="52" t="s">
        <v>60</v>
      </c>
      <c r="C389" s="149"/>
      <c r="D389" s="52" t="s">
        <v>60</v>
      </c>
      <c r="E389" s="52" t="str">
        <f t="shared" si="6"/>
        <v>—</v>
      </c>
      <c r="F389" s="51"/>
      <c r="G389" s="152">
        <v>1250000</v>
      </c>
      <c r="H389" s="52" t="s">
        <v>834</v>
      </c>
    </row>
    <row r="390" spans="1:8" ht="21.2" customHeight="1">
      <c r="A390" s="8" t="s">
        <v>646</v>
      </c>
      <c r="B390" s="52" t="s">
        <v>60</v>
      </c>
      <c r="C390" s="149"/>
      <c r="D390" s="52" t="s">
        <v>60</v>
      </c>
      <c r="E390" s="52" t="str">
        <f t="shared" si="6"/>
        <v>—</v>
      </c>
      <c r="F390" s="51"/>
      <c r="G390" s="152">
        <v>2950000</v>
      </c>
      <c r="H390" s="52" t="s">
        <v>834</v>
      </c>
    </row>
    <row r="391" spans="1:8" ht="21.2" customHeight="1">
      <c r="A391" s="8" t="s">
        <v>717</v>
      </c>
      <c r="B391" s="52" t="s">
        <v>60</v>
      </c>
      <c r="C391" s="149"/>
      <c r="D391" s="52" t="s">
        <v>60</v>
      </c>
      <c r="E391" s="52" t="str">
        <f t="shared" si="6"/>
        <v>—</v>
      </c>
      <c r="F391" s="51"/>
      <c r="G391" s="152">
        <v>775000</v>
      </c>
      <c r="H391" s="52" t="s">
        <v>834</v>
      </c>
    </row>
    <row r="392" spans="1:8" ht="21.2" customHeight="1">
      <c r="A392" s="8" t="s">
        <v>666</v>
      </c>
      <c r="B392" s="52" t="s">
        <v>60</v>
      </c>
      <c r="C392" s="149"/>
      <c r="D392" s="52" t="s">
        <v>60</v>
      </c>
      <c r="E392" s="52" t="str">
        <f t="shared" si="6"/>
        <v>—</v>
      </c>
      <c r="F392" s="51"/>
      <c r="G392" s="152">
        <v>1600000</v>
      </c>
      <c r="H392" s="52" t="s">
        <v>834</v>
      </c>
    </row>
    <row r="393" spans="1:8" ht="21.2" customHeight="1">
      <c r="A393" s="8" t="s">
        <v>637</v>
      </c>
      <c r="B393" s="52" t="s">
        <v>60</v>
      </c>
      <c r="C393" s="149"/>
      <c r="D393" s="52" t="s">
        <v>60</v>
      </c>
      <c r="E393" s="52" t="str">
        <f t="shared" si="6"/>
        <v>—</v>
      </c>
      <c r="F393" s="51"/>
      <c r="G393" s="152">
        <v>3641667</v>
      </c>
      <c r="H393" s="52" t="s">
        <v>834</v>
      </c>
    </row>
    <row r="394" spans="1:8" ht="21.2" customHeight="1">
      <c r="A394" s="8" t="s">
        <v>354</v>
      </c>
      <c r="B394" s="52" t="s">
        <v>60</v>
      </c>
      <c r="C394" s="149"/>
      <c r="D394" s="52" t="s">
        <v>60</v>
      </c>
      <c r="E394" s="52" t="str">
        <f t="shared" si="6"/>
        <v>—</v>
      </c>
      <c r="F394" s="51"/>
      <c r="G394" s="152">
        <v>6000000</v>
      </c>
      <c r="H394" s="52" t="s">
        <v>834</v>
      </c>
    </row>
    <row r="395" spans="1:8" ht="21.2" customHeight="1">
      <c r="A395" s="8" t="s">
        <v>628</v>
      </c>
      <c r="B395" s="52" t="s">
        <v>60</v>
      </c>
      <c r="C395" s="149"/>
      <c r="D395" s="52" t="s">
        <v>60</v>
      </c>
      <c r="E395" s="52" t="str">
        <f t="shared" si="6"/>
        <v>—</v>
      </c>
      <c r="F395" s="51"/>
      <c r="G395" s="152">
        <v>3125000</v>
      </c>
      <c r="H395" s="52" t="s">
        <v>834</v>
      </c>
    </row>
    <row r="396" spans="1:8" ht="21.2" customHeight="1">
      <c r="A396" s="8" t="s">
        <v>541</v>
      </c>
      <c r="B396" s="52" t="s">
        <v>60</v>
      </c>
      <c r="C396" s="149"/>
      <c r="D396" s="52" t="s">
        <v>60</v>
      </c>
      <c r="E396" s="52" t="str">
        <f t="shared" si="6"/>
        <v>—</v>
      </c>
      <c r="F396" s="51"/>
      <c r="G396" s="152">
        <v>2500000</v>
      </c>
      <c r="H396" s="52" t="s">
        <v>834</v>
      </c>
    </row>
    <row r="397" spans="1:8" ht="21.2" customHeight="1">
      <c r="A397" s="8" t="s">
        <v>333</v>
      </c>
      <c r="B397" s="52" t="s">
        <v>60</v>
      </c>
      <c r="C397" s="149"/>
      <c r="D397" s="149">
        <v>323.82</v>
      </c>
      <c r="E397" s="149">
        <f t="shared" si="6"/>
        <v>323.82</v>
      </c>
      <c r="F397" s="51"/>
      <c r="G397" s="152">
        <v>4725000</v>
      </c>
      <c r="H397" s="52" t="s">
        <v>834</v>
      </c>
    </row>
    <row r="398" spans="1:8" ht="21.2" customHeight="1">
      <c r="A398" s="8" t="s">
        <v>680</v>
      </c>
      <c r="B398" s="52" t="s">
        <v>60</v>
      </c>
      <c r="C398" s="149"/>
      <c r="D398" s="52" t="s">
        <v>60</v>
      </c>
      <c r="E398" s="52" t="str">
        <f t="shared" si="6"/>
        <v>—</v>
      </c>
      <c r="F398" s="51"/>
      <c r="G398" s="152">
        <v>2650000</v>
      </c>
      <c r="H398" s="52" t="s">
        <v>834</v>
      </c>
    </row>
    <row r="399" spans="1:8" ht="21.2" customHeight="1">
      <c r="A399" s="8" t="s">
        <v>716</v>
      </c>
      <c r="B399" s="52" t="s">
        <v>60</v>
      </c>
      <c r="C399" s="149"/>
      <c r="D399" s="52" t="s">
        <v>60</v>
      </c>
      <c r="E399" s="52" t="str">
        <f t="shared" si="6"/>
        <v>—</v>
      </c>
      <c r="F399" s="51"/>
      <c r="G399" s="152">
        <v>1700000</v>
      </c>
      <c r="H399" s="52" t="s">
        <v>834</v>
      </c>
    </row>
    <row r="400" spans="1:8" ht="21.2" customHeight="1">
      <c r="A400" s="8" t="s">
        <v>683</v>
      </c>
      <c r="B400" s="52" t="s">
        <v>60</v>
      </c>
      <c r="C400" s="149"/>
      <c r="D400" s="52" t="s">
        <v>60</v>
      </c>
      <c r="E400" s="52" t="str">
        <f t="shared" si="6"/>
        <v>—</v>
      </c>
      <c r="F400" s="51"/>
      <c r="G400" s="152">
        <v>2000000</v>
      </c>
      <c r="H400" s="52" t="s">
        <v>834</v>
      </c>
    </row>
    <row r="401" spans="1:8" ht="21.2" customHeight="1">
      <c r="A401" s="8" t="s">
        <v>645</v>
      </c>
      <c r="B401" s="52" t="s">
        <v>60</v>
      </c>
      <c r="C401" s="149"/>
      <c r="D401" s="52" t="s">
        <v>60</v>
      </c>
      <c r="E401" s="52" t="str">
        <f t="shared" si="6"/>
        <v>—</v>
      </c>
      <c r="F401" s="51"/>
      <c r="G401" s="152">
        <v>1150000</v>
      </c>
      <c r="H401" s="52" t="s">
        <v>834</v>
      </c>
    </row>
    <row r="402" spans="1:8" ht="21.2" customHeight="1">
      <c r="A402" s="8" t="s">
        <v>378</v>
      </c>
      <c r="B402" s="52" t="s">
        <v>60</v>
      </c>
      <c r="C402" s="149"/>
      <c r="D402" s="52" t="s">
        <v>60</v>
      </c>
      <c r="E402" s="52" t="str">
        <f t="shared" si="6"/>
        <v>—</v>
      </c>
      <c r="F402" s="51"/>
      <c r="G402" s="152">
        <v>1125000</v>
      </c>
      <c r="H402" s="52" t="s">
        <v>834</v>
      </c>
    </row>
    <row r="403" spans="1:8" ht="21.2" customHeight="1">
      <c r="A403" s="8" t="s">
        <v>393</v>
      </c>
      <c r="B403" s="52" t="s">
        <v>60</v>
      </c>
      <c r="C403" s="149"/>
      <c r="D403" s="52" t="s">
        <v>60</v>
      </c>
      <c r="E403" s="52" t="str">
        <f t="shared" si="6"/>
        <v>—</v>
      </c>
      <c r="F403" s="51"/>
      <c r="G403" s="152">
        <v>1400000</v>
      </c>
      <c r="H403" s="52" t="s">
        <v>834</v>
      </c>
    </row>
    <row r="404" spans="1:8" ht="21.2" customHeight="1">
      <c r="A404" s="8" t="s">
        <v>582</v>
      </c>
      <c r="B404" s="52" t="s">
        <v>60</v>
      </c>
      <c r="C404" s="149"/>
      <c r="D404" s="52" t="s">
        <v>60</v>
      </c>
      <c r="E404" s="52" t="str">
        <f t="shared" si="6"/>
        <v>—</v>
      </c>
      <c r="F404" s="51"/>
      <c r="G404" s="152">
        <v>1700000</v>
      </c>
      <c r="H404" s="52" t="s">
        <v>834</v>
      </c>
    </row>
    <row r="405" spans="1:8" ht="21.2" customHeight="1">
      <c r="A405" s="8" t="s">
        <v>382</v>
      </c>
      <c r="B405" s="52" t="s">
        <v>60</v>
      </c>
      <c r="C405" s="149"/>
      <c r="D405" s="52" t="s">
        <v>60</v>
      </c>
      <c r="E405" s="52" t="str">
        <f t="shared" si="6"/>
        <v>—</v>
      </c>
      <c r="F405" s="51"/>
      <c r="G405" s="152">
        <v>4050000</v>
      </c>
      <c r="H405" s="52" t="s">
        <v>834</v>
      </c>
    </row>
    <row r="406" spans="1:8" ht="21.2" customHeight="1">
      <c r="A406" s="8" t="s">
        <v>730</v>
      </c>
      <c r="B406" s="52" t="s">
        <v>60</v>
      </c>
      <c r="C406" s="149"/>
      <c r="D406" s="52" t="s">
        <v>60</v>
      </c>
      <c r="E406" s="52" t="str">
        <f t="shared" si="6"/>
        <v>—</v>
      </c>
      <c r="F406" s="51"/>
      <c r="G406" s="152"/>
      <c r="H406" s="52" t="s">
        <v>834</v>
      </c>
    </row>
    <row r="407" spans="1:8" ht="21.2" customHeight="1">
      <c r="A407" s="8" t="s">
        <v>650</v>
      </c>
      <c r="B407" s="52" t="s">
        <v>60</v>
      </c>
      <c r="C407" s="149"/>
      <c r="D407" s="52" t="s">
        <v>60</v>
      </c>
      <c r="E407" s="52" t="str">
        <f t="shared" si="6"/>
        <v>—</v>
      </c>
      <c r="F407" s="51"/>
      <c r="G407" s="152">
        <v>1100000</v>
      </c>
      <c r="H407" s="52" t="s">
        <v>834</v>
      </c>
    </row>
    <row r="408" spans="1:8" ht="21.2" customHeight="1">
      <c r="A408" s="8" t="s">
        <v>325</v>
      </c>
      <c r="B408" s="52" t="s">
        <v>60</v>
      </c>
      <c r="C408" s="149"/>
      <c r="D408" s="149">
        <v>384.65</v>
      </c>
      <c r="E408" s="149">
        <f t="shared" si="6"/>
        <v>384.65</v>
      </c>
      <c r="F408" s="51"/>
      <c r="G408" s="152">
        <v>1000000</v>
      </c>
      <c r="H408" s="52" t="s">
        <v>834</v>
      </c>
    </row>
    <row r="409" spans="1:8" ht="21.2" customHeight="1">
      <c r="A409" s="8" t="s">
        <v>403</v>
      </c>
      <c r="B409" s="149">
        <v>168.4</v>
      </c>
      <c r="C409" s="149"/>
      <c r="D409" s="52" t="s">
        <v>60</v>
      </c>
      <c r="E409" s="149">
        <f t="shared" si="6"/>
        <v>168.4</v>
      </c>
      <c r="F409" s="51"/>
      <c r="G409" s="152">
        <v>3687500</v>
      </c>
      <c r="H409" s="52" t="s">
        <v>834</v>
      </c>
    </row>
    <row r="410" spans="1:8" ht="21.2" customHeight="1">
      <c r="A410" s="8" t="s">
        <v>729</v>
      </c>
      <c r="B410" s="52" t="s">
        <v>60</v>
      </c>
      <c r="C410" s="149"/>
      <c r="D410" s="52" t="s">
        <v>60</v>
      </c>
      <c r="E410" s="52" t="str">
        <f t="shared" si="6"/>
        <v>—</v>
      </c>
      <c r="F410" s="51"/>
      <c r="G410" s="152">
        <v>1800000</v>
      </c>
      <c r="H410" s="52" t="s">
        <v>834</v>
      </c>
    </row>
    <row r="411" spans="1:8" ht="21.2" customHeight="1">
      <c r="A411" s="8" t="s">
        <v>673</v>
      </c>
      <c r="B411" s="52" t="s">
        <v>60</v>
      </c>
      <c r="C411" s="149"/>
      <c r="D411" s="52" t="s">
        <v>60</v>
      </c>
      <c r="E411" s="52" t="str">
        <f t="shared" si="6"/>
        <v>—</v>
      </c>
      <c r="F411" s="51"/>
      <c r="G411" s="152">
        <v>785000</v>
      </c>
      <c r="H411" s="52" t="s">
        <v>834</v>
      </c>
    </row>
    <row r="412" spans="1:8" ht="21.2" customHeight="1">
      <c r="A412" s="8" t="s">
        <v>392</v>
      </c>
      <c r="B412" s="52" t="s">
        <v>60</v>
      </c>
      <c r="C412" s="149"/>
      <c r="D412" s="52" t="s">
        <v>60</v>
      </c>
      <c r="E412" s="52" t="str">
        <f t="shared" si="6"/>
        <v>—</v>
      </c>
      <c r="F412" s="51"/>
      <c r="G412" s="152">
        <v>4025000</v>
      </c>
      <c r="H412" s="52" t="s">
        <v>834</v>
      </c>
    </row>
    <row r="413" spans="1:8" ht="21.2" customHeight="1">
      <c r="A413" s="8" t="s">
        <v>386</v>
      </c>
      <c r="B413" s="52" t="s">
        <v>60</v>
      </c>
      <c r="C413" s="149"/>
      <c r="D413" s="52" t="s">
        <v>60</v>
      </c>
      <c r="E413" s="52" t="str">
        <f t="shared" si="6"/>
        <v>—</v>
      </c>
      <c r="F413" s="51"/>
      <c r="G413" s="152">
        <v>5450000</v>
      </c>
      <c r="H413" s="52" t="s">
        <v>834</v>
      </c>
    </row>
    <row r="414" spans="1:8" ht="21.2" customHeight="1">
      <c r="A414" s="8" t="s">
        <v>685</v>
      </c>
      <c r="B414" s="52" t="s">
        <v>60</v>
      </c>
      <c r="C414" s="149"/>
      <c r="D414" s="52" t="s">
        <v>60</v>
      </c>
      <c r="E414" s="52" t="str">
        <f t="shared" si="6"/>
        <v>—</v>
      </c>
      <c r="F414" s="51"/>
      <c r="G414" s="152">
        <v>900000</v>
      </c>
      <c r="H414" s="52" t="s">
        <v>834</v>
      </c>
    </row>
    <row r="415" spans="1:8" ht="21.2" customHeight="1">
      <c r="A415" s="8" t="s">
        <v>342</v>
      </c>
      <c r="B415" s="52" t="s">
        <v>60</v>
      </c>
      <c r="C415" s="149"/>
      <c r="D415" s="149">
        <v>480.82</v>
      </c>
      <c r="E415" s="149">
        <f t="shared" si="6"/>
        <v>480.82</v>
      </c>
      <c r="F415" s="51"/>
      <c r="G415" s="152">
        <v>6150000</v>
      </c>
      <c r="H415" s="52" t="s">
        <v>834</v>
      </c>
    </row>
    <row r="416" spans="1:8" ht="21.2" customHeight="1">
      <c r="A416" s="8" t="s">
        <v>696</v>
      </c>
      <c r="B416" s="52" t="s">
        <v>60</v>
      </c>
      <c r="C416" s="149"/>
      <c r="D416" s="52" t="s">
        <v>60</v>
      </c>
      <c r="E416" s="52" t="str">
        <f t="shared" si="6"/>
        <v>—</v>
      </c>
      <c r="F416" s="51"/>
      <c r="G416" s="152">
        <v>925000</v>
      </c>
      <c r="H416" s="52" t="s">
        <v>834</v>
      </c>
    </row>
    <row r="417" spans="1:8" ht="21.2" customHeight="1">
      <c r="A417" s="8" t="s">
        <v>733</v>
      </c>
      <c r="B417" s="52" t="s">
        <v>60</v>
      </c>
      <c r="C417" s="149"/>
      <c r="D417" s="52" t="s">
        <v>60</v>
      </c>
      <c r="E417" s="52" t="str">
        <f t="shared" si="6"/>
        <v>—</v>
      </c>
      <c r="F417" s="51"/>
      <c r="G417" s="152">
        <v>785700</v>
      </c>
      <c r="H417" s="52" t="s">
        <v>834</v>
      </c>
    </row>
    <row r="418" spans="1:8" ht="21.2" customHeight="1">
      <c r="A418" s="8" t="s">
        <v>426</v>
      </c>
      <c r="B418" s="52" t="s">
        <v>60</v>
      </c>
      <c r="C418" s="149"/>
      <c r="D418" s="52" t="s">
        <v>60</v>
      </c>
      <c r="E418" s="52" t="str">
        <f t="shared" si="6"/>
        <v>—</v>
      </c>
      <c r="F418" s="51"/>
      <c r="G418" s="152"/>
      <c r="H418" s="52" t="s">
        <v>834</v>
      </c>
    </row>
    <row r="419" spans="1:8" ht="21.2" customHeight="1">
      <c r="A419" s="8" t="s">
        <v>644</v>
      </c>
      <c r="B419" s="52" t="s">
        <v>60</v>
      </c>
      <c r="C419" s="149"/>
      <c r="D419" s="52" t="s">
        <v>60</v>
      </c>
      <c r="E419" s="52" t="str">
        <f t="shared" si="6"/>
        <v>—</v>
      </c>
      <c r="F419" s="51"/>
      <c r="G419" s="152">
        <v>1050000</v>
      </c>
      <c r="H419" s="52" t="s">
        <v>834</v>
      </c>
    </row>
    <row r="420" spans="1:8" ht="21.2" customHeight="1">
      <c r="A420" s="8" t="s">
        <v>526</v>
      </c>
      <c r="B420" s="52" t="s">
        <v>60</v>
      </c>
      <c r="C420" s="149"/>
      <c r="D420" s="52" t="s">
        <v>60</v>
      </c>
      <c r="E420" s="52" t="str">
        <f t="shared" si="6"/>
        <v>—</v>
      </c>
      <c r="F420" s="149"/>
      <c r="G420" s="152">
        <v>762500</v>
      </c>
      <c r="H420" s="52" t="s">
        <v>834</v>
      </c>
    </row>
    <row r="421" spans="1:8" ht="21.2" customHeight="1">
      <c r="A421" s="8" t="s">
        <v>709</v>
      </c>
      <c r="B421" s="52" t="s">
        <v>60</v>
      </c>
      <c r="C421" s="149"/>
      <c r="D421" s="52" t="s">
        <v>60</v>
      </c>
      <c r="E421" s="52" t="str">
        <f t="shared" si="6"/>
        <v>—</v>
      </c>
      <c r="F421" s="51"/>
      <c r="G421" s="152">
        <v>1350000</v>
      </c>
      <c r="H421" s="52" t="s">
        <v>834</v>
      </c>
    </row>
    <row r="422" spans="1:8" ht="21.2" customHeight="1">
      <c r="A422" s="8" t="s">
        <v>605</v>
      </c>
      <c r="B422" s="52" t="s">
        <v>60</v>
      </c>
      <c r="C422" s="149"/>
      <c r="D422" s="52" t="s">
        <v>60</v>
      </c>
      <c r="E422" s="52" t="str">
        <f t="shared" si="6"/>
        <v>—</v>
      </c>
      <c r="F422" s="51"/>
      <c r="G422" s="152">
        <v>2100000</v>
      </c>
      <c r="H422" s="52" t="s">
        <v>834</v>
      </c>
    </row>
    <row r="423" spans="1:8" ht="21.2" customHeight="1">
      <c r="A423" s="8" t="s">
        <v>705</v>
      </c>
      <c r="B423" s="149">
        <v>145.80000000000001</v>
      </c>
      <c r="C423" s="149"/>
      <c r="D423" s="52" t="s">
        <v>60</v>
      </c>
      <c r="E423" s="149">
        <f t="shared" si="6"/>
        <v>145.80000000000001</v>
      </c>
      <c r="F423" s="51"/>
      <c r="G423" s="152">
        <v>2500000</v>
      </c>
      <c r="H423" s="52" t="s">
        <v>834</v>
      </c>
    </row>
    <row r="424" spans="1:8" ht="21.2" customHeight="1">
      <c r="A424" s="8" t="s">
        <v>738</v>
      </c>
      <c r="B424" s="52" t="s">
        <v>60</v>
      </c>
      <c r="C424" s="149"/>
      <c r="D424" s="52" t="s">
        <v>60</v>
      </c>
      <c r="E424" s="52" t="str">
        <f t="shared" si="6"/>
        <v>—</v>
      </c>
      <c r="F424" s="51"/>
      <c r="G424" s="152">
        <v>775000</v>
      </c>
      <c r="H424" s="52" t="s">
        <v>834</v>
      </c>
    </row>
    <row r="425" spans="1:8" ht="21.2" customHeight="1">
      <c r="A425" s="8" t="s">
        <v>701</v>
      </c>
      <c r="B425" s="52" t="s">
        <v>60</v>
      </c>
      <c r="C425" s="149"/>
      <c r="D425" s="52" t="s">
        <v>60</v>
      </c>
      <c r="E425" s="52" t="str">
        <f t="shared" si="6"/>
        <v>—</v>
      </c>
      <c r="F425" s="51"/>
      <c r="G425" s="152">
        <v>1750000</v>
      </c>
      <c r="H425" s="52" t="s">
        <v>834</v>
      </c>
    </row>
    <row r="426" spans="1:8" ht="21.2" customHeight="1">
      <c r="A426" s="8" t="s">
        <v>675</v>
      </c>
      <c r="B426" s="52" t="s">
        <v>60</v>
      </c>
      <c r="C426" s="149"/>
      <c r="D426" s="52" t="s">
        <v>60</v>
      </c>
      <c r="E426" s="52" t="str">
        <f t="shared" si="6"/>
        <v>—</v>
      </c>
      <c r="F426" s="51"/>
      <c r="G426" s="152">
        <v>2406000</v>
      </c>
      <c r="H426" s="52" t="s">
        <v>834</v>
      </c>
    </row>
    <row r="427" spans="1:8" ht="21.2" customHeight="1">
      <c r="A427" s="8" t="s">
        <v>787</v>
      </c>
      <c r="B427" s="52" t="s">
        <v>60</v>
      </c>
      <c r="C427" s="149"/>
      <c r="D427" s="52" t="s">
        <v>60</v>
      </c>
      <c r="E427" s="52" t="str">
        <f t="shared" si="6"/>
        <v>—</v>
      </c>
      <c r="F427" s="51"/>
      <c r="G427" s="152">
        <v>1144000</v>
      </c>
      <c r="H427" s="52" t="s">
        <v>834</v>
      </c>
    </row>
    <row r="428" spans="1:8" ht="21.2" customHeight="1">
      <c r="A428" s="8" t="s">
        <v>492</v>
      </c>
      <c r="B428" s="52" t="s">
        <v>60</v>
      </c>
      <c r="C428" s="149"/>
      <c r="D428" s="52" t="s">
        <v>60</v>
      </c>
      <c r="E428" s="52" t="str">
        <f t="shared" si="6"/>
        <v>—</v>
      </c>
      <c r="F428" s="51"/>
      <c r="G428" s="152">
        <v>825000</v>
      </c>
      <c r="H428" s="52" t="s">
        <v>834</v>
      </c>
    </row>
    <row r="429" spans="1:8" ht="21.2" customHeight="1">
      <c r="A429" s="8" t="s">
        <v>658</v>
      </c>
      <c r="B429" s="52" t="s">
        <v>60</v>
      </c>
      <c r="C429" s="149"/>
      <c r="D429" s="52" t="s">
        <v>60</v>
      </c>
      <c r="E429" s="52" t="str">
        <f t="shared" si="6"/>
        <v>—</v>
      </c>
      <c r="F429" s="51"/>
      <c r="G429" s="152">
        <v>1100000</v>
      </c>
      <c r="H429" s="52" t="s">
        <v>834</v>
      </c>
    </row>
    <row r="430" spans="1:8" ht="21.2" customHeight="1">
      <c r="A430" s="8" t="s">
        <v>748</v>
      </c>
      <c r="B430" s="52" t="s">
        <v>60</v>
      </c>
      <c r="C430" s="149"/>
      <c r="D430" s="52" t="s">
        <v>60</v>
      </c>
      <c r="E430" s="52" t="str">
        <f t="shared" si="6"/>
        <v>—</v>
      </c>
      <c r="F430" s="51"/>
      <c r="G430" s="152">
        <v>1115000</v>
      </c>
      <c r="H430" s="52" t="s">
        <v>834</v>
      </c>
    </row>
    <row r="431" spans="1:8" ht="21.2" customHeight="1">
      <c r="A431" s="8" t="s">
        <v>699</v>
      </c>
      <c r="B431" s="52" t="s">
        <v>60</v>
      </c>
      <c r="C431" s="149"/>
      <c r="D431" s="52" t="s">
        <v>60</v>
      </c>
      <c r="E431" s="52" t="str">
        <f t="shared" si="6"/>
        <v>—</v>
      </c>
      <c r="F431" s="149"/>
      <c r="G431" s="152">
        <v>1900000</v>
      </c>
      <c r="H431" s="52" t="s">
        <v>834</v>
      </c>
    </row>
    <row r="432" spans="1:8" ht="21.2" customHeight="1">
      <c r="A432" s="8" t="s">
        <v>712</v>
      </c>
      <c r="B432" s="52" t="s">
        <v>60</v>
      </c>
      <c r="C432" s="149"/>
      <c r="D432" s="52" t="s">
        <v>60</v>
      </c>
      <c r="E432" s="52" t="str">
        <f t="shared" si="6"/>
        <v>—</v>
      </c>
      <c r="F432" s="51"/>
      <c r="G432" s="152">
        <v>835833</v>
      </c>
      <c r="H432" s="52" t="s">
        <v>834</v>
      </c>
    </row>
    <row r="433" spans="1:8" ht="21.2" customHeight="1">
      <c r="A433" s="8" t="s">
        <v>632</v>
      </c>
      <c r="B433" s="52" t="s">
        <v>60</v>
      </c>
      <c r="C433" s="149"/>
      <c r="D433" s="52" t="s">
        <v>60</v>
      </c>
      <c r="E433" s="52" t="str">
        <f t="shared" si="6"/>
        <v>—</v>
      </c>
      <c r="F433" s="51"/>
      <c r="G433" s="152"/>
      <c r="H433" s="52" t="s">
        <v>834</v>
      </c>
    </row>
    <row r="434" spans="1:8" ht="21.2" customHeight="1">
      <c r="A434" s="8" t="s">
        <v>723</v>
      </c>
      <c r="B434" s="52" t="s">
        <v>60</v>
      </c>
      <c r="C434" s="149"/>
      <c r="D434" s="52" t="s">
        <v>60</v>
      </c>
      <c r="E434" s="52" t="str">
        <f t="shared" si="6"/>
        <v>—</v>
      </c>
      <c r="F434" s="51"/>
      <c r="G434" s="152"/>
      <c r="H434" s="52" t="s">
        <v>834</v>
      </c>
    </row>
    <row r="435" spans="1:8" ht="21.2" customHeight="1">
      <c r="A435" s="8" t="s">
        <v>634</v>
      </c>
      <c r="B435" s="52" t="s">
        <v>60</v>
      </c>
      <c r="C435" s="149"/>
      <c r="D435" s="52" t="s">
        <v>60</v>
      </c>
      <c r="E435" s="52" t="str">
        <f t="shared" si="6"/>
        <v>—</v>
      </c>
      <c r="F435" s="51"/>
      <c r="G435" s="152">
        <v>1915000</v>
      </c>
      <c r="H435" s="52" t="s">
        <v>834</v>
      </c>
    </row>
    <row r="436" spans="1:8" ht="21.2" customHeight="1">
      <c r="A436" s="8" t="s">
        <v>506</v>
      </c>
      <c r="B436" s="52" t="s">
        <v>60</v>
      </c>
      <c r="C436" s="149"/>
      <c r="D436" s="52" t="s">
        <v>60</v>
      </c>
      <c r="E436" s="52" t="str">
        <f t="shared" si="6"/>
        <v>—</v>
      </c>
      <c r="F436" s="51"/>
      <c r="G436" s="152"/>
      <c r="H436" s="52" t="s">
        <v>834</v>
      </c>
    </row>
    <row r="437" spans="1:8" ht="21.2" customHeight="1">
      <c r="A437" s="8" t="s">
        <v>726</v>
      </c>
      <c r="B437" s="52" t="s">
        <v>60</v>
      </c>
      <c r="C437" s="149"/>
      <c r="D437" s="52" t="s">
        <v>60</v>
      </c>
      <c r="E437" s="52" t="str">
        <f t="shared" si="6"/>
        <v>—</v>
      </c>
      <c r="F437" s="149"/>
      <c r="G437" s="152">
        <v>1300000</v>
      </c>
      <c r="H437" s="52" t="s">
        <v>834</v>
      </c>
    </row>
    <row r="438" spans="1:8" ht="21.2" customHeight="1">
      <c r="A438" s="8" t="s">
        <v>731</v>
      </c>
      <c r="B438" s="52" t="s">
        <v>60</v>
      </c>
      <c r="C438" s="149"/>
      <c r="D438" s="52" t="s">
        <v>60</v>
      </c>
      <c r="E438" s="52" t="str">
        <f t="shared" si="6"/>
        <v>—</v>
      </c>
      <c r="F438" s="51"/>
      <c r="G438" s="152">
        <v>1400000</v>
      </c>
      <c r="H438" s="52" t="s">
        <v>834</v>
      </c>
    </row>
    <row r="439" spans="1:8" ht="21.2" customHeight="1">
      <c r="A439" s="8" t="s">
        <v>377</v>
      </c>
      <c r="B439" s="52" t="s">
        <v>60</v>
      </c>
      <c r="C439" s="149"/>
      <c r="D439" s="149">
        <v>246</v>
      </c>
      <c r="E439" s="149">
        <f t="shared" si="6"/>
        <v>246</v>
      </c>
      <c r="F439" s="149"/>
      <c r="G439" s="152">
        <v>5100000</v>
      </c>
      <c r="H439" s="52" t="s">
        <v>834</v>
      </c>
    </row>
    <row r="440" spans="1:8" ht="21.2" customHeight="1">
      <c r="A440" s="8" t="s">
        <v>448</v>
      </c>
      <c r="B440" s="52" t="s">
        <v>60</v>
      </c>
      <c r="C440" s="149"/>
      <c r="D440" s="52" t="s">
        <v>60</v>
      </c>
      <c r="E440" s="52" t="str">
        <f t="shared" si="6"/>
        <v>—</v>
      </c>
      <c r="F440" s="51"/>
      <c r="G440" s="152">
        <v>2333000</v>
      </c>
      <c r="H440" s="52" t="s">
        <v>834</v>
      </c>
    </row>
    <row r="441" spans="1:8" ht="21.2" customHeight="1">
      <c r="A441" s="8" t="s">
        <v>406</v>
      </c>
      <c r="B441" s="52" t="s">
        <v>60</v>
      </c>
      <c r="C441" s="149"/>
      <c r="D441" s="52" t="s">
        <v>60</v>
      </c>
      <c r="E441" s="52" t="str">
        <f t="shared" si="6"/>
        <v>—</v>
      </c>
      <c r="F441" s="51"/>
      <c r="G441" s="152">
        <v>5200000</v>
      </c>
      <c r="H441" s="52" t="s">
        <v>834</v>
      </c>
    </row>
    <row r="442" spans="1:8" ht="21.2" customHeight="1">
      <c r="A442" s="8" t="s">
        <v>450</v>
      </c>
      <c r="B442" s="52" t="s">
        <v>60</v>
      </c>
      <c r="C442" s="149"/>
      <c r="D442" s="52" t="s">
        <v>60</v>
      </c>
      <c r="E442" s="52" t="str">
        <f t="shared" si="6"/>
        <v>—</v>
      </c>
      <c r="F442" s="51"/>
      <c r="G442" s="152">
        <v>825000</v>
      </c>
      <c r="H442" s="52" t="s">
        <v>834</v>
      </c>
    </row>
    <row r="443" spans="1:8" ht="21.2" customHeight="1">
      <c r="A443" s="8" t="s">
        <v>670</v>
      </c>
      <c r="B443" s="52" t="s">
        <v>60</v>
      </c>
      <c r="C443" s="149"/>
      <c r="D443" s="52" t="s">
        <v>60</v>
      </c>
      <c r="E443" s="52" t="str">
        <f t="shared" si="6"/>
        <v>—</v>
      </c>
      <c r="F443" s="51"/>
      <c r="G443" s="152">
        <v>1853000</v>
      </c>
      <c r="H443" s="52" t="s">
        <v>834</v>
      </c>
    </row>
    <row r="444" spans="1:8" ht="21.2" customHeight="1">
      <c r="A444" s="8" t="s">
        <v>766</v>
      </c>
      <c r="B444" s="52" t="s">
        <v>60</v>
      </c>
      <c r="C444" s="149"/>
      <c r="D444" s="52" t="s">
        <v>60</v>
      </c>
      <c r="E444" s="52" t="str">
        <f t="shared" si="6"/>
        <v>—</v>
      </c>
      <c r="F444" s="51"/>
      <c r="G444" s="152"/>
      <c r="H444" s="52" t="s">
        <v>834</v>
      </c>
    </row>
    <row r="445" spans="1:8" ht="21.2" customHeight="1">
      <c r="A445" s="8" t="s">
        <v>415</v>
      </c>
      <c r="B445" s="52" t="s">
        <v>60</v>
      </c>
      <c r="C445" s="149"/>
      <c r="D445" s="52" t="s">
        <v>60</v>
      </c>
      <c r="E445" s="52" t="str">
        <f t="shared" si="6"/>
        <v>—</v>
      </c>
      <c r="F445" s="51"/>
      <c r="G445" s="152">
        <v>4400000</v>
      </c>
      <c r="H445" s="52" t="s">
        <v>834</v>
      </c>
    </row>
    <row r="446" spans="1:8" ht="21.2" customHeight="1">
      <c r="A446" s="8" t="s">
        <v>721</v>
      </c>
      <c r="B446" s="52" t="s">
        <v>60</v>
      </c>
      <c r="C446" s="149"/>
      <c r="D446" s="52" t="s">
        <v>60</v>
      </c>
      <c r="E446" s="52" t="str">
        <f t="shared" si="6"/>
        <v>—</v>
      </c>
      <c r="F446" s="51"/>
      <c r="G446" s="152">
        <v>2000000</v>
      </c>
      <c r="H446" s="52" t="s">
        <v>834</v>
      </c>
    </row>
    <row r="447" spans="1:8" ht="21.2" customHeight="1">
      <c r="A447" s="8" t="s">
        <v>756</v>
      </c>
      <c r="B447" s="52" t="s">
        <v>60</v>
      </c>
      <c r="C447" s="149"/>
      <c r="D447" s="52" t="s">
        <v>60</v>
      </c>
      <c r="E447" s="52" t="str">
        <f t="shared" si="6"/>
        <v>—</v>
      </c>
      <c r="F447" s="51"/>
      <c r="G447" s="152">
        <v>850000</v>
      </c>
      <c r="H447" s="52" t="s">
        <v>834</v>
      </c>
    </row>
    <row r="448" spans="1:8" ht="21.2" customHeight="1">
      <c r="A448" s="8" t="s">
        <v>695</v>
      </c>
      <c r="B448" s="52" t="s">
        <v>60</v>
      </c>
      <c r="C448" s="149"/>
      <c r="D448" s="52" t="s">
        <v>60</v>
      </c>
      <c r="E448" s="52" t="str">
        <f t="shared" si="6"/>
        <v>—</v>
      </c>
      <c r="F448" s="149"/>
      <c r="G448" s="152">
        <v>2000000</v>
      </c>
      <c r="H448" s="52" t="s">
        <v>834</v>
      </c>
    </row>
    <row r="449" spans="1:8" ht="21.2" customHeight="1">
      <c r="A449" s="8" t="s">
        <v>481</v>
      </c>
      <c r="B449" s="52" t="s">
        <v>60</v>
      </c>
      <c r="C449" s="149"/>
      <c r="D449" s="52" t="s">
        <v>60</v>
      </c>
      <c r="E449" s="52" t="str">
        <f t="shared" si="6"/>
        <v>—</v>
      </c>
      <c r="F449" s="51"/>
      <c r="G449" s="152">
        <v>2500000</v>
      </c>
      <c r="H449" s="52" t="s">
        <v>834</v>
      </c>
    </row>
    <row r="450" spans="1:8" ht="21.2" customHeight="1">
      <c r="A450" s="8" t="s">
        <v>770</v>
      </c>
      <c r="B450" s="52" t="s">
        <v>60</v>
      </c>
      <c r="C450" s="149"/>
      <c r="D450" s="52" t="s">
        <v>60</v>
      </c>
      <c r="E450" s="52" t="str">
        <f t="shared" ref="E450:E513" si="7">IFERROR(AVERAGE(B450:D450),"—")</f>
        <v>—</v>
      </c>
      <c r="F450" s="51"/>
      <c r="G450" s="152">
        <v>800000</v>
      </c>
      <c r="H450" s="52" t="s">
        <v>834</v>
      </c>
    </row>
    <row r="451" spans="1:8" ht="21.2" customHeight="1">
      <c r="A451" s="8" t="s">
        <v>724</v>
      </c>
      <c r="B451" s="52" t="s">
        <v>60</v>
      </c>
      <c r="C451" s="149"/>
      <c r="D451" s="52" t="s">
        <v>60</v>
      </c>
      <c r="E451" s="52" t="str">
        <f t="shared" si="7"/>
        <v>—</v>
      </c>
      <c r="F451" s="51"/>
      <c r="G451" s="152">
        <v>800000</v>
      </c>
      <c r="H451" s="52" t="s">
        <v>834</v>
      </c>
    </row>
    <row r="452" spans="1:8" ht="21.2" customHeight="1">
      <c r="A452" s="8" t="s">
        <v>704</v>
      </c>
      <c r="B452" s="52" t="s">
        <v>60</v>
      </c>
      <c r="C452" s="149"/>
      <c r="D452" s="52" t="s">
        <v>60</v>
      </c>
      <c r="E452" s="52" t="str">
        <f t="shared" si="7"/>
        <v>—</v>
      </c>
      <c r="F452" s="51"/>
      <c r="G452" s="152">
        <v>3000000</v>
      </c>
      <c r="H452" s="52" t="s">
        <v>834</v>
      </c>
    </row>
    <row r="453" spans="1:8" ht="21.2" customHeight="1">
      <c r="A453" s="8" t="s">
        <v>606</v>
      </c>
      <c r="B453" s="52" t="s">
        <v>60</v>
      </c>
      <c r="C453" s="149"/>
      <c r="D453" s="52" t="s">
        <v>60</v>
      </c>
      <c r="E453" s="52" t="str">
        <f t="shared" si="7"/>
        <v>—</v>
      </c>
      <c r="F453" s="51"/>
      <c r="G453" s="152">
        <v>5250000</v>
      </c>
      <c r="H453" s="52" t="s">
        <v>834</v>
      </c>
    </row>
    <row r="454" spans="1:8" ht="21.2" customHeight="1">
      <c r="A454" s="8" t="s">
        <v>694</v>
      </c>
      <c r="B454" s="52" t="s">
        <v>60</v>
      </c>
      <c r="C454" s="149"/>
      <c r="D454" s="52" t="s">
        <v>60</v>
      </c>
      <c r="E454" s="52" t="str">
        <f t="shared" si="7"/>
        <v>—</v>
      </c>
      <c r="F454" s="51"/>
      <c r="G454" s="152">
        <v>1250000</v>
      </c>
      <c r="H454" s="52" t="s">
        <v>834</v>
      </c>
    </row>
    <row r="455" spans="1:8" ht="21.2" customHeight="1">
      <c r="A455" s="8" t="s">
        <v>399</v>
      </c>
      <c r="B455" s="52" t="s">
        <v>60</v>
      </c>
      <c r="C455" s="149"/>
      <c r="D455" s="52" t="s">
        <v>60</v>
      </c>
      <c r="E455" s="52" t="str">
        <f t="shared" si="7"/>
        <v>—</v>
      </c>
      <c r="F455" s="51"/>
      <c r="G455" s="152">
        <v>5950000</v>
      </c>
      <c r="H455" s="52" t="s">
        <v>834</v>
      </c>
    </row>
    <row r="456" spans="1:8" ht="21.2" customHeight="1">
      <c r="A456" s="8" t="s">
        <v>630</v>
      </c>
      <c r="B456" s="52" t="s">
        <v>60</v>
      </c>
      <c r="C456" s="149"/>
      <c r="D456" s="52" t="s">
        <v>60</v>
      </c>
      <c r="E456" s="52" t="str">
        <f t="shared" si="7"/>
        <v>—</v>
      </c>
      <c r="F456" s="51"/>
      <c r="G456" s="152">
        <v>4000000</v>
      </c>
      <c r="H456" s="52" t="s">
        <v>834</v>
      </c>
    </row>
    <row r="457" spans="1:8" ht="21.2" customHeight="1">
      <c r="A457" s="8" t="s">
        <v>366</v>
      </c>
      <c r="B457" s="149">
        <v>156.4</v>
      </c>
      <c r="C457" s="149"/>
      <c r="D457" s="52" t="s">
        <v>60</v>
      </c>
      <c r="E457" s="149">
        <f t="shared" si="7"/>
        <v>156.4</v>
      </c>
      <c r="F457" s="51"/>
      <c r="G457" s="152">
        <v>5800000</v>
      </c>
      <c r="H457" s="52" t="s">
        <v>834</v>
      </c>
    </row>
    <row r="458" spans="1:8" ht="21.2" customHeight="1">
      <c r="A458" s="8" t="s">
        <v>370</v>
      </c>
      <c r="B458" s="52" t="s">
        <v>60</v>
      </c>
      <c r="C458" s="149"/>
      <c r="D458" s="149">
        <v>291.37</v>
      </c>
      <c r="E458" s="149">
        <f t="shared" si="7"/>
        <v>291.37</v>
      </c>
      <c r="F458" s="51"/>
      <c r="G458" s="152">
        <v>3400000</v>
      </c>
      <c r="H458" s="52" t="s">
        <v>834</v>
      </c>
    </row>
    <row r="459" spans="1:8" ht="21.2" customHeight="1">
      <c r="A459" s="8" t="s">
        <v>702</v>
      </c>
      <c r="B459" s="149">
        <v>167.4</v>
      </c>
      <c r="C459" s="149"/>
      <c r="D459" s="52" t="s">
        <v>60</v>
      </c>
      <c r="E459" s="149">
        <f t="shared" si="7"/>
        <v>167.4</v>
      </c>
      <c r="F459" s="51"/>
      <c r="G459" s="152">
        <v>1400000</v>
      </c>
      <c r="H459" s="52" t="s">
        <v>834</v>
      </c>
    </row>
    <row r="460" spans="1:8" ht="21.2" customHeight="1">
      <c r="A460" s="8" t="s">
        <v>414</v>
      </c>
      <c r="B460" s="149">
        <v>170.9</v>
      </c>
      <c r="C460" s="149"/>
      <c r="D460" s="52" t="s">
        <v>60</v>
      </c>
      <c r="E460" s="149">
        <f t="shared" si="7"/>
        <v>170.9</v>
      </c>
      <c r="F460" s="51"/>
      <c r="G460" s="152">
        <v>3250000</v>
      </c>
      <c r="H460" s="52" t="s">
        <v>834</v>
      </c>
    </row>
    <row r="461" spans="1:8" ht="21.2" customHeight="1">
      <c r="A461" s="8" t="s">
        <v>423</v>
      </c>
      <c r="B461" s="149">
        <v>164</v>
      </c>
      <c r="C461" s="149"/>
      <c r="D461" s="149">
        <v>402.4</v>
      </c>
      <c r="E461" s="149">
        <f t="shared" si="7"/>
        <v>283.2</v>
      </c>
      <c r="F461" s="51"/>
      <c r="G461" s="152">
        <v>2000000</v>
      </c>
      <c r="H461" s="52" t="s">
        <v>834</v>
      </c>
    </row>
    <row r="462" spans="1:8" ht="21.2" customHeight="1">
      <c r="A462" s="8" t="s">
        <v>693</v>
      </c>
      <c r="B462" s="52" t="s">
        <v>60</v>
      </c>
      <c r="C462" s="149"/>
      <c r="D462" s="52" t="s">
        <v>60</v>
      </c>
      <c r="E462" s="52" t="str">
        <f t="shared" si="7"/>
        <v>—</v>
      </c>
      <c r="F462" s="51"/>
      <c r="G462" s="152">
        <v>1300000</v>
      </c>
      <c r="H462" s="52" t="s">
        <v>834</v>
      </c>
    </row>
    <row r="463" spans="1:8" ht="21.2" customHeight="1">
      <c r="A463" s="8" t="s">
        <v>395</v>
      </c>
      <c r="B463" s="52" t="s">
        <v>60</v>
      </c>
      <c r="C463" s="149"/>
      <c r="D463" s="52" t="s">
        <v>60</v>
      </c>
      <c r="E463" s="52" t="str">
        <f t="shared" si="7"/>
        <v>—</v>
      </c>
      <c r="F463" s="51"/>
      <c r="G463" s="152">
        <v>3500000</v>
      </c>
      <c r="H463" s="52" t="s">
        <v>834</v>
      </c>
    </row>
    <row r="464" spans="1:8" ht="21.2" customHeight="1">
      <c r="A464" s="8" t="s">
        <v>407</v>
      </c>
      <c r="B464" s="52" t="s">
        <v>60</v>
      </c>
      <c r="C464" s="149"/>
      <c r="D464" s="52" t="s">
        <v>60</v>
      </c>
      <c r="E464" s="52" t="str">
        <f t="shared" si="7"/>
        <v>—</v>
      </c>
      <c r="F464" s="51"/>
      <c r="G464" s="152">
        <v>6750000</v>
      </c>
      <c r="H464" s="52" t="s">
        <v>834</v>
      </c>
    </row>
    <row r="465" spans="1:8" ht="21.2" customHeight="1">
      <c r="A465" s="8" t="s">
        <v>792</v>
      </c>
      <c r="B465" s="52" t="s">
        <v>60</v>
      </c>
      <c r="C465" s="149"/>
      <c r="D465" s="52" t="s">
        <v>60</v>
      </c>
      <c r="E465" s="52" t="str">
        <f t="shared" si="7"/>
        <v>—</v>
      </c>
      <c r="F465" s="51"/>
      <c r="G465" s="152">
        <v>883750</v>
      </c>
      <c r="H465" s="52" t="s">
        <v>834</v>
      </c>
    </row>
    <row r="466" spans="1:8" ht="21.2" customHeight="1">
      <c r="A466" s="8" t="s">
        <v>690</v>
      </c>
      <c r="B466" s="52" t="s">
        <v>60</v>
      </c>
      <c r="C466" s="149"/>
      <c r="D466" s="52" t="s">
        <v>60</v>
      </c>
      <c r="E466" s="52" t="str">
        <f t="shared" si="7"/>
        <v>—</v>
      </c>
      <c r="F466" s="51"/>
      <c r="G466" s="152">
        <v>1350000</v>
      </c>
      <c r="H466" s="52" t="s">
        <v>834</v>
      </c>
    </row>
    <row r="467" spans="1:8" ht="21.2" customHeight="1">
      <c r="A467" s="8" t="s">
        <v>684</v>
      </c>
      <c r="B467" s="149">
        <v>150</v>
      </c>
      <c r="C467" s="149"/>
      <c r="D467" s="149">
        <v>457.5</v>
      </c>
      <c r="E467" s="149">
        <f t="shared" si="7"/>
        <v>303.75</v>
      </c>
      <c r="F467" s="51"/>
      <c r="G467" s="152">
        <v>1937000</v>
      </c>
      <c r="H467" s="52" t="s">
        <v>834</v>
      </c>
    </row>
    <row r="468" spans="1:8" ht="21.2" customHeight="1">
      <c r="A468" s="8" t="s">
        <v>380</v>
      </c>
      <c r="B468" s="52" t="s">
        <v>60</v>
      </c>
      <c r="C468" s="149"/>
      <c r="D468" s="149">
        <v>489.5</v>
      </c>
      <c r="E468" s="149">
        <f t="shared" si="7"/>
        <v>489.5</v>
      </c>
      <c r="F468" s="51"/>
      <c r="G468" s="152">
        <v>3150000</v>
      </c>
      <c r="H468" s="52" t="s">
        <v>834</v>
      </c>
    </row>
    <row r="469" spans="1:8" ht="21.2" customHeight="1">
      <c r="A469" s="8" t="s">
        <v>710</v>
      </c>
      <c r="B469" s="52" t="s">
        <v>60</v>
      </c>
      <c r="C469" s="149"/>
      <c r="D469" s="149">
        <v>455.5</v>
      </c>
      <c r="E469" s="149">
        <f t="shared" si="7"/>
        <v>455.5</v>
      </c>
      <c r="F469" s="51"/>
      <c r="G469" s="152">
        <v>2450000</v>
      </c>
      <c r="H469" s="52" t="s">
        <v>834</v>
      </c>
    </row>
    <row r="470" spans="1:8" ht="21.2" customHeight="1">
      <c r="A470" s="8" t="s">
        <v>703</v>
      </c>
      <c r="B470" s="52" t="s">
        <v>60</v>
      </c>
      <c r="C470" s="149"/>
      <c r="D470" s="52" t="s">
        <v>60</v>
      </c>
      <c r="E470" s="52" t="str">
        <f t="shared" si="7"/>
        <v>—</v>
      </c>
      <c r="F470" s="51"/>
      <c r="G470" s="152">
        <v>1125000</v>
      </c>
      <c r="H470" s="52" t="s">
        <v>834</v>
      </c>
    </row>
    <row r="471" spans="1:8" ht="21.2" customHeight="1">
      <c r="A471" s="8" t="s">
        <v>741</v>
      </c>
      <c r="B471" s="52" t="s">
        <v>60</v>
      </c>
      <c r="C471" s="149"/>
      <c r="D471" s="52" t="s">
        <v>60</v>
      </c>
      <c r="E471" s="52" t="str">
        <f t="shared" si="7"/>
        <v>—</v>
      </c>
      <c r="F471" s="51"/>
      <c r="G471" s="152">
        <v>1295000</v>
      </c>
      <c r="H471" s="52" t="s">
        <v>834</v>
      </c>
    </row>
    <row r="472" spans="1:8" ht="21.2" customHeight="1">
      <c r="A472" s="8" t="s">
        <v>732</v>
      </c>
      <c r="B472" s="52" t="s">
        <v>60</v>
      </c>
      <c r="C472" s="149"/>
      <c r="D472" s="52" t="s">
        <v>60</v>
      </c>
      <c r="E472" s="52" t="str">
        <f t="shared" si="7"/>
        <v>—</v>
      </c>
      <c r="F472" s="51"/>
      <c r="G472" s="152">
        <v>825000</v>
      </c>
      <c r="H472" s="52" t="s">
        <v>834</v>
      </c>
    </row>
    <row r="473" spans="1:8" ht="21.2" customHeight="1">
      <c r="A473" s="8" t="s">
        <v>460</v>
      </c>
      <c r="B473" s="52" t="s">
        <v>60</v>
      </c>
      <c r="C473" s="149"/>
      <c r="D473" s="52" t="s">
        <v>60</v>
      </c>
      <c r="E473" s="52" t="str">
        <f t="shared" si="7"/>
        <v>—</v>
      </c>
      <c r="F473" s="51"/>
      <c r="G473" s="152">
        <v>4285714</v>
      </c>
      <c r="H473" s="52" t="s">
        <v>834</v>
      </c>
    </row>
    <row r="474" spans="1:8" ht="21.2" customHeight="1">
      <c r="A474" s="8" t="s">
        <v>664</v>
      </c>
      <c r="B474" s="52" t="s">
        <v>60</v>
      </c>
      <c r="C474" s="149"/>
      <c r="D474" s="52" t="s">
        <v>60</v>
      </c>
      <c r="E474" s="52" t="str">
        <f t="shared" si="7"/>
        <v>—</v>
      </c>
      <c r="F474" s="51"/>
      <c r="G474" s="152">
        <v>1000000</v>
      </c>
      <c r="H474" s="52" t="s">
        <v>834</v>
      </c>
    </row>
    <row r="475" spans="1:8" ht="21.2" customHeight="1">
      <c r="A475" s="8" t="s">
        <v>802</v>
      </c>
      <c r="B475" s="52" t="s">
        <v>60</v>
      </c>
      <c r="C475" s="149"/>
      <c r="D475" s="52" t="s">
        <v>60</v>
      </c>
      <c r="E475" s="52" t="str">
        <f t="shared" si="7"/>
        <v>—</v>
      </c>
      <c r="F475" s="51"/>
      <c r="G475" s="152">
        <v>863333</v>
      </c>
      <c r="H475" s="52" t="s">
        <v>834</v>
      </c>
    </row>
    <row r="476" spans="1:8" ht="21.2" customHeight="1">
      <c r="A476" s="8" t="s">
        <v>421</v>
      </c>
      <c r="B476" s="149">
        <v>185.6</v>
      </c>
      <c r="C476" s="149"/>
      <c r="D476" s="149">
        <v>442.07</v>
      </c>
      <c r="E476" s="149">
        <f t="shared" si="7"/>
        <v>313.83499999999998</v>
      </c>
      <c r="F476" s="51"/>
      <c r="G476" s="152">
        <v>2675000</v>
      </c>
      <c r="H476" s="52" t="s">
        <v>834</v>
      </c>
    </row>
    <row r="477" spans="1:8" ht="21.2" customHeight="1">
      <c r="A477" s="8" t="s">
        <v>753</v>
      </c>
      <c r="B477" s="52" t="s">
        <v>60</v>
      </c>
      <c r="C477" s="149"/>
      <c r="D477" s="52" t="s">
        <v>60</v>
      </c>
      <c r="E477" s="52" t="str">
        <f t="shared" si="7"/>
        <v>—</v>
      </c>
      <c r="F477" s="51"/>
      <c r="G477" s="152">
        <v>1400000</v>
      </c>
      <c r="H477" s="52" t="s">
        <v>834</v>
      </c>
    </row>
    <row r="478" spans="1:8" ht="21.2" customHeight="1">
      <c r="A478" s="8" t="s">
        <v>474</v>
      </c>
      <c r="B478" s="52" t="s">
        <v>60</v>
      </c>
      <c r="C478" s="149"/>
      <c r="D478" s="52" t="s">
        <v>60</v>
      </c>
      <c r="E478" s="52" t="str">
        <f t="shared" si="7"/>
        <v>—</v>
      </c>
      <c r="F478" s="51"/>
      <c r="G478" s="152">
        <v>2000000</v>
      </c>
      <c r="H478" s="52" t="s">
        <v>834</v>
      </c>
    </row>
    <row r="479" spans="1:8" ht="21.2" customHeight="1">
      <c r="A479" s="8" t="s">
        <v>459</v>
      </c>
      <c r="B479" s="52" t="s">
        <v>60</v>
      </c>
      <c r="C479" s="149"/>
      <c r="D479" s="52" t="s">
        <v>60</v>
      </c>
      <c r="E479" s="52" t="str">
        <f t="shared" si="7"/>
        <v>—</v>
      </c>
      <c r="F479" s="149"/>
      <c r="G479" s="152">
        <v>5000000</v>
      </c>
      <c r="H479" s="52" t="s">
        <v>834</v>
      </c>
    </row>
    <row r="480" spans="1:8" ht="21.2" customHeight="1">
      <c r="A480" s="8" t="s">
        <v>472</v>
      </c>
      <c r="B480" s="52" t="s">
        <v>60</v>
      </c>
      <c r="C480" s="149"/>
      <c r="D480" s="52" t="s">
        <v>60</v>
      </c>
      <c r="E480" s="52" t="str">
        <f t="shared" si="7"/>
        <v>—</v>
      </c>
      <c r="F480" s="51"/>
      <c r="G480" s="152">
        <v>3000000</v>
      </c>
      <c r="H480" s="52" t="s">
        <v>834</v>
      </c>
    </row>
    <row r="481" spans="1:8" ht="21.2" customHeight="1">
      <c r="A481" s="8" t="s">
        <v>441</v>
      </c>
      <c r="B481" s="52" t="s">
        <v>60</v>
      </c>
      <c r="C481" s="149"/>
      <c r="D481" s="52" t="s">
        <v>60</v>
      </c>
      <c r="E481" s="52" t="str">
        <f t="shared" si="7"/>
        <v>—</v>
      </c>
      <c r="F481" s="51"/>
      <c r="G481" s="152">
        <v>3000000</v>
      </c>
      <c r="H481" s="52" t="s">
        <v>834</v>
      </c>
    </row>
    <row r="482" spans="1:8" ht="21.2" customHeight="1">
      <c r="A482" s="8" t="s">
        <v>688</v>
      </c>
      <c r="B482" s="52" t="s">
        <v>60</v>
      </c>
      <c r="C482" s="149"/>
      <c r="D482" s="52" t="s">
        <v>60</v>
      </c>
      <c r="E482" s="52" t="str">
        <f t="shared" si="7"/>
        <v>—</v>
      </c>
      <c r="F482" s="51"/>
      <c r="G482" s="152">
        <v>1701000</v>
      </c>
      <c r="H482" s="52" t="s">
        <v>834</v>
      </c>
    </row>
    <row r="483" spans="1:8" ht="21.2" customHeight="1">
      <c r="A483" s="8" t="s">
        <v>725</v>
      </c>
      <c r="B483" s="52" t="s">
        <v>60</v>
      </c>
      <c r="C483" s="149"/>
      <c r="D483" s="52" t="s">
        <v>60</v>
      </c>
      <c r="E483" s="52" t="str">
        <f t="shared" si="7"/>
        <v>—</v>
      </c>
      <c r="F483" s="51"/>
      <c r="G483" s="152">
        <v>2500000</v>
      </c>
      <c r="H483" s="52" t="s">
        <v>834</v>
      </c>
    </row>
    <row r="484" spans="1:8" ht="21.2" customHeight="1">
      <c r="A484" s="8" t="s">
        <v>444</v>
      </c>
      <c r="B484" s="52" t="s">
        <v>60</v>
      </c>
      <c r="C484" s="149"/>
      <c r="D484" s="52" t="s">
        <v>60</v>
      </c>
      <c r="E484" s="52" t="str">
        <f t="shared" si="7"/>
        <v>—</v>
      </c>
      <c r="F484" s="51"/>
      <c r="G484" s="152">
        <v>4125000</v>
      </c>
      <c r="H484" s="52" t="s">
        <v>834</v>
      </c>
    </row>
    <row r="485" spans="1:8" ht="21.2" customHeight="1">
      <c r="A485" s="8" t="s">
        <v>510</v>
      </c>
      <c r="B485" s="52" t="s">
        <v>60</v>
      </c>
      <c r="C485" s="149"/>
      <c r="D485" s="52" t="s">
        <v>60</v>
      </c>
      <c r="E485" s="52" t="str">
        <f t="shared" si="7"/>
        <v>—</v>
      </c>
      <c r="F485" s="51"/>
      <c r="G485" s="152">
        <v>4600000</v>
      </c>
      <c r="H485" s="52" t="s">
        <v>834</v>
      </c>
    </row>
    <row r="486" spans="1:8" ht="21.2" customHeight="1">
      <c r="A486" s="8" t="s">
        <v>454</v>
      </c>
      <c r="B486" s="52" t="s">
        <v>60</v>
      </c>
      <c r="C486" s="149"/>
      <c r="D486" s="149">
        <v>385.2</v>
      </c>
      <c r="E486" s="149">
        <f t="shared" si="7"/>
        <v>385.2</v>
      </c>
      <c r="F486" s="51"/>
      <c r="G486" s="152">
        <v>2250000</v>
      </c>
      <c r="H486" s="52" t="s">
        <v>834</v>
      </c>
    </row>
    <row r="487" spans="1:8" ht="21.2" customHeight="1">
      <c r="A487" s="8" t="s">
        <v>715</v>
      </c>
      <c r="B487" s="52" t="s">
        <v>60</v>
      </c>
      <c r="C487" s="149"/>
      <c r="D487" s="52" t="s">
        <v>60</v>
      </c>
      <c r="E487" s="52" t="str">
        <f t="shared" si="7"/>
        <v>—</v>
      </c>
      <c r="F487" s="51"/>
      <c r="G487" s="152">
        <v>2750000</v>
      </c>
      <c r="H487" s="52" t="s">
        <v>834</v>
      </c>
    </row>
    <row r="488" spans="1:8" ht="21.2" customHeight="1">
      <c r="A488" s="8" t="s">
        <v>435</v>
      </c>
      <c r="B488" s="52" t="s">
        <v>60</v>
      </c>
      <c r="C488" s="149"/>
      <c r="D488" s="149">
        <v>459.52</v>
      </c>
      <c r="E488" s="149">
        <f t="shared" si="7"/>
        <v>459.52</v>
      </c>
      <c r="F488" s="51"/>
      <c r="G488" s="152">
        <v>3333333.3333333302</v>
      </c>
      <c r="H488" s="52" t="s">
        <v>834</v>
      </c>
    </row>
    <row r="489" spans="1:8" ht="21.2" customHeight="1">
      <c r="A489" s="8" t="s">
        <v>697</v>
      </c>
      <c r="B489" s="52" t="s">
        <v>60</v>
      </c>
      <c r="C489" s="149"/>
      <c r="D489" s="52" t="s">
        <v>60</v>
      </c>
      <c r="E489" s="52" t="str">
        <f t="shared" si="7"/>
        <v>—</v>
      </c>
      <c r="F489" s="51"/>
      <c r="G489" s="152">
        <v>3400000</v>
      </c>
      <c r="H489" s="52" t="s">
        <v>834</v>
      </c>
    </row>
    <row r="490" spans="1:8" ht="21.2" customHeight="1">
      <c r="A490" s="8" t="s">
        <v>453</v>
      </c>
      <c r="B490" s="52" t="s">
        <v>60</v>
      </c>
      <c r="C490" s="149"/>
      <c r="D490" s="52" t="s">
        <v>60</v>
      </c>
      <c r="E490" s="52" t="str">
        <f t="shared" si="7"/>
        <v>—</v>
      </c>
      <c r="F490" s="51"/>
      <c r="G490" s="152">
        <v>4600000</v>
      </c>
      <c r="H490" s="52" t="s">
        <v>834</v>
      </c>
    </row>
    <row r="491" spans="1:8" ht="21.2" customHeight="1">
      <c r="A491" s="8" t="s">
        <v>443</v>
      </c>
      <c r="B491" s="52" t="s">
        <v>60</v>
      </c>
      <c r="C491" s="149"/>
      <c r="D491" s="52" t="s">
        <v>60</v>
      </c>
      <c r="E491" s="52" t="str">
        <f t="shared" si="7"/>
        <v>—</v>
      </c>
      <c r="F491" s="51"/>
      <c r="G491" s="152">
        <v>3250000</v>
      </c>
      <c r="H491" s="52" t="s">
        <v>834</v>
      </c>
    </row>
    <row r="492" spans="1:8" ht="21.2" customHeight="1">
      <c r="A492" s="8" t="s">
        <v>676</v>
      </c>
      <c r="B492" s="149">
        <v>169.5</v>
      </c>
      <c r="C492" s="149"/>
      <c r="D492" s="52" t="s">
        <v>60</v>
      </c>
      <c r="E492" s="149">
        <f t="shared" si="7"/>
        <v>169.5</v>
      </c>
      <c r="F492" s="51"/>
      <c r="G492" s="152">
        <v>2002000</v>
      </c>
      <c r="H492" s="52" t="s">
        <v>834</v>
      </c>
    </row>
    <row r="493" spans="1:8" ht="21.2" customHeight="1">
      <c r="A493" s="8" t="s">
        <v>409</v>
      </c>
      <c r="B493" s="52" t="s">
        <v>60</v>
      </c>
      <c r="C493" s="149"/>
      <c r="D493" s="52" t="s">
        <v>60</v>
      </c>
      <c r="E493" s="52" t="str">
        <f t="shared" si="7"/>
        <v>—</v>
      </c>
      <c r="F493" s="51"/>
      <c r="G493" s="152">
        <v>2294150</v>
      </c>
      <c r="H493" s="52" t="s">
        <v>834</v>
      </c>
    </row>
    <row r="494" spans="1:8" ht="21.2" customHeight="1">
      <c r="A494" s="8" t="s">
        <v>498</v>
      </c>
      <c r="B494" s="52" t="s">
        <v>60</v>
      </c>
      <c r="C494" s="149"/>
      <c r="D494" s="52" t="s">
        <v>60</v>
      </c>
      <c r="E494" s="52" t="str">
        <f t="shared" si="7"/>
        <v>—</v>
      </c>
      <c r="F494" s="51"/>
      <c r="G494" s="152">
        <v>3400000</v>
      </c>
      <c r="H494" s="52" t="s">
        <v>834</v>
      </c>
    </row>
    <row r="495" spans="1:8" ht="21.2" customHeight="1">
      <c r="A495" s="8" t="s">
        <v>728</v>
      </c>
      <c r="B495" s="52" t="s">
        <v>60</v>
      </c>
      <c r="C495" s="149"/>
      <c r="D495" s="52" t="s">
        <v>60</v>
      </c>
      <c r="E495" s="52" t="str">
        <f t="shared" si="7"/>
        <v>—</v>
      </c>
      <c r="F495" s="51"/>
      <c r="G495" s="152">
        <v>4000000</v>
      </c>
      <c r="H495" s="52" t="s">
        <v>834</v>
      </c>
    </row>
    <row r="496" spans="1:8" ht="21.2" customHeight="1">
      <c r="A496" s="8" t="s">
        <v>461</v>
      </c>
      <c r="B496" s="52" t="s">
        <v>60</v>
      </c>
      <c r="C496" s="149"/>
      <c r="D496" s="52" t="s">
        <v>60</v>
      </c>
      <c r="E496" s="52" t="str">
        <f t="shared" si="7"/>
        <v>—</v>
      </c>
      <c r="F496" s="51"/>
      <c r="G496" s="152">
        <v>4500000</v>
      </c>
      <c r="H496" s="52" t="s">
        <v>834</v>
      </c>
    </row>
    <row r="497" spans="1:8" ht="21.2" customHeight="1">
      <c r="A497" s="8" t="s">
        <v>711</v>
      </c>
      <c r="B497" s="52" t="s">
        <v>60</v>
      </c>
      <c r="C497" s="149"/>
      <c r="D497" s="52" t="s">
        <v>60</v>
      </c>
      <c r="E497" s="52" t="str">
        <f t="shared" si="7"/>
        <v>—</v>
      </c>
      <c r="F497" s="51"/>
      <c r="G497" s="152">
        <v>1250000</v>
      </c>
      <c r="H497" s="52" t="s">
        <v>834</v>
      </c>
    </row>
    <row r="498" spans="1:8" ht="21.2" customHeight="1">
      <c r="A498" s="8" t="s">
        <v>718</v>
      </c>
      <c r="B498" s="52" t="s">
        <v>60</v>
      </c>
      <c r="C498" s="149"/>
      <c r="D498" s="52" t="s">
        <v>60</v>
      </c>
      <c r="E498" s="52" t="str">
        <f t="shared" si="7"/>
        <v>—</v>
      </c>
      <c r="F498" s="51"/>
      <c r="G498" s="152">
        <v>800000</v>
      </c>
      <c r="H498" s="52" t="s">
        <v>834</v>
      </c>
    </row>
    <row r="499" spans="1:8" ht="21.2" customHeight="1">
      <c r="A499" s="8" t="s">
        <v>473</v>
      </c>
      <c r="B499" s="52" t="s">
        <v>60</v>
      </c>
      <c r="C499" s="149"/>
      <c r="D499" s="52" t="s">
        <v>60</v>
      </c>
      <c r="E499" s="52" t="str">
        <f t="shared" si="7"/>
        <v>—</v>
      </c>
      <c r="F499" s="51"/>
      <c r="G499" s="152">
        <v>2750000</v>
      </c>
      <c r="H499" s="52" t="s">
        <v>834</v>
      </c>
    </row>
    <row r="500" spans="1:8" ht="21.2" customHeight="1">
      <c r="A500" s="8" t="s">
        <v>743</v>
      </c>
      <c r="B500" s="52" t="s">
        <v>60</v>
      </c>
      <c r="C500" s="149"/>
      <c r="D500" s="52" t="s">
        <v>60</v>
      </c>
      <c r="E500" s="52" t="str">
        <f t="shared" si="7"/>
        <v>—</v>
      </c>
      <c r="F500" s="51"/>
      <c r="G500" s="152">
        <v>758333</v>
      </c>
      <c r="H500" s="52" t="s">
        <v>834</v>
      </c>
    </row>
    <row r="501" spans="1:8" ht="21.2" customHeight="1">
      <c r="A501" s="8" t="s">
        <v>515</v>
      </c>
      <c r="B501" s="52" t="s">
        <v>60</v>
      </c>
      <c r="C501" s="149"/>
      <c r="D501" s="52" t="s">
        <v>60</v>
      </c>
      <c r="E501" s="52" t="str">
        <f t="shared" si="7"/>
        <v>—</v>
      </c>
      <c r="F501" s="51"/>
      <c r="G501" s="152">
        <v>4500000</v>
      </c>
      <c r="H501" s="52" t="s">
        <v>834</v>
      </c>
    </row>
    <row r="502" spans="1:8" ht="21.2" customHeight="1">
      <c r="A502" s="8" t="s">
        <v>436</v>
      </c>
      <c r="B502" s="149">
        <v>165</v>
      </c>
      <c r="C502" s="149"/>
      <c r="D502" s="52" t="s">
        <v>60</v>
      </c>
      <c r="E502" s="149">
        <f t="shared" si="7"/>
        <v>165</v>
      </c>
      <c r="F502" s="51"/>
      <c r="G502" s="152">
        <v>3750000</v>
      </c>
      <c r="H502" s="52" t="s">
        <v>834</v>
      </c>
    </row>
    <row r="503" spans="1:8" ht="21.2" customHeight="1">
      <c r="A503" s="8" t="s">
        <v>484</v>
      </c>
      <c r="B503" s="52" t="s">
        <v>60</v>
      </c>
      <c r="C503" s="149"/>
      <c r="D503" s="52" t="s">
        <v>60</v>
      </c>
      <c r="E503" s="52" t="str">
        <f t="shared" si="7"/>
        <v>—</v>
      </c>
      <c r="F503" s="51"/>
      <c r="G503" s="152">
        <v>2650000</v>
      </c>
      <c r="H503" s="52" t="s">
        <v>834</v>
      </c>
    </row>
    <row r="504" spans="1:8" ht="21.2" customHeight="1">
      <c r="A504" s="8" t="s">
        <v>477</v>
      </c>
      <c r="B504" s="52" t="s">
        <v>60</v>
      </c>
      <c r="C504" s="149"/>
      <c r="D504" s="52" t="s">
        <v>60</v>
      </c>
      <c r="E504" s="52" t="str">
        <f t="shared" si="7"/>
        <v>—</v>
      </c>
      <c r="F504" s="51"/>
      <c r="G504" s="152">
        <v>3900000</v>
      </c>
      <c r="H504" s="52" t="s">
        <v>834</v>
      </c>
    </row>
    <row r="505" spans="1:8" ht="21.2" customHeight="1">
      <c r="A505" s="8" t="s">
        <v>513</v>
      </c>
      <c r="B505" s="52" t="s">
        <v>60</v>
      </c>
      <c r="C505" s="149"/>
      <c r="D505" s="52" t="s">
        <v>60</v>
      </c>
      <c r="E505" s="52" t="str">
        <f t="shared" si="7"/>
        <v>—</v>
      </c>
      <c r="F505" s="149"/>
      <c r="G505" s="152">
        <v>1000000</v>
      </c>
      <c r="H505" s="52" t="s">
        <v>834</v>
      </c>
    </row>
    <row r="506" spans="1:8" ht="21.2" customHeight="1">
      <c r="A506" s="8" t="s">
        <v>722</v>
      </c>
      <c r="B506" s="52" t="s">
        <v>60</v>
      </c>
      <c r="C506" s="149"/>
      <c r="D506" s="52" t="s">
        <v>60</v>
      </c>
      <c r="E506" s="52" t="str">
        <f t="shared" si="7"/>
        <v>—</v>
      </c>
      <c r="F506" s="51"/>
      <c r="G506" s="152">
        <v>2500000</v>
      </c>
      <c r="H506" s="52" t="s">
        <v>834</v>
      </c>
    </row>
    <row r="507" spans="1:8" ht="21.2" customHeight="1">
      <c r="A507" s="8" t="s">
        <v>438</v>
      </c>
      <c r="B507" s="52" t="s">
        <v>60</v>
      </c>
      <c r="C507" s="149"/>
      <c r="D507" s="149">
        <v>472.5</v>
      </c>
      <c r="E507" s="149">
        <f t="shared" si="7"/>
        <v>472.5</v>
      </c>
      <c r="F507" s="51"/>
      <c r="G507" s="152">
        <v>5250000</v>
      </c>
      <c r="H507" s="52" t="s">
        <v>834</v>
      </c>
    </row>
    <row r="508" spans="1:8" ht="21.2" customHeight="1">
      <c r="A508" s="8" t="s">
        <v>800</v>
      </c>
      <c r="B508" s="52" t="s">
        <v>60</v>
      </c>
      <c r="C508" s="149"/>
      <c r="D508" s="52" t="s">
        <v>60</v>
      </c>
      <c r="E508" s="52" t="str">
        <f t="shared" si="7"/>
        <v>—</v>
      </c>
      <c r="F508" s="51"/>
      <c r="G508" s="152"/>
      <c r="H508" s="52" t="s">
        <v>834</v>
      </c>
    </row>
    <row r="509" spans="1:8" ht="21.2" customHeight="1">
      <c r="A509" s="8" t="s">
        <v>449</v>
      </c>
      <c r="B509" s="52" t="s">
        <v>60</v>
      </c>
      <c r="C509" s="149"/>
      <c r="D509" s="52" t="s">
        <v>60</v>
      </c>
      <c r="E509" s="52" t="str">
        <f t="shared" si="7"/>
        <v>—</v>
      </c>
      <c r="F509" s="51"/>
      <c r="G509" s="152">
        <v>800000</v>
      </c>
      <c r="H509" s="52" t="s">
        <v>834</v>
      </c>
    </row>
    <row r="510" spans="1:8" ht="21.2" customHeight="1">
      <c r="A510" s="8" t="s">
        <v>442</v>
      </c>
      <c r="B510" s="52" t="s">
        <v>60</v>
      </c>
      <c r="C510" s="149"/>
      <c r="D510" s="149">
        <v>403.5</v>
      </c>
      <c r="E510" s="149">
        <f t="shared" si="7"/>
        <v>403.5</v>
      </c>
      <c r="F510" s="51"/>
      <c r="G510" s="152">
        <v>3016700</v>
      </c>
      <c r="H510" s="52" t="s">
        <v>834</v>
      </c>
    </row>
    <row r="511" spans="1:8" ht="21.2" customHeight="1">
      <c r="A511" s="8" t="s">
        <v>390</v>
      </c>
      <c r="B511" s="149">
        <v>151.5</v>
      </c>
      <c r="C511" s="149"/>
      <c r="D511" s="149">
        <v>231.76</v>
      </c>
      <c r="E511" s="149">
        <f t="shared" si="7"/>
        <v>191.63</v>
      </c>
      <c r="F511" s="51"/>
      <c r="G511" s="152">
        <v>4000000</v>
      </c>
      <c r="H511" s="52" t="s">
        <v>834</v>
      </c>
    </row>
    <row r="512" spans="1:8" ht="21.2" customHeight="1">
      <c r="A512" s="8" t="s">
        <v>768</v>
      </c>
      <c r="B512" s="52" t="s">
        <v>60</v>
      </c>
      <c r="C512" s="149"/>
      <c r="D512" s="52" t="s">
        <v>60</v>
      </c>
      <c r="E512" s="52" t="str">
        <f t="shared" si="7"/>
        <v>—</v>
      </c>
      <c r="F512" s="51"/>
      <c r="G512" s="152">
        <v>925000</v>
      </c>
      <c r="H512" s="52" t="s">
        <v>834</v>
      </c>
    </row>
    <row r="513" spans="1:8" ht="21.2" customHeight="1">
      <c r="A513" s="8" t="s">
        <v>499</v>
      </c>
      <c r="B513" s="52" t="s">
        <v>60</v>
      </c>
      <c r="C513" s="149"/>
      <c r="D513" s="52" t="s">
        <v>60</v>
      </c>
      <c r="E513" s="52" t="str">
        <f t="shared" si="7"/>
        <v>—</v>
      </c>
      <c r="F513" s="51"/>
      <c r="G513" s="152">
        <v>1400000</v>
      </c>
      <c r="H513" s="52" t="s">
        <v>834</v>
      </c>
    </row>
    <row r="514" spans="1:8" ht="21.2" customHeight="1">
      <c r="A514" s="8" t="s">
        <v>485</v>
      </c>
      <c r="B514" s="52" t="s">
        <v>60</v>
      </c>
      <c r="C514" s="149"/>
      <c r="D514" s="52" t="s">
        <v>60</v>
      </c>
      <c r="E514" s="52" t="str">
        <f t="shared" ref="E514:E577" si="8">IFERROR(AVERAGE(B514:D514),"—")</f>
        <v>—</v>
      </c>
      <c r="F514" s="51"/>
      <c r="G514" s="152">
        <v>1850000</v>
      </c>
      <c r="H514" s="52" t="s">
        <v>834</v>
      </c>
    </row>
    <row r="515" spans="1:8" ht="21.2" customHeight="1">
      <c r="A515" s="8" t="s">
        <v>493</v>
      </c>
      <c r="B515" s="149">
        <v>150.80000000000001</v>
      </c>
      <c r="C515" s="149"/>
      <c r="D515" s="149">
        <v>303.69</v>
      </c>
      <c r="E515" s="149">
        <f t="shared" si="8"/>
        <v>227.245</v>
      </c>
      <c r="F515" s="51"/>
      <c r="G515" s="152">
        <v>2750000</v>
      </c>
      <c r="H515" s="52" t="s">
        <v>834</v>
      </c>
    </row>
    <row r="516" spans="1:8" ht="21.2" customHeight="1">
      <c r="A516" s="8" t="s">
        <v>739</v>
      </c>
      <c r="B516" s="52" t="s">
        <v>60</v>
      </c>
      <c r="C516" s="149"/>
      <c r="D516" s="52" t="s">
        <v>60</v>
      </c>
      <c r="E516" s="52" t="str">
        <f t="shared" si="8"/>
        <v>—</v>
      </c>
      <c r="F516" s="51"/>
      <c r="G516" s="152">
        <v>795800</v>
      </c>
      <c r="H516" s="52" t="s">
        <v>834</v>
      </c>
    </row>
    <row r="517" spans="1:8" ht="21.2" customHeight="1">
      <c r="A517" s="8" t="s">
        <v>603</v>
      </c>
      <c r="B517" s="52" t="s">
        <v>60</v>
      </c>
      <c r="C517" s="149"/>
      <c r="D517" s="52" t="s">
        <v>60</v>
      </c>
      <c r="E517" s="52" t="str">
        <f t="shared" si="8"/>
        <v>—</v>
      </c>
      <c r="F517" s="51"/>
      <c r="G517" s="152"/>
      <c r="H517" s="52" t="s">
        <v>834</v>
      </c>
    </row>
    <row r="518" spans="1:8" ht="21.2" customHeight="1">
      <c r="A518" s="8" t="s">
        <v>772</v>
      </c>
      <c r="B518" s="52" t="s">
        <v>60</v>
      </c>
      <c r="C518" s="149"/>
      <c r="D518" s="52" t="s">
        <v>60</v>
      </c>
      <c r="E518" s="52" t="str">
        <f t="shared" si="8"/>
        <v>—</v>
      </c>
      <c r="F518" s="51"/>
      <c r="G518" s="152">
        <v>775000</v>
      </c>
      <c r="H518" s="52" t="s">
        <v>834</v>
      </c>
    </row>
    <row r="519" spans="1:8" ht="21.2" customHeight="1">
      <c r="A519" s="8" t="s">
        <v>529</v>
      </c>
      <c r="B519" s="52" t="s">
        <v>60</v>
      </c>
      <c r="C519" s="149"/>
      <c r="D519" s="52" t="s">
        <v>60</v>
      </c>
      <c r="E519" s="52" t="str">
        <f t="shared" si="8"/>
        <v>—</v>
      </c>
      <c r="F519" s="149"/>
      <c r="G519" s="152">
        <v>925000</v>
      </c>
      <c r="H519" s="52" t="s">
        <v>834</v>
      </c>
    </row>
    <row r="520" spans="1:8" ht="21.2" customHeight="1">
      <c r="A520" s="8" t="s">
        <v>570</v>
      </c>
      <c r="B520" s="52" t="s">
        <v>60</v>
      </c>
      <c r="C520" s="149"/>
      <c r="D520" s="52" t="s">
        <v>60</v>
      </c>
      <c r="E520" s="52" t="str">
        <f t="shared" si="8"/>
        <v>—</v>
      </c>
      <c r="F520" s="51"/>
      <c r="G520" s="152">
        <v>2700000</v>
      </c>
      <c r="H520" s="52" t="s">
        <v>834</v>
      </c>
    </row>
    <row r="521" spans="1:8" ht="21.2" customHeight="1">
      <c r="A521" s="8" t="s">
        <v>757</v>
      </c>
      <c r="B521" s="52" t="s">
        <v>60</v>
      </c>
      <c r="C521" s="149"/>
      <c r="D521" s="52" t="s">
        <v>60</v>
      </c>
      <c r="E521" s="52" t="str">
        <f t="shared" si="8"/>
        <v>—</v>
      </c>
      <c r="F521" s="51"/>
      <c r="G521" s="152">
        <v>1000000</v>
      </c>
      <c r="H521" s="52" t="s">
        <v>834</v>
      </c>
    </row>
    <row r="522" spans="1:8" ht="21.2" customHeight="1">
      <c r="A522" s="8" t="s">
        <v>455</v>
      </c>
      <c r="B522" s="52" t="s">
        <v>60</v>
      </c>
      <c r="C522" s="149"/>
      <c r="D522" s="52" t="s">
        <v>60</v>
      </c>
      <c r="E522" s="52" t="str">
        <f t="shared" si="8"/>
        <v>—</v>
      </c>
      <c r="F522" s="51"/>
      <c r="G522" s="152">
        <v>2500000</v>
      </c>
      <c r="H522" s="52" t="s">
        <v>834</v>
      </c>
    </row>
    <row r="523" spans="1:8" ht="21.2" customHeight="1">
      <c r="A523" s="8" t="s">
        <v>719</v>
      </c>
      <c r="B523" s="52" t="s">
        <v>60</v>
      </c>
      <c r="C523" s="149"/>
      <c r="D523" s="52" t="s">
        <v>60</v>
      </c>
      <c r="E523" s="52" t="str">
        <f t="shared" si="8"/>
        <v>—</v>
      </c>
      <c r="F523" s="51"/>
      <c r="G523" s="152">
        <v>900000</v>
      </c>
      <c r="H523" s="52" t="s">
        <v>834</v>
      </c>
    </row>
    <row r="524" spans="1:8" ht="21.2" customHeight="1">
      <c r="A524" s="8" t="s">
        <v>457</v>
      </c>
      <c r="B524" s="52" t="s">
        <v>60</v>
      </c>
      <c r="C524" s="149"/>
      <c r="D524" s="52" t="s">
        <v>60</v>
      </c>
      <c r="E524" s="52" t="str">
        <f t="shared" si="8"/>
        <v>—</v>
      </c>
      <c r="F524" s="51"/>
      <c r="G524" s="152">
        <v>3000000</v>
      </c>
      <c r="H524" s="52" t="s">
        <v>834</v>
      </c>
    </row>
    <row r="525" spans="1:8" ht="21.2" customHeight="1">
      <c r="A525" s="8" t="s">
        <v>604</v>
      </c>
      <c r="B525" s="52" t="s">
        <v>60</v>
      </c>
      <c r="C525" s="149"/>
      <c r="D525" s="52" t="s">
        <v>60</v>
      </c>
      <c r="E525" s="52" t="str">
        <f t="shared" si="8"/>
        <v>—</v>
      </c>
      <c r="F525" s="51"/>
      <c r="G525" s="152">
        <v>800000</v>
      </c>
      <c r="H525" s="52" t="s">
        <v>834</v>
      </c>
    </row>
    <row r="526" spans="1:8" ht="21.2" customHeight="1">
      <c r="A526" s="8" t="s">
        <v>809</v>
      </c>
      <c r="B526" s="52" t="s">
        <v>60</v>
      </c>
      <c r="C526" s="149"/>
      <c r="D526" s="52" t="s">
        <v>60</v>
      </c>
      <c r="E526" s="52" t="str">
        <f t="shared" si="8"/>
        <v>—</v>
      </c>
      <c r="F526" s="51"/>
      <c r="G526" s="152"/>
      <c r="H526" s="52" t="s">
        <v>834</v>
      </c>
    </row>
    <row r="527" spans="1:8" ht="21.2" customHeight="1">
      <c r="A527" s="8" t="s">
        <v>584</v>
      </c>
      <c r="B527" s="52" t="s">
        <v>60</v>
      </c>
      <c r="C527" s="149"/>
      <c r="D527" s="52" t="s">
        <v>60</v>
      </c>
      <c r="E527" s="52" t="str">
        <f t="shared" si="8"/>
        <v>—</v>
      </c>
      <c r="F527" s="51"/>
      <c r="G527" s="152"/>
      <c r="H527" s="52" t="s">
        <v>834</v>
      </c>
    </row>
    <row r="528" spans="1:8" ht="21.2" customHeight="1">
      <c r="A528" s="8" t="s">
        <v>536</v>
      </c>
      <c r="B528" s="52" t="s">
        <v>60</v>
      </c>
      <c r="C528" s="149"/>
      <c r="D528" s="52" t="s">
        <v>60</v>
      </c>
      <c r="E528" s="52" t="str">
        <f t="shared" si="8"/>
        <v>—</v>
      </c>
      <c r="F528" s="51"/>
      <c r="G528" s="152">
        <v>925000</v>
      </c>
      <c r="H528" s="52" t="s">
        <v>834</v>
      </c>
    </row>
    <row r="529" spans="1:8" ht="21.2" customHeight="1">
      <c r="A529" s="8" t="s">
        <v>517</v>
      </c>
      <c r="B529" s="52" t="s">
        <v>60</v>
      </c>
      <c r="C529" s="149"/>
      <c r="D529" s="52" t="s">
        <v>60</v>
      </c>
      <c r="E529" s="52" t="str">
        <f t="shared" si="8"/>
        <v>—</v>
      </c>
      <c r="F529" s="51"/>
      <c r="G529" s="152">
        <v>4000000</v>
      </c>
      <c r="H529" s="52" t="s">
        <v>834</v>
      </c>
    </row>
    <row r="530" spans="1:8" ht="21.2" customHeight="1">
      <c r="A530" s="8" t="s">
        <v>464</v>
      </c>
      <c r="B530" s="52" t="s">
        <v>60</v>
      </c>
      <c r="C530" s="149"/>
      <c r="D530" s="52" t="s">
        <v>60</v>
      </c>
      <c r="E530" s="52" t="str">
        <f t="shared" si="8"/>
        <v>—</v>
      </c>
      <c r="F530" s="51"/>
      <c r="G530" s="152">
        <v>2750000</v>
      </c>
      <c r="H530" s="52" t="s">
        <v>834</v>
      </c>
    </row>
    <row r="531" spans="1:8" ht="21.2" customHeight="1">
      <c r="A531" s="8" t="s">
        <v>424</v>
      </c>
      <c r="B531" s="149">
        <v>176.9</v>
      </c>
      <c r="C531" s="149"/>
      <c r="D531" s="149">
        <v>311.42</v>
      </c>
      <c r="E531" s="149">
        <f t="shared" si="8"/>
        <v>244.16000000000003</v>
      </c>
      <c r="F531" s="51"/>
      <c r="G531" s="152">
        <v>2500000</v>
      </c>
      <c r="H531" s="52" t="s">
        <v>834</v>
      </c>
    </row>
    <row r="532" spans="1:8" ht="21.2" customHeight="1">
      <c r="A532" s="8" t="s">
        <v>765</v>
      </c>
      <c r="B532" s="52" t="s">
        <v>60</v>
      </c>
      <c r="C532" s="149"/>
      <c r="D532" s="52" t="s">
        <v>60</v>
      </c>
      <c r="E532" s="52" t="str">
        <f t="shared" si="8"/>
        <v>—</v>
      </c>
      <c r="F532" s="51"/>
      <c r="G532" s="152">
        <v>775000</v>
      </c>
      <c r="H532" s="52" t="s">
        <v>834</v>
      </c>
    </row>
    <row r="533" spans="1:8" ht="21.2" customHeight="1">
      <c r="A533" s="8" t="s">
        <v>495</v>
      </c>
      <c r="B533" s="52" t="s">
        <v>60</v>
      </c>
      <c r="C533" s="149"/>
      <c r="D533" s="52" t="s">
        <v>60</v>
      </c>
      <c r="E533" s="52" t="str">
        <f t="shared" si="8"/>
        <v>—</v>
      </c>
      <c r="F533" s="51"/>
      <c r="G533" s="152">
        <v>925000</v>
      </c>
      <c r="H533" s="52" t="s">
        <v>834</v>
      </c>
    </row>
    <row r="534" spans="1:8" ht="21.2" customHeight="1">
      <c r="A534" s="8" t="s">
        <v>814</v>
      </c>
      <c r="B534" s="52" t="s">
        <v>60</v>
      </c>
      <c r="C534" s="149"/>
      <c r="D534" s="52" t="s">
        <v>60</v>
      </c>
      <c r="E534" s="52" t="str">
        <f t="shared" si="8"/>
        <v>—</v>
      </c>
      <c r="F534" s="51"/>
      <c r="G534" s="152"/>
      <c r="H534" s="52" t="s">
        <v>834</v>
      </c>
    </row>
    <row r="535" spans="1:8" ht="21.2" customHeight="1">
      <c r="A535" s="8" t="s">
        <v>552</v>
      </c>
      <c r="B535" s="52" t="s">
        <v>60</v>
      </c>
      <c r="C535" s="149"/>
      <c r="D535" s="52" t="s">
        <v>60</v>
      </c>
      <c r="E535" s="52" t="str">
        <f t="shared" si="8"/>
        <v>—</v>
      </c>
      <c r="F535" s="51"/>
      <c r="G535" s="152">
        <v>2700000</v>
      </c>
      <c r="H535" s="52" t="s">
        <v>834</v>
      </c>
    </row>
    <row r="536" spans="1:8" ht="21.2" customHeight="1">
      <c r="A536" s="8" t="s">
        <v>798</v>
      </c>
      <c r="B536" s="52" t="s">
        <v>60</v>
      </c>
      <c r="C536" s="149"/>
      <c r="D536" s="52" t="s">
        <v>60</v>
      </c>
      <c r="E536" s="52" t="str">
        <f t="shared" si="8"/>
        <v>—</v>
      </c>
      <c r="F536" s="51"/>
      <c r="G536" s="152">
        <v>0</v>
      </c>
      <c r="H536" s="52" t="s">
        <v>834</v>
      </c>
    </row>
    <row r="537" spans="1:8" ht="21.2" customHeight="1">
      <c r="A537" s="8" t="s">
        <v>505</v>
      </c>
      <c r="B537" s="52" t="s">
        <v>60</v>
      </c>
      <c r="C537" s="149"/>
      <c r="D537" s="52" t="s">
        <v>60</v>
      </c>
      <c r="E537" s="52" t="str">
        <f t="shared" si="8"/>
        <v>—</v>
      </c>
      <c r="F537" s="51"/>
      <c r="G537" s="152">
        <v>3150000</v>
      </c>
      <c r="H537" s="52" t="s">
        <v>834</v>
      </c>
    </row>
    <row r="538" spans="1:8" ht="21.2" customHeight="1">
      <c r="A538" s="8" t="s">
        <v>782</v>
      </c>
      <c r="B538" s="52" t="s">
        <v>60</v>
      </c>
      <c r="C538" s="149"/>
      <c r="D538" s="52" t="s">
        <v>60</v>
      </c>
      <c r="E538" s="52" t="str">
        <f t="shared" si="8"/>
        <v>—</v>
      </c>
      <c r="F538" s="51"/>
      <c r="G538" s="152"/>
      <c r="H538" s="52" t="s">
        <v>834</v>
      </c>
    </row>
    <row r="539" spans="1:8" ht="21.2" customHeight="1">
      <c r="A539" s="8" t="s">
        <v>755</v>
      </c>
      <c r="B539" s="52" t="s">
        <v>60</v>
      </c>
      <c r="C539" s="149"/>
      <c r="D539" s="52" t="s">
        <v>60</v>
      </c>
      <c r="E539" s="52" t="str">
        <f t="shared" si="8"/>
        <v>—</v>
      </c>
      <c r="F539" s="51"/>
      <c r="G539" s="152">
        <v>800000</v>
      </c>
      <c r="H539" s="52" t="s">
        <v>834</v>
      </c>
    </row>
    <row r="540" spans="1:8" ht="21.2" customHeight="1">
      <c r="A540" s="8" t="s">
        <v>758</v>
      </c>
      <c r="B540" s="52" t="s">
        <v>60</v>
      </c>
      <c r="C540" s="149"/>
      <c r="D540" s="52" t="s">
        <v>60</v>
      </c>
      <c r="E540" s="52" t="str">
        <f t="shared" si="8"/>
        <v>—</v>
      </c>
      <c r="F540" s="51"/>
      <c r="G540" s="152">
        <v>762500</v>
      </c>
      <c r="H540" s="52" t="s">
        <v>834</v>
      </c>
    </row>
    <row r="541" spans="1:8" ht="21.2" customHeight="1">
      <c r="A541" s="8" t="s">
        <v>432</v>
      </c>
      <c r="B541" s="52" t="s">
        <v>60</v>
      </c>
      <c r="C541" s="149"/>
      <c r="D541" s="52" t="s">
        <v>60</v>
      </c>
      <c r="E541" s="52" t="str">
        <f t="shared" si="8"/>
        <v>—</v>
      </c>
      <c r="F541" s="51"/>
      <c r="G541" s="152">
        <v>4750000</v>
      </c>
      <c r="H541" s="52" t="s">
        <v>834</v>
      </c>
    </row>
    <row r="542" spans="1:8" ht="21.2" customHeight="1">
      <c r="A542" s="8" t="s">
        <v>698</v>
      </c>
      <c r="B542" s="52" t="s">
        <v>60</v>
      </c>
      <c r="C542" s="149"/>
      <c r="D542" s="52" t="s">
        <v>60</v>
      </c>
      <c r="E542" s="52" t="str">
        <f t="shared" si="8"/>
        <v>—</v>
      </c>
      <c r="F542" s="51"/>
      <c r="G542" s="152">
        <v>800000</v>
      </c>
      <c r="H542" s="52" t="s">
        <v>834</v>
      </c>
    </row>
    <row r="543" spans="1:8" ht="21.2" customHeight="1">
      <c r="A543" s="8" t="s">
        <v>451</v>
      </c>
      <c r="B543" s="52" t="s">
        <v>60</v>
      </c>
      <c r="C543" s="149"/>
      <c r="D543" s="52" t="s">
        <v>60</v>
      </c>
      <c r="E543" s="52" t="str">
        <f t="shared" si="8"/>
        <v>—</v>
      </c>
      <c r="F543" s="51"/>
      <c r="G543" s="152">
        <v>2500000</v>
      </c>
      <c r="H543" s="52" t="s">
        <v>834</v>
      </c>
    </row>
    <row r="544" spans="1:8" ht="21.2" customHeight="1">
      <c r="A544" s="8" t="s">
        <v>790</v>
      </c>
      <c r="B544" s="52" t="s">
        <v>60</v>
      </c>
      <c r="C544" s="149"/>
      <c r="D544" s="52" t="s">
        <v>60</v>
      </c>
      <c r="E544" s="52" t="str">
        <f t="shared" si="8"/>
        <v>—</v>
      </c>
      <c r="F544" s="51"/>
      <c r="G544" s="152">
        <v>762500</v>
      </c>
      <c r="H544" s="52" t="s">
        <v>834</v>
      </c>
    </row>
    <row r="545" spans="1:8" ht="21.2" customHeight="1">
      <c r="A545" s="8" t="s">
        <v>540</v>
      </c>
      <c r="B545" s="52" t="s">
        <v>60</v>
      </c>
      <c r="C545" s="149"/>
      <c r="D545" s="52" t="s">
        <v>60</v>
      </c>
      <c r="E545" s="52" t="str">
        <f t="shared" si="8"/>
        <v>—</v>
      </c>
      <c r="F545" s="51"/>
      <c r="G545" s="152">
        <v>1750000</v>
      </c>
      <c r="H545" s="52" t="s">
        <v>834</v>
      </c>
    </row>
    <row r="546" spans="1:8" ht="21.2" customHeight="1">
      <c r="A546" s="8" t="s">
        <v>736</v>
      </c>
      <c r="B546" s="52" t="s">
        <v>60</v>
      </c>
      <c r="C546" s="149"/>
      <c r="D546" s="52" t="s">
        <v>60</v>
      </c>
      <c r="E546" s="52" t="str">
        <f t="shared" si="8"/>
        <v>—</v>
      </c>
      <c r="F546" s="51"/>
      <c r="G546" s="152">
        <v>800000</v>
      </c>
      <c r="H546" s="52" t="s">
        <v>834</v>
      </c>
    </row>
    <row r="547" spans="1:8" ht="21.2" customHeight="1">
      <c r="A547" s="8" t="s">
        <v>740</v>
      </c>
      <c r="B547" s="52" t="s">
        <v>60</v>
      </c>
      <c r="C547" s="149"/>
      <c r="D547" s="52" t="s">
        <v>60</v>
      </c>
      <c r="E547" s="52" t="str">
        <f t="shared" si="8"/>
        <v>—</v>
      </c>
      <c r="F547" s="51"/>
      <c r="G547" s="152">
        <v>2500000</v>
      </c>
      <c r="H547" s="52" t="s">
        <v>834</v>
      </c>
    </row>
    <row r="548" spans="1:8" ht="21.2" customHeight="1">
      <c r="A548" s="8" t="s">
        <v>759</v>
      </c>
      <c r="B548" s="52" t="s">
        <v>60</v>
      </c>
      <c r="C548" s="149"/>
      <c r="D548" s="52" t="s">
        <v>60</v>
      </c>
      <c r="E548" s="52" t="str">
        <f t="shared" si="8"/>
        <v>—</v>
      </c>
      <c r="F548" s="51"/>
      <c r="G548" s="152">
        <v>1000000</v>
      </c>
      <c r="H548" s="52" t="s">
        <v>834</v>
      </c>
    </row>
    <row r="549" spans="1:8" ht="21.2" customHeight="1">
      <c r="A549" s="8" t="s">
        <v>720</v>
      </c>
      <c r="B549" s="52" t="s">
        <v>60</v>
      </c>
      <c r="C549" s="149"/>
      <c r="D549" s="52" t="s">
        <v>60</v>
      </c>
      <c r="E549" s="52" t="str">
        <f t="shared" si="8"/>
        <v>—</v>
      </c>
      <c r="F549" s="51"/>
      <c r="G549" s="152">
        <v>1100000</v>
      </c>
      <c r="H549" s="52" t="s">
        <v>834</v>
      </c>
    </row>
    <row r="550" spans="1:8" ht="21.2" customHeight="1">
      <c r="A550" s="8" t="s">
        <v>589</v>
      </c>
      <c r="B550" s="52" t="s">
        <v>60</v>
      </c>
      <c r="C550" s="149"/>
      <c r="D550" s="52" t="s">
        <v>60</v>
      </c>
      <c r="E550" s="52" t="str">
        <f t="shared" si="8"/>
        <v>—</v>
      </c>
      <c r="F550" s="51"/>
      <c r="G550" s="152"/>
      <c r="H550" s="52" t="s">
        <v>834</v>
      </c>
    </row>
    <row r="551" spans="1:8" ht="21.2" customHeight="1">
      <c r="A551" s="8" t="s">
        <v>752</v>
      </c>
      <c r="B551" s="52" t="s">
        <v>60</v>
      </c>
      <c r="C551" s="149"/>
      <c r="D551" s="52" t="s">
        <v>60</v>
      </c>
      <c r="E551" s="52" t="str">
        <f t="shared" si="8"/>
        <v>—</v>
      </c>
      <c r="F551" s="51"/>
      <c r="G551" s="152">
        <v>3250000</v>
      </c>
      <c r="H551" s="52" t="s">
        <v>834</v>
      </c>
    </row>
    <row r="552" spans="1:8" ht="21.2" customHeight="1">
      <c r="A552" s="8" t="s">
        <v>778</v>
      </c>
      <c r="B552" s="52" t="s">
        <v>60</v>
      </c>
      <c r="C552" s="149"/>
      <c r="D552" s="52" t="s">
        <v>60</v>
      </c>
      <c r="E552" s="52" t="str">
        <f t="shared" si="8"/>
        <v>—</v>
      </c>
      <c r="F552" s="51"/>
      <c r="G552" s="152">
        <v>925000</v>
      </c>
      <c r="H552" s="52" t="s">
        <v>834</v>
      </c>
    </row>
    <row r="553" spans="1:8" ht="21.2" customHeight="1">
      <c r="A553" s="8" t="s">
        <v>784</v>
      </c>
      <c r="B553" s="52" t="s">
        <v>60</v>
      </c>
      <c r="C553" s="149"/>
      <c r="D553" s="52" t="s">
        <v>60</v>
      </c>
      <c r="E553" s="52" t="str">
        <f t="shared" si="8"/>
        <v>—</v>
      </c>
      <c r="F553" s="149"/>
      <c r="G553" s="152">
        <v>800000</v>
      </c>
      <c r="H553" s="52" t="s">
        <v>834</v>
      </c>
    </row>
    <row r="554" spans="1:8" ht="21.2" customHeight="1">
      <c r="A554" s="8" t="s">
        <v>806</v>
      </c>
      <c r="B554" s="52" t="s">
        <v>60</v>
      </c>
      <c r="C554" s="149"/>
      <c r="D554" s="52" t="s">
        <v>60</v>
      </c>
      <c r="E554" s="52" t="str">
        <f t="shared" si="8"/>
        <v>—</v>
      </c>
      <c r="F554" s="51"/>
      <c r="G554" s="152"/>
      <c r="H554" s="52" t="s">
        <v>834</v>
      </c>
    </row>
    <row r="555" spans="1:8" ht="21.2" customHeight="1">
      <c r="A555" s="8" t="s">
        <v>767</v>
      </c>
      <c r="B555" s="52" t="s">
        <v>60</v>
      </c>
      <c r="C555" s="149"/>
      <c r="D555" s="52" t="s">
        <v>60</v>
      </c>
      <c r="E555" s="52" t="str">
        <f t="shared" si="8"/>
        <v>—</v>
      </c>
      <c r="F555" s="51"/>
      <c r="G555" s="152">
        <v>900000</v>
      </c>
      <c r="H555" s="52" t="s">
        <v>834</v>
      </c>
    </row>
    <row r="556" spans="1:8" ht="21.2" customHeight="1">
      <c r="A556" s="8" t="s">
        <v>475</v>
      </c>
      <c r="B556" s="52" t="s">
        <v>60</v>
      </c>
      <c r="C556" s="149"/>
      <c r="D556" s="52" t="s">
        <v>60</v>
      </c>
      <c r="E556" s="52" t="str">
        <f t="shared" si="8"/>
        <v>—</v>
      </c>
      <c r="F556" s="51"/>
      <c r="G556" s="152">
        <v>3500000</v>
      </c>
      <c r="H556" s="52" t="s">
        <v>834</v>
      </c>
    </row>
    <row r="557" spans="1:8" ht="21.2" customHeight="1">
      <c r="A557" s="8" t="s">
        <v>795</v>
      </c>
      <c r="B557" s="52" t="s">
        <v>60</v>
      </c>
      <c r="C557" s="149"/>
      <c r="D557" s="52" t="s">
        <v>60</v>
      </c>
      <c r="E557" s="52" t="str">
        <f t="shared" si="8"/>
        <v>—</v>
      </c>
      <c r="F557" s="51"/>
      <c r="G557" s="152">
        <v>0</v>
      </c>
      <c r="H557" s="52" t="s">
        <v>834</v>
      </c>
    </row>
    <row r="558" spans="1:8" ht="21.2" customHeight="1">
      <c r="A558" s="8" t="s">
        <v>762</v>
      </c>
      <c r="B558" s="52" t="s">
        <v>60</v>
      </c>
      <c r="C558" s="149"/>
      <c r="D558" s="52" t="s">
        <v>60</v>
      </c>
      <c r="E558" s="52" t="str">
        <f t="shared" si="8"/>
        <v>—</v>
      </c>
      <c r="F558" s="51"/>
      <c r="G558" s="152">
        <v>1050000</v>
      </c>
      <c r="H558" s="52" t="s">
        <v>834</v>
      </c>
    </row>
    <row r="559" spans="1:8" ht="21.2" customHeight="1">
      <c r="A559" s="8" t="s">
        <v>518</v>
      </c>
      <c r="B559" s="52" t="s">
        <v>60</v>
      </c>
      <c r="C559" s="149"/>
      <c r="D559" s="52" t="s">
        <v>60</v>
      </c>
      <c r="E559" s="52" t="str">
        <f t="shared" si="8"/>
        <v>—</v>
      </c>
      <c r="F559" s="51"/>
      <c r="G559" s="152">
        <v>2000000</v>
      </c>
      <c r="H559" s="52" t="s">
        <v>834</v>
      </c>
    </row>
    <row r="560" spans="1:8" ht="21.2" customHeight="1">
      <c r="A560" s="8" t="s">
        <v>507</v>
      </c>
      <c r="B560" s="52" t="s">
        <v>60</v>
      </c>
      <c r="C560" s="149"/>
      <c r="D560" s="52" t="s">
        <v>60</v>
      </c>
      <c r="E560" s="52" t="str">
        <f t="shared" si="8"/>
        <v>—</v>
      </c>
      <c r="F560" s="51"/>
      <c r="G560" s="152">
        <v>1000000</v>
      </c>
      <c r="H560" s="52" t="s">
        <v>834</v>
      </c>
    </row>
    <row r="561" spans="1:8" ht="21.2" customHeight="1">
      <c r="A561" s="8" t="s">
        <v>494</v>
      </c>
      <c r="B561" s="52" t="s">
        <v>60</v>
      </c>
      <c r="C561" s="149"/>
      <c r="D561" s="52" t="s">
        <v>60</v>
      </c>
      <c r="E561" s="52" t="str">
        <f t="shared" si="8"/>
        <v>—</v>
      </c>
      <c r="F561" s="51"/>
      <c r="G561" s="152">
        <v>3650000</v>
      </c>
      <c r="H561" s="52" t="s">
        <v>834</v>
      </c>
    </row>
    <row r="562" spans="1:8" ht="21.2" customHeight="1">
      <c r="A562" s="8" t="s">
        <v>465</v>
      </c>
      <c r="B562" s="52" t="s">
        <v>60</v>
      </c>
      <c r="C562" s="149"/>
      <c r="D562" s="52" t="s">
        <v>60</v>
      </c>
      <c r="E562" s="52" t="str">
        <f t="shared" si="8"/>
        <v>—</v>
      </c>
      <c r="F562" s="51"/>
      <c r="G562" s="152">
        <v>3000000</v>
      </c>
      <c r="H562" s="52" t="s">
        <v>834</v>
      </c>
    </row>
    <row r="563" spans="1:8" ht="21.2" customHeight="1">
      <c r="A563" s="8" t="s">
        <v>639</v>
      </c>
      <c r="B563" s="52" t="s">
        <v>60</v>
      </c>
      <c r="C563" s="149"/>
      <c r="D563" s="52" t="s">
        <v>60</v>
      </c>
      <c r="E563" s="52" t="str">
        <f t="shared" si="8"/>
        <v>—</v>
      </c>
      <c r="F563" s="51"/>
      <c r="G563" s="152">
        <v>812500</v>
      </c>
      <c r="H563" s="52" t="s">
        <v>834</v>
      </c>
    </row>
    <row r="564" spans="1:8" ht="21.2" customHeight="1">
      <c r="A564" s="8" t="s">
        <v>734</v>
      </c>
      <c r="B564" s="52" t="s">
        <v>60</v>
      </c>
      <c r="C564" s="149"/>
      <c r="D564" s="52" t="s">
        <v>60</v>
      </c>
      <c r="E564" s="52" t="str">
        <f t="shared" si="8"/>
        <v>—</v>
      </c>
      <c r="F564" s="51"/>
      <c r="G564" s="152">
        <v>1880000</v>
      </c>
      <c r="H564" s="52" t="s">
        <v>834</v>
      </c>
    </row>
    <row r="565" spans="1:8" ht="21.2" customHeight="1">
      <c r="A565" s="8" t="s">
        <v>500</v>
      </c>
      <c r="B565" s="52" t="s">
        <v>60</v>
      </c>
      <c r="C565" s="149"/>
      <c r="D565" s="52" t="s">
        <v>60</v>
      </c>
      <c r="E565" s="52" t="str">
        <f t="shared" si="8"/>
        <v>—</v>
      </c>
      <c r="F565" s="51"/>
      <c r="G565" s="152">
        <v>2450000</v>
      </c>
      <c r="H565" s="52" t="s">
        <v>834</v>
      </c>
    </row>
    <row r="566" spans="1:8" ht="21.2" customHeight="1">
      <c r="A566" s="8" t="s">
        <v>791</v>
      </c>
      <c r="B566" s="52" t="s">
        <v>60</v>
      </c>
      <c r="C566" s="149"/>
      <c r="D566" s="52" t="s">
        <v>60</v>
      </c>
      <c r="E566" s="52" t="str">
        <f t="shared" si="8"/>
        <v>—</v>
      </c>
      <c r="F566" s="51"/>
      <c r="G566" s="152">
        <v>775000</v>
      </c>
      <c r="H566" s="52" t="s">
        <v>834</v>
      </c>
    </row>
    <row r="567" spans="1:8" ht="21.2" customHeight="1">
      <c r="A567" s="8" t="s">
        <v>533</v>
      </c>
      <c r="B567" s="52" t="s">
        <v>60</v>
      </c>
      <c r="C567" s="149"/>
      <c r="D567" s="52" t="s">
        <v>60</v>
      </c>
      <c r="E567" s="52" t="str">
        <f t="shared" si="8"/>
        <v>—</v>
      </c>
      <c r="F567" s="51"/>
      <c r="G567" s="152">
        <v>766667</v>
      </c>
      <c r="H567" s="52" t="s">
        <v>834</v>
      </c>
    </row>
    <row r="568" spans="1:8" ht="21.2" customHeight="1">
      <c r="A568" s="8" t="s">
        <v>563</v>
      </c>
      <c r="B568" s="52" t="s">
        <v>60</v>
      </c>
      <c r="C568" s="149"/>
      <c r="D568" s="52" t="s">
        <v>60</v>
      </c>
      <c r="E568" s="52" t="str">
        <f t="shared" si="8"/>
        <v>—</v>
      </c>
      <c r="F568" s="51"/>
      <c r="G568" s="152">
        <v>1100000</v>
      </c>
      <c r="H568" s="52" t="s">
        <v>834</v>
      </c>
    </row>
    <row r="569" spans="1:8" ht="21.2" customHeight="1">
      <c r="A569" s="8" t="s">
        <v>764</v>
      </c>
      <c r="B569" s="52" t="s">
        <v>60</v>
      </c>
      <c r="C569" s="149"/>
      <c r="D569" s="52" t="s">
        <v>60</v>
      </c>
      <c r="E569" s="52" t="str">
        <f t="shared" si="8"/>
        <v>—</v>
      </c>
      <c r="F569" s="51"/>
      <c r="G569" s="152">
        <v>775000</v>
      </c>
      <c r="H569" s="52" t="s">
        <v>834</v>
      </c>
    </row>
    <row r="570" spans="1:8" ht="21.2" customHeight="1">
      <c r="A570" s="8" t="s">
        <v>483</v>
      </c>
      <c r="B570" s="52" t="s">
        <v>60</v>
      </c>
      <c r="C570" s="149"/>
      <c r="D570" s="52" t="s">
        <v>60</v>
      </c>
      <c r="E570" s="52" t="str">
        <f t="shared" si="8"/>
        <v>—</v>
      </c>
      <c r="F570" s="51"/>
      <c r="G570" s="152">
        <v>3250000</v>
      </c>
      <c r="H570" s="52" t="s">
        <v>834</v>
      </c>
    </row>
    <row r="571" spans="1:8" ht="21.2" customHeight="1">
      <c r="A571" s="8" t="s">
        <v>452</v>
      </c>
      <c r="B571" s="52" t="s">
        <v>60</v>
      </c>
      <c r="C571" s="149"/>
      <c r="D571" s="149">
        <v>1224.5999999999999</v>
      </c>
      <c r="E571" s="149">
        <f t="shared" si="8"/>
        <v>1224.5999999999999</v>
      </c>
      <c r="F571" s="51"/>
      <c r="G571" s="152">
        <v>1100000</v>
      </c>
      <c r="H571" s="52" t="s">
        <v>834</v>
      </c>
    </row>
    <row r="572" spans="1:8" ht="21.2" customHeight="1">
      <c r="A572" s="8" t="s">
        <v>799</v>
      </c>
      <c r="B572" s="52" t="s">
        <v>60</v>
      </c>
      <c r="C572" s="149"/>
      <c r="D572" s="52" t="s">
        <v>60</v>
      </c>
      <c r="E572" s="52" t="str">
        <f t="shared" si="8"/>
        <v>—</v>
      </c>
      <c r="F572" s="51"/>
      <c r="G572" s="152"/>
      <c r="H572" s="52" t="s">
        <v>834</v>
      </c>
    </row>
    <row r="573" spans="1:8" ht="21.2" customHeight="1">
      <c r="A573" s="8" t="s">
        <v>620</v>
      </c>
      <c r="B573" s="52" t="s">
        <v>60</v>
      </c>
      <c r="C573" s="149"/>
      <c r="D573" s="52" t="s">
        <v>60</v>
      </c>
      <c r="E573" s="52" t="str">
        <f t="shared" si="8"/>
        <v>—</v>
      </c>
      <c r="F573" s="51"/>
      <c r="G573" s="152"/>
      <c r="H573" s="52" t="s">
        <v>834</v>
      </c>
    </row>
    <row r="574" spans="1:8" ht="21.2" customHeight="1">
      <c r="A574" s="8" t="s">
        <v>534</v>
      </c>
      <c r="B574" s="52" t="s">
        <v>60</v>
      </c>
      <c r="C574" s="149"/>
      <c r="D574" s="52" t="s">
        <v>60</v>
      </c>
      <c r="E574" s="52" t="str">
        <f t="shared" si="8"/>
        <v>—</v>
      </c>
      <c r="F574" s="149"/>
      <c r="G574" s="152">
        <v>1400000</v>
      </c>
      <c r="H574" s="52" t="s">
        <v>834</v>
      </c>
    </row>
    <row r="575" spans="1:8" ht="21.2" customHeight="1">
      <c r="A575" s="8" t="s">
        <v>496</v>
      </c>
      <c r="B575" s="52" t="s">
        <v>60</v>
      </c>
      <c r="C575" s="149"/>
      <c r="D575" s="52" t="s">
        <v>60</v>
      </c>
      <c r="E575" s="52" t="str">
        <f t="shared" si="8"/>
        <v>—</v>
      </c>
      <c r="F575" s="51"/>
      <c r="G575" s="152">
        <v>2750000</v>
      </c>
      <c r="H575" s="52" t="s">
        <v>834</v>
      </c>
    </row>
    <row r="576" spans="1:8" ht="21.2" customHeight="1">
      <c r="A576" s="8" t="s">
        <v>569</v>
      </c>
      <c r="B576" s="52" t="s">
        <v>60</v>
      </c>
      <c r="C576" s="149"/>
      <c r="D576" s="52" t="s">
        <v>60</v>
      </c>
      <c r="E576" s="52" t="str">
        <f t="shared" si="8"/>
        <v>—</v>
      </c>
      <c r="F576" s="51"/>
      <c r="G576" s="152">
        <v>2500000</v>
      </c>
      <c r="H576" s="52" t="s">
        <v>834</v>
      </c>
    </row>
    <row r="577" spans="1:8" ht="21.2" customHeight="1">
      <c r="A577" s="8" t="s">
        <v>556</v>
      </c>
      <c r="B577" s="52" t="s">
        <v>60</v>
      </c>
      <c r="C577" s="149"/>
      <c r="D577" s="52" t="s">
        <v>60</v>
      </c>
      <c r="E577" s="52" t="str">
        <f t="shared" si="8"/>
        <v>—</v>
      </c>
      <c r="F577" s="51"/>
      <c r="G577" s="152">
        <v>850000</v>
      </c>
      <c r="H577" s="52" t="s">
        <v>834</v>
      </c>
    </row>
    <row r="578" spans="1:8" ht="21.2" customHeight="1">
      <c r="A578" s="8" t="s">
        <v>470</v>
      </c>
      <c r="B578" s="52" t="s">
        <v>60</v>
      </c>
      <c r="C578" s="149"/>
      <c r="D578" s="52" t="s">
        <v>60</v>
      </c>
      <c r="E578" s="52" t="str">
        <f t="shared" ref="E578:E641" si="9">IFERROR(AVERAGE(B578:D578),"—")</f>
        <v>—</v>
      </c>
      <c r="F578" s="51"/>
      <c r="G578" s="152">
        <v>4000000</v>
      </c>
      <c r="H578" s="52" t="s">
        <v>834</v>
      </c>
    </row>
    <row r="579" spans="1:8" ht="21.2" customHeight="1">
      <c r="A579" s="8" t="s">
        <v>497</v>
      </c>
      <c r="B579" s="149">
        <v>152.1</v>
      </c>
      <c r="C579" s="149"/>
      <c r="D579" s="52" t="s">
        <v>60</v>
      </c>
      <c r="E579" s="149">
        <f t="shared" si="9"/>
        <v>152.1</v>
      </c>
      <c r="F579" s="51"/>
      <c r="G579" s="152">
        <v>4100000</v>
      </c>
      <c r="H579" s="52" t="s">
        <v>834</v>
      </c>
    </row>
    <row r="580" spans="1:8" ht="21.2" customHeight="1">
      <c r="A580" s="8" t="s">
        <v>520</v>
      </c>
      <c r="B580" s="52" t="s">
        <v>60</v>
      </c>
      <c r="C580" s="149"/>
      <c r="D580" s="52" t="s">
        <v>60</v>
      </c>
      <c r="E580" s="52" t="str">
        <f t="shared" si="9"/>
        <v>—</v>
      </c>
      <c r="F580" s="51"/>
      <c r="G580" s="152">
        <v>1100000</v>
      </c>
      <c r="H580" s="52" t="s">
        <v>834</v>
      </c>
    </row>
    <row r="581" spans="1:8" ht="21.2" customHeight="1">
      <c r="A581" s="8" t="s">
        <v>774</v>
      </c>
      <c r="B581" s="52" t="s">
        <v>60</v>
      </c>
      <c r="C581" s="149"/>
      <c r="D581" s="52" t="s">
        <v>60</v>
      </c>
      <c r="E581" s="52" t="str">
        <f t="shared" si="9"/>
        <v>—</v>
      </c>
      <c r="F581" s="51"/>
      <c r="G581" s="152">
        <v>787500</v>
      </c>
      <c r="H581" s="52" t="s">
        <v>834</v>
      </c>
    </row>
    <row r="582" spans="1:8" ht="21.2" customHeight="1">
      <c r="A582" s="8" t="s">
        <v>550</v>
      </c>
      <c r="B582" s="52" t="s">
        <v>60</v>
      </c>
      <c r="C582" s="149"/>
      <c r="D582" s="52" t="s">
        <v>60</v>
      </c>
      <c r="E582" s="52" t="str">
        <f t="shared" si="9"/>
        <v>—</v>
      </c>
      <c r="F582" s="51"/>
      <c r="G582" s="152">
        <v>775000</v>
      </c>
      <c r="H582" s="52" t="s">
        <v>834</v>
      </c>
    </row>
    <row r="583" spans="1:8" ht="21.2" customHeight="1">
      <c r="A583" s="8" t="s">
        <v>751</v>
      </c>
      <c r="B583" s="52" t="s">
        <v>60</v>
      </c>
      <c r="C583" s="149"/>
      <c r="D583" s="52" t="s">
        <v>60</v>
      </c>
      <c r="E583" s="52" t="str">
        <f t="shared" si="9"/>
        <v>—</v>
      </c>
      <c r="F583" s="51"/>
      <c r="G583" s="152">
        <v>1750000</v>
      </c>
      <c r="H583" s="52" t="s">
        <v>834</v>
      </c>
    </row>
    <row r="584" spans="1:8" ht="21.2" customHeight="1">
      <c r="A584" s="8" t="s">
        <v>801</v>
      </c>
      <c r="B584" s="52" t="s">
        <v>60</v>
      </c>
      <c r="C584" s="149"/>
      <c r="D584" s="52" t="s">
        <v>60</v>
      </c>
      <c r="E584" s="52" t="str">
        <f t="shared" si="9"/>
        <v>—</v>
      </c>
      <c r="F584" s="51"/>
      <c r="G584" s="152">
        <v>850000</v>
      </c>
      <c r="H584" s="52" t="s">
        <v>834</v>
      </c>
    </row>
    <row r="585" spans="1:8" ht="21.2" customHeight="1">
      <c r="A585" s="8" t="s">
        <v>586</v>
      </c>
      <c r="B585" s="52" t="s">
        <v>60</v>
      </c>
      <c r="C585" s="149"/>
      <c r="D585" s="52" t="s">
        <v>60</v>
      </c>
      <c r="E585" s="52" t="str">
        <f t="shared" si="9"/>
        <v>—</v>
      </c>
      <c r="F585" s="51"/>
      <c r="G585" s="152"/>
      <c r="H585" s="52" t="s">
        <v>834</v>
      </c>
    </row>
    <row r="586" spans="1:8" ht="21.2" customHeight="1">
      <c r="A586" s="8" t="s">
        <v>521</v>
      </c>
      <c r="B586" s="52" t="s">
        <v>60</v>
      </c>
      <c r="C586" s="149"/>
      <c r="D586" s="52" t="s">
        <v>60</v>
      </c>
      <c r="E586" s="52" t="str">
        <f t="shared" si="9"/>
        <v>—</v>
      </c>
      <c r="F586" s="51"/>
      <c r="G586" s="152">
        <v>7000000</v>
      </c>
      <c r="H586" s="52" t="s">
        <v>834</v>
      </c>
    </row>
    <row r="587" spans="1:8" ht="21.2" customHeight="1">
      <c r="A587" s="8" t="s">
        <v>624</v>
      </c>
      <c r="B587" s="52" t="s">
        <v>60</v>
      </c>
      <c r="C587" s="149"/>
      <c r="D587" s="52" t="s">
        <v>60</v>
      </c>
      <c r="E587" s="52" t="str">
        <f t="shared" si="9"/>
        <v>—</v>
      </c>
      <c r="F587" s="51"/>
      <c r="G587" s="152"/>
      <c r="H587" s="52" t="s">
        <v>834</v>
      </c>
    </row>
    <row r="588" spans="1:8" ht="21.2" customHeight="1">
      <c r="A588" s="8" t="s">
        <v>804</v>
      </c>
      <c r="B588" s="52" t="s">
        <v>60</v>
      </c>
      <c r="C588" s="149"/>
      <c r="D588" s="52" t="s">
        <v>60</v>
      </c>
      <c r="E588" s="52" t="str">
        <f t="shared" si="9"/>
        <v>—</v>
      </c>
      <c r="F588" s="51"/>
      <c r="G588" s="152">
        <v>835000</v>
      </c>
      <c r="H588" s="52" t="s">
        <v>834</v>
      </c>
    </row>
    <row r="589" spans="1:8" ht="21.2" customHeight="1">
      <c r="A589" s="8" t="s">
        <v>539</v>
      </c>
      <c r="B589" s="149">
        <v>147.19999999999999</v>
      </c>
      <c r="C589" s="149"/>
      <c r="D589" s="52" t="s">
        <v>60</v>
      </c>
      <c r="E589" s="149">
        <f t="shared" si="9"/>
        <v>147.19999999999999</v>
      </c>
      <c r="F589" s="51"/>
      <c r="G589" s="152">
        <v>3000000</v>
      </c>
      <c r="H589" s="52" t="s">
        <v>834</v>
      </c>
    </row>
    <row r="590" spans="1:8" ht="21.2" customHeight="1">
      <c r="A590" s="8" t="s">
        <v>487</v>
      </c>
      <c r="B590" s="52" t="s">
        <v>60</v>
      </c>
      <c r="C590" s="149"/>
      <c r="D590" s="52" t="s">
        <v>60</v>
      </c>
      <c r="E590" s="52" t="str">
        <f t="shared" si="9"/>
        <v>—</v>
      </c>
      <c r="F590" s="51"/>
      <c r="G590" s="152">
        <v>6000000</v>
      </c>
      <c r="H590" s="52" t="s">
        <v>834</v>
      </c>
    </row>
    <row r="591" spans="1:8" ht="21.2" customHeight="1">
      <c r="A591" s="8" t="s">
        <v>565</v>
      </c>
      <c r="B591" s="52" t="s">
        <v>60</v>
      </c>
      <c r="C591" s="149"/>
      <c r="D591" s="52" t="s">
        <v>60</v>
      </c>
      <c r="E591" s="52" t="str">
        <f t="shared" si="9"/>
        <v>—</v>
      </c>
      <c r="F591" s="51"/>
      <c r="G591" s="152">
        <v>3000000</v>
      </c>
      <c r="H591" s="52" t="s">
        <v>834</v>
      </c>
    </row>
    <row r="592" spans="1:8" ht="21.2" customHeight="1">
      <c r="A592" s="8" t="s">
        <v>542</v>
      </c>
      <c r="B592" s="52" t="s">
        <v>60</v>
      </c>
      <c r="C592" s="149"/>
      <c r="D592" s="52" t="s">
        <v>60</v>
      </c>
      <c r="E592" s="52" t="str">
        <f t="shared" si="9"/>
        <v>—</v>
      </c>
      <c r="F592" s="51"/>
      <c r="G592" s="152">
        <v>828333</v>
      </c>
      <c r="H592" s="52" t="s">
        <v>834</v>
      </c>
    </row>
    <row r="593" spans="1:8" ht="21.2" customHeight="1">
      <c r="A593" s="8" t="s">
        <v>777</v>
      </c>
      <c r="B593" s="52" t="s">
        <v>60</v>
      </c>
      <c r="C593" s="149"/>
      <c r="D593" s="52" t="s">
        <v>60</v>
      </c>
      <c r="E593" s="52" t="str">
        <f t="shared" si="9"/>
        <v>—</v>
      </c>
      <c r="F593" s="51"/>
      <c r="G593" s="152">
        <v>1100000</v>
      </c>
      <c r="H593" s="52" t="s">
        <v>834</v>
      </c>
    </row>
    <row r="594" spans="1:8" ht="21.2" customHeight="1">
      <c r="A594" s="8" t="s">
        <v>761</v>
      </c>
      <c r="B594" s="52" t="s">
        <v>60</v>
      </c>
      <c r="C594" s="149"/>
      <c r="D594" s="52" t="s">
        <v>60</v>
      </c>
      <c r="E594" s="52" t="str">
        <f t="shared" si="9"/>
        <v>—</v>
      </c>
      <c r="F594" s="51"/>
      <c r="G594" s="152">
        <v>1484000</v>
      </c>
      <c r="H594" s="52" t="s">
        <v>834</v>
      </c>
    </row>
    <row r="595" spans="1:8" ht="21.2" customHeight="1">
      <c r="A595" s="8" t="s">
        <v>763</v>
      </c>
      <c r="B595" s="52" t="s">
        <v>60</v>
      </c>
      <c r="C595" s="149"/>
      <c r="D595" s="52" t="s">
        <v>60</v>
      </c>
      <c r="E595" s="52" t="str">
        <f t="shared" si="9"/>
        <v>—</v>
      </c>
      <c r="F595" s="51"/>
      <c r="G595" s="152">
        <v>775000</v>
      </c>
      <c r="H595" s="52" t="s">
        <v>834</v>
      </c>
    </row>
    <row r="596" spans="1:8" ht="21.2" customHeight="1">
      <c r="A596" s="8" t="s">
        <v>744</v>
      </c>
      <c r="B596" s="52" t="s">
        <v>60</v>
      </c>
      <c r="C596" s="149"/>
      <c r="D596" s="52" t="s">
        <v>60</v>
      </c>
      <c r="E596" s="52" t="str">
        <f t="shared" si="9"/>
        <v>—</v>
      </c>
      <c r="F596" s="51"/>
      <c r="G596" s="152">
        <v>825000</v>
      </c>
      <c r="H596" s="52" t="s">
        <v>834</v>
      </c>
    </row>
    <row r="597" spans="1:8" ht="21.2" customHeight="1">
      <c r="A597" s="8" t="s">
        <v>594</v>
      </c>
      <c r="B597" s="52" t="s">
        <v>60</v>
      </c>
      <c r="C597" s="149"/>
      <c r="D597" s="52" t="s">
        <v>60</v>
      </c>
      <c r="E597" s="52" t="str">
        <f t="shared" si="9"/>
        <v>—</v>
      </c>
      <c r="F597" s="51"/>
      <c r="G597" s="152">
        <v>762500</v>
      </c>
      <c r="H597" s="52" t="s">
        <v>834</v>
      </c>
    </row>
    <row r="598" spans="1:8" ht="21.2" customHeight="1">
      <c r="A598" s="8" t="s">
        <v>805</v>
      </c>
      <c r="B598" s="52" t="s">
        <v>60</v>
      </c>
      <c r="C598" s="149"/>
      <c r="D598" s="52" t="s">
        <v>60</v>
      </c>
      <c r="E598" s="52" t="str">
        <f t="shared" si="9"/>
        <v>—</v>
      </c>
      <c r="F598" s="51"/>
      <c r="G598" s="152">
        <v>794000</v>
      </c>
      <c r="H598" s="52" t="s">
        <v>834</v>
      </c>
    </row>
    <row r="599" spans="1:8" ht="21.2" customHeight="1">
      <c r="A599" s="8" t="s">
        <v>661</v>
      </c>
      <c r="B599" s="52" t="s">
        <v>60</v>
      </c>
      <c r="C599" s="149"/>
      <c r="D599" s="52" t="s">
        <v>60</v>
      </c>
      <c r="E599" s="52" t="str">
        <f t="shared" si="9"/>
        <v>—</v>
      </c>
      <c r="F599" s="51"/>
      <c r="G599" s="152"/>
      <c r="H599" s="52" t="s">
        <v>834</v>
      </c>
    </row>
    <row r="600" spans="1:8" ht="21.2" customHeight="1">
      <c r="A600" s="8" t="s">
        <v>612</v>
      </c>
      <c r="B600" s="52" t="s">
        <v>60</v>
      </c>
      <c r="C600" s="149"/>
      <c r="D600" s="52" t="s">
        <v>60</v>
      </c>
      <c r="E600" s="52" t="str">
        <f t="shared" si="9"/>
        <v>—</v>
      </c>
      <c r="F600" s="51"/>
      <c r="G600" s="152">
        <v>850000</v>
      </c>
      <c r="H600" s="52" t="s">
        <v>834</v>
      </c>
    </row>
    <row r="601" spans="1:8" ht="21.2" customHeight="1">
      <c r="A601" s="8" t="s">
        <v>554</v>
      </c>
      <c r="B601" s="52" t="s">
        <v>60</v>
      </c>
      <c r="C601" s="149"/>
      <c r="D601" s="52" t="s">
        <v>60</v>
      </c>
      <c r="E601" s="52" t="str">
        <f t="shared" si="9"/>
        <v>—</v>
      </c>
      <c r="F601" s="51"/>
      <c r="G601" s="152">
        <v>762500</v>
      </c>
      <c r="H601" s="52" t="s">
        <v>834</v>
      </c>
    </row>
    <row r="602" spans="1:8" ht="21.2" customHeight="1">
      <c r="A602" s="8" t="s">
        <v>783</v>
      </c>
      <c r="B602" s="52" t="s">
        <v>60</v>
      </c>
      <c r="C602" s="149"/>
      <c r="D602" s="52" t="s">
        <v>60</v>
      </c>
      <c r="E602" s="52" t="str">
        <f t="shared" si="9"/>
        <v>—</v>
      </c>
      <c r="F602" s="51"/>
      <c r="G602" s="152">
        <v>1000000</v>
      </c>
      <c r="H602" s="52" t="s">
        <v>834</v>
      </c>
    </row>
    <row r="603" spans="1:8" ht="21.2" customHeight="1">
      <c r="A603" s="8" t="s">
        <v>671</v>
      </c>
      <c r="B603" s="52" t="s">
        <v>60</v>
      </c>
      <c r="C603" s="149"/>
      <c r="D603" s="52" t="s">
        <v>60</v>
      </c>
      <c r="E603" s="52" t="str">
        <f t="shared" si="9"/>
        <v>—</v>
      </c>
      <c r="F603" s="51"/>
      <c r="G603" s="152">
        <v>1137500</v>
      </c>
      <c r="H603" s="52" t="s">
        <v>834</v>
      </c>
    </row>
    <row r="604" spans="1:8" ht="21.2" customHeight="1">
      <c r="A604" s="8" t="s">
        <v>509</v>
      </c>
      <c r="B604" s="52" t="s">
        <v>60</v>
      </c>
      <c r="C604" s="149"/>
      <c r="D604" s="52" t="s">
        <v>60</v>
      </c>
      <c r="E604" s="52" t="str">
        <f t="shared" si="9"/>
        <v>—</v>
      </c>
      <c r="F604" s="51"/>
      <c r="G604" s="152">
        <v>775000</v>
      </c>
      <c r="H604" s="52" t="s">
        <v>834</v>
      </c>
    </row>
    <row r="605" spans="1:8" ht="21.2" customHeight="1">
      <c r="A605" s="8" t="s">
        <v>779</v>
      </c>
      <c r="B605" s="52" t="s">
        <v>60</v>
      </c>
      <c r="C605" s="149"/>
      <c r="D605" s="52" t="s">
        <v>60</v>
      </c>
      <c r="E605" s="52" t="str">
        <f t="shared" si="9"/>
        <v>—</v>
      </c>
      <c r="F605" s="51"/>
      <c r="G605" s="152">
        <v>762500</v>
      </c>
      <c r="H605" s="52" t="s">
        <v>834</v>
      </c>
    </row>
    <row r="606" spans="1:8" ht="21.2" customHeight="1">
      <c r="A606" s="8" t="s">
        <v>781</v>
      </c>
      <c r="B606" s="52" t="s">
        <v>60</v>
      </c>
      <c r="C606" s="149"/>
      <c r="D606" s="52" t="s">
        <v>60</v>
      </c>
      <c r="E606" s="52" t="str">
        <f t="shared" si="9"/>
        <v>—</v>
      </c>
      <c r="F606" s="51"/>
      <c r="G606" s="152">
        <v>1000000</v>
      </c>
      <c r="H606" s="52" t="s">
        <v>834</v>
      </c>
    </row>
    <row r="607" spans="1:8" ht="21.2" customHeight="1">
      <c r="A607" s="8" t="s">
        <v>820</v>
      </c>
      <c r="B607" s="52" t="s">
        <v>60</v>
      </c>
      <c r="C607" s="149"/>
      <c r="D607" s="52" t="s">
        <v>60</v>
      </c>
      <c r="E607" s="52" t="str">
        <f t="shared" si="9"/>
        <v>—</v>
      </c>
      <c r="F607" s="51"/>
      <c r="G607" s="152">
        <v>831300</v>
      </c>
      <c r="H607" s="52" t="s">
        <v>834</v>
      </c>
    </row>
    <row r="608" spans="1:8" ht="21.2" customHeight="1">
      <c r="A608" s="8" t="s">
        <v>625</v>
      </c>
      <c r="B608" s="52" t="s">
        <v>60</v>
      </c>
      <c r="C608" s="149"/>
      <c r="D608" s="52" t="s">
        <v>60</v>
      </c>
      <c r="E608" s="52" t="str">
        <f t="shared" si="9"/>
        <v>—</v>
      </c>
      <c r="F608" s="51"/>
      <c r="G608" s="152">
        <v>762000</v>
      </c>
      <c r="H608" s="52" t="s">
        <v>834</v>
      </c>
    </row>
    <row r="609" spans="1:8" ht="21.2" customHeight="1">
      <c r="A609" s="8" t="s">
        <v>583</v>
      </c>
      <c r="B609" s="52" t="s">
        <v>60</v>
      </c>
      <c r="C609" s="149"/>
      <c r="D609" s="52" t="s">
        <v>60</v>
      </c>
      <c r="E609" s="52" t="str">
        <f t="shared" si="9"/>
        <v>—</v>
      </c>
      <c r="F609" s="51"/>
      <c r="G609" s="152">
        <v>1200000</v>
      </c>
      <c r="H609" s="52" t="s">
        <v>834</v>
      </c>
    </row>
    <row r="610" spans="1:8" ht="21.2" customHeight="1">
      <c r="A610" s="8" t="s">
        <v>635</v>
      </c>
      <c r="B610" s="52" t="s">
        <v>60</v>
      </c>
      <c r="C610" s="149"/>
      <c r="D610" s="52" t="s">
        <v>60</v>
      </c>
      <c r="E610" s="52" t="str">
        <f t="shared" si="9"/>
        <v>—</v>
      </c>
      <c r="F610" s="51"/>
      <c r="G610" s="152"/>
      <c r="H610" s="52" t="s">
        <v>834</v>
      </c>
    </row>
    <row r="611" spans="1:8" ht="21.2" customHeight="1">
      <c r="A611" s="8" t="s">
        <v>769</v>
      </c>
      <c r="B611" s="52" t="s">
        <v>60</v>
      </c>
      <c r="C611" s="149"/>
      <c r="D611" s="52" t="s">
        <v>60</v>
      </c>
      <c r="E611" s="52" t="str">
        <f t="shared" si="9"/>
        <v>—</v>
      </c>
      <c r="F611" s="51"/>
      <c r="G611" s="152">
        <v>800000</v>
      </c>
      <c r="H611" s="52" t="s">
        <v>834</v>
      </c>
    </row>
    <row r="612" spans="1:8" ht="21.2" customHeight="1">
      <c r="A612" s="8" t="s">
        <v>819</v>
      </c>
      <c r="B612" s="52" t="s">
        <v>60</v>
      </c>
      <c r="C612" s="149"/>
      <c r="D612" s="52" t="s">
        <v>60</v>
      </c>
      <c r="E612" s="52" t="str">
        <f t="shared" si="9"/>
        <v>—</v>
      </c>
      <c r="F612" s="51"/>
      <c r="G612" s="152"/>
      <c r="H612" s="52" t="s">
        <v>834</v>
      </c>
    </row>
    <row r="613" spans="1:8" ht="21.2" customHeight="1">
      <c r="A613" s="8" t="s">
        <v>615</v>
      </c>
      <c r="B613" s="52" t="s">
        <v>60</v>
      </c>
      <c r="C613" s="149"/>
      <c r="D613" s="52" t="s">
        <v>60</v>
      </c>
      <c r="E613" s="52" t="str">
        <f t="shared" si="9"/>
        <v>—</v>
      </c>
      <c r="F613" s="51"/>
      <c r="G613" s="152">
        <v>1250000</v>
      </c>
      <c r="H613" s="52" t="s">
        <v>834</v>
      </c>
    </row>
    <row r="614" spans="1:8" ht="21.2" customHeight="1">
      <c r="A614" s="8" t="s">
        <v>585</v>
      </c>
      <c r="B614" s="52" t="s">
        <v>60</v>
      </c>
      <c r="C614" s="149"/>
      <c r="D614" s="52" t="s">
        <v>60</v>
      </c>
      <c r="E614" s="52" t="str">
        <f t="shared" si="9"/>
        <v>—</v>
      </c>
      <c r="F614" s="51"/>
      <c r="G614" s="152">
        <v>4500000</v>
      </c>
      <c r="H614" s="52" t="s">
        <v>834</v>
      </c>
    </row>
    <row r="615" spans="1:8" ht="21.2" customHeight="1">
      <c r="A615" s="8" t="s">
        <v>596</v>
      </c>
      <c r="B615" s="52" t="s">
        <v>60</v>
      </c>
      <c r="C615" s="149"/>
      <c r="D615" s="52" t="s">
        <v>60</v>
      </c>
      <c r="E615" s="52" t="str">
        <f t="shared" si="9"/>
        <v>—</v>
      </c>
      <c r="F615" s="51"/>
      <c r="G615" s="152"/>
      <c r="H615" s="52" t="s">
        <v>834</v>
      </c>
    </row>
    <row r="616" spans="1:8" ht="21.2" customHeight="1">
      <c r="A616" s="8" t="s">
        <v>579</v>
      </c>
      <c r="B616" s="52" t="s">
        <v>60</v>
      </c>
      <c r="C616" s="149"/>
      <c r="D616" s="52" t="s">
        <v>60</v>
      </c>
      <c r="E616" s="52" t="str">
        <f t="shared" si="9"/>
        <v>—</v>
      </c>
      <c r="F616" s="51"/>
      <c r="G616" s="152">
        <v>3275000</v>
      </c>
      <c r="H616" s="52" t="s">
        <v>834</v>
      </c>
    </row>
    <row r="617" spans="1:8" ht="21.2" customHeight="1">
      <c r="A617" s="8" t="s">
        <v>796</v>
      </c>
      <c r="B617" s="52" t="s">
        <v>60</v>
      </c>
      <c r="C617" s="149"/>
      <c r="D617" s="52" t="s">
        <v>60</v>
      </c>
      <c r="E617" s="52" t="str">
        <f t="shared" si="9"/>
        <v>—</v>
      </c>
      <c r="F617" s="51"/>
      <c r="G617" s="152">
        <v>762500</v>
      </c>
      <c r="H617" s="52" t="s">
        <v>834</v>
      </c>
    </row>
    <row r="618" spans="1:8" ht="21.2" customHeight="1">
      <c r="A618" s="8" t="s">
        <v>640</v>
      </c>
      <c r="B618" s="52" t="s">
        <v>60</v>
      </c>
      <c r="C618" s="149"/>
      <c r="D618" s="52" t="s">
        <v>60</v>
      </c>
      <c r="E618" s="52" t="str">
        <f t="shared" si="9"/>
        <v>—</v>
      </c>
      <c r="F618" s="51"/>
      <c r="G618" s="152"/>
      <c r="H618" s="52" t="s">
        <v>834</v>
      </c>
    </row>
    <row r="619" spans="1:8" ht="21.2" customHeight="1">
      <c r="A619" s="8" t="s">
        <v>525</v>
      </c>
      <c r="B619" s="52" t="s">
        <v>60</v>
      </c>
      <c r="C619" s="149"/>
      <c r="D619" s="52" t="s">
        <v>60</v>
      </c>
      <c r="E619" s="52" t="str">
        <f t="shared" si="9"/>
        <v>—</v>
      </c>
      <c r="F619" s="149"/>
      <c r="G619" s="152">
        <v>4000000</v>
      </c>
      <c r="H619" s="52" t="s">
        <v>834</v>
      </c>
    </row>
    <row r="620" spans="1:8" ht="21.2" customHeight="1">
      <c r="A620" s="8" t="s">
        <v>575</v>
      </c>
      <c r="B620" s="52" t="s">
        <v>60</v>
      </c>
      <c r="C620" s="149"/>
      <c r="D620" s="52" t="s">
        <v>60</v>
      </c>
      <c r="E620" s="52" t="str">
        <f t="shared" si="9"/>
        <v>—</v>
      </c>
      <c r="F620" s="51"/>
      <c r="G620" s="152">
        <v>1100000</v>
      </c>
      <c r="H620" s="52" t="s">
        <v>834</v>
      </c>
    </row>
    <row r="621" spans="1:8" ht="21.2" customHeight="1">
      <c r="A621" s="8" t="s">
        <v>560</v>
      </c>
      <c r="B621" s="52" t="s">
        <v>60</v>
      </c>
      <c r="C621" s="149"/>
      <c r="D621" s="52" t="s">
        <v>60</v>
      </c>
      <c r="E621" s="52" t="str">
        <f t="shared" si="9"/>
        <v>—</v>
      </c>
      <c r="F621" s="51"/>
      <c r="G621" s="152">
        <v>2000000</v>
      </c>
      <c r="H621" s="52" t="s">
        <v>834</v>
      </c>
    </row>
    <row r="622" spans="1:8" ht="21.2" customHeight="1">
      <c r="A622" s="8" t="s">
        <v>587</v>
      </c>
      <c r="B622" s="52" t="s">
        <v>60</v>
      </c>
      <c r="C622" s="149"/>
      <c r="D622" s="52" t="s">
        <v>60</v>
      </c>
      <c r="E622" s="52" t="str">
        <f t="shared" si="9"/>
        <v>—</v>
      </c>
      <c r="F622" s="51"/>
      <c r="G622" s="152">
        <v>1108000</v>
      </c>
      <c r="H622" s="52" t="s">
        <v>834</v>
      </c>
    </row>
    <row r="623" spans="1:8" ht="21.2" customHeight="1">
      <c r="A623" s="8" t="s">
        <v>749</v>
      </c>
      <c r="B623" s="52" t="s">
        <v>60</v>
      </c>
      <c r="C623" s="149"/>
      <c r="D623" s="52" t="s">
        <v>60</v>
      </c>
      <c r="E623" s="52" t="str">
        <f t="shared" si="9"/>
        <v>—</v>
      </c>
      <c r="F623" s="51"/>
      <c r="G623" s="152">
        <v>775000</v>
      </c>
      <c r="H623" s="52" t="s">
        <v>834</v>
      </c>
    </row>
    <row r="624" spans="1:8" ht="21.2" customHeight="1">
      <c r="A624" s="8" t="s">
        <v>813</v>
      </c>
      <c r="B624" s="52" t="s">
        <v>60</v>
      </c>
      <c r="C624" s="149"/>
      <c r="D624" s="52" t="s">
        <v>60</v>
      </c>
      <c r="E624" s="52" t="str">
        <f t="shared" si="9"/>
        <v>—</v>
      </c>
      <c r="F624" s="51"/>
      <c r="G624" s="152">
        <v>775000</v>
      </c>
      <c r="H624" s="52" t="s">
        <v>834</v>
      </c>
    </row>
    <row r="625" spans="1:8" ht="21.2" customHeight="1">
      <c r="A625" s="8" t="s">
        <v>647</v>
      </c>
      <c r="B625" s="52" t="s">
        <v>60</v>
      </c>
      <c r="C625" s="149"/>
      <c r="D625" s="52" t="s">
        <v>60</v>
      </c>
      <c r="E625" s="52" t="str">
        <f t="shared" si="9"/>
        <v>—</v>
      </c>
      <c r="F625" s="149"/>
      <c r="G625" s="152">
        <v>863333</v>
      </c>
      <c r="H625" s="52" t="s">
        <v>834</v>
      </c>
    </row>
    <row r="626" spans="1:8" ht="21.2" customHeight="1">
      <c r="A626" s="8" t="s">
        <v>595</v>
      </c>
      <c r="B626" s="52" t="s">
        <v>60</v>
      </c>
      <c r="C626" s="149"/>
      <c r="D626" s="52" t="s">
        <v>60</v>
      </c>
      <c r="E626" s="52" t="str">
        <f t="shared" si="9"/>
        <v>—</v>
      </c>
      <c r="F626" s="149"/>
      <c r="G626" s="152">
        <v>2500000</v>
      </c>
      <c r="H626" s="52" t="s">
        <v>834</v>
      </c>
    </row>
    <row r="627" spans="1:8" ht="21.2" customHeight="1">
      <c r="A627" s="8" t="s">
        <v>590</v>
      </c>
      <c r="B627" s="52" t="s">
        <v>60</v>
      </c>
      <c r="C627" s="149"/>
      <c r="D627" s="52" t="s">
        <v>60</v>
      </c>
      <c r="E627" s="52" t="str">
        <f t="shared" si="9"/>
        <v>—</v>
      </c>
      <c r="F627" s="51"/>
      <c r="G627" s="152">
        <v>850000</v>
      </c>
      <c r="H627" s="52" t="s">
        <v>834</v>
      </c>
    </row>
    <row r="628" spans="1:8" ht="21.2" customHeight="1">
      <c r="A628" s="8" t="s">
        <v>822</v>
      </c>
      <c r="B628" s="52" t="s">
        <v>60</v>
      </c>
      <c r="C628" s="149"/>
      <c r="D628" s="52" t="s">
        <v>60</v>
      </c>
      <c r="E628" s="52" t="str">
        <f t="shared" si="9"/>
        <v>—</v>
      </c>
      <c r="F628" s="149"/>
      <c r="G628" s="152">
        <v>867700</v>
      </c>
      <c r="H628" s="52" t="s">
        <v>834</v>
      </c>
    </row>
    <row r="629" spans="1:8" ht="21.2" customHeight="1">
      <c r="A629" s="8" t="s">
        <v>591</v>
      </c>
      <c r="B629" s="52" t="s">
        <v>60</v>
      </c>
      <c r="C629" s="149"/>
      <c r="D629" s="52" t="s">
        <v>60</v>
      </c>
      <c r="E629" s="52" t="str">
        <f t="shared" si="9"/>
        <v>—</v>
      </c>
      <c r="F629" s="149"/>
      <c r="G629" s="152">
        <v>762000</v>
      </c>
      <c r="H629" s="52" t="s">
        <v>834</v>
      </c>
    </row>
    <row r="630" spans="1:8" ht="21.2" customHeight="1">
      <c r="A630" s="8" t="s">
        <v>786</v>
      </c>
      <c r="B630" s="149">
        <v>159.19999999999999</v>
      </c>
      <c r="C630" s="149"/>
      <c r="D630" s="52" t="s">
        <v>60</v>
      </c>
      <c r="E630" s="149">
        <f t="shared" si="9"/>
        <v>159.19999999999999</v>
      </c>
      <c r="F630" s="51"/>
      <c r="G630" s="152">
        <v>1300000</v>
      </c>
      <c r="H630" s="52" t="s">
        <v>834</v>
      </c>
    </row>
    <row r="631" spans="1:8" ht="21.2" customHeight="1">
      <c r="A631" s="8" t="s">
        <v>532</v>
      </c>
      <c r="B631" s="149">
        <v>179.7</v>
      </c>
      <c r="C631" s="149"/>
      <c r="D631" s="149">
        <v>1120</v>
      </c>
      <c r="E631" s="149">
        <f t="shared" si="9"/>
        <v>649.85</v>
      </c>
      <c r="F631" s="149"/>
      <c r="G631" s="152">
        <v>1500000</v>
      </c>
      <c r="H631" s="52" t="s">
        <v>834</v>
      </c>
    </row>
    <row r="632" spans="1:8" ht="21.2" customHeight="1">
      <c r="A632" s="8" t="s">
        <v>760</v>
      </c>
      <c r="B632" s="52" t="s">
        <v>60</v>
      </c>
      <c r="C632" s="149"/>
      <c r="D632" s="52" t="s">
        <v>60</v>
      </c>
      <c r="E632" s="52" t="str">
        <f t="shared" si="9"/>
        <v>—</v>
      </c>
      <c r="F632" s="149"/>
      <c r="G632" s="152">
        <v>775000</v>
      </c>
      <c r="H632" s="52" t="s">
        <v>834</v>
      </c>
    </row>
    <row r="633" spans="1:8" ht="21.2" customHeight="1">
      <c r="A633" s="8" t="s">
        <v>775</v>
      </c>
      <c r="B633" s="52" t="s">
        <v>60</v>
      </c>
      <c r="C633" s="149"/>
      <c r="D633" s="52" t="s">
        <v>60</v>
      </c>
      <c r="E633" s="52" t="str">
        <f t="shared" si="9"/>
        <v>—</v>
      </c>
      <c r="F633" s="149"/>
      <c r="G633" s="152">
        <v>1500000</v>
      </c>
      <c r="H633" s="52" t="s">
        <v>834</v>
      </c>
    </row>
    <row r="634" spans="1:8" ht="21.2" customHeight="1">
      <c r="A634" s="8" t="s">
        <v>797</v>
      </c>
      <c r="B634" s="52" t="s">
        <v>60</v>
      </c>
      <c r="C634" s="149"/>
      <c r="D634" s="52" t="s">
        <v>60</v>
      </c>
      <c r="E634" s="52" t="str">
        <f t="shared" si="9"/>
        <v>—</v>
      </c>
      <c r="F634" s="149"/>
      <c r="G634" s="152">
        <v>775000</v>
      </c>
      <c r="H634" s="52" t="s">
        <v>834</v>
      </c>
    </row>
    <row r="635" spans="1:8" ht="21.2" customHeight="1">
      <c r="A635" s="8" t="s">
        <v>593</v>
      </c>
      <c r="B635" s="52" t="s">
        <v>60</v>
      </c>
      <c r="C635" s="149"/>
      <c r="D635" s="52" t="s">
        <v>60</v>
      </c>
      <c r="E635" s="52" t="str">
        <f t="shared" si="9"/>
        <v>—</v>
      </c>
      <c r="F635" s="51"/>
      <c r="G635" s="152">
        <v>2750000</v>
      </c>
      <c r="H635" s="52" t="s">
        <v>834</v>
      </c>
    </row>
    <row r="636" spans="1:8" ht="21.2" customHeight="1">
      <c r="A636" s="8" t="s">
        <v>824</v>
      </c>
      <c r="B636" s="52" t="s">
        <v>60</v>
      </c>
      <c r="C636" s="149"/>
      <c r="D636" s="52" t="s">
        <v>60</v>
      </c>
      <c r="E636" s="52" t="str">
        <f t="shared" si="9"/>
        <v>—</v>
      </c>
      <c r="F636" s="149"/>
      <c r="G636" s="152">
        <v>1100000</v>
      </c>
      <c r="H636" s="52" t="s">
        <v>834</v>
      </c>
    </row>
    <row r="637" spans="1:8" ht="21.2" customHeight="1">
      <c r="A637" s="8" t="s">
        <v>651</v>
      </c>
      <c r="B637" s="52" t="s">
        <v>60</v>
      </c>
      <c r="C637" s="149"/>
      <c r="D637" s="52" t="s">
        <v>60</v>
      </c>
      <c r="E637" s="52" t="str">
        <f t="shared" si="9"/>
        <v>—</v>
      </c>
      <c r="F637" s="51"/>
      <c r="G637" s="152">
        <v>762500</v>
      </c>
      <c r="H637" s="52" t="s">
        <v>834</v>
      </c>
    </row>
    <row r="638" spans="1:8" ht="21.2" customHeight="1">
      <c r="A638" s="8" t="s">
        <v>818</v>
      </c>
      <c r="B638" s="52" t="s">
        <v>60</v>
      </c>
      <c r="C638" s="149"/>
      <c r="D638" s="52" t="s">
        <v>60</v>
      </c>
      <c r="E638" s="52" t="str">
        <f t="shared" si="9"/>
        <v>—</v>
      </c>
      <c r="F638" s="51"/>
      <c r="G638" s="152">
        <v>1300000</v>
      </c>
      <c r="H638" s="52" t="s">
        <v>834</v>
      </c>
    </row>
    <row r="639" spans="1:8" ht="21.2" customHeight="1">
      <c r="A639" s="8" t="s">
        <v>588</v>
      </c>
      <c r="B639" s="52" t="s">
        <v>60</v>
      </c>
      <c r="C639" s="149"/>
      <c r="D639" s="52" t="s">
        <v>60</v>
      </c>
      <c r="E639" s="52" t="str">
        <f t="shared" si="9"/>
        <v>—</v>
      </c>
      <c r="F639" s="51"/>
      <c r="G639" s="152">
        <v>2250000</v>
      </c>
      <c r="H639" s="52" t="s">
        <v>834</v>
      </c>
    </row>
    <row r="640" spans="1:8" ht="21.2" customHeight="1">
      <c r="A640" s="8" t="s">
        <v>794</v>
      </c>
      <c r="B640" s="52" t="s">
        <v>60</v>
      </c>
      <c r="C640" s="149"/>
      <c r="D640" s="52" t="s">
        <v>60</v>
      </c>
      <c r="E640" s="52" t="str">
        <f t="shared" si="9"/>
        <v>—</v>
      </c>
      <c r="F640" s="149"/>
      <c r="G640" s="152">
        <v>800000</v>
      </c>
      <c r="H640" s="52" t="s">
        <v>834</v>
      </c>
    </row>
    <row r="641" spans="1:8" ht="21.2" customHeight="1">
      <c r="A641" s="8" t="s">
        <v>654</v>
      </c>
      <c r="B641" s="52" t="s">
        <v>60</v>
      </c>
      <c r="C641" s="149"/>
      <c r="D641" s="52" t="s">
        <v>60</v>
      </c>
      <c r="E641" s="52" t="str">
        <f t="shared" si="9"/>
        <v>—</v>
      </c>
      <c r="F641" s="149"/>
      <c r="G641" s="152"/>
      <c r="H641" s="52" t="s">
        <v>834</v>
      </c>
    </row>
    <row r="642" spans="1:8" ht="21.2" customHeight="1">
      <c r="A642" s="8" t="s">
        <v>789</v>
      </c>
      <c r="B642" s="52" t="s">
        <v>60</v>
      </c>
      <c r="C642" s="149"/>
      <c r="D642" s="52" t="s">
        <v>60</v>
      </c>
      <c r="E642" s="52" t="str">
        <f t="shared" ref="E642:E705" si="10">IFERROR(AVERAGE(B642:D642),"—")</f>
        <v>—</v>
      </c>
      <c r="F642" s="149"/>
      <c r="G642" s="152">
        <v>1750000</v>
      </c>
      <c r="H642" s="52" t="s">
        <v>834</v>
      </c>
    </row>
    <row r="643" spans="1:8" ht="21.2" customHeight="1">
      <c r="A643" s="8" t="s">
        <v>629</v>
      </c>
      <c r="B643" s="52" t="s">
        <v>60</v>
      </c>
      <c r="C643" s="149"/>
      <c r="D643" s="52" t="s">
        <v>60</v>
      </c>
      <c r="E643" s="52" t="str">
        <f t="shared" si="10"/>
        <v>—</v>
      </c>
      <c r="F643" s="51"/>
      <c r="G643" s="152">
        <v>1100000</v>
      </c>
      <c r="H643" s="52" t="s">
        <v>834</v>
      </c>
    </row>
    <row r="644" spans="1:8" ht="21.2" customHeight="1">
      <c r="A644" s="8" t="s">
        <v>674</v>
      </c>
      <c r="B644" s="52" t="s">
        <v>60</v>
      </c>
      <c r="C644" s="149"/>
      <c r="D644" s="52" t="s">
        <v>60</v>
      </c>
      <c r="E644" s="52" t="str">
        <f t="shared" si="10"/>
        <v>—</v>
      </c>
      <c r="F644" s="149"/>
      <c r="G644" s="152">
        <v>787500</v>
      </c>
      <c r="H644" s="52" t="s">
        <v>834</v>
      </c>
    </row>
    <row r="645" spans="1:8" ht="21.2" customHeight="1">
      <c r="A645" s="8" t="s">
        <v>627</v>
      </c>
      <c r="B645" s="52" t="s">
        <v>60</v>
      </c>
      <c r="C645" s="149"/>
      <c r="D645" s="52" t="s">
        <v>60</v>
      </c>
      <c r="E645" s="52" t="str">
        <f t="shared" si="10"/>
        <v>—</v>
      </c>
      <c r="F645" s="149"/>
      <c r="G645" s="152">
        <v>800000</v>
      </c>
      <c r="H645" s="52" t="s">
        <v>834</v>
      </c>
    </row>
    <row r="646" spans="1:8" ht="21.2" customHeight="1">
      <c r="A646" s="8" t="s">
        <v>821</v>
      </c>
      <c r="B646" s="52" t="s">
        <v>60</v>
      </c>
      <c r="C646" s="149"/>
      <c r="D646" s="52" t="s">
        <v>60</v>
      </c>
      <c r="E646" s="52" t="str">
        <f t="shared" si="10"/>
        <v>—</v>
      </c>
      <c r="F646" s="149"/>
      <c r="G646" s="152">
        <v>822800</v>
      </c>
      <c r="H646" s="52" t="s">
        <v>834</v>
      </c>
    </row>
    <row r="647" spans="1:8" ht="21.2" customHeight="1">
      <c r="A647" s="8" t="s">
        <v>608</v>
      </c>
      <c r="B647" s="52" t="s">
        <v>60</v>
      </c>
      <c r="C647" s="149"/>
      <c r="D647" s="52" t="s">
        <v>60</v>
      </c>
      <c r="E647" s="52" t="str">
        <f t="shared" si="10"/>
        <v>—</v>
      </c>
      <c r="F647" s="149"/>
      <c r="G647" s="152">
        <v>850000</v>
      </c>
      <c r="H647" s="52" t="s">
        <v>834</v>
      </c>
    </row>
    <row r="648" spans="1:8" ht="21.2" customHeight="1">
      <c r="A648" s="8" t="s">
        <v>811</v>
      </c>
      <c r="B648" s="52" t="s">
        <v>60</v>
      </c>
      <c r="C648" s="149"/>
      <c r="D648" s="52" t="s">
        <v>60</v>
      </c>
      <c r="E648" s="52" t="str">
        <f t="shared" si="10"/>
        <v>—</v>
      </c>
      <c r="F648" s="149"/>
      <c r="G648" s="152">
        <v>800000</v>
      </c>
      <c r="H648" s="52" t="s">
        <v>834</v>
      </c>
    </row>
    <row r="649" spans="1:8" ht="21.2" customHeight="1">
      <c r="A649" s="8" t="s">
        <v>692</v>
      </c>
      <c r="B649" s="52" t="s">
        <v>60</v>
      </c>
      <c r="C649" s="149"/>
      <c r="D649" s="52" t="s">
        <v>60</v>
      </c>
      <c r="E649" s="52" t="str">
        <f t="shared" si="10"/>
        <v>—</v>
      </c>
      <c r="F649" s="149"/>
      <c r="G649" s="152">
        <v>1000000</v>
      </c>
      <c r="H649" s="52" t="s">
        <v>834</v>
      </c>
    </row>
    <row r="650" spans="1:8" ht="21.2" customHeight="1">
      <c r="A650" s="8" t="s">
        <v>598</v>
      </c>
      <c r="B650" s="52" t="s">
        <v>60</v>
      </c>
      <c r="C650" s="149"/>
      <c r="D650" s="52" t="s">
        <v>60</v>
      </c>
      <c r="E650" s="52" t="str">
        <f t="shared" si="10"/>
        <v>—</v>
      </c>
      <c r="F650" s="149"/>
      <c r="G650" s="152">
        <v>1275000</v>
      </c>
      <c r="H650" s="52" t="s">
        <v>834</v>
      </c>
    </row>
    <row r="651" spans="1:8" ht="21.2" customHeight="1">
      <c r="A651" s="8" t="s">
        <v>614</v>
      </c>
      <c r="B651" s="52" t="s">
        <v>60</v>
      </c>
      <c r="C651" s="149"/>
      <c r="D651" s="52" t="s">
        <v>60</v>
      </c>
      <c r="E651" s="52" t="str">
        <f t="shared" si="10"/>
        <v>—</v>
      </c>
      <c r="F651" s="149"/>
      <c r="G651" s="152">
        <v>762500</v>
      </c>
      <c r="H651" s="52" t="s">
        <v>834</v>
      </c>
    </row>
    <row r="652" spans="1:8" ht="21.2" customHeight="1">
      <c r="A652" s="8" t="s">
        <v>631</v>
      </c>
      <c r="B652" s="52" t="s">
        <v>60</v>
      </c>
      <c r="C652" s="149"/>
      <c r="D652" s="52" t="s">
        <v>60</v>
      </c>
      <c r="E652" s="52" t="str">
        <f t="shared" si="10"/>
        <v>—</v>
      </c>
      <c r="F652" s="149"/>
      <c r="G652" s="152">
        <v>775000</v>
      </c>
      <c r="H652" s="52" t="s">
        <v>834</v>
      </c>
    </row>
    <row r="653" spans="1:8" ht="21.2" customHeight="1">
      <c r="A653" s="8" t="s">
        <v>663</v>
      </c>
      <c r="B653" s="52" t="s">
        <v>60</v>
      </c>
      <c r="C653" s="149"/>
      <c r="D653" s="52" t="s">
        <v>60</v>
      </c>
      <c r="E653" s="52" t="str">
        <f t="shared" si="10"/>
        <v>—</v>
      </c>
      <c r="F653" s="51"/>
      <c r="G653" s="152">
        <v>950000</v>
      </c>
      <c r="H653" s="52" t="s">
        <v>834</v>
      </c>
    </row>
    <row r="654" spans="1:8" ht="21.2" customHeight="1">
      <c r="A654" s="8" t="s">
        <v>633</v>
      </c>
      <c r="B654" s="52" t="s">
        <v>60</v>
      </c>
      <c r="C654" s="149"/>
      <c r="D654" s="52" t="s">
        <v>60</v>
      </c>
      <c r="E654" s="52" t="str">
        <f t="shared" si="10"/>
        <v>—</v>
      </c>
      <c r="F654" s="51"/>
      <c r="G654" s="152">
        <v>775000</v>
      </c>
      <c r="H654" s="52" t="s">
        <v>834</v>
      </c>
    </row>
    <row r="655" spans="1:8" ht="21.2" customHeight="1">
      <c r="A655" s="8" t="s">
        <v>578</v>
      </c>
      <c r="B655" s="52" t="s">
        <v>60</v>
      </c>
      <c r="C655" s="149"/>
      <c r="D655" s="52" t="s">
        <v>60</v>
      </c>
      <c r="E655" s="52" t="str">
        <f t="shared" si="10"/>
        <v>—</v>
      </c>
      <c r="F655" s="51"/>
      <c r="G655" s="152">
        <v>950000</v>
      </c>
      <c r="H655" s="52" t="s">
        <v>834</v>
      </c>
    </row>
    <row r="656" spans="1:8" ht="21.2" customHeight="1">
      <c r="A656" s="8" t="s">
        <v>339</v>
      </c>
      <c r="B656" s="52" t="s">
        <v>60</v>
      </c>
      <c r="C656" s="149"/>
      <c r="D656" s="52" t="s">
        <v>60</v>
      </c>
      <c r="E656" s="52" t="str">
        <f t="shared" si="10"/>
        <v>—</v>
      </c>
      <c r="F656" s="51"/>
      <c r="G656" s="152">
        <v>918333</v>
      </c>
      <c r="H656" s="52" t="s">
        <v>834</v>
      </c>
    </row>
    <row r="657" spans="1:8" ht="21.2" customHeight="1">
      <c r="A657" s="8" t="s">
        <v>275</v>
      </c>
      <c r="B657" s="52" t="s">
        <v>60</v>
      </c>
      <c r="C657" s="149"/>
      <c r="D657" s="52" t="s">
        <v>60</v>
      </c>
      <c r="E657" s="52" t="str">
        <f t="shared" si="10"/>
        <v>—</v>
      </c>
      <c r="F657" s="51"/>
      <c r="G657" s="152">
        <v>844167</v>
      </c>
      <c r="H657" s="52" t="s">
        <v>834</v>
      </c>
    </row>
    <row r="658" spans="1:8" ht="21.2" customHeight="1">
      <c r="A658" s="23"/>
      <c r="B658" s="149"/>
      <c r="C658" s="149"/>
      <c r="D658" s="149"/>
      <c r="E658" s="52" t="str">
        <f t="shared" si="10"/>
        <v>—</v>
      </c>
      <c r="F658" s="149"/>
      <c r="G658" s="152"/>
      <c r="H658" s="51"/>
    </row>
    <row r="659" spans="1:8" ht="21.2" customHeight="1">
      <c r="A659" s="8" t="s">
        <v>234</v>
      </c>
      <c r="B659" s="149">
        <v>182.4</v>
      </c>
      <c r="C659" s="149"/>
      <c r="D659" s="149">
        <v>201.52</v>
      </c>
      <c r="E659" s="149">
        <f t="shared" si="10"/>
        <v>191.96</v>
      </c>
      <c r="F659" s="149"/>
      <c r="G659" s="152">
        <v>6400000</v>
      </c>
      <c r="H659" s="52" t="s">
        <v>834</v>
      </c>
    </row>
    <row r="660" spans="1:8" ht="21.2" customHeight="1">
      <c r="A660" s="8" t="s">
        <v>808</v>
      </c>
      <c r="B660" s="52" t="s">
        <v>60</v>
      </c>
      <c r="C660" s="149"/>
      <c r="D660" s="149">
        <v>372.6</v>
      </c>
      <c r="E660" s="149">
        <f t="shared" si="10"/>
        <v>372.6</v>
      </c>
      <c r="F660" s="149"/>
      <c r="G660" s="152"/>
      <c r="H660" s="52" t="s">
        <v>834</v>
      </c>
    </row>
    <row r="661" spans="1:8" ht="21.2" customHeight="1">
      <c r="A661" s="8" t="s">
        <v>408</v>
      </c>
      <c r="B661" s="149">
        <v>181.5</v>
      </c>
      <c r="C661" s="149"/>
      <c r="D661" s="149">
        <v>216.81</v>
      </c>
      <c r="E661" s="149">
        <f t="shared" si="10"/>
        <v>199.155</v>
      </c>
      <c r="F661" s="51"/>
      <c r="G661" s="152">
        <v>2725000</v>
      </c>
      <c r="H661" s="52" t="s">
        <v>834</v>
      </c>
    </row>
    <row r="662" spans="1:8" ht="21.2" customHeight="1">
      <c r="A662" s="8" t="s">
        <v>559</v>
      </c>
      <c r="B662" s="52" t="s">
        <v>60</v>
      </c>
      <c r="C662" s="149"/>
      <c r="D662" s="149">
        <v>488.9</v>
      </c>
      <c r="E662" s="149">
        <f t="shared" si="10"/>
        <v>488.9</v>
      </c>
      <c r="F662" s="149"/>
      <c r="G662" s="152"/>
      <c r="H662" s="52" t="s">
        <v>834</v>
      </c>
    </row>
    <row r="663" spans="1:8" ht="21.2" customHeight="1">
      <c r="A663" s="8" t="s">
        <v>265</v>
      </c>
      <c r="B663" s="149">
        <v>23.6</v>
      </c>
      <c r="C663" s="149"/>
      <c r="D663" s="149">
        <v>109.23</v>
      </c>
      <c r="E663" s="149">
        <f t="shared" si="10"/>
        <v>66.415000000000006</v>
      </c>
      <c r="F663" s="149"/>
      <c r="G663" s="152">
        <v>5000000</v>
      </c>
      <c r="H663" s="52" t="s">
        <v>834</v>
      </c>
    </row>
    <row r="664" spans="1:8" ht="21.2" customHeight="1">
      <c r="A664" s="8" t="s">
        <v>422</v>
      </c>
      <c r="B664" s="149">
        <v>45.7</v>
      </c>
      <c r="C664" s="149"/>
      <c r="D664" s="149">
        <v>203.34</v>
      </c>
      <c r="E664" s="149">
        <f t="shared" si="10"/>
        <v>124.52000000000001</v>
      </c>
      <c r="F664" s="149"/>
      <c r="G664" s="152"/>
      <c r="H664" s="52" t="s">
        <v>834</v>
      </c>
    </row>
    <row r="665" spans="1:8" ht="21.2" customHeight="1">
      <c r="A665" s="8" t="s">
        <v>305</v>
      </c>
      <c r="B665" s="149">
        <v>88.7</v>
      </c>
      <c r="C665" s="149"/>
      <c r="D665" s="149">
        <v>191.9</v>
      </c>
      <c r="E665" s="149">
        <f t="shared" si="10"/>
        <v>140.30000000000001</v>
      </c>
      <c r="F665" s="149"/>
      <c r="G665" s="152"/>
      <c r="H665" s="52" t="s">
        <v>834</v>
      </c>
    </row>
    <row r="666" spans="1:8" ht="21.2" customHeight="1">
      <c r="A666" s="8" t="s">
        <v>780</v>
      </c>
      <c r="B666" s="52" t="s">
        <v>60</v>
      </c>
      <c r="C666" s="149"/>
      <c r="D666" s="149">
        <v>446.9</v>
      </c>
      <c r="E666" s="149">
        <f t="shared" si="10"/>
        <v>446.9</v>
      </c>
      <c r="F666" s="149"/>
      <c r="G666" s="152">
        <v>1800000</v>
      </c>
      <c r="H666" s="52" t="s">
        <v>834</v>
      </c>
    </row>
    <row r="667" spans="1:8" ht="21.2" customHeight="1">
      <c r="A667" s="8" t="s">
        <v>827</v>
      </c>
      <c r="B667" s="52" t="s">
        <v>60</v>
      </c>
      <c r="C667" s="149"/>
      <c r="D667" s="149">
        <v>234.4</v>
      </c>
      <c r="E667" s="149">
        <f t="shared" si="10"/>
        <v>234.4</v>
      </c>
      <c r="F667" s="149"/>
      <c r="G667" s="152">
        <v>837500</v>
      </c>
      <c r="H667" s="52" t="s">
        <v>834</v>
      </c>
    </row>
    <row r="668" spans="1:8" ht="21.2" customHeight="1">
      <c r="A668" s="8" t="s">
        <v>373</v>
      </c>
      <c r="B668" s="149">
        <v>77.5</v>
      </c>
      <c r="C668" s="149"/>
      <c r="D668" s="149">
        <v>168.13</v>
      </c>
      <c r="E668" s="149">
        <f t="shared" si="10"/>
        <v>122.815</v>
      </c>
      <c r="F668" s="51"/>
      <c r="G668" s="152">
        <v>3400000</v>
      </c>
      <c r="H668" s="52" t="s">
        <v>834</v>
      </c>
    </row>
    <row r="669" spans="1:8" ht="21.2" customHeight="1">
      <c r="A669" s="8" t="s">
        <v>785</v>
      </c>
      <c r="B669" s="149">
        <v>172</v>
      </c>
      <c r="C669" s="149"/>
      <c r="D669" s="149">
        <v>384.74</v>
      </c>
      <c r="E669" s="149">
        <f t="shared" si="10"/>
        <v>278.37</v>
      </c>
      <c r="F669" s="149"/>
      <c r="G669" s="152"/>
      <c r="H669" s="52" t="s">
        <v>834</v>
      </c>
    </row>
    <row r="670" spans="1:8" ht="21.2" customHeight="1">
      <c r="A670" s="8" t="s">
        <v>776</v>
      </c>
      <c r="B670" s="149">
        <v>114.3</v>
      </c>
      <c r="C670" s="149"/>
      <c r="D670" s="149">
        <v>449.9</v>
      </c>
      <c r="E670" s="149">
        <f t="shared" si="10"/>
        <v>282.09999999999997</v>
      </c>
      <c r="F670" s="149"/>
      <c r="G670" s="152"/>
      <c r="H670" s="52" t="s">
        <v>58</v>
      </c>
    </row>
    <row r="671" spans="1:8" ht="21.2" customHeight="1">
      <c r="A671" s="8" t="s">
        <v>287</v>
      </c>
      <c r="B671" s="52" t="s">
        <v>60</v>
      </c>
      <c r="C671" s="149"/>
      <c r="D671" s="149">
        <v>214.89</v>
      </c>
      <c r="E671" s="149">
        <f t="shared" si="10"/>
        <v>214.89</v>
      </c>
      <c r="F671" s="149"/>
      <c r="G671" s="152">
        <v>5400000</v>
      </c>
      <c r="H671" s="52" t="s">
        <v>58</v>
      </c>
    </row>
    <row r="672" spans="1:8" ht="21.2" customHeight="1">
      <c r="A672" s="8" t="s">
        <v>737</v>
      </c>
      <c r="B672" s="52" t="s">
        <v>60</v>
      </c>
      <c r="C672" s="149"/>
      <c r="D672" s="52" t="s">
        <v>60</v>
      </c>
      <c r="E672" s="52" t="str">
        <f t="shared" si="10"/>
        <v>—</v>
      </c>
      <c r="F672" s="51"/>
      <c r="G672" s="152"/>
      <c r="H672" s="52" t="s">
        <v>834</v>
      </c>
    </row>
    <row r="673" spans="1:8" ht="21.2" customHeight="1">
      <c r="A673" s="8" t="s">
        <v>233</v>
      </c>
      <c r="B673" s="149">
        <v>136.69999999999999</v>
      </c>
      <c r="C673" s="149"/>
      <c r="D673" s="149">
        <v>175.08</v>
      </c>
      <c r="E673" s="149">
        <f t="shared" si="10"/>
        <v>155.88999999999999</v>
      </c>
      <c r="F673" s="149"/>
      <c r="G673" s="152">
        <v>6000000</v>
      </c>
      <c r="H673" s="52" t="s">
        <v>834</v>
      </c>
    </row>
    <row r="674" spans="1:8" ht="21.2" customHeight="1">
      <c r="A674" s="8" t="s">
        <v>816</v>
      </c>
      <c r="B674" s="52" t="s">
        <v>60</v>
      </c>
      <c r="C674" s="149"/>
      <c r="D674" s="149">
        <v>500.1</v>
      </c>
      <c r="E674" s="149">
        <f t="shared" si="10"/>
        <v>500.1</v>
      </c>
      <c r="F674" s="51"/>
      <c r="G674" s="152"/>
      <c r="H674" s="52" t="s">
        <v>834</v>
      </c>
    </row>
    <row r="675" spans="1:8" ht="21.2" customHeight="1">
      <c r="A675" s="8" t="s">
        <v>830</v>
      </c>
      <c r="B675" s="52" t="s">
        <v>60</v>
      </c>
      <c r="C675" s="149"/>
      <c r="D675" s="149">
        <v>374.85</v>
      </c>
      <c r="E675" s="149">
        <f t="shared" si="10"/>
        <v>374.85</v>
      </c>
      <c r="F675" s="149"/>
      <c r="G675" s="152"/>
      <c r="H675" s="52" t="s">
        <v>834</v>
      </c>
    </row>
    <row r="676" spans="1:8" ht="21.2" customHeight="1">
      <c r="A676" s="8" t="s">
        <v>597</v>
      </c>
      <c r="B676" s="52" t="s">
        <v>60</v>
      </c>
      <c r="C676" s="149"/>
      <c r="D676" s="149">
        <v>502.1</v>
      </c>
      <c r="E676" s="149">
        <f t="shared" si="10"/>
        <v>502.1</v>
      </c>
      <c r="F676" s="149"/>
      <c r="G676" s="152">
        <v>3800000</v>
      </c>
      <c r="H676" s="52" t="s">
        <v>60</v>
      </c>
    </row>
    <row r="677" spans="1:8" ht="21.2" customHeight="1">
      <c r="A677" s="8" t="s">
        <v>573</v>
      </c>
      <c r="B677" s="52" t="s">
        <v>60</v>
      </c>
      <c r="C677" s="149"/>
      <c r="D677" s="52" t="s">
        <v>60</v>
      </c>
      <c r="E677" s="52" t="str">
        <f t="shared" si="10"/>
        <v>—</v>
      </c>
      <c r="F677" s="149"/>
      <c r="G677" s="152"/>
      <c r="H677" s="52" t="s">
        <v>834</v>
      </c>
    </row>
    <row r="678" spans="1:8" ht="21.2" customHeight="1">
      <c r="A678" s="8" t="s">
        <v>181</v>
      </c>
      <c r="B678" s="149">
        <v>25.5</v>
      </c>
      <c r="C678" s="149"/>
      <c r="D678" s="149">
        <v>69.03</v>
      </c>
      <c r="E678" s="149">
        <f t="shared" si="10"/>
        <v>47.265000000000001</v>
      </c>
      <c r="F678" s="51"/>
      <c r="G678" s="152">
        <v>3400000</v>
      </c>
      <c r="H678" s="52" t="s">
        <v>834</v>
      </c>
    </row>
    <row r="679" spans="1:8" ht="21.2" customHeight="1">
      <c r="A679" s="8" t="s">
        <v>747</v>
      </c>
      <c r="B679" s="149">
        <v>184.8</v>
      </c>
      <c r="C679" s="149"/>
      <c r="D679" s="149">
        <v>424.12</v>
      </c>
      <c r="E679" s="149">
        <f t="shared" si="10"/>
        <v>304.46000000000004</v>
      </c>
      <c r="F679" s="149"/>
      <c r="G679" s="152">
        <v>2000000</v>
      </c>
      <c r="H679" s="52" t="s">
        <v>834</v>
      </c>
    </row>
    <row r="680" spans="1:8" ht="21.2" customHeight="1">
      <c r="A680" s="8" t="s">
        <v>134</v>
      </c>
      <c r="B680" s="149">
        <v>20.399999999999999</v>
      </c>
      <c r="C680" s="149"/>
      <c r="D680" s="149">
        <v>63.12</v>
      </c>
      <c r="E680" s="149">
        <f t="shared" si="10"/>
        <v>41.76</v>
      </c>
      <c r="F680" s="149"/>
      <c r="G680" s="152">
        <v>4000000</v>
      </c>
      <c r="H680" s="52" t="s">
        <v>834</v>
      </c>
    </row>
    <row r="681" spans="1:8" ht="21.2" customHeight="1">
      <c r="A681" s="8" t="s">
        <v>807</v>
      </c>
      <c r="B681" s="52" t="s">
        <v>60</v>
      </c>
      <c r="C681" s="149"/>
      <c r="D681" s="52" t="s">
        <v>60</v>
      </c>
      <c r="E681" s="52" t="str">
        <f t="shared" si="10"/>
        <v>—</v>
      </c>
      <c r="F681" s="51"/>
      <c r="G681" s="152">
        <v>1000000</v>
      </c>
      <c r="H681" s="52" t="s">
        <v>834</v>
      </c>
    </row>
    <row r="682" spans="1:8" ht="21.2" customHeight="1">
      <c r="A682" s="8" t="s">
        <v>371</v>
      </c>
      <c r="B682" s="149">
        <v>138.4</v>
      </c>
      <c r="C682" s="149"/>
      <c r="D682" s="149">
        <v>188.75</v>
      </c>
      <c r="E682" s="149">
        <f t="shared" si="10"/>
        <v>163.57499999999999</v>
      </c>
      <c r="F682" s="149"/>
      <c r="G682" s="152">
        <v>4750000</v>
      </c>
      <c r="H682" s="52" t="s">
        <v>834</v>
      </c>
    </row>
    <row r="683" spans="1:8" ht="21.2" customHeight="1">
      <c r="A683" s="8" t="s">
        <v>810</v>
      </c>
      <c r="B683" s="52" t="s">
        <v>60</v>
      </c>
      <c r="C683" s="149"/>
      <c r="D683" s="52" t="s">
        <v>60</v>
      </c>
      <c r="E683" s="52" t="str">
        <f t="shared" si="10"/>
        <v>—</v>
      </c>
      <c r="F683" s="149"/>
      <c r="G683" s="152">
        <v>1500000</v>
      </c>
      <c r="H683" s="52" t="s">
        <v>834</v>
      </c>
    </row>
    <row r="684" spans="1:8" ht="21.2" customHeight="1">
      <c r="A684" s="8" t="s">
        <v>817</v>
      </c>
      <c r="B684" s="52" t="s">
        <v>60</v>
      </c>
      <c r="C684" s="149"/>
      <c r="D684" s="52" t="s">
        <v>60</v>
      </c>
      <c r="E684" s="52" t="str">
        <f t="shared" si="10"/>
        <v>—</v>
      </c>
      <c r="F684" s="149"/>
      <c r="G684" s="152">
        <v>900000</v>
      </c>
      <c r="H684" s="52" t="s">
        <v>834</v>
      </c>
    </row>
    <row r="685" spans="1:8" ht="21.2" customHeight="1">
      <c r="A685" s="8" t="s">
        <v>255</v>
      </c>
      <c r="B685" s="149">
        <v>99.2</v>
      </c>
      <c r="C685" s="149"/>
      <c r="D685" s="149">
        <v>119.5</v>
      </c>
      <c r="E685" s="149">
        <f t="shared" si="10"/>
        <v>109.35</v>
      </c>
      <c r="F685" s="149"/>
      <c r="G685" s="152"/>
      <c r="H685" s="52" t="s">
        <v>834</v>
      </c>
    </row>
    <row r="686" spans="1:8" ht="21.2" customHeight="1">
      <c r="A686" s="8" t="s">
        <v>599</v>
      </c>
      <c r="B686" s="149">
        <v>166.1</v>
      </c>
      <c r="C686" s="149"/>
      <c r="D686" s="149">
        <v>326.62</v>
      </c>
      <c r="E686" s="149">
        <f t="shared" si="10"/>
        <v>246.36</v>
      </c>
      <c r="F686" s="149"/>
      <c r="G686" s="152">
        <v>5000000</v>
      </c>
      <c r="H686" s="52" t="s">
        <v>834</v>
      </c>
    </row>
    <row r="687" spans="1:8" ht="21.2" customHeight="1">
      <c r="A687" s="8" t="s">
        <v>250</v>
      </c>
      <c r="B687" s="149">
        <v>74.7</v>
      </c>
      <c r="C687" s="149"/>
      <c r="D687" s="149">
        <v>167.92</v>
      </c>
      <c r="E687" s="149">
        <f t="shared" si="10"/>
        <v>121.31</v>
      </c>
      <c r="F687" s="149"/>
      <c r="G687" s="152">
        <v>10000000</v>
      </c>
      <c r="H687" s="52" t="s">
        <v>834</v>
      </c>
    </row>
    <row r="688" spans="1:8" ht="21.2" customHeight="1">
      <c r="A688" s="8" t="s">
        <v>788</v>
      </c>
      <c r="B688" s="52" t="s">
        <v>60</v>
      </c>
      <c r="C688" s="149"/>
      <c r="D688" s="52" t="s">
        <v>60</v>
      </c>
      <c r="E688" s="52" t="str">
        <f t="shared" si="10"/>
        <v>—</v>
      </c>
      <c r="F688" s="149"/>
      <c r="G688" s="152">
        <v>1100000</v>
      </c>
      <c r="H688" s="52" t="s">
        <v>834</v>
      </c>
    </row>
    <row r="689" spans="1:8" ht="21.2" customHeight="1">
      <c r="A689" s="8" t="s">
        <v>828</v>
      </c>
      <c r="B689" s="52" t="s">
        <v>60</v>
      </c>
      <c r="C689" s="149"/>
      <c r="D689" s="52" t="s">
        <v>60</v>
      </c>
      <c r="E689" s="52" t="str">
        <f t="shared" si="10"/>
        <v>—</v>
      </c>
      <c r="F689" s="149"/>
      <c r="G689" s="152"/>
      <c r="H689" s="52" t="s">
        <v>834</v>
      </c>
    </row>
    <row r="690" spans="1:8" ht="21.2" customHeight="1">
      <c r="A690" s="8" t="s">
        <v>418</v>
      </c>
      <c r="B690" s="149">
        <v>176.5</v>
      </c>
      <c r="C690" s="149"/>
      <c r="D690" s="149">
        <v>223.74</v>
      </c>
      <c r="E690" s="149">
        <f t="shared" si="10"/>
        <v>200.12</v>
      </c>
      <c r="F690" s="149"/>
      <c r="G690" s="152"/>
      <c r="H690" s="52" t="s">
        <v>834</v>
      </c>
    </row>
    <row r="691" spans="1:8" ht="21.2" customHeight="1">
      <c r="A691" s="8" t="s">
        <v>642</v>
      </c>
      <c r="B691" s="149">
        <v>172.9</v>
      </c>
      <c r="C691" s="149"/>
      <c r="D691" s="149">
        <v>238.16</v>
      </c>
      <c r="E691" s="149">
        <f t="shared" si="10"/>
        <v>205.53</v>
      </c>
      <c r="F691" s="149"/>
      <c r="G691" s="152">
        <v>1000000</v>
      </c>
      <c r="H691" s="52" t="s">
        <v>834</v>
      </c>
    </row>
    <row r="692" spans="1:8" ht="21.2" customHeight="1">
      <c r="A692" s="8" t="s">
        <v>199</v>
      </c>
      <c r="B692" s="149">
        <v>63.5</v>
      </c>
      <c r="C692" s="149"/>
      <c r="D692" s="149">
        <v>145.76</v>
      </c>
      <c r="E692" s="149">
        <f t="shared" si="10"/>
        <v>104.63</v>
      </c>
      <c r="F692" s="149"/>
      <c r="G692" s="152"/>
      <c r="H692" s="52" t="s">
        <v>834</v>
      </c>
    </row>
    <row r="693" spans="1:8" ht="21.2" customHeight="1">
      <c r="A693" s="8" t="s">
        <v>679</v>
      </c>
      <c r="B693" s="149">
        <v>94.9</v>
      </c>
      <c r="C693" s="149"/>
      <c r="D693" s="149">
        <v>222.5</v>
      </c>
      <c r="E693" s="149">
        <f t="shared" si="10"/>
        <v>158.69999999999999</v>
      </c>
      <c r="F693" s="149"/>
      <c r="G693" s="152">
        <v>3500000</v>
      </c>
      <c r="H693" s="52" t="s">
        <v>834</v>
      </c>
    </row>
    <row r="694" spans="1:8" ht="21.2" customHeight="1">
      <c r="A694" s="8" t="s">
        <v>601</v>
      </c>
      <c r="B694" s="149">
        <v>165.3</v>
      </c>
      <c r="C694" s="149"/>
      <c r="D694" s="149">
        <v>403.03</v>
      </c>
      <c r="E694" s="149">
        <f t="shared" si="10"/>
        <v>284.16499999999996</v>
      </c>
      <c r="F694" s="149"/>
      <c r="G694" s="152"/>
      <c r="H694" s="52" t="s">
        <v>834</v>
      </c>
    </row>
    <row r="695" spans="1:8" ht="21.2" customHeight="1">
      <c r="A695" s="8" t="s">
        <v>653</v>
      </c>
      <c r="B695" s="52" t="s">
        <v>60</v>
      </c>
      <c r="C695" s="149"/>
      <c r="D695" s="149">
        <v>248.54</v>
      </c>
      <c r="E695" s="149">
        <f t="shared" si="10"/>
        <v>248.54</v>
      </c>
      <c r="F695" s="149"/>
      <c r="G695" s="152">
        <v>1000000</v>
      </c>
      <c r="H695" s="52" t="s">
        <v>834</v>
      </c>
    </row>
    <row r="696" spans="1:8" ht="21.2" customHeight="1">
      <c r="A696" s="8" t="s">
        <v>826</v>
      </c>
      <c r="B696" s="52" t="s">
        <v>60</v>
      </c>
      <c r="C696" s="149"/>
      <c r="D696" s="52" t="s">
        <v>60</v>
      </c>
      <c r="E696" s="52" t="str">
        <f t="shared" si="10"/>
        <v>—</v>
      </c>
      <c r="F696" s="149"/>
      <c r="G696" s="152">
        <v>1800000</v>
      </c>
      <c r="H696" s="52" t="s">
        <v>834</v>
      </c>
    </row>
    <row r="697" spans="1:8" ht="21.2" customHeight="1">
      <c r="A697" s="8" t="s">
        <v>292</v>
      </c>
      <c r="B697" s="149">
        <v>80.7</v>
      </c>
      <c r="C697" s="149"/>
      <c r="D697" s="149">
        <v>144.84</v>
      </c>
      <c r="E697" s="149">
        <f t="shared" si="10"/>
        <v>112.77000000000001</v>
      </c>
      <c r="F697" s="149"/>
      <c r="G697" s="152">
        <v>3400000</v>
      </c>
      <c r="H697" s="52" t="s">
        <v>834</v>
      </c>
    </row>
    <row r="698" spans="1:8" ht="21.2" customHeight="1">
      <c r="A698" s="8" t="s">
        <v>574</v>
      </c>
      <c r="B698" s="149">
        <v>160.4</v>
      </c>
      <c r="C698" s="149"/>
      <c r="D698" s="149">
        <v>222.23</v>
      </c>
      <c r="E698" s="149">
        <f t="shared" si="10"/>
        <v>191.315</v>
      </c>
      <c r="F698" s="149"/>
      <c r="G698" s="152"/>
      <c r="H698" s="52" t="s">
        <v>58</v>
      </c>
    </row>
    <row r="699" spans="1:8" ht="21.2" customHeight="1">
      <c r="A699" s="8" t="s">
        <v>150</v>
      </c>
      <c r="B699" s="149">
        <v>49.5</v>
      </c>
      <c r="C699" s="149"/>
      <c r="D699" s="149">
        <v>59.21</v>
      </c>
      <c r="E699" s="149">
        <f t="shared" si="10"/>
        <v>54.355000000000004</v>
      </c>
      <c r="F699" s="149"/>
      <c r="G699" s="152">
        <v>5000000</v>
      </c>
      <c r="H699" s="52" t="s">
        <v>60</v>
      </c>
    </row>
    <row r="700" spans="1:8" ht="21.2" customHeight="1">
      <c r="A700" s="8" t="s">
        <v>823</v>
      </c>
      <c r="B700" s="52" t="s">
        <v>60</v>
      </c>
      <c r="C700" s="149"/>
      <c r="D700" s="52" t="s">
        <v>60</v>
      </c>
      <c r="E700" s="52" t="str">
        <f t="shared" si="10"/>
        <v>—</v>
      </c>
      <c r="F700" s="149"/>
      <c r="G700" s="152"/>
      <c r="H700" s="52" t="s">
        <v>834</v>
      </c>
    </row>
    <row r="701" spans="1:8" ht="21.2" customHeight="1">
      <c r="A701" s="8" t="s">
        <v>129</v>
      </c>
      <c r="B701" s="149">
        <v>15.5</v>
      </c>
      <c r="C701" s="149"/>
      <c r="D701" s="149">
        <v>65.900000000000006</v>
      </c>
      <c r="E701" s="149">
        <f t="shared" si="10"/>
        <v>40.700000000000003</v>
      </c>
      <c r="F701" s="149"/>
      <c r="G701" s="152">
        <v>4000000</v>
      </c>
      <c r="H701" s="52" t="s">
        <v>834</v>
      </c>
    </row>
    <row r="702" spans="1:8" ht="21.2" customHeight="1">
      <c r="A702" s="8" t="s">
        <v>793</v>
      </c>
      <c r="B702" s="52" t="s">
        <v>60</v>
      </c>
      <c r="C702" s="149"/>
      <c r="D702" s="52" t="s">
        <v>60</v>
      </c>
      <c r="E702" s="52" t="str">
        <f t="shared" si="10"/>
        <v>—</v>
      </c>
      <c r="F702" s="149"/>
      <c r="G702" s="152">
        <v>2750000</v>
      </c>
      <c r="H702" s="52" t="s">
        <v>834</v>
      </c>
    </row>
    <row r="703" spans="1:8" ht="21.2" customHeight="1">
      <c r="A703" s="8" t="s">
        <v>130</v>
      </c>
      <c r="B703" s="149">
        <v>14.2</v>
      </c>
      <c r="C703" s="149"/>
      <c r="D703" s="149">
        <v>51.33</v>
      </c>
      <c r="E703" s="149">
        <f t="shared" si="10"/>
        <v>32.765000000000001</v>
      </c>
      <c r="F703" s="149"/>
      <c r="G703" s="152">
        <v>5666667</v>
      </c>
      <c r="H703" s="52" t="s">
        <v>58</v>
      </c>
    </row>
    <row r="704" spans="1:8" ht="21.2" customHeight="1">
      <c r="A704" s="8" t="s">
        <v>771</v>
      </c>
      <c r="B704" s="52" t="s">
        <v>60</v>
      </c>
      <c r="C704" s="149"/>
      <c r="D704" s="52" t="s">
        <v>60</v>
      </c>
      <c r="E704" s="52" t="str">
        <f t="shared" si="10"/>
        <v>—</v>
      </c>
      <c r="F704" s="149"/>
      <c r="G704" s="152"/>
      <c r="H704" s="52" t="s">
        <v>834</v>
      </c>
    </row>
    <row r="705" spans="1:8" ht="21.2" customHeight="1">
      <c r="A705" s="8" t="s">
        <v>361</v>
      </c>
      <c r="B705" s="149">
        <v>91.4</v>
      </c>
      <c r="C705" s="149"/>
      <c r="D705" s="149">
        <v>178.36</v>
      </c>
      <c r="E705" s="149">
        <f t="shared" si="10"/>
        <v>134.88</v>
      </c>
      <c r="F705" s="149"/>
      <c r="G705" s="152"/>
      <c r="H705" s="52" t="s">
        <v>834</v>
      </c>
    </row>
    <row r="706" spans="1:8" ht="21.2" customHeight="1">
      <c r="A706" s="8" t="s">
        <v>543</v>
      </c>
      <c r="B706" s="52" t="s">
        <v>60</v>
      </c>
      <c r="C706" s="149"/>
      <c r="D706" s="149">
        <v>449.67</v>
      </c>
      <c r="E706" s="149">
        <f t="shared" ref="E706:E731" si="11">IFERROR(AVERAGE(B706:D706),"—")</f>
        <v>449.67</v>
      </c>
      <c r="F706" s="149"/>
      <c r="G706" s="152">
        <v>2750000</v>
      </c>
      <c r="H706" s="52" t="s">
        <v>834</v>
      </c>
    </row>
    <row r="707" spans="1:8" ht="21.2" customHeight="1">
      <c r="A707" s="8" t="s">
        <v>310</v>
      </c>
      <c r="B707" s="149">
        <v>130</v>
      </c>
      <c r="C707" s="149"/>
      <c r="D707" s="149">
        <v>186.88</v>
      </c>
      <c r="E707" s="149">
        <f t="shared" si="11"/>
        <v>158.44</v>
      </c>
      <c r="F707" s="149"/>
      <c r="G707" s="152">
        <v>3979000</v>
      </c>
      <c r="H707" s="52" t="s">
        <v>60</v>
      </c>
    </row>
    <row r="708" spans="1:8" ht="21.2" customHeight="1">
      <c r="A708" s="8" t="s">
        <v>773</v>
      </c>
      <c r="B708" s="52" t="s">
        <v>60</v>
      </c>
      <c r="C708" s="149"/>
      <c r="D708" s="52" t="s">
        <v>60</v>
      </c>
      <c r="E708" s="52" t="str">
        <f t="shared" si="11"/>
        <v>—</v>
      </c>
      <c r="F708" s="149"/>
      <c r="G708" s="152">
        <v>5000000</v>
      </c>
      <c r="H708" s="52" t="s">
        <v>834</v>
      </c>
    </row>
    <row r="709" spans="1:8" ht="21.2" customHeight="1">
      <c r="A709" s="8" t="s">
        <v>829</v>
      </c>
      <c r="B709" s="52" t="s">
        <v>60</v>
      </c>
      <c r="C709" s="149"/>
      <c r="D709" s="52" t="s">
        <v>60</v>
      </c>
      <c r="E709" s="52" t="str">
        <f t="shared" si="11"/>
        <v>—</v>
      </c>
      <c r="F709" s="149"/>
      <c r="G709" s="152">
        <v>775000</v>
      </c>
      <c r="H709" s="52" t="s">
        <v>834</v>
      </c>
    </row>
    <row r="710" spans="1:8" ht="21.2" customHeight="1">
      <c r="A710" s="8" t="s">
        <v>200</v>
      </c>
      <c r="B710" s="149">
        <v>91.3</v>
      </c>
      <c r="C710" s="149"/>
      <c r="D710" s="149">
        <v>139.96</v>
      </c>
      <c r="E710" s="149">
        <f t="shared" si="11"/>
        <v>115.63</v>
      </c>
      <c r="F710" s="149"/>
      <c r="G710" s="152"/>
      <c r="H710" s="52" t="s">
        <v>834</v>
      </c>
    </row>
    <row r="711" spans="1:8" ht="21.2" customHeight="1">
      <c r="A711" s="8" t="s">
        <v>745</v>
      </c>
      <c r="B711" s="52" t="s">
        <v>60</v>
      </c>
      <c r="C711" s="149"/>
      <c r="D711" s="52" t="s">
        <v>60</v>
      </c>
      <c r="E711" s="52" t="str">
        <f t="shared" si="11"/>
        <v>—</v>
      </c>
      <c r="F711" s="149"/>
      <c r="G711" s="152">
        <v>1500000</v>
      </c>
      <c r="H711" s="52" t="s">
        <v>834</v>
      </c>
    </row>
    <row r="712" spans="1:8" ht="21.2" customHeight="1">
      <c r="A712" s="8" t="s">
        <v>355</v>
      </c>
      <c r="B712" s="149">
        <v>160.9</v>
      </c>
      <c r="C712" s="149"/>
      <c r="D712" s="149">
        <v>205.53</v>
      </c>
      <c r="E712" s="149">
        <f t="shared" si="11"/>
        <v>183.215</v>
      </c>
      <c r="F712" s="149"/>
      <c r="G712" s="152">
        <v>5900000</v>
      </c>
      <c r="H712" s="52" t="s">
        <v>58</v>
      </c>
    </row>
    <row r="713" spans="1:8" ht="21.2" customHeight="1">
      <c r="A713" s="8" t="s">
        <v>812</v>
      </c>
      <c r="B713" s="52" t="s">
        <v>60</v>
      </c>
      <c r="C713" s="149"/>
      <c r="D713" s="52" t="s">
        <v>60</v>
      </c>
      <c r="E713" s="52" t="str">
        <f t="shared" si="11"/>
        <v>—</v>
      </c>
      <c r="F713" s="149"/>
      <c r="G713" s="152"/>
      <c r="H713" s="52" t="s">
        <v>834</v>
      </c>
    </row>
    <row r="714" spans="1:8" ht="21.2" customHeight="1">
      <c r="A714" s="8" t="s">
        <v>825</v>
      </c>
      <c r="B714" s="52" t="s">
        <v>60</v>
      </c>
      <c r="C714" s="149"/>
      <c r="D714" s="52" t="s">
        <v>60</v>
      </c>
      <c r="E714" s="52" t="str">
        <f t="shared" si="11"/>
        <v>—</v>
      </c>
      <c r="F714" s="149"/>
      <c r="G714" s="152">
        <v>3500000</v>
      </c>
      <c r="H714" s="52" t="s">
        <v>834</v>
      </c>
    </row>
    <row r="715" spans="1:8" ht="21.2" customHeight="1">
      <c r="A715" s="8" t="s">
        <v>447</v>
      </c>
      <c r="B715" s="52" t="s">
        <v>60</v>
      </c>
      <c r="C715" s="149"/>
      <c r="D715" s="52" t="s">
        <v>60</v>
      </c>
      <c r="E715" s="52" t="str">
        <f t="shared" si="11"/>
        <v>—</v>
      </c>
      <c r="F715" s="149"/>
      <c r="G715" s="152">
        <v>2750000</v>
      </c>
      <c r="H715" s="52" t="s">
        <v>60</v>
      </c>
    </row>
    <row r="716" spans="1:8" ht="21.2" customHeight="1">
      <c r="A716" s="8" t="s">
        <v>687</v>
      </c>
      <c r="B716" s="52" t="s">
        <v>60</v>
      </c>
      <c r="C716" s="149"/>
      <c r="D716" s="52" t="s">
        <v>60</v>
      </c>
      <c r="E716" s="52" t="str">
        <f t="shared" si="11"/>
        <v>—</v>
      </c>
      <c r="F716" s="149"/>
      <c r="G716" s="152">
        <v>2350000</v>
      </c>
      <c r="H716" s="52" t="s">
        <v>834</v>
      </c>
    </row>
    <row r="717" spans="1:8" ht="21.2" customHeight="1">
      <c r="A717" s="8" t="s">
        <v>241</v>
      </c>
      <c r="B717" s="149">
        <v>167.6</v>
      </c>
      <c r="C717" s="149"/>
      <c r="D717" s="149">
        <v>217.81</v>
      </c>
      <c r="E717" s="149">
        <f t="shared" si="11"/>
        <v>192.70499999999998</v>
      </c>
      <c r="F717" s="149"/>
      <c r="G717" s="152">
        <v>6000000</v>
      </c>
      <c r="H717" s="52" t="s">
        <v>60</v>
      </c>
    </row>
    <row r="718" spans="1:8" ht="21.2" customHeight="1">
      <c r="A718" s="8" t="s">
        <v>803</v>
      </c>
      <c r="B718" s="52" t="s">
        <v>60</v>
      </c>
      <c r="C718" s="149"/>
      <c r="D718" s="149">
        <v>416.73</v>
      </c>
      <c r="E718" s="149">
        <f t="shared" si="11"/>
        <v>416.73</v>
      </c>
      <c r="F718" s="149"/>
      <c r="G718" s="152"/>
      <c r="H718" s="52" t="s">
        <v>834</v>
      </c>
    </row>
    <row r="719" spans="1:8" ht="21.2" customHeight="1">
      <c r="A719" s="8" t="s">
        <v>282</v>
      </c>
      <c r="B719" s="149">
        <v>19.3</v>
      </c>
      <c r="C719" s="149"/>
      <c r="D719" s="149">
        <v>51.77</v>
      </c>
      <c r="E719" s="149">
        <f t="shared" si="11"/>
        <v>35.535000000000004</v>
      </c>
      <c r="F719" s="149"/>
      <c r="G719" s="152">
        <v>9500000</v>
      </c>
      <c r="H719" s="52" t="s">
        <v>834</v>
      </c>
    </row>
    <row r="720" spans="1:8" ht="21.2" customHeight="1">
      <c r="A720" s="8" t="s">
        <v>607</v>
      </c>
      <c r="B720" s="52" t="s">
        <v>60</v>
      </c>
      <c r="C720" s="149"/>
      <c r="D720" s="52" t="s">
        <v>60</v>
      </c>
      <c r="E720" s="52" t="str">
        <f t="shared" si="11"/>
        <v>—</v>
      </c>
      <c r="F720" s="149"/>
      <c r="G720" s="152"/>
      <c r="H720" s="52" t="s">
        <v>834</v>
      </c>
    </row>
    <row r="721" spans="1:8" ht="21.2" customHeight="1">
      <c r="A721" s="8" t="s">
        <v>238</v>
      </c>
      <c r="B721" s="149">
        <v>81.099999999999994</v>
      </c>
      <c r="C721" s="149"/>
      <c r="D721" s="149">
        <v>133.76</v>
      </c>
      <c r="E721" s="149">
        <f t="shared" si="11"/>
        <v>107.42999999999999</v>
      </c>
      <c r="F721" s="149"/>
      <c r="G721" s="152"/>
      <c r="H721" s="52" t="s">
        <v>834</v>
      </c>
    </row>
    <row r="722" spans="1:8" ht="21.2" customHeight="1">
      <c r="A722" s="8" t="s">
        <v>727</v>
      </c>
      <c r="B722" s="149">
        <v>169.9</v>
      </c>
      <c r="C722" s="149"/>
      <c r="D722" s="149">
        <v>315.77999999999997</v>
      </c>
      <c r="E722" s="149">
        <f t="shared" si="11"/>
        <v>242.83999999999997</v>
      </c>
      <c r="F722" s="149"/>
      <c r="G722" s="152"/>
      <c r="H722" s="52" t="s">
        <v>834</v>
      </c>
    </row>
    <row r="723" spans="1:8" ht="21.2" customHeight="1">
      <c r="A723" s="8" t="s">
        <v>831</v>
      </c>
      <c r="B723" s="52" t="s">
        <v>60</v>
      </c>
      <c r="C723" s="149"/>
      <c r="D723" s="52" t="s">
        <v>60</v>
      </c>
      <c r="E723" s="52" t="str">
        <f t="shared" si="11"/>
        <v>—</v>
      </c>
      <c r="F723" s="149"/>
      <c r="G723" s="152">
        <v>4687500</v>
      </c>
      <c r="H723" s="52" t="s">
        <v>834</v>
      </c>
    </row>
    <row r="724" spans="1:8" ht="21.2" customHeight="1">
      <c r="A724" s="8" t="s">
        <v>178</v>
      </c>
      <c r="B724" s="149">
        <v>96.4</v>
      </c>
      <c r="C724" s="149"/>
      <c r="D724" s="149">
        <v>120.87</v>
      </c>
      <c r="E724" s="149">
        <f t="shared" si="11"/>
        <v>108.63500000000001</v>
      </c>
      <c r="F724" s="149"/>
      <c r="G724" s="152">
        <v>5000000</v>
      </c>
      <c r="H724" s="52" t="s">
        <v>58</v>
      </c>
    </row>
    <row r="725" spans="1:8" ht="21.2" customHeight="1">
      <c r="A725" s="8" t="s">
        <v>832</v>
      </c>
      <c r="B725" s="52" t="s">
        <v>60</v>
      </c>
      <c r="C725" s="149"/>
      <c r="D725" s="52" t="s">
        <v>60</v>
      </c>
      <c r="E725" s="52" t="str">
        <f t="shared" si="11"/>
        <v>—</v>
      </c>
      <c r="F725" s="149"/>
      <c r="G725" s="152">
        <v>762500</v>
      </c>
      <c r="H725" s="52" t="s">
        <v>834</v>
      </c>
    </row>
    <row r="726" spans="1:8" ht="21.2" customHeight="1">
      <c r="A726" s="8" t="s">
        <v>249</v>
      </c>
      <c r="B726" s="149">
        <v>152.80000000000001</v>
      </c>
      <c r="C726" s="149"/>
      <c r="D726" s="149">
        <v>196.77</v>
      </c>
      <c r="E726" s="149">
        <f t="shared" si="11"/>
        <v>174.78500000000003</v>
      </c>
      <c r="F726" s="149"/>
      <c r="G726" s="152"/>
      <c r="H726" s="52" t="s">
        <v>58</v>
      </c>
    </row>
    <row r="727" spans="1:8" ht="21.2" customHeight="1">
      <c r="A727" s="8" t="s">
        <v>551</v>
      </c>
      <c r="B727" s="149">
        <v>162.19999999999999</v>
      </c>
      <c r="C727" s="149"/>
      <c r="D727" s="149">
        <v>186.24</v>
      </c>
      <c r="E727" s="149">
        <f t="shared" si="11"/>
        <v>174.22</v>
      </c>
      <c r="F727" s="149"/>
      <c r="G727" s="152">
        <v>766667</v>
      </c>
      <c r="H727" s="52" t="s">
        <v>834</v>
      </c>
    </row>
    <row r="728" spans="1:8" ht="21.2" customHeight="1">
      <c r="A728" s="8" t="s">
        <v>142</v>
      </c>
      <c r="B728" s="149">
        <v>30.9</v>
      </c>
      <c r="C728" s="149"/>
      <c r="D728" s="149">
        <v>73.819999999999993</v>
      </c>
      <c r="E728" s="149">
        <f t="shared" si="11"/>
        <v>52.36</v>
      </c>
      <c r="F728" s="149"/>
      <c r="G728" s="152">
        <v>6166666</v>
      </c>
      <c r="H728" s="52" t="s">
        <v>834</v>
      </c>
    </row>
    <row r="729" spans="1:8" ht="21.2" customHeight="1">
      <c r="A729" s="8" t="s">
        <v>815</v>
      </c>
      <c r="B729" s="52" t="s">
        <v>60</v>
      </c>
      <c r="C729" s="149"/>
      <c r="D729" s="149">
        <v>465.9</v>
      </c>
      <c r="E729" s="149">
        <f t="shared" si="11"/>
        <v>465.9</v>
      </c>
      <c r="F729" s="149"/>
      <c r="G729" s="152">
        <v>1750000</v>
      </c>
      <c r="H729" s="52" t="s">
        <v>834</v>
      </c>
    </row>
    <row r="730" spans="1:8" ht="21.2" customHeight="1">
      <c r="A730" s="8" t="s">
        <v>252</v>
      </c>
      <c r="B730" s="149">
        <v>100.7</v>
      </c>
      <c r="C730" s="149"/>
      <c r="D730" s="149">
        <v>137.25</v>
      </c>
      <c r="E730" s="149">
        <f t="shared" si="11"/>
        <v>118.97499999999999</v>
      </c>
      <c r="F730" s="149"/>
      <c r="G730" s="152">
        <v>5250000</v>
      </c>
      <c r="H730" s="52" t="s">
        <v>60</v>
      </c>
    </row>
    <row r="731" spans="1:8" ht="21.2" customHeight="1">
      <c r="A731" s="8" t="s">
        <v>754</v>
      </c>
      <c r="B731" s="52" t="s">
        <v>60</v>
      </c>
      <c r="C731" s="149"/>
      <c r="D731" s="52" t="s">
        <v>60</v>
      </c>
      <c r="E731" s="52" t="str">
        <f t="shared" si="11"/>
        <v>—</v>
      </c>
      <c r="F731" s="149"/>
      <c r="G731" s="152">
        <v>1100000</v>
      </c>
      <c r="H731" s="52" t="s">
        <v>834</v>
      </c>
    </row>
  </sheetData>
  <pageMargins left="1" right="1" top="1" bottom="1" header="0.25" footer="0.25"/>
  <pageSetup orientation="portrait"/>
  <headerFooter>
    <oddFooter>&amp;C&amp;"Helvetica,Regular"&amp;12&amp;K000000&amp;P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E734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defaultColWidth="8" defaultRowHeight="16.350000000000001" customHeight="1"/>
  <cols>
    <col min="1" max="1" width="28.28515625" style="1" customWidth="1"/>
    <col min="2" max="4" width="7.140625" style="1" customWidth="1"/>
    <col min="5" max="22" width="8.28515625" style="1" customWidth="1"/>
    <col min="23" max="23" width="2.28515625" style="1" customWidth="1"/>
    <col min="24" max="28" width="7.140625" style="1" customWidth="1"/>
    <col min="29" max="31" width="8.28515625" style="1" customWidth="1"/>
    <col min="32" max="32" width="8" style="1" customWidth="1"/>
    <col min="33" max="16384" width="8" style="1"/>
  </cols>
  <sheetData>
    <row r="1" spans="1:31" ht="21.2" customHeight="1">
      <c r="A1" s="153"/>
      <c r="B1" s="154"/>
      <c r="C1" s="154"/>
      <c r="D1" s="154"/>
      <c r="E1" s="155"/>
      <c r="F1" s="236" t="s">
        <v>855</v>
      </c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154"/>
      <c r="X1" s="236" t="s">
        <v>856</v>
      </c>
      <c r="Y1" s="237"/>
      <c r="Z1" s="237"/>
      <c r="AA1" s="237"/>
      <c r="AB1" s="237"/>
      <c r="AC1" s="237"/>
      <c r="AD1" s="237"/>
      <c r="AE1" s="237"/>
    </row>
    <row r="2" spans="1:31" ht="21.2" customHeight="1">
      <c r="A2" s="2" t="s">
        <v>857</v>
      </c>
      <c r="B2" s="3" t="s">
        <v>843</v>
      </c>
      <c r="C2" s="3" t="s">
        <v>858</v>
      </c>
      <c r="D2" s="3" t="s">
        <v>3</v>
      </c>
      <c r="E2" s="156" t="s">
        <v>77</v>
      </c>
      <c r="F2" s="156" t="s">
        <v>78</v>
      </c>
      <c r="G2" s="156" t="s">
        <v>79</v>
      </c>
      <c r="H2" s="156" t="s">
        <v>80</v>
      </c>
      <c r="I2" s="156" t="s">
        <v>81</v>
      </c>
      <c r="J2" s="156" t="s">
        <v>82</v>
      </c>
      <c r="K2" s="156" t="s">
        <v>83</v>
      </c>
      <c r="L2" s="156" t="s">
        <v>84</v>
      </c>
      <c r="M2" s="156" t="s">
        <v>85</v>
      </c>
      <c r="N2" s="156" t="s">
        <v>86</v>
      </c>
      <c r="O2" s="156" t="s">
        <v>87</v>
      </c>
      <c r="P2" s="156" t="s">
        <v>88</v>
      </c>
      <c r="Q2" s="156" t="s">
        <v>89</v>
      </c>
      <c r="R2" s="156" t="s">
        <v>90</v>
      </c>
      <c r="S2" s="156" t="s">
        <v>91</v>
      </c>
      <c r="T2" s="156" t="s">
        <v>92</v>
      </c>
      <c r="U2" s="156" t="s">
        <v>93</v>
      </c>
      <c r="V2" s="156" t="s">
        <v>94</v>
      </c>
      <c r="W2" s="157"/>
      <c r="X2" s="156" t="s">
        <v>77</v>
      </c>
      <c r="Y2" s="156" t="s">
        <v>95</v>
      </c>
      <c r="Z2" s="156" t="s">
        <v>96</v>
      </c>
      <c r="AA2" s="156" t="s">
        <v>97</v>
      </c>
      <c r="AB2" s="156" t="s">
        <v>98</v>
      </c>
      <c r="AC2" s="156" t="s">
        <v>99</v>
      </c>
      <c r="AD2" s="156" t="s">
        <v>101</v>
      </c>
      <c r="AE2" s="156" t="s">
        <v>100</v>
      </c>
    </row>
    <row r="3" spans="1:31" ht="21.2" customHeight="1">
      <c r="A3" s="8" t="s">
        <v>103</v>
      </c>
      <c r="B3" s="158" t="s">
        <v>859</v>
      </c>
      <c r="C3" s="159">
        <v>26</v>
      </c>
      <c r="D3" s="158" t="s">
        <v>846</v>
      </c>
      <c r="E3" s="58">
        <v>81.754999999999995</v>
      </c>
      <c r="F3" s="160">
        <v>22.290784001524401</v>
      </c>
      <c r="G3" s="161">
        <v>0.66470296253743399</v>
      </c>
      <c r="H3" s="161">
        <v>1.0670385172016601</v>
      </c>
      <c r="I3" s="161">
        <v>1.7317414797391</v>
      </c>
      <c r="J3" s="161">
        <v>4.0778245609515098</v>
      </c>
      <c r="K3" s="161">
        <v>0.19801954969680499</v>
      </c>
      <c r="L3" s="161">
        <v>0.72247871247208295</v>
      </c>
      <c r="M3" s="161">
        <v>2.3424577516107301E-2</v>
      </c>
      <c r="N3" s="161">
        <v>5.1203287680921999E-2</v>
      </c>
      <c r="O3" s="161">
        <v>0.44918299948471502</v>
      </c>
      <c r="P3" s="161">
        <v>1.01311586408059</v>
      </c>
      <c r="Q3" s="161">
        <v>0.134208014375894</v>
      </c>
      <c r="R3" s="161">
        <v>0.44165875517429098</v>
      </c>
      <c r="S3" s="161">
        <v>0.105215342969303</v>
      </c>
      <c r="T3" s="161">
        <v>6.4244611876209801</v>
      </c>
      <c r="U3" s="161">
        <v>5.90579824186457</v>
      </c>
      <c r="V3" s="161">
        <v>0.521032118128679</v>
      </c>
      <c r="W3" s="161"/>
      <c r="X3" s="58"/>
      <c r="Y3" s="160"/>
      <c r="Z3" s="160"/>
      <c r="AA3" s="160"/>
      <c r="AB3" s="160"/>
      <c r="AC3" s="160"/>
      <c r="AD3" s="162"/>
      <c r="AE3" s="161"/>
    </row>
    <row r="4" spans="1:31" ht="21.2" customHeight="1">
      <c r="A4" s="8" t="s">
        <v>105</v>
      </c>
      <c r="B4" s="158" t="s">
        <v>859</v>
      </c>
      <c r="C4" s="159">
        <v>27</v>
      </c>
      <c r="D4" s="158" t="s">
        <v>860</v>
      </c>
      <c r="E4" s="58">
        <v>81.400000000000006</v>
      </c>
      <c r="F4" s="160">
        <v>21.669641814024398</v>
      </c>
      <c r="G4" s="161">
        <v>0.63391566745313899</v>
      </c>
      <c r="H4" s="161">
        <v>0.84607840118265598</v>
      </c>
      <c r="I4" s="161">
        <v>1.47999406863579</v>
      </c>
      <c r="J4" s="161">
        <v>3.1401321812525702</v>
      </c>
      <c r="K4" s="161">
        <v>0.33746257201971602</v>
      </c>
      <c r="L4" s="161">
        <v>0.64624989872142902</v>
      </c>
      <c r="M4" s="161">
        <v>8.1672577538260405E-3</v>
      </c>
      <c r="N4" s="161">
        <v>1.28448989057588E-2</v>
      </c>
      <c r="O4" s="161">
        <v>0.43331180332298502</v>
      </c>
      <c r="P4" s="161">
        <v>0.75721514787090405</v>
      </c>
      <c r="Q4" s="161">
        <v>8.5875790886145997E-2</v>
      </c>
      <c r="R4" s="161">
        <v>0.40096150832355998</v>
      </c>
      <c r="S4" s="161">
        <v>0.10034204467825</v>
      </c>
      <c r="T4" s="161">
        <v>10.114710699488301</v>
      </c>
      <c r="U4" s="161">
        <v>8.4511874316622997</v>
      </c>
      <c r="V4" s="161">
        <v>0.54480050617736797</v>
      </c>
      <c r="W4" s="161"/>
      <c r="X4" s="58"/>
      <c r="Y4" s="160"/>
      <c r="Z4" s="160"/>
      <c r="AA4" s="160"/>
      <c r="AB4" s="160"/>
      <c r="AC4" s="160"/>
      <c r="AD4" s="162"/>
      <c r="AE4" s="161"/>
    </row>
    <row r="5" spans="1:31" ht="21.2" customHeight="1">
      <c r="A5" s="8" t="s">
        <v>106</v>
      </c>
      <c r="B5" s="158" t="s">
        <v>861</v>
      </c>
      <c r="C5" s="159">
        <v>27</v>
      </c>
      <c r="D5" s="158" t="s">
        <v>846</v>
      </c>
      <c r="E5" s="58">
        <v>76.568571428571403</v>
      </c>
      <c r="F5" s="160">
        <v>22.202629980880701</v>
      </c>
      <c r="G5" s="161">
        <v>0.539962176742944</v>
      </c>
      <c r="H5" s="161">
        <v>0.92326100732182104</v>
      </c>
      <c r="I5" s="161">
        <v>1.46322318406477</v>
      </c>
      <c r="J5" s="161">
        <v>4.8669146197733504</v>
      </c>
      <c r="K5" s="161">
        <v>0.14841056084676199</v>
      </c>
      <c r="L5" s="161">
        <v>0.44934845184821498</v>
      </c>
      <c r="M5" s="161">
        <v>4.24521628937649E-4</v>
      </c>
      <c r="N5" s="161">
        <v>7.9167287018512696E-4</v>
      </c>
      <c r="O5" s="161">
        <v>0.56683353605155595</v>
      </c>
      <c r="P5" s="161">
        <v>0.83363305232519502</v>
      </c>
      <c r="Q5" s="161">
        <v>0.117919883446337</v>
      </c>
      <c r="R5" s="161">
        <v>0.54093502712444796</v>
      </c>
      <c r="S5" s="161">
        <v>8.5430151830398496E-2</v>
      </c>
      <c r="T5" s="161">
        <v>7.0476614913495998</v>
      </c>
      <c r="U5" s="161">
        <v>8.4532584450505492</v>
      </c>
      <c r="V5" s="161">
        <v>0.45466085369552001</v>
      </c>
      <c r="W5" s="161"/>
      <c r="X5" s="58"/>
      <c r="Y5" s="160"/>
      <c r="Z5" s="160"/>
      <c r="AA5" s="160"/>
      <c r="AB5" s="160"/>
      <c r="AC5" s="160"/>
      <c r="AD5" s="162"/>
      <c r="AE5" s="161"/>
    </row>
    <row r="6" spans="1:31" ht="21.2" customHeight="1">
      <c r="A6" s="8" t="s">
        <v>110</v>
      </c>
      <c r="B6" s="158" t="s">
        <v>862</v>
      </c>
      <c r="C6" s="159">
        <v>30</v>
      </c>
      <c r="D6" s="158" t="s">
        <v>848</v>
      </c>
      <c r="E6" s="58">
        <v>79.7</v>
      </c>
      <c r="F6" s="160">
        <v>20.126276658841501</v>
      </c>
      <c r="G6" s="161">
        <v>0.400972965804545</v>
      </c>
      <c r="H6" s="161">
        <v>0.92340943192464298</v>
      </c>
      <c r="I6" s="161">
        <v>1.32438239772918</v>
      </c>
      <c r="J6" s="161">
        <v>3.2926599040158302</v>
      </c>
      <c r="K6" s="161">
        <v>0.115941744059051</v>
      </c>
      <c r="L6" s="161">
        <v>0.55308975936151705</v>
      </c>
      <c r="M6" s="161">
        <v>4.9567370198671002E-5</v>
      </c>
      <c r="N6" s="161">
        <v>8.8804224178197597E-5</v>
      </c>
      <c r="O6" s="161">
        <v>0.32363980988848501</v>
      </c>
      <c r="P6" s="161">
        <v>0.73084476966102596</v>
      </c>
      <c r="Q6" s="161">
        <v>1.9443479959802602E-2</v>
      </c>
      <c r="R6" s="161">
        <v>0.45990348638468997</v>
      </c>
      <c r="S6" s="161">
        <v>6.2752414802091705E-2</v>
      </c>
      <c r="T6" s="161">
        <v>2.40731671945521E-2</v>
      </c>
      <c r="U6" s="161">
        <v>0</v>
      </c>
      <c r="V6" s="161">
        <v>1</v>
      </c>
      <c r="W6" s="161"/>
      <c r="X6" s="58"/>
      <c r="Y6" s="160"/>
      <c r="Z6" s="160"/>
      <c r="AA6" s="160"/>
      <c r="AB6" s="160"/>
      <c r="AC6" s="160"/>
      <c r="AD6" s="162"/>
      <c r="AE6" s="161"/>
    </row>
    <row r="7" spans="1:31" ht="21.2" customHeight="1">
      <c r="A7" s="8" t="s">
        <v>107</v>
      </c>
      <c r="B7" s="158" t="s">
        <v>863</v>
      </c>
      <c r="C7" s="159">
        <v>25</v>
      </c>
      <c r="D7" s="158" t="s">
        <v>864</v>
      </c>
      <c r="E7" s="58">
        <v>81.497500000000002</v>
      </c>
      <c r="F7" s="160">
        <v>20.124918332980801</v>
      </c>
      <c r="G7" s="161">
        <v>0.50542640168152297</v>
      </c>
      <c r="H7" s="161">
        <v>0.81251934589344099</v>
      </c>
      <c r="I7" s="161">
        <v>1.3179457475749601</v>
      </c>
      <c r="J7" s="161">
        <v>3.7675904285728699</v>
      </c>
      <c r="K7" s="161">
        <v>0.16263242721846199</v>
      </c>
      <c r="L7" s="161">
        <v>0.42728836269907</v>
      </c>
      <c r="M7" s="161">
        <v>1.2596960722772901E-3</v>
      </c>
      <c r="N7" s="161">
        <v>8.1684798733902102E-3</v>
      </c>
      <c r="O7" s="161">
        <v>0.35798343571618402</v>
      </c>
      <c r="P7" s="161">
        <v>1.0259949474171599</v>
      </c>
      <c r="Q7" s="161">
        <v>0.138695096157918</v>
      </c>
      <c r="R7" s="161">
        <v>0.88539494560563703</v>
      </c>
      <c r="S7" s="161">
        <v>7.2504570190123505E-2</v>
      </c>
      <c r="T7" s="161">
        <v>0.167690997590941</v>
      </c>
      <c r="U7" s="161">
        <v>0.20428016385682601</v>
      </c>
      <c r="V7" s="161">
        <v>0.45081720028580602</v>
      </c>
      <c r="W7" s="161"/>
      <c r="X7" s="58"/>
      <c r="Y7" s="160"/>
      <c r="Z7" s="160"/>
      <c r="AA7" s="160"/>
      <c r="AB7" s="160"/>
      <c r="AC7" s="160"/>
      <c r="AD7" s="162"/>
      <c r="AE7" s="161"/>
    </row>
    <row r="8" spans="1:31" ht="21.2" customHeight="1">
      <c r="A8" s="8" t="s">
        <v>111</v>
      </c>
      <c r="B8" s="158" t="s">
        <v>861</v>
      </c>
      <c r="C8" s="159">
        <v>26</v>
      </c>
      <c r="D8" s="158" t="s">
        <v>865</v>
      </c>
      <c r="E8" s="58">
        <v>80.481785714285706</v>
      </c>
      <c r="F8" s="160">
        <v>22.092966611852098</v>
      </c>
      <c r="G8" s="161">
        <v>0.59904602655631101</v>
      </c>
      <c r="H8" s="161">
        <v>0.68693915000599404</v>
      </c>
      <c r="I8" s="161">
        <v>1.2859851765623</v>
      </c>
      <c r="J8" s="161">
        <v>3.6525495808030199</v>
      </c>
      <c r="K8" s="161">
        <v>0.167074889199395</v>
      </c>
      <c r="L8" s="161">
        <v>0.43732099209928299</v>
      </c>
      <c r="M8" s="161">
        <v>1.93486352662317E-4</v>
      </c>
      <c r="N8" s="161">
        <v>3.7373026703571203E-4</v>
      </c>
      <c r="O8" s="161">
        <v>0.52072783193410099</v>
      </c>
      <c r="P8" s="161">
        <v>0.87994857392149095</v>
      </c>
      <c r="Q8" s="161">
        <v>0.107477182944184</v>
      </c>
      <c r="R8" s="161">
        <v>0.73113735969954097</v>
      </c>
      <c r="S8" s="161">
        <v>9.4778107071869802E-2</v>
      </c>
      <c r="T8" s="161">
        <v>2.4328219968634599</v>
      </c>
      <c r="U8" s="161">
        <v>2.60558190254832</v>
      </c>
      <c r="V8" s="161">
        <v>0.48285569109445398</v>
      </c>
      <c r="W8" s="161"/>
      <c r="X8" s="58"/>
      <c r="Y8" s="160"/>
      <c r="Z8" s="160"/>
      <c r="AA8" s="160"/>
      <c r="AB8" s="160"/>
      <c r="AC8" s="160"/>
      <c r="AD8" s="162"/>
      <c r="AE8" s="161"/>
    </row>
    <row r="9" spans="1:31" ht="21.2" customHeight="1">
      <c r="A9" s="8" t="s">
        <v>108</v>
      </c>
      <c r="B9" s="158" t="s">
        <v>866</v>
      </c>
      <c r="C9" s="159">
        <v>25</v>
      </c>
      <c r="D9" s="158" t="s">
        <v>846</v>
      </c>
      <c r="E9" s="58">
        <v>78.786785714285699</v>
      </c>
      <c r="F9" s="160">
        <v>20.3388111305526</v>
      </c>
      <c r="G9" s="161">
        <v>0.65344992770655597</v>
      </c>
      <c r="H9" s="161">
        <v>0.61888633380541203</v>
      </c>
      <c r="I9" s="161">
        <v>1.27233626151196</v>
      </c>
      <c r="J9" s="161">
        <v>4.3491617257076296</v>
      </c>
      <c r="K9" s="161">
        <v>0.197223814874085</v>
      </c>
      <c r="L9" s="161">
        <v>0.39118131447472798</v>
      </c>
      <c r="M9" s="161">
        <v>2.306748018798E-4</v>
      </c>
      <c r="N9" s="161">
        <v>4.4865870556171799E-4</v>
      </c>
      <c r="O9" s="161">
        <v>1.036791037725</v>
      </c>
      <c r="P9" s="161">
        <v>0.97304798779248702</v>
      </c>
      <c r="Q9" s="161">
        <v>0.15017975160879601</v>
      </c>
      <c r="R9" s="161">
        <v>0.28325295211780199</v>
      </c>
      <c r="S9" s="161">
        <v>0.1049765572017</v>
      </c>
      <c r="T9" s="161">
        <v>7.9229404313137399</v>
      </c>
      <c r="U9" s="161">
        <v>6.8201550835447096</v>
      </c>
      <c r="V9" s="161">
        <v>0.53740006115600403</v>
      </c>
      <c r="W9" s="161"/>
      <c r="X9" s="58"/>
      <c r="Y9" s="160"/>
      <c r="Z9" s="160"/>
      <c r="AA9" s="160"/>
      <c r="AB9" s="160"/>
      <c r="AC9" s="160"/>
      <c r="AD9" s="162"/>
      <c r="AE9" s="161"/>
    </row>
    <row r="10" spans="1:31" ht="21.2" customHeight="1">
      <c r="A10" s="8" t="s">
        <v>118</v>
      </c>
      <c r="B10" s="158" t="s">
        <v>866</v>
      </c>
      <c r="C10" s="159">
        <v>26</v>
      </c>
      <c r="D10" s="158" t="s">
        <v>848</v>
      </c>
      <c r="E10" s="58">
        <v>80.153571428571396</v>
      </c>
      <c r="F10" s="160">
        <v>21.310741285327701</v>
      </c>
      <c r="G10" s="161">
        <v>0.41319674691416602</v>
      </c>
      <c r="H10" s="161">
        <v>0.84613514014602698</v>
      </c>
      <c r="I10" s="161">
        <v>1.2593318870601999</v>
      </c>
      <c r="J10" s="161">
        <v>2.6751087532061102</v>
      </c>
      <c r="K10" s="161">
        <v>9.53695872810848E-2</v>
      </c>
      <c r="L10" s="161">
        <v>0.40995190470293302</v>
      </c>
      <c r="M10" s="161">
        <v>3.3165072698793402E-2</v>
      </c>
      <c r="N10" s="161">
        <v>5.0941608448874E-2</v>
      </c>
      <c r="O10" s="161">
        <v>0.54228321050406303</v>
      </c>
      <c r="P10" s="161">
        <v>0.77456736535562698</v>
      </c>
      <c r="Q10" s="161">
        <v>0.11605438852038601</v>
      </c>
      <c r="R10" s="161">
        <v>0.34228172550728703</v>
      </c>
      <c r="S10" s="161">
        <v>6.6379947565730194E-2</v>
      </c>
      <c r="T10" s="161">
        <v>2.8471942321456799E-2</v>
      </c>
      <c r="U10" s="161">
        <v>5.36988820230744E-2</v>
      </c>
      <c r="V10" s="161">
        <v>0.34649697807676599</v>
      </c>
      <c r="W10" s="161"/>
      <c r="X10" s="58"/>
      <c r="Y10" s="160"/>
      <c r="Z10" s="160"/>
      <c r="AA10" s="160"/>
      <c r="AB10" s="160"/>
      <c r="AC10" s="160"/>
      <c r="AD10" s="162"/>
      <c r="AE10" s="161"/>
    </row>
    <row r="11" spans="1:31" ht="21.2" customHeight="1">
      <c r="A11" s="8" t="s">
        <v>115</v>
      </c>
      <c r="B11" s="158" t="s">
        <v>867</v>
      </c>
      <c r="C11" s="159">
        <v>26</v>
      </c>
      <c r="D11" s="158" t="s">
        <v>847</v>
      </c>
      <c r="E11" s="58">
        <v>79.400000000000006</v>
      </c>
      <c r="F11" s="160">
        <v>21.038403996787402</v>
      </c>
      <c r="G11" s="161">
        <v>0.59455241333903697</v>
      </c>
      <c r="H11" s="161">
        <v>0.63961579528530699</v>
      </c>
      <c r="I11" s="161">
        <v>1.23416820862434</v>
      </c>
      <c r="J11" s="161">
        <v>3.76691760436962</v>
      </c>
      <c r="K11" s="161">
        <v>0.21163638964759501</v>
      </c>
      <c r="L11" s="161">
        <v>0.413589026372222</v>
      </c>
      <c r="M11" s="161">
        <v>1.7812021144143701E-4</v>
      </c>
      <c r="N11" s="161">
        <v>3.4392681793048797E-4</v>
      </c>
      <c r="O11" s="161">
        <v>0.41807868680072302</v>
      </c>
      <c r="P11" s="161">
        <v>0.944553376959411</v>
      </c>
      <c r="Q11" s="161">
        <v>5.5203495199820103E-2</v>
      </c>
      <c r="R11" s="161">
        <v>0.47472764456626698</v>
      </c>
      <c r="S11" s="161">
        <v>9.5471095381452306E-2</v>
      </c>
      <c r="T11" s="161">
        <v>5.2591741810157397E-2</v>
      </c>
      <c r="U11" s="161">
        <v>7.5301638942808696E-2</v>
      </c>
      <c r="V11" s="161">
        <v>0.41121551014232399</v>
      </c>
      <c r="W11" s="161"/>
      <c r="X11" s="58"/>
      <c r="Y11" s="160"/>
      <c r="Z11" s="160"/>
      <c r="AA11" s="160"/>
      <c r="AB11" s="160"/>
      <c r="AC11" s="160"/>
      <c r="AD11" s="162"/>
      <c r="AE11" s="161"/>
    </row>
    <row r="12" spans="1:31" ht="21.2" customHeight="1">
      <c r="A12" s="8" t="s">
        <v>114</v>
      </c>
      <c r="B12" s="158" t="s">
        <v>868</v>
      </c>
      <c r="C12" s="159">
        <v>22</v>
      </c>
      <c r="D12" s="158" t="s">
        <v>846</v>
      </c>
      <c r="E12" s="58">
        <v>78.48</v>
      </c>
      <c r="F12" s="160">
        <v>20.361061936919601</v>
      </c>
      <c r="G12" s="161">
        <v>0.52895923785474896</v>
      </c>
      <c r="H12" s="161">
        <v>0.70321689163596102</v>
      </c>
      <c r="I12" s="161">
        <v>1.2321761294907101</v>
      </c>
      <c r="J12" s="161">
        <v>3.9859317949195701</v>
      </c>
      <c r="K12" s="161">
        <v>0.12732272757044499</v>
      </c>
      <c r="L12" s="161">
        <v>0.37733667956570199</v>
      </c>
      <c r="M12" s="161">
        <v>4.32637666275846E-4</v>
      </c>
      <c r="N12" s="161">
        <v>8.8994773938496003E-4</v>
      </c>
      <c r="O12" s="161">
        <v>0.38064439674287298</v>
      </c>
      <c r="P12" s="161">
        <v>0.22095610359985099</v>
      </c>
      <c r="Q12" s="161">
        <v>1.41071069074745E-2</v>
      </c>
      <c r="R12" s="161">
        <v>0.13987376395832399</v>
      </c>
      <c r="S12" s="161">
        <v>7.77453608091693E-2</v>
      </c>
      <c r="T12" s="161">
        <v>2.4007278461549602</v>
      </c>
      <c r="U12" s="161">
        <v>4.4317231427464003</v>
      </c>
      <c r="V12" s="161">
        <v>0.35137139659760502</v>
      </c>
      <c r="W12" s="161"/>
      <c r="X12" s="58"/>
      <c r="Y12" s="160"/>
      <c r="Z12" s="160"/>
      <c r="AA12" s="160"/>
      <c r="AB12" s="160"/>
      <c r="AC12" s="160"/>
      <c r="AD12" s="162"/>
      <c r="AE12" s="161"/>
    </row>
    <row r="13" spans="1:31" ht="21.2" customHeight="1">
      <c r="A13" s="8" t="s">
        <v>117</v>
      </c>
      <c r="B13" s="158" t="s">
        <v>869</v>
      </c>
      <c r="C13" s="159">
        <v>24</v>
      </c>
      <c r="D13" s="158" t="s">
        <v>847</v>
      </c>
      <c r="E13" s="58">
        <v>80.197857142857103</v>
      </c>
      <c r="F13" s="160">
        <v>18.8333642730564</v>
      </c>
      <c r="G13" s="161">
        <v>0.54035400063435102</v>
      </c>
      <c r="H13" s="161">
        <v>0.68937148805904602</v>
      </c>
      <c r="I13" s="161">
        <v>1.2297254886933999</v>
      </c>
      <c r="J13" s="161">
        <v>3.5378923016867998</v>
      </c>
      <c r="K13" s="161">
        <v>0.15823522303979801</v>
      </c>
      <c r="L13" s="161">
        <v>0.41580723441971001</v>
      </c>
      <c r="M13" s="161">
        <v>5.5995103048075703E-5</v>
      </c>
      <c r="N13" s="161">
        <v>1.1054513517554799E-4</v>
      </c>
      <c r="O13" s="161">
        <v>0.28001508241241302</v>
      </c>
      <c r="P13" s="161">
        <v>0.72108005555201005</v>
      </c>
      <c r="Q13" s="161">
        <v>0.13817947143916301</v>
      </c>
      <c r="R13" s="161">
        <v>0.31256072267392598</v>
      </c>
      <c r="S13" s="161">
        <v>8.6452809502558903E-2</v>
      </c>
      <c r="T13" s="161">
        <v>2.6324152992769799E-3</v>
      </c>
      <c r="U13" s="161">
        <v>2.0377541615978E-2</v>
      </c>
      <c r="V13" s="161">
        <v>0.11440331283418199</v>
      </c>
      <c r="W13" s="161"/>
      <c r="X13" s="58"/>
      <c r="Y13" s="160"/>
      <c r="Z13" s="160"/>
      <c r="AA13" s="160"/>
      <c r="AB13" s="160"/>
      <c r="AC13" s="160"/>
      <c r="AD13" s="162"/>
      <c r="AE13" s="161"/>
    </row>
    <row r="14" spans="1:31" ht="21.2" customHeight="1">
      <c r="A14" s="8" t="s">
        <v>109</v>
      </c>
      <c r="B14" s="158" t="s">
        <v>870</v>
      </c>
      <c r="C14" s="159">
        <v>27</v>
      </c>
      <c r="D14" s="158" t="s">
        <v>848</v>
      </c>
      <c r="E14" s="58">
        <v>79.483571428571395</v>
      </c>
      <c r="F14" s="160">
        <v>19.436139692225598</v>
      </c>
      <c r="G14" s="161">
        <v>0.62029570879192297</v>
      </c>
      <c r="H14" s="161">
        <v>0.59853862835043203</v>
      </c>
      <c r="I14" s="161">
        <v>1.21883433714235</v>
      </c>
      <c r="J14" s="161">
        <v>4.6032196507584899</v>
      </c>
      <c r="K14" s="161">
        <v>0.193133498097423</v>
      </c>
      <c r="L14" s="161">
        <v>0.394989351758811</v>
      </c>
      <c r="M14" s="161">
        <v>3.6753398767982401E-4</v>
      </c>
      <c r="N14" s="161">
        <v>7.0068553902279899E-4</v>
      </c>
      <c r="O14" s="161">
        <v>0.364402511623591</v>
      </c>
      <c r="P14" s="161">
        <v>1.0444281468069101</v>
      </c>
      <c r="Q14" s="161">
        <v>8.6599044113392795E-2</v>
      </c>
      <c r="R14" s="161">
        <v>0.428751183695952</v>
      </c>
      <c r="S14" s="161">
        <v>0.104135442470948</v>
      </c>
      <c r="T14" s="161">
        <v>8.6071688124988402E-2</v>
      </c>
      <c r="U14" s="161">
        <v>0.147166184965727</v>
      </c>
      <c r="V14" s="161">
        <v>0.369029639073719</v>
      </c>
      <c r="W14" s="161"/>
      <c r="X14" s="58"/>
      <c r="Y14" s="160"/>
      <c r="Z14" s="160"/>
      <c r="AA14" s="160"/>
      <c r="AB14" s="160"/>
      <c r="AC14" s="160"/>
      <c r="AD14" s="162"/>
      <c r="AE14" s="161"/>
    </row>
    <row r="15" spans="1:31" ht="21.2" customHeight="1">
      <c r="A15" s="8" t="s">
        <v>136</v>
      </c>
      <c r="B15" s="158" t="s">
        <v>871</v>
      </c>
      <c r="C15" s="159">
        <v>31</v>
      </c>
      <c r="D15" s="158" t="s">
        <v>847</v>
      </c>
      <c r="E15" s="58">
        <v>78.56</v>
      </c>
      <c r="F15" s="160">
        <v>19.635147641958799</v>
      </c>
      <c r="G15" s="161">
        <v>0.33768172480993203</v>
      </c>
      <c r="H15" s="161">
        <v>0.83123804927902301</v>
      </c>
      <c r="I15" s="161">
        <v>1.1689197740889501</v>
      </c>
      <c r="J15" s="161">
        <v>2.5286673416116598</v>
      </c>
      <c r="K15" s="161">
        <v>9.73126526407328E-2</v>
      </c>
      <c r="L15" s="161">
        <v>0.43880099771800402</v>
      </c>
      <c r="M15" s="161">
        <v>8.39821519639443E-5</v>
      </c>
      <c r="N15" s="161">
        <v>1.4706908432198299E-4</v>
      </c>
      <c r="O15" s="161">
        <v>0.18075934595503901</v>
      </c>
      <c r="P15" s="161">
        <v>0.35095895957100998</v>
      </c>
      <c r="Q15" s="161">
        <v>7.1270937762535999E-2</v>
      </c>
      <c r="R15" s="161">
        <v>0.31601421199423801</v>
      </c>
      <c r="S15" s="161">
        <v>5.7540335329718403E-2</v>
      </c>
      <c r="T15" s="161">
        <v>6.3727868692288497E-2</v>
      </c>
      <c r="U15" s="161">
        <v>0.12585599016343699</v>
      </c>
      <c r="V15" s="161">
        <v>0.33614606790331197</v>
      </c>
      <c r="W15" s="161"/>
      <c r="X15" s="58"/>
      <c r="Y15" s="160"/>
      <c r="Z15" s="160"/>
      <c r="AA15" s="160"/>
      <c r="AB15" s="160"/>
      <c r="AC15" s="160"/>
      <c r="AD15" s="162"/>
      <c r="AE15" s="161"/>
    </row>
    <row r="16" spans="1:31" ht="21.2" customHeight="1">
      <c r="A16" s="8" t="s">
        <v>132</v>
      </c>
      <c r="B16" s="158" t="s">
        <v>863</v>
      </c>
      <c r="C16" s="159">
        <v>27</v>
      </c>
      <c r="D16" s="158" t="s">
        <v>846</v>
      </c>
      <c r="E16" s="58">
        <v>76.603928571428597</v>
      </c>
      <c r="F16" s="160">
        <v>20.775562191900601</v>
      </c>
      <c r="G16" s="161">
        <v>0.43296775984115998</v>
      </c>
      <c r="H16" s="161">
        <v>0.73139713745062895</v>
      </c>
      <c r="I16" s="161">
        <v>1.1643648972917899</v>
      </c>
      <c r="J16" s="161">
        <v>3.1194396245301101</v>
      </c>
      <c r="K16" s="161">
        <v>0.13430764686151</v>
      </c>
      <c r="L16" s="161">
        <v>0.38857213656561201</v>
      </c>
      <c r="M16" s="161">
        <v>2.67940708814716E-2</v>
      </c>
      <c r="N16" s="161">
        <v>3.88250418734995E-2</v>
      </c>
      <c r="O16" s="161">
        <v>0.66776743780207404</v>
      </c>
      <c r="P16" s="161">
        <v>0.78769846875052396</v>
      </c>
      <c r="Q16" s="161">
        <v>7.4996829851073199E-2</v>
      </c>
      <c r="R16" s="161">
        <v>0.24991227850559</v>
      </c>
      <c r="S16" s="161">
        <v>6.2110212741210501E-2</v>
      </c>
      <c r="T16" s="161">
        <v>10.731902381541399</v>
      </c>
      <c r="U16" s="161">
        <v>8.5662577012680696</v>
      </c>
      <c r="V16" s="161">
        <v>0.55611013358217598</v>
      </c>
      <c r="W16" s="161"/>
      <c r="X16" s="58"/>
      <c r="Y16" s="160"/>
      <c r="Z16" s="160"/>
      <c r="AA16" s="160"/>
      <c r="AB16" s="160"/>
      <c r="AC16" s="160"/>
      <c r="AD16" s="162"/>
      <c r="AE16" s="161"/>
    </row>
    <row r="17" spans="1:31" ht="21.2" customHeight="1">
      <c r="A17" s="8" t="s">
        <v>116</v>
      </c>
      <c r="B17" s="158" t="s">
        <v>872</v>
      </c>
      <c r="C17" s="159">
        <v>25</v>
      </c>
      <c r="D17" s="158" t="s">
        <v>865</v>
      </c>
      <c r="E17" s="58">
        <v>78.489999999999995</v>
      </c>
      <c r="F17" s="160">
        <v>19.796520986965199</v>
      </c>
      <c r="G17" s="161">
        <v>0.59113695056132298</v>
      </c>
      <c r="H17" s="161">
        <v>0.571171998778783</v>
      </c>
      <c r="I17" s="161">
        <v>1.16230894934011</v>
      </c>
      <c r="J17" s="161">
        <v>3.92040496156394</v>
      </c>
      <c r="K17" s="161">
        <v>0.23577944784070201</v>
      </c>
      <c r="L17" s="161">
        <v>0.40417308723499501</v>
      </c>
      <c r="M17" s="161">
        <v>6.0405615066910596E-3</v>
      </c>
      <c r="N17" s="161">
        <v>6.9948311282449303E-3</v>
      </c>
      <c r="O17" s="161">
        <v>0.36426544390590998</v>
      </c>
      <c r="P17" s="161">
        <v>0.81809101811991003</v>
      </c>
      <c r="Q17" s="161">
        <v>-8.3030472653380701E-3</v>
      </c>
      <c r="R17" s="161">
        <v>0.49159903035682101</v>
      </c>
      <c r="S17" s="161">
        <v>7.5676794677472306E-2</v>
      </c>
      <c r="T17" s="161">
        <v>4.3628680693507604</v>
      </c>
      <c r="U17" s="161">
        <v>6.5326347037106496</v>
      </c>
      <c r="V17" s="161">
        <v>0.40042833820736901</v>
      </c>
      <c r="W17" s="161"/>
      <c r="X17" s="58"/>
      <c r="Y17" s="160"/>
      <c r="Z17" s="160"/>
      <c r="AA17" s="160"/>
      <c r="AB17" s="160"/>
      <c r="AC17" s="160"/>
      <c r="AD17" s="162"/>
      <c r="AE17" s="161"/>
    </row>
    <row r="18" spans="1:31" ht="21.2" customHeight="1">
      <c r="A18" s="8" t="s">
        <v>127</v>
      </c>
      <c r="B18" s="158" t="s">
        <v>873</v>
      </c>
      <c r="C18" s="159">
        <v>24</v>
      </c>
      <c r="D18" s="158" t="s">
        <v>860</v>
      </c>
      <c r="E18" s="58">
        <v>77.007142857142895</v>
      </c>
      <c r="F18" s="160">
        <v>20.2319840625</v>
      </c>
      <c r="G18" s="161">
        <v>0.46621743266922699</v>
      </c>
      <c r="H18" s="161">
        <v>0.64754942425985895</v>
      </c>
      <c r="I18" s="161">
        <v>1.1137668569290899</v>
      </c>
      <c r="J18" s="161">
        <v>3.0318113416406298</v>
      </c>
      <c r="K18" s="161">
        <v>0.11061657183552499</v>
      </c>
      <c r="L18" s="161">
        <v>0.313558045861352</v>
      </c>
      <c r="M18" s="161">
        <v>2.8152217597227899E-2</v>
      </c>
      <c r="N18" s="161">
        <v>5.9896820863521799E-2</v>
      </c>
      <c r="O18" s="161">
        <v>0.89708107336944098</v>
      </c>
      <c r="P18" s="161">
        <v>0.85655563358009601</v>
      </c>
      <c r="Q18" s="161">
        <v>3.2242344679745599E-2</v>
      </c>
      <c r="R18" s="161">
        <v>0.22877498931046</v>
      </c>
      <c r="S18" s="161">
        <v>6.5997576104886699E-2</v>
      </c>
      <c r="T18" s="161">
        <v>4.9699777479228704</v>
      </c>
      <c r="U18" s="161">
        <v>6.2509929864725198</v>
      </c>
      <c r="V18" s="161">
        <v>0.44291869799539801</v>
      </c>
      <c r="W18" s="161"/>
      <c r="X18" s="58"/>
      <c r="Y18" s="160"/>
      <c r="Z18" s="160"/>
      <c r="AA18" s="160"/>
      <c r="AB18" s="160"/>
      <c r="AC18" s="160"/>
      <c r="AD18" s="162"/>
      <c r="AE18" s="161"/>
    </row>
    <row r="19" spans="1:31" ht="21.2" customHeight="1">
      <c r="A19" s="8" t="s">
        <v>139</v>
      </c>
      <c r="B19" s="158" t="s">
        <v>874</v>
      </c>
      <c r="C19" s="159">
        <v>36</v>
      </c>
      <c r="D19" s="158" t="s">
        <v>846</v>
      </c>
      <c r="E19" s="58">
        <v>80.096071428571406</v>
      </c>
      <c r="F19" s="160">
        <v>20.013263798018301</v>
      </c>
      <c r="G19" s="161">
        <v>0.38956969053177698</v>
      </c>
      <c r="H19" s="161">
        <v>0.69999928339442097</v>
      </c>
      <c r="I19" s="161">
        <v>1.0895689739262</v>
      </c>
      <c r="J19" s="161">
        <v>3.0597810786907198</v>
      </c>
      <c r="K19" s="161">
        <v>0.10914923008329599</v>
      </c>
      <c r="L19" s="161">
        <v>0.37251241798380103</v>
      </c>
      <c r="M19" s="161">
        <v>1.8848650804788401E-4</v>
      </c>
      <c r="N19" s="161">
        <v>2.6155045985432897E-4</v>
      </c>
      <c r="O19" s="161">
        <v>0.54857772711749098</v>
      </c>
      <c r="P19" s="161">
        <v>0.81097843096811795</v>
      </c>
      <c r="Q19" s="161">
        <v>6.5589022532279606E-2</v>
      </c>
      <c r="R19" s="161">
        <v>0.44500406922746499</v>
      </c>
      <c r="S19" s="161">
        <v>6.2533735851514394E-2</v>
      </c>
      <c r="T19" s="161">
        <v>11.7437662420626</v>
      </c>
      <c r="U19" s="161">
        <v>10.459543491341501</v>
      </c>
      <c r="V19" s="161">
        <v>0.52891962428441397</v>
      </c>
      <c r="W19" s="161"/>
      <c r="X19" s="58"/>
      <c r="Y19" s="160"/>
      <c r="Z19" s="160"/>
      <c r="AA19" s="160"/>
      <c r="AB19" s="160"/>
      <c r="AC19" s="160"/>
      <c r="AD19" s="162"/>
      <c r="AE19" s="161"/>
    </row>
    <row r="20" spans="1:31" ht="21.2" customHeight="1">
      <c r="A20" s="8" t="s">
        <v>156</v>
      </c>
      <c r="B20" s="158" t="s">
        <v>875</v>
      </c>
      <c r="C20" s="159">
        <v>30</v>
      </c>
      <c r="D20" s="158" t="s">
        <v>847</v>
      </c>
      <c r="E20" s="58">
        <v>81.674999999999997</v>
      </c>
      <c r="F20" s="160">
        <v>19.5911503528963</v>
      </c>
      <c r="G20" s="161">
        <v>0.354017733682359</v>
      </c>
      <c r="H20" s="161">
        <v>0.73158593959365104</v>
      </c>
      <c r="I20" s="161">
        <v>1.0856036732760099</v>
      </c>
      <c r="J20" s="161">
        <v>2.8426975428288301</v>
      </c>
      <c r="K20" s="161">
        <v>6.7922333933773504E-2</v>
      </c>
      <c r="L20" s="161">
        <v>0.31113035966682101</v>
      </c>
      <c r="M20" s="161">
        <v>7.1959626332867603E-5</v>
      </c>
      <c r="N20" s="161">
        <v>1.2851282973617601E-4</v>
      </c>
      <c r="O20" s="161">
        <v>0.22074186279865701</v>
      </c>
      <c r="P20" s="161">
        <v>0.14746449285411301</v>
      </c>
      <c r="Q20" s="161">
        <v>-3.2574573353255497E-2</v>
      </c>
      <c r="R20" s="161">
        <v>0.26269808166916198</v>
      </c>
      <c r="S20" s="161">
        <v>3.7935437642456799E-2</v>
      </c>
      <c r="T20" s="161">
        <v>1.43183313495698E-3</v>
      </c>
      <c r="U20" s="161">
        <v>2.4480728531039398E-3</v>
      </c>
      <c r="V20" s="161">
        <v>0.36903810024339501</v>
      </c>
      <c r="W20" s="161"/>
      <c r="X20" s="58"/>
      <c r="Y20" s="160"/>
      <c r="Z20" s="160"/>
      <c r="AA20" s="160"/>
      <c r="AB20" s="160"/>
      <c r="AC20" s="160"/>
      <c r="AD20" s="162"/>
      <c r="AE20" s="161"/>
    </row>
    <row r="21" spans="1:31" ht="21.2" customHeight="1">
      <c r="A21" s="8" t="s">
        <v>145</v>
      </c>
      <c r="B21" s="158" t="s">
        <v>862</v>
      </c>
      <c r="C21" s="159">
        <v>33</v>
      </c>
      <c r="D21" s="158" t="s">
        <v>860</v>
      </c>
      <c r="E21" s="58">
        <v>79.400000000000006</v>
      </c>
      <c r="F21" s="160">
        <v>18.999190690615599</v>
      </c>
      <c r="G21" s="161">
        <v>0.43125028227115902</v>
      </c>
      <c r="H21" s="161">
        <v>0.65359673672767105</v>
      </c>
      <c r="I21" s="161">
        <v>1.08484701899883</v>
      </c>
      <c r="J21" s="161">
        <v>2.9571659443262601</v>
      </c>
      <c r="K21" s="161">
        <v>0.173347888269337</v>
      </c>
      <c r="L21" s="161">
        <v>0.418232606345184</v>
      </c>
      <c r="M21" s="161">
        <v>3.8161895475853402E-4</v>
      </c>
      <c r="N21" s="161">
        <v>1.7348076636043001E-3</v>
      </c>
      <c r="O21" s="161">
        <v>0.53968392987300695</v>
      </c>
      <c r="P21" s="161">
        <v>1.1285554094216299</v>
      </c>
      <c r="Q21" s="161">
        <v>1.5919725113542098E-2</v>
      </c>
      <c r="R21" s="161">
        <v>0.505738344619302</v>
      </c>
      <c r="S21" s="161">
        <v>6.7490825827370898E-2</v>
      </c>
      <c r="T21" s="161">
        <v>6.2707419777722597</v>
      </c>
      <c r="U21" s="161">
        <v>5.5241730687994899</v>
      </c>
      <c r="V21" s="161">
        <v>0.53164791378424403</v>
      </c>
      <c r="W21" s="161"/>
      <c r="X21" s="58"/>
      <c r="Y21" s="160"/>
      <c r="Z21" s="160"/>
      <c r="AA21" s="160"/>
      <c r="AB21" s="160"/>
      <c r="AC21" s="160"/>
      <c r="AD21" s="162"/>
      <c r="AE21" s="161"/>
    </row>
    <row r="22" spans="1:31" ht="21.2" customHeight="1">
      <c r="A22" s="8" t="s">
        <v>163</v>
      </c>
      <c r="B22" s="158" t="s">
        <v>876</v>
      </c>
      <c r="C22" s="159">
        <v>28</v>
      </c>
      <c r="D22" s="158" t="s">
        <v>864</v>
      </c>
      <c r="E22" s="58">
        <v>78.400000000000006</v>
      </c>
      <c r="F22" s="160">
        <v>20.309462079894299</v>
      </c>
      <c r="G22" s="161">
        <v>0.425984045440578</v>
      </c>
      <c r="H22" s="161">
        <v>0.65622522452489895</v>
      </c>
      <c r="I22" s="161">
        <v>1.0822092699654799</v>
      </c>
      <c r="J22" s="161">
        <v>2.3747709591369</v>
      </c>
      <c r="K22" s="161">
        <v>0.118199466048027</v>
      </c>
      <c r="L22" s="161">
        <v>0.31687223304830497</v>
      </c>
      <c r="M22" s="161">
        <v>8.3085778316530096E-3</v>
      </c>
      <c r="N22" s="161">
        <v>3.3403445655303801E-2</v>
      </c>
      <c r="O22" s="161">
        <v>0.37614165612999401</v>
      </c>
      <c r="P22" s="161">
        <v>0.90524515404198802</v>
      </c>
      <c r="Q22" s="161">
        <v>-1.4764063546156101E-3</v>
      </c>
      <c r="R22" s="161">
        <v>0.46290521213993302</v>
      </c>
      <c r="S22" s="161">
        <v>4.9019147754156001E-2</v>
      </c>
      <c r="T22" s="161">
        <v>0.79529147807906297</v>
      </c>
      <c r="U22" s="161">
        <v>1.88765049162895</v>
      </c>
      <c r="V22" s="161">
        <v>0.29642515084499399</v>
      </c>
      <c r="W22" s="161"/>
      <c r="X22" s="58"/>
      <c r="Y22" s="160"/>
      <c r="Z22" s="160"/>
      <c r="AA22" s="160"/>
      <c r="AB22" s="160"/>
      <c r="AC22" s="160"/>
      <c r="AD22" s="162"/>
      <c r="AE22" s="161"/>
    </row>
    <row r="23" spans="1:31" ht="21.2" customHeight="1">
      <c r="A23" s="8" t="s">
        <v>112</v>
      </c>
      <c r="B23" s="158" t="s">
        <v>861</v>
      </c>
      <c r="C23" s="159">
        <v>24</v>
      </c>
      <c r="D23" s="158" t="s">
        <v>849</v>
      </c>
      <c r="E23" s="58">
        <v>75.680357142857105</v>
      </c>
      <c r="F23" s="160">
        <v>26.22436151969</v>
      </c>
      <c r="G23" s="161">
        <v>0.28003785078311699</v>
      </c>
      <c r="H23" s="161">
        <v>0.77869573475411302</v>
      </c>
      <c r="I23" s="161">
        <v>1.05873358553723</v>
      </c>
      <c r="J23" s="161">
        <v>2.82175483343529</v>
      </c>
      <c r="K23" s="161">
        <v>9.0293381321235905E-2</v>
      </c>
      <c r="L23" s="161">
        <v>0.44599789130568002</v>
      </c>
      <c r="M23" s="161">
        <v>7.9947092008836004E-4</v>
      </c>
      <c r="N23" s="161">
        <v>5.6859052082937596E-3</v>
      </c>
      <c r="O23" s="161">
        <v>1.42892754078274</v>
      </c>
      <c r="P23" s="161">
        <v>1.18370045443091</v>
      </c>
      <c r="Q23" s="161">
        <v>0.116362220871323</v>
      </c>
      <c r="R23" s="161">
        <v>0.43699314477627599</v>
      </c>
      <c r="S23" s="161">
        <v>4.4306207251344903E-2</v>
      </c>
      <c r="T23" s="161">
        <v>0</v>
      </c>
      <c r="U23" s="161">
        <v>0</v>
      </c>
      <c r="V23" s="161">
        <v>0</v>
      </c>
      <c r="W23" s="161"/>
      <c r="X23" s="58"/>
      <c r="Y23" s="160"/>
      <c r="Z23" s="160"/>
      <c r="AA23" s="160"/>
      <c r="AB23" s="160"/>
      <c r="AC23" s="160"/>
      <c r="AD23" s="162"/>
      <c r="AE23" s="161"/>
    </row>
    <row r="24" spans="1:31" ht="21.2" customHeight="1">
      <c r="A24" s="8" t="s">
        <v>128</v>
      </c>
      <c r="B24" s="158" t="s">
        <v>871</v>
      </c>
      <c r="C24" s="159">
        <v>30</v>
      </c>
      <c r="D24" s="158" t="s">
        <v>846</v>
      </c>
      <c r="E24" s="58">
        <v>81.892499999999998</v>
      </c>
      <c r="F24" s="160">
        <v>20.7219889246484</v>
      </c>
      <c r="G24" s="161">
        <v>0.432687627012111</v>
      </c>
      <c r="H24" s="161">
        <v>0.62197774871909794</v>
      </c>
      <c r="I24" s="161">
        <v>1.0546653757312101</v>
      </c>
      <c r="J24" s="161">
        <v>3.1078776323708501</v>
      </c>
      <c r="K24" s="161">
        <v>0.20888725344611001</v>
      </c>
      <c r="L24" s="161">
        <v>0.40401917869654003</v>
      </c>
      <c r="M24" s="161">
        <v>1.2292354760839E-2</v>
      </c>
      <c r="N24" s="161">
        <v>3.7131562510455199E-2</v>
      </c>
      <c r="O24" s="161">
        <v>0.61469088685714501</v>
      </c>
      <c r="P24" s="161">
        <v>0.92480842899609295</v>
      </c>
      <c r="Q24" s="161">
        <v>7.2849159418697199E-2</v>
      </c>
      <c r="R24" s="161">
        <v>0.27573923396338701</v>
      </c>
      <c r="S24" s="161">
        <v>7.3729163653468502E-2</v>
      </c>
      <c r="T24" s="161">
        <v>8.8875019397891801</v>
      </c>
      <c r="U24" s="161">
        <v>8.9067935203153006</v>
      </c>
      <c r="V24" s="161">
        <v>0.499457927947488</v>
      </c>
      <c r="W24" s="161"/>
      <c r="X24" s="58"/>
      <c r="Y24" s="160"/>
      <c r="Z24" s="160"/>
      <c r="AA24" s="160"/>
      <c r="AB24" s="160"/>
      <c r="AC24" s="160"/>
      <c r="AD24" s="162"/>
      <c r="AE24" s="161"/>
    </row>
    <row r="25" spans="1:31" ht="21.2" customHeight="1">
      <c r="A25" s="8" t="s">
        <v>140</v>
      </c>
      <c r="B25" s="158" t="s">
        <v>862</v>
      </c>
      <c r="C25" s="159">
        <v>27</v>
      </c>
      <c r="D25" s="158" t="s">
        <v>846</v>
      </c>
      <c r="E25" s="58">
        <v>80.400000000000006</v>
      </c>
      <c r="F25" s="160">
        <v>19.7562834912348</v>
      </c>
      <c r="G25" s="161">
        <v>0.53147504899791598</v>
      </c>
      <c r="H25" s="161">
        <v>0.51986868881151105</v>
      </c>
      <c r="I25" s="161">
        <v>1.0513437378094299</v>
      </c>
      <c r="J25" s="161">
        <v>2.83883367521004</v>
      </c>
      <c r="K25" s="161">
        <v>0.19604702342942801</v>
      </c>
      <c r="L25" s="161">
        <v>0.35406451349485601</v>
      </c>
      <c r="M25" s="161">
        <v>2.1349381867032799E-4</v>
      </c>
      <c r="N25" s="161">
        <v>4.05257548131811E-4</v>
      </c>
      <c r="O25" s="161">
        <v>0.44173139873593797</v>
      </c>
      <c r="P25" s="161">
        <v>0.65007667797329405</v>
      </c>
      <c r="Q25" s="161">
        <v>1.5945692831845999E-2</v>
      </c>
      <c r="R25" s="161">
        <v>0.273980708805866</v>
      </c>
      <c r="S25" s="161">
        <v>8.3176038226817406E-2</v>
      </c>
      <c r="T25" s="161">
        <v>5.1430310119458502</v>
      </c>
      <c r="U25" s="161">
        <v>5.0349107024027999</v>
      </c>
      <c r="V25" s="161">
        <v>0.50531150170523298</v>
      </c>
      <c r="W25" s="161"/>
      <c r="X25" s="58"/>
      <c r="Y25" s="160"/>
      <c r="Z25" s="160"/>
      <c r="AA25" s="160"/>
      <c r="AB25" s="160"/>
      <c r="AC25" s="160"/>
      <c r="AD25" s="162"/>
      <c r="AE25" s="161"/>
    </row>
    <row r="26" spans="1:31" ht="21.2" customHeight="1">
      <c r="A26" s="8" t="s">
        <v>133</v>
      </c>
      <c r="B26" s="158" t="s">
        <v>877</v>
      </c>
      <c r="C26" s="159">
        <v>26</v>
      </c>
      <c r="D26" s="158" t="s">
        <v>847</v>
      </c>
      <c r="E26" s="58">
        <v>81.099999999999994</v>
      </c>
      <c r="F26" s="160">
        <v>20.319192130335299</v>
      </c>
      <c r="G26" s="161">
        <v>0.46191028955202301</v>
      </c>
      <c r="H26" s="161">
        <v>0.58373395116521698</v>
      </c>
      <c r="I26" s="161">
        <v>1.0456442407172399</v>
      </c>
      <c r="J26" s="161">
        <v>3.3716053737502798</v>
      </c>
      <c r="K26" s="161">
        <v>0.109571380193493</v>
      </c>
      <c r="L26" s="161">
        <v>0.32344019237638799</v>
      </c>
      <c r="M26" s="161">
        <v>3.75704448882063E-3</v>
      </c>
      <c r="N26" s="161">
        <v>4.4615691214015896E-3</v>
      </c>
      <c r="O26" s="161">
        <v>0.29725243160058801</v>
      </c>
      <c r="P26" s="161">
        <v>0.50441293296876699</v>
      </c>
      <c r="Q26" s="161">
        <v>1.2289122177325499E-2</v>
      </c>
      <c r="R26" s="161">
        <v>0.21806983424918699</v>
      </c>
      <c r="S26" s="161">
        <v>7.2059551267931204E-2</v>
      </c>
      <c r="T26" s="161">
        <v>2.7678807929022099E-2</v>
      </c>
      <c r="U26" s="161">
        <v>7.6007881192037302E-2</v>
      </c>
      <c r="V26" s="161">
        <v>0.26694658845462499</v>
      </c>
      <c r="W26" s="161"/>
      <c r="X26" s="58"/>
      <c r="Y26" s="160"/>
      <c r="Z26" s="160"/>
      <c r="AA26" s="160"/>
      <c r="AB26" s="160"/>
      <c r="AC26" s="160"/>
      <c r="AD26" s="162"/>
      <c r="AE26" s="161"/>
    </row>
    <row r="27" spans="1:31" ht="21.2" customHeight="1">
      <c r="A27" s="8" t="s">
        <v>153</v>
      </c>
      <c r="B27" s="158" t="s">
        <v>878</v>
      </c>
      <c r="C27" s="159">
        <v>25</v>
      </c>
      <c r="D27" s="158" t="s">
        <v>864</v>
      </c>
      <c r="E27" s="58">
        <v>79.967500000000001</v>
      </c>
      <c r="F27" s="160">
        <v>20.752997566882598</v>
      </c>
      <c r="G27" s="161">
        <v>0.44175024327006801</v>
      </c>
      <c r="H27" s="161">
        <v>0.59366310246244003</v>
      </c>
      <c r="I27" s="161">
        <v>1.0354133457325101</v>
      </c>
      <c r="J27" s="161">
        <v>2.7724060002673401</v>
      </c>
      <c r="K27" s="161">
        <v>8.8701198329317305E-2</v>
      </c>
      <c r="L27" s="161">
        <v>0.24364039342673799</v>
      </c>
      <c r="M27" s="161">
        <v>7.6764473560801596E-3</v>
      </c>
      <c r="N27" s="161">
        <v>1.13032029582423E-2</v>
      </c>
      <c r="O27" s="161">
        <v>0.42717146947523199</v>
      </c>
      <c r="P27" s="161">
        <v>0.29250050958733997</v>
      </c>
      <c r="Q27" s="161">
        <v>-3.22280738297724E-2</v>
      </c>
      <c r="R27" s="161">
        <v>0.47132643313698702</v>
      </c>
      <c r="S27" s="161">
        <v>5.5747377819880997E-2</v>
      </c>
      <c r="T27" s="161">
        <v>0.321312271668939</v>
      </c>
      <c r="U27" s="161">
        <v>0.49529991784017702</v>
      </c>
      <c r="V27" s="161">
        <v>0.39346984504613702</v>
      </c>
      <c r="W27" s="161"/>
      <c r="X27" s="58"/>
      <c r="Y27" s="160"/>
      <c r="Z27" s="160"/>
      <c r="AA27" s="160"/>
      <c r="AB27" s="160"/>
      <c r="AC27" s="160"/>
      <c r="AD27" s="162"/>
      <c r="AE27" s="161"/>
    </row>
    <row r="28" spans="1:31" ht="21.2" customHeight="1">
      <c r="A28" s="8" t="s">
        <v>135</v>
      </c>
      <c r="B28" s="158" t="s">
        <v>879</v>
      </c>
      <c r="C28" s="159">
        <v>21</v>
      </c>
      <c r="D28" s="158" t="s">
        <v>860</v>
      </c>
      <c r="E28" s="58">
        <v>80.468214285714296</v>
      </c>
      <c r="F28" s="160">
        <v>20.7365697379221</v>
      </c>
      <c r="G28" s="161">
        <v>0.43651227601270098</v>
      </c>
      <c r="H28" s="161">
        <v>0.59341613986531705</v>
      </c>
      <c r="I28" s="161">
        <v>1.02992841587802</v>
      </c>
      <c r="J28" s="161">
        <v>2.7803747782648802</v>
      </c>
      <c r="K28" s="161">
        <v>0.11163440170866699</v>
      </c>
      <c r="L28" s="161">
        <v>0.32582982639043701</v>
      </c>
      <c r="M28" s="161">
        <v>3.24492996274807E-2</v>
      </c>
      <c r="N28" s="161">
        <v>3.5979351060757302E-2</v>
      </c>
      <c r="O28" s="161">
        <v>0.62840561905187298</v>
      </c>
      <c r="P28" s="161">
        <v>1.4303169886860101</v>
      </c>
      <c r="Q28" s="161">
        <v>1.6263441126132899E-2</v>
      </c>
      <c r="R28" s="161">
        <v>0.56892052160676199</v>
      </c>
      <c r="S28" s="161">
        <v>6.56452950413451E-2</v>
      </c>
      <c r="T28" s="161">
        <v>2.2110119653878799</v>
      </c>
      <c r="U28" s="161">
        <v>3.5232754027837201</v>
      </c>
      <c r="V28" s="161">
        <v>0.385577461230875</v>
      </c>
      <c r="W28" s="161"/>
      <c r="X28" s="58"/>
      <c r="Y28" s="160"/>
      <c r="Z28" s="160"/>
      <c r="AA28" s="160"/>
      <c r="AB28" s="160"/>
      <c r="AC28" s="160"/>
      <c r="AD28" s="162"/>
      <c r="AE28" s="161"/>
    </row>
    <row r="29" spans="1:31" ht="21.2" customHeight="1">
      <c r="A29" s="8" t="s">
        <v>120</v>
      </c>
      <c r="B29" s="158" t="s">
        <v>866</v>
      </c>
      <c r="C29" s="159">
        <v>27</v>
      </c>
      <c r="D29" s="158" t="s">
        <v>864</v>
      </c>
      <c r="E29" s="58">
        <v>81.160357142857094</v>
      </c>
      <c r="F29" s="160">
        <v>18.538966700724099</v>
      </c>
      <c r="G29" s="161">
        <v>0.44563240278055</v>
      </c>
      <c r="H29" s="161">
        <v>0.58190555376733399</v>
      </c>
      <c r="I29" s="161">
        <v>1.0275379565478799</v>
      </c>
      <c r="J29" s="161">
        <v>3.4048222803552401</v>
      </c>
      <c r="K29" s="161">
        <v>0.13634158898085699</v>
      </c>
      <c r="L29" s="161">
        <v>0.37259495476215598</v>
      </c>
      <c r="M29" s="161">
        <v>7.3068261769843501E-4</v>
      </c>
      <c r="N29" s="161">
        <v>1.4330632885992899E-3</v>
      </c>
      <c r="O29" s="161">
        <v>0.34741236094609801</v>
      </c>
      <c r="P29" s="161">
        <v>0.30652111295172202</v>
      </c>
      <c r="Q29" s="161">
        <v>7.8915073585480097E-2</v>
      </c>
      <c r="R29" s="161">
        <v>0.32061397891568699</v>
      </c>
      <c r="S29" s="161">
        <v>7.1590727059398201E-2</v>
      </c>
      <c r="T29" s="161">
        <v>0.34540307113997898</v>
      </c>
      <c r="U29" s="161">
        <v>0.36970507861003998</v>
      </c>
      <c r="V29" s="161">
        <v>0.48300815934026398</v>
      </c>
      <c r="W29" s="161"/>
      <c r="X29" s="58"/>
      <c r="Y29" s="160"/>
      <c r="Z29" s="160"/>
      <c r="AA29" s="160"/>
      <c r="AB29" s="160"/>
      <c r="AC29" s="160"/>
      <c r="AD29" s="162"/>
      <c r="AE29" s="161"/>
    </row>
    <row r="30" spans="1:31" ht="21.2" customHeight="1">
      <c r="A30" s="8" t="s">
        <v>146</v>
      </c>
      <c r="B30" s="158" t="s">
        <v>873</v>
      </c>
      <c r="C30" s="159">
        <v>30</v>
      </c>
      <c r="D30" s="158" t="s">
        <v>880</v>
      </c>
      <c r="E30" s="58">
        <v>81.138214285714298</v>
      </c>
      <c r="F30" s="160">
        <v>20.0875351690473</v>
      </c>
      <c r="G30" s="161">
        <v>0.36288644061331998</v>
      </c>
      <c r="H30" s="161">
        <v>0.66405685907623302</v>
      </c>
      <c r="I30" s="161">
        <v>1.02694329968955</v>
      </c>
      <c r="J30" s="161">
        <v>2.6187496310532699</v>
      </c>
      <c r="K30" s="161">
        <v>0.116668033976358</v>
      </c>
      <c r="L30" s="161">
        <v>0.39421839543822002</v>
      </c>
      <c r="M30" s="161">
        <v>1.7870288367326299E-2</v>
      </c>
      <c r="N30" s="161">
        <v>3.0711140611263999E-2</v>
      </c>
      <c r="O30" s="161">
        <v>0.59237828930877201</v>
      </c>
      <c r="P30" s="161">
        <v>2.1573244019932201</v>
      </c>
      <c r="Q30" s="161">
        <v>-7.4043053903984401E-3</v>
      </c>
      <c r="R30" s="161">
        <v>0.65257844087901296</v>
      </c>
      <c r="S30" s="161">
        <v>5.1370077143384797E-2</v>
      </c>
      <c r="T30" s="161">
        <v>6.0363299278684401</v>
      </c>
      <c r="U30" s="161">
        <v>5.0949643950789296</v>
      </c>
      <c r="V30" s="161">
        <v>0.54228463939044702</v>
      </c>
      <c r="W30" s="161"/>
      <c r="X30" s="58"/>
      <c r="Y30" s="160"/>
      <c r="Z30" s="160"/>
      <c r="AA30" s="160"/>
      <c r="AB30" s="160"/>
      <c r="AC30" s="160"/>
      <c r="AD30" s="162"/>
      <c r="AE30" s="161"/>
    </row>
    <row r="31" spans="1:31" ht="21.2" customHeight="1">
      <c r="A31" s="8" t="s">
        <v>147</v>
      </c>
      <c r="B31" s="158" t="s">
        <v>859</v>
      </c>
      <c r="C31" s="159">
        <v>30</v>
      </c>
      <c r="D31" s="158" t="s">
        <v>860</v>
      </c>
      <c r="E31" s="58">
        <v>78.831785714285701</v>
      </c>
      <c r="F31" s="160">
        <v>19.651690682164698</v>
      </c>
      <c r="G31" s="161">
        <v>0.33806960169472899</v>
      </c>
      <c r="H31" s="161">
        <v>0.66596120296155104</v>
      </c>
      <c r="I31" s="161">
        <v>1.00403080465628</v>
      </c>
      <c r="J31" s="161">
        <v>2.4622198749383801</v>
      </c>
      <c r="K31" s="161">
        <v>0.12972590046184401</v>
      </c>
      <c r="L31" s="161">
        <v>0.50546777208048499</v>
      </c>
      <c r="M31" s="161">
        <v>1.75316392163999E-2</v>
      </c>
      <c r="N31" s="161">
        <v>4.3662178701472702E-2</v>
      </c>
      <c r="O31" s="161">
        <v>0.39545521565748698</v>
      </c>
      <c r="P31" s="161">
        <v>0.646797166425499</v>
      </c>
      <c r="Q31" s="161">
        <v>7.7263236258335505E-2</v>
      </c>
      <c r="R31" s="161">
        <v>0.39122427902899398</v>
      </c>
      <c r="S31" s="161">
        <v>5.3512788560504301E-2</v>
      </c>
      <c r="T31" s="161">
        <v>3.31657993987141</v>
      </c>
      <c r="U31" s="161">
        <v>4.2285979677994598</v>
      </c>
      <c r="V31" s="161">
        <v>0.439562854641185</v>
      </c>
      <c r="W31" s="161"/>
      <c r="X31" s="58"/>
      <c r="Y31" s="160"/>
      <c r="Z31" s="160"/>
      <c r="AA31" s="160"/>
      <c r="AB31" s="160"/>
      <c r="AC31" s="160"/>
      <c r="AD31" s="162"/>
      <c r="AE31" s="161"/>
    </row>
    <row r="32" spans="1:31" ht="21.2" customHeight="1">
      <c r="A32" s="8" t="s">
        <v>215</v>
      </c>
      <c r="B32" s="158" t="s">
        <v>876</v>
      </c>
      <c r="C32" s="159">
        <v>24</v>
      </c>
      <c r="D32" s="158" t="s">
        <v>865</v>
      </c>
      <c r="E32" s="58">
        <v>76.400000000000006</v>
      </c>
      <c r="F32" s="160">
        <v>19.425171168090099</v>
      </c>
      <c r="G32" s="161">
        <v>0.28869978667829299</v>
      </c>
      <c r="H32" s="161">
        <v>0.71220170921739601</v>
      </c>
      <c r="I32" s="161">
        <v>1.0009014958956901</v>
      </c>
      <c r="J32" s="161">
        <v>1.62414831319651</v>
      </c>
      <c r="K32" s="161">
        <v>7.32844261297909E-2</v>
      </c>
      <c r="L32" s="161">
        <v>0.29105040308663399</v>
      </c>
      <c r="M32" s="161">
        <v>1.5625203378708E-2</v>
      </c>
      <c r="N32" s="161">
        <v>1.8345070750386001E-2</v>
      </c>
      <c r="O32" s="161">
        <v>0.39650825690450697</v>
      </c>
      <c r="P32" s="161">
        <v>0.29764681480273297</v>
      </c>
      <c r="Q32" s="161">
        <v>-3.5158875746684602E-2</v>
      </c>
      <c r="R32" s="161">
        <v>0.32373465889893999</v>
      </c>
      <c r="S32" s="161">
        <v>3.3221473083903698E-2</v>
      </c>
      <c r="T32" s="161">
        <v>8.3109820801412297</v>
      </c>
      <c r="U32" s="161">
        <v>8.0894358033659106</v>
      </c>
      <c r="V32" s="161">
        <v>0.50675428755379803</v>
      </c>
      <c r="W32" s="161"/>
      <c r="X32" s="58"/>
      <c r="Y32" s="160"/>
      <c r="Z32" s="160"/>
      <c r="AA32" s="160"/>
      <c r="AB32" s="160"/>
      <c r="AC32" s="160"/>
      <c r="AD32" s="162"/>
      <c r="AE32" s="161"/>
    </row>
    <row r="33" spans="1:31" ht="21.2" customHeight="1">
      <c r="A33" s="8" t="s">
        <v>176</v>
      </c>
      <c r="B33" s="158" t="s">
        <v>869</v>
      </c>
      <c r="C33" s="159">
        <v>26</v>
      </c>
      <c r="D33" s="158" t="s">
        <v>846</v>
      </c>
      <c r="E33" s="58">
        <v>77.961071428571401</v>
      </c>
      <c r="F33" s="160">
        <v>18.4257263157517</v>
      </c>
      <c r="G33" s="161">
        <v>0.47408545932884399</v>
      </c>
      <c r="H33" s="161">
        <v>0.52659633654914095</v>
      </c>
      <c r="I33" s="161">
        <v>1.0006817958779901</v>
      </c>
      <c r="J33" s="161">
        <v>2.6064780465821298</v>
      </c>
      <c r="K33" s="161">
        <v>0.131924700250696</v>
      </c>
      <c r="L33" s="161">
        <v>0.32903669245273998</v>
      </c>
      <c r="M33" s="161">
        <v>3.8532079407904103E-2</v>
      </c>
      <c r="N33" s="161">
        <v>4.4952487253079397E-2</v>
      </c>
      <c r="O33" s="161">
        <v>0.62369115648986995</v>
      </c>
      <c r="P33" s="161">
        <v>0.81678953737951099</v>
      </c>
      <c r="Q33" s="161">
        <v>0.10993510652195999</v>
      </c>
      <c r="R33" s="161">
        <v>0.370087946124945</v>
      </c>
      <c r="S33" s="161">
        <v>7.5850312674975898E-2</v>
      </c>
      <c r="T33" s="161">
        <v>3.9483590981172698</v>
      </c>
      <c r="U33" s="161">
        <v>3.6481853931224602</v>
      </c>
      <c r="V33" s="161">
        <v>0.51975725313930299</v>
      </c>
      <c r="W33" s="161"/>
      <c r="X33" s="58"/>
      <c r="Y33" s="160"/>
      <c r="Z33" s="160"/>
      <c r="AA33" s="160"/>
      <c r="AB33" s="160"/>
      <c r="AC33" s="160"/>
      <c r="AD33" s="162"/>
      <c r="AE33" s="161"/>
    </row>
    <row r="34" spans="1:31" ht="21.2" customHeight="1">
      <c r="A34" s="8" t="s">
        <v>204</v>
      </c>
      <c r="B34" s="158" t="s">
        <v>881</v>
      </c>
      <c r="C34" s="163">
        <v>18</v>
      </c>
      <c r="D34" s="158" t="s">
        <v>846</v>
      </c>
      <c r="E34" s="58">
        <v>78</v>
      </c>
      <c r="F34" s="160">
        <v>19</v>
      </c>
      <c r="G34" s="161">
        <v>0.42195294222276802</v>
      </c>
      <c r="H34" s="161">
        <v>0.57719229812557005</v>
      </c>
      <c r="I34" s="161">
        <v>0.99914524034833796</v>
      </c>
      <c r="J34" s="161">
        <v>2.7514715113738402</v>
      </c>
      <c r="K34" s="161">
        <v>0.132729988671446</v>
      </c>
      <c r="L34" s="161">
        <v>0.31429224248079901</v>
      </c>
      <c r="M34" s="161">
        <v>0</v>
      </c>
      <c r="N34" s="161">
        <v>0</v>
      </c>
      <c r="O34" s="161">
        <v>0.45609756097560999</v>
      </c>
      <c r="P34" s="161">
        <v>0.54878048780487798</v>
      </c>
      <c r="Q34" s="161">
        <v>7.9268292682926796E-3</v>
      </c>
      <c r="R34" s="161">
        <v>0.292682926829268</v>
      </c>
      <c r="S34" s="161">
        <v>4.9445100620371801E-2</v>
      </c>
      <c r="T34" s="161">
        <v>3.2907413866604802</v>
      </c>
      <c r="U34" s="161">
        <v>4.7354571173894602</v>
      </c>
      <c r="V34" s="161">
        <v>0.41</v>
      </c>
      <c r="W34" s="161"/>
      <c r="X34" s="58"/>
      <c r="Y34" s="161"/>
      <c r="Z34" s="161"/>
      <c r="AA34" s="161"/>
      <c r="AB34" s="161"/>
      <c r="AC34" s="160"/>
      <c r="AD34" s="162"/>
      <c r="AE34" s="161"/>
    </row>
    <row r="35" spans="1:31" ht="21.2" customHeight="1">
      <c r="A35" s="8" t="s">
        <v>152</v>
      </c>
      <c r="B35" s="158" t="s">
        <v>874</v>
      </c>
      <c r="C35" s="163">
        <v>28</v>
      </c>
      <c r="D35" s="158" t="s">
        <v>847</v>
      </c>
      <c r="E35" s="58">
        <v>80.495000000000005</v>
      </c>
      <c r="F35" s="160">
        <v>19.958875669915798</v>
      </c>
      <c r="G35" s="161">
        <v>0.46383469931007698</v>
      </c>
      <c r="H35" s="161">
        <v>0.53521558608085096</v>
      </c>
      <c r="I35" s="161">
        <v>0.99905028539092799</v>
      </c>
      <c r="J35" s="161">
        <v>3.0904392993058898</v>
      </c>
      <c r="K35" s="161">
        <v>0.123173255197517</v>
      </c>
      <c r="L35" s="161">
        <v>0.30111261656163502</v>
      </c>
      <c r="M35" s="161">
        <v>2.02970790563654E-4</v>
      </c>
      <c r="N35" s="161">
        <v>3.7882612136279901E-4</v>
      </c>
      <c r="O35" s="161">
        <v>0.54844412835177703</v>
      </c>
      <c r="P35" s="161">
        <v>0.98011878690944798</v>
      </c>
      <c r="Q35" s="161">
        <v>4.6857301077777198E-2</v>
      </c>
      <c r="R35" s="161">
        <v>0.55485052777992105</v>
      </c>
      <c r="S35" s="161">
        <v>7.44547568005859E-2</v>
      </c>
      <c r="T35" s="161">
        <v>0.102327762415537</v>
      </c>
      <c r="U35" s="161">
        <v>0.120321033733222</v>
      </c>
      <c r="V35" s="161">
        <v>0.45959270467902602</v>
      </c>
      <c r="W35" s="161"/>
      <c r="X35" s="58"/>
      <c r="Y35" s="160"/>
      <c r="Z35" s="160"/>
      <c r="AA35" s="160"/>
      <c r="AB35" s="160"/>
      <c r="AC35" s="160"/>
      <c r="AD35" s="162"/>
      <c r="AE35" s="161"/>
    </row>
    <row r="36" spans="1:31" ht="21.2" customHeight="1">
      <c r="A36" s="8" t="s">
        <v>154</v>
      </c>
      <c r="B36" s="158" t="s">
        <v>876</v>
      </c>
      <c r="C36" s="159">
        <v>25</v>
      </c>
      <c r="D36" s="158" t="s">
        <v>848</v>
      </c>
      <c r="E36" s="58">
        <v>80.45</v>
      </c>
      <c r="F36" s="160">
        <v>18.080849106690401</v>
      </c>
      <c r="G36" s="161">
        <v>0.43745466973669</v>
      </c>
      <c r="H36" s="161">
        <v>0.55894579014058998</v>
      </c>
      <c r="I36" s="161">
        <v>0.99640045987727999</v>
      </c>
      <c r="J36" s="161">
        <v>3.1869897552528701</v>
      </c>
      <c r="K36" s="161">
        <v>0.122142912048462</v>
      </c>
      <c r="L36" s="161">
        <v>0.30292404196779998</v>
      </c>
      <c r="M36" s="161">
        <v>1.9795151168318199E-4</v>
      </c>
      <c r="N36" s="161">
        <v>3.8759265153016697E-4</v>
      </c>
      <c r="O36" s="161">
        <v>0.41058008290702103</v>
      </c>
      <c r="P36" s="161">
        <v>0.24495701999018499</v>
      </c>
      <c r="Q36" s="161">
        <v>-6.8393583798927099E-2</v>
      </c>
      <c r="R36" s="161">
        <v>0.32329428693393197</v>
      </c>
      <c r="S36" s="161">
        <v>5.0339103825801798E-2</v>
      </c>
      <c r="T36" s="161">
        <v>7.6009410267902894E-2</v>
      </c>
      <c r="U36" s="161">
        <v>0.116378934311809</v>
      </c>
      <c r="V36" s="161">
        <v>0.39508323871673001</v>
      </c>
      <c r="W36" s="161"/>
      <c r="X36" s="58"/>
      <c r="Y36" s="160"/>
      <c r="Z36" s="160"/>
      <c r="AA36" s="160"/>
      <c r="AB36" s="160"/>
      <c r="AC36" s="160"/>
      <c r="AD36" s="162"/>
      <c r="AE36" s="161"/>
    </row>
    <row r="37" spans="1:31" ht="21.2" customHeight="1">
      <c r="A37" s="8" t="s">
        <v>131</v>
      </c>
      <c r="B37" s="158" t="s">
        <v>882</v>
      </c>
      <c r="C37" s="159">
        <v>37</v>
      </c>
      <c r="D37" s="158" t="s">
        <v>847</v>
      </c>
      <c r="E37" s="58">
        <v>78.134285714285696</v>
      </c>
      <c r="F37" s="160">
        <v>20.248997503357899</v>
      </c>
      <c r="G37" s="161">
        <v>0.54097457983772301</v>
      </c>
      <c r="H37" s="161">
        <v>0.45486883636089898</v>
      </c>
      <c r="I37" s="161">
        <v>0.99584341619862204</v>
      </c>
      <c r="J37" s="161">
        <v>4.0453530514905598</v>
      </c>
      <c r="K37" s="161">
        <v>0.19026447168055399</v>
      </c>
      <c r="L37" s="161">
        <v>0.34380734495523202</v>
      </c>
      <c r="M37" s="161">
        <v>9.1362218234366597E-5</v>
      </c>
      <c r="N37" s="161">
        <v>1.03358188023347E-4</v>
      </c>
      <c r="O37" s="161">
        <v>0.34025529031066098</v>
      </c>
      <c r="P37" s="161">
        <v>2.2357470119710099</v>
      </c>
      <c r="Q37" s="161">
        <v>-3.1933997951203399E-2</v>
      </c>
      <c r="R37" s="161">
        <v>0.39567060511661101</v>
      </c>
      <c r="S37" s="161">
        <v>6.6543057870993794E-2</v>
      </c>
      <c r="T37" s="161">
        <v>3.9607555240810201E-2</v>
      </c>
      <c r="U37" s="161">
        <v>8.3911329266869797E-2</v>
      </c>
      <c r="V37" s="161">
        <v>0.320659916891879</v>
      </c>
      <c r="W37" s="161"/>
      <c r="X37" s="58"/>
      <c r="Y37" s="160"/>
      <c r="Z37" s="160"/>
      <c r="AA37" s="160"/>
      <c r="AB37" s="160"/>
      <c r="AC37" s="160"/>
      <c r="AD37" s="162"/>
      <c r="AE37" s="161"/>
    </row>
    <row r="38" spans="1:31" ht="21.2" customHeight="1">
      <c r="A38" s="8" t="s">
        <v>148</v>
      </c>
      <c r="B38" s="158" t="s">
        <v>883</v>
      </c>
      <c r="C38" s="159">
        <v>27</v>
      </c>
      <c r="D38" s="158" t="s">
        <v>864</v>
      </c>
      <c r="E38" s="58">
        <v>78.843928571428606</v>
      </c>
      <c r="F38" s="160">
        <v>17.532561107430901</v>
      </c>
      <c r="G38" s="161">
        <v>0.36223550219514</v>
      </c>
      <c r="H38" s="161">
        <v>0.62850512697991101</v>
      </c>
      <c r="I38" s="161">
        <v>0.99074062917505101</v>
      </c>
      <c r="J38" s="161">
        <v>3.2477542526558798</v>
      </c>
      <c r="K38" s="161">
        <v>8.76091869043399E-2</v>
      </c>
      <c r="L38" s="161">
        <v>0.29296243326476001</v>
      </c>
      <c r="M38" s="161">
        <v>1.9005577128912399E-4</v>
      </c>
      <c r="N38" s="161">
        <v>2.38538954931255E-4</v>
      </c>
      <c r="O38" s="161">
        <v>0.29311706140880101</v>
      </c>
      <c r="P38" s="161">
        <v>0.788529984509455</v>
      </c>
      <c r="Q38" s="161">
        <v>1.55969402709652E-2</v>
      </c>
      <c r="R38" s="161">
        <v>0.61276205165106601</v>
      </c>
      <c r="S38" s="161">
        <v>5.3632970870059603E-2</v>
      </c>
      <c r="T38" s="161">
        <v>8.5721910492060696E-2</v>
      </c>
      <c r="U38" s="161">
        <v>0.13450285190043701</v>
      </c>
      <c r="V38" s="161">
        <v>0.38924737418620697</v>
      </c>
      <c r="W38" s="161"/>
      <c r="X38" s="58"/>
      <c r="Y38" s="160"/>
      <c r="Z38" s="160"/>
      <c r="AA38" s="160"/>
      <c r="AB38" s="160"/>
      <c r="AC38" s="160"/>
      <c r="AD38" s="162"/>
      <c r="AE38" s="161"/>
    </row>
    <row r="39" spans="1:31" ht="21.2" customHeight="1">
      <c r="A39" s="8" t="s">
        <v>164</v>
      </c>
      <c r="B39" s="158" t="s">
        <v>884</v>
      </c>
      <c r="C39" s="159">
        <v>26</v>
      </c>
      <c r="D39" s="158" t="s">
        <v>846</v>
      </c>
      <c r="E39" s="58">
        <v>80.375</v>
      </c>
      <c r="F39" s="160">
        <v>19.979980394414699</v>
      </c>
      <c r="G39" s="161">
        <v>0.47333608154984103</v>
      </c>
      <c r="H39" s="161">
        <v>0.51563336577737195</v>
      </c>
      <c r="I39" s="161">
        <v>0.98896944732721304</v>
      </c>
      <c r="J39" s="161">
        <v>2.94181855608783</v>
      </c>
      <c r="K39" s="161">
        <v>0.119436893908029</v>
      </c>
      <c r="L39" s="161">
        <v>0.26760052122339401</v>
      </c>
      <c r="M39" s="161">
        <v>2.7574222606599599E-2</v>
      </c>
      <c r="N39" s="161">
        <v>4.25711855981298E-2</v>
      </c>
      <c r="O39" s="161">
        <v>0.32900933505778002</v>
      </c>
      <c r="P39" s="161">
        <v>0.88170899148290505</v>
      </c>
      <c r="Q39" s="161">
        <v>0.106390994086786</v>
      </c>
      <c r="R39" s="161">
        <v>0.54634002397848003</v>
      </c>
      <c r="S39" s="161">
        <v>8.4927091826427895E-2</v>
      </c>
      <c r="T39" s="161">
        <v>7.2776391995538496</v>
      </c>
      <c r="U39" s="161">
        <v>6.6977417538102904</v>
      </c>
      <c r="V39" s="161">
        <v>0.52074710691889803</v>
      </c>
      <c r="W39" s="161"/>
      <c r="X39" s="58"/>
      <c r="Y39" s="160"/>
      <c r="Z39" s="160"/>
      <c r="AA39" s="160"/>
      <c r="AB39" s="160"/>
      <c r="AC39" s="160"/>
      <c r="AD39" s="162"/>
      <c r="AE39" s="161"/>
    </row>
    <row r="40" spans="1:31" ht="21.2" customHeight="1">
      <c r="A40" s="8" t="s">
        <v>158</v>
      </c>
      <c r="B40" s="158" t="s">
        <v>868</v>
      </c>
      <c r="C40" s="159">
        <v>24</v>
      </c>
      <c r="D40" s="158" t="s">
        <v>846</v>
      </c>
      <c r="E40" s="58">
        <v>78.47</v>
      </c>
      <c r="F40" s="160">
        <v>20.2532768230359</v>
      </c>
      <c r="G40" s="161">
        <v>0.380535354375093</v>
      </c>
      <c r="H40" s="161">
        <v>0.60237196928865999</v>
      </c>
      <c r="I40" s="161">
        <v>0.982907323663752</v>
      </c>
      <c r="J40" s="161">
        <v>3.0447878167748699</v>
      </c>
      <c r="K40" s="161">
        <v>9.8246020238076298E-2</v>
      </c>
      <c r="L40" s="161">
        <v>0.25636221253744101</v>
      </c>
      <c r="M40" s="161">
        <v>2.9109983796518E-2</v>
      </c>
      <c r="N40" s="161">
        <v>5.0259143181767697E-2</v>
      </c>
      <c r="O40" s="161">
        <v>0.74823290776066198</v>
      </c>
      <c r="P40" s="161">
        <v>0.57267841045689005</v>
      </c>
      <c r="Q40" s="161">
        <v>2.43783570444823E-2</v>
      </c>
      <c r="R40" s="161">
        <v>0.235643332178606</v>
      </c>
      <c r="S40" s="161">
        <v>5.5930318083717102E-2</v>
      </c>
      <c r="T40" s="161">
        <v>11.349029664633299</v>
      </c>
      <c r="U40" s="161">
        <v>9.9194673537496101</v>
      </c>
      <c r="V40" s="161">
        <v>0.533607506671678</v>
      </c>
      <c r="W40" s="161"/>
      <c r="X40" s="58"/>
      <c r="Y40" s="160"/>
      <c r="Z40" s="160"/>
      <c r="AA40" s="160"/>
      <c r="AB40" s="160"/>
      <c r="AC40" s="160"/>
      <c r="AD40" s="162"/>
      <c r="AE40" s="161"/>
    </row>
    <row r="41" spans="1:31" ht="21.2" customHeight="1">
      <c r="A41" s="8" t="s">
        <v>162</v>
      </c>
      <c r="B41" s="158" t="s">
        <v>872</v>
      </c>
      <c r="C41" s="159">
        <v>27</v>
      </c>
      <c r="D41" s="158" t="s">
        <v>848</v>
      </c>
      <c r="E41" s="58">
        <v>76.489999999999995</v>
      </c>
      <c r="F41" s="160">
        <v>19.9730849972836</v>
      </c>
      <c r="G41" s="161">
        <v>0.42154938704699502</v>
      </c>
      <c r="H41" s="161">
        <v>0.55727410213654305</v>
      </c>
      <c r="I41" s="161">
        <v>0.97882348918353801</v>
      </c>
      <c r="J41" s="161">
        <v>3.04875698058571</v>
      </c>
      <c r="K41" s="161">
        <v>9.5145942973253295E-2</v>
      </c>
      <c r="L41" s="161">
        <v>0.25096661833547101</v>
      </c>
      <c r="M41" s="161">
        <v>1.36794950757935E-2</v>
      </c>
      <c r="N41" s="161">
        <v>1.54190714904202E-2</v>
      </c>
      <c r="O41" s="161">
        <v>0.70714866314135705</v>
      </c>
      <c r="P41" s="161">
        <v>0.79671901906059295</v>
      </c>
      <c r="Q41" s="161">
        <v>2.08877878728723E-2</v>
      </c>
      <c r="R41" s="161">
        <v>0.38037438538991802</v>
      </c>
      <c r="S41" s="161">
        <v>5.3966354800993502E-2</v>
      </c>
      <c r="T41" s="161">
        <v>0.39001158563844301</v>
      </c>
      <c r="U41" s="161">
        <v>0.56954476678303201</v>
      </c>
      <c r="V41" s="161">
        <v>0.40644990224308802</v>
      </c>
      <c r="W41" s="161"/>
      <c r="X41" s="58"/>
      <c r="Y41" s="160"/>
      <c r="Z41" s="160"/>
      <c r="AA41" s="160"/>
      <c r="AB41" s="160"/>
      <c r="AC41" s="160"/>
      <c r="AD41" s="162"/>
      <c r="AE41" s="161"/>
    </row>
    <row r="42" spans="1:31" ht="21.2" customHeight="1">
      <c r="A42" s="8" t="s">
        <v>174</v>
      </c>
      <c r="B42" s="158" t="s">
        <v>875</v>
      </c>
      <c r="C42" s="159">
        <v>25</v>
      </c>
      <c r="D42" s="158" t="s">
        <v>864</v>
      </c>
      <c r="E42" s="58">
        <v>74.38</v>
      </c>
      <c r="F42" s="160">
        <v>19.1773035172879</v>
      </c>
      <c r="G42" s="161">
        <v>0.42438273050196601</v>
      </c>
      <c r="H42" s="161">
        <v>0.53713300128604102</v>
      </c>
      <c r="I42" s="161">
        <v>0.96151573178800698</v>
      </c>
      <c r="J42" s="161">
        <v>3.1162956833098701</v>
      </c>
      <c r="K42" s="161">
        <v>0.127042728684507</v>
      </c>
      <c r="L42" s="161">
        <v>0.276003410978713</v>
      </c>
      <c r="M42" s="161">
        <v>4.7196294846341298E-5</v>
      </c>
      <c r="N42" s="161">
        <v>9.1859130474364104E-5</v>
      </c>
      <c r="O42" s="161">
        <v>0.423096851673333</v>
      </c>
      <c r="P42" s="161">
        <v>0.61250549222786199</v>
      </c>
      <c r="Q42" s="161">
        <v>-5.6949818068299102E-2</v>
      </c>
      <c r="R42" s="161">
        <v>0.379373293554993</v>
      </c>
      <c r="S42" s="161">
        <v>4.5475531527857799E-2</v>
      </c>
      <c r="T42" s="161">
        <v>0.41663155799010199</v>
      </c>
      <c r="U42" s="161">
        <v>0.826767889228324</v>
      </c>
      <c r="V42" s="161">
        <v>0.335074588397266</v>
      </c>
      <c r="W42" s="161"/>
      <c r="X42" s="58"/>
      <c r="Y42" s="160"/>
      <c r="Z42" s="160"/>
      <c r="AA42" s="160"/>
      <c r="AB42" s="160"/>
      <c r="AC42" s="160"/>
      <c r="AD42" s="162"/>
      <c r="AE42" s="161"/>
    </row>
    <row r="43" spans="1:31" ht="21.2" customHeight="1">
      <c r="A43" s="8" t="s">
        <v>194</v>
      </c>
      <c r="B43" s="158" t="s">
        <v>885</v>
      </c>
      <c r="C43" s="159">
        <v>30</v>
      </c>
      <c r="D43" s="158" t="s">
        <v>864</v>
      </c>
      <c r="E43" s="58">
        <v>80.7</v>
      </c>
      <c r="F43" s="160">
        <v>18.0033008230162</v>
      </c>
      <c r="G43" s="161">
        <v>0.26717552150838197</v>
      </c>
      <c r="H43" s="161">
        <v>0.68222772904970996</v>
      </c>
      <c r="I43" s="161">
        <v>0.94940325055809105</v>
      </c>
      <c r="J43" s="161">
        <v>2.0160399512462601</v>
      </c>
      <c r="K43" s="161">
        <v>6.1664044568698902E-2</v>
      </c>
      <c r="L43" s="161">
        <v>0.292507957500445</v>
      </c>
      <c r="M43" s="161">
        <v>2.2130230611256802E-3</v>
      </c>
      <c r="N43" s="161">
        <v>3.6921962406683399E-3</v>
      </c>
      <c r="O43" s="161">
        <v>0.34780841549036801</v>
      </c>
      <c r="P43" s="161">
        <v>0.97385424422426703</v>
      </c>
      <c r="Q43" s="161">
        <v>4.5533977763469499E-2</v>
      </c>
      <c r="R43" s="161">
        <v>0.44872818389394598</v>
      </c>
      <c r="S43" s="161">
        <v>4.4644562103086802E-2</v>
      </c>
      <c r="T43" s="161">
        <v>0.116410203660127</v>
      </c>
      <c r="U43" s="161">
        <v>0.21399636009599801</v>
      </c>
      <c r="V43" s="161">
        <v>0.35232412557654302</v>
      </c>
      <c r="W43" s="161"/>
      <c r="X43" s="58"/>
      <c r="Y43" s="160"/>
      <c r="Z43" s="160"/>
      <c r="AA43" s="160"/>
      <c r="AB43" s="160"/>
      <c r="AC43" s="160"/>
      <c r="AD43" s="162"/>
      <c r="AE43" s="161"/>
    </row>
    <row r="44" spans="1:31" ht="21.2" customHeight="1">
      <c r="A44" s="8" t="s">
        <v>119</v>
      </c>
      <c r="B44" s="158" t="s">
        <v>874</v>
      </c>
      <c r="C44" s="159">
        <v>33</v>
      </c>
      <c r="D44" s="158" t="s">
        <v>849</v>
      </c>
      <c r="E44" s="58">
        <v>77.044285714285706</v>
      </c>
      <c r="F44" s="160">
        <v>26.080562995426799</v>
      </c>
      <c r="G44" s="161">
        <v>0.23996851262660199</v>
      </c>
      <c r="H44" s="161">
        <v>0.70300992265415196</v>
      </c>
      <c r="I44" s="161">
        <v>0.94297843528075498</v>
      </c>
      <c r="J44" s="161">
        <v>2.58683318362946</v>
      </c>
      <c r="K44" s="161">
        <v>5.1793265206288297E-2</v>
      </c>
      <c r="L44" s="161">
        <v>0.30815146408431099</v>
      </c>
      <c r="M44" s="161">
        <v>2.7116129644146498E-5</v>
      </c>
      <c r="N44" s="161">
        <v>1.1150449971458201E-3</v>
      </c>
      <c r="O44" s="161">
        <v>1.1938344838338999</v>
      </c>
      <c r="P44" s="161">
        <v>0.57995381445953897</v>
      </c>
      <c r="Q44" s="161">
        <v>4.0290677117034997E-2</v>
      </c>
      <c r="R44" s="161">
        <v>0.374838147106834</v>
      </c>
      <c r="S44" s="161">
        <v>2.9793471723008301E-2</v>
      </c>
      <c r="T44" s="161">
        <v>0</v>
      </c>
      <c r="U44" s="161">
        <v>1.00486891615486E-2</v>
      </c>
      <c r="V44" s="161">
        <v>0</v>
      </c>
      <c r="W44" s="161"/>
      <c r="X44" s="58"/>
      <c r="Y44" s="160"/>
      <c r="Z44" s="160"/>
      <c r="AA44" s="160"/>
      <c r="AB44" s="160"/>
      <c r="AC44" s="160"/>
      <c r="AD44" s="162"/>
      <c r="AE44" s="161"/>
    </row>
    <row r="45" spans="1:31" ht="21.2" customHeight="1">
      <c r="A45" s="8" t="s">
        <v>223</v>
      </c>
      <c r="B45" s="158" t="s">
        <v>878</v>
      </c>
      <c r="C45" s="159">
        <v>27</v>
      </c>
      <c r="D45" s="158" t="s">
        <v>880</v>
      </c>
      <c r="E45" s="58">
        <v>75.459285714285699</v>
      </c>
      <c r="F45" s="160">
        <v>19.793446718269099</v>
      </c>
      <c r="G45" s="161">
        <v>0.35985506777898002</v>
      </c>
      <c r="H45" s="161">
        <v>0.58019285921929997</v>
      </c>
      <c r="I45" s="161">
        <v>0.94004792699827999</v>
      </c>
      <c r="J45" s="161">
        <v>2.2383077942534899</v>
      </c>
      <c r="K45" s="161">
        <v>9.3072230311003895E-2</v>
      </c>
      <c r="L45" s="161">
        <v>0.19908168998421799</v>
      </c>
      <c r="M45" s="161">
        <v>1.3078503594933801E-3</v>
      </c>
      <c r="N45" s="161">
        <v>9.3606327150983805E-3</v>
      </c>
      <c r="O45" s="161">
        <v>0.45902702316507399</v>
      </c>
      <c r="P45" s="161">
        <v>0.27923157972298701</v>
      </c>
      <c r="Q45" s="161">
        <v>-1.45296944515627E-2</v>
      </c>
      <c r="R45" s="161">
        <v>0.33667540206332403</v>
      </c>
      <c r="S45" s="161">
        <v>4.54124852889084E-2</v>
      </c>
      <c r="T45" s="161">
        <v>1.3532581899400999</v>
      </c>
      <c r="U45" s="161">
        <v>1.7432355562369299</v>
      </c>
      <c r="V45" s="161">
        <v>0.43702920169331799</v>
      </c>
      <c r="W45" s="161"/>
      <c r="X45" s="58"/>
      <c r="Y45" s="160"/>
      <c r="Z45" s="160"/>
      <c r="AA45" s="160"/>
      <c r="AB45" s="160"/>
      <c r="AC45" s="160"/>
      <c r="AD45" s="162"/>
      <c r="AE45" s="161"/>
    </row>
    <row r="46" spans="1:31" ht="21.2" customHeight="1">
      <c r="A46" s="8" t="s">
        <v>179</v>
      </c>
      <c r="B46" s="158" t="s">
        <v>870</v>
      </c>
      <c r="C46" s="159">
        <v>35</v>
      </c>
      <c r="D46" s="158" t="s">
        <v>847</v>
      </c>
      <c r="E46" s="58">
        <v>78.343214285714296</v>
      </c>
      <c r="F46" s="160">
        <v>18.701640587913499</v>
      </c>
      <c r="G46" s="161">
        <v>0.33366374774836599</v>
      </c>
      <c r="H46" s="161">
        <v>0.60594491341828904</v>
      </c>
      <c r="I46" s="161">
        <v>0.93960866116665498</v>
      </c>
      <c r="J46" s="161">
        <v>2.7050833106504801</v>
      </c>
      <c r="K46" s="161">
        <v>9.5989064091517001E-2</v>
      </c>
      <c r="L46" s="161">
        <v>0.35363925442448901</v>
      </c>
      <c r="M46" s="161">
        <v>1.22352149913806E-2</v>
      </c>
      <c r="N46" s="161">
        <v>2.2341515342143899E-2</v>
      </c>
      <c r="O46" s="161">
        <v>0.31692772189631702</v>
      </c>
      <c r="P46" s="161">
        <v>1.10446060295801</v>
      </c>
      <c r="Q46" s="161">
        <v>9.4571554538169594E-2</v>
      </c>
      <c r="R46" s="161">
        <v>0.88064420832647605</v>
      </c>
      <c r="S46" s="161">
        <v>5.6015576951131997E-2</v>
      </c>
      <c r="T46" s="161">
        <v>0.26325794231428201</v>
      </c>
      <c r="U46" s="161">
        <v>0.476432159270954</v>
      </c>
      <c r="V46" s="161">
        <v>0.355903021752071</v>
      </c>
      <c r="W46" s="161"/>
      <c r="X46" s="58"/>
      <c r="Y46" s="160"/>
      <c r="Z46" s="160"/>
      <c r="AA46" s="160"/>
      <c r="AB46" s="160"/>
      <c r="AC46" s="160"/>
      <c r="AD46" s="162"/>
      <c r="AE46" s="161"/>
    </row>
    <row r="47" spans="1:31" ht="21.2" customHeight="1">
      <c r="A47" s="8" t="s">
        <v>195</v>
      </c>
      <c r="B47" s="158" t="s">
        <v>886</v>
      </c>
      <c r="C47" s="159">
        <v>26</v>
      </c>
      <c r="D47" s="158" t="s">
        <v>846</v>
      </c>
      <c r="E47" s="58">
        <v>72.430000000000007</v>
      </c>
      <c r="F47" s="160">
        <v>19.265506524987501</v>
      </c>
      <c r="G47" s="161">
        <v>0.38210093456940603</v>
      </c>
      <c r="H47" s="161">
        <v>0.55707878970715097</v>
      </c>
      <c r="I47" s="161">
        <v>0.93917972427655705</v>
      </c>
      <c r="J47" s="161">
        <v>3.3735637341333899</v>
      </c>
      <c r="K47" s="161">
        <v>5.8545207129773E-2</v>
      </c>
      <c r="L47" s="161">
        <v>0.25826762472766701</v>
      </c>
      <c r="M47" s="161">
        <v>1.8540909963827199E-3</v>
      </c>
      <c r="N47" s="161">
        <v>3.7142030259685399E-3</v>
      </c>
      <c r="O47" s="161">
        <v>0.81932376814779095</v>
      </c>
      <c r="P47" s="161">
        <v>0.96456717013785598</v>
      </c>
      <c r="Q47" s="161">
        <v>8.1918175458466205E-2</v>
      </c>
      <c r="R47" s="161">
        <v>0.233318992942289</v>
      </c>
      <c r="S47" s="161">
        <v>6.2445718240139898E-2</v>
      </c>
      <c r="T47" s="161">
        <v>5.7779434258518902</v>
      </c>
      <c r="U47" s="161">
        <v>6.5964070783008699</v>
      </c>
      <c r="V47" s="161">
        <v>0.46692902580324103</v>
      </c>
      <c r="W47" s="161"/>
      <c r="X47" s="58"/>
      <c r="Y47" s="160"/>
      <c r="Z47" s="160"/>
      <c r="AA47" s="160"/>
      <c r="AB47" s="160"/>
      <c r="AC47" s="160"/>
      <c r="AD47" s="162"/>
      <c r="AE47" s="161"/>
    </row>
    <row r="48" spans="1:31" ht="21.2" customHeight="1">
      <c r="A48" s="8" t="s">
        <v>187</v>
      </c>
      <c r="B48" s="158" t="s">
        <v>887</v>
      </c>
      <c r="C48" s="159">
        <v>25</v>
      </c>
      <c r="D48" s="158" t="s">
        <v>848</v>
      </c>
      <c r="E48" s="58">
        <v>78.47</v>
      </c>
      <c r="F48" s="160">
        <v>19.746723321483</v>
      </c>
      <c r="G48" s="161">
        <v>0.414898667586587</v>
      </c>
      <c r="H48" s="161">
        <v>0.52134770363723404</v>
      </c>
      <c r="I48" s="161">
        <v>0.93624637122382104</v>
      </c>
      <c r="J48" s="161">
        <v>2.7335007340262698</v>
      </c>
      <c r="K48" s="161">
        <v>9.7935649532250604E-2</v>
      </c>
      <c r="L48" s="161">
        <v>0.215947191131272</v>
      </c>
      <c r="M48" s="161">
        <v>9.3386777009295697E-4</v>
      </c>
      <c r="N48" s="161">
        <v>1.8091555516603301E-3</v>
      </c>
      <c r="O48" s="161">
        <v>0.359281558542065</v>
      </c>
      <c r="P48" s="161">
        <v>0.216886835655448</v>
      </c>
      <c r="Q48" s="161">
        <v>-8.4495292185624599E-2</v>
      </c>
      <c r="R48" s="161">
        <v>0.38951228007111799</v>
      </c>
      <c r="S48" s="161">
        <v>3.9773441620490499E-2</v>
      </c>
      <c r="T48" s="161">
        <v>3.01211214611933E-2</v>
      </c>
      <c r="U48" s="161">
        <v>2.1675130763662301E-2</v>
      </c>
      <c r="V48" s="161">
        <v>0.58153090556499798</v>
      </c>
      <c r="W48" s="161"/>
      <c r="X48" s="58"/>
      <c r="Y48" s="160"/>
      <c r="Z48" s="160"/>
      <c r="AA48" s="160"/>
      <c r="AB48" s="160"/>
      <c r="AC48" s="160"/>
      <c r="AD48" s="162"/>
      <c r="AE48" s="161"/>
    </row>
    <row r="49" spans="1:31" ht="21.2" customHeight="1">
      <c r="A49" s="8" t="s">
        <v>157</v>
      </c>
      <c r="B49" s="158" t="s">
        <v>859</v>
      </c>
      <c r="C49" s="159">
        <v>31</v>
      </c>
      <c r="D49" s="158" t="s">
        <v>864</v>
      </c>
      <c r="E49" s="58">
        <v>78.768928571428603</v>
      </c>
      <c r="F49" s="160">
        <v>20.099493205368201</v>
      </c>
      <c r="G49" s="161">
        <v>0.42262261965942299</v>
      </c>
      <c r="H49" s="161">
        <v>0.51331702926742195</v>
      </c>
      <c r="I49" s="161">
        <v>0.935939648926845</v>
      </c>
      <c r="J49" s="161">
        <v>3.33172009894585</v>
      </c>
      <c r="K49" s="161">
        <v>0.15550179392407301</v>
      </c>
      <c r="L49" s="161">
        <v>0.289456697364876</v>
      </c>
      <c r="M49" s="161">
        <v>1.7657846004514E-3</v>
      </c>
      <c r="N49" s="161">
        <v>6.6659835091927204E-3</v>
      </c>
      <c r="O49" s="161">
        <v>0.29816903041987602</v>
      </c>
      <c r="P49" s="161">
        <v>0.97837819551254901</v>
      </c>
      <c r="Q49" s="161">
        <v>0.10182718135452</v>
      </c>
      <c r="R49" s="161">
        <v>0.51782427631078898</v>
      </c>
      <c r="S49" s="161">
        <v>6.6896623574995998E-2</v>
      </c>
      <c r="T49" s="161">
        <v>0.18567361034291699</v>
      </c>
      <c r="U49" s="161">
        <v>0.211161960367029</v>
      </c>
      <c r="V49" s="161">
        <v>0.46788550232718201</v>
      </c>
      <c r="W49" s="161"/>
      <c r="X49" s="58"/>
      <c r="Y49" s="160"/>
      <c r="Z49" s="160"/>
      <c r="AA49" s="160"/>
      <c r="AB49" s="160"/>
      <c r="AC49" s="160"/>
      <c r="AD49" s="162"/>
      <c r="AE49" s="161"/>
    </row>
    <row r="50" spans="1:31" ht="21.2" customHeight="1">
      <c r="A50" s="8" t="s">
        <v>113</v>
      </c>
      <c r="B50" s="158" t="s">
        <v>888</v>
      </c>
      <c r="C50" s="159">
        <v>33</v>
      </c>
      <c r="D50" s="158" t="s">
        <v>849</v>
      </c>
      <c r="E50" s="58">
        <v>77.921071428571395</v>
      </c>
      <c r="F50" s="160">
        <v>25.196900572663399</v>
      </c>
      <c r="G50" s="161">
        <v>0.23860376609362699</v>
      </c>
      <c r="H50" s="161">
        <v>0.68820571913503203</v>
      </c>
      <c r="I50" s="161">
        <v>0.92680948522865902</v>
      </c>
      <c r="J50" s="161">
        <v>3.6169276493531499</v>
      </c>
      <c r="K50" s="161">
        <v>0.105393120900366</v>
      </c>
      <c r="L50" s="161">
        <v>0.37463203691347802</v>
      </c>
      <c r="M50" s="161">
        <v>2.7088639086989E-5</v>
      </c>
      <c r="N50" s="161">
        <v>1.7880478956961801E-3</v>
      </c>
      <c r="O50" s="161">
        <v>1.8921863479766801</v>
      </c>
      <c r="P50" s="161">
        <v>0.87785800652183499</v>
      </c>
      <c r="Q50" s="161">
        <v>2.23433046729366E-2</v>
      </c>
      <c r="R50" s="161">
        <v>0.55187581710546596</v>
      </c>
      <c r="S50" s="161">
        <v>3.4842390311014798E-2</v>
      </c>
      <c r="T50" s="161">
        <v>0</v>
      </c>
      <c r="U50" s="161">
        <v>0</v>
      </c>
      <c r="V50" s="161">
        <v>0</v>
      </c>
      <c r="W50" s="161"/>
      <c r="X50" s="58"/>
      <c r="Y50" s="160"/>
      <c r="Z50" s="160"/>
      <c r="AA50" s="160"/>
      <c r="AB50" s="160"/>
      <c r="AC50" s="160"/>
      <c r="AD50" s="162"/>
      <c r="AE50" s="161"/>
    </row>
    <row r="51" spans="1:31" ht="21.2" customHeight="1">
      <c r="A51" s="8" t="s">
        <v>125</v>
      </c>
      <c r="B51" s="158" t="s">
        <v>873</v>
      </c>
      <c r="C51" s="159">
        <v>23</v>
      </c>
      <c r="D51" s="158" t="s">
        <v>849</v>
      </c>
      <c r="E51" s="58">
        <v>80.495000000000005</v>
      </c>
      <c r="F51" s="160">
        <v>25.179356028181701</v>
      </c>
      <c r="G51" s="161">
        <v>9.93356046891926E-2</v>
      </c>
      <c r="H51" s="161">
        <v>0.82714396517178301</v>
      </c>
      <c r="I51" s="161">
        <v>0.92647956986097602</v>
      </c>
      <c r="J51" s="161">
        <v>1.9992310510509399</v>
      </c>
      <c r="K51" s="161">
        <v>1.6066612010958999E-2</v>
      </c>
      <c r="L51" s="161">
        <v>0.407416874221182</v>
      </c>
      <c r="M51" s="161">
        <v>4.3830146123497598E-4</v>
      </c>
      <c r="N51" s="161">
        <v>9.1658067887536807E-3</v>
      </c>
      <c r="O51" s="161">
        <v>0.97175546078987696</v>
      </c>
      <c r="P51" s="161">
        <v>0.50669505029578399</v>
      </c>
      <c r="Q51" s="161">
        <v>2.28179595746783E-2</v>
      </c>
      <c r="R51" s="161">
        <v>0.43563783282642998</v>
      </c>
      <c r="S51" s="161">
        <v>1.4061913328434501E-2</v>
      </c>
      <c r="T51" s="161">
        <v>4.3633502831568497E-3</v>
      </c>
      <c r="U51" s="161">
        <v>5.1047928436442399E-3</v>
      </c>
      <c r="V51" s="161">
        <v>0.46084540809334501</v>
      </c>
      <c r="W51" s="161"/>
      <c r="X51" s="58"/>
      <c r="Y51" s="160"/>
      <c r="Z51" s="160"/>
      <c r="AA51" s="160"/>
      <c r="AB51" s="160"/>
      <c r="AC51" s="160"/>
      <c r="AD51" s="162"/>
      <c r="AE51" s="161"/>
    </row>
    <row r="52" spans="1:31" ht="21.2" customHeight="1">
      <c r="A52" s="8" t="s">
        <v>173</v>
      </c>
      <c r="B52" s="158" t="s">
        <v>868</v>
      </c>
      <c r="C52" s="159">
        <v>25</v>
      </c>
      <c r="D52" s="158" t="s">
        <v>864</v>
      </c>
      <c r="E52" s="58">
        <v>80.349999999999994</v>
      </c>
      <c r="F52" s="160">
        <v>17.6488646323171</v>
      </c>
      <c r="G52" s="161">
        <v>0.36562081393665502</v>
      </c>
      <c r="H52" s="161">
        <v>0.56061700550925497</v>
      </c>
      <c r="I52" s="161">
        <v>0.92623781944590999</v>
      </c>
      <c r="J52" s="161">
        <v>2.6013214987211</v>
      </c>
      <c r="K52" s="161">
        <v>8.7719621687575605E-2</v>
      </c>
      <c r="L52" s="161">
        <v>0.27996817347180902</v>
      </c>
      <c r="M52" s="161">
        <v>1.9370668498903401E-4</v>
      </c>
      <c r="N52" s="161">
        <v>6.8778191193658695E-4</v>
      </c>
      <c r="O52" s="161">
        <v>0.33080762077700698</v>
      </c>
      <c r="P52" s="161">
        <v>0.398123340102367</v>
      </c>
      <c r="Q52" s="161">
        <v>2.4435102320858899E-2</v>
      </c>
      <c r="R52" s="161">
        <v>0.19004835215219501</v>
      </c>
      <c r="S52" s="161">
        <v>5.3738209042589601E-2</v>
      </c>
      <c r="T52" s="161">
        <v>1.1559868991984699E-3</v>
      </c>
      <c r="U52" s="161">
        <v>2.24251287173774E-2</v>
      </c>
      <c r="V52" s="161">
        <v>4.9021722211729797E-2</v>
      </c>
      <c r="W52" s="161"/>
      <c r="X52" s="58"/>
      <c r="Y52" s="160"/>
      <c r="Z52" s="160"/>
      <c r="AA52" s="160"/>
      <c r="AB52" s="160"/>
      <c r="AC52" s="160"/>
      <c r="AD52" s="162"/>
      <c r="AE52" s="161"/>
    </row>
    <row r="53" spans="1:31" ht="21.2" customHeight="1">
      <c r="A53" s="8" t="s">
        <v>149</v>
      </c>
      <c r="B53" s="158" t="s">
        <v>866</v>
      </c>
      <c r="C53" s="159">
        <v>32</v>
      </c>
      <c r="D53" s="158" t="s">
        <v>860</v>
      </c>
      <c r="E53" s="58">
        <v>81.262500000000003</v>
      </c>
      <c r="F53" s="160">
        <v>17.589665453734799</v>
      </c>
      <c r="G53" s="161">
        <v>0.37578853830151598</v>
      </c>
      <c r="H53" s="161">
        <v>0.54760667138900598</v>
      </c>
      <c r="I53" s="161">
        <v>0.92339520969052202</v>
      </c>
      <c r="J53" s="161">
        <v>3.1284739693314498</v>
      </c>
      <c r="K53" s="161">
        <v>0.176308603097939</v>
      </c>
      <c r="L53" s="161">
        <v>0.40886974203248699</v>
      </c>
      <c r="M53" s="161">
        <v>6.0691210576800902E-5</v>
      </c>
      <c r="N53" s="161">
        <v>1.01004790739065E-4</v>
      </c>
      <c r="O53" s="161">
        <v>0.45660917106990201</v>
      </c>
      <c r="P53" s="161">
        <v>1.2156890209336599</v>
      </c>
      <c r="Q53" s="161">
        <v>6.3947766109531096E-2</v>
      </c>
      <c r="R53" s="161">
        <v>0.38817652665730201</v>
      </c>
      <c r="S53" s="161">
        <v>6.0370328795059103E-2</v>
      </c>
      <c r="T53" s="161">
        <v>9.1296451231240496</v>
      </c>
      <c r="U53" s="161">
        <v>6.4444894543548399</v>
      </c>
      <c r="V53" s="161">
        <v>0.58620561403945004</v>
      </c>
      <c r="W53" s="161"/>
      <c r="X53" s="58"/>
      <c r="Y53" s="160"/>
      <c r="Z53" s="160"/>
      <c r="AA53" s="160"/>
      <c r="AB53" s="160"/>
      <c r="AC53" s="160"/>
      <c r="AD53" s="162"/>
      <c r="AE53" s="161"/>
    </row>
    <row r="54" spans="1:31" ht="21.2" customHeight="1">
      <c r="A54" s="8" t="s">
        <v>141</v>
      </c>
      <c r="B54" s="158" t="s">
        <v>867</v>
      </c>
      <c r="C54" s="159">
        <v>22</v>
      </c>
      <c r="D54" s="158" t="s">
        <v>864</v>
      </c>
      <c r="E54" s="58">
        <v>79.099999999999994</v>
      </c>
      <c r="F54" s="160">
        <v>19.0849791416092</v>
      </c>
      <c r="G54" s="161">
        <v>0.41263249460616602</v>
      </c>
      <c r="H54" s="161">
        <v>0.51031082424004304</v>
      </c>
      <c r="I54" s="161">
        <v>0.92294331884620895</v>
      </c>
      <c r="J54" s="161">
        <v>3.1875757011819101</v>
      </c>
      <c r="K54" s="161">
        <v>0.10610160403756901</v>
      </c>
      <c r="L54" s="161">
        <v>0.327425753596505</v>
      </c>
      <c r="M54" s="161">
        <v>8.9794535788226195E-4</v>
      </c>
      <c r="N54" s="161">
        <v>1.8714797679584799E-3</v>
      </c>
      <c r="O54" s="161">
        <v>0.39452256484918802</v>
      </c>
      <c r="P54" s="161">
        <v>0.81921963037581702</v>
      </c>
      <c r="Q54" s="161">
        <v>5.2084395282059402E-2</v>
      </c>
      <c r="R54" s="161">
        <v>0.44634744601023701</v>
      </c>
      <c r="S54" s="161">
        <v>6.6259046916974901E-2</v>
      </c>
      <c r="T54" s="161">
        <v>0.84063649264102802</v>
      </c>
      <c r="U54" s="161">
        <v>0.85012077415935505</v>
      </c>
      <c r="V54" s="161">
        <v>0.49719525631959099</v>
      </c>
      <c r="W54" s="161"/>
      <c r="X54" s="58"/>
      <c r="Y54" s="160"/>
      <c r="Z54" s="160"/>
      <c r="AA54" s="160"/>
      <c r="AB54" s="160"/>
      <c r="AC54" s="160"/>
      <c r="AD54" s="162"/>
      <c r="AE54" s="161"/>
    </row>
    <row r="55" spans="1:31" ht="21.2" customHeight="1">
      <c r="A55" s="8" t="s">
        <v>159</v>
      </c>
      <c r="B55" s="158" t="s">
        <v>889</v>
      </c>
      <c r="C55" s="159">
        <v>27</v>
      </c>
      <c r="D55" s="158" t="s">
        <v>846</v>
      </c>
      <c r="E55" s="58">
        <v>78.405357142857099</v>
      </c>
      <c r="F55" s="160">
        <v>19.803300616979701</v>
      </c>
      <c r="G55" s="161">
        <v>0.38606108410856699</v>
      </c>
      <c r="H55" s="161">
        <v>0.53279246378801004</v>
      </c>
      <c r="I55" s="161">
        <v>0.91885354789657703</v>
      </c>
      <c r="J55" s="161">
        <v>3.0169540596871798</v>
      </c>
      <c r="K55" s="161">
        <v>0.148616485153754</v>
      </c>
      <c r="L55" s="161">
        <v>0.31581659139738699</v>
      </c>
      <c r="M55" s="161">
        <v>1.07186700780294E-2</v>
      </c>
      <c r="N55" s="161">
        <v>1.7683187918485499E-2</v>
      </c>
      <c r="O55" s="161">
        <v>0.37673799935551799</v>
      </c>
      <c r="P55" s="161">
        <v>0.75242670568097203</v>
      </c>
      <c r="Q55" s="161">
        <v>-3.6521681428974301E-2</v>
      </c>
      <c r="R55" s="161">
        <v>0.52919411930293303</v>
      </c>
      <c r="S55" s="161">
        <v>5.1089725496031801E-2</v>
      </c>
      <c r="T55" s="161">
        <v>9.0100665683561001</v>
      </c>
      <c r="U55" s="161">
        <v>8.0373547117213704</v>
      </c>
      <c r="V55" s="161">
        <v>0.52852958933359295</v>
      </c>
      <c r="W55" s="161"/>
      <c r="X55" s="58"/>
      <c r="Y55" s="160"/>
      <c r="Z55" s="160"/>
      <c r="AA55" s="160"/>
      <c r="AB55" s="160"/>
      <c r="AC55" s="160"/>
      <c r="AD55" s="162"/>
      <c r="AE55" s="161"/>
    </row>
    <row r="56" spans="1:31" ht="21.2" customHeight="1">
      <c r="A56" s="8" t="s">
        <v>198</v>
      </c>
      <c r="B56" s="158" t="s">
        <v>877</v>
      </c>
      <c r="C56" s="159">
        <v>30</v>
      </c>
      <c r="D56" s="158" t="s">
        <v>846</v>
      </c>
      <c r="E56" s="58">
        <v>79.55</v>
      </c>
      <c r="F56" s="160">
        <v>20.337313943889701</v>
      </c>
      <c r="G56" s="161">
        <v>0.44771118745717697</v>
      </c>
      <c r="H56" s="161">
        <v>0.46935874334682998</v>
      </c>
      <c r="I56" s="161">
        <v>0.91706993080400701</v>
      </c>
      <c r="J56" s="161">
        <v>2.4891056844980701</v>
      </c>
      <c r="K56" s="161">
        <v>0.121608397141609</v>
      </c>
      <c r="L56" s="161">
        <v>0.27605722645261599</v>
      </c>
      <c r="M56" s="161">
        <v>4.3239748750027002E-4</v>
      </c>
      <c r="N56" s="161">
        <v>7.6712665185008403E-4</v>
      </c>
      <c r="O56" s="161">
        <v>0.52408565775668403</v>
      </c>
      <c r="P56" s="161">
        <v>0.59709113427512805</v>
      </c>
      <c r="Q56" s="161">
        <v>1.22023740600141E-2</v>
      </c>
      <c r="R56" s="161">
        <v>0.31445715221502601</v>
      </c>
      <c r="S56" s="161">
        <v>6.9844443814155999E-2</v>
      </c>
      <c r="T56" s="161">
        <v>6.9799182644530697</v>
      </c>
      <c r="U56" s="161">
        <v>7.1845969872972004</v>
      </c>
      <c r="V56" s="161">
        <v>0.49277494784656201</v>
      </c>
      <c r="W56" s="161"/>
      <c r="X56" s="58"/>
      <c r="Y56" s="160"/>
      <c r="Z56" s="160"/>
      <c r="AA56" s="160"/>
      <c r="AB56" s="160"/>
      <c r="AC56" s="160"/>
      <c r="AD56" s="162"/>
      <c r="AE56" s="161"/>
    </row>
    <row r="57" spans="1:31" ht="21.2" customHeight="1">
      <c r="A57" s="8" t="s">
        <v>170</v>
      </c>
      <c r="B57" s="158" t="s">
        <v>890</v>
      </c>
      <c r="C57" s="159">
        <v>26</v>
      </c>
      <c r="D57" s="158" t="s">
        <v>848</v>
      </c>
      <c r="E57" s="58">
        <v>76.833928571428601</v>
      </c>
      <c r="F57" s="160">
        <v>20.043401772103699</v>
      </c>
      <c r="G57" s="161">
        <v>0.38648334688977898</v>
      </c>
      <c r="H57" s="161">
        <v>0.52761489621845603</v>
      </c>
      <c r="I57" s="161">
        <v>0.91409824310823495</v>
      </c>
      <c r="J57" s="161">
        <v>3.0671160608949299</v>
      </c>
      <c r="K57" s="161">
        <v>6.3769959603548199E-2</v>
      </c>
      <c r="L57" s="161">
        <v>0.209893015252795</v>
      </c>
      <c r="M57" s="161">
        <v>3.82577073823041E-2</v>
      </c>
      <c r="N57" s="161">
        <v>7.6022418206268497E-2</v>
      </c>
      <c r="O57" s="161">
        <v>0.58617514307292895</v>
      </c>
      <c r="P57" s="161">
        <v>1.01956225321747</v>
      </c>
      <c r="Q57" s="161">
        <v>-7.3258248898289496E-2</v>
      </c>
      <c r="R57" s="161">
        <v>0.74527020275519096</v>
      </c>
      <c r="S57" s="161">
        <v>4.5429433288125598E-2</v>
      </c>
      <c r="T57" s="161">
        <v>0.36066205703384602</v>
      </c>
      <c r="U57" s="161">
        <v>0.487320587157483</v>
      </c>
      <c r="V57" s="161">
        <v>0.42531773439512799</v>
      </c>
      <c r="W57" s="161"/>
      <c r="X57" s="58"/>
      <c r="Y57" s="160"/>
      <c r="Z57" s="160"/>
      <c r="AA57" s="160"/>
      <c r="AB57" s="160"/>
      <c r="AC57" s="160"/>
      <c r="AD57" s="162"/>
      <c r="AE57" s="161"/>
    </row>
    <row r="58" spans="1:31" ht="21.2" customHeight="1">
      <c r="A58" s="8" t="s">
        <v>144</v>
      </c>
      <c r="B58" s="158" t="s">
        <v>879</v>
      </c>
      <c r="C58" s="159">
        <v>23</v>
      </c>
      <c r="D58" s="158" t="s">
        <v>847</v>
      </c>
      <c r="E58" s="58">
        <v>81.617500000000007</v>
      </c>
      <c r="F58" s="160">
        <v>18.1165430692073</v>
      </c>
      <c r="G58" s="161">
        <v>0.39161405641224101</v>
      </c>
      <c r="H58" s="161">
        <v>0.52037678337354998</v>
      </c>
      <c r="I58" s="161">
        <v>0.91199083978579099</v>
      </c>
      <c r="J58" s="161">
        <v>3.9894573483052</v>
      </c>
      <c r="K58" s="161">
        <v>0.11038056203443</v>
      </c>
      <c r="L58" s="161">
        <v>0.26413507082596199</v>
      </c>
      <c r="M58" s="161">
        <v>3.0949683206219999E-4</v>
      </c>
      <c r="N58" s="161">
        <v>6.1998840722509504E-4</v>
      </c>
      <c r="O58" s="161">
        <v>0.20631107966951701</v>
      </c>
      <c r="P58" s="161">
        <v>2.95943521938695</v>
      </c>
      <c r="Q58" s="161">
        <v>3.2161451639999797E-2</v>
      </c>
      <c r="R58" s="161">
        <v>1.06385627815425</v>
      </c>
      <c r="S58" s="161">
        <v>5.8893235512972202E-2</v>
      </c>
      <c r="T58" s="161">
        <v>3.9210591550429301</v>
      </c>
      <c r="U58" s="161">
        <v>4.1085239816410999</v>
      </c>
      <c r="V58" s="161">
        <v>0.48832661525467502</v>
      </c>
      <c r="W58" s="161"/>
      <c r="X58" s="58"/>
      <c r="Y58" s="160"/>
      <c r="Z58" s="160"/>
      <c r="AA58" s="160"/>
      <c r="AB58" s="160"/>
      <c r="AC58" s="160"/>
      <c r="AD58" s="162"/>
      <c r="AE58" s="161"/>
    </row>
    <row r="59" spans="1:31" ht="21.2" customHeight="1">
      <c r="A59" s="8" t="s">
        <v>244</v>
      </c>
      <c r="B59" s="158" t="s">
        <v>886</v>
      </c>
      <c r="C59" s="159">
        <v>31</v>
      </c>
      <c r="D59" s="158" t="s">
        <v>848</v>
      </c>
      <c r="E59" s="58">
        <v>68.773571428571401</v>
      </c>
      <c r="F59" s="160">
        <v>19.699941070972699</v>
      </c>
      <c r="G59" s="161">
        <v>0.35060998945043997</v>
      </c>
      <c r="H59" s="161">
        <v>0.560536483560933</v>
      </c>
      <c r="I59" s="161">
        <v>0.91114647301137297</v>
      </c>
      <c r="J59" s="161">
        <v>2.4773333781292601</v>
      </c>
      <c r="K59" s="161">
        <v>8.7336506280974294E-2</v>
      </c>
      <c r="L59" s="161">
        <v>0.237225483227894</v>
      </c>
      <c r="M59" s="161">
        <v>2.5705364714906601E-2</v>
      </c>
      <c r="N59" s="161">
        <v>3.2268312610230998E-2</v>
      </c>
      <c r="O59" s="161">
        <v>0.57334667237946002</v>
      </c>
      <c r="P59" s="161">
        <v>0.73963207261960695</v>
      </c>
      <c r="Q59" s="161">
        <v>0.104469284721663</v>
      </c>
      <c r="R59" s="161">
        <v>0.36501697547496498</v>
      </c>
      <c r="S59" s="161">
        <v>5.7299238584886697E-2</v>
      </c>
      <c r="T59" s="161">
        <v>6.2235476852826203E-2</v>
      </c>
      <c r="U59" s="161">
        <v>0.188792119421201</v>
      </c>
      <c r="V59" s="161">
        <v>0.247922849027676</v>
      </c>
      <c r="W59" s="161"/>
      <c r="X59" s="58"/>
      <c r="Y59" s="160"/>
      <c r="Z59" s="160"/>
      <c r="AA59" s="160"/>
      <c r="AB59" s="160"/>
      <c r="AC59" s="160"/>
      <c r="AD59" s="162"/>
      <c r="AE59" s="161"/>
    </row>
    <row r="60" spans="1:31" ht="21.2" customHeight="1">
      <c r="A60" s="8" t="s">
        <v>205</v>
      </c>
      <c r="B60" s="158" t="s">
        <v>888</v>
      </c>
      <c r="C60" s="159">
        <v>29</v>
      </c>
      <c r="D60" s="158" t="s">
        <v>847</v>
      </c>
      <c r="E60" s="58">
        <v>72.0732142857143</v>
      </c>
      <c r="F60" s="160">
        <v>17.382366269817101</v>
      </c>
      <c r="G60" s="161">
        <v>0.41552159687528201</v>
      </c>
      <c r="H60" s="161">
        <v>0.49473598995551499</v>
      </c>
      <c r="I60" s="161">
        <v>0.91025758683079605</v>
      </c>
      <c r="J60" s="161">
        <v>3.04697370198534</v>
      </c>
      <c r="K60" s="161">
        <v>9.07433229230067E-2</v>
      </c>
      <c r="L60" s="161">
        <v>0.27090002929725998</v>
      </c>
      <c r="M60" s="161">
        <v>1.2773816079888399E-4</v>
      </c>
      <c r="N60" s="161">
        <v>2.3350384888676701E-4</v>
      </c>
      <c r="O60" s="161">
        <v>0.484912687121962</v>
      </c>
      <c r="P60" s="161">
        <v>1.5375898662605501</v>
      </c>
      <c r="Q60" s="161">
        <v>3.2011212184912602E-3</v>
      </c>
      <c r="R60" s="161">
        <v>0.37501716671001001</v>
      </c>
      <c r="S60" s="161">
        <v>6.0677020727760503E-2</v>
      </c>
      <c r="T60" s="161">
        <v>1.9902531160086102E-2</v>
      </c>
      <c r="U60" s="161">
        <v>1.8935268107241301E-2</v>
      </c>
      <c r="V60" s="161">
        <v>0.51245259864220005</v>
      </c>
      <c r="W60" s="161"/>
      <c r="X60" s="58"/>
      <c r="Y60" s="160"/>
      <c r="Z60" s="160"/>
      <c r="AA60" s="160"/>
      <c r="AB60" s="160"/>
      <c r="AC60" s="160"/>
      <c r="AD60" s="162"/>
      <c r="AE60" s="161"/>
    </row>
    <row r="61" spans="1:31" ht="21.2" customHeight="1">
      <c r="A61" s="8" t="s">
        <v>160</v>
      </c>
      <c r="B61" s="158" t="s">
        <v>884</v>
      </c>
      <c r="C61" s="159">
        <v>23</v>
      </c>
      <c r="D61" s="158" t="s">
        <v>864</v>
      </c>
      <c r="E61" s="58">
        <v>78.138571428571396</v>
      </c>
      <c r="F61" s="160">
        <v>17.9701293610518</v>
      </c>
      <c r="G61" s="161">
        <v>0.378736001438571</v>
      </c>
      <c r="H61" s="161">
        <v>0.52972267400538797</v>
      </c>
      <c r="I61" s="161">
        <v>0.90845867544395897</v>
      </c>
      <c r="J61" s="161">
        <v>3.1190997929719599</v>
      </c>
      <c r="K61" s="161">
        <v>8.7743713963061201E-2</v>
      </c>
      <c r="L61" s="161">
        <v>0.26870399263120898</v>
      </c>
      <c r="M61" s="161">
        <v>1.96418173382613E-4</v>
      </c>
      <c r="N61" s="161">
        <v>3.9299434015677902E-4</v>
      </c>
      <c r="O61" s="161">
        <v>0.27497436871604503</v>
      </c>
      <c r="P61" s="161">
        <v>2.1155712548171501</v>
      </c>
      <c r="Q61" s="161">
        <v>0.113391061830856</v>
      </c>
      <c r="R61" s="161">
        <v>0.87959830847953902</v>
      </c>
      <c r="S61" s="161">
        <v>6.7953719198481796E-2</v>
      </c>
      <c r="T61" s="161">
        <v>3.1269148344130103E-2</v>
      </c>
      <c r="U61" s="161">
        <v>9.50874406876039E-2</v>
      </c>
      <c r="V61" s="161">
        <v>0.24746749325654099</v>
      </c>
      <c r="W61" s="161"/>
      <c r="X61" s="58"/>
      <c r="Y61" s="160"/>
      <c r="Z61" s="160"/>
      <c r="AA61" s="160"/>
      <c r="AB61" s="160"/>
      <c r="AC61" s="160"/>
      <c r="AD61" s="162"/>
      <c r="AE61" s="161"/>
    </row>
    <row r="62" spans="1:31" ht="21.2" customHeight="1">
      <c r="A62" s="8" t="s">
        <v>123</v>
      </c>
      <c r="B62" s="158" t="s">
        <v>871</v>
      </c>
      <c r="C62" s="159">
        <v>25</v>
      </c>
      <c r="D62" s="158" t="s">
        <v>849</v>
      </c>
      <c r="E62" s="58">
        <v>81.333571428571403</v>
      </c>
      <c r="F62" s="160">
        <v>24.462845880335401</v>
      </c>
      <c r="G62" s="161">
        <v>0.136235969216078</v>
      </c>
      <c r="H62" s="161">
        <v>0.77164123962084397</v>
      </c>
      <c r="I62" s="161">
        <v>0.90787720883692202</v>
      </c>
      <c r="J62" s="161">
        <v>2.01356163874767</v>
      </c>
      <c r="K62" s="161">
        <v>1.5694269484282802E-2</v>
      </c>
      <c r="L62" s="161">
        <v>0.384236129368563</v>
      </c>
      <c r="M62" s="161">
        <v>5.7001197150860902E-3</v>
      </c>
      <c r="N62" s="161">
        <v>3.0855394834949999E-2</v>
      </c>
      <c r="O62" s="161">
        <v>1.58970905656891</v>
      </c>
      <c r="P62" s="161">
        <v>0.48457676983397902</v>
      </c>
      <c r="Q62" s="161">
        <v>9.7344627247217E-2</v>
      </c>
      <c r="R62" s="161">
        <v>0.39082212452246801</v>
      </c>
      <c r="S62" s="161">
        <v>2.3214354750985201E-2</v>
      </c>
      <c r="T62" s="161">
        <v>0</v>
      </c>
      <c r="U62" s="161">
        <v>1.8919021883145001E-3</v>
      </c>
      <c r="V62" s="161">
        <v>0</v>
      </c>
      <c r="W62" s="161"/>
      <c r="X62" s="58"/>
      <c r="Y62" s="160"/>
      <c r="Z62" s="160"/>
      <c r="AA62" s="160"/>
      <c r="AB62" s="160"/>
      <c r="AC62" s="160"/>
      <c r="AD62" s="162"/>
      <c r="AE62" s="161"/>
    </row>
    <row r="63" spans="1:31" ht="21.2" customHeight="1">
      <c r="A63" s="8" t="s">
        <v>203</v>
      </c>
      <c r="B63" s="158" t="s">
        <v>874</v>
      </c>
      <c r="C63" s="159">
        <v>37</v>
      </c>
      <c r="D63" s="158" t="s">
        <v>846</v>
      </c>
      <c r="E63" s="58">
        <v>73.024642857142894</v>
      </c>
      <c r="F63" s="160">
        <v>18.329727075647899</v>
      </c>
      <c r="G63" s="161">
        <v>0.32125146223622902</v>
      </c>
      <c r="H63" s="161">
        <v>0.58442421433366298</v>
      </c>
      <c r="I63" s="161">
        <v>0.90567567656989301</v>
      </c>
      <c r="J63" s="161">
        <v>2.8365461523853202</v>
      </c>
      <c r="K63" s="161">
        <v>0.13854725107813001</v>
      </c>
      <c r="L63" s="161">
        <v>0.40412148500405698</v>
      </c>
      <c r="M63" s="161">
        <v>6.7199397266514598E-5</v>
      </c>
      <c r="N63" s="161">
        <v>1.01095583188923E-4</v>
      </c>
      <c r="O63" s="161">
        <v>0.41193031571975602</v>
      </c>
      <c r="P63" s="161">
        <v>0.66553294699337695</v>
      </c>
      <c r="Q63" s="161">
        <v>3.65913939605748E-2</v>
      </c>
      <c r="R63" s="161">
        <v>0.627911622074528</v>
      </c>
      <c r="S63" s="161">
        <v>5.1567292244863401E-2</v>
      </c>
      <c r="T63" s="161">
        <v>4.8162060147046803</v>
      </c>
      <c r="U63" s="161">
        <v>5.4459436291193697</v>
      </c>
      <c r="V63" s="161">
        <v>0.46931746094768401</v>
      </c>
      <c r="W63" s="161"/>
      <c r="X63" s="58"/>
      <c r="Y63" s="160"/>
      <c r="Z63" s="160"/>
      <c r="AA63" s="160"/>
      <c r="AB63" s="160"/>
      <c r="AC63" s="160"/>
      <c r="AD63" s="162"/>
      <c r="AE63" s="161"/>
    </row>
    <row r="64" spans="1:31" ht="21.2" customHeight="1">
      <c r="A64" s="8" t="s">
        <v>197</v>
      </c>
      <c r="B64" s="158" t="s">
        <v>863</v>
      </c>
      <c r="C64" s="159">
        <v>28</v>
      </c>
      <c r="D64" s="158" t="s">
        <v>847</v>
      </c>
      <c r="E64" s="58">
        <v>79.398928571428598</v>
      </c>
      <c r="F64" s="160">
        <v>18.2777310597683</v>
      </c>
      <c r="G64" s="161">
        <v>0.45660406198429798</v>
      </c>
      <c r="H64" s="161">
        <v>0.44540941976739301</v>
      </c>
      <c r="I64" s="161">
        <v>0.90201348175169005</v>
      </c>
      <c r="J64" s="161">
        <v>3.2588707512172301</v>
      </c>
      <c r="K64" s="161">
        <v>8.3353220542786002E-2</v>
      </c>
      <c r="L64" s="161">
        <v>0.17548726418789501</v>
      </c>
      <c r="M64" s="161">
        <v>2.2872601717025101E-4</v>
      </c>
      <c r="N64" s="161">
        <v>3.0029490733157201E-4</v>
      </c>
      <c r="O64" s="161">
        <v>0.36057517882787798</v>
      </c>
      <c r="P64" s="161">
        <v>0.51687999532019102</v>
      </c>
      <c r="Q64" s="161">
        <v>9.4015389985061704E-2</v>
      </c>
      <c r="R64" s="161">
        <v>0.62044532093387705</v>
      </c>
      <c r="S64" s="161">
        <v>6.5500894197641296E-2</v>
      </c>
      <c r="T64" s="161">
        <v>0.31012209519393302</v>
      </c>
      <c r="U64" s="161">
        <v>0.25911015429631801</v>
      </c>
      <c r="V64" s="161">
        <v>0.54480766940321501</v>
      </c>
      <c r="W64" s="161"/>
      <c r="X64" s="58"/>
      <c r="Y64" s="160"/>
      <c r="Z64" s="160"/>
      <c r="AA64" s="160"/>
      <c r="AB64" s="160"/>
      <c r="AC64" s="160"/>
      <c r="AD64" s="162"/>
      <c r="AE64" s="161"/>
    </row>
    <row r="65" spans="1:31" ht="21.2" customHeight="1">
      <c r="A65" s="8" t="s">
        <v>186</v>
      </c>
      <c r="B65" s="158" t="s">
        <v>887</v>
      </c>
      <c r="C65" s="159">
        <v>22</v>
      </c>
      <c r="D65" s="158" t="s">
        <v>860</v>
      </c>
      <c r="E65" s="58">
        <v>81.290000000000006</v>
      </c>
      <c r="F65" s="160">
        <v>19.251722162930999</v>
      </c>
      <c r="G65" s="161">
        <v>0.32967900694033497</v>
      </c>
      <c r="H65" s="161">
        <v>0.57052764230546604</v>
      </c>
      <c r="I65" s="161">
        <v>0.90020664924580096</v>
      </c>
      <c r="J65" s="161">
        <v>2.4634584087628402</v>
      </c>
      <c r="K65" s="161">
        <v>8.5569094745440999E-2</v>
      </c>
      <c r="L65" s="161">
        <v>0.24898568266248799</v>
      </c>
      <c r="M65" s="161">
        <v>3.2947216234320602E-4</v>
      </c>
      <c r="N65" s="161">
        <v>6.68910084682005E-4</v>
      </c>
      <c r="O65" s="161">
        <v>0.37483915803877099</v>
      </c>
      <c r="P65" s="161">
        <v>0.67379119191557202</v>
      </c>
      <c r="Q65" s="161">
        <v>-0.11435506269676</v>
      </c>
      <c r="R65" s="161">
        <v>0.635928677758687</v>
      </c>
      <c r="S65" s="161">
        <v>3.1604027104536803E-2</v>
      </c>
      <c r="T65" s="161">
        <v>2.9677052727073199</v>
      </c>
      <c r="U65" s="161">
        <v>4.2664042716093897</v>
      </c>
      <c r="V65" s="161">
        <v>0.41023781220438099</v>
      </c>
      <c r="W65" s="161"/>
      <c r="X65" s="58"/>
      <c r="Y65" s="160"/>
      <c r="Z65" s="160"/>
      <c r="AA65" s="160"/>
      <c r="AB65" s="160"/>
      <c r="AC65" s="160"/>
      <c r="AD65" s="162"/>
      <c r="AE65" s="161"/>
    </row>
    <row r="66" spans="1:31" ht="21.2" customHeight="1">
      <c r="A66" s="8" t="s">
        <v>188</v>
      </c>
      <c r="B66" s="158" t="s">
        <v>891</v>
      </c>
      <c r="C66" s="159">
        <v>26</v>
      </c>
      <c r="D66" s="158" t="s">
        <v>865</v>
      </c>
      <c r="E66" s="58">
        <v>76.386071428571398</v>
      </c>
      <c r="F66" s="160">
        <v>18.742091984614198</v>
      </c>
      <c r="G66" s="161">
        <v>0.26605214959275397</v>
      </c>
      <c r="H66" s="161">
        <v>0.62874461963419304</v>
      </c>
      <c r="I66" s="161">
        <v>0.89479676922694595</v>
      </c>
      <c r="J66" s="161">
        <v>2.4555810878153501</v>
      </c>
      <c r="K66" s="161">
        <v>4.9793564401810597E-2</v>
      </c>
      <c r="L66" s="161">
        <v>0.30410433414793803</v>
      </c>
      <c r="M66" s="161">
        <v>8.8900238669315003E-5</v>
      </c>
      <c r="N66" s="161">
        <v>1.70893486270988E-4</v>
      </c>
      <c r="O66" s="161">
        <v>0.45325113128333999</v>
      </c>
      <c r="P66" s="161">
        <v>0.51878253019530995</v>
      </c>
      <c r="Q66" s="161">
        <v>4.0285093094250997E-2</v>
      </c>
      <c r="R66" s="161">
        <v>0.41804504707671603</v>
      </c>
      <c r="S66" s="161">
        <v>4.1110872305060497E-2</v>
      </c>
      <c r="T66" s="161">
        <v>2.3220974145661</v>
      </c>
      <c r="U66" s="161">
        <v>3.2705159228776002</v>
      </c>
      <c r="V66" s="161">
        <v>0.41520793132955902</v>
      </c>
      <c r="W66" s="161"/>
      <c r="X66" s="58"/>
      <c r="Y66" s="160"/>
      <c r="Z66" s="160"/>
      <c r="AA66" s="160"/>
      <c r="AB66" s="160"/>
      <c r="AC66" s="160"/>
      <c r="AD66" s="162"/>
      <c r="AE66" s="161"/>
    </row>
    <row r="67" spans="1:31" ht="21.2" customHeight="1">
      <c r="A67" s="8" t="s">
        <v>202</v>
      </c>
      <c r="B67" s="158" t="s">
        <v>867</v>
      </c>
      <c r="C67" s="159">
        <v>35</v>
      </c>
      <c r="D67" s="158" t="s">
        <v>848</v>
      </c>
      <c r="E67" s="58">
        <v>78.2</v>
      </c>
      <c r="F67" s="160">
        <v>18.960344154642801</v>
      </c>
      <c r="G67" s="161">
        <v>0.28445788898309998</v>
      </c>
      <c r="H67" s="161">
        <v>0.60922196968772302</v>
      </c>
      <c r="I67" s="161">
        <v>0.893679858670823</v>
      </c>
      <c r="J67" s="161">
        <v>2.4115366808515502</v>
      </c>
      <c r="K67" s="161">
        <v>0.10787690898659499</v>
      </c>
      <c r="L67" s="161">
        <v>0.37539701406276799</v>
      </c>
      <c r="M67" s="161">
        <v>3.8246177548989898E-4</v>
      </c>
      <c r="N67" s="161">
        <v>5.2482222877262604E-4</v>
      </c>
      <c r="O67" s="161">
        <v>0.56027559018240602</v>
      </c>
      <c r="P67" s="161">
        <v>0.62070684689623901</v>
      </c>
      <c r="Q67" s="161">
        <v>2.9170010498396199E-2</v>
      </c>
      <c r="R67" s="161">
        <v>0.33813440583412402</v>
      </c>
      <c r="S67" s="161">
        <v>4.5677228183456799E-2</v>
      </c>
      <c r="T67" s="161">
        <v>0.28705496203242897</v>
      </c>
      <c r="U67" s="161">
        <v>0.45653761167882101</v>
      </c>
      <c r="V67" s="161">
        <v>0.386037962428465</v>
      </c>
      <c r="W67" s="161"/>
      <c r="X67" s="58"/>
      <c r="Y67" s="160"/>
      <c r="Z67" s="160"/>
      <c r="AA67" s="160"/>
      <c r="AB67" s="160"/>
      <c r="AC67" s="160"/>
      <c r="AD67" s="162"/>
      <c r="AE67" s="161"/>
    </row>
    <row r="68" spans="1:31" ht="21.2" customHeight="1">
      <c r="A68" s="8" t="s">
        <v>138</v>
      </c>
      <c r="B68" s="158" t="s">
        <v>868</v>
      </c>
      <c r="C68" s="159">
        <v>26</v>
      </c>
      <c r="D68" s="158" t="s">
        <v>864</v>
      </c>
      <c r="E68" s="58">
        <v>80.489999999999995</v>
      </c>
      <c r="F68" s="160">
        <v>18.546013432080802</v>
      </c>
      <c r="G68" s="161">
        <v>0.465392933696478</v>
      </c>
      <c r="H68" s="161">
        <v>0.42690559253425198</v>
      </c>
      <c r="I68" s="161">
        <v>0.89229852623073003</v>
      </c>
      <c r="J68" s="161">
        <v>3.92838473995557</v>
      </c>
      <c r="K68" s="161">
        <v>0.19233047345711801</v>
      </c>
      <c r="L68" s="161">
        <v>0.30511944481375702</v>
      </c>
      <c r="M68" s="161">
        <v>5.6865119206498803E-4</v>
      </c>
      <c r="N68" s="161">
        <v>1.11413161723504E-3</v>
      </c>
      <c r="O68" s="161">
        <v>0.51829557711326202</v>
      </c>
      <c r="P68" s="161">
        <v>1.7694609886061601</v>
      </c>
      <c r="Q68" s="161">
        <v>2.7208695323021299E-2</v>
      </c>
      <c r="R68" s="161">
        <v>0.56504863472233802</v>
      </c>
      <c r="S68" s="161">
        <v>6.8402513764597606E-2</v>
      </c>
      <c r="T68" s="161">
        <v>0.25819085424255001</v>
      </c>
      <c r="U68" s="161">
        <v>0.405626040714472</v>
      </c>
      <c r="V68" s="161">
        <v>0.38894890474166999</v>
      </c>
      <c r="W68" s="161"/>
      <c r="X68" s="58"/>
      <c r="Y68" s="160"/>
      <c r="Z68" s="160"/>
      <c r="AA68" s="160"/>
      <c r="AB68" s="160"/>
      <c r="AC68" s="160"/>
      <c r="AD68" s="162"/>
      <c r="AE68" s="161"/>
    </row>
    <row r="69" spans="1:31" ht="21.2" customHeight="1">
      <c r="A69" s="8" t="s">
        <v>175</v>
      </c>
      <c r="B69" s="158" t="s">
        <v>863</v>
      </c>
      <c r="C69" s="159">
        <v>27</v>
      </c>
      <c r="D69" s="158" t="s">
        <v>848</v>
      </c>
      <c r="E69" s="58">
        <v>81.187142857142902</v>
      </c>
      <c r="F69" s="160">
        <v>19.4591950002287</v>
      </c>
      <c r="G69" s="161">
        <v>0.39859441418754499</v>
      </c>
      <c r="H69" s="161">
        <v>0.49156326068674799</v>
      </c>
      <c r="I69" s="161">
        <v>0.89015767487429298</v>
      </c>
      <c r="J69" s="161">
        <v>2.6576173637582401</v>
      </c>
      <c r="K69" s="161">
        <v>0.174852900079912</v>
      </c>
      <c r="L69" s="161">
        <v>0.33217155148941502</v>
      </c>
      <c r="M69" s="161">
        <v>1.3782989901279499E-3</v>
      </c>
      <c r="N69" s="161">
        <v>3.4416053808880402E-2</v>
      </c>
      <c r="O69" s="161">
        <v>0.54619202376507103</v>
      </c>
      <c r="P69" s="161">
        <v>0.71515398799101604</v>
      </c>
      <c r="Q69" s="161">
        <v>4.6052973179297699E-2</v>
      </c>
      <c r="R69" s="161">
        <v>0.21167221646117099</v>
      </c>
      <c r="S69" s="161">
        <v>5.7179277902190601E-2</v>
      </c>
      <c r="T69" s="161">
        <v>2.67785209938874</v>
      </c>
      <c r="U69" s="161">
        <v>2.7879005791752598</v>
      </c>
      <c r="V69" s="161">
        <v>0.48993290711651599</v>
      </c>
      <c r="W69" s="161"/>
      <c r="X69" s="58"/>
      <c r="Y69" s="160"/>
      <c r="Z69" s="160"/>
      <c r="AA69" s="160"/>
      <c r="AB69" s="160"/>
      <c r="AC69" s="160"/>
      <c r="AD69" s="162"/>
      <c r="AE69" s="161"/>
    </row>
    <row r="70" spans="1:31" ht="21.2" customHeight="1">
      <c r="A70" s="8" t="s">
        <v>211</v>
      </c>
      <c r="B70" s="158" t="s">
        <v>877</v>
      </c>
      <c r="C70" s="159">
        <v>27</v>
      </c>
      <c r="D70" s="158" t="s">
        <v>864</v>
      </c>
      <c r="E70" s="58">
        <v>71.394642857142898</v>
      </c>
      <c r="F70" s="160">
        <v>16.809844609935499</v>
      </c>
      <c r="G70" s="161">
        <v>0.36193095385420598</v>
      </c>
      <c r="H70" s="161">
        <v>0.52449482190596797</v>
      </c>
      <c r="I70" s="161">
        <v>0.88642577576017401</v>
      </c>
      <c r="J70" s="161">
        <v>3.2018713088651198</v>
      </c>
      <c r="K70" s="161">
        <v>9.4860700614250698E-2</v>
      </c>
      <c r="L70" s="161">
        <v>0.27260202582386001</v>
      </c>
      <c r="M70" s="161">
        <v>0</v>
      </c>
      <c r="N70" s="161">
        <v>0</v>
      </c>
      <c r="O70" s="161">
        <v>0.31250112441059602</v>
      </c>
      <c r="P70" s="161">
        <v>0.72165534710199097</v>
      </c>
      <c r="Q70" s="161">
        <v>5.6192961756438398E-2</v>
      </c>
      <c r="R70" s="161">
        <v>0.31996997815665901</v>
      </c>
      <c r="S70" s="161">
        <v>5.6462440250037098E-2</v>
      </c>
      <c r="T70" s="161">
        <v>2.9567232442028399E-2</v>
      </c>
      <c r="U70" s="161">
        <v>1.3600574817481101E-2</v>
      </c>
      <c r="V70" s="161">
        <v>0.68493709361424604</v>
      </c>
      <c r="W70" s="161"/>
      <c r="X70" s="58"/>
      <c r="Y70" s="160"/>
      <c r="Z70" s="160"/>
      <c r="AA70" s="160"/>
      <c r="AB70" s="160"/>
      <c r="AC70" s="160"/>
      <c r="AD70" s="162"/>
      <c r="AE70" s="161"/>
    </row>
    <row r="71" spans="1:31" ht="21.2" customHeight="1">
      <c r="A71" s="8" t="s">
        <v>236</v>
      </c>
      <c r="B71" s="158" t="s">
        <v>873</v>
      </c>
      <c r="C71" s="159">
        <v>27</v>
      </c>
      <c r="D71" s="158" t="s">
        <v>864</v>
      </c>
      <c r="E71" s="58">
        <v>81.614999999999995</v>
      </c>
      <c r="F71" s="160">
        <v>16.791718638704001</v>
      </c>
      <c r="G71" s="161">
        <v>0.44127466589072101</v>
      </c>
      <c r="H71" s="161">
        <v>0.443778868442817</v>
      </c>
      <c r="I71" s="161">
        <v>0.88505353433353795</v>
      </c>
      <c r="J71" s="161">
        <v>1.9357759528306</v>
      </c>
      <c r="K71" s="161">
        <v>0.13189310339541499</v>
      </c>
      <c r="L71" s="161">
        <v>0.21508040904765899</v>
      </c>
      <c r="M71" s="161">
        <v>1.2875302072427299E-5</v>
      </c>
      <c r="N71" s="161">
        <v>2.4308180930516702E-5</v>
      </c>
      <c r="O71" s="161">
        <v>0.26975298455101798</v>
      </c>
      <c r="P71" s="161">
        <v>0.30056024062025899</v>
      </c>
      <c r="Q71" s="161">
        <v>3.67454945269809E-2</v>
      </c>
      <c r="R71" s="161">
        <v>0.197805410226437</v>
      </c>
      <c r="S71" s="161">
        <v>6.2466686795780102E-2</v>
      </c>
      <c r="T71" s="161">
        <v>0</v>
      </c>
      <c r="U71" s="161">
        <v>1.2763738152528899E-2</v>
      </c>
      <c r="V71" s="161">
        <v>0</v>
      </c>
      <c r="W71" s="161"/>
      <c r="X71" s="58"/>
      <c r="Y71" s="160"/>
      <c r="Z71" s="160"/>
      <c r="AA71" s="160"/>
      <c r="AB71" s="160"/>
      <c r="AC71" s="160"/>
      <c r="AD71" s="162"/>
      <c r="AE71" s="161"/>
    </row>
    <row r="72" spans="1:31" ht="21.2" customHeight="1">
      <c r="A72" s="8" t="s">
        <v>207</v>
      </c>
      <c r="B72" s="158" t="s">
        <v>861</v>
      </c>
      <c r="C72" s="159">
        <v>28</v>
      </c>
      <c r="D72" s="158" t="s">
        <v>848</v>
      </c>
      <c r="E72" s="58">
        <v>73.986071428571407</v>
      </c>
      <c r="F72" s="160">
        <v>20.4072528168251</v>
      </c>
      <c r="G72" s="161">
        <v>0.37553334744132399</v>
      </c>
      <c r="H72" s="161">
        <v>0.50773357711426204</v>
      </c>
      <c r="I72" s="161">
        <v>0.88326692455558697</v>
      </c>
      <c r="J72" s="161">
        <v>2.86152380190422</v>
      </c>
      <c r="K72" s="161">
        <v>0.13249894486922201</v>
      </c>
      <c r="L72" s="161">
        <v>0.233110400089166</v>
      </c>
      <c r="M72" s="161">
        <v>1.62665989392662E-2</v>
      </c>
      <c r="N72" s="161">
        <v>3.63670304963261E-2</v>
      </c>
      <c r="O72" s="161">
        <v>0.61556292119139999</v>
      </c>
      <c r="P72" s="161">
        <v>1.1424945719891599</v>
      </c>
      <c r="Q72" s="161">
        <v>8.3060242653234001E-2</v>
      </c>
      <c r="R72" s="161">
        <v>0.19823644559703801</v>
      </c>
      <c r="S72" s="161">
        <v>5.9415033628481599E-2</v>
      </c>
      <c r="T72" s="161">
        <v>4.7247432477847302E-3</v>
      </c>
      <c r="U72" s="161">
        <v>7.3348785169606204E-2</v>
      </c>
      <c r="V72" s="161">
        <v>6.0516584091417698E-2</v>
      </c>
      <c r="W72" s="161"/>
      <c r="X72" s="58"/>
      <c r="Y72" s="160"/>
      <c r="Z72" s="160"/>
      <c r="AA72" s="160"/>
      <c r="AB72" s="160"/>
      <c r="AC72" s="160"/>
      <c r="AD72" s="162"/>
      <c r="AE72" s="161"/>
    </row>
    <row r="73" spans="1:31" ht="21.2" customHeight="1">
      <c r="A73" s="8" t="s">
        <v>191</v>
      </c>
      <c r="B73" s="158" t="s">
        <v>872</v>
      </c>
      <c r="C73" s="159">
        <v>31</v>
      </c>
      <c r="D73" s="158" t="s">
        <v>847</v>
      </c>
      <c r="E73" s="58">
        <v>80.489999999999995</v>
      </c>
      <c r="F73" s="160">
        <v>18.052546359164801</v>
      </c>
      <c r="G73" s="161">
        <v>0.39117278277217299</v>
      </c>
      <c r="H73" s="161">
        <v>0.48301492849568201</v>
      </c>
      <c r="I73" s="161">
        <v>0.87418771126785499</v>
      </c>
      <c r="J73" s="161">
        <v>3.1337019372789001</v>
      </c>
      <c r="K73" s="161">
        <v>9.4997363990586295E-2</v>
      </c>
      <c r="L73" s="161">
        <v>0.239287643612552</v>
      </c>
      <c r="M73" s="161">
        <v>1.53634301450333E-4</v>
      </c>
      <c r="N73" s="161">
        <v>2.6907412337661199E-4</v>
      </c>
      <c r="O73" s="161">
        <v>0.23244441599478899</v>
      </c>
      <c r="P73" s="161">
        <v>0.38677022125986199</v>
      </c>
      <c r="Q73" s="161">
        <v>1.16375580547468E-2</v>
      </c>
      <c r="R73" s="161">
        <v>0.39873695006629301</v>
      </c>
      <c r="S73" s="161">
        <v>5.0077570581834797E-2</v>
      </c>
      <c r="T73" s="161">
        <v>1.5936124170825201</v>
      </c>
      <c r="U73" s="161">
        <v>1.97449879016913</v>
      </c>
      <c r="V73" s="161">
        <v>0.44662633099656301</v>
      </c>
      <c r="W73" s="161"/>
      <c r="X73" s="58"/>
      <c r="Y73" s="160"/>
      <c r="Z73" s="160"/>
      <c r="AA73" s="160"/>
      <c r="AB73" s="160"/>
      <c r="AC73" s="160"/>
      <c r="AD73" s="162"/>
      <c r="AE73" s="161"/>
    </row>
    <row r="74" spans="1:31" ht="21.2" customHeight="1">
      <c r="A74" s="8" t="s">
        <v>212</v>
      </c>
      <c r="B74" s="158" t="s">
        <v>885</v>
      </c>
      <c r="C74" s="159">
        <v>28</v>
      </c>
      <c r="D74" s="158" t="s">
        <v>846</v>
      </c>
      <c r="E74" s="58">
        <v>81.510000000000005</v>
      </c>
      <c r="F74" s="160">
        <v>19.3996199273993</v>
      </c>
      <c r="G74" s="161">
        <v>0.36650599331969902</v>
      </c>
      <c r="H74" s="161">
        <v>0.50332182784272805</v>
      </c>
      <c r="I74" s="161">
        <v>0.86982782116242696</v>
      </c>
      <c r="J74" s="161">
        <v>2.5260613892024901</v>
      </c>
      <c r="K74" s="161">
        <v>0.13095649861078801</v>
      </c>
      <c r="L74" s="161">
        <v>0.26894102268505099</v>
      </c>
      <c r="M74" s="161">
        <v>9.4655485673674107E-3</v>
      </c>
      <c r="N74" s="161">
        <v>2.7492465903757202E-2</v>
      </c>
      <c r="O74" s="161">
        <v>0.62411936671045198</v>
      </c>
      <c r="P74" s="161">
        <v>1.1015460659213701</v>
      </c>
      <c r="Q74" s="161">
        <v>5.9742600350651098E-2</v>
      </c>
      <c r="R74" s="161">
        <v>0.28386495047014898</v>
      </c>
      <c r="S74" s="161">
        <v>6.1242510120454598E-2</v>
      </c>
      <c r="T74" s="161">
        <v>10.4959077833475</v>
      </c>
      <c r="U74" s="161">
        <v>9.0095593198881101</v>
      </c>
      <c r="V74" s="161">
        <v>0.53810081695538603</v>
      </c>
      <c r="W74" s="161"/>
      <c r="X74" s="58"/>
      <c r="Y74" s="160"/>
      <c r="Z74" s="160"/>
      <c r="AA74" s="160"/>
      <c r="AB74" s="160"/>
      <c r="AC74" s="160"/>
      <c r="AD74" s="162"/>
      <c r="AE74" s="161"/>
    </row>
    <row r="75" spans="1:31" ht="21.2" customHeight="1">
      <c r="A75" s="8" t="s">
        <v>228</v>
      </c>
      <c r="B75" s="158" t="s">
        <v>892</v>
      </c>
      <c r="C75" s="159">
        <v>20</v>
      </c>
      <c r="D75" s="158" t="s">
        <v>846</v>
      </c>
      <c r="E75" s="58">
        <v>81.2</v>
      </c>
      <c r="F75" s="160">
        <v>18.6504598814529</v>
      </c>
      <c r="G75" s="161">
        <v>0.36060844024682598</v>
      </c>
      <c r="H75" s="161">
        <v>0.506678933901891</v>
      </c>
      <c r="I75" s="161">
        <v>0.86728737414871704</v>
      </c>
      <c r="J75" s="161">
        <v>2.13521822421938</v>
      </c>
      <c r="K75" s="161">
        <v>8.0912013236920197E-2</v>
      </c>
      <c r="L75" s="161">
        <v>0.19491011201389</v>
      </c>
      <c r="M75" s="161">
        <v>1.67296561638401E-3</v>
      </c>
      <c r="N75" s="161">
        <v>9.6492575115657408E-3</v>
      </c>
      <c r="O75" s="161">
        <v>0.61653534049821301</v>
      </c>
      <c r="P75" s="161">
        <v>1.036779565359</v>
      </c>
      <c r="Q75" s="161">
        <v>2.6787796635117898E-2</v>
      </c>
      <c r="R75" s="161">
        <v>0.14632592924565499</v>
      </c>
      <c r="S75" s="161">
        <v>5.0687474375203698E-2</v>
      </c>
      <c r="T75" s="161">
        <v>5.5485938902179601</v>
      </c>
      <c r="U75" s="161">
        <v>7.5917924632496199</v>
      </c>
      <c r="V75" s="161">
        <v>0.42225500384574</v>
      </c>
      <c r="W75" s="161"/>
      <c r="X75" s="58"/>
      <c r="Y75" s="160"/>
      <c r="Z75" s="160"/>
      <c r="AA75" s="160"/>
      <c r="AB75" s="160"/>
      <c r="AC75" s="160"/>
      <c r="AD75" s="162"/>
      <c r="AE75" s="161"/>
    </row>
    <row r="76" spans="1:31" ht="21.2" customHeight="1">
      <c r="A76" s="8" t="s">
        <v>224</v>
      </c>
      <c r="B76" s="158" t="s">
        <v>891</v>
      </c>
      <c r="C76" s="159">
        <v>31</v>
      </c>
      <c r="D76" s="158" t="s">
        <v>846</v>
      </c>
      <c r="E76" s="58">
        <v>80.655000000000001</v>
      </c>
      <c r="F76" s="160">
        <v>18.674372043902402</v>
      </c>
      <c r="G76" s="161">
        <v>0.43542255218919801</v>
      </c>
      <c r="H76" s="161">
        <v>0.41739185544445701</v>
      </c>
      <c r="I76" s="161">
        <v>0.85281440763365501</v>
      </c>
      <c r="J76" s="161">
        <v>2.6982007030056199</v>
      </c>
      <c r="K76" s="161">
        <v>0.11876122535148</v>
      </c>
      <c r="L76" s="161">
        <v>0.238672359896199</v>
      </c>
      <c r="M76" s="161">
        <v>4.03647599548541E-4</v>
      </c>
      <c r="N76" s="161">
        <v>3.57863680519059E-4</v>
      </c>
      <c r="O76" s="161">
        <v>0.53658046323461694</v>
      </c>
      <c r="P76" s="161">
        <v>0.62046104413101</v>
      </c>
      <c r="Q76" s="161">
        <v>2.72209823693128E-2</v>
      </c>
      <c r="R76" s="161">
        <v>0.36643212617268001</v>
      </c>
      <c r="S76" s="161">
        <v>6.7282301493124905E-2</v>
      </c>
      <c r="T76" s="161">
        <v>6.3005113716468202</v>
      </c>
      <c r="U76" s="161">
        <v>6.7288365580846303</v>
      </c>
      <c r="V76" s="161">
        <v>0.48356306130023502</v>
      </c>
      <c r="W76" s="161"/>
      <c r="X76" s="58"/>
      <c r="Y76" s="160"/>
      <c r="Z76" s="160"/>
      <c r="AA76" s="160"/>
      <c r="AB76" s="160"/>
      <c r="AC76" s="160"/>
      <c r="AD76" s="162"/>
      <c r="AE76" s="161"/>
    </row>
    <row r="77" spans="1:31" ht="21.2" customHeight="1">
      <c r="A77" s="8" t="s">
        <v>245</v>
      </c>
      <c r="B77" s="158" t="s">
        <v>893</v>
      </c>
      <c r="C77" s="159">
        <v>29</v>
      </c>
      <c r="D77" s="158" t="s">
        <v>846</v>
      </c>
      <c r="E77" s="58">
        <v>80</v>
      </c>
      <c r="F77" s="160">
        <v>19.537001479372499</v>
      </c>
      <c r="G77" s="161">
        <v>0.33731077630955097</v>
      </c>
      <c r="H77" s="161">
        <v>0.51484530452876998</v>
      </c>
      <c r="I77" s="161">
        <v>0.85215608083832095</v>
      </c>
      <c r="J77" s="161">
        <v>2.4546025916565899</v>
      </c>
      <c r="K77" s="161">
        <v>8.7653783168284496E-2</v>
      </c>
      <c r="L77" s="161">
        <v>0.28073226506878401</v>
      </c>
      <c r="M77" s="161">
        <v>6.6763504888779298E-4</v>
      </c>
      <c r="N77" s="161">
        <v>1.6199000250311699E-3</v>
      </c>
      <c r="O77" s="161">
        <v>0.67276563449679305</v>
      </c>
      <c r="P77" s="161">
        <v>1.1234757819332599</v>
      </c>
      <c r="Q77" s="161">
        <v>6.5235844853321701E-3</v>
      </c>
      <c r="R77" s="161">
        <v>0.47831659364611001</v>
      </c>
      <c r="S77" s="161">
        <v>4.18790739078427E-2</v>
      </c>
      <c r="T77" s="161">
        <v>9.8796804479212099</v>
      </c>
      <c r="U77" s="161">
        <v>8.4272421646641007</v>
      </c>
      <c r="V77" s="161">
        <v>0.53966909988079104</v>
      </c>
      <c r="W77" s="161"/>
      <c r="X77" s="58"/>
      <c r="Y77" s="160"/>
      <c r="Z77" s="160"/>
      <c r="AA77" s="160"/>
      <c r="AB77" s="160"/>
      <c r="AC77" s="160"/>
      <c r="AD77" s="162"/>
      <c r="AE77" s="161"/>
    </row>
    <row r="78" spans="1:31" ht="21.2" customHeight="1">
      <c r="A78" s="8" t="s">
        <v>229</v>
      </c>
      <c r="B78" s="158" t="s">
        <v>894</v>
      </c>
      <c r="C78" s="159">
        <v>24</v>
      </c>
      <c r="D78" s="158" t="s">
        <v>846</v>
      </c>
      <c r="E78" s="58">
        <v>82.03</v>
      </c>
      <c r="F78" s="160">
        <v>20.9974186128049</v>
      </c>
      <c r="G78" s="161">
        <v>0.32524053998001301</v>
      </c>
      <c r="H78" s="161">
        <v>0.52652118295778705</v>
      </c>
      <c r="I78" s="161">
        <v>0.85176172293779995</v>
      </c>
      <c r="J78" s="161">
        <v>2.1591657554219998</v>
      </c>
      <c r="K78" s="161">
        <v>9.8681851676768198E-2</v>
      </c>
      <c r="L78" s="161">
        <v>0.24679162267846999</v>
      </c>
      <c r="M78" s="161">
        <v>2.0521139222187401E-2</v>
      </c>
      <c r="N78" s="161">
        <v>3.2720101195887898E-2</v>
      </c>
      <c r="O78" s="161">
        <v>0.69010746614230101</v>
      </c>
      <c r="P78" s="161">
        <v>0.77011681496065498</v>
      </c>
      <c r="Q78" s="161">
        <v>-0.10977832662131599</v>
      </c>
      <c r="R78" s="161">
        <v>0.378864523550063</v>
      </c>
      <c r="S78" s="161">
        <v>3.3318328663784098E-2</v>
      </c>
      <c r="T78" s="161">
        <v>8.1168924451138995</v>
      </c>
      <c r="U78" s="161">
        <v>8.9256170060148303</v>
      </c>
      <c r="V78" s="161">
        <v>0.47627331341021001</v>
      </c>
      <c r="W78" s="161"/>
      <c r="X78" s="58"/>
      <c r="Y78" s="160"/>
      <c r="Z78" s="160"/>
      <c r="AA78" s="160"/>
      <c r="AB78" s="160"/>
      <c r="AC78" s="160"/>
      <c r="AD78" s="162"/>
      <c r="AE78" s="161"/>
    </row>
    <row r="79" spans="1:31" ht="21.2" customHeight="1">
      <c r="A79" s="8" t="s">
        <v>190</v>
      </c>
      <c r="B79" s="158" t="s">
        <v>891</v>
      </c>
      <c r="C79" s="159">
        <v>28</v>
      </c>
      <c r="D79" s="158" t="s">
        <v>846</v>
      </c>
      <c r="E79" s="58">
        <v>79.847499999999997</v>
      </c>
      <c r="F79" s="160">
        <v>21.007786944391601</v>
      </c>
      <c r="G79" s="161">
        <v>0.45199295736775102</v>
      </c>
      <c r="H79" s="161">
        <v>0.39891839990926098</v>
      </c>
      <c r="I79" s="161">
        <v>0.85091135727701195</v>
      </c>
      <c r="J79" s="161">
        <v>2.8926795086043899</v>
      </c>
      <c r="K79" s="161">
        <v>0.15095502143733699</v>
      </c>
      <c r="L79" s="161">
        <v>0.263867963130546</v>
      </c>
      <c r="M79" s="161">
        <v>2.7041647405445599E-2</v>
      </c>
      <c r="N79" s="161">
        <v>3.7093096773227897E-2</v>
      </c>
      <c r="O79" s="161">
        <v>0.69230480913913806</v>
      </c>
      <c r="P79" s="161">
        <v>0.933286063266482</v>
      </c>
      <c r="Q79" s="161">
        <v>4.1648402947942597E-3</v>
      </c>
      <c r="R79" s="161">
        <v>0.40857305642775699</v>
      </c>
      <c r="S79" s="161">
        <v>6.9842791278234298E-2</v>
      </c>
      <c r="T79" s="161">
        <v>12.3469696927726</v>
      </c>
      <c r="U79" s="161">
        <v>9.6311995744448993</v>
      </c>
      <c r="V79" s="161">
        <v>0.56178335614100705</v>
      </c>
      <c r="W79" s="161"/>
      <c r="X79" s="58"/>
      <c r="Y79" s="160"/>
      <c r="Z79" s="160"/>
      <c r="AA79" s="160"/>
      <c r="AB79" s="160"/>
      <c r="AC79" s="160"/>
      <c r="AD79" s="162"/>
      <c r="AE79" s="161"/>
    </row>
    <row r="80" spans="1:31" ht="21.2" customHeight="1">
      <c r="A80" s="8" t="s">
        <v>185</v>
      </c>
      <c r="B80" s="158" t="s">
        <v>869</v>
      </c>
      <c r="C80" s="159">
        <v>39</v>
      </c>
      <c r="D80" s="158" t="s">
        <v>865</v>
      </c>
      <c r="E80" s="58">
        <v>82.03</v>
      </c>
      <c r="F80" s="160">
        <v>17.418828209239699</v>
      </c>
      <c r="G80" s="161">
        <v>0.31112162938827798</v>
      </c>
      <c r="H80" s="161">
        <v>0.53975065284496004</v>
      </c>
      <c r="I80" s="161">
        <v>0.85087228223323796</v>
      </c>
      <c r="J80" s="161">
        <v>2.3125644693599599</v>
      </c>
      <c r="K80" s="161">
        <v>0.15187563057258899</v>
      </c>
      <c r="L80" s="161">
        <v>0.32190177647121498</v>
      </c>
      <c r="M80" s="161">
        <v>2.2696015009066601E-4</v>
      </c>
      <c r="N80" s="161">
        <v>3.3614360100038499E-3</v>
      </c>
      <c r="O80" s="161">
        <v>0.72783074724890595</v>
      </c>
      <c r="P80" s="161">
        <v>1.1049038264380999</v>
      </c>
      <c r="Q80" s="161">
        <v>0.115605668625662</v>
      </c>
      <c r="R80" s="161">
        <v>0.19403880182241101</v>
      </c>
      <c r="S80" s="161">
        <v>4.9777255143950601E-2</v>
      </c>
      <c r="T80" s="161">
        <v>4.5731409214099896</v>
      </c>
      <c r="U80" s="161">
        <v>4.0895600226328801</v>
      </c>
      <c r="V80" s="161">
        <v>0.52791166992262695</v>
      </c>
      <c r="W80" s="161"/>
      <c r="X80" s="58"/>
      <c r="Y80" s="160"/>
      <c r="Z80" s="160"/>
      <c r="AA80" s="160"/>
      <c r="AB80" s="160"/>
      <c r="AC80" s="160"/>
      <c r="AD80" s="162"/>
      <c r="AE80" s="161"/>
    </row>
    <row r="81" spans="1:31" ht="21.2" customHeight="1">
      <c r="A81" s="8" t="s">
        <v>172</v>
      </c>
      <c r="B81" s="158" t="s">
        <v>872</v>
      </c>
      <c r="C81" s="159">
        <v>22</v>
      </c>
      <c r="D81" s="158" t="s">
        <v>846</v>
      </c>
      <c r="E81" s="58">
        <v>81.489999999999995</v>
      </c>
      <c r="F81" s="160">
        <v>18.9416748033175</v>
      </c>
      <c r="G81" s="161">
        <v>0.34731203281110001</v>
      </c>
      <c r="H81" s="161">
        <v>0.50147469962160096</v>
      </c>
      <c r="I81" s="161">
        <v>0.84878673243270097</v>
      </c>
      <c r="J81" s="161">
        <v>2.7865339908026998</v>
      </c>
      <c r="K81" s="161">
        <v>8.1551689917661999E-2</v>
      </c>
      <c r="L81" s="161">
        <v>0.268589986789251</v>
      </c>
      <c r="M81" s="161">
        <v>1.0447121176741601E-2</v>
      </c>
      <c r="N81" s="161">
        <v>2.62307399588271E-2</v>
      </c>
      <c r="O81" s="161">
        <v>0.40028220760456101</v>
      </c>
      <c r="P81" s="161">
        <v>0.72748305273632796</v>
      </c>
      <c r="Q81" s="161">
        <v>-3.1796440716067E-2</v>
      </c>
      <c r="R81" s="161">
        <v>0.54908493211208298</v>
      </c>
      <c r="S81" s="161">
        <v>4.4462558754114902E-2</v>
      </c>
      <c r="T81" s="161">
        <v>7.2314806379216199</v>
      </c>
      <c r="U81" s="161">
        <v>8.1071730818950094</v>
      </c>
      <c r="V81" s="161">
        <v>0.47145471630140401</v>
      </c>
      <c r="W81" s="161"/>
      <c r="X81" s="58"/>
      <c r="Y81" s="160"/>
      <c r="Z81" s="160"/>
      <c r="AA81" s="160"/>
      <c r="AB81" s="160"/>
      <c r="AC81" s="160"/>
      <c r="AD81" s="162"/>
      <c r="AE81" s="161"/>
    </row>
    <row r="82" spans="1:31" ht="21.2" customHeight="1">
      <c r="A82" s="8" t="s">
        <v>166</v>
      </c>
      <c r="B82" s="158" t="s">
        <v>889</v>
      </c>
      <c r="C82" s="159">
        <v>25</v>
      </c>
      <c r="D82" s="158" t="s">
        <v>864</v>
      </c>
      <c r="E82" s="58">
        <v>81.444285714285698</v>
      </c>
      <c r="F82" s="160">
        <v>18.349452822980201</v>
      </c>
      <c r="G82" s="161">
        <v>0.39115560500593999</v>
      </c>
      <c r="H82" s="161">
        <v>0.45078819350055599</v>
      </c>
      <c r="I82" s="161">
        <v>0.84194379850649603</v>
      </c>
      <c r="J82" s="161">
        <v>2.9681631556883499</v>
      </c>
      <c r="K82" s="161">
        <v>0.131042921870902</v>
      </c>
      <c r="L82" s="161">
        <v>0.313357317230401</v>
      </c>
      <c r="M82" s="161">
        <v>2.6062593787829299E-4</v>
      </c>
      <c r="N82" s="161">
        <v>3.7245515364652898E-4</v>
      </c>
      <c r="O82" s="161">
        <v>0.43113233427755898</v>
      </c>
      <c r="P82" s="161">
        <v>1.2199237995136101</v>
      </c>
      <c r="Q82" s="161">
        <v>-3.02031655852673E-2</v>
      </c>
      <c r="R82" s="161">
        <v>0.28533425152436598</v>
      </c>
      <c r="S82" s="161">
        <v>5.17639132991915E-2</v>
      </c>
      <c r="T82" s="161">
        <v>0.154825542429152</v>
      </c>
      <c r="U82" s="161">
        <v>0.19327289176940199</v>
      </c>
      <c r="V82" s="161">
        <v>0.44477517626764101</v>
      </c>
      <c r="W82" s="161"/>
      <c r="X82" s="58"/>
      <c r="Y82" s="160"/>
      <c r="Z82" s="160"/>
      <c r="AA82" s="160"/>
      <c r="AB82" s="160"/>
      <c r="AC82" s="160"/>
      <c r="AD82" s="162"/>
      <c r="AE82" s="161"/>
    </row>
    <row r="83" spans="1:31" ht="21.2" customHeight="1">
      <c r="A83" s="8" t="s">
        <v>196</v>
      </c>
      <c r="B83" s="158" t="s">
        <v>884</v>
      </c>
      <c r="C83" s="159">
        <v>24</v>
      </c>
      <c r="D83" s="158" t="s">
        <v>848</v>
      </c>
      <c r="E83" s="58">
        <v>81.040714285714301</v>
      </c>
      <c r="F83" s="160">
        <v>18.356554917454201</v>
      </c>
      <c r="G83" s="161">
        <v>0.317553887374385</v>
      </c>
      <c r="H83" s="161">
        <v>0.52047911400254498</v>
      </c>
      <c r="I83" s="161">
        <v>0.83803300137693004</v>
      </c>
      <c r="J83" s="161">
        <v>2.7688245996463201</v>
      </c>
      <c r="K83" s="161">
        <v>8.4806168282260702E-2</v>
      </c>
      <c r="L83" s="161">
        <v>0.258784083146817</v>
      </c>
      <c r="M83" s="161">
        <v>3.69279973756195E-3</v>
      </c>
      <c r="N83" s="161">
        <v>8.9403105387565098E-3</v>
      </c>
      <c r="O83" s="161">
        <v>0.29482370500482602</v>
      </c>
      <c r="P83" s="161">
        <v>0.75418158991825501</v>
      </c>
      <c r="Q83" s="161">
        <v>7.51642203189926E-2</v>
      </c>
      <c r="R83" s="161">
        <v>0.391896602403841</v>
      </c>
      <c r="S83" s="161">
        <v>5.6976277964230902E-2</v>
      </c>
      <c r="T83" s="161">
        <v>1.9133126364422399</v>
      </c>
      <c r="U83" s="161">
        <v>2.31908021260478</v>
      </c>
      <c r="V83" s="161">
        <v>0.45206404619860502</v>
      </c>
      <c r="W83" s="161"/>
      <c r="X83" s="58"/>
      <c r="Y83" s="160"/>
      <c r="Z83" s="160"/>
      <c r="AA83" s="160"/>
      <c r="AB83" s="160"/>
      <c r="AC83" s="160"/>
      <c r="AD83" s="162"/>
      <c r="AE83" s="161"/>
    </row>
    <row r="84" spans="1:31" ht="21.2" customHeight="1">
      <c r="A84" s="8" t="s">
        <v>225</v>
      </c>
      <c r="B84" s="158" t="s">
        <v>892</v>
      </c>
      <c r="C84" s="159">
        <v>27</v>
      </c>
      <c r="D84" s="158" t="s">
        <v>860</v>
      </c>
      <c r="E84" s="58">
        <v>77.7</v>
      </c>
      <c r="F84" s="160">
        <v>17.1326661405331</v>
      </c>
      <c r="G84" s="161">
        <v>0.43913494370010098</v>
      </c>
      <c r="H84" s="161">
        <v>0.39489053533740498</v>
      </c>
      <c r="I84" s="161">
        <v>0.83402547903750601</v>
      </c>
      <c r="J84" s="161">
        <v>2.73655422021857</v>
      </c>
      <c r="K84" s="161">
        <v>0.10768028011514701</v>
      </c>
      <c r="L84" s="161">
        <v>0.22759003048698001</v>
      </c>
      <c r="M84" s="161">
        <v>2.4435014787091501E-2</v>
      </c>
      <c r="N84" s="161">
        <v>2.5689140519748899E-2</v>
      </c>
      <c r="O84" s="161">
        <v>0.39530507036836499</v>
      </c>
      <c r="P84" s="161">
        <v>0.89881336812247803</v>
      </c>
      <c r="Q84" s="161">
        <v>2.97197725300412E-2</v>
      </c>
      <c r="R84" s="161">
        <v>0.27589072848227197</v>
      </c>
      <c r="S84" s="161">
        <v>6.1725236355588402E-2</v>
      </c>
      <c r="T84" s="161">
        <v>0.83393641290953502</v>
      </c>
      <c r="U84" s="161">
        <v>1.28930938799716</v>
      </c>
      <c r="V84" s="161">
        <v>0.39276489446177898</v>
      </c>
      <c r="W84" s="161"/>
      <c r="X84" s="58"/>
      <c r="Y84" s="160"/>
      <c r="Z84" s="160"/>
      <c r="AA84" s="160"/>
      <c r="AB84" s="160"/>
      <c r="AC84" s="160"/>
      <c r="AD84" s="162"/>
      <c r="AE84" s="161"/>
    </row>
    <row r="85" spans="1:31" ht="21.2" customHeight="1">
      <c r="A85" s="8" t="s">
        <v>121</v>
      </c>
      <c r="B85" s="158" t="s">
        <v>872</v>
      </c>
      <c r="C85" s="159">
        <v>23</v>
      </c>
      <c r="D85" s="158" t="s">
        <v>849</v>
      </c>
      <c r="E85" s="58">
        <v>81.48</v>
      </c>
      <c r="F85" s="160">
        <v>25.612818272748601</v>
      </c>
      <c r="G85" s="161">
        <v>0.17747077638923001</v>
      </c>
      <c r="H85" s="161">
        <v>0.65177272232403405</v>
      </c>
      <c r="I85" s="161">
        <v>0.82924349871326497</v>
      </c>
      <c r="J85" s="161">
        <v>2.5107127862879102</v>
      </c>
      <c r="K85" s="161">
        <v>6.0032478455939599E-2</v>
      </c>
      <c r="L85" s="161">
        <v>0.35715471433254597</v>
      </c>
      <c r="M85" s="161">
        <v>4.5043437398710202E-4</v>
      </c>
      <c r="N85" s="161">
        <v>4.99223595109685E-3</v>
      </c>
      <c r="O85" s="161">
        <v>1.5016804199656699</v>
      </c>
      <c r="P85" s="161">
        <v>1.38755261136678</v>
      </c>
      <c r="Q85" s="161">
        <v>-7.1067027608257404E-3</v>
      </c>
      <c r="R85" s="161">
        <v>0.88094084114975002</v>
      </c>
      <c r="S85" s="161">
        <v>2.2719641350970099E-2</v>
      </c>
      <c r="T85" s="161">
        <v>0</v>
      </c>
      <c r="U85" s="161">
        <v>0</v>
      </c>
      <c r="V85" s="161">
        <v>0</v>
      </c>
      <c r="W85" s="161"/>
      <c r="X85" s="58"/>
      <c r="Y85" s="160"/>
      <c r="Z85" s="160"/>
      <c r="AA85" s="160"/>
      <c r="AB85" s="160"/>
      <c r="AC85" s="160"/>
      <c r="AD85" s="162"/>
      <c r="AE85" s="161"/>
    </row>
    <row r="86" spans="1:31" ht="21.2" customHeight="1">
      <c r="A86" s="8" t="s">
        <v>221</v>
      </c>
      <c r="B86" s="158" t="s">
        <v>883</v>
      </c>
      <c r="C86" s="159">
        <v>25</v>
      </c>
      <c r="D86" s="158" t="s">
        <v>860</v>
      </c>
      <c r="E86" s="58">
        <v>78.830714285714294</v>
      </c>
      <c r="F86" s="160">
        <v>18.589084141255402</v>
      </c>
      <c r="G86" s="161">
        <v>0.35197202557887702</v>
      </c>
      <c r="H86" s="161">
        <v>0.46677439825142403</v>
      </c>
      <c r="I86" s="161">
        <v>0.81874642383030105</v>
      </c>
      <c r="J86" s="161">
        <v>2.7453656684224299</v>
      </c>
      <c r="K86" s="161">
        <v>0.13719929630328501</v>
      </c>
      <c r="L86" s="161">
        <v>0.25889863911900102</v>
      </c>
      <c r="M86" s="161">
        <v>4.2569973225321301E-4</v>
      </c>
      <c r="N86" s="161">
        <v>8.3571926938654298E-4</v>
      </c>
      <c r="O86" s="161">
        <v>0.59922684330006104</v>
      </c>
      <c r="P86" s="161">
        <v>1.1143777552904199</v>
      </c>
      <c r="Q86" s="161">
        <v>1.36529103040746E-2</v>
      </c>
      <c r="R86" s="161">
        <v>0.93082507455679897</v>
      </c>
      <c r="S86" s="161">
        <v>5.2113349687017599E-2</v>
      </c>
      <c r="T86" s="161">
        <v>6.3401352592673197</v>
      </c>
      <c r="U86" s="161">
        <v>7.0421777192790902</v>
      </c>
      <c r="V86" s="161">
        <v>0.47376976382419</v>
      </c>
      <c r="W86" s="161"/>
      <c r="X86" s="58"/>
      <c r="Y86" s="160"/>
      <c r="Z86" s="160"/>
      <c r="AA86" s="160"/>
      <c r="AB86" s="160"/>
      <c r="AC86" s="160"/>
      <c r="AD86" s="162"/>
      <c r="AE86" s="161"/>
    </row>
    <row r="87" spans="1:31" ht="21.2" customHeight="1">
      <c r="A87" s="8" t="s">
        <v>227</v>
      </c>
      <c r="B87" s="158" t="s">
        <v>862</v>
      </c>
      <c r="C87" s="159">
        <v>24</v>
      </c>
      <c r="D87" s="158" t="s">
        <v>847</v>
      </c>
      <c r="E87" s="58">
        <v>81.2</v>
      </c>
      <c r="F87" s="160">
        <v>19.4630187895212</v>
      </c>
      <c r="G87" s="161">
        <v>0.38806610507995598</v>
      </c>
      <c r="H87" s="161">
        <v>0.42842436024021602</v>
      </c>
      <c r="I87" s="161">
        <v>0.816490465320172</v>
      </c>
      <c r="J87" s="161">
        <v>2.2811666838901199</v>
      </c>
      <c r="K87" s="161">
        <v>0.10106859406429899</v>
      </c>
      <c r="L87" s="161">
        <v>0.21185310537163299</v>
      </c>
      <c r="M87" s="161">
        <v>1.39641104706212E-2</v>
      </c>
      <c r="N87" s="161">
        <v>4.4054055161551503E-2</v>
      </c>
      <c r="O87" s="161">
        <v>0.64961862047502295</v>
      </c>
      <c r="P87" s="161">
        <v>0.93104313529344396</v>
      </c>
      <c r="Q87" s="161">
        <v>4.4619466623771302E-3</v>
      </c>
      <c r="R87" s="161">
        <v>0.497100176200928</v>
      </c>
      <c r="S87" s="161">
        <v>6.0732486410268301E-2</v>
      </c>
      <c r="T87" s="161">
        <v>0.34334097181588702</v>
      </c>
      <c r="U87" s="161">
        <v>0.645067583954824</v>
      </c>
      <c r="V87" s="161">
        <v>0.34736746238317101</v>
      </c>
      <c r="W87" s="161"/>
      <c r="X87" s="58"/>
      <c r="Y87" s="160"/>
      <c r="Z87" s="160"/>
      <c r="AA87" s="160"/>
      <c r="AB87" s="160"/>
      <c r="AC87" s="160"/>
      <c r="AD87" s="162"/>
      <c r="AE87" s="161"/>
    </row>
    <row r="88" spans="1:31" ht="21.2" customHeight="1">
      <c r="A88" s="8" t="s">
        <v>258</v>
      </c>
      <c r="B88" s="158" t="s">
        <v>870</v>
      </c>
      <c r="C88" s="159">
        <v>26</v>
      </c>
      <c r="D88" s="158" t="s">
        <v>860</v>
      </c>
      <c r="E88" s="58">
        <v>79.501428571428605</v>
      </c>
      <c r="F88" s="160">
        <v>20.023978405119401</v>
      </c>
      <c r="G88" s="161">
        <v>0.32479224670674001</v>
      </c>
      <c r="H88" s="161">
        <v>0.49014495142452202</v>
      </c>
      <c r="I88" s="161">
        <v>0.81493719813126198</v>
      </c>
      <c r="J88" s="161">
        <v>2.18670079349724</v>
      </c>
      <c r="K88" s="161">
        <v>8.3628560546801303E-2</v>
      </c>
      <c r="L88" s="161">
        <v>0.20331577962997399</v>
      </c>
      <c r="M88" s="161">
        <v>2.68780351393429E-3</v>
      </c>
      <c r="N88" s="161">
        <v>1.5327635231166601E-2</v>
      </c>
      <c r="O88" s="161">
        <v>0.33445728920457102</v>
      </c>
      <c r="P88" s="161">
        <v>1.0308360943377499</v>
      </c>
      <c r="Q88" s="161">
        <v>4.7596043137624597E-2</v>
      </c>
      <c r="R88" s="161">
        <v>0.32144267633507201</v>
      </c>
      <c r="S88" s="161">
        <v>5.4526226511886697E-2</v>
      </c>
      <c r="T88" s="161">
        <v>2.7643109178328702</v>
      </c>
      <c r="U88" s="161">
        <v>2.9839731461371199</v>
      </c>
      <c r="V88" s="161">
        <v>0.48089323475843099</v>
      </c>
      <c r="W88" s="161"/>
      <c r="X88" s="58"/>
      <c r="Y88" s="160"/>
      <c r="Z88" s="160"/>
      <c r="AA88" s="160"/>
      <c r="AB88" s="160"/>
      <c r="AC88" s="160"/>
      <c r="AD88" s="162"/>
      <c r="AE88" s="161"/>
    </row>
    <row r="89" spans="1:31" ht="21.2" customHeight="1">
      <c r="A89" s="8" t="s">
        <v>208</v>
      </c>
      <c r="B89" s="158" t="s">
        <v>894</v>
      </c>
      <c r="C89" s="159">
        <v>22</v>
      </c>
      <c r="D89" s="158" t="s">
        <v>864</v>
      </c>
      <c r="E89" s="58">
        <v>73.03</v>
      </c>
      <c r="F89" s="160">
        <v>18.109720833755301</v>
      </c>
      <c r="G89" s="161">
        <v>0.47442313666283897</v>
      </c>
      <c r="H89" s="161">
        <v>0.33772546744353299</v>
      </c>
      <c r="I89" s="161">
        <v>0.81214860410637202</v>
      </c>
      <c r="J89" s="161">
        <v>3.2881330004758702</v>
      </c>
      <c r="K89" s="161">
        <v>0.12595620693446699</v>
      </c>
      <c r="L89" s="161">
        <v>0.23874388328847801</v>
      </c>
      <c r="M89" s="161">
        <v>4.8647781978580498E-5</v>
      </c>
      <c r="N89" s="161">
        <v>9.7301044643010895E-5</v>
      </c>
      <c r="O89" s="161">
        <v>0.24515849289263</v>
      </c>
      <c r="P89" s="161">
        <v>0.45544152153567302</v>
      </c>
      <c r="Q89" s="161">
        <v>-9.6168649197273998E-2</v>
      </c>
      <c r="R89" s="161">
        <v>0.19453620736100499</v>
      </c>
      <c r="S89" s="161">
        <v>4.86009093270083E-2</v>
      </c>
      <c r="T89" s="161">
        <v>8.6277621173599106E-3</v>
      </c>
      <c r="U89" s="161">
        <v>2.5612103890248001E-2</v>
      </c>
      <c r="V89" s="161">
        <v>0.251980019882171</v>
      </c>
      <c r="W89" s="161"/>
      <c r="X89" s="58"/>
      <c r="Y89" s="160"/>
      <c r="Z89" s="160"/>
      <c r="AA89" s="160"/>
      <c r="AB89" s="160"/>
      <c r="AC89" s="160"/>
      <c r="AD89" s="162"/>
      <c r="AE89" s="161"/>
    </row>
    <row r="90" spans="1:31" ht="21.2" customHeight="1">
      <c r="A90" s="8" t="s">
        <v>222</v>
      </c>
      <c r="B90" s="158" t="s">
        <v>879</v>
      </c>
      <c r="C90" s="159">
        <v>25</v>
      </c>
      <c r="D90" s="158" t="s">
        <v>848</v>
      </c>
      <c r="E90" s="58">
        <v>77.08</v>
      </c>
      <c r="F90" s="160">
        <v>18.2517564047637</v>
      </c>
      <c r="G90" s="161">
        <v>0.31337343379494298</v>
      </c>
      <c r="H90" s="161">
        <v>0.49844810032447701</v>
      </c>
      <c r="I90" s="161">
        <v>0.81182153411942004</v>
      </c>
      <c r="J90" s="161">
        <v>2.6460814135392101</v>
      </c>
      <c r="K90" s="161">
        <v>0.104366115253913</v>
      </c>
      <c r="L90" s="161">
        <v>0.25777645783641701</v>
      </c>
      <c r="M90" s="161">
        <v>2.8148766095234599E-4</v>
      </c>
      <c r="N90" s="161">
        <v>5.4727954205872203E-4</v>
      </c>
      <c r="O90" s="161">
        <v>0.41166043663957003</v>
      </c>
      <c r="P90" s="161">
        <v>1.4281995564296599</v>
      </c>
      <c r="Q90" s="161">
        <v>3.92953131626374E-3</v>
      </c>
      <c r="R90" s="161">
        <v>0.379769640847613</v>
      </c>
      <c r="S90" s="161">
        <v>4.7126948427424903E-2</v>
      </c>
      <c r="T90" s="161">
        <v>0.17660019758348899</v>
      </c>
      <c r="U90" s="161">
        <v>0.30047814855523503</v>
      </c>
      <c r="V90" s="161">
        <v>0.37017022259093901</v>
      </c>
      <c r="W90" s="161"/>
      <c r="X90" s="58"/>
      <c r="Y90" s="160"/>
      <c r="Z90" s="160"/>
      <c r="AA90" s="160"/>
      <c r="AB90" s="160"/>
      <c r="AC90" s="160"/>
      <c r="AD90" s="162"/>
      <c r="AE90" s="161"/>
    </row>
    <row r="91" spans="1:31" ht="21.2" customHeight="1">
      <c r="A91" s="8" t="s">
        <v>272</v>
      </c>
      <c r="B91" s="158" t="s">
        <v>892</v>
      </c>
      <c r="C91" s="159">
        <v>28</v>
      </c>
      <c r="D91" s="158" t="s">
        <v>847</v>
      </c>
      <c r="E91" s="58">
        <v>75.458214285714305</v>
      </c>
      <c r="F91" s="160">
        <v>16.657573739984102</v>
      </c>
      <c r="G91" s="161">
        <v>0.29407461093989801</v>
      </c>
      <c r="H91" s="161">
        <v>0.51347596484112301</v>
      </c>
      <c r="I91" s="161">
        <v>0.80755057578102096</v>
      </c>
      <c r="J91" s="161">
        <v>2.12827795860222</v>
      </c>
      <c r="K91" s="161">
        <v>8.2092717579476004E-2</v>
      </c>
      <c r="L91" s="161">
        <v>0.25008163983281201</v>
      </c>
      <c r="M91" s="161">
        <v>2.0368964180251101E-5</v>
      </c>
      <c r="N91" s="161">
        <v>3.7869061658151803E-5</v>
      </c>
      <c r="O91" s="161">
        <v>0.36270141488068902</v>
      </c>
      <c r="P91" s="161">
        <v>0.52328512144419603</v>
      </c>
      <c r="Q91" s="161">
        <v>-8.7703666675686704E-3</v>
      </c>
      <c r="R91" s="161">
        <v>0.281578582424938</v>
      </c>
      <c r="S91" s="161">
        <v>4.1335414379684E-2</v>
      </c>
      <c r="T91" s="161">
        <v>4.1398022616609902E-2</v>
      </c>
      <c r="U91" s="161">
        <v>0.105155885623495</v>
      </c>
      <c r="V91" s="161">
        <v>0.28247641508669902</v>
      </c>
      <c r="W91" s="161"/>
      <c r="X91" s="58"/>
      <c r="Y91" s="160"/>
      <c r="Z91" s="160"/>
      <c r="AA91" s="160"/>
      <c r="AB91" s="160"/>
      <c r="AC91" s="160"/>
      <c r="AD91" s="162"/>
      <c r="AE91" s="161"/>
    </row>
    <row r="92" spans="1:31" ht="21.2" customHeight="1">
      <c r="A92" s="8" t="s">
        <v>242</v>
      </c>
      <c r="B92" s="158" t="s">
        <v>883</v>
      </c>
      <c r="C92" s="159">
        <v>35</v>
      </c>
      <c r="D92" s="158" t="s">
        <v>846</v>
      </c>
      <c r="E92" s="58">
        <v>81.892499999999998</v>
      </c>
      <c r="F92" s="160">
        <v>20.241907090320101</v>
      </c>
      <c r="G92" s="161">
        <v>0.26543591559492102</v>
      </c>
      <c r="H92" s="161">
        <v>0.54104081657700698</v>
      </c>
      <c r="I92" s="161">
        <v>0.80647673217192795</v>
      </c>
      <c r="J92" s="161">
        <v>2.1539896805180998</v>
      </c>
      <c r="K92" s="161">
        <v>7.6163299079658506E-2</v>
      </c>
      <c r="L92" s="161">
        <v>0.26725762540915898</v>
      </c>
      <c r="M92" s="161">
        <v>-1.56081851854945E-3</v>
      </c>
      <c r="N92" s="161">
        <v>3.5829839021603201E-3</v>
      </c>
      <c r="O92" s="161">
        <v>0.91038321348419105</v>
      </c>
      <c r="P92" s="161">
        <v>0.82887620353699998</v>
      </c>
      <c r="Q92" s="161">
        <v>9.4680611459928201E-3</v>
      </c>
      <c r="R92" s="161">
        <v>0.16672786830337999</v>
      </c>
      <c r="S92" s="161">
        <v>3.9300721885898497E-2</v>
      </c>
      <c r="T92" s="161">
        <v>10.9424740108674</v>
      </c>
      <c r="U92" s="161">
        <v>8.4246204338433799</v>
      </c>
      <c r="V92" s="161">
        <v>0.56500338974986697</v>
      </c>
      <c r="W92" s="161"/>
      <c r="X92" s="58"/>
      <c r="Y92" s="160"/>
      <c r="Z92" s="160"/>
      <c r="AA92" s="160"/>
      <c r="AB92" s="160"/>
      <c r="AC92" s="160"/>
      <c r="AD92" s="162"/>
      <c r="AE92" s="161"/>
    </row>
    <row r="93" spans="1:31" ht="21.2" customHeight="1">
      <c r="A93" s="8" t="s">
        <v>283</v>
      </c>
      <c r="B93" s="158" t="s">
        <v>886</v>
      </c>
      <c r="C93" s="159">
        <v>29</v>
      </c>
      <c r="D93" s="158" t="s">
        <v>846</v>
      </c>
      <c r="E93" s="58">
        <v>80.707857142857094</v>
      </c>
      <c r="F93" s="160">
        <v>19.2897864609211</v>
      </c>
      <c r="G93" s="161">
        <v>0.24366932790295501</v>
      </c>
      <c r="H93" s="161">
        <v>0.55650158856296505</v>
      </c>
      <c r="I93" s="161">
        <v>0.80017091646591998</v>
      </c>
      <c r="J93" s="161">
        <v>1.6617106779502999</v>
      </c>
      <c r="K93" s="161">
        <v>7.0652103590542206E-2</v>
      </c>
      <c r="L93" s="161">
        <v>0.185630209572965</v>
      </c>
      <c r="M93" s="161">
        <v>1.35600500542985E-2</v>
      </c>
      <c r="N93" s="161">
        <v>3.3444700198772298E-2</v>
      </c>
      <c r="O93" s="161">
        <v>0.63882616971494599</v>
      </c>
      <c r="P93" s="161">
        <v>0.91320859884208405</v>
      </c>
      <c r="Q93" s="161">
        <v>8.1035472050354801E-2</v>
      </c>
      <c r="R93" s="161">
        <v>0.30925981317901702</v>
      </c>
      <c r="S93" s="161">
        <v>3.9822216637966E-2</v>
      </c>
      <c r="T93" s="161">
        <v>8.1003950255767005</v>
      </c>
      <c r="U93" s="161">
        <v>6.7480892375736303</v>
      </c>
      <c r="V93" s="161">
        <v>0.54553682935028902</v>
      </c>
      <c r="W93" s="161"/>
      <c r="X93" s="58"/>
      <c r="Y93" s="160"/>
      <c r="Z93" s="160"/>
      <c r="AA93" s="160"/>
      <c r="AB93" s="160"/>
      <c r="AC93" s="160"/>
      <c r="AD93" s="162"/>
      <c r="AE93" s="161"/>
    </row>
    <row r="94" spans="1:31" ht="21.2" customHeight="1">
      <c r="A94" s="8" t="s">
        <v>189</v>
      </c>
      <c r="B94" s="158" t="s">
        <v>886</v>
      </c>
      <c r="C94" s="159">
        <v>32</v>
      </c>
      <c r="D94" s="158" t="s">
        <v>864</v>
      </c>
      <c r="E94" s="58">
        <v>79.9935714285714</v>
      </c>
      <c r="F94" s="160">
        <v>17.643185033847399</v>
      </c>
      <c r="G94" s="161">
        <v>0.36674609769929001</v>
      </c>
      <c r="H94" s="161">
        <v>0.43156907513383203</v>
      </c>
      <c r="I94" s="161">
        <v>0.79831517283312203</v>
      </c>
      <c r="J94" s="161">
        <v>3.2574482233373399</v>
      </c>
      <c r="K94" s="161">
        <v>0.108827645026549</v>
      </c>
      <c r="L94" s="161">
        <v>0.25750366743178899</v>
      </c>
      <c r="M94" s="161">
        <v>7.5856829064257803E-6</v>
      </c>
      <c r="N94" s="161">
        <v>1.3087191247807599E-5</v>
      </c>
      <c r="O94" s="161">
        <v>0.24839653238128301</v>
      </c>
      <c r="P94" s="161">
        <v>0.94262902065469001</v>
      </c>
      <c r="Q94" s="161">
        <v>6.2394828990393503E-2</v>
      </c>
      <c r="R94" s="161">
        <v>0.36904196321677102</v>
      </c>
      <c r="S94" s="161">
        <v>5.9936318942556098E-2</v>
      </c>
      <c r="T94" s="161">
        <v>0.38856328193030198</v>
      </c>
      <c r="U94" s="161">
        <v>0.55292303895570905</v>
      </c>
      <c r="V94" s="161">
        <v>0.41271261547871901</v>
      </c>
      <c r="W94" s="161"/>
      <c r="X94" s="58"/>
      <c r="Y94" s="160"/>
      <c r="Z94" s="160"/>
      <c r="AA94" s="160"/>
      <c r="AB94" s="160"/>
      <c r="AC94" s="160"/>
      <c r="AD94" s="162"/>
      <c r="AE94" s="161"/>
    </row>
    <row r="95" spans="1:31" ht="21.2" customHeight="1">
      <c r="A95" s="8" t="s">
        <v>383</v>
      </c>
      <c r="B95" s="158" t="s">
        <v>890</v>
      </c>
      <c r="C95" s="159">
        <v>30</v>
      </c>
      <c r="D95" s="158" t="s">
        <v>846</v>
      </c>
      <c r="E95" s="58">
        <v>58.576785714285698</v>
      </c>
      <c r="F95" s="160">
        <v>20.2187346493902</v>
      </c>
      <c r="G95" s="161">
        <v>0.32325196453423799</v>
      </c>
      <c r="H95" s="161">
        <v>0.47218862130751199</v>
      </c>
      <c r="I95" s="161">
        <v>0.79544058584175004</v>
      </c>
      <c r="J95" s="161">
        <v>2.8300096827314101</v>
      </c>
      <c r="K95" s="161">
        <v>6.7524942445881295E-2</v>
      </c>
      <c r="L95" s="161">
        <v>0.19656627762006801</v>
      </c>
      <c r="M95" s="161">
        <v>3.7625132699067201E-3</v>
      </c>
      <c r="N95" s="161">
        <v>1.7184967895965599E-2</v>
      </c>
      <c r="O95" s="161">
        <v>0.57835160037114597</v>
      </c>
      <c r="P95" s="161">
        <v>0.89584672024050904</v>
      </c>
      <c r="Q95" s="161">
        <v>-6.3309384868381793E-2</v>
      </c>
      <c r="R95" s="161">
        <v>0</v>
      </c>
      <c r="S95" s="161">
        <v>3.7996859829129301E-2</v>
      </c>
      <c r="T95" s="161">
        <v>9.1777212487189601</v>
      </c>
      <c r="U95" s="161">
        <v>7.1283459403098997</v>
      </c>
      <c r="V95" s="161">
        <v>0.56284088261907605</v>
      </c>
      <c r="W95" s="161"/>
      <c r="X95" s="58"/>
      <c r="Y95" s="160"/>
      <c r="Z95" s="160"/>
      <c r="AA95" s="160"/>
      <c r="AB95" s="160"/>
      <c r="AC95" s="160"/>
      <c r="AD95" s="162"/>
      <c r="AE95" s="161"/>
    </row>
    <row r="96" spans="1:31" ht="21.2" customHeight="1">
      <c r="A96" s="8" t="s">
        <v>217</v>
      </c>
      <c r="B96" s="158" t="s">
        <v>879</v>
      </c>
      <c r="C96" s="159">
        <v>35</v>
      </c>
      <c r="D96" s="158" t="s">
        <v>880</v>
      </c>
      <c r="E96" s="58">
        <v>80.774642857142894</v>
      </c>
      <c r="F96" s="160">
        <v>18.168366330030398</v>
      </c>
      <c r="G96" s="161">
        <v>0.31703297957457999</v>
      </c>
      <c r="H96" s="161">
        <v>0.47159698649375897</v>
      </c>
      <c r="I96" s="161">
        <v>0.78862996606833902</v>
      </c>
      <c r="J96" s="161">
        <v>2.64870341319893</v>
      </c>
      <c r="K96" s="161">
        <v>6.3834530656283306E-2</v>
      </c>
      <c r="L96" s="161">
        <v>0.25243624683267701</v>
      </c>
      <c r="M96" s="161">
        <v>-2.4137747435811201E-4</v>
      </c>
      <c r="N96" s="161">
        <v>-1.56383298667361E-3</v>
      </c>
      <c r="O96" s="161">
        <v>0.334794945919691</v>
      </c>
      <c r="P96" s="161">
        <v>0.91352195430236804</v>
      </c>
      <c r="Q96" s="161">
        <v>4.6495424237938003E-2</v>
      </c>
      <c r="R96" s="161">
        <v>0.36242473742721798</v>
      </c>
      <c r="S96" s="161">
        <v>4.7677292542866602E-2</v>
      </c>
      <c r="T96" s="161">
        <v>8.6636660139745398</v>
      </c>
      <c r="U96" s="161">
        <v>5.95049117115662</v>
      </c>
      <c r="V96" s="161">
        <v>0.592826935157724</v>
      </c>
      <c r="W96" s="161"/>
      <c r="X96" s="58"/>
      <c r="Y96" s="160"/>
      <c r="Z96" s="160"/>
      <c r="AA96" s="160"/>
      <c r="AB96" s="160"/>
      <c r="AC96" s="160"/>
      <c r="AD96" s="162"/>
      <c r="AE96" s="161"/>
    </row>
    <row r="97" spans="1:31" ht="21.2" customHeight="1">
      <c r="A97" s="8" t="s">
        <v>124</v>
      </c>
      <c r="B97" s="158" t="s">
        <v>869</v>
      </c>
      <c r="C97" s="159">
        <v>24</v>
      </c>
      <c r="D97" s="158" t="s">
        <v>849</v>
      </c>
      <c r="E97" s="58">
        <v>79.701071428571396</v>
      </c>
      <c r="F97" s="160">
        <v>25.602225706960098</v>
      </c>
      <c r="G97" s="161">
        <v>0.130955067053766</v>
      </c>
      <c r="H97" s="161">
        <v>0.64983255441639098</v>
      </c>
      <c r="I97" s="161">
        <v>0.78078762147015701</v>
      </c>
      <c r="J97" s="161">
        <v>2.4944555223171001</v>
      </c>
      <c r="K97" s="161">
        <v>4.1842708890745699E-2</v>
      </c>
      <c r="L97" s="161">
        <v>0.340785456058674</v>
      </c>
      <c r="M97" s="161">
        <v>5.63681616644035E-4</v>
      </c>
      <c r="N97" s="161">
        <v>9.1835255474554296E-3</v>
      </c>
      <c r="O97" s="161">
        <v>1.31183625618985</v>
      </c>
      <c r="P97" s="161">
        <v>0.789120912064461</v>
      </c>
      <c r="Q97" s="161">
        <v>8.9157801939285505E-2</v>
      </c>
      <c r="R97" s="161">
        <v>0.38926883301121801</v>
      </c>
      <c r="S97" s="161">
        <v>2.0951882381000601E-2</v>
      </c>
      <c r="T97" s="161">
        <v>0</v>
      </c>
      <c r="U97" s="161">
        <v>0</v>
      </c>
      <c r="V97" s="161">
        <v>0</v>
      </c>
      <c r="W97" s="161"/>
      <c r="X97" s="58"/>
      <c r="Y97" s="160"/>
      <c r="Z97" s="160"/>
      <c r="AA97" s="160"/>
      <c r="AB97" s="160"/>
      <c r="AC97" s="160"/>
      <c r="AD97" s="162"/>
      <c r="AE97" s="161"/>
    </row>
    <row r="98" spans="1:31" ht="21.2" customHeight="1">
      <c r="A98" s="8" t="s">
        <v>161</v>
      </c>
      <c r="B98" s="158" t="s">
        <v>863</v>
      </c>
      <c r="C98" s="159">
        <v>29</v>
      </c>
      <c r="D98" s="158" t="s">
        <v>849</v>
      </c>
      <c r="E98" s="58">
        <v>70</v>
      </c>
      <c r="F98" s="160">
        <v>23.813428477400901</v>
      </c>
      <c r="G98" s="161">
        <v>0.175777389258573</v>
      </c>
      <c r="H98" s="161">
        <v>0.60371127583197104</v>
      </c>
      <c r="I98" s="161">
        <v>0.77948866509054404</v>
      </c>
      <c r="J98" s="161">
        <v>2.8024405767505498</v>
      </c>
      <c r="K98" s="161">
        <v>3.4892436032433201E-2</v>
      </c>
      <c r="L98" s="161">
        <v>0.33146395151344099</v>
      </c>
      <c r="M98" s="161">
        <v>1.66312599660117E-3</v>
      </c>
      <c r="N98" s="161">
        <v>2.35751892113062E-3</v>
      </c>
      <c r="O98" s="161">
        <v>1.1937012019545901</v>
      </c>
      <c r="P98" s="161">
        <v>1.09673705596539</v>
      </c>
      <c r="Q98" s="161">
        <v>6.1545676589754801E-2</v>
      </c>
      <c r="R98" s="161">
        <v>0.72177194246821996</v>
      </c>
      <c r="S98" s="161">
        <v>2.5215667434337001E-2</v>
      </c>
      <c r="T98" s="161">
        <v>0</v>
      </c>
      <c r="U98" s="161">
        <v>0</v>
      </c>
      <c r="V98" s="161">
        <v>0</v>
      </c>
      <c r="W98" s="161"/>
      <c r="X98" s="58"/>
      <c r="Y98" s="160"/>
      <c r="Z98" s="160"/>
      <c r="AA98" s="160"/>
      <c r="AB98" s="160"/>
      <c r="AC98" s="160"/>
      <c r="AD98" s="162"/>
      <c r="AE98" s="161"/>
    </row>
    <row r="99" spans="1:31" ht="21.2" customHeight="1">
      <c r="A99" s="8" t="s">
        <v>248</v>
      </c>
      <c r="B99" s="158" t="s">
        <v>861</v>
      </c>
      <c r="C99" s="159">
        <v>28</v>
      </c>
      <c r="D99" s="158" t="s">
        <v>847</v>
      </c>
      <c r="E99" s="58">
        <v>76.417142857142906</v>
      </c>
      <c r="F99" s="160">
        <v>19.668419224360701</v>
      </c>
      <c r="G99" s="161">
        <v>0.33518476249893397</v>
      </c>
      <c r="H99" s="161">
        <v>0.44125472952025502</v>
      </c>
      <c r="I99" s="161">
        <v>0.77643949201918905</v>
      </c>
      <c r="J99" s="161">
        <v>2.5362065625475099</v>
      </c>
      <c r="K99" s="161">
        <v>0.110314362911433</v>
      </c>
      <c r="L99" s="161">
        <v>0.26734197426078898</v>
      </c>
      <c r="M99" s="161">
        <v>1.8054392282455901E-2</v>
      </c>
      <c r="N99" s="161">
        <v>2.10584792354311E-2</v>
      </c>
      <c r="O99" s="161">
        <v>0.63824914967628699</v>
      </c>
      <c r="P99" s="161">
        <v>1.4210141102526199</v>
      </c>
      <c r="Q99" s="161">
        <v>6.2465170472508699E-2</v>
      </c>
      <c r="R99" s="161">
        <v>0.397485949244063</v>
      </c>
      <c r="S99" s="161">
        <v>5.3031279568961302E-2</v>
      </c>
      <c r="T99" s="161">
        <v>8.9580670634007903E-2</v>
      </c>
      <c r="U99" s="161">
        <v>0.28343090506056001</v>
      </c>
      <c r="V99" s="161">
        <v>0.240155202870592</v>
      </c>
      <c r="W99" s="161"/>
      <c r="X99" s="58"/>
      <c r="Y99" s="160"/>
      <c r="Z99" s="160"/>
      <c r="AA99" s="160"/>
      <c r="AB99" s="160"/>
      <c r="AC99" s="160"/>
      <c r="AD99" s="162"/>
      <c r="AE99" s="161"/>
    </row>
    <row r="100" spans="1:31" ht="21.2" customHeight="1">
      <c r="A100" s="8" t="s">
        <v>122</v>
      </c>
      <c r="B100" s="158" t="s">
        <v>868</v>
      </c>
      <c r="C100" s="159">
        <v>30</v>
      </c>
      <c r="D100" s="158" t="s">
        <v>849</v>
      </c>
      <c r="E100" s="58">
        <v>79.1335714285714</v>
      </c>
      <c r="F100" s="160">
        <v>22.454265594512201</v>
      </c>
      <c r="G100" s="161">
        <v>0.21062191914456699</v>
      </c>
      <c r="H100" s="161">
        <v>0.56235908984461502</v>
      </c>
      <c r="I100" s="161">
        <v>0.77298100898918198</v>
      </c>
      <c r="J100" s="161">
        <v>3.2907229744232702</v>
      </c>
      <c r="K100" s="161">
        <v>7.7406643075225698E-2</v>
      </c>
      <c r="L100" s="161">
        <v>0.31867906912555499</v>
      </c>
      <c r="M100" s="161">
        <v>1.59010397384171E-3</v>
      </c>
      <c r="N100" s="161">
        <v>2.14768295625956E-3</v>
      </c>
      <c r="O100" s="161">
        <v>1.2290791153977101</v>
      </c>
      <c r="P100" s="161">
        <v>0.96228337101039496</v>
      </c>
      <c r="Q100" s="161">
        <v>1.68171178499395E-2</v>
      </c>
      <c r="R100" s="161">
        <v>0.60898257460208005</v>
      </c>
      <c r="S100" s="161">
        <v>3.09567844294091E-2</v>
      </c>
      <c r="T100" s="161">
        <v>0</v>
      </c>
      <c r="U100" s="161">
        <v>0</v>
      </c>
      <c r="V100" s="161">
        <v>0</v>
      </c>
      <c r="W100" s="161"/>
      <c r="X100" s="58"/>
      <c r="Y100" s="160"/>
      <c r="Z100" s="160"/>
      <c r="AA100" s="160"/>
      <c r="AB100" s="160"/>
      <c r="AC100" s="160"/>
      <c r="AD100" s="162"/>
      <c r="AE100" s="161"/>
    </row>
    <row r="101" spans="1:31" ht="21.2" customHeight="1">
      <c r="A101" s="8" t="s">
        <v>201</v>
      </c>
      <c r="B101" s="158" t="s">
        <v>867</v>
      </c>
      <c r="C101" s="159">
        <v>26</v>
      </c>
      <c r="D101" s="158" t="s">
        <v>846</v>
      </c>
      <c r="E101" s="58">
        <v>80.632499999999993</v>
      </c>
      <c r="F101" s="160">
        <v>19.401363434911801</v>
      </c>
      <c r="G101" s="161">
        <v>0.343536796430574</v>
      </c>
      <c r="H101" s="161">
        <v>0.42344374810983698</v>
      </c>
      <c r="I101" s="161">
        <v>0.76698054454041098</v>
      </c>
      <c r="J101" s="161">
        <v>3.0841274264926501</v>
      </c>
      <c r="K101" s="161">
        <v>0.14924195412135599</v>
      </c>
      <c r="L101" s="161">
        <v>0.27131633119343501</v>
      </c>
      <c r="M101" s="161">
        <v>1.40602279973267E-2</v>
      </c>
      <c r="N101" s="161">
        <v>2.2846816461705902E-2</v>
      </c>
      <c r="O101" s="161">
        <v>0.66716351594604595</v>
      </c>
      <c r="P101" s="161">
        <v>1.5862091906192</v>
      </c>
      <c r="Q101" s="161">
        <v>4.8741125447380199E-2</v>
      </c>
      <c r="R101" s="161">
        <v>0.480817676706917</v>
      </c>
      <c r="S101" s="161">
        <v>5.5163907375074997E-2</v>
      </c>
      <c r="T101" s="161">
        <v>8.8346696044718307</v>
      </c>
      <c r="U101" s="161">
        <v>9.4549773362817202</v>
      </c>
      <c r="V101" s="161">
        <v>0.48304210754260901</v>
      </c>
      <c r="W101" s="161"/>
      <c r="X101" s="58"/>
      <c r="Y101" s="160"/>
      <c r="Z101" s="160"/>
      <c r="AA101" s="160"/>
      <c r="AB101" s="160"/>
      <c r="AC101" s="160"/>
      <c r="AD101" s="162"/>
      <c r="AE101" s="161"/>
    </row>
    <row r="102" spans="1:31" ht="21.2" customHeight="1">
      <c r="A102" s="8" t="s">
        <v>137</v>
      </c>
      <c r="B102" s="158" t="s">
        <v>862</v>
      </c>
      <c r="C102" s="159">
        <v>32</v>
      </c>
      <c r="D102" s="158" t="s">
        <v>849</v>
      </c>
      <c r="E102" s="58">
        <v>81.400000000000006</v>
      </c>
      <c r="F102" s="160">
        <v>23.9259320894176</v>
      </c>
      <c r="G102" s="161">
        <v>0.15966497444290501</v>
      </c>
      <c r="H102" s="161">
        <v>0.60318880171899603</v>
      </c>
      <c r="I102" s="161">
        <v>0.76285377616190098</v>
      </c>
      <c r="J102" s="161">
        <v>2.45651414577272</v>
      </c>
      <c r="K102" s="161">
        <v>3.2190271504782701E-2</v>
      </c>
      <c r="L102" s="161">
        <v>0.28983569388774399</v>
      </c>
      <c r="M102" s="161">
        <v>4.9474476454902903E-3</v>
      </c>
      <c r="N102" s="161">
        <v>9.5036897540371201E-3</v>
      </c>
      <c r="O102" s="161">
        <v>1.67312791106129</v>
      </c>
      <c r="P102" s="161">
        <v>1.19142515481066</v>
      </c>
      <c r="Q102" s="161">
        <v>-2.25309957761518E-4</v>
      </c>
      <c r="R102" s="161">
        <v>0.45645276024894899</v>
      </c>
      <c r="S102" s="161">
        <v>2.49876264987163E-2</v>
      </c>
      <c r="T102" s="161">
        <v>0</v>
      </c>
      <c r="U102" s="161">
        <v>0</v>
      </c>
      <c r="V102" s="161">
        <v>0</v>
      </c>
      <c r="W102" s="161"/>
      <c r="X102" s="58"/>
      <c r="Y102" s="160"/>
      <c r="Z102" s="160"/>
      <c r="AA102" s="160"/>
      <c r="AB102" s="160"/>
      <c r="AC102" s="160"/>
      <c r="AD102" s="162"/>
      <c r="AE102" s="161"/>
    </row>
    <row r="103" spans="1:31" ht="21.2" customHeight="1">
      <c r="A103" s="8" t="s">
        <v>206</v>
      </c>
      <c r="B103" s="158" t="s">
        <v>883</v>
      </c>
      <c r="C103" s="159">
        <v>26</v>
      </c>
      <c r="D103" s="158" t="s">
        <v>864</v>
      </c>
      <c r="E103" s="58">
        <v>81.48</v>
      </c>
      <c r="F103" s="160">
        <v>18.7638607183689</v>
      </c>
      <c r="G103" s="161">
        <v>0.44105338869348198</v>
      </c>
      <c r="H103" s="161">
        <v>0.31924802603484798</v>
      </c>
      <c r="I103" s="161">
        <v>0.76030141472832902</v>
      </c>
      <c r="J103" s="161">
        <v>2.8395231523188502</v>
      </c>
      <c r="K103" s="161">
        <v>0.108722108721395</v>
      </c>
      <c r="L103" s="161">
        <v>0.23666221391605999</v>
      </c>
      <c r="M103" s="161">
        <v>3.5442529345812997E-2</v>
      </c>
      <c r="N103" s="161">
        <v>3.7087843857188801E-2</v>
      </c>
      <c r="O103" s="161">
        <v>0.38604741404256798</v>
      </c>
      <c r="P103" s="161">
        <v>1.3170941682444499</v>
      </c>
      <c r="Q103" s="161">
        <v>9.8326299646273193E-4</v>
      </c>
      <c r="R103" s="161">
        <v>0.55157128925403398</v>
      </c>
      <c r="S103" s="161">
        <v>6.5302830353705599E-2</v>
      </c>
      <c r="T103" s="161">
        <v>0.275165560779987</v>
      </c>
      <c r="U103" s="161">
        <v>0.420186392643491</v>
      </c>
      <c r="V103" s="161">
        <v>0.39572127384591899</v>
      </c>
      <c r="W103" s="161"/>
      <c r="X103" s="58"/>
      <c r="Y103" s="160"/>
      <c r="Z103" s="160"/>
      <c r="AA103" s="160"/>
      <c r="AB103" s="160"/>
      <c r="AC103" s="160"/>
      <c r="AD103" s="162"/>
      <c r="AE103" s="161"/>
    </row>
    <row r="104" spans="1:31" ht="21.2" customHeight="1">
      <c r="A104" s="8" t="s">
        <v>230</v>
      </c>
      <c r="B104" s="158" t="s">
        <v>885</v>
      </c>
      <c r="C104" s="159">
        <v>32</v>
      </c>
      <c r="D104" s="158" t="s">
        <v>846</v>
      </c>
      <c r="E104" s="58">
        <v>80.517499999999998</v>
      </c>
      <c r="F104" s="160">
        <v>16.946249149120401</v>
      </c>
      <c r="G104" s="161">
        <v>0.27808490751577603</v>
      </c>
      <c r="H104" s="161">
        <v>0.48186185481182398</v>
      </c>
      <c r="I104" s="161">
        <v>0.75994676232759995</v>
      </c>
      <c r="J104" s="161">
        <v>3.0895951902345899</v>
      </c>
      <c r="K104" s="161">
        <v>0.100564470030806</v>
      </c>
      <c r="L104" s="161">
        <v>0.24902385437681801</v>
      </c>
      <c r="M104" s="161">
        <v>2.5667072048768001E-4</v>
      </c>
      <c r="N104" s="161">
        <v>3.9209590855704402E-4</v>
      </c>
      <c r="O104" s="161">
        <v>0.34975532701303502</v>
      </c>
      <c r="P104" s="161">
        <v>1.01374563733865</v>
      </c>
      <c r="Q104" s="161">
        <v>3.3183382175793398E-2</v>
      </c>
      <c r="R104" s="161">
        <v>0.553065531890646</v>
      </c>
      <c r="S104" s="161">
        <v>4.6467501414158299E-2</v>
      </c>
      <c r="T104" s="161">
        <v>7.2251999276240602</v>
      </c>
      <c r="U104" s="161">
        <v>7.4518365968096596</v>
      </c>
      <c r="V104" s="161">
        <v>0.49227920878958398</v>
      </c>
      <c r="W104" s="161"/>
      <c r="X104" s="58"/>
      <c r="Y104" s="160"/>
      <c r="Z104" s="160"/>
      <c r="AA104" s="160"/>
      <c r="AB104" s="160"/>
      <c r="AC104" s="160"/>
      <c r="AD104" s="162"/>
      <c r="AE104" s="161"/>
    </row>
    <row r="105" spans="1:31" ht="21.2" customHeight="1">
      <c r="A105" s="8" t="s">
        <v>293</v>
      </c>
      <c r="B105" s="158" t="s">
        <v>876</v>
      </c>
      <c r="C105" s="159">
        <v>31</v>
      </c>
      <c r="D105" s="158" t="s">
        <v>860</v>
      </c>
      <c r="E105" s="58">
        <v>79.28</v>
      </c>
      <c r="F105" s="160">
        <v>17.9408705585452</v>
      </c>
      <c r="G105" s="161">
        <v>0.27694179757675902</v>
      </c>
      <c r="H105" s="161">
        <v>0.48001995429873201</v>
      </c>
      <c r="I105" s="161">
        <v>0.75696175187548997</v>
      </c>
      <c r="J105" s="161">
        <v>1.7538963210674099</v>
      </c>
      <c r="K105" s="161">
        <v>8.0055916514087097E-2</v>
      </c>
      <c r="L105" s="161">
        <v>0.18669693650944799</v>
      </c>
      <c r="M105" s="161">
        <v>4.8433665376014599E-4</v>
      </c>
      <c r="N105" s="161">
        <v>2.0870747351562101E-4</v>
      </c>
      <c r="O105" s="161">
        <v>0.45179595074099899</v>
      </c>
      <c r="P105" s="161">
        <v>1.6260627955110001</v>
      </c>
      <c r="Q105" s="161">
        <v>-6.9065351538408204E-2</v>
      </c>
      <c r="R105" s="161">
        <v>0.50542232490815397</v>
      </c>
      <c r="S105" s="161">
        <v>3.1868449159113799E-2</v>
      </c>
      <c r="T105" s="161">
        <v>5.6084438272230699</v>
      </c>
      <c r="U105" s="161">
        <v>5.9351446630205604</v>
      </c>
      <c r="V105" s="161">
        <v>0.48584925146657798</v>
      </c>
      <c r="W105" s="161"/>
      <c r="X105" s="58"/>
      <c r="Y105" s="160"/>
      <c r="Z105" s="160"/>
      <c r="AA105" s="160"/>
      <c r="AB105" s="160"/>
      <c r="AC105" s="160"/>
      <c r="AD105" s="162"/>
      <c r="AE105" s="161"/>
    </row>
    <row r="106" spans="1:31" ht="21.2" customHeight="1">
      <c r="A106" s="8" t="s">
        <v>351</v>
      </c>
      <c r="B106" s="158" t="s">
        <v>878</v>
      </c>
      <c r="C106" s="159">
        <v>22</v>
      </c>
      <c r="D106" s="158" t="s">
        <v>847</v>
      </c>
      <c r="E106" s="58">
        <v>74.56</v>
      </c>
      <c r="F106" s="160">
        <v>16.532772008532</v>
      </c>
      <c r="G106" s="161">
        <v>0.199487593884106</v>
      </c>
      <c r="H106" s="161">
        <v>0.55386584233870195</v>
      </c>
      <c r="I106" s="161">
        <v>0.75335343622280904</v>
      </c>
      <c r="J106" s="161">
        <v>1.2500472592018499</v>
      </c>
      <c r="K106" s="161">
        <v>4.14276929677867E-2</v>
      </c>
      <c r="L106" s="161">
        <v>0.24505994871714801</v>
      </c>
      <c r="M106" s="161">
        <v>1.230528178268E-3</v>
      </c>
      <c r="N106" s="161">
        <v>2.6105917156072698E-3</v>
      </c>
      <c r="O106" s="161">
        <v>0.35610490948476597</v>
      </c>
      <c r="P106" s="161">
        <v>0.50962091031159995</v>
      </c>
      <c r="Q106" s="161">
        <v>-2.9941821823157001E-2</v>
      </c>
      <c r="R106" s="161">
        <v>0.32164862398890698</v>
      </c>
      <c r="S106" s="161">
        <v>2.5174655670392801E-2</v>
      </c>
      <c r="T106" s="161">
        <v>2.4317681244956001E-2</v>
      </c>
      <c r="U106" s="161">
        <v>9.011216103493E-2</v>
      </c>
      <c r="V106" s="161">
        <v>0.21251170813883399</v>
      </c>
      <c r="W106" s="161"/>
      <c r="X106" s="58"/>
      <c r="Y106" s="160"/>
      <c r="Z106" s="160"/>
      <c r="AA106" s="160"/>
      <c r="AB106" s="160"/>
      <c r="AC106" s="160"/>
      <c r="AD106" s="162"/>
      <c r="AE106" s="161"/>
    </row>
    <row r="107" spans="1:31" ht="21.2" customHeight="1">
      <c r="A107" s="8" t="s">
        <v>320</v>
      </c>
      <c r="B107" s="158" t="s">
        <v>888</v>
      </c>
      <c r="C107" s="159">
        <v>26</v>
      </c>
      <c r="D107" s="158" t="s">
        <v>846</v>
      </c>
      <c r="E107" s="58">
        <v>74.09</v>
      </c>
      <c r="F107" s="160">
        <v>15.7015269812066</v>
      </c>
      <c r="G107" s="161">
        <v>0.28607098908888701</v>
      </c>
      <c r="H107" s="161">
        <v>0.46467261334330201</v>
      </c>
      <c r="I107" s="161">
        <v>0.75074360243218896</v>
      </c>
      <c r="J107" s="161">
        <v>1.927867629014</v>
      </c>
      <c r="K107" s="161">
        <v>9.8308404051122705E-2</v>
      </c>
      <c r="L107" s="161">
        <v>0.25217187411469</v>
      </c>
      <c r="M107" s="161">
        <v>7.4120208574754001E-5</v>
      </c>
      <c r="N107" s="161">
        <v>1.4213304512820601E-4</v>
      </c>
      <c r="O107" s="161">
        <v>0.45105575277333698</v>
      </c>
      <c r="P107" s="161">
        <v>0.40451995506793198</v>
      </c>
      <c r="Q107" s="161">
        <v>-1.6781969810307201E-2</v>
      </c>
      <c r="R107" s="161">
        <v>0.240537577442239</v>
      </c>
      <c r="S107" s="161">
        <v>4.1773846329742702E-2</v>
      </c>
      <c r="T107" s="161">
        <v>3.69513957494609</v>
      </c>
      <c r="U107" s="161">
        <v>4.6305763912849303</v>
      </c>
      <c r="V107" s="161">
        <v>0.44382244000798499</v>
      </c>
      <c r="W107" s="161"/>
      <c r="X107" s="58"/>
      <c r="Y107" s="160"/>
      <c r="Z107" s="160"/>
      <c r="AA107" s="160"/>
      <c r="AB107" s="160"/>
      <c r="AC107" s="160"/>
      <c r="AD107" s="162"/>
      <c r="AE107" s="161"/>
    </row>
    <row r="108" spans="1:31" ht="21.2" customHeight="1">
      <c r="A108" s="8" t="s">
        <v>168</v>
      </c>
      <c r="B108" s="158" t="s">
        <v>882</v>
      </c>
      <c r="C108" s="159">
        <v>33</v>
      </c>
      <c r="D108" s="158" t="s">
        <v>849</v>
      </c>
      <c r="E108" s="58">
        <v>72.599999999999994</v>
      </c>
      <c r="F108" s="160">
        <v>23.060303365091499</v>
      </c>
      <c r="G108" s="161">
        <v>0.18388095309076499</v>
      </c>
      <c r="H108" s="161">
        <v>0.56649169707402802</v>
      </c>
      <c r="I108" s="161">
        <v>0.75037265016479304</v>
      </c>
      <c r="J108" s="161">
        <v>2.5993412731848902</v>
      </c>
      <c r="K108" s="161">
        <v>6.3276111823517306E-2</v>
      </c>
      <c r="L108" s="161">
        <v>0.27852627759446602</v>
      </c>
      <c r="M108" s="161">
        <v>6.5232105660053396E-3</v>
      </c>
      <c r="N108" s="161">
        <v>1.75193397748113E-2</v>
      </c>
      <c r="O108" s="161">
        <v>1.75265130380668</v>
      </c>
      <c r="P108" s="161">
        <v>1.1641483507355901</v>
      </c>
      <c r="Q108" s="161">
        <v>-3.5036373343097303E-2</v>
      </c>
      <c r="R108" s="161">
        <v>0.30811497044157699</v>
      </c>
      <c r="S108" s="161">
        <v>2.2618439680775201E-2</v>
      </c>
      <c r="T108" s="161">
        <v>0</v>
      </c>
      <c r="U108" s="161">
        <v>0</v>
      </c>
      <c r="V108" s="161">
        <v>0</v>
      </c>
      <c r="W108" s="161"/>
      <c r="X108" s="58"/>
      <c r="Y108" s="160"/>
      <c r="Z108" s="160"/>
      <c r="AA108" s="160"/>
      <c r="AB108" s="160"/>
      <c r="AC108" s="160"/>
      <c r="AD108" s="162"/>
      <c r="AE108" s="161"/>
    </row>
    <row r="109" spans="1:31" ht="21.2" customHeight="1">
      <c r="A109" s="8" t="s">
        <v>323</v>
      </c>
      <c r="B109" s="158" t="s">
        <v>879</v>
      </c>
      <c r="C109" s="159">
        <v>24</v>
      </c>
      <c r="D109" s="158" t="s">
        <v>846</v>
      </c>
      <c r="E109" s="58">
        <v>72.552499999999995</v>
      </c>
      <c r="F109" s="160">
        <v>18.3735997935614</v>
      </c>
      <c r="G109" s="161">
        <v>0.411069835074238</v>
      </c>
      <c r="H109" s="161">
        <v>0.33874306249791197</v>
      </c>
      <c r="I109" s="161">
        <v>0.74981289757214997</v>
      </c>
      <c r="J109" s="161">
        <v>2.0691282599185001</v>
      </c>
      <c r="K109" s="161">
        <v>0.128441665061477</v>
      </c>
      <c r="L109" s="161">
        <v>0.22260607085571499</v>
      </c>
      <c r="M109" s="161">
        <v>7.9191583706664306E-3</v>
      </c>
      <c r="N109" s="161">
        <v>1.5358137036012401E-2</v>
      </c>
      <c r="O109" s="161">
        <v>0.63721159512370196</v>
      </c>
      <c r="P109" s="161">
        <v>1.08230512209271</v>
      </c>
      <c r="Q109" s="161">
        <v>1.9343011067780001E-2</v>
      </c>
      <c r="R109" s="161">
        <v>0.33902277178076101</v>
      </c>
      <c r="S109" s="161">
        <v>6.1819110455579099E-2</v>
      </c>
      <c r="T109" s="161">
        <v>6.84106854753849</v>
      </c>
      <c r="U109" s="161">
        <v>6.3025421737062404</v>
      </c>
      <c r="V109" s="161">
        <v>0.52048624176619096</v>
      </c>
      <c r="W109" s="161"/>
      <c r="X109" s="58"/>
      <c r="Y109" s="160"/>
      <c r="Z109" s="160"/>
      <c r="AA109" s="160"/>
      <c r="AB109" s="160"/>
      <c r="AC109" s="160"/>
      <c r="AD109" s="162"/>
      <c r="AE109" s="161"/>
    </row>
    <row r="110" spans="1:31" ht="21.2" customHeight="1">
      <c r="A110" s="8" t="s">
        <v>480</v>
      </c>
      <c r="B110" s="158" t="s">
        <v>893</v>
      </c>
      <c r="C110" s="159">
        <v>20</v>
      </c>
      <c r="D110" s="158" t="s">
        <v>847</v>
      </c>
      <c r="E110" s="58">
        <v>66</v>
      </c>
      <c r="F110" s="160">
        <v>18.072691487144699</v>
      </c>
      <c r="G110" s="161">
        <v>0.30307679868174597</v>
      </c>
      <c r="H110" s="161">
        <v>0.44454358163472302</v>
      </c>
      <c r="I110" s="161">
        <v>0.74762038031647005</v>
      </c>
      <c r="J110" s="161">
        <v>1.5483579322429899</v>
      </c>
      <c r="K110" s="161">
        <v>1.46632752213234E-2</v>
      </c>
      <c r="L110" s="161">
        <v>7.8687990468902305E-2</v>
      </c>
      <c r="M110" s="161">
        <v>3.03678255065224E-3</v>
      </c>
      <c r="N110" s="161">
        <v>6.8768283707249401E-3</v>
      </c>
      <c r="O110" s="161">
        <v>0.46097698248840402</v>
      </c>
      <c r="P110" s="161">
        <v>0.92911275718625097</v>
      </c>
      <c r="Q110" s="161">
        <v>-9.9954719619132094E-3</v>
      </c>
      <c r="R110" s="161">
        <v>0.48059472904540002</v>
      </c>
      <c r="S110" s="161">
        <v>3.7628728588550098E-2</v>
      </c>
      <c r="T110" s="161">
        <v>0.26122858864484</v>
      </c>
      <c r="U110" s="161">
        <v>0.484904143771824</v>
      </c>
      <c r="V110" s="161">
        <v>0.35011007732999699</v>
      </c>
      <c r="W110" s="161"/>
      <c r="X110" s="58"/>
      <c r="Y110" s="160"/>
      <c r="Z110" s="160"/>
      <c r="AA110" s="160"/>
      <c r="AB110" s="160"/>
      <c r="AC110" s="160"/>
      <c r="AD110" s="162"/>
      <c r="AE110" s="161"/>
    </row>
    <row r="111" spans="1:31" ht="21.2" customHeight="1">
      <c r="A111" s="8" t="s">
        <v>262</v>
      </c>
      <c r="B111" s="158" t="s">
        <v>895</v>
      </c>
      <c r="C111" s="159">
        <v>31</v>
      </c>
      <c r="D111" s="158" t="s">
        <v>848</v>
      </c>
      <c r="E111" s="58">
        <v>74.074285714285693</v>
      </c>
      <c r="F111" s="160">
        <v>16.141911793723299</v>
      </c>
      <c r="G111" s="161">
        <v>0.28735518375775598</v>
      </c>
      <c r="H111" s="161">
        <v>0.45722354601991999</v>
      </c>
      <c r="I111" s="161">
        <v>0.74457872977767603</v>
      </c>
      <c r="J111" s="161">
        <v>2.6407199897008899</v>
      </c>
      <c r="K111" s="161">
        <v>6.1044108824544599E-2</v>
      </c>
      <c r="L111" s="161">
        <v>0.23162429093369299</v>
      </c>
      <c r="M111" s="161">
        <v>9.2820072250651597E-5</v>
      </c>
      <c r="N111" s="161">
        <v>1.5842688502395999E-4</v>
      </c>
      <c r="O111" s="161">
        <v>0.52501590154029898</v>
      </c>
      <c r="P111" s="161">
        <v>1.0531551332753399</v>
      </c>
      <c r="Q111" s="161">
        <v>3.01184196456529E-3</v>
      </c>
      <c r="R111" s="161">
        <v>0.21305509387818899</v>
      </c>
      <c r="S111" s="161">
        <v>0</v>
      </c>
      <c r="T111" s="161">
        <v>7.12295508979545E-3</v>
      </c>
      <c r="U111" s="161">
        <v>3.8609407246494497E-2</v>
      </c>
      <c r="V111" s="161">
        <v>0.155753053765674</v>
      </c>
      <c r="W111" s="161"/>
      <c r="X111" s="58"/>
      <c r="Y111" s="160"/>
      <c r="Z111" s="160"/>
      <c r="AA111" s="160"/>
      <c r="AB111" s="160"/>
      <c r="AC111" s="160"/>
      <c r="AD111" s="162"/>
      <c r="AE111" s="161"/>
    </row>
    <row r="112" spans="1:31" ht="21.2" customHeight="1">
      <c r="A112" s="8" t="s">
        <v>218</v>
      </c>
      <c r="B112" s="158" t="s">
        <v>871</v>
      </c>
      <c r="C112" s="159">
        <v>32</v>
      </c>
      <c r="D112" s="158" t="s">
        <v>847</v>
      </c>
      <c r="E112" s="58">
        <v>80.481428571428594</v>
      </c>
      <c r="F112" s="160">
        <v>18.537301632870399</v>
      </c>
      <c r="G112" s="161">
        <v>0.47552404423168698</v>
      </c>
      <c r="H112" s="161">
        <v>0.267477158205566</v>
      </c>
      <c r="I112" s="161">
        <v>0.74300120243725198</v>
      </c>
      <c r="J112" s="161">
        <v>2.9180221797772101</v>
      </c>
      <c r="K112" s="161">
        <v>0.17768948797124401</v>
      </c>
      <c r="L112" s="161">
        <v>0.29511108221545401</v>
      </c>
      <c r="M112" s="161">
        <v>4.0498987009712203E-2</v>
      </c>
      <c r="N112" s="161">
        <v>3.94136989809983E-2</v>
      </c>
      <c r="O112" s="161">
        <v>0.39745024967361697</v>
      </c>
      <c r="P112" s="161">
        <v>1.61947759726212</v>
      </c>
      <c r="Q112" s="161">
        <v>7.86711111844898E-2</v>
      </c>
      <c r="R112" s="161">
        <v>0.39604604448455399</v>
      </c>
      <c r="S112" s="161">
        <v>8.1028409156095202E-2</v>
      </c>
      <c r="T112" s="161">
        <v>0.55735121123602005</v>
      </c>
      <c r="U112" s="161">
        <v>0.65856664322794101</v>
      </c>
      <c r="V112" s="161">
        <v>0.45837900084272398</v>
      </c>
      <c r="W112" s="161"/>
      <c r="X112" s="58"/>
      <c r="Y112" s="160"/>
      <c r="Z112" s="160"/>
      <c r="AA112" s="160"/>
      <c r="AB112" s="160"/>
      <c r="AC112" s="160"/>
      <c r="AD112" s="162"/>
      <c r="AE112" s="161"/>
    </row>
    <row r="113" spans="1:31" ht="21.2" customHeight="1">
      <c r="A113" s="8" t="s">
        <v>240</v>
      </c>
      <c r="B113" s="158" t="s">
        <v>889</v>
      </c>
      <c r="C113" s="159">
        <v>21</v>
      </c>
      <c r="D113" s="158" t="s">
        <v>864</v>
      </c>
      <c r="E113" s="58">
        <v>80.209999999999994</v>
      </c>
      <c r="F113" s="160">
        <v>17.9453802520324</v>
      </c>
      <c r="G113" s="161">
        <v>0.29293908032603899</v>
      </c>
      <c r="H113" s="161">
        <v>0.44963889236377302</v>
      </c>
      <c r="I113" s="161">
        <v>0.74257797268981196</v>
      </c>
      <c r="J113" s="161">
        <v>2.0413261565804</v>
      </c>
      <c r="K113" s="161">
        <v>7.8458845032034E-2</v>
      </c>
      <c r="L113" s="161">
        <v>0.258078465291041</v>
      </c>
      <c r="M113" s="161">
        <v>2.4457203926483002E-4</v>
      </c>
      <c r="N113" s="161">
        <v>4.9848019206093002E-4</v>
      </c>
      <c r="O113" s="161">
        <v>0.30059003695013298</v>
      </c>
      <c r="P113" s="161">
        <v>0.68076481037868997</v>
      </c>
      <c r="Q113" s="161">
        <v>-5.9077842194838401E-2</v>
      </c>
      <c r="R113" s="161">
        <v>0.30512385197307601</v>
      </c>
      <c r="S113" s="161">
        <v>3.8766345060328902E-2</v>
      </c>
      <c r="T113" s="161">
        <v>8.9509807515949502E-2</v>
      </c>
      <c r="U113" s="161">
        <v>0.17401088583753499</v>
      </c>
      <c r="V113" s="161">
        <v>0.33966898909104498</v>
      </c>
      <c r="W113" s="161"/>
      <c r="X113" s="58"/>
      <c r="Y113" s="160"/>
      <c r="Z113" s="160"/>
      <c r="AA113" s="160"/>
      <c r="AB113" s="160"/>
      <c r="AC113" s="160"/>
      <c r="AD113" s="162"/>
      <c r="AE113" s="161"/>
    </row>
    <row r="114" spans="1:31" ht="21.2" customHeight="1">
      <c r="A114" s="8" t="s">
        <v>237</v>
      </c>
      <c r="B114" s="158" t="s">
        <v>870</v>
      </c>
      <c r="C114" s="159">
        <v>26</v>
      </c>
      <c r="D114" s="158" t="s">
        <v>864</v>
      </c>
      <c r="E114" s="58">
        <v>75.951071428571396</v>
      </c>
      <c r="F114" s="160">
        <v>17.752231718519202</v>
      </c>
      <c r="G114" s="161">
        <v>0.37658957148953998</v>
      </c>
      <c r="H114" s="161">
        <v>0.355366240487688</v>
      </c>
      <c r="I114" s="161">
        <v>0.73195581197722803</v>
      </c>
      <c r="J114" s="161">
        <v>2.9824722562075698</v>
      </c>
      <c r="K114" s="161">
        <v>9.9670601866862704E-2</v>
      </c>
      <c r="L114" s="161">
        <v>0.21539062918093399</v>
      </c>
      <c r="M114" s="161">
        <v>1.73514259109483E-3</v>
      </c>
      <c r="N114" s="161">
        <v>1.18993402634137E-2</v>
      </c>
      <c r="O114" s="161">
        <v>0.390887354344648</v>
      </c>
      <c r="P114" s="161">
        <v>1.2213992473108</v>
      </c>
      <c r="Q114" s="161">
        <v>7.57024045570657E-2</v>
      </c>
      <c r="R114" s="161">
        <v>0.256301182953662</v>
      </c>
      <c r="S114" s="161">
        <v>6.3221978003660598E-2</v>
      </c>
      <c r="T114" s="161">
        <v>0.100988249718242</v>
      </c>
      <c r="U114" s="161">
        <v>0.17797503106590601</v>
      </c>
      <c r="V114" s="161">
        <v>0.36201269727818802</v>
      </c>
      <c r="W114" s="161"/>
      <c r="X114" s="58"/>
      <c r="Y114" s="160"/>
      <c r="Z114" s="160"/>
      <c r="AA114" s="160"/>
      <c r="AB114" s="160"/>
      <c r="AC114" s="160"/>
      <c r="AD114" s="162"/>
      <c r="AE114" s="161"/>
    </row>
    <row r="115" spans="1:31" ht="21.2" customHeight="1">
      <c r="A115" s="8" t="s">
        <v>239</v>
      </c>
      <c r="B115" s="158" t="s">
        <v>881</v>
      </c>
      <c r="C115" s="159">
        <v>31</v>
      </c>
      <c r="D115" s="158" t="s">
        <v>847</v>
      </c>
      <c r="E115" s="58">
        <v>77.725714285714304</v>
      </c>
      <c r="F115" s="160">
        <v>18.178314869834999</v>
      </c>
      <c r="G115" s="161">
        <v>0.27428242414784898</v>
      </c>
      <c r="H115" s="161">
        <v>0.45735285757164501</v>
      </c>
      <c r="I115" s="161">
        <v>0.73163528171949399</v>
      </c>
      <c r="J115" s="161">
        <v>2.8543646675478</v>
      </c>
      <c r="K115" s="161">
        <v>8.7791298278726698E-2</v>
      </c>
      <c r="L115" s="161">
        <v>0.20444051577522801</v>
      </c>
      <c r="M115" s="161">
        <v>9.1265400965354101E-5</v>
      </c>
      <c r="N115" s="161">
        <v>1.6076895658017099E-4</v>
      </c>
      <c r="O115" s="161">
        <v>0.53205083468681202</v>
      </c>
      <c r="P115" s="161">
        <v>0.72611275633290495</v>
      </c>
      <c r="Q115" s="161">
        <v>-5.2653488180064503E-2</v>
      </c>
      <c r="R115" s="161">
        <v>0.46466374208938999</v>
      </c>
      <c r="S115" s="161">
        <v>3.2140840134798503E-2</v>
      </c>
      <c r="T115" s="161">
        <v>0.11523527265675999</v>
      </c>
      <c r="U115" s="161">
        <v>0.143899331259665</v>
      </c>
      <c r="V115" s="161">
        <v>0.44469272306806601</v>
      </c>
      <c r="W115" s="161"/>
      <c r="X115" s="58"/>
      <c r="Y115" s="160"/>
      <c r="Z115" s="160"/>
      <c r="AA115" s="160"/>
      <c r="AB115" s="160"/>
      <c r="AC115" s="160"/>
      <c r="AD115" s="162"/>
      <c r="AE115" s="161"/>
    </row>
    <row r="116" spans="1:31" ht="21.2" customHeight="1">
      <c r="A116" s="8" t="s">
        <v>261</v>
      </c>
      <c r="B116" s="158" t="s">
        <v>893</v>
      </c>
      <c r="C116" s="159">
        <v>34</v>
      </c>
      <c r="D116" s="158" t="s">
        <v>846</v>
      </c>
      <c r="E116" s="58">
        <v>80.599999999999994</v>
      </c>
      <c r="F116" s="160">
        <v>19.238690600038101</v>
      </c>
      <c r="G116" s="161">
        <v>0.29245205197931801</v>
      </c>
      <c r="H116" s="161">
        <v>0.43896473737617397</v>
      </c>
      <c r="I116" s="161">
        <v>0.73141678935549304</v>
      </c>
      <c r="J116" s="161">
        <v>2.4842479892357399</v>
      </c>
      <c r="K116" s="161">
        <v>6.9295294429900206E-2</v>
      </c>
      <c r="L116" s="161">
        <v>0.254527058778384</v>
      </c>
      <c r="M116" s="161">
        <v>1.3921988157161299E-2</v>
      </c>
      <c r="N116" s="161">
        <v>1.34827104332932E-2</v>
      </c>
      <c r="O116" s="161">
        <v>0.78839956693780999</v>
      </c>
      <c r="P116" s="161">
        <v>1.3746280801420501</v>
      </c>
      <c r="Q116" s="161">
        <v>4.68009732939321E-3</v>
      </c>
      <c r="R116" s="161">
        <v>0.30912715639537802</v>
      </c>
      <c r="S116" s="161">
        <v>3.6309605146152897E-2</v>
      </c>
      <c r="T116" s="161">
        <v>8.0190179983877403</v>
      </c>
      <c r="U116" s="161">
        <v>8.6073262090007798</v>
      </c>
      <c r="V116" s="161">
        <v>0.48230795046479302</v>
      </c>
      <c r="W116" s="161"/>
      <c r="X116" s="58"/>
      <c r="Y116" s="160"/>
      <c r="Z116" s="160"/>
      <c r="AA116" s="160"/>
      <c r="AB116" s="160"/>
      <c r="AC116" s="160"/>
      <c r="AD116" s="162"/>
      <c r="AE116" s="161"/>
    </row>
    <row r="117" spans="1:31" ht="21.2" customHeight="1">
      <c r="A117" s="8" t="s">
        <v>231</v>
      </c>
      <c r="B117" s="158" t="s">
        <v>895</v>
      </c>
      <c r="C117" s="159">
        <v>34</v>
      </c>
      <c r="D117" s="158" t="s">
        <v>848</v>
      </c>
      <c r="E117" s="58">
        <v>79.882499999999993</v>
      </c>
      <c r="F117" s="160">
        <v>16.581815100196302</v>
      </c>
      <c r="G117" s="161">
        <v>0.22451060303449999</v>
      </c>
      <c r="H117" s="161">
        <v>0.50642095791550601</v>
      </c>
      <c r="I117" s="161">
        <v>0.730931560950006</v>
      </c>
      <c r="J117" s="161">
        <v>2.65460946080406</v>
      </c>
      <c r="K117" s="161">
        <v>6.0080373339599501E-2</v>
      </c>
      <c r="L117" s="161">
        <v>0.26045977921005597</v>
      </c>
      <c r="M117" s="161">
        <v>0</v>
      </c>
      <c r="N117" s="161">
        <v>0</v>
      </c>
      <c r="O117" s="161">
        <v>0.25133847159926498</v>
      </c>
      <c r="P117" s="161">
        <v>0.22186539084867801</v>
      </c>
      <c r="Q117" s="161">
        <v>-1.28026776243295E-2</v>
      </c>
      <c r="R117" s="161">
        <v>0.21656347741221599</v>
      </c>
      <c r="S117" s="161">
        <v>0</v>
      </c>
      <c r="T117" s="161">
        <v>1.9073979116638402E-2</v>
      </c>
      <c r="U117" s="161">
        <v>2.2769016493457299E-2</v>
      </c>
      <c r="V117" s="161">
        <v>0.455846404840965</v>
      </c>
      <c r="W117" s="161"/>
      <c r="X117" s="58"/>
      <c r="Y117" s="160"/>
      <c r="Z117" s="160"/>
      <c r="AA117" s="160"/>
      <c r="AB117" s="160"/>
      <c r="AC117" s="160"/>
      <c r="AD117" s="162"/>
      <c r="AE117" s="161"/>
    </row>
    <row r="118" spans="1:31" ht="21.2" customHeight="1">
      <c r="A118" s="8" t="s">
        <v>167</v>
      </c>
      <c r="B118" s="158" t="s">
        <v>870</v>
      </c>
      <c r="C118" s="159">
        <v>25</v>
      </c>
      <c r="D118" s="158" t="s">
        <v>849</v>
      </c>
      <c r="E118" s="58">
        <v>78.085357142857106</v>
      </c>
      <c r="F118" s="160">
        <v>23.335087774509699</v>
      </c>
      <c r="G118" s="161">
        <v>0.117826858665386</v>
      </c>
      <c r="H118" s="161">
        <v>0.61018207393733903</v>
      </c>
      <c r="I118" s="161">
        <v>0.72800893260272403</v>
      </c>
      <c r="J118" s="161">
        <v>1.83828972878468</v>
      </c>
      <c r="K118" s="161">
        <v>3.9744928915173498E-2</v>
      </c>
      <c r="L118" s="161">
        <v>0.27520549843646203</v>
      </c>
      <c r="M118" s="161">
        <v>5.1136217374795105E-4</v>
      </c>
      <c r="N118" s="161">
        <v>5.1447513996172797E-3</v>
      </c>
      <c r="O118" s="161">
        <v>1.7997797238613</v>
      </c>
      <c r="P118" s="161">
        <v>1.42058934962462</v>
      </c>
      <c r="Q118" s="161">
        <v>9.9444881789523196E-2</v>
      </c>
      <c r="R118" s="161">
        <v>0.77479030636439805</v>
      </c>
      <c r="S118" s="161">
        <v>1.9780810810344902E-2</v>
      </c>
      <c r="T118" s="161">
        <v>0</v>
      </c>
      <c r="U118" s="161">
        <v>0</v>
      </c>
      <c r="V118" s="161">
        <v>0</v>
      </c>
      <c r="W118" s="161"/>
      <c r="X118" s="58"/>
      <c r="Y118" s="160"/>
      <c r="Z118" s="160"/>
      <c r="AA118" s="160"/>
      <c r="AB118" s="160"/>
      <c r="AC118" s="160"/>
      <c r="AD118" s="162"/>
      <c r="AE118" s="161"/>
    </row>
    <row r="119" spans="1:31" ht="21.2" customHeight="1">
      <c r="A119" s="8" t="s">
        <v>155</v>
      </c>
      <c r="B119" s="158" t="s">
        <v>862</v>
      </c>
      <c r="C119" s="159">
        <v>25</v>
      </c>
      <c r="D119" s="158" t="s">
        <v>849</v>
      </c>
      <c r="E119" s="58">
        <v>81.3</v>
      </c>
      <c r="F119" s="160">
        <v>24.086123848892399</v>
      </c>
      <c r="G119" s="161">
        <v>0.117920122739543</v>
      </c>
      <c r="H119" s="161">
        <v>0.60843694111262903</v>
      </c>
      <c r="I119" s="161">
        <v>0.72635706385217302</v>
      </c>
      <c r="J119" s="161">
        <v>2.0592703887274002</v>
      </c>
      <c r="K119" s="161">
        <v>3.14832101850471E-2</v>
      </c>
      <c r="L119" s="161">
        <v>0.27150562486548702</v>
      </c>
      <c r="M119" s="161">
        <v>5.0535832123578301E-4</v>
      </c>
      <c r="N119" s="161">
        <v>1.31213985976683E-2</v>
      </c>
      <c r="O119" s="161">
        <v>1.7746143079457399</v>
      </c>
      <c r="P119" s="161">
        <v>1.5645926377543999</v>
      </c>
      <c r="Q119" s="161">
        <v>1.23649810023324E-2</v>
      </c>
      <c r="R119" s="161">
        <v>0.69278754392782305</v>
      </c>
      <c r="S119" s="161">
        <v>1.8454542043296801E-2</v>
      </c>
      <c r="T119" s="161">
        <v>0</v>
      </c>
      <c r="U119" s="161">
        <v>0</v>
      </c>
      <c r="V119" s="161">
        <v>0</v>
      </c>
      <c r="W119" s="161"/>
      <c r="X119" s="58"/>
      <c r="Y119" s="160"/>
      <c r="Z119" s="160"/>
      <c r="AA119" s="160"/>
      <c r="AB119" s="160"/>
      <c r="AC119" s="160"/>
      <c r="AD119" s="162"/>
      <c r="AE119" s="161"/>
    </row>
    <row r="120" spans="1:31" ht="21.2" customHeight="1">
      <c r="A120" s="8" t="s">
        <v>304</v>
      </c>
      <c r="B120" s="158" t="s">
        <v>882</v>
      </c>
      <c r="C120" s="159">
        <v>31</v>
      </c>
      <c r="D120" s="158" t="s">
        <v>846</v>
      </c>
      <c r="E120" s="58">
        <v>79.2435714285714</v>
      </c>
      <c r="F120" s="160">
        <v>18.240917659402299</v>
      </c>
      <c r="G120" s="161">
        <v>0.19731706491154499</v>
      </c>
      <c r="H120" s="161">
        <v>0.52126867451912895</v>
      </c>
      <c r="I120" s="161">
        <v>0.71858573943067405</v>
      </c>
      <c r="J120" s="161">
        <v>2.01422585571878</v>
      </c>
      <c r="K120" s="161">
        <v>4.5119124753161301E-2</v>
      </c>
      <c r="L120" s="161">
        <v>0.17409320675048701</v>
      </c>
      <c r="M120" s="161">
        <v>1.0375022353537801E-2</v>
      </c>
      <c r="N120" s="161">
        <v>2.0194895747535399E-2</v>
      </c>
      <c r="O120" s="161">
        <v>0.37664675101218698</v>
      </c>
      <c r="P120" s="161">
        <v>0.57299190743349804</v>
      </c>
      <c r="Q120" s="161">
        <v>-4.6007479145933901E-2</v>
      </c>
      <c r="R120" s="161">
        <v>0.536614969424691</v>
      </c>
      <c r="S120" s="161">
        <v>2.42711605289887E-2</v>
      </c>
      <c r="T120" s="161">
        <v>6.00047799051866</v>
      </c>
      <c r="U120" s="161">
        <v>7.3131938040296998</v>
      </c>
      <c r="V120" s="161">
        <v>0.45070045913071999</v>
      </c>
      <c r="W120" s="161"/>
      <c r="X120" s="58"/>
      <c r="Y120" s="160"/>
      <c r="Z120" s="160"/>
      <c r="AA120" s="160"/>
      <c r="AB120" s="160"/>
      <c r="AC120" s="160"/>
      <c r="AD120" s="162"/>
      <c r="AE120" s="161"/>
    </row>
    <row r="121" spans="1:31" ht="21.2" customHeight="1">
      <c r="A121" s="8" t="s">
        <v>318</v>
      </c>
      <c r="B121" s="158" t="s">
        <v>888</v>
      </c>
      <c r="C121" s="159">
        <v>21</v>
      </c>
      <c r="D121" s="158" t="s">
        <v>848</v>
      </c>
      <c r="E121" s="58">
        <v>72.900000000000006</v>
      </c>
      <c r="F121" s="160">
        <v>16.6149850521549</v>
      </c>
      <c r="G121" s="161">
        <v>0.31273384744066601</v>
      </c>
      <c r="H121" s="161">
        <v>0.402138895973848</v>
      </c>
      <c r="I121" s="161">
        <v>0.71487274341451301</v>
      </c>
      <c r="J121" s="161">
        <v>2.2760524054684499</v>
      </c>
      <c r="K121" s="161">
        <v>4.6444009875216498E-2</v>
      </c>
      <c r="L121" s="161">
        <v>0.16006424586663401</v>
      </c>
      <c r="M121" s="161">
        <v>2.5750900054631E-5</v>
      </c>
      <c r="N121" s="161">
        <v>5.1662681624391703E-5</v>
      </c>
      <c r="O121" s="161">
        <v>0.32242411959244399</v>
      </c>
      <c r="P121" s="161">
        <v>0.59948270830119099</v>
      </c>
      <c r="Q121" s="161">
        <v>-2.8768953072208499E-3</v>
      </c>
      <c r="R121" s="161">
        <v>0.34912585234825999</v>
      </c>
      <c r="S121" s="161">
        <v>4.5667320991561101E-2</v>
      </c>
      <c r="T121" s="161">
        <v>0</v>
      </c>
      <c r="U121" s="161">
        <v>0</v>
      </c>
      <c r="V121" s="161">
        <v>0</v>
      </c>
      <c r="W121" s="161"/>
      <c r="X121" s="58"/>
      <c r="Y121" s="160"/>
      <c r="Z121" s="160"/>
      <c r="AA121" s="160"/>
      <c r="AB121" s="160"/>
      <c r="AC121" s="160"/>
      <c r="AD121" s="162"/>
      <c r="AE121" s="161"/>
    </row>
    <row r="122" spans="1:31" ht="21.2" customHeight="1">
      <c r="A122" s="8" t="s">
        <v>307</v>
      </c>
      <c r="B122" s="158" t="s">
        <v>878</v>
      </c>
      <c r="C122" s="163">
        <v>19</v>
      </c>
      <c r="D122" s="158" t="s">
        <v>846</v>
      </c>
      <c r="E122" s="58">
        <v>78</v>
      </c>
      <c r="F122" s="160">
        <v>17.5</v>
      </c>
      <c r="G122" s="161">
        <v>0.274454802150009</v>
      </c>
      <c r="H122" s="161">
        <v>0.44034956532813002</v>
      </c>
      <c r="I122" s="161">
        <v>0.71480436747813902</v>
      </c>
      <c r="J122" s="161">
        <v>2.0582302530318701</v>
      </c>
      <c r="K122" s="161">
        <v>7.7005024771806693E-2</v>
      </c>
      <c r="L122" s="161">
        <v>0.20055589333272</v>
      </c>
      <c r="M122" s="161">
        <v>0</v>
      </c>
      <c r="N122" s="161">
        <v>0</v>
      </c>
      <c r="O122" s="161">
        <v>0.44512195121951198</v>
      </c>
      <c r="P122" s="161">
        <v>0.73170731707317105</v>
      </c>
      <c r="Q122" s="161">
        <v>5.0000000000000001E-3</v>
      </c>
      <c r="R122" s="161">
        <v>0.40426829268292702</v>
      </c>
      <c r="S122" s="161">
        <v>3.4635262307220201E-2</v>
      </c>
      <c r="T122" s="161">
        <v>5.1785232274102402</v>
      </c>
      <c r="U122" s="161">
        <v>7.15129398070939</v>
      </c>
      <c r="V122" s="161">
        <v>0.42</v>
      </c>
      <c r="W122" s="161"/>
      <c r="X122" s="58"/>
      <c r="Y122" s="161"/>
      <c r="Z122" s="161"/>
      <c r="AA122" s="161"/>
      <c r="AB122" s="161"/>
      <c r="AC122" s="160"/>
      <c r="AD122" s="162"/>
      <c r="AE122" s="161"/>
    </row>
    <row r="123" spans="1:31" ht="21.2" customHeight="1">
      <c r="A123" s="8" t="s">
        <v>277</v>
      </c>
      <c r="B123" s="158" t="s">
        <v>887</v>
      </c>
      <c r="C123" s="159">
        <v>33</v>
      </c>
      <c r="D123" s="158" t="s">
        <v>864</v>
      </c>
      <c r="E123" s="58">
        <v>82</v>
      </c>
      <c r="F123" s="160">
        <v>18.421619118785401</v>
      </c>
      <c r="G123" s="161">
        <v>0.30042782678383501</v>
      </c>
      <c r="H123" s="161">
        <v>0.40998087787808202</v>
      </c>
      <c r="I123" s="161">
        <v>0.71040870466191697</v>
      </c>
      <c r="J123" s="161">
        <v>1.95392676391778</v>
      </c>
      <c r="K123" s="161">
        <v>5.3344553814706597E-2</v>
      </c>
      <c r="L123" s="161">
        <v>0.14294265710388901</v>
      </c>
      <c r="M123" s="161">
        <v>5.2840515682220698E-3</v>
      </c>
      <c r="N123" s="161">
        <v>1.06834235776271E-2</v>
      </c>
      <c r="O123" s="161">
        <v>0.39234554927741</v>
      </c>
      <c r="P123" s="161">
        <v>0.90520149744907197</v>
      </c>
      <c r="Q123" s="161">
        <v>-7.7922183663460404E-2</v>
      </c>
      <c r="R123" s="161">
        <v>0.64601944724147298</v>
      </c>
      <c r="S123" s="161">
        <v>2.8799920470373701E-2</v>
      </c>
      <c r="T123" s="161">
        <v>1.6513268001686999E-2</v>
      </c>
      <c r="U123" s="161">
        <v>3.1992498861939597E-2</v>
      </c>
      <c r="V123" s="161">
        <v>0.340439272883033</v>
      </c>
      <c r="W123" s="161"/>
      <c r="X123" s="58"/>
      <c r="Y123" s="160"/>
      <c r="Z123" s="160"/>
      <c r="AA123" s="160"/>
      <c r="AB123" s="160"/>
      <c r="AC123" s="160"/>
      <c r="AD123" s="162"/>
      <c r="AE123" s="161"/>
    </row>
    <row r="124" spans="1:31" ht="21.2" customHeight="1">
      <c r="A124" s="8" t="s">
        <v>256</v>
      </c>
      <c r="B124" s="158" t="s">
        <v>869</v>
      </c>
      <c r="C124" s="163">
        <v>34</v>
      </c>
      <c r="D124" s="158" t="s">
        <v>860</v>
      </c>
      <c r="E124" s="58">
        <v>81.444285714285698</v>
      </c>
      <c r="F124" s="160">
        <v>16.0773216632386</v>
      </c>
      <c r="G124" s="161">
        <v>0.28590199144107697</v>
      </c>
      <c r="H124" s="161">
        <v>0.42131984425846097</v>
      </c>
      <c r="I124" s="161">
        <v>0.707221835699538</v>
      </c>
      <c r="J124" s="161">
        <v>2.2654281838627099</v>
      </c>
      <c r="K124" s="161">
        <v>0.10531986876269001</v>
      </c>
      <c r="L124" s="161">
        <v>0.26905439606575199</v>
      </c>
      <c r="M124" s="161">
        <v>1.9630274739526301E-2</v>
      </c>
      <c r="N124" s="161">
        <v>2.6523712160925601E-2</v>
      </c>
      <c r="O124" s="161">
        <v>0.54363273611593799</v>
      </c>
      <c r="P124" s="161">
        <v>1.2976691047232101</v>
      </c>
      <c r="Q124" s="161">
        <v>7.1010935529748895E-2</v>
      </c>
      <c r="R124" s="161">
        <v>0.55999275735326104</v>
      </c>
      <c r="S124" s="161">
        <v>4.5742291855785197E-2</v>
      </c>
      <c r="T124" s="161">
        <v>5.9990170094700401</v>
      </c>
      <c r="U124" s="161">
        <v>4.43360612023067</v>
      </c>
      <c r="V124" s="161">
        <v>0.57502479816331098</v>
      </c>
      <c r="W124" s="161"/>
      <c r="X124" s="58"/>
      <c r="Y124" s="160"/>
      <c r="Z124" s="160"/>
      <c r="AA124" s="160"/>
      <c r="AB124" s="160"/>
      <c r="AC124" s="160"/>
      <c r="AD124" s="162"/>
      <c r="AE124" s="161"/>
    </row>
    <row r="125" spans="1:31" ht="21.2" customHeight="1">
      <c r="A125" s="8" t="s">
        <v>257</v>
      </c>
      <c r="B125" s="158" t="s">
        <v>868</v>
      </c>
      <c r="C125" s="159">
        <v>31</v>
      </c>
      <c r="D125" s="158" t="s">
        <v>848</v>
      </c>
      <c r="E125" s="58">
        <v>80.344285714285704</v>
      </c>
      <c r="F125" s="160">
        <v>16.3001630333052</v>
      </c>
      <c r="G125" s="161">
        <v>0.326260136458355</v>
      </c>
      <c r="H125" s="161">
        <v>0.380473427038026</v>
      </c>
      <c r="I125" s="161">
        <v>0.70673356349637995</v>
      </c>
      <c r="J125" s="161">
        <v>2.9345229522895901</v>
      </c>
      <c r="K125" s="161">
        <v>7.1871834482499994E-2</v>
      </c>
      <c r="L125" s="161">
        <v>0.166224478618167</v>
      </c>
      <c r="M125" s="161">
        <v>5.1655419498027903E-3</v>
      </c>
      <c r="N125" s="161">
        <v>8.7918124998293198E-3</v>
      </c>
      <c r="O125" s="161">
        <v>0.25254421798927801</v>
      </c>
      <c r="P125" s="161">
        <v>0.89930528081463301</v>
      </c>
      <c r="Q125" s="161">
        <v>1.62973106117732E-2</v>
      </c>
      <c r="R125" s="161">
        <v>0.32481819128203798</v>
      </c>
      <c r="S125" s="161">
        <v>4.7953056136187298E-2</v>
      </c>
      <c r="T125" s="161">
        <v>0.144448163039263</v>
      </c>
      <c r="U125" s="161">
        <v>0.12872824154245099</v>
      </c>
      <c r="V125" s="161">
        <v>0.52877247308544495</v>
      </c>
      <c r="W125" s="161"/>
      <c r="X125" s="58"/>
      <c r="Y125" s="160"/>
      <c r="Z125" s="160"/>
      <c r="AA125" s="160"/>
      <c r="AB125" s="160"/>
      <c r="AC125" s="160"/>
      <c r="AD125" s="162"/>
      <c r="AE125" s="161"/>
    </row>
    <row r="126" spans="1:31" ht="21.2" customHeight="1">
      <c r="A126" s="8" t="s">
        <v>306</v>
      </c>
      <c r="B126" s="158" t="s">
        <v>871</v>
      </c>
      <c r="C126" s="159">
        <v>30</v>
      </c>
      <c r="D126" s="158" t="s">
        <v>846</v>
      </c>
      <c r="E126" s="58">
        <v>80.574642857142905</v>
      </c>
      <c r="F126" s="160">
        <v>18.287370724741699</v>
      </c>
      <c r="G126" s="161">
        <v>0.26158136772622698</v>
      </c>
      <c r="H126" s="161">
        <v>0.44377675864414801</v>
      </c>
      <c r="I126" s="161">
        <v>0.70535812637037398</v>
      </c>
      <c r="J126" s="161">
        <v>2.15555103700915</v>
      </c>
      <c r="K126" s="161">
        <v>5.9712748480644097E-2</v>
      </c>
      <c r="L126" s="161">
        <v>0.13100633748939999</v>
      </c>
      <c r="M126" s="161">
        <v>2.9093696709346699E-4</v>
      </c>
      <c r="N126" s="161">
        <v>2.1200457621151601E-4</v>
      </c>
      <c r="O126" s="161">
        <v>0.49494942351501098</v>
      </c>
      <c r="P126" s="161">
        <v>1.9480778640749901</v>
      </c>
      <c r="Q126" s="161">
        <v>6.8196170516653498E-2</v>
      </c>
      <c r="R126" s="161">
        <v>0.65907264657645404</v>
      </c>
      <c r="S126" s="161">
        <v>4.4572976590442903E-2</v>
      </c>
      <c r="T126" s="161">
        <v>8.3913516024820503</v>
      </c>
      <c r="U126" s="161">
        <v>6.7188948916193301</v>
      </c>
      <c r="V126" s="161">
        <v>0.555341807677181</v>
      </c>
      <c r="W126" s="161"/>
      <c r="X126" s="58"/>
      <c r="Y126" s="160"/>
      <c r="Z126" s="160"/>
      <c r="AA126" s="160"/>
      <c r="AB126" s="160"/>
      <c r="AC126" s="160"/>
      <c r="AD126" s="162"/>
      <c r="AE126" s="161"/>
    </row>
    <row r="127" spans="1:31" ht="21.2" customHeight="1">
      <c r="A127" s="8" t="s">
        <v>247</v>
      </c>
      <c r="B127" s="158" t="s">
        <v>889</v>
      </c>
      <c r="C127" s="159">
        <v>35</v>
      </c>
      <c r="D127" s="158" t="s">
        <v>864</v>
      </c>
      <c r="E127" s="58">
        <v>79.967500000000001</v>
      </c>
      <c r="F127" s="160">
        <v>16.6222934178735</v>
      </c>
      <c r="G127" s="161">
        <v>0.29334066016087401</v>
      </c>
      <c r="H127" s="161">
        <v>0.40887885604916502</v>
      </c>
      <c r="I127" s="161">
        <v>0.70221951621003897</v>
      </c>
      <c r="J127" s="161">
        <v>2.3252958885029802</v>
      </c>
      <c r="K127" s="161">
        <v>0.102249970834149</v>
      </c>
      <c r="L127" s="161">
        <v>0.31666640392770201</v>
      </c>
      <c r="M127" s="161">
        <v>1.9094102189598899E-5</v>
      </c>
      <c r="N127" s="161">
        <v>3.06592188151678E-5</v>
      </c>
      <c r="O127" s="161">
        <v>0.27783819636446799</v>
      </c>
      <c r="P127" s="161">
        <v>1.1780556837473299</v>
      </c>
      <c r="Q127" s="161">
        <v>-2.0257434261374298E-2</v>
      </c>
      <c r="R127" s="161">
        <v>0.52418713376775095</v>
      </c>
      <c r="S127" s="161">
        <v>3.8819488473045102E-2</v>
      </c>
      <c r="T127" s="161">
        <v>1.9623368002135402E-2</v>
      </c>
      <c r="U127" s="161">
        <v>9.8636327037062294E-2</v>
      </c>
      <c r="V127" s="161">
        <v>0.165934539198931</v>
      </c>
      <c r="W127" s="161"/>
      <c r="X127" s="58"/>
      <c r="Y127" s="160"/>
      <c r="Z127" s="160"/>
      <c r="AA127" s="160"/>
      <c r="AB127" s="160"/>
      <c r="AC127" s="160"/>
      <c r="AD127" s="162"/>
      <c r="AE127" s="161"/>
    </row>
    <row r="128" spans="1:31" ht="21.2" customHeight="1">
      <c r="A128" s="8" t="s">
        <v>151</v>
      </c>
      <c r="B128" s="158" t="s">
        <v>877</v>
      </c>
      <c r="C128" s="159">
        <v>28</v>
      </c>
      <c r="D128" s="158" t="s">
        <v>849</v>
      </c>
      <c r="E128" s="58">
        <v>80.52</v>
      </c>
      <c r="F128" s="160">
        <v>24.028812280166299</v>
      </c>
      <c r="G128" s="161">
        <v>0.15721316829138299</v>
      </c>
      <c r="H128" s="161">
        <v>0.54410759719963997</v>
      </c>
      <c r="I128" s="161">
        <v>0.70132076549102296</v>
      </c>
      <c r="J128" s="161">
        <v>2.21448400789152</v>
      </c>
      <c r="K128" s="161">
        <v>4.5580295964296497E-2</v>
      </c>
      <c r="L128" s="161">
        <v>0.28984075251193298</v>
      </c>
      <c r="M128" s="161">
        <v>1.2110900128397E-4</v>
      </c>
      <c r="N128" s="161">
        <v>5.5153461482835599E-4</v>
      </c>
      <c r="O128" s="161">
        <v>1.4412193828628299</v>
      </c>
      <c r="P128" s="161">
        <v>1.3414839065978801</v>
      </c>
      <c r="Q128" s="161">
        <v>3.0720446107506301E-2</v>
      </c>
      <c r="R128" s="161">
        <v>0.59600575715387805</v>
      </c>
      <c r="S128" s="161">
        <v>2.45257804745459E-2</v>
      </c>
      <c r="T128" s="161">
        <v>0</v>
      </c>
      <c r="U128" s="161">
        <v>0</v>
      </c>
      <c r="V128" s="161">
        <v>0</v>
      </c>
      <c r="W128" s="161"/>
      <c r="X128" s="58"/>
      <c r="Y128" s="160"/>
      <c r="Z128" s="160"/>
      <c r="AA128" s="160"/>
      <c r="AB128" s="160"/>
      <c r="AC128" s="160"/>
      <c r="AD128" s="162"/>
      <c r="AE128" s="161"/>
    </row>
    <row r="129" spans="1:31" ht="21.2" customHeight="1">
      <c r="A129" s="8" t="s">
        <v>331</v>
      </c>
      <c r="B129" s="158" t="s">
        <v>881</v>
      </c>
      <c r="C129" s="159">
        <v>21</v>
      </c>
      <c r="D129" s="158" t="s">
        <v>847</v>
      </c>
      <c r="E129" s="58">
        <v>73.375</v>
      </c>
      <c r="F129" s="160">
        <v>17.1941798142972</v>
      </c>
      <c r="G129" s="161">
        <v>0.29521109621011199</v>
      </c>
      <c r="H129" s="161">
        <v>0.40408396078286601</v>
      </c>
      <c r="I129" s="161">
        <v>0.699295056992978</v>
      </c>
      <c r="J129" s="161">
        <v>2.0759106352748402</v>
      </c>
      <c r="K129" s="161">
        <v>4.8344241621384898E-2</v>
      </c>
      <c r="L129" s="161">
        <v>0.18786901914556101</v>
      </c>
      <c r="M129" s="161">
        <v>1.95103350773921E-5</v>
      </c>
      <c r="N129" s="161">
        <v>3.9057831536793898E-5</v>
      </c>
      <c r="O129" s="161">
        <v>0.56069179560862603</v>
      </c>
      <c r="P129" s="161">
        <v>0.52715573386924897</v>
      </c>
      <c r="Q129" s="161">
        <v>-8.2702530888470599E-2</v>
      </c>
      <c r="R129" s="161">
        <v>0.33222698808762702</v>
      </c>
      <c r="S129" s="161">
        <v>3.4593294407348901E-2</v>
      </c>
      <c r="T129" s="161">
        <v>0.35727968035665703</v>
      </c>
      <c r="U129" s="161">
        <v>0.59369002986082098</v>
      </c>
      <c r="V129" s="161">
        <v>0.37570037880065699</v>
      </c>
      <c r="W129" s="161"/>
      <c r="X129" s="58"/>
      <c r="Y129" s="160"/>
      <c r="Z129" s="160"/>
      <c r="AA129" s="160"/>
      <c r="AB129" s="160"/>
      <c r="AC129" s="160"/>
      <c r="AD129" s="162"/>
      <c r="AE129" s="161"/>
    </row>
    <row r="130" spans="1:31" ht="21.2" customHeight="1">
      <c r="A130" s="8" t="s">
        <v>271</v>
      </c>
      <c r="B130" s="158" t="s">
        <v>887</v>
      </c>
      <c r="C130" s="159">
        <v>20</v>
      </c>
      <c r="D130" s="158" t="s">
        <v>860</v>
      </c>
      <c r="E130" s="58">
        <v>81.2</v>
      </c>
      <c r="F130" s="160">
        <v>17.5049250837484</v>
      </c>
      <c r="G130" s="161">
        <v>0.28903865613993301</v>
      </c>
      <c r="H130" s="161">
        <v>0.40984769411037397</v>
      </c>
      <c r="I130" s="161">
        <v>0.69888635025030699</v>
      </c>
      <c r="J130" s="161">
        <v>2.2764988175954999</v>
      </c>
      <c r="K130" s="161">
        <v>0.107024446372162</v>
      </c>
      <c r="L130" s="161">
        <v>0.23065412750886999</v>
      </c>
      <c r="M130" s="161">
        <v>3.0938684454544002E-4</v>
      </c>
      <c r="N130" s="161">
        <v>6.3864685887285596E-4</v>
      </c>
      <c r="O130" s="161">
        <v>0.50794862455815004</v>
      </c>
      <c r="P130" s="161">
        <v>0.79495532432618499</v>
      </c>
      <c r="Q130" s="161">
        <v>-0.115921882034818</v>
      </c>
      <c r="R130" s="161">
        <v>0.55711477054747405</v>
      </c>
      <c r="S130" s="161">
        <v>2.7708120112599498E-2</v>
      </c>
      <c r="T130" s="161">
        <v>3.97933361214307</v>
      </c>
      <c r="U130" s="161">
        <v>6.1654421860921502</v>
      </c>
      <c r="V130" s="161">
        <v>0.392254465873491</v>
      </c>
      <c r="W130" s="161"/>
      <c r="X130" s="58"/>
      <c r="Y130" s="160"/>
      <c r="Z130" s="160"/>
      <c r="AA130" s="160"/>
      <c r="AB130" s="160"/>
      <c r="AC130" s="160"/>
      <c r="AD130" s="162"/>
      <c r="AE130" s="161"/>
    </row>
    <row r="131" spans="1:31" ht="21.2" customHeight="1">
      <c r="A131" s="8" t="s">
        <v>177</v>
      </c>
      <c r="B131" s="158" t="s">
        <v>886</v>
      </c>
      <c r="C131" s="159">
        <v>28</v>
      </c>
      <c r="D131" s="158" t="s">
        <v>849</v>
      </c>
      <c r="E131" s="58">
        <v>76.248214285714297</v>
      </c>
      <c r="F131" s="160">
        <v>21.820197713934299</v>
      </c>
      <c r="G131" s="161">
        <v>0.15331030937025</v>
      </c>
      <c r="H131" s="161">
        <v>0.544631370844052</v>
      </c>
      <c r="I131" s="161">
        <v>0.69794168021430203</v>
      </c>
      <c r="J131" s="161">
        <v>2.52293244138311</v>
      </c>
      <c r="K131" s="161">
        <v>2.25351485826077E-2</v>
      </c>
      <c r="L131" s="161">
        <v>0.20073040602991499</v>
      </c>
      <c r="M131" s="161">
        <v>3.3376435246562099E-5</v>
      </c>
      <c r="N131" s="161">
        <v>1.3797697139370001E-4</v>
      </c>
      <c r="O131" s="161">
        <v>1.3684647015496501</v>
      </c>
      <c r="P131" s="161">
        <v>0.50260663423682705</v>
      </c>
      <c r="Q131" s="161">
        <v>9.1207103649031299E-2</v>
      </c>
      <c r="R131" s="161">
        <v>0.34788301702758201</v>
      </c>
      <c r="S131" s="161">
        <v>2.5055087585776001E-2</v>
      </c>
      <c r="T131" s="161">
        <v>0</v>
      </c>
      <c r="U131" s="161">
        <v>0</v>
      </c>
      <c r="V131" s="161">
        <v>0</v>
      </c>
      <c r="W131" s="161"/>
      <c r="X131" s="58"/>
      <c r="Y131" s="160"/>
      <c r="Z131" s="160"/>
      <c r="AA131" s="160"/>
      <c r="AB131" s="160"/>
      <c r="AC131" s="160"/>
      <c r="AD131" s="162"/>
      <c r="AE131" s="161"/>
    </row>
    <row r="132" spans="1:31" ht="21.2" customHeight="1">
      <c r="A132" s="8" t="s">
        <v>300</v>
      </c>
      <c r="B132" s="158" t="s">
        <v>872</v>
      </c>
      <c r="C132" s="159">
        <v>24</v>
      </c>
      <c r="D132" s="158" t="s">
        <v>860</v>
      </c>
      <c r="E132" s="58">
        <v>78.400000000000006</v>
      </c>
      <c r="F132" s="160">
        <v>16.520296143100602</v>
      </c>
      <c r="G132" s="161">
        <v>0.208528371859071</v>
      </c>
      <c r="H132" s="161">
        <v>0.48220932319599902</v>
      </c>
      <c r="I132" s="161">
        <v>0.69073769505506999</v>
      </c>
      <c r="J132" s="161">
        <v>1.77614479008784</v>
      </c>
      <c r="K132" s="161">
        <v>5.34303638585562E-2</v>
      </c>
      <c r="L132" s="161">
        <v>0.18291070497713699</v>
      </c>
      <c r="M132" s="161">
        <v>3.0924633977555001E-3</v>
      </c>
      <c r="N132" s="161">
        <v>4.25912909505426E-3</v>
      </c>
      <c r="O132" s="161">
        <v>0.248253172923768</v>
      </c>
      <c r="P132" s="161">
        <v>0.47593117465657803</v>
      </c>
      <c r="Q132" s="161">
        <v>-2.9011941930802899E-2</v>
      </c>
      <c r="R132" s="161">
        <v>0.21342571665408999</v>
      </c>
      <c r="S132" s="161">
        <v>2.6695605420404899E-2</v>
      </c>
      <c r="T132" s="161">
        <v>4.5060696086748298</v>
      </c>
      <c r="U132" s="161">
        <v>5.2567892578483404</v>
      </c>
      <c r="V132" s="161">
        <v>0.46155226356145901</v>
      </c>
      <c r="W132" s="161"/>
      <c r="X132" s="58"/>
      <c r="Y132" s="160"/>
      <c r="Z132" s="160"/>
      <c r="AA132" s="160"/>
      <c r="AB132" s="160"/>
      <c r="AC132" s="160"/>
      <c r="AD132" s="162"/>
      <c r="AE132" s="161"/>
    </row>
    <row r="133" spans="1:31" ht="21.2" customHeight="1">
      <c r="A133" s="8" t="s">
        <v>295</v>
      </c>
      <c r="B133" s="158" t="s">
        <v>869</v>
      </c>
      <c r="C133" s="159">
        <v>32</v>
      </c>
      <c r="D133" s="158" t="s">
        <v>865</v>
      </c>
      <c r="E133" s="58">
        <v>76.3060714285714</v>
      </c>
      <c r="F133" s="160">
        <v>15.8014523746662</v>
      </c>
      <c r="G133" s="161">
        <v>0.300112112418296</v>
      </c>
      <c r="H133" s="161">
        <v>0.39046144242103997</v>
      </c>
      <c r="I133" s="161">
        <v>0.69057355483933702</v>
      </c>
      <c r="J133" s="161">
        <v>2.0674763211962701</v>
      </c>
      <c r="K133" s="161">
        <v>6.6728625076849096E-2</v>
      </c>
      <c r="L133" s="161">
        <v>0.14704949347267299</v>
      </c>
      <c r="M133" s="161">
        <v>9.7074888586946197E-5</v>
      </c>
      <c r="N133" s="161">
        <v>1.66833632719821E-4</v>
      </c>
      <c r="O133" s="161">
        <v>0.37433933935001201</v>
      </c>
      <c r="P133" s="161">
        <v>0.41649168514793999</v>
      </c>
      <c r="Q133" s="161">
        <v>6.8244057406530598E-2</v>
      </c>
      <c r="R133" s="161">
        <v>0.32670965841289501</v>
      </c>
      <c r="S133" s="161">
        <v>4.8015810475818897E-2</v>
      </c>
      <c r="T133" s="161">
        <v>1.80610594408565</v>
      </c>
      <c r="U133" s="161">
        <v>1.5688244944710701</v>
      </c>
      <c r="V133" s="161">
        <v>0.53515353189265202</v>
      </c>
      <c r="W133" s="161"/>
      <c r="X133" s="58"/>
      <c r="Y133" s="160"/>
      <c r="Z133" s="160"/>
      <c r="AA133" s="160"/>
      <c r="AB133" s="160"/>
      <c r="AC133" s="160"/>
      <c r="AD133" s="162"/>
      <c r="AE133" s="161"/>
    </row>
    <row r="134" spans="1:31" ht="21.2" customHeight="1">
      <c r="A134" s="8" t="s">
        <v>254</v>
      </c>
      <c r="B134" s="158" t="s">
        <v>868</v>
      </c>
      <c r="C134" s="159">
        <v>21</v>
      </c>
      <c r="D134" s="158" t="s">
        <v>865</v>
      </c>
      <c r="E134" s="58">
        <v>81.510000000000005</v>
      </c>
      <c r="F134" s="160">
        <v>17.3815855810243</v>
      </c>
      <c r="G134" s="161">
        <v>0.30522293123462602</v>
      </c>
      <c r="H134" s="161">
        <v>0.37954078640404798</v>
      </c>
      <c r="I134" s="161">
        <v>0.68476371763867305</v>
      </c>
      <c r="J134" s="161">
        <v>2.0459950163873</v>
      </c>
      <c r="K134" s="161">
        <v>3.3716230609833399E-2</v>
      </c>
      <c r="L134" s="161">
        <v>0.11562630437183601</v>
      </c>
      <c r="M134" s="161">
        <v>1.71937896868198E-2</v>
      </c>
      <c r="N134" s="161">
        <v>3.0380624135651801E-2</v>
      </c>
      <c r="O134" s="161">
        <v>0.68120017366585905</v>
      </c>
      <c r="P134" s="161">
        <v>0.49086062065956099</v>
      </c>
      <c r="Q134" s="161">
        <v>1.0177146930402401E-3</v>
      </c>
      <c r="R134" s="161">
        <v>0.289933684741846</v>
      </c>
      <c r="S134" s="161">
        <v>4.4861050186601199E-2</v>
      </c>
      <c r="T134" s="161">
        <v>1.19386551304417</v>
      </c>
      <c r="U134" s="161">
        <v>1.84764997688424</v>
      </c>
      <c r="V134" s="161">
        <v>0.39252323948291601</v>
      </c>
      <c r="W134" s="161"/>
      <c r="X134" s="58"/>
      <c r="Y134" s="160"/>
      <c r="Z134" s="160"/>
      <c r="AA134" s="160"/>
      <c r="AB134" s="160"/>
      <c r="AC134" s="160"/>
      <c r="AD134" s="162"/>
      <c r="AE134" s="161"/>
    </row>
    <row r="135" spans="1:31" ht="21.2" customHeight="1">
      <c r="A135" s="8" t="s">
        <v>192</v>
      </c>
      <c r="B135" s="158" t="s">
        <v>892</v>
      </c>
      <c r="C135" s="159">
        <v>26</v>
      </c>
      <c r="D135" s="158" t="s">
        <v>849</v>
      </c>
      <c r="E135" s="58">
        <v>78.711428571428598</v>
      </c>
      <c r="F135" s="160">
        <v>23.553831382584299</v>
      </c>
      <c r="G135" s="161">
        <v>0.14410020763843001</v>
      </c>
      <c r="H135" s="161">
        <v>0.53550927588095398</v>
      </c>
      <c r="I135" s="161">
        <v>0.67960948351938399</v>
      </c>
      <c r="J135" s="161">
        <v>1.89395603850502</v>
      </c>
      <c r="K135" s="161">
        <v>1.97753390907323E-2</v>
      </c>
      <c r="L135" s="161">
        <v>0.19859308398890599</v>
      </c>
      <c r="M135" s="161">
        <v>3.0600646050954402E-4</v>
      </c>
      <c r="N135" s="161">
        <v>1.4012376049874901E-3</v>
      </c>
      <c r="O135" s="161">
        <v>1.1333995102266901</v>
      </c>
      <c r="P135" s="161">
        <v>1.3206290209012701</v>
      </c>
      <c r="Q135" s="161">
        <v>2.7163966800425699E-2</v>
      </c>
      <c r="R135" s="161">
        <v>0.73955986736000001</v>
      </c>
      <c r="S135" s="161">
        <v>2.0254865851545401E-2</v>
      </c>
      <c r="T135" s="161">
        <v>0</v>
      </c>
      <c r="U135" s="161">
        <v>0</v>
      </c>
      <c r="V135" s="161">
        <v>0</v>
      </c>
      <c r="W135" s="161"/>
      <c r="X135" s="58"/>
      <c r="Y135" s="160"/>
      <c r="Z135" s="160"/>
      <c r="AA135" s="160"/>
      <c r="AB135" s="160"/>
      <c r="AC135" s="160"/>
      <c r="AD135" s="162"/>
      <c r="AE135" s="161"/>
    </row>
    <row r="136" spans="1:31" ht="21.2" customHeight="1">
      <c r="A136" s="8" t="s">
        <v>276</v>
      </c>
      <c r="B136" s="158" t="s">
        <v>873</v>
      </c>
      <c r="C136" s="159">
        <v>26</v>
      </c>
      <c r="D136" s="158" t="s">
        <v>848</v>
      </c>
      <c r="E136" s="58">
        <v>79.097499999999997</v>
      </c>
      <c r="F136" s="160">
        <v>16.81009904035</v>
      </c>
      <c r="G136" s="161">
        <v>0.26588494172906701</v>
      </c>
      <c r="H136" s="161">
        <v>0.40677411577546602</v>
      </c>
      <c r="I136" s="161">
        <v>0.67265905750453303</v>
      </c>
      <c r="J136" s="161">
        <v>2.3131312759422098</v>
      </c>
      <c r="K136" s="161">
        <v>9.5132368449500501E-2</v>
      </c>
      <c r="L136" s="161">
        <v>0.19496517824253501</v>
      </c>
      <c r="M136" s="161">
        <v>5.3918110356274603E-5</v>
      </c>
      <c r="N136" s="161">
        <v>1.04112560779037E-4</v>
      </c>
      <c r="O136" s="161">
        <v>0.39413912097488701</v>
      </c>
      <c r="P136" s="161">
        <v>0.62279806646848201</v>
      </c>
      <c r="Q136" s="161">
        <v>-1.90310086735518E-2</v>
      </c>
      <c r="R136" s="161">
        <v>0.30427943376052402</v>
      </c>
      <c r="S136" s="161">
        <v>3.7638579013318997E-2</v>
      </c>
      <c r="T136" s="161">
        <v>0.293181982078139</v>
      </c>
      <c r="U136" s="161">
        <v>0.39477676979085202</v>
      </c>
      <c r="V136" s="161">
        <v>0.42616215184652501</v>
      </c>
      <c r="W136" s="161"/>
      <c r="X136" s="58"/>
      <c r="Y136" s="160"/>
      <c r="Z136" s="160"/>
      <c r="AA136" s="160"/>
      <c r="AB136" s="160"/>
      <c r="AC136" s="160"/>
      <c r="AD136" s="162"/>
      <c r="AE136" s="161"/>
    </row>
    <row r="137" spans="1:31" ht="21.2" customHeight="1">
      <c r="A137" s="8" t="s">
        <v>260</v>
      </c>
      <c r="B137" s="158" t="s">
        <v>874</v>
      </c>
      <c r="C137" s="159">
        <v>30</v>
      </c>
      <c r="D137" s="158" t="s">
        <v>864</v>
      </c>
      <c r="E137" s="58">
        <v>79.794285714285706</v>
      </c>
      <c r="F137" s="160">
        <v>18.099242398247</v>
      </c>
      <c r="G137" s="161">
        <v>0.29867387864802197</v>
      </c>
      <c r="H137" s="161">
        <v>0.37123498817654799</v>
      </c>
      <c r="I137" s="161">
        <v>0.66990886682456996</v>
      </c>
      <c r="J137" s="161">
        <v>2.7233567299755399</v>
      </c>
      <c r="K137" s="161">
        <v>8.4520383446602204E-2</v>
      </c>
      <c r="L137" s="161">
        <v>0.17604752916771499</v>
      </c>
      <c r="M137" s="161">
        <v>4.4719911769802403E-5</v>
      </c>
      <c r="N137" s="161">
        <v>8.0583939648117803E-5</v>
      </c>
      <c r="O137" s="161">
        <v>0.59917327086044003</v>
      </c>
      <c r="P137" s="161">
        <v>1.53260471698465</v>
      </c>
      <c r="Q137" s="161">
        <v>4.8710766276903503E-2</v>
      </c>
      <c r="R137" s="161">
        <v>0.23519005374004101</v>
      </c>
      <c r="S137" s="161">
        <v>4.7943137998306802E-2</v>
      </c>
      <c r="T137" s="161">
        <v>0.16535896379270701</v>
      </c>
      <c r="U137" s="161">
        <v>0.20692519951138699</v>
      </c>
      <c r="V137" s="161">
        <v>0.44417404792380799</v>
      </c>
      <c r="W137" s="161"/>
      <c r="X137" s="58"/>
      <c r="Y137" s="160"/>
      <c r="Z137" s="160"/>
      <c r="AA137" s="160"/>
      <c r="AB137" s="160"/>
      <c r="AC137" s="160"/>
      <c r="AD137" s="162"/>
      <c r="AE137" s="161"/>
    </row>
    <row r="138" spans="1:31" ht="21.2" customHeight="1">
      <c r="A138" s="8" t="s">
        <v>343</v>
      </c>
      <c r="B138" s="158" t="s">
        <v>876</v>
      </c>
      <c r="C138" s="159">
        <v>27</v>
      </c>
      <c r="D138" s="158" t="s">
        <v>847</v>
      </c>
      <c r="E138" s="58">
        <v>70.2</v>
      </c>
      <c r="F138" s="160">
        <v>15.6422800341442</v>
      </c>
      <c r="G138" s="161">
        <v>0.38704930946705901</v>
      </c>
      <c r="H138" s="161">
        <v>0.28269121602473501</v>
      </c>
      <c r="I138" s="161">
        <v>0.66974052549179397</v>
      </c>
      <c r="J138" s="161">
        <v>2.4932528135605398</v>
      </c>
      <c r="K138" s="161">
        <v>0.11886192484789899</v>
      </c>
      <c r="L138" s="161">
        <v>0.19115434048537699</v>
      </c>
      <c r="M138" s="161">
        <v>0</v>
      </c>
      <c r="N138" s="161">
        <v>0</v>
      </c>
      <c r="O138" s="161">
        <v>0.32903041864586502</v>
      </c>
      <c r="P138" s="161">
        <v>0.76567810679797899</v>
      </c>
      <c r="Q138" s="161">
        <v>-3.5608012046557898E-2</v>
      </c>
      <c r="R138" s="161">
        <v>0.32669551388837997</v>
      </c>
      <c r="S138" s="161">
        <v>4.4538821329063998E-2</v>
      </c>
      <c r="T138" s="161">
        <v>8.9520682787269296E-2</v>
      </c>
      <c r="U138" s="161">
        <v>0.15813296806897001</v>
      </c>
      <c r="V138" s="161">
        <v>0.36147532038296198</v>
      </c>
      <c r="W138" s="161"/>
      <c r="X138" s="58"/>
      <c r="Y138" s="160"/>
      <c r="Z138" s="160"/>
      <c r="AA138" s="160"/>
      <c r="AB138" s="160"/>
      <c r="AC138" s="160"/>
      <c r="AD138" s="162"/>
      <c r="AE138" s="161"/>
    </row>
    <row r="139" spans="1:31" ht="21.2" customHeight="1">
      <c r="A139" s="8" t="s">
        <v>184</v>
      </c>
      <c r="B139" s="158" t="s">
        <v>866</v>
      </c>
      <c r="C139" s="159">
        <v>29</v>
      </c>
      <c r="D139" s="158" t="s">
        <v>849</v>
      </c>
      <c r="E139" s="58">
        <v>78.866071428571402</v>
      </c>
      <c r="F139" s="160">
        <v>21.730165249765498</v>
      </c>
      <c r="G139" s="161">
        <v>8.8701207310970906E-2</v>
      </c>
      <c r="H139" s="161">
        <v>0.576017281929599</v>
      </c>
      <c r="I139" s="161">
        <v>0.66471848924056998</v>
      </c>
      <c r="J139" s="161">
        <v>1.97105017333546</v>
      </c>
      <c r="K139" s="161">
        <v>1.6628492148580001E-2</v>
      </c>
      <c r="L139" s="161">
        <v>0.20925315387848001</v>
      </c>
      <c r="M139" s="161">
        <v>2.1731046201893699E-4</v>
      </c>
      <c r="N139" s="161">
        <v>1.2065332530460699E-2</v>
      </c>
      <c r="O139" s="161">
        <v>1.2381586023840701</v>
      </c>
      <c r="P139" s="161">
        <v>1.15457198844207</v>
      </c>
      <c r="Q139" s="161">
        <v>6.1261826043513802E-2</v>
      </c>
      <c r="R139" s="161">
        <v>0.379336855598638</v>
      </c>
      <c r="S139" s="161">
        <v>1.42498253780839E-2</v>
      </c>
      <c r="T139" s="161">
        <v>0</v>
      </c>
      <c r="U139" s="161">
        <v>0</v>
      </c>
      <c r="V139" s="161">
        <v>0</v>
      </c>
      <c r="W139" s="161"/>
      <c r="X139" s="58"/>
      <c r="Y139" s="160"/>
      <c r="Z139" s="160"/>
      <c r="AA139" s="160"/>
      <c r="AB139" s="160"/>
      <c r="AC139" s="160"/>
      <c r="AD139" s="162"/>
      <c r="AE139" s="161"/>
    </row>
    <row r="140" spans="1:31" ht="21.2" customHeight="1">
      <c r="A140" s="8" t="s">
        <v>387</v>
      </c>
      <c r="B140" s="158" t="s">
        <v>893</v>
      </c>
      <c r="C140" s="159">
        <v>27</v>
      </c>
      <c r="D140" s="158" t="s">
        <v>848</v>
      </c>
      <c r="E140" s="58">
        <v>66.7</v>
      </c>
      <c r="F140" s="160">
        <v>15.500003491192</v>
      </c>
      <c r="G140" s="161">
        <v>0.28865677717801602</v>
      </c>
      <c r="H140" s="161">
        <v>0.37530181365131299</v>
      </c>
      <c r="I140" s="161">
        <v>0.66395859082932895</v>
      </c>
      <c r="J140" s="161">
        <v>2.1964564754733402</v>
      </c>
      <c r="K140" s="161">
        <v>5.1038730915023901E-2</v>
      </c>
      <c r="L140" s="161">
        <v>0.11909833629773001</v>
      </c>
      <c r="M140" s="161">
        <v>1.3969929900982099E-4</v>
      </c>
      <c r="N140" s="161">
        <v>5.1531966517112703E-4</v>
      </c>
      <c r="O140" s="161">
        <v>0.339964616429554</v>
      </c>
      <c r="P140" s="161">
        <v>0.78420976921696195</v>
      </c>
      <c r="Q140" s="161">
        <v>1.64454573133157E-2</v>
      </c>
      <c r="R140" s="161">
        <v>0.31020682635869301</v>
      </c>
      <c r="S140" s="161">
        <v>3.5838399939953303E-2</v>
      </c>
      <c r="T140" s="161">
        <v>5.4781934403544796E-3</v>
      </c>
      <c r="U140" s="161">
        <v>1.37359571460748E-2</v>
      </c>
      <c r="V140" s="161">
        <v>0.28511244437855399</v>
      </c>
      <c r="W140" s="161"/>
      <c r="X140" s="58"/>
      <c r="Y140" s="160"/>
      <c r="Z140" s="160"/>
      <c r="AA140" s="160"/>
      <c r="AB140" s="160"/>
      <c r="AC140" s="160"/>
      <c r="AD140" s="162"/>
      <c r="AE140" s="161"/>
    </row>
    <row r="141" spans="1:31" ht="21.2" customHeight="1">
      <c r="A141" s="8" t="s">
        <v>264</v>
      </c>
      <c r="B141" s="158" t="s">
        <v>883</v>
      </c>
      <c r="C141" s="159">
        <v>30</v>
      </c>
      <c r="D141" s="158" t="s">
        <v>864</v>
      </c>
      <c r="E141" s="58">
        <v>78.063928571428605</v>
      </c>
      <c r="F141" s="160">
        <v>16.4601035480486</v>
      </c>
      <c r="G141" s="161">
        <v>0.27543488842511599</v>
      </c>
      <c r="H141" s="161">
        <v>0.388499678000154</v>
      </c>
      <c r="I141" s="161">
        <v>0.66393456642527005</v>
      </c>
      <c r="J141" s="161">
        <v>2.7638275982889802</v>
      </c>
      <c r="K141" s="161">
        <v>8.1910022203562097E-2</v>
      </c>
      <c r="L141" s="161">
        <v>0.195911408746233</v>
      </c>
      <c r="M141" s="161">
        <v>1.4297055257021501E-3</v>
      </c>
      <c r="N141" s="161">
        <v>1.6205338131825499E-3</v>
      </c>
      <c r="O141" s="161">
        <v>0.58057304461024495</v>
      </c>
      <c r="P141" s="161">
        <v>0.38342940570093698</v>
      </c>
      <c r="Q141" s="161">
        <v>1.23284216837451E-2</v>
      </c>
      <c r="R141" s="161">
        <v>0.34413474089130103</v>
      </c>
      <c r="S141" s="161">
        <v>4.0781180359136297E-2</v>
      </c>
      <c r="T141" s="161">
        <v>0.27985569260388399</v>
      </c>
      <c r="U141" s="161">
        <v>0.47076122518622598</v>
      </c>
      <c r="V141" s="161">
        <v>0.37283424603299198</v>
      </c>
      <c r="W141" s="161"/>
      <c r="X141" s="58"/>
      <c r="Y141" s="160"/>
      <c r="Z141" s="160"/>
      <c r="AA141" s="160"/>
      <c r="AB141" s="160"/>
      <c r="AC141" s="160"/>
      <c r="AD141" s="162"/>
      <c r="AE141" s="161"/>
    </row>
    <row r="142" spans="1:31" ht="21.2" customHeight="1">
      <c r="A142" s="8" t="s">
        <v>180</v>
      </c>
      <c r="B142" s="158" t="s">
        <v>875</v>
      </c>
      <c r="C142" s="159">
        <v>26</v>
      </c>
      <c r="D142" s="158" t="s">
        <v>849</v>
      </c>
      <c r="E142" s="58">
        <v>72.38</v>
      </c>
      <c r="F142" s="160">
        <v>23.705320885905302</v>
      </c>
      <c r="G142" s="161">
        <v>0.16671110950215101</v>
      </c>
      <c r="H142" s="161">
        <v>0.49634335493537401</v>
      </c>
      <c r="I142" s="161">
        <v>0.66305446443752603</v>
      </c>
      <c r="J142" s="161">
        <v>2.7633780879451</v>
      </c>
      <c r="K142" s="161">
        <v>3.9485752652767402E-2</v>
      </c>
      <c r="L142" s="161">
        <v>0.204379133607687</v>
      </c>
      <c r="M142" s="161">
        <v>4.4991714245702701E-4</v>
      </c>
      <c r="N142" s="161">
        <v>5.6238705989250697E-3</v>
      </c>
      <c r="O142" s="161">
        <v>1.4218822602610901</v>
      </c>
      <c r="P142" s="161">
        <v>0.72735051836181597</v>
      </c>
      <c r="Q142" s="161">
        <v>-6.9513474254688901E-2</v>
      </c>
      <c r="R142" s="161">
        <v>0.33945150654177098</v>
      </c>
      <c r="S142" s="161">
        <v>1.7864243220363799E-2</v>
      </c>
      <c r="T142" s="161">
        <v>0</v>
      </c>
      <c r="U142" s="161">
        <v>0</v>
      </c>
      <c r="V142" s="161">
        <v>0</v>
      </c>
      <c r="W142" s="161"/>
      <c r="X142" s="58"/>
      <c r="Y142" s="160"/>
      <c r="Z142" s="160"/>
      <c r="AA142" s="160"/>
      <c r="AB142" s="160"/>
      <c r="AC142" s="160"/>
      <c r="AD142" s="162"/>
      <c r="AE142" s="161"/>
    </row>
    <row r="143" spans="1:31" ht="21.2" customHeight="1">
      <c r="A143" s="8" t="s">
        <v>126</v>
      </c>
      <c r="B143" s="158" t="s">
        <v>859</v>
      </c>
      <c r="C143" s="159">
        <v>23</v>
      </c>
      <c r="D143" s="158" t="s">
        <v>849</v>
      </c>
      <c r="E143" s="58">
        <v>81.692499999999995</v>
      </c>
      <c r="F143" s="160">
        <v>21.535958311964301</v>
      </c>
      <c r="G143" s="161">
        <v>0.152569707147309</v>
      </c>
      <c r="H143" s="161">
        <v>0.51014788030399005</v>
      </c>
      <c r="I143" s="161">
        <v>0.66271758745129905</v>
      </c>
      <c r="J143" s="161">
        <v>2.6143715429871799</v>
      </c>
      <c r="K143" s="161">
        <v>5.13339205166016E-2</v>
      </c>
      <c r="L143" s="161">
        <v>0.25380942120691602</v>
      </c>
      <c r="M143" s="161">
        <v>1.2638279890042899E-4</v>
      </c>
      <c r="N143" s="161">
        <v>2.7313140834325398E-3</v>
      </c>
      <c r="O143" s="161">
        <v>1.21316830400598</v>
      </c>
      <c r="P143" s="161">
        <v>1.24126219917438</v>
      </c>
      <c r="Q143" s="161">
        <v>9.2684275843793199E-2</v>
      </c>
      <c r="R143" s="161">
        <v>0.40727976815346301</v>
      </c>
      <c r="S143" s="161">
        <v>2.4150146710570902E-2</v>
      </c>
      <c r="T143" s="161">
        <v>0</v>
      </c>
      <c r="U143" s="161">
        <v>0</v>
      </c>
      <c r="V143" s="161">
        <v>0</v>
      </c>
      <c r="W143" s="161"/>
      <c r="X143" s="58"/>
      <c r="Y143" s="160"/>
      <c r="Z143" s="160"/>
      <c r="AA143" s="160"/>
      <c r="AB143" s="160"/>
      <c r="AC143" s="160"/>
      <c r="AD143" s="162"/>
      <c r="AE143" s="161"/>
    </row>
    <row r="144" spans="1:31" ht="21.2" customHeight="1">
      <c r="A144" s="8" t="s">
        <v>259</v>
      </c>
      <c r="B144" s="158" t="s">
        <v>890</v>
      </c>
      <c r="C144" s="159">
        <v>24</v>
      </c>
      <c r="D144" s="158" t="s">
        <v>848</v>
      </c>
      <c r="E144" s="58">
        <v>76.919285714285706</v>
      </c>
      <c r="F144" s="160">
        <v>17.771215631879599</v>
      </c>
      <c r="G144" s="161">
        <v>0.332325357508304</v>
      </c>
      <c r="H144" s="161">
        <v>0.32812052725458501</v>
      </c>
      <c r="I144" s="161">
        <v>0.66044588476288901</v>
      </c>
      <c r="J144" s="161">
        <v>2.9872753268842001</v>
      </c>
      <c r="K144" s="161">
        <v>0.104005593078922</v>
      </c>
      <c r="L144" s="161">
        <v>0.18305868797949801</v>
      </c>
      <c r="M144" s="161">
        <v>9.6597114283665205E-4</v>
      </c>
      <c r="N144" s="161">
        <v>2.0216425728822101E-3</v>
      </c>
      <c r="O144" s="161">
        <v>0.72148715123710105</v>
      </c>
      <c r="P144" s="161">
        <v>1.6168663770215399</v>
      </c>
      <c r="Q144" s="161">
        <v>-7.4809430675148697E-2</v>
      </c>
      <c r="R144" s="161">
        <v>0.26695653428793997</v>
      </c>
      <c r="S144" s="161">
        <v>3.9063397635038397E-2</v>
      </c>
      <c r="T144" s="161">
        <v>0.25842744109842702</v>
      </c>
      <c r="U144" s="161">
        <v>0.20100656119572799</v>
      </c>
      <c r="V144" s="161">
        <v>0.56249089054790302</v>
      </c>
      <c r="W144" s="161"/>
      <c r="X144" s="58"/>
      <c r="Y144" s="160"/>
      <c r="Z144" s="160"/>
      <c r="AA144" s="160"/>
      <c r="AB144" s="160"/>
      <c r="AC144" s="160"/>
      <c r="AD144" s="162"/>
      <c r="AE144" s="161"/>
    </row>
    <row r="145" spans="1:31" ht="21.2" customHeight="1">
      <c r="A145" s="8" t="s">
        <v>360</v>
      </c>
      <c r="B145" s="158" t="s">
        <v>884</v>
      </c>
      <c r="C145" s="159">
        <v>27</v>
      </c>
      <c r="D145" s="158" t="s">
        <v>847</v>
      </c>
      <c r="E145" s="58">
        <v>76.492500000000007</v>
      </c>
      <c r="F145" s="160">
        <v>15.6598361464939</v>
      </c>
      <c r="G145" s="161">
        <v>0.28507187240353299</v>
      </c>
      <c r="H145" s="161">
        <v>0.37228744137878</v>
      </c>
      <c r="I145" s="161">
        <v>0.65735931378231305</v>
      </c>
      <c r="J145" s="161">
        <v>2.1177411651674101</v>
      </c>
      <c r="K145" s="161">
        <v>6.7068712648072806E-2</v>
      </c>
      <c r="L145" s="161">
        <v>0.109944809604788</v>
      </c>
      <c r="M145" s="161">
        <v>1.3404346044209E-5</v>
      </c>
      <c r="N145" s="161">
        <v>2.5054558218248699E-5</v>
      </c>
      <c r="O145" s="161">
        <v>0.251032464626534</v>
      </c>
      <c r="P145" s="161">
        <v>1.03529885153903</v>
      </c>
      <c r="Q145" s="161">
        <v>0.10852191251528701</v>
      </c>
      <c r="R145" s="161">
        <v>0.78418541711122403</v>
      </c>
      <c r="S145" s="161">
        <v>5.1148277151141501E-2</v>
      </c>
      <c r="T145" s="161">
        <v>3.5676304154700203E-2</v>
      </c>
      <c r="U145" s="161">
        <v>4.9036049225407899E-2</v>
      </c>
      <c r="V145" s="161">
        <v>0.42114641762599903</v>
      </c>
      <c r="W145" s="161"/>
      <c r="X145" s="58"/>
      <c r="Y145" s="160"/>
      <c r="Z145" s="160"/>
      <c r="AA145" s="160"/>
      <c r="AB145" s="160"/>
      <c r="AC145" s="160"/>
      <c r="AD145" s="162"/>
      <c r="AE145" s="161"/>
    </row>
    <row r="146" spans="1:31" ht="21.2" customHeight="1">
      <c r="A146" s="8" t="s">
        <v>516</v>
      </c>
      <c r="B146" s="158" t="s">
        <v>882</v>
      </c>
      <c r="C146" s="159">
        <v>34</v>
      </c>
      <c r="D146" s="158" t="s">
        <v>847</v>
      </c>
      <c r="E146" s="58">
        <v>53.6</v>
      </c>
      <c r="F146" s="160">
        <v>14.8661020504058</v>
      </c>
      <c r="G146" s="161">
        <v>0.33700667837138798</v>
      </c>
      <c r="H146" s="161">
        <v>0.31635575737833899</v>
      </c>
      <c r="I146" s="161">
        <v>0.65336243574972697</v>
      </c>
      <c r="J146" s="161">
        <v>2.6522389759659499</v>
      </c>
      <c r="K146" s="161">
        <v>5.7821055399477003E-2</v>
      </c>
      <c r="L146" s="161">
        <v>0.13647346550278999</v>
      </c>
      <c r="M146" s="161">
        <v>0</v>
      </c>
      <c r="N146" s="161">
        <v>0</v>
      </c>
      <c r="O146" s="161">
        <v>0.44695015204885402</v>
      </c>
      <c r="P146" s="161">
        <v>0.86427298153064402</v>
      </c>
      <c r="Q146" s="161">
        <v>-1.44787922540545E-2</v>
      </c>
      <c r="R146" s="161">
        <v>0.37547351239545201</v>
      </c>
      <c r="S146" s="161">
        <v>4.1453805294336801E-2</v>
      </c>
      <c r="T146" s="161">
        <v>0.13106705037310001</v>
      </c>
      <c r="U146" s="161">
        <v>0.28225996033186701</v>
      </c>
      <c r="V146" s="161">
        <v>0.31710255313233199</v>
      </c>
      <c r="W146" s="161"/>
      <c r="X146" s="58"/>
      <c r="Y146" s="160"/>
      <c r="Z146" s="160"/>
      <c r="AA146" s="160"/>
      <c r="AB146" s="160"/>
      <c r="AC146" s="160"/>
      <c r="AD146" s="162"/>
      <c r="AE146" s="161"/>
    </row>
    <row r="147" spans="1:31" ht="21.2" customHeight="1">
      <c r="A147" s="8" t="s">
        <v>209</v>
      </c>
      <c r="B147" s="158" t="s">
        <v>883</v>
      </c>
      <c r="C147" s="159">
        <v>33</v>
      </c>
      <c r="D147" s="158" t="s">
        <v>849</v>
      </c>
      <c r="E147" s="58">
        <v>75.94</v>
      </c>
      <c r="F147" s="160">
        <v>26.167847642057701</v>
      </c>
      <c r="G147" s="161">
        <v>0.12527754322941501</v>
      </c>
      <c r="H147" s="161">
        <v>0.52580511614294301</v>
      </c>
      <c r="I147" s="161">
        <v>0.65108265937235699</v>
      </c>
      <c r="J147" s="161">
        <v>1.9461854169644599</v>
      </c>
      <c r="K147" s="161">
        <v>6.6142972508755393E-2</v>
      </c>
      <c r="L147" s="161">
        <v>0.31979400819618198</v>
      </c>
      <c r="M147" s="161">
        <v>-4.86418721744411E-4</v>
      </c>
      <c r="N147" s="161">
        <v>5.9162762647161802E-4</v>
      </c>
      <c r="O147" s="161">
        <v>1.39181824942143</v>
      </c>
      <c r="P147" s="161">
        <v>1.43813892562771</v>
      </c>
      <c r="Q147" s="161">
        <v>1.7532769621335399E-3</v>
      </c>
      <c r="R147" s="161">
        <v>0.52939360199541696</v>
      </c>
      <c r="S147" s="161">
        <v>1.85487253070966E-2</v>
      </c>
      <c r="T147" s="161">
        <v>0</v>
      </c>
      <c r="U147" s="161">
        <v>0</v>
      </c>
      <c r="V147" s="161">
        <v>0</v>
      </c>
      <c r="W147" s="161"/>
      <c r="X147" s="58"/>
      <c r="Y147" s="160"/>
      <c r="Z147" s="160"/>
      <c r="AA147" s="160"/>
      <c r="AB147" s="160"/>
      <c r="AC147" s="160"/>
      <c r="AD147" s="162"/>
      <c r="AE147" s="161"/>
    </row>
    <row r="148" spans="1:31" ht="21.2" customHeight="1">
      <c r="A148" s="8" t="s">
        <v>359</v>
      </c>
      <c r="B148" s="158" t="s">
        <v>875</v>
      </c>
      <c r="C148" s="163">
        <v>18</v>
      </c>
      <c r="D148" s="158" t="s">
        <v>846</v>
      </c>
      <c r="E148" s="58">
        <v>78</v>
      </c>
      <c r="F148" s="160">
        <v>16</v>
      </c>
      <c r="G148" s="161">
        <v>0.26847448782920103</v>
      </c>
      <c r="H148" s="161">
        <v>0.38236469458676597</v>
      </c>
      <c r="I148" s="161">
        <v>0.65083918241596705</v>
      </c>
      <c r="J148" s="161">
        <v>2.0301227757240699</v>
      </c>
      <c r="K148" s="161">
        <v>7.2175944370571204E-2</v>
      </c>
      <c r="L148" s="161">
        <v>0.17496981930784999</v>
      </c>
      <c r="M148" s="161">
        <v>0</v>
      </c>
      <c r="N148" s="161">
        <v>0</v>
      </c>
      <c r="O148" s="161">
        <v>0.43414634146341502</v>
      </c>
      <c r="P148" s="161">
        <v>0.792682926829268</v>
      </c>
      <c r="Q148" s="161">
        <v>2.0731707317073202E-3</v>
      </c>
      <c r="R148" s="161">
        <v>0.46341463414634099</v>
      </c>
      <c r="S148" s="161">
        <v>2.8768889868023902E-2</v>
      </c>
      <c r="T148" s="161">
        <v>4.7346498079179398</v>
      </c>
      <c r="U148" s="161">
        <v>6.5383259252200103</v>
      </c>
      <c r="V148" s="161">
        <v>0.42</v>
      </c>
      <c r="W148" s="161"/>
      <c r="X148" s="58"/>
      <c r="Y148" s="161"/>
      <c r="Z148" s="161"/>
      <c r="AA148" s="161"/>
      <c r="AB148" s="161"/>
      <c r="AC148" s="160"/>
      <c r="AD148" s="162"/>
      <c r="AE148" s="161"/>
    </row>
    <row r="149" spans="1:31" ht="21.2" customHeight="1">
      <c r="A149" s="8" t="s">
        <v>324</v>
      </c>
      <c r="B149" s="158" t="s">
        <v>882</v>
      </c>
      <c r="C149" s="159">
        <v>29</v>
      </c>
      <c r="D149" s="158" t="s">
        <v>848</v>
      </c>
      <c r="E149" s="58">
        <v>70.599999999999994</v>
      </c>
      <c r="F149" s="160">
        <v>18.257264103560502</v>
      </c>
      <c r="G149" s="161">
        <v>0.30732008046765602</v>
      </c>
      <c r="H149" s="161">
        <v>0.33999084165135401</v>
      </c>
      <c r="I149" s="161">
        <v>0.64731092211900998</v>
      </c>
      <c r="J149" s="161">
        <v>2.3565022799615498</v>
      </c>
      <c r="K149" s="161">
        <v>7.0436630602104894E-2</v>
      </c>
      <c r="L149" s="161">
        <v>0.142682517349289</v>
      </c>
      <c r="M149" s="161">
        <v>1.6150752371481E-2</v>
      </c>
      <c r="N149" s="161">
        <v>2.2767182612184501E-2</v>
      </c>
      <c r="O149" s="161">
        <v>0.80003849646627101</v>
      </c>
      <c r="P149" s="161">
        <v>2.7048579015440901</v>
      </c>
      <c r="Q149" s="161">
        <v>-3.9699238378297003E-2</v>
      </c>
      <c r="R149" s="161">
        <v>1.1145052503435</v>
      </c>
      <c r="S149" s="161">
        <v>3.7802178996307202E-2</v>
      </c>
      <c r="T149" s="161">
        <v>0.21801386533197101</v>
      </c>
      <c r="U149" s="161">
        <v>0.32730461479189099</v>
      </c>
      <c r="V149" s="161">
        <v>0.39979181575223999</v>
      </c>
      <c r="W149" s="161"/>
      <c r="X149" s="58"/>
      <c r="Y149" s="160"/>
      <c r="Z149" s="160"/>
      <c r="AA149" s="160"/>
      <c r="AB149" s="160"/>
      <c r="AC149" s="160"/>
      <c r="AD149" s="162"/>
      <c r="AE149" s="161"/>
    </row>
    <row r="150" spans="1:31" ht="21.2" customHeight="1">
      <c r="A150" s="8" t="s">
        <v>368</v>
      </c>
      <c r="B150" s="158" t="s">
        <v>893</v>
      </c>
      <c r="C150" s="159">
        <v>29</v>
      </c>
      <c r="D150" s="158" t="s">
        <v>864</v>
      </c>
      <c r="E150" s="58">
        <v>72.916428571428597</v>
      </c>
      <c r="F150" s="160">
        <v>17.477731624681201</v>
      </c>
      <c r="G150" s="161">
        <v>0.201737608141072</v>
      </c>
      <c r="H150" s="161">
        <v>0.44499597359281501</v>
      </c>
      <c r="I150" s="161">
        <v>0.64673358173388695</v>
      </c>
      <c r="J150" s="161">
        <v>1.6633591369587699</v>
      </c>
      <c r="K150" s="161">
        <v>4.2761289931023003E-2</v>
      </c>
      <c r="L150" s="161">
        <v>0.15759358881261101</v>
      </c>
      <c r="M150" s="161">
        <v>1.00794965413792E-4</v>
      </c>
      <c r="N150" s="161">
        <v>1.8574057906644401E-4</v>
      </c>
      <c r="O150" s="161">
        <v>0.51957060899463803</v>
      </c>
      <c r="P150" s="161">
        <v>0.65544839215232797</v>
      </c>
      <c r="Q150" s="161">
        <v>1.2600917827431299E-3</v>
      </c>
      <c r="R150" s="161">
        <v>0.29638245125551099</v>
      </c>
      <c r="S150" s="161">
        <v>2.5046884934319599E-2</v>
      </c>
      <c r="T150" s="161">
        <v>6.2805762760117798E-3</v>
      </c>
      <c r="U150" s="161">
        <v>3.0316864652690002E-2</v>
      </c>
      <c r="V150" s="161">
        <v>0.171612443838558</v>
      </c>
      <c r="W150" s="161"/>
      <c r="X150" s="58"/>
      <c r="Y150" s="160"/>
      <c r="Z150" s="160"/>
      <c r="AA150" s="160"/>
      <c r="AB150" s="160"/>
      <c r="AC150" s="160"/>
      <c r="AD150" s="162"/>
      <c r="AE150" s="161"/>
    </row>
    <row r="151" spans="1:31" ht="21.2" customHeight="1">
      <c r="A151" s="8" t="s">
        <v>285</v>
      </c>
      <c r="B151" s="158" t="s">
        <v>885</v>
      </c>
      <c r="C151" s="163">
        <v>27</v>
      </c>
      <c r="D151" s="158" t="s">
        <v>864</v>
      </c>
      <c r="E151" s="58">
        <v>81.8</v>
      </c>
      <c r="F151" s="160">
        <v>17.548043859374999</v>
      </c>
      <c r="G151" s="161">
        <v>0.31944957594465101</v>
      </c>
      <c r="H151" s="161">
        <v>0.32723413957265501</v>
      </c>
      <c r="I151" s="161">
        <v>0.64668371551730597</v>
      </c>
      <c r="J151" s="161">
        <v>2.2221502164913001</v>
      </c>
      <c r="K151" s="161">
        <v>6.1218046647218298E-2</v>
      </c>
      <c r="L151" s="161">
        <v>0.109139355081266</v>
      </c>
      <c r="M151" s="161">
        <v>8.9206712113952605E-3</v>
      </c>
      <c r="N151" s="161">
        <v>2.3883350655750701E-2</v>
      </c>
      <c r="O151" s="161">
        <v>0.36766758809454098</v>
      </c>
      <c r="P151" s="161">
        <v>1.0120556637021501</v>
      </c>
      <c r="Q151" s="161">
        <v>6.1953929441205702E-2</v>
      </c>
      <c r="R151" s="161">
        <v>0.45404234390272202</v>
      </c>
      <c r="S151" s="161">
        <v>5.33794651229616E-2</v>
      </c>
      <c r="T151" s="161">
        <v>8.8691303416507203E-2</v>
      </c>
      <c r="U151" s="161">
        <v>0.186675986715723</v>
      </c>
      <c r="V151" s="161">
        <v>0.322083655520298</v>
      </c>
      <c r="W151" s="161"/>
      <c r="X151" s="58"/>
      <c r="Y151" s="160"/>
      <c r="Z151" s="160"/>
      <c r="AA151" s="160"/>
      <c r="AB151" s="160"/>
      <c r="AC151" s="160"/>
      <c r="AD151" s="162"/>
      <c r="AE151" s="161"/>
    </row>
    <row r="152" spans="1:31" ht="21.2" customHeight="1">
      <c r="A152" s="8" t="s">
        <v>362</v>
      </c>
      <c r="B152" s="158" t="s">
        <v>877</v>
      </c>
      <c r="C152" s="159">
        <v>24</v>
      </c>
      <c r="D152" s="158" t="s">
        <v>865</v>
      </c>
      <c r="E152" s="58">
        <v>70.527142857142906</v>
      </c>
      <c r="F152" s="160">
        <v>16.4654352775596</v>
      </c>
      <c r="G152" s="161">
        <v>0.33581031723301302</v>
      </c>
      <c r="H152" s="161">
        <v>0.31029296510733401</v>
      </c>
      <c r="I152" s="161">
        <v>0.64610328234034797</v>
      </c>
      <c r="J152" s="161">
        <v>2.0239563080860701</v>
      </c>
      <c r="K152" s="161">
        <v>8.6072791004065605E-2</v>
      </c>
      <c r="L152" s="161">
        <v>0.156287935967895</v>
      </c>
      <c r="M152" s="161">
        <v>1.69205617132109E-4</v>
      </c>
      <c r="N152" s="161">
        <v>3.3515294775908401E-4</v>
      </c>
      <c r="O152" s="161">
        <v>0.52619791880716005</v>
      </c>
      <c r="P152" s="161">
        <v>0.69512426255934001</v>
      </c>
      <c r="Q152" s="161">
        <v>3.3874769313892897E-2</v>
      </c>
      <c r="R152" s="161">
        <v>0.30269182664479899</v>
      </c>
      <c r="S152" s="161">
        <v>5.2387533506605702E-2</v>
      </c>
      <c r="T152" s="161">
        <v>1.7006591413879999</v>
      </c>
      <c r="U152" s="161">
        <v>1.9603775887455701</v>
      </c>
      <c r="V152" s="161">
        <v>0.46452938518482201</v>
      </c>
      <c r="W152" s="161"/>
      <c r="X152" s="58"/>
      <c r="Y152" s="160"/>
      <c r="Z152" s="160"/>
      <c r="AA152" s="160"/>
      <c r="AB152" s="160"/>
      <c r="AC152" s="160"/>
      <c r="AD152" s="162"/>
      <c r="AE152" s="161"/>
    </row>
    <row r="153" spans="1:31" ht="21.2" customHeight="1">
      <c r="A153" s="8" t="s">
        <v>302</v>
      </c>
      <c r="B153" s="158" t="s">
        <v>863</v>
      </c>
      <c r="C153" s="159">
        <v>27</v>
      </c>
      <c r="D153" s="158" t="s">
        <v>846</v>
      </c>
      <c r="E153" s="58">
        <v>75.973571428571404</v>
      </c>
      <c r="F153" s="160">
        <v>17.091159722947499</v>
      </c>
      <c r="G153" s="161">
        <v>0.29061064857987001</v>
      </c>
      <c r="H153" s="161">
        <v>0.35386094161447001</v>
      </c>
      <c r="I153" s="161">
        <v>0.64447159019433897</v>
      </c>
      <c r="J153" s="161">
        <v>2.9932049430877399</v>
      </c>
      <c r="K153" s="161">
        <v>6.0007963820094101E-2</v>
      </c>
      <c r="L153" s="161">
        <v>0.129612174263144</v>
      </c>
      <c r="M153" s="161">
        <v>1.32919532475339E-3</v>
      </c>
      <c r="N153" s="161">
        <v>7.0186858370106502E-3</v>
      </c>
      <c r="O153" s="161">
        <v>0.500531132317799</v>
      </c>
      <c r="P153" s="161">
        <v>2.0228748542763699</v>
      </c>
      <c r="Q153" s="161">
        <v>6.54985248402533E-2</v>
      </c>
      <c r="R153" s="161">
        <v>0.81884320234146701</v>
      </c>
      <c r="S153" s="161">
        <v>4.1688760416661801E-2</v>
      </c>
      <c r="T153" s="161">
        <v>6.1483786229476101</v>
      </c>
      <c r="U153" s="161">
        <v>6.9371479600884598</v>
      </c>
      <c r="V153" s="161">
        <v>0.46986100130798703</v>
      </c>
      <c r="W153" s="161"/>
      <c r="X153" s="58"/>
      <c r="Y153" s="160"/>
      <c r="Z153" s="160"/>
      <c r="AA153" s="160"/>
      <c r="AB153" s="160"/>
      <c r="AC153" s="160"/>
      <c r="AD153" s="162"/>
      <c r="AE153" s="161"/>
    </row>
    <row r="154" spans="1:31" ht="21.2" customHeight="1">
      <c r="A154" s="8" t="s">
        <v>344</v>
      </c>
      <c r="B154" s="158" t="s">
        <v>871</v>
      </c>
      <c r="C154" s="159">
        <v>36</v>
      </c>
      <c r="D154" s="158" t="s">
        <v>848</v>
      </c>
      <c r="E154" s="58">
        <v>76.040000000000006</v>
      </c>
      <c r="F154" s="160">
        <v>15.9155208675902</v>
      </c>
      <c r="G154" s="161">
        <v>0.18861496335324801</v>
      </c>
      <c r="H154" s="161">
        <v>0.45574233689744797</v>
      </c>
      <c r="I154" s="161">
        <v>0.64435730025069504</v>
      </c>
      <c r="J154" s="161">
        <v>1.9395462430019501</v>
      </c>
      <c r="K154" s="161">
        <v>5.4369283249091203E-2</v>
      </c>
      <c r="L154" s="161">
        <v>0.18584170398445499</v>
      </c>
      <c r="M154" s="161">
        <v>4.0049181581945599E-4</v>
      </c>
      <c r="N154" s="161">
        <v>6.5527807130041105E-5</v>
      </c>
      <c r="O154" s="161">
        <v>0.48706247339312297</v>
      </c>
      <c r="P154" s="161">
        <v>0.81152875029051597</v>
      </c>
      <c r="Q154" s="161">
        <v>4.8813448442054798E-2</v>
      </c>
      <c r="R154" s="161">
        <v>0.53799735135899995</v>
      </c>
      <c r="S154" s="161">
        <v>3.2139637540814898E-2</v>
      </c>
      <c r="T154" s="161">
        <v>0.45566268451980102</v>
      </c>
      <c r="U154" s="161">
        <v>0.79642767929777303</v>
      </c>
      <c r="V154" s="161">
        <v>0.36392156483858201</v>
      </c>
      <c r="W154" s="161"/>
      <c r="X154" s="58"/>
      <c r="Y154" s="160"/>
      <c r="Z154" s="160"/>
      <c r="AA154" s="160"/>
      <c r="AB154" s="160"/>
      <c r="AC154" s="160"/>
      <c r="AD154" s="162"/>
      <c r="AE154" s="161"/>
    </row>
    <row r="155" spans="1:31" ht="21.2" customHeight="1">
      <c r="A155" s="8" t="s">
        <v>143</v>
      </c>
      <c r="B155" s="158" t="s">
        <v>889</v>
      </c>
      <c r="C155" s="159">
        <v>22</v>
      </c>
      <c r="D155" s="158" t="s">
        <v>849</v>
      </c>
      <c r="E155" s="58">
        <v>82.03</v>
      </c>
      <c r="F155" s="160">
        <v>25.530220788457001</v>
      </c>
      <c r="G155" s="161">
        <v>9.2264815348400003E-2</v>
      </c>
      <c r="H155" s="161">
        <v>0.55084589218737301</v>
      </c>
      <c r="I155" s="161">
        <v>0.64311070753577304</v>
      </c>
      <c r="J155" s="161">
        <v>2.0993165407711998</v>
      </c>
      <c r="K155" s="161">
        <v>2.62159149064379E-2</v>
      </c>
      <c r="L155" s="161">
        <v>0.238691813410362</v>
      </c>
      <c r="M155" s="161">
        <v>7.6181375694551502E-3</v>
      </c>
      <c r="N155" s="161">
        <v>2.6462673022883802E-2</v>
      </c>
      <c r="O155" s="161">
        <v>2.2860258471634598</v>
      </c>
      <c r="P155" s="161">
        <v>2.3296798250131499</v>
      </c>
      <c r="Q155" s="161">
        <v>-4.3882715549240198E-2</v>
      </c>
      <c r="R155" s="161">
        <v>0.52546112996612804</v>
      </c>
      <c r="S155" s="161">
        <v>1.22099436672727E-2</v>
      </c>
      <c r="T155" s="161">
        <v>0</v>
      </c>
      <c r="U155" s="161">
        <v>0</v>
      </c>
      <c r="V155" s="161">
        <v>0</v>
      </c>
      <c r="W155" s="161"/>
      <c r="X155" s="58"/>
      <c r="Y155" s="160"/>
      <c r="Z155" s="160"/>
      <c r="AA155" s="160"/>
      <c r="AB155" s="160"/>
      <c r="AC155" s="160"/>
      <c r="AD155" s="162"/>
      <c r="AE155" s="161"/>
    </row>
    <row r="156" spans="1:31" ht="21.2" customHeight="1">
      <c r="A156" s="8" t="s">
        <v>214</v>
      </c>
      <c r="B156" s="158" t="s">
        <v>861</v>
      </c>
      <c r="C156" s="159">
        <v>29</v>
      </c>
      <c r="D156" s="158" t="s">
        <v>849</v>
      </c>
      <c r="E156" s="58">
        <v>79.035714285714306</v>
      </c>
      <c r="F156" s="160">
        <v>24.638047309832299</v>
      </c>
      <c r="G156" s="161">
        <v>0.12987842145620601</v>
      </c>
      <c r="H156" s="161">
        <v>0.51068558623287896</v>
      </c>
      <c r="I156" s="161">
        <v>0.64056400768908495</v>
      </c>
      <c r="J156" s="161">
        <v>2.0830131768971798</v>
      </c>
      <c r="K156" s="161">
        <v>1.8043381611428901E-2</v>
      </c>
      <c r="L156" s="161">
        <v>9.88938766143828E-2</v>
      </c>
      <c r="M156" s="161">
        <v>-1.30135033567087E-5</v>
      </c>
      <c r="N156" s="161">
        <v>1.15398883518433E-3</v>
      </c>
      <c r="O156" s="161">
        <v>1.6390204506988799</v>
      </c>
      <c r="P156" s="161">
        <v>1.1095994104660001</v>
      </c>
      <c r="Q156" s="161">
        <v>0.116367976226277</v>
      </c>
      <c r="R156" s="161">
        <v>0.346413860761904</v>
      </c>
      <c r="S156" s="161">
        <v>2.05487231187645E-2</v>
      </c>
      <c r="T156" s="161">
        <v>0</v>
      </c>
      <c r="U156" s="161">
        <v>0</v>
      </c>
      <c r="V156" s="161">
        <v>0</v>
      </c>
      <c r="W156" s="161"/>
      <c r="X156" s="58"/>
      <c r="Y156" s="160"/>
      <c r="Z156" s="160"/>
      <c r="AA156" s="160"/>
      <c r="AB156" s="160"/>
      <c r="AC156" s="160"/>
      <c r="AD156" s="162"/>
      <c r="AE156" s="161"/>
    </row>
    <row r="157" spans="1:31" ht="21.2" customHeight="1">
      <c r="A157" s="8" t="s">
        <v>327</v>
      </c>
      <c r="B157" s="158" t="s">
        <v>894</v>
      </c>
      <c r="C157" s="159">
        <v>22</v>
      </c>
      <c r="D157" s="158" t="s">
        <v>865</v>
      </c>
      <c r="E157" s="58">
        <v>70.555714285714302</v>
      </c>
      <c r="F157" s="160">
        <v>18.252363030649398</v>
      </c>
      <c r="G157" s="161">
        <v>0.24397605256928001</v>
      </c>
      <c r="H157" s="161">
        <v>0.394839424471706</v>
      </c>
      <c r="I157" s="161">
        <v>0.63881547704098696</v>
      </c>
      <c r="J157" s="161">
        <v>1.90192339911196</v>
      </c>
      <c r="K157" s="161">
        <v>8.41263611828416E-2</v>
      </c>
      <c r="L157" s="161">
        <v>0.22461625449965</v>
      </c>
      <c r="M157" s="161">
        <v>8.8502535277638699E-4</v>
      </c>
      <c r="N157" s="161">
        <v>9.5125822131005098E-3</v>
      </c>
      <c r="O157" s="161">
        <v>0.61254648611958495</v>
      </c>
      <c r="P157" s="161">
        <v>0.84905218819135198</v>
      </c>
      <c r="Q157" s="161">
        <v>-7.8554441117827098E-2</v>
      </c>
      <c r="R157" s="161">
        <v>0.62619572000778401</v>
      </c>
      <c r="S157" s="161">
        <v>2.49934227328963E-2</v>
      </c>
      <c r="T157" s="161">
        <v>1.77539003145606</v>
      </c>
      <c r="U157" s="161">
        <v>3.1540550472744999</v>
      </c>
      <c r="V157" s="161">
        <v>0.36016022150575699</v>
      </c>
      <c r="W157" s="161"/>
      <c r="X157" s="58"/>
      <c r="Y157" s="160"/>
      <c r="Z157" s="160"/>
      <c r="AA157" s="160"/>
      <c r="AB157" s="160"/>
      <c r="AC157" s="160"/>
      <c r="AD157" s="162"/>
      <c r="AE157" s="161"/>
    </row>
    <row r="158" spans="1:31" ht="21.2" customHeight="1">
      <c r="A158" s="8" t="s">
        <v>193</v>
      </c>
      <c r="B158" s="158" t="s">
        <v>874</v>
      </c>
      <c r="C158" s="159">
        <v>36</v>
      </c>
      <c r="D158" s="158" t="s">
        <v>849</v>
      </c>
      <c r="E158" s="58">
        <v>78.138571428571396</v>
      </c>
      <c r="F158" s="160">
        <v>23.7331719893293</v>
      </c>
      <c r="G158" s="161">
        <v>0.123712617501976</v>
      </c>
      <c r="H158" s="161">
        <v>0.51358690580334998</v>
      </c>
      <c r="I158" s="161">
        <v>0.63729952330532602</v>
      </c>
      <c r="J158" s="161">
        <v>2.4450108181886101</v>
      </c>
      <c r="K158" s="161">
        <v>4.09919650643513E-2</v>
      </c>
      <c r="L158" s="161">
        <v>0.23481614374432799</v>
      </c>
      <c r="M158" s="161">
        <v>4.2310776074716604E-3</v>
      </c>
      <c r="N158" s="161">
        <v>4.8464831606900502E-3</v>
      </c>
      <c r="O158" s="161">
        <v>1.5751885945384601</v>
      </c>
      <c r="P158" s="161">
        <v>2.1189451636876999</v>
      </c>
      <c r="Q158" s="161">
        <v>2.91454461080418E-2</v>
      </c>
      <c r="R158" s="161">
        <v>0.53034606948505403</v>
      </c>
      <c r="S158" s="161">
        <v>1.9858352259919901E-2</v>
      </c>
      <c r="T158" s="161">
        <v>0</v>
      </c>
      <c r="U158" s="161">
        <v>2.1393065277815499E-3</v>
      </c>
      <c r="V158" s="161">
        <v>0</v>
      </c>
      <c r="W158" s="161"/>
      <c r="X158" s="58"/>
      <c r="Y158" s="160"/>
      <c r="Z158" s="160"/>
      <c r="AA158" s="160"/>
      <c r="AB158" s="160"/>
      <c r="AC158" s="160"/>
      <c r="AD158" s="162"/>
      <c r="AE158" s="161"/>
    </row>
    <row r="159" spans="1:31" ht="21.2" customHeight="1">
      <c r="A159" s="8" t="s">
        <v>290</v>
      </c>
      <c r="B159" s="158" t="s">
        <v>892</v>
      </c>
      <c r="C159" s="159">
        <v>33</v>
      </c>
      <c r="D159" s="158" t="s">
        <v>848</v>
      </c>
      <c r="E159" s="58">
        <v>81.471071428571406</v>
      </c>
      <c r="F159" s="160">
        <v>16.823215685175299</v>
      </c>
      <c r="G159" s="161">
        <v>0.23440970938476999</v>
      </c>
      <c r="H159" s="161">
        <v>0.401890667206668</v>
      </c>
      <c r="I159" s="161">
        <v>0.63630037659143801</v>
      </c>
      <c r="J159" s="161">
        <v>2.1645250051380001</v>
      </c>
      <c r="K159" s="161">
        <v>4.3676047762510099E-2</v>
      </c>
      <c r="L159" s="161">
        <v>0.15593663910786801</v>
      </c>
      <c r="M159" s="161">
        <v>9.0078937304022904E-5</v>
      </c>
      <c r="N159" s="161">
        <v>1.5188927400062801E-4</v>
      </c>
      <c r="O159" s="161">
        <v>0.36206042165737901</v>
      </c>
      <c r="P159" s="161">
        <v>0.58619519898851202</v>
      </c>
      <c r="Q159" s="161">
        <v>1.32849603081776E-2</v>
      </c>
      <c r="R159" s="161">
        <v>0.33265321577795198</v>
      </c>
      <c r="S159" s="161">
        <v>3.2948857574178897E-2</v>
      </c>
      <c r="T159" s="161">
        <v>0.289308187083538</v>
      </c>
      <c r="U159" s="161">
        <v>0.46150272022748301</v>
      </c>
      <c r="V159" s="161">
        <v>0.38532762945556498</v>
      </c>
      <c r="W159" s="161"/>
      <c r="X159" s="58"/>
      <c r="Y159" s="160"/>
      <c r="Z159" s="160"/>
      <c r="AA159" s="160"/>
      <c r="AB159" s="160"/>
      <c r="AC159" s="160"/>
      <c r="AD159" s="162"/>
      <c r="AE159" s="161"/>
    </row>
    <row r="160" spans="1:31" ht="21.2" customHeight="1">
      <c r="A160" s="8" t="s">
        <v>341</v>
      </c>
      <c r="B160" s="158" t="s">
        <v>886</v>
      </c>
      <c r="C160" s="159">
        <v>27</v>
      </c>
      <c r="D160" s="158" t="s">
        <v>880</v>
      </c>
      <c r="E160" s="58">
        <v>79.256785714285698</v>
      </c>
      <c r="F160" s="160">
        <v>17.26152693653</v>
      </c>
      <c r="G160" s="161">
        <v>0.24883658143273299</v>
      </c>
      <c r="H160" s="161">
        <v>0.38484604978249598</v>
      </c>
      <c r="I160" s="161">
        <v>0.63368263121522905</v>
      </c>
      <c r="J160" s="161">
        <v>1.56036860384224</v>
      </c>
      <c r="K160" s="161">
        <v>4.0532841579915997E-2</v>
      </c>
      <c r="L160" s="161">
        <v>9.3349415160736707E-2</v>
      </c>
      <c r="M160" s="161">
        <v>4.1126037237399103E-3</v>
      </c>
      <c r="N160" s="161">
        <v>8.4403715413721991E-3</v>
      </c>
      <c r="O160" s="161">
        <v>0.49043803057926999</v>
      </c>
      <c r="P160" s="161">
        <v>2.0114858741362802</v>
      </c>
      <c r="Q160" s="161">
        <v>4.69907233058387E-2</v>
      </c>
      <c r="R160" s="161">
        <v>0.47872730732975599</v>
      </c>
      <c r="S160" s="161">
        <v>4.06666868519934E-2</v>
      </c>
      <c r="T160" s="161">
        <v>0.98115808684012795</v>
      </c>
      <c r="U160" s="161">
        <v>1.48469558317241</v>
      </c>
      <c r="V160" s="161">
        <v>0.39789793643153898</v>
      </c>
      <c r="W160" s="161"/>
      <c r="X160" s="58"/>
      <c r="Y160" s="160"/>
      <c r="Z160" s="160"/>
      <c r="AA160" s="160"/>
      <c r="AB160" s="160"/>
      <c r="AC160" s="160"/>
      <c r="AD160" s="162"/>
      <c r="AE160" s="161"/>
    </row>
    <row r="161" spans="1:31" ht="21.2" customHeight="1">
      <c r="A161" s="8" t="s">
        <v>299</v>
      </c>
      <c r="B161" s="158" t="s">
        <v>882</v>
      </c>
      <c r="C161" s="159">
        <v>26</v>
      </c>
      <c r="D161" s="158" t="s">
        <v>865</v>
      </c>
      <c r="E161" s="58">
        <v>77.722142857142899</v>
      </c>
      <c r="F161" s="160">
        <v>15.472794847265501</v>
      </c>
      <c r="G161" s="161">
        <v>0.26151888735865902</v>
      </c>
      <c r="H161" s="161">
        <v>0.37064547598251502</v>
      </c>
      <c r="I161" s="161">
        <v>0.63216436334117299</v>
      </c>
      <c r="J161" s="161">
        <v>1.95907541469696</v>
      </c>
      <c r="K161" s="161">
        <v>5.4737613375247199E-2</v>
      </c>
      <c r="L161" s="161">
        <v>0.20048239652049499</v>
      </c>
      <c r="M161" s="161">
        <v>1.21720552352876E-4</v>
      </c>
      <c r="N161" s="161">
        <v>2.22465688216674E-4</v>
      </c>
      <c r="O161" s="161">
        <v>0.51172607042580898</v>
      </c>
      <c r="P161" s="161">
        <v>0.31324180866548201</v>
      </c>
      <c r="Q161" s="161">
        <v>-1.5937930216709299E-2</v>
      </c>
      <c r="R161" s="161">
        <v>0.327472117822112</v>
      </c>
      <c r="S161" s="161">
        <v>3.2168362626364598E-2</v>
      </c>
      <c r="T161" s="161">
        <v>6.0284708506649904</v>
      </c>
      <c r="U161" s="161">
        <v>6.0623080671552998</v>
      </c>
      <c r="V161" s="161">
        <v>0.49860070154618202</v>
      </c>
      <c r="W161" s="161"/>
      <c r="X161" s="58"/>
      <c r="Y161" s="160"/>
      <c r="Z161" s="160"/>
      <c r="AA161" s="160"/>
      <c r="AB161" s="160"/>
      <c r="AC161" s="160"/>
      <c r="AD161" s="162"/>
      <c r="AE161" s="161"/>
    </row>
    <row r="162" spans="1:31" ht="21.2" customHeight="1">
      <c r="A162" s="8" t="s">
        <v>411</v>
      </c>
      <c r="B162" s="158" t="s">
        <v>877</v>
      </c>
      <c r="C162" s="159">
        <v>21</v>
      </c>
      <c r="D162" s="158" t="s">
        <v>864</v>
      </c>
      <c r="E162" s="58">
        <v>68.2</v>
      </c>
      <c r="F162" s="160">
        <v>15.659942964647501</v>
      </c>
      <c r="G162" s="161">
        <v>0.202752292783695</v>
      </c>
      <c r="H162" s="161">
        <v>0.42705354270912999</v>
      </c>
      <c r="I162" s="161">
        <v>0.62980583549282598</v>
      </c>
      <c r="J162" s="161">
        <v>1.8501043006214499</v>
      </c>
      <c r="K162" s="161">
        <v>3.33620448966424E-2</v>
      </c>
      <c r="L162" s="161">
        <v>0.10612157754153401</v>
      </c>
      <c r="M162" s="161">
        <v>1.6008808719246199E-5</v>
      </c>
      <c r="N162" s="161">
        <v>3.2286572368989297E-5</v>
      </c>
      <c r="O162" s="161">
        <v>0.40767361567160498</v>
      </c>
      <c r="P162" s="161">
        <v>0.78448867440144898</v>
      </c>
      <c r="Q162" s="161">
        <v>3.6660609697345199E-2</v>
      </c>
      <c r="R162" s="161">
        <v>0.31293218535140199</v>
      </c>
      <c r="S162" s="161">
        <v>3.1630036323085101E-2</v>
      </c>
      <c r="T162" s="161">
        <v>4.7635823820568302E-2</v>
      </c>
      <c r="U162" s="161">
        <v>0.175356844579072</v>
      </c>
      <c r="V162" s="161">
        <v>0.213620582965521</v>
      </c>
      <c r="W162" s="161"/>
      <c r="X162" s="58"/>
      <c r="Y162" s="160"/>
      <c r="Z162" s="160"/>
      <c r="AA162" s="160"/>
      <c r="AB162" s="160"/>
      <c r="AC162" s="160"/>
      <c r="AD162" s="162"/>
      <c r="AE162" s="161"/>
    </row>
    <row r="163" spans="1:31" ht="21.2" customHeight="1">
      <c r="A163" s="8" t="s">
        <v>297</v>
      </c>
      <c r="B163" s="158" t="s">
        <v>874</v>
      </c>
      <c r="C163" s="159">
        <v>32</v>
      </c>
      <c r="D163" s="158" t="s">
        <v>848</v>
      </c>
      <c r="E163" s="58">
        <v>77.305714285714302</v>
      </c>
      <c r="F163" s="160">
        <v>17.372599281242302</v>
      </c>
      <c r="G163" s="161">
        <v>0.28403796935181702</v>
      </c>
      <c r="H163" s="161">
        <v>0.34466074875180902</v>
      </c>
      <c r="I163" s="161">
        <v>0.62869871810362599</v>
      </c>
      <c r="J163" s="161">
        <v>2.2922944188182801</v>
      </c>
      <c r="K163" s="161">
        <v>4.85846504129199E-2</v>
      </c>
      <c r="L163" s="161">
        <v>9.1562862228294101E-2</v>
      </c>
      <c r="M163" s="161">
        <v>4.4985277398680502E-2</v>
      </c>
      <c r="N163" s="161">
        <v>5.3999756858989501E-2</v>
      </c>
      <c r="O163" s="161">
        <v>0.43997279302491499</v>
      </c>
      <c r="P163" s="161">
        <v>0.91982245782112604</v>
      </c>
      <c r="Q163" s="161">
        <v>2.7014992234310399E-2</v>
      </c>
      <c r="R163" s="161">
        <v>0.25536969490172301</v>
      </c>
      <c r="S163" s="161">
        <v>4.5593781495170599E-2</v>
      </c>
      <c r="T163" s="161">
        <v>4.1238961996879597E-2</v>
      </c>
      <c r="U163" s="161">
        <v>5.4216346383391102E-2</v>
      </c>
      <c r="V163" s="161">
        <v>0.432023767945871</v>
      </c>
      <c r="W163" s="161"/>
      <c r="X163" s="58"/>
      <c r="Y163" s="160"/>
      <c r="Z163" s="160"/>
      <c r="AA163" s="160"/>
      <c r="AB163" s="160"/>
      <c r="AC163" s="160"/>
      <c r="AD163" s="162"/>
      <c r="AE163" s="161"/>
    </row>
    <row r="164" spans="1:31" ht="21.2" customHeight="1">
      <c r="A164" s="8" t="s">
        <v>544</v>
      </c>
      <c r="B164" s="158" t="s">
        <v>893</v>
      </c>
      <c r="C164" s="163">
        <v>24</v>
      </c>
      <c r="D164" s="158" t="s">
        <v>860</v>
      </c>
      <c r="E164" s="58">
        <v>54.3</v>
      </c>
      <c r="F164" s="160">
        <v>17.439166666666701</v>
      </c>
      <c r="G164" s="161">
        <v>0.30223850776237099</v>
      </c>
      <c r="H164" s="161">
        <v>0.32606679413561102</v>
      </c>
      <c r="I164" s="161">
        <v>0.62830530189798195</v>
      </c>
      <c r="J164" s="161">
        <v>2.09939796030966</v>
      </c>
      <c r="K164" s="161">
        <v>9.5882677672848193E-2</v>
      </c>
      <c r="L164" s="161">
        <v>0.18347718290182899</v>
      </c>
      <c r="M164" s="161">
        <v>3.95470577700554E-3</v>
      </c>
      <c r="N164" s="161">
        <v>7.8357937241838801E-3</v>
      </c>
      <c r="O164" s="161">
        <v>0.47520376473571002</v>
      </c>
      <c r="P164" s="161">
        <v>0.77802411629720603</v>
      </c>
      <c r="Q164" s="161">
        <v>-9.9413193932183994E-3</v>
      </c>
      <c r="R164" s="161">
        <v>0.36256622616911799</v>
      </c>
      <c r="S164" s="161">
        <v>3.7524649947028803E-2</v>
      </c>
      <c r="T164" s="161">
        <v>0.63874550387600504</v>
      </c>
      <c r="U164" s="161">
        <v>0.61454277429027804</v>
      </c>
      <c r="V164" s="161">
        <v>0.50965569135503996</v>
      </c>
      <c r="W164" s="161"/>
      <c r="X164" s="58"/>
      <c r="Y164" s="160"/>
      <c r="Z164" s="160"/>
      <c r="AA164" s="160"/>
      <c r="AB164" s="160"/>
      <c r="AC164" s="160"/>
      <c r="AD164" s="162"/>
      <c r="AE164" s="161"/>
    </row>
    <row r="165" spans="1:31" ht="21.2" customHeight="1">
      <c r="A165" s="8" t="s">
        <v>182</v>
      </c>
      <c r="B165" s="158" t="s">
        <v>885</v>
      </c>
      <c r="C165" s="159">
        <v>26</v>
      </c>
      <c r="D165" s="158" t="s">
        <v>849</v>
      </c>
      <c r="E165" s="58">
        <v>80.8</v>
      </c>
      <c r="F165" s="160">
        <v>24.048825563445501</v>
      </c>
      <c r="G165" s="161">
        <v>0.103246221603587</v>
      </c>
      <c r="H165" s="161">
        <v>0.52283060147612204</v>
      </c>
      <c r="I165" s="161">
        <v>0.62607682307971002</v>
      </c>
      <c r="J165" s="161">
        <v>2.0290359039120198</v>
      </c>
      <c r="K165" s="161">
        <v>2.0701913371298699E-2</v>
      </c>
      <c r="L165" s="161">
        <v>0.25015394691419002</v>
      </c>
      <c r="M165" s="161">
        <v>6.4284195069756597E-3</v>
      </c>
      <c r="N165" s="161">
        <v>1.84649384466627E-2</v>
      </c>
      <c r="O165" s="161">
        <v>1.66641285417929</v>
      </c>
      <c r="P165" s="161">
        <v>0.78274461852680399</v>
      </c>
      <c r="Q165" s="161">
        <v>4.1468912133448797E-2</v>
      </c>
      <c r="R165" s="161">
        <v>0.45021281450268902</v>
      </c>
      <c r="S165" s="161">
        <v>1.7252262955331499E-2</v>
      </c>
      <c r="T165" s="161">
        <v>0</v>
      </c>
      <c r="U165" s="161">
        <v>0</v>
      </c>
      <c r="V165" s="161">
        <v>0</v>
      </c>
      <c r="W165" s="161"/>
      <c r="X165" s="58"/>
      <c r="Y165" s="160"/>
      <c r="Z165" s="160"/>
      <c r="AA165" s="160"/>
      <c r="AB165" s="160"/>
      <c r="AC165" s="160"/>
      <c r="AD165" s="162"/>
      <c r="AE165" s="161"/>
    </row>
    <row r="166" spans="1:31" ht="21.2" customHeight="1">
      <c r="A166" s="8" t="s">
        <v>169</v>
      </c>
      <c r="B166" s="158" t="s">
        <v>891</v>
      </c>
      <c r="C166" s="159">
        <v>23</v>
      </c>
      <c r="D166" s="158" t="s">
        <v>849</v>
      </c>
      <c r="E166" s="58">
        <v>79.580714285714294</v>
      </c>
      <c r="F166" s="160">
        <v>20.527266647634299</v>
      </c>
      <c r="G166" s="161">
        <v>0.15076404593377399</v>
      </c>
      <c r="H166" s="161">
        <v>0.47474237351410697</v>
      </c>
      <c r="I166" s="161">
        <v>0.62550641944788199</v>
      </c>
      <c r="J166" s="161">
        <v>2.4442201670301098</v>
      </c>
      <c r="K166" s="161">
        <v>4.6708517878942202E-2</v>
      </c>
      <c r="L166" s="161">
        <v>0.26744335683603898</v>
      </c>
      <c r="M166" s="161">
        <v>3.2179675870062398E-4</v>
      </c>
      <c r="N166" s="161">
        <v>1.5673598465472201E-3</v>
      </c>
      <c r="O166" s="161">
        <v>1.4360851119392699</v>
      </c>
      <c r="P166" s="161">
        <v>0.94316213016099004</v>
      </c>
      <c r="Q166" s="161">
        <v>1.28080213946662E-2</v>
      </c>
      <c r="R166" s="161">
        <v>0.27747792596022403</v>
      </c>
      <c r="S166" s="161">
        <v>2.32963403981701E-2</v>
      </c>
      <c r="T166" s="161">
        <v>0</v>
      </c>
      <c r="U166" s="161">
        <v>0</v>
      </c>
      <c r="V166" s="161">
        <v>0</v>
      </c>
      <c r="W166" s="161"/>
      <c r="X166" s="58"/>
      <c r="Y166" s="160"/>
      <c r="Z166" s="160"/>
      <c r="AA166" s="160"/>
      <c r="AB166" s="160"/>
      <c r="AC166" s="160"/>
      <c r="AD166" s="162"/>
      <c r="AE166" s="161"/>
    </row>
    <row r="167" spans="1:31" ht="21.2" customHeight="1">
      <c r="A167" s="8" t="s">
        <v>313</v>
      </c>
      <c r="B167" s="158" t="s">
        <v>867</v>
      </c>
      <c r="C167" s="159">
        <v>28</v>
      </c>
      <c r="D167" s="158" t="s">
        <v>865</v>
      </c>
      <c r="E167" s="58">
        <v>77.400000000000006</v>
      </c>
      <c r="F167" s="160">
        <v>16.268800686773901</v>
      </c>
      <c r="G167" s="161">
        <v>0.28104840601357201</v>
      </c>
      <c r="H167" s="161">
        <v>0.340778550382701</v>
      </c>
      <c r="I167" s="161">
        <v>0.62182695639627295</v>
      </c>
      <c r="J167" s="161">
        <v>2.3414295558119802</v>
      </c>
      <c r="K167" s="161">
        <v>1.16619833122615E-2</v>
      </c>
      <c r="L167" s="161">
        <v>5.4428295885983198E-2</v>
      </c>
      <c r="M167" s="161">
        <v>1.36070967084772E-2</v>
      </c>
      <c r="N167" s="161">
        <v>2.1656127041684299E-2</v>
      </c>
      <c r="O167" s="161">
        <v>0.68725106476257802</v>
      </c>
      <c r="P167" s="161">
        <v>0.97527461805347404</v>
      </c>
      <c r="Q167" s="161">
        <v>4.5629269280495099E-2</v>
      </c>
      <c r="R167" s="161">
        <v>0.88063950643487299</v>
      </c>
      <c r="S167" s="161">
        <v>4.5129745629383697E-2</v>
      </c>
      <c r="T167" s="161">
        <v>4.4627760034411699</v>
      </c>
      <c r="U167" s="161">
        <v>5.7794834691421304</v>
      </c>
      <c r="V167" s="161">
        <v>0.43572182635943002</v>
      </c>
      <c r="W167" s="161"/>
      <c r="X167" s="58"/>
      <c r="Y167" s="160"/>
      <c r="Z167" s="160"/>
      <c r="AA167" s="160"/>
      <c r="AB167" s="160"/>
      <c r="AC167" s="160"/>
      <c r="AD167" s="162"/>
      <c r="AE167" s="161"/>
    </row>
    <row r="168" spans="1:31" ht="21.2" customHeight="1">
      <c r="A168" s="8" t="s">
        <v>394</v>
      </c>
      <c r="B168" s="158" t="s">
        <v>888</v>
      </c>
      <c r="C168" s="159">
        <v>32</v>
      </c>
      <c r="D168" s="158" t="s">
        <v>846</v>
      </c>
      <c r="E168" s="58">
        <v>76.332499999999996</v>
      </c>
      <c r="F168" s="160">
        <v>18.4505426505694</v>
      </c>
      <c r="G168" s="161">
        <v>0.26678352137669498</v>
      </c>
      <c r="H168" s="161">
        <v>0.35489043992126801</v>
      </c>
      <c r="I168" s="161">
        <v>0.62167396129796304</v>
      </c>
      <c r="J168" s="161">
        <v>2.03901671709054</v>
      </c>
      <c r="K168" s="161">
        <v>4.74824708146835E-2</v>
      </c>
      <c r="L168" s="161">
        <v>0.122769219090127</v>
      </c>
      <c r="M168" s="161">
        <v>1.45270656576343E-2</v>
      </c>
      <c r="N168" s="161">
        <v>1.79092186873318E-2</v>
      </c>
      <c r="O168" s="161">
        <v>0.47321396411810002</v>
      </c>
      <c r="P168" s="161">
        <v>0.41050073182852997</v>
      </c>
      <c r="Q168" s="161">
        <v>-7.2050087575329796E-3</v>
      </c>
      <c r="R168" s="161">
        <v>0.27852762269340697</v>
      </c>
      <c r="S168" s="161">
        <v>3.8957371597841101E-2</v>
      </c>
      <c r="T168" s="161">
        <v>10.29582042629</v>
      </c>
      <c r="U168" s="161">
        <v>7.7933103143927598</v>
      </c>
      <c r="V168" s="161">
        <v>0.56917165196526198</v>
      </c>
      <c r="W168" s="161"/>
      <c r="X168" s="58"/>
      <c r="Y168" s="160"/>
      <c r="Z168" s="160"/>
      <c r="AA168" s="160"/>
      <c r="AB168" s="160"/>
      <c r="AC168" s="160"/>
      <c r="AD168" s="162"/>
      <c r="AE168" s="161"/>
    </row>
    <row r="169" spans="1:31" ht="21.2" customHeight="1">
      <c r="A169" s="8" t="s">
        <v>280</v>
      </c>
      <c r="B169" s="158" t="s">
        <v>884</v>
      </c>
      <c r="C169" s="159">
        <v>21</v>
      </c>
      <c r="D169" s="158" t="s">
        <v>848</v>
      </c>
      <c r="E169" s="58">
        <v>79.405000000000001</v>
      </c>
      <c r="F169" s="160">
        <v>16.786392490932901</v>
      </c>
      <c r="G169" s="161">
        <v>0.24043096101122899</v>
      </c>
      <c r="H169" s="161">
        <v>0.37945475683955199</v>
      </c>
      <c r="I169" s="161">
        <v>0.61988571785078195</v>
      </c>
      <c r="J169" s="161">
        <v>2.40339141303305</v>
      </c>
      <c r="K169" s="161">
        <v>3.31044848595963E-2</v>
      </c>
      <c r="L169" s="161">
        <v>0.13365653036632999</v>
      </c>
      <c r="M169" s="161">
        <v>4.3293136626079802E-3</v>
      </c>
      <c r="N169" s="161">
        <v>5.0667315115820498E-3</v>
      </c>
      <c r="O169" s="161">
        <v>0.53355902255522802</v>
      </c>
      <c r="P169" s="161">
        <v>0.98641342675444099</v>
      </c>
      <c r="Q169" s="161">
        <v>0.100873678622553</v>
      </c>
      <c r="R169" s="161">
        <v>0.25538885799150901</v>
      </c>
      <c r="S169" s="161">
        <v>4.3138698061763799E-2</v>
      </c>
      <c r="T169" s="161">
        <v>0.13075762368371199</v>
      </c>
      <c r="U169" s="161">
        <v>0.212497520890046</v>
      </c>
      <c r="V169" s="161">
        <v>0.38093419938711198</v>
      </c>
      <c r="W169" s="161"/>
      <c r="X169" s="58"/>
      <c r="Y169" s="160"/>
      <c r="Z169" s="160"/>
      <c r="AA169" s="160"/>
      <c r="AB169" s="160"/>
      <c r="AC169" s="160"/>
      <c r="AD169" s="162"/>
      <c r="AE169" s="161"/>
    </row>
    <row r="170" spans="1:31" ht="21.2" customHeight="1">
      <c r="A170" s="8" t="s">
        <v>220</v>
      </c>
      <c r="B170" s="158" t="s">
        <v>894</v>
      </c>
      <c r="C170" s="159">
        <v>29</v>
      </c>
      <c r="D170" s="158" t="s">
        <v>849</v>
      </c>
      <c r="E170" s="58">
        <v>73.137857142857101</v>
      </c>
      <c r="F170" s="160">
        <v>24.572124104420698</v>
      </c>
      <c r="G170" s="161">
        <v>0.147148705871057</v>
      </c>
      <c r="H170" s="161">
        <v>0.471867930563659</v>
      </c>
      <c r="I170" s="161">
        <v>0.61901663643471605</v>
      </c>
      <c r="J170" s="161">
        <v>2.5367003760003901</v>
      </c>
      <c r="K170" s="161">
        <v>6.5299778254213799E-3</v>
      </c>
      <c r="L170" s="161">
        <v>0.172172904842117</v>
      </c>
      <c r="M170" s="161">
        <v>3.9243082255554601E-4</v>
      </c>
      <c r="N170" s="161">
        <v>2.83840587556798E-2</v>
      </c>
      <c r="O170" s="161">
        <v>1.5977992107680601</v>
      </c>
      <c r="P170" s="161">
        <v>1.2386313530502999</v>
      </c>
      <c r="Q170" s="161">
        <v>-7.4821434322371996E-2</v>
      </c>
      <c r="R170" s="161">
        <v>0.67587466447517897</v>
      </c>
      <c r="S170" s="161">
        <v>1.5074224587635E-2</v>
      </c>
      <c r="T170" s="161">
        <v>0</v>
      </c>
      <c r="U170" s="161">
        <v>0</v>
      </c>
      <c r="V170" s="161">
        <v>0</v>
      </c>
      <c r="W170" s="161"/>
      <c r="X170" s="58"/>
      <c r="Y170" s="160"/>
      <c r="Z170" s="160"/>
      <c r="AA170" s="160"/>
      <c r="AB170" s="160"/>
      <c r="AC170" s="160"/>
      <c r="AD170" s="162"/>
      <c r="AE170" s="161"/>
    </row>
    <row r="171" spans="1:31" ht="21.2" customHeight="1">
      <c r="A171" s="8" t="s">
        <v>379</v>
      </c>
      <c r="B171" s="158" t="s">
        <v>859</v>
      </c>
      <c r="C171" s="159">
        <v>32</v>
      </c>
      <c r="D171" s="158" t="s">
        <v>847</v>
      </c>
      <c r="E171" s="58">
        <v>69.39</v>
      </c>
      <c r="F171" s="160">
        <v>16.1606972173239</v>
      </c>
      <c r="G171" s="161">
        <v>0.32266857716835201</v>
      </c>
      <c r="H171" s="161">
        <v>0.29499281660736598</v>
      </c>
      <c r="I171" s="161">
        <v>0.61766139377571805</v>
      </c>
      <c r="J171" s="161">
        <v>2.8709819378135202</v>
      </c>
      <c r="K171" s="161">
        <v>2.5340851692511299E-2</v>
      </c>
      <c r="L171" s="161">
        <v>5.5730301376871801E-2</v>
      </c>
      <c r="M171" s="161">
        <v>9.5426672552971197E-3</v>
      </c>
      <c r="N171" s="161">
        <v>2.1243258315354899E-2</v>
      </c>
      <c r="O171" s="161">
        <v>0.32004940737381798</v>
      </c>
      <c r="P171" s="161">
        <v>2.2673814707723801</v>
      </c>
      <c r="Q171" s="161">
        <v>6.0449437695866297E-2</v>
      </c>
      <c r="R171" s="161">
        <v>0.79741840337942604</v>
      </c>
      <c r="S171" s="161">
        <v>5.1074971717570999E-2</v>
      </c>
      <c r="T171" s="161">
        <v>0.27529449943209999</v>
      </c>
      <c r="U171" s="161">
        <v>0.41218643551463002</v>
      </c>
      <c r="V171" s="161">
        <v>0.40043946739182101</v>
      </c>
      <c r="W171" s="161"/>
      <c r="X171" s="58"/>
      <c r="Y171" s="160"/>
      <c r="Z171" s="160"/>
      <c r="AA171" s="160"/>
      <c r="AB171" s="160"/>
      <c r="AC171" s="160"/>
      <c r="AD171" s="162"/>
      <c r="AE171" s="161"/>
    </row>
    <row r="172" spans="1:31" ht="21.2" customHeight="1">
      <c r="A172" s="8" t="s">
        <v>347</v>
      </c>
      <c r="B172" s="158" t="s">
        <v>887</v>
      </c>
      <c r="C172" s="159">
        <v>33</v>
      </c>
      <c r="D172" s="158" t="s">
        <v>860</v>
      </c>
      <c r="E172" s="58">
        <v>74.41</v>
      </c>
      <c r="F172" s="160">
        <v>19.085270646253299</v>
      </c>
      <c r="G172" s="161">
        <v>0.30923624662844301</v>
      </c>
      <c r="H172" s="161">
        <v>0.30603298650004102</v>
      </c>
      <c r="I172" s="161">
        <v>0.61526923312848403</v>
      </c>
      <c r="J172" s="161">
        <v>2.2575855552294999</v>
      </c>
      <c r="K172" s="161">
        <v>7.5096516935409793E-2</v>
      </c>
      <c r="L172" s="161">
        <v>0.17301201102109501</v>
      </c>
      <c r="M172" s="161">
        <v>-1.34933593044201E-3</v>
      </c>
      <c r="N172" s="161">
        <v>-5.4834631242987202E-4</v>
      </c>
      <c r="O172" s="161">
        <v>0.77502523808105905</v>
      </c>
      <c r="P172" s="161">
        <v>0.54387551037425197</v>
      </c>
      <c r="Q172" s="161">
        <v>-7.9160356844939994E-2</v>
      </c>
      <c r="R172" s="161">
        <v>0.35408375814642401</v>
      </c>
      <c r="S172" s="161">
        <v>2.96443222480322E-2</v>
      </c>
      <c r="T172" s="161">
        <v>5.0754356632452396E-3</v>
      </c>
      <c r="U172" s="161">
        <v>4.4303582449012301E-3</v>
      </c>
      <c r="V172" s="161">
        <v>0.53393074921344497</v>
      </c>
      <c r="W172" s="161"/>
      <c r="X172" s="58"/>
      <c r="Y172" s="160"/>
      <c r="Z172" s="160"/>
      <c r="AA172" s="160"/>
      <c r="AB172" s="160"/>
      <c r="AC172" s="160"/>
      <c r="AD172" s="162"/>
      <c r="AE172" s="161"/>
    </row>
    <row r="173" spans="1:31" ht="21.2" customHeight="1">
      <c r="A173" s="8" t="s">
        <v>352</v>
      </c>
      <c r="B173" s="158" t="s">
        <v>883</v>
      </c>
      <c r="C173" s="159">
        <v>30</v>
      </c>
      <c r="D173" s="158" t="s">
        <v>846</v>
      </c>
      <c r="E173" s="58">
        <v>81.178214285714304</v>
      </c>
      <c r="F173" s="160">
        <v>17.865425551579701</v>
      </c>
      <c r="G173" s="161">
        <v>0.232450830320237</v>
      </c>
      <c r="H173" s="161">
        <v>0.38122687941954297</v>
      </c>
      <c r="I173" s="161">
        <v>0.61367770973977898</v>
      </c>
      <c r="J173" s="161">
        <v>1.8975972386229401</v>
      </c>
      <c r="K173" s="161">
        <v>3.4252975933825001E-2</v>
      </c>
      <c r="L173" s="161">
        <v>0.16275154968067301</v>
      </c>
      <c r="M173" s="161">
        <v>2.0534605119517399E-4</v>
      </c>
      <c r="N173" s="161">
        <v>2.5192197257014302E-2</v>
      </c>
      <c r="O173" s="161">
        <v>0.75928724496045896</v>
      </c>
      <c r="P173" s="161">
        <v>0.95075457907099403</v>
      </c>
      <c r="Q173" s="161">
        <v>8.2484016188324096E-3</v>
      </c>
      <c r="R173" s="161">
        <v>0.55039405853211698</v>
      </c>
      <c r="S173" s="161">
        <v>3.4416915337498501E-2</v>
      </c>
      <c r="T173" s="161">
        <v>8.3379514804723893</v>
      </c>
      <c r="U173" s="161">
        <v>7.1612197504567403</v>
      </c>
      <c r="V173" s="161">
        <v>0.53796111780697797</v>
      </c>
      <c r="W173" s="161"/>
      <c r="X173" s="58"/>
      <c r="Y173" s="160"/>
      <c r="Z173" s="160"/>
      <c r="AA173" s="160"/>
      <c r="AB173" s="160"/>
      <c r="AC173" s="160"/>
      <c r="AD173" s="162"/>
      <c r="AE173" s="161"/>
    </row>
    <row r="174" spans="1:31" ht="21.2" customHeight="1">
      <c r="A174" s="8" t="s">
        <v>296</v>
      </c>
      <c r="B174" s="158" t="s">
        <v>891</v>
      </c>
      <c r="C174" s="159">
        <v>33</v>
      </c>
      <c r="D174" s="158" t="s">
        <v>847</v>
      </c>
      <c r="E174" s="58">
        <v>76.958571428571403</v>
      </c>
      <c r="F174" s="160">
        <v>17.360280597370402</v>
      </c>
      <c r="G174" s="161">
        <v>0.33717715455491998</v>
      </c>
      <c r="H174" s="161">
        <v>0.27408495831357099</v>
      </c>
      <c r="I174" s="161">
        <v>0.61126211286848997</v>
      </c>
      <c r="J174" s="161">
        <v>2.5504525251980099</v>
      </c>
      <c r="K174" s="161">
        <v>0.10058557608987299</v>
      </c>
      <c r="L174" s="161">
        <v>0.19399425435971501</v>
      </c>
      <c r="M174" s="161">
        <v>6.4901932750716706E-5</v>
      </c>
      <c r="N174" s="161">
        <v>1.0978617039524E-4</v>
      </c>
      <c r="O174" s="161">
        <v>0.59010330700009905</v>
      </c>
      <c r="P174" s="161">
        <v>1.38979678063033</v>
      </c>
      <c r="Q174" s="161">
        <v>3.1471261018996097E-2</v>
      </c>
      <c r="R174" s="161">
        <v>0.52564730389256997</v>
      </c>
      <c r="S174" s="161">
        <v>5.2101240175315103E-2</v>
      </c>
      <c r="T174" s="161">
        <v>0.52417368446759405</v>
      </c>
      <c r="U174" s="161">
        <v>0.49538158336312099</v>
      </c>
      <c r="V174" s="161">
        <v>0.51411993150981095</v>
      </c>
      <c r="W174" s="161"/>
      <c r="X174" s="58"/>
      <c r="Y174" s="160"/>
      <c r="Z174" s="160"/>
      <c r="AA174" s="160"/>
      <c r="AB174" s="160"/>
      <c r="AC174" s="160"/>
      <c r="AD174" s="162"/>
      <c r="AE174" s="161"/>
    </row>
    <row r="175" spans="1:31" ht="21.2" customHeight="1">
      <c r="A175" s="8" t="s">
        <v>319</v>
      </c>
      <c r="B175" s="158" t="s">
        <v>866</v>
      </c>
      <c r="C175" s="159">
        <v>28</v>
      </c>
      <c r="D175" s="158" t="s">
        <v>864</v>
      </c>
      <c r="E175" s="58">
        <v>67.542857142857102</v>
      </c>
      <c r="F175" s="160">
        <v>15.7725961498048</v>
      </c>
      <c r="G175" s="161">
        <v>0.241320684347377</v>
      </c>
      <c r="H175" s="161">
        <v>0.36693525199930999</v>
      </c>
      <c r="I175" s="161">
        <v>0.60825593634668695</v>
      </c>
      <c r="J175" s="161">
        <v>2.1360277379974599</v>
      </c>
      <c r="K175" s="161">
        <v>5.7433550445191703E-2</v>
      </c>
      <c r="L175" s="161">
        <v>0.13654425653463001</v>
      </c>
      <c r="M175" s="161">
        <v>1.6400220088496001E-4</v>
      </c>
      <c r="N175" s="161">
        <v>3.2517444127411698E-4</v>
      </c>
      <c r="O175" s="161">
        <v>0.468528031379712</v>
      </c>
      <c r="P175" s="161">
        <v>0.99950578362165898</v>
      </c>
      <c r="Q175" s="161">
        <v>6.1846546451768403E-2</v>
      </c>
      <c r="R175" s="161">
        <v>0.39833828560173401</v>
      </c>
      <c r="S175" s="161">
        <v>3.8768103798340503E-2</v>
      </c>
      <c r="T175" s="161">
        <v>8.0576974804479604E-2</v>
      </c>
      <c r="U175" s="161">
        <v>0.22617451440700501</v>
      </c>
      <c r="V175" s="161">
        <v>0.26267834921227501</v>
      </c>
      <c r="W175" s="161"/>
      <c r="X175" s="58"/>
      <c r="Y175" s="160"/>
      <c r="Z175" s="160"/>
      <c r="AA175" s="160"/>
      <c r="AB175" s="160"/>
      <c r="AC175" s="160"/>
      <c r="AD175" s="162"/>
      <c r="AE175" s="161"/>
    </row>
    <row r="176" spans="1:31" ht="21.2" customHeight="1">
      <c r="A176" s="8" t="s">
        <v>491</v>
      </c>
      <c r="B176" s="158" t="s">
        <v>882</v>
      </c>
      <c r="C176" s="159">
        <v>35</v>
      </c>
      <c r="D176" s="158" t="s">
        <v>846</v>
      </c>
      <c r="E176" s="58">
        <v>66.7</v>
      </c>
      <c r="F176" s="160">
        <v>16.9030468764843</v>
      </c>
      <c r="G176" s="161">
        <v>0.17366978092309299</v>
      </c>
      <c r="H176" s="161">
        <v>0.43366486320653502</v>
      </c>
      <c r="I176" s="161">
        <v>0.60733464412962801</v>
      </c>
      <c r="J176" s="161">
        <v>1.5755781855244999</v>
      </c>
      <c r="K176" s="161">
        <v>7.4699359307051294E-2</v>
      </c>
      <c r="L176" s="161">
        <v>0.266547301174339</v>
      </c>
      <c r="M176" s="161">
        <v>3.7848997543403999E-4</v>
      </c>
      <c r="N176" s="161">
        <v>5.4065233974002005E-4</v>
      </c>
      <c r="O176" s="161">
        <v>0.48768429561079302</v>
      </c>
      <c r="P176" s="161">
        <v>0.63521450362773002</v>
      </c>
      <c r="Q176" s="161">
        <v>-5.1693656775993399E-2</v>
      </c>
      <c r="R176" s="161">
        <v>0.31545766006998899</v>
      </c>
      <c r="S176" s="161">
        <v>2.1362405394121799E-2</v>
      </c>
      <c r="T176" s="161">
        <v>6.2809495706374996</v>
      </c>
      <c r="U176" s="161">
        <v>6.7148599818991697</v>
      </c>
      <c r="V176" s="161">
        <v>0.48330575677076698</v>
      </c>
      <c r="W176" s="161"/>
      <c r="X176" s="58"/>
      <c r="Y176" s="160"/>
      <c r="Z176" s="160"/>
      <c r="AA176" s="160"/>
      <c r="AB176" s="160"/>
      <c r="AC176" s="160"/>
      <c r="AD176" s="162"/>
      <c r="AE176" s="161"/>
    </row>
    <row r="177" spans="1:31" ht="21.2" customHeight="1">
      <c r="A177" s="8" t="s">
        <v>291</v>
      </c>
      <c r="B177" s="158" t="s">
        <v>874</v>
      </c>
      <c r="C177" s="159">
        <v>31</v>
      </c>
      <c r="D177" s="158" t="s">
        <v>848</v>
      </c>
      <c r="E177" s="58">
        <v>78.827500000000001</v>
      </c>
      <c r="F177" s="160">
        <v>17.808556389030102</v>
      </c>
      <c r="G177" s="161">
        <v>0.26265512651915901</v>
      </c>
      <c r="H177" s="161">
        <v>0.341528881150785</v>
      </c>
      <c r="I177" s="161">
        <v>0.60418400766994396</v>
      </c>
      <c r="J177" s="161">
        <v>2.51558719639393</v>
      </c>
      <c r="K177" s="161">
        <v>4.76247934315795E-2</v>
      </c>
      <c r="L177" s="161">
        <v>0.138572771215798</v>
      </c>
      <c r="M177" s="161">
        <v>6.6911294952359996E-4</v>
      </c>
      <c r="N177" s="161">
        <v>9.3045834139349106E-3</v>
      </c>
      <c r="O177" s="161">
        <v>0.60151612221693496</v>
      </c>
      <c r="P177" s="161">
        <v>1.06658824148702</v>
      </c>
      <c r="Q177" s="161">
        <v>3.8207935057132901E-2</v>
      </c>
      <c r="R177" s="161">
        <v>0.33756819793696202</v>
      </c>
      <c r="S177" s="161">
        <v>4.2161407062686701E-2</v>
      </c>
      <c r="T177" s="161">
        <v>4.6223253695290102E-2</v>
      </c>
      <c r="U177" s="161">
        <v>7.01021020041106E-2</v>
      </c>
      <c r="V177" s="161">
        <v>0.39736180832953399</v>
      </c>
      <c r="W177" s="161"/>
      <c r="X177" s="58"/>
      <c r="Y177" s="160"/>
      <c r="Z177" s="160"/>
      <c r="AA177" s="160"/>
      <c r="AB177" s="160"/>
      <c r="AC177" s="160"/>
      <c r="AD177" s="162"/>
      <c r="AE177" s="161"/>
    </row>
    <row r="178" spans="1:31" ht="21.2" customHeight="1">
      <c r="A178" s="8" t="s">
        <v>183</v>
      </c>
      <c r="B178" s="158" t="s">
        <v>886</v>
      </c>
      <c r="C178" s="159">
        <v>33</v>
      </c>
      <c r="D178" s="158" t="s">
        <v>849</v>
      </c>
      <c r="E178" s="58">
        <v>77.961071428571401</v>
      </c>
      <c r="F178" s="160">
        <v>24.516015218530701</v>
      </c>
      <c r="G178" s="161">
        <v>0.14153950247965599</v>
      </c>
      <c r="H178" s="161">
        <v>0.46033129808700701</v>
      </c>
      <c r="I178" s="161">
        <v>0.60187080056666298</v>
      </c>
      <c r="J178" s="161">
        <v>2.5067375897895401</v>
      </c>
      <c r="K178" s="161">
        <v>2.1113667603765901E-2</v>
      </c>
      <c r="L178" s="161">
        <v>0.15783394485333499</v>
      </c>
      <c r="M178" s="161">
        <v>3.57247806839338E-3</v>
      </c>
      <c r="N178" s="161">
        <v>2.8188048243080899E-2</v>
      </c>
      <c r="O178" s="161">
        <v>2.2281854348805399</v>
      </c>
      <c r="P178" s="161">
        <v>0.93246176071454301</v>
      </c>
      <c r="Q178" s="161">
        <v>6.9783833692841996E-2</v>
      </c>
      <c r="R178" s="161">
        <v>0.35503022726334599</v>
      </c>
      <c r="S178" s="161">
        <v>2.3131416576236501E-2</v>
      </c>
      <c r="T178" s="161">
        <v>4.5688359598668304E-3</v>
      </c>
      <c r="U178" s="161">
        <v>5.8064032551822702E-3</v>
      </c>
      <c r="V178" s="161">
        <v>0.44035957775699403</v>
      </c>
      <c r="W178" s="161"/>
      <c r="X178" s="58"/>
      <c r="Y178" s="160"/>
      <c r="Z178" s="160"/>
      <c r="AA178" s="160"/>
      <c r="AB178" s="160"/>
      <c r="AC178" s="160"/>
      <c r="AD178" s="162"/>
      <c r="AE178" s="161"/>
    </row>
    <row r="179" spans="1:31" ht="21.2" customHeight="1">
      <c r="A179" s="8" t="s">
        <v>384</v>
      </c>
      <c r="B179" s="158" t="s">
        <v>886</v>
      </c>
      <c r="C179" s="159">
        <v>30</v>
      </c>
      <c r="D179" s="158" t="s">
        <v>846</v>
      </c>
      <c r="E179" s="58">
        <v>79.967500000000001</v>
      </c>
      <c r="F179" s="160">
        <v>17.934939206364302</v>
      </c>
      <c r="G179" s="161">
        <v>0.185969572218528</v>
      </c>
      <c r="H179" s="161">
        <v>0.414912745322916</v>
      </c>
      <c r="I179" s="161">
        <v>0.60088231754144406</v>
      </c>
      <c r="J179" s="161">
        <v>1.9900449846036099</v>
      </c>
      <c r="K179" s="161">
        <v>1.7847420228975602E-2</v>
      </c>
      <c r="L179" s="161">
        <v>8.6650676471910604E-2</v>
      </c>
      <c r="M179" s="161">
        <v>1.9256311860773302E-2</v>
      </c>
      <c r="N179" s="161">
        <v>4.3925840173252198E-2</v>
      </c>
      <c r="O179" s="161">
        <v>0.609067972835445</v>
      </c>
      <c r="P179" s="161">
        <v>0.65704918871808504</v>
      </c>
      <c r="Q179" s="161">
        <v>7.7482702751374602E-2</v>
      </c>
      <c r="R179" s="161">
        <v>0.173043724743251</v>
      </c>
      <c r="S179" s="161">
        <v>3.0392502235265101E-2</v>
      </c>
      <c r="T179" s="161">
        <v>7.8453967153992199</v>
      </c>
      <c r="U179" s="161">
        <v>6.7097303594059401</v>
      </c>
      <c r="V179" s="161">
        <v>0.53901258814700104</v>
      </c>
      <c r="W179" s="161"/>
      <c r="X179" s="58"/>
      <c r="Y179" s="160"/>
      <c r="Z179" s="160"/>
      <c r="AA179" s="160"/>
      <c r="AB179" s="160"/>
      <c r="AC179" s="160"/>
      <c r="AD179" s="162"/>
      <c r="AE179" s="161"/>
    </row>
    <row r="180" spans="1:31" ht="21.2" customHeight="1">
      <c r="A180" s="8" t="s">
        <v>363</v>
      </c>
      <c r="B180" s="158" t="s">
        <v>875</v>
      </c>
      <c r="C180" s="159">
        <v>30</v>
      </c>
      <c r="D180" s="158" t="s">
        <v>846</v>
      </c>
      <c r="E180" s="58">
        <v>74.489999999999995</v>
      </c>
      <c r="F180" s="160">
        <v>18.172821028107698</v>
      </c>
      <c r="G180" s="161">
        <v>0.30981358368580703</v>
      </c>
      <c r="H180" s="161">
        <v>0.29010940046714601</v>
      </c>
      <c r="I180" s="161">
        <v>0.59992298415295398</v>
      </c>
      <c r="J180" s="161">
        <v>2.64830257593598</v>
      </c>
      <c r="K180" s="161">
        <v>7.3772321665886098E-2</v>
      </c>
      <c r="L180" s="161">
        <v>0.113676256425362</v>
      </c>
      <c r="M180" s="161">
        <v>1.9359779018419E-3</v>
      </c>
      <c r="N180" s="161">
        <v>2.0644024498820898E-3</v>
      </c>
      <c r="O180" s="161">
        <v>0.88012221695257997</v>
      </c>
      <c r="P180" s="161">
        <v>1.5682871171003001</v>
      </c>
      <c r="Q180" s="161">
        <v>-7.7267028931596607E-2</v>
      </c>
      <c r="R180" s="161">
        <v>0.418415732555112</v>
      </c>
      <c r="S180" s="161">
        <v>3.3198658616475599E-2</v>
      </c>
      <c r="T180" s="161">
        <v>9.7151216095950392</v>
      </c>
      <c r="U180" s="161">
        <v>8.1549711299504004</v>
      </c>
      <c r="V180" s="161">
        <v>0.54365255688326997</v>
      </c>
      <c r="W180" s="161"/>
      <c r="X180" s="58"/>
      <c r="Y180" s="160"/>
      <c r="Z180" s="160"/>
      <c r="AA180" s="160"/>
      <c r="AB180" s="160"/>
      <c r="AC180" s="160"/>
      <c r="AD180" s="162"/>
      <c r="AE180" s="161"/>
    </row>
    <row r="181" spans="1:31" ht="21.2" customHeight="1">
      <c r="A181" s="8" t="s">
        <v>336</v>
      </c>
      <c r="B181" s="158" t="s">
        <v>884</v>
      </c>
      <c r="C181" s="159">
        <v>28</v>
      </c>
      <c r="D181" s="158" t="s">
        <v>864</v>
      </c>
      <c r="E181" s="58">
        <v>73.732500000000002</v>
      </c>
      <c r="F181" s="160">
        <v>16.590954767082099</v>
      </c>
      <c r="G181" s="161">
        <v>0.205022552246682</v>
      </c>
      <c r="H181" s="161">
        <v>0.39432427133208497</v>
      </c>
      <c r="I181" s="161">
        <v>0.59934682357876701</v>
      </c>
      <c r="J181" s="161">
        <v>2.1096806473021998</v>
      </c>
      <c r="K181" s="161">
        <v>6.8216436624570401E-2</v>
      </c>
      <c r="L181" s="161">
        <v>0.19152194825607899</v>
      </c>
      <c r="M181" s="161">
        <v>2.50780972761355E-2</v>
      </c>
      <c r="N181" s="161">
        <v>3.7714333924751597E-2</v>
      </c>
      <c r="O181" s="161">
        <v>0.33407971225028299</v>
      </c>
      <c r="P181" s="161">
        <v>0.34681670538296</v>
      </c>
      <c r="Q181" s="161">
        <v>8.1918946054117606E-2</v>
      </c>
      <c r="R181" s="161">
        <v>0.291920848729468</v>
      </c>
      <c r="S181" s="161">
        <v>3.6785636675172997E-2</v>
      </c>
      <c r="T181" s="161">
        <v>0.42229980744238499</v>
      </c>
      <c r="U181" s="161">
        <v>0.297877447660439</v>
      </c>
      <c r="V181" s="161">
        <v>0.58638315005115105</v>
      </c>
      <c r="W181" s="161"/>
      <c r="X181" s="58"/>
      <c r="Y181" s="160"/>
      <c r="Z181" s="160"/>
      <c r="AA181" s="160"/>
      <c r="AB181" s="160"/>
      <c r="AC181" s="160"/>
      <c r="AD181" s="162"/>
      <c r="AE181" s="161"/>
    </row>
    <row r="182" spans="1:31" ht="21.2" customHeight="1">
      <c r="A182" s="8" t="s">
        <v>335</v>
      </c>
      <c r="B182" s="158" t="s">
        <v>873</v>
      </c>
      <c r="C182" s="159">
        <v>27</v>
      </c>
      <c r="D182" s="158" t="s">
        <v>864</v>
      </c>
      <c r="E182" s="58">
        <v>80.14</v>
      </c>
      <c r="F182" s="160">
        <v>15.157856458244</v>
      </c>
      <c r="G182" s="161">
        <v>0.21844946973649099</v>
      </c>
      <c r="H182" s="161">
        <v>0.38083017901178001</v>
      </c>
      <c r="I182" s="161">
        <v>0.599279648748272</v>
      </c>
      <c r="J182" s="161">
        <v>2.0829104173750999</v>
      </c>
      <c r="K182" s="161">
        <v>2.7846402447674098E-2</v>
      </c>
      <c r="L182" s="161">
        <v>0.111796366973841</v>
      </c>
      <c r="M182" s="161">
        <v>6.8938332126640097E-5</v>
      </c>
      <c r="N182" s="161">
        <v>1.30382933536494E-4</v>
      </c>
      <c r="O182" s="161">
        <v>0.27000927714698703</v>
      </c>
      <c r="P182" s="161">
        <v>0.63268533988221498</v>
      </c>
      <c r="Q182" s="161">
        <v>2.2912287943463699E-2</v>
      </c>
      <c r="R182" s="161">
        <v>0.32638910636900598</v>
      </c>
      <c r="S182" s="161">
        <v>3.0923630250083201E-2</v>
      </c>
      <c r="T182" s="161">
        <v>6.3769588405691302E-2</v>
      </c>
      <c r="U182" s="161">
        <v>0.121809346887516</v>
      </c>
      <c r="V182" s="161">
        <v>0.343625144227376</v>
      </c>
      <c r="W182" s="161"/>
      <c r="X182" s="58"/>
      <c r="Y182" s="160"/>
      <c r="Z182" s="160"/>
      <c r="AA182" s="160"/>
      <c r="AB182" s="160"/>
      <c r="AC182" s="160"/>
      <c r="AD182" s="162"/>
      <c r="AE182" s="161"/>
    </row>
    <row r="183" spans="1:31" ht="21.2" customHeight="1">
      <c r="A183" s="8" t="s">
        <v>226</v>
      </c>
      <c r="B183" s="158" t="s">
        <v>879</v>
      </c>
      <c r="C183" s="159">
        <v>25</v>
      </c>
      <c r="D183" s="158" t="s">
        <v>849</v>
      </c>
      <c r="E183" s="58">
        <v>71.182500000000005</v>
      </c>
      <c r="F183" s="160">
        <v>22.2429457520326</v>
      </c>
      <c r="G183" s="161">
        <v>0.18583146734838499</v>
      </c>
      <c r="H183" s="161">
        <v>0.411742753852122</v>
      </c>
      <c r="I183" s="161">
        <v>0.59757422120050696</v>
      </c>
      <c r="J183" s="161">
        <v>2.7087813355990198</v>
      </c>
      <c r="K183" s="161">
        <v>4.5773122883485402E-2</v>
      </c>
      <c r="L183" s="161">
        <v>0.11140905891450099</v>
      </c>
      <c r="M183" s="161">
        <v>5.3416362676018698E-4</v>
      </c>
      <c r="N183" s="161">
        <v>2.6697404133903899E-3</v>
      </c>
      <c r="O183" s="161">
        <v>1.5715111962985699</v>
      </c>
      <c r="P183" s="161">
        <v>1.1030924728215901</v>
      </c>
      <c r="Q183" s="161">
        <v>1.9861878228902698E-2</v>
      </c>
      <c r="R183" s="161">
        <v>0.66412848251698198</v>
      </c>
      <c r="S183" s="161">
        <v>2.7946433977714499E-2</v>
      </c>
      <c r="T183" s="161">
        <v>0</v>
      </c>
      <c r="U183" s="161">
        <v>0</v>
      </c>
      <c r="V183" s="161">
        <v>0</v>
      </c>
      <c r="W183" s="161"/>
      <c r="X183" s="58"/>
      <c r="Y183" s="160"/>
      <c r="Z183" s="160"/>
      <c r="AA183" s="160"/>
      <c r="AB183" s="160"/>
      <c r="AC183" s="160"/>
      <c r="AD183" s="162"/>
      <c r="AE183" s="161"/>
    </row>
    <row r="184" spans="1:31" ht="21.2" customHeight="1">
      <c r="A184" s="8" t="s">
        <v>374</v>
      </c>
      <c r="B184" s="158" t="s">
        <v>863</v>
      </c>
      <c r="C184" s="159">
        <v>21</v>
      </c>
      <c r="D184" s="158" t="s">
        <v>860</v>
      </c>
      <c r="E184" s="58">
        <v>76.795000000000002</v>
      </c>
      <c r="F184" s="160">
        <v>16.623593486120601</v>
      </c>
      <c r="G184" s="161">
        <v>0.23633517891057201</v>
      </c>
      <c r="H184" s="161">
        <v>0.36098123079174099</v>
      </c>
      <c r="I184" s="161">
        <v>0.59731640970231303</v>
      </c>
      <c r="J184" s="161">
        <v>2.0988986129991001</v>
      </c>
      <c r="K184" s="161">
        <v>1.6491328012621199E-2</v>
      </c>
      <c r="L184" s="161">
        <v>8.1672358727756203E-2</v>
      </c>
      <c r="M184" s="161">
        <v>2.1771840372552101E-2</v>
      </c>
      <c r="N184" s="161">
        <v>3.8810497414714297E-2</v>
      </c>
      <c r="O184" s="161">
        <v>0.55780631703723704</v>
      </c>
      <c r="P184" s="161">
        <v>0.52378156251119101</v>
      </c>
      <c r="Q184" s="161">
        <v>5.9029924355734398E-2</v>
      </c>
      <c r="R184" s="161">
        <v>0.46757161106747602</v>
      </c>
      <c r="S184" s="161">
        <v>3.3902820491190401E-2</v>
      </c>
      <c r="T184" s="161">
        <v>3.96060683679555</v>
      </c>
      <c r="U184" s="161">
        <v>4.6952795477063303</v>
      </c>
      <c r="V184" s="161">
        <v>0.45756224849333799</v>
      </c>
      <c r="W184" s="161"/>
      <c r="X184" s="58"/>
      <c r="Y184" s="160"/>
      <c r="Z184" s="160"/>
      <c r="AA184" s="160"/>
      <c r="AB184" s="160"/>
      <c r="AC184" s="160"/>
      <c r="AD184" s="162"/>
      <c r="AE184" s="161"/>
    </row>
    <row r="185" spans="1:31" ht="21.2" customHeight="1">
      <c r="A185" s="8" t="s">
        <v>213</v>
      </c>
      <c r="B185" s="158" t="s">
        <v>879</v>
      </c>
      <c r="C185" s="159">
        <v>26</v>
      </c>
      <c r="D185" s="158" t="s">
        <v>849</v>
      </c>
      <c r="E185" s="58">
        <v>75.357500000000002</v>
      </c>
      <c r="F185" s="160">
        <v>23.191991085681899</v>
      </c>
      <c r="G185" s="161">
        <v>0.13196953475005699</v>
      </c>
      <c r="H185" s="161">
        <v>0.46460104841323802</v>
      </c>
      <c r="I185" s="161">
        <v>0.59657058316329503</v>
      </c>
      <c r="J185" s="161">
        <v>2.2801530650735198</v>
      </c>
      <c r="K185" s="161">
        <v>4.1720288072159002E-2</v>
      </c>
      <c r="L185" s="161">
        <v>0.213548380917743</v>
      </c>
      <c r="M185" s="161">
        <v>1.40321536053882E-4</v>
      </c>
      <c r="N185" s="161">
        <v>6.0683917552213499E-4</v>
      </c>
      <c r="O185" s="161">
        <v>1.5414889400776099</v>
      </c>
      <c r="P185" s="161">
        <v>1.11272693826443</v>
      </c>
      <c r="Q185" s="161">
        <v>1.5636160837798799E-2</v>
      </c>
      <c r="R185" s="161">
        <v>0.59551417382322003</v>
      </c>
      <c r="S185" s="161">
        <v>1.98463583298732E-2</v>
      </c>
      <c r="T185" s="161">
        <v>0</v>
      </c>
      <c r="U185" s="161">
        <v>0</v>
      </c>
      <c r="V185" s="161">
        <v>0</v>
      </c>
      <c r="W185" s="161"/>
      <c r="X185" s="58"/>
      <c r="Y185" s="160"/>
      <c r="Z185" s="160"/>
      <c r="AA185" s="160"/>
      <c r="AB185" s="160"/>
      <c r="AC185" s="160"/>
      <c r="AD185" s="162"/>
      <c r="AE185" s="161"/>
    </row>
    <row r="186" spans="1:31" ht="21.2" customHeight="1">
      <c r="A186" s="8" t="s">
        <v>309</v>
      </c>
      <c r="B186" s="158" t="s">
        <v>875</v>
      </c>
      <c r="C186" s="159">
        <v>20</v>
      </c>
      <c r="D186" s="158" t="s">
        <v>880</v>
      </c>
      <c r="E186" s="58">
        <v>80.784999999999997</v>
      </c>
      <c r="F186" s="160">
        <v>15.947180340111601</v>
      </c>
      <c r="G186" s="161">
        <v>0.23888613358443</v>
      </c>
      <c r="H186" s="161">
        <v>0.356546691864982</v>
      </c>
      <c r="I186" s="161">
        <v>0.59543282544941201</v>
      </c>
      <c r="J186" s="161">
        <v>1.77309881170905</v>
      </c>
      <c r="K186" s="161">
        <v>5.4533369092284997E-2</v>
      </c>
      <c r="L186" s="161">
        <v>0.16046208335494899</v>
      </c>
      <c r="M186" s="161">
        <v>5.9162691113572601E-5</v>
      </c>
      <c r="N186" s="161">
        <v>1.19989430306747E-4</v>
      </c>
      <c r="O186" s="161">
        <v>0.41001579005514099</v>
      </c>
      <c r="P186" s="161">
        <v>0.34409951870312899</v>
      </c>
      <c r="Q186" s="161">
        <v>-7.2791239640390207E-2</v>
      </c>
      <c r="R186" s="161">
        <v>0.263644427790029</v>
      </c>
      <c r="S186" s="161">
        <v>2.5598293989336801E-2</v>
      </c>
      <c r="T186" s="161">
        <v>0.51702536422936096</v>
      </c>
      <c r="U186" s="161">
        <v>1.3777814824897101</v>
      </c>
      <c r="V186" s="161">
        <v>0.27286441629900798</v>
      </c>
      <c r="W186" s="161"/>
      <c r="X186" s="58"/>
      <c r="Y186" s="160"/>
      <c r="Z186" s="160"/>
      <c r="AA186" s="160"/>
      <c r="AB186" s="160"/>
      <c r="AC186" s="160"/>
      <c r="AD186" s="162"/>
      <c r="AE186" s="161"/>
    </row>
    <row r="187" spans="1:31" ht="21.2" customHeight="1">
      <c r="A187" s="8" t="s">
        <v>216</v>
      </c>
      <c r="B187" s="158" t="s">
        <v>887</v>
      </c>
      <c r="C187" s="159">
        <v>31</v>
      </c>
      <c r="D187" s="158" t="s">
        <v>849</v>
      </c>
      <c r="E187" s="58">
        <v>81.204999999999998</v>
      </c>
      <c r="F187" s="160">
        <v>24.527451575266799</v>
      </c>
      <c r="G187" s="161">
        <v>0.12671824272884</v>
      </c>
      <c r="H187" s="161">
        <v>0.46828235676551599</v>
      </c>
      <c r="I187" s="161">
        <v>0.59500059949435602</v>
      </c>
      <c r="J187" s="161">
        <v>1.7298118068293</v>
      </c>
      <c r="K187" s="161">
        <v>6.1724134859783501E-2</v>
      </c>
      <c r="L187" s="161">
        <v>0.231402370294193</v>
      </c>
      <c r="M187" s="161">
        <v>-1.59903827415368E-4</v>
      </c>
      <c r="N187" s="161">
        <v>-5.9284969119036298E-4</v>
      </c>
      <c r="O187" s="161">
        <v>1.34801062978148</v>
      </c>
      <c r="P187" s="161">
        <v>0.48000505628154999</v>
      </c>
      <c r="Q187" s="161">
        <v>-0.104753362313354</v>
      </c>
      <c r="R187" s="161">
        <v>0.28915429010733701</v>
      </c>
      <c r="S187" s="161">
        <v>1.21475941553243E-2</v>
      </c>
      <c r="T187" s="161">
        <v>0</v>
      </c>
      <c r="U187" s="161">
        <v>0</v>
      </c>
      <c r="V187" s="161">
        <v>0</v>
      </c>
      <c r="W187" s="161"/>
      <c r="X187" s="58"/>
      <c r="Y187" s="160"/>
      <c r="Z187" s="160"/>
      <c r="AA187" s="160"/>
      <c r="AB187" s="160"/>
      <c r="AC187" s="160"/>
      <c r="AD187" s="162"/>
      <c r="AE187" s="161"/>
    </row>
    <row r="188" spans="1:31" ht="21.2" customHeight="1">
      <c r="A188" s="8" t="s">
        <v>369</v>
      </c>
      <c r="B188" s="158" t="s">
        <v>869</v>
      </c>
      <c r="C188" s="159">
        <v>20</v>
      </c>
      <c r="D188" s="158" t="s">
        <v>846</v>
      </c>
      <c r="E188" s="58">
        <v>80.83</v>
      </c>
      <c r="F188" s="160">
        <v>16.282738376672199</v>
      </c>
      <c r="G188" s="161">
        <v>0.31425474121709901</v>
      </c>
      <c r="H188" s="161">
        <v>0.27748452786986</v>
      </c>
      <c r="I188" s="161">
        <v>0.59173926908695895</v>
      </c>
      <c r="J188" s="161">
        <v>2.0296673492552002</v>
      </c>
      <c r="K188" s="161">
        <v>4.2915896238517701E-2</v>
      </c>
      <c r="L188" s="161">
        <v>9.9214351257219405E-2</v>
      </c>
      <c r="M188" s="161">
        <v>2.63445004857772E-3</v>
      </c>
      <c r="N188" s="161">
        <v>5.7590505263445096E-3</v>
      </c>
      <c r="O188" s="161">
        <v>0.41000527716291002</v>
      </c>
      <c r="P188" s="161">
        <v>0.38990969252108398</v>
      </c>
      <c r="Q188" s="161">
        <v>6.52706021710866E-2</v>
      </c>
      <c r="R188" s="161">
        <v>0.30364533825351298</v>
      </c>
      <c r="S188" s="161">
        <v>5.0278530825761503E-2</v>
      </c>
      <c r="T188" s="161">
        <v>1.8597850056065099</v>
      </c>
      <c r="U188" s="161">
        <v>2.4369596625188801</v>
      </c>
      <c r="V188" s="161">
        <v>0.43283582089552203</v>
      </c>
      <c r="W188" s="161"/>
      <c r="X188" s="58"/>
      <c r="Y188" s="160"/>
      <c r="Z188" s="160"/>
      <c r="AA188" s="160"/>
      <c r="AB188" s="160"/>
      <c r="AC188" s="160"/>
      <c r="AD188" s="162"/>
      <c r="AE188" s="161"/>
    </row>
    <row r="189" spans="1:31" ht="21.2" customHeight="1">
      <c r="A189" s="8" t="s">
        <v>367</v>
      </c>
      <c r="B189" s="158" t="s">
        <v>888</v>
      </c>
      <c r="C189" s="159">
        <v>24</v>
      </c>
      <c r="D189" s="158" t="s">
        <v>865</v>
      </c>
      <c r="E189" s="58">
        <v>70.1697321428571</v>
      </c>
      <c r="F189" s="160">
        <v>16.462381640232898</v>
      </c>
      <c r="G189" s="161">
        <v>0.23815283764335499</v>
      </c>
      <c r="H189" s="161">
        <v>0.35094262460728298</v>
      </c>
      <c r="I189" s="161">
        <v>0.58909546225063802</v>
      </c>
      <c r="J189" s="161">
        <v>2.0052793535060598</v>
      </c>
      <c r="K189" s="161">
        <v>0.100407794423438</v>
      </c>
      <c r="L189" s="161">
        <v>0.169161575561706</v>
      </c>
      <c r="M189" s="161">
        <v>8.64450380796098E-4</v>
      </c>
      <c r="N189" s="161">
        <v>1.7327224493937699E-3</v>
      </c>
      <c r="O189" s="161">
        <v>0.475190919397388</v>
      </c>
      <c r="P189" s="161">
        <v>0.97205049595882298</v>
      </c>
      <c r="Q189" s="161">
        <v>1.4267656486147201E-2</v>
      </c>
      <c r="R189" s="161">
        <v>0.33290301368546998</v>
      </c>
      <c r="S189" s="161">
        <v>3.4776542963657599E-2</v>
      </c>
      <c r="T189" s="161">
        <v>5.3411211446928997</v>
      </c>
      <c r="U189" s="161">
        <v>5.8578738903319403</v>
      </c>
      <c r="V189" s="161">
        <v>0.47692861082521698</v>
      </c>
      <c r="W189" s="161"/>
      <c r="X189" s="58"/>
      <c r="Y189" s="160"/>
      <c r="Z189" s="160"/>
      <c r="AA189" s="160"/>
      <c r="AB189" s="160"/>
      <c r="AC189" s="160"/>
      <c r="AD189" s="162"/>
      <c r="AE189" s="161"/>
    </row>
    <row r="190" spans="1:31" ht="21.2" customHeight="1">
      <c r="A190" s="8" t="s">
        <v>349</v>
      </c>
      <c r="B190" s="158" t="s">
        <v>869</v>
      </c>
      <c r="C190" s="159">
        <v>31</v>
      </c>
      <c r="D190" s="158" t="s">
        <v>865</v>
      </c>
      <c r="E190" s="58">
        <v>73.0667857142857</v>
      </c>
      <c r="F190" s="160">
        <v>16.814175211007701</v>
      </c>
      <c r="G190" s="161">
        <v>0.26067625049095999</v>
      </c>
      <c r="H190" s="161">
        <v>0.32735195526430699</v>
      </c>
      <c r="I190" s="161">
        <v>0.58802820575526704</v>
      </c>
      <c r="J190" s="161">
        <v>2.40247414463076</v>
      </c>
      <c r="K190" s="161">
        <v>5.9277070995199299E-2</v>
      </c>
      <c r="L190" s="161">
        <v>0.125984064054666</v>
      </c>
      <c r="M190" s="161">
        <v>1.1981145941404101E-2</v>
      </c>
      <c r="N190" s="161">
        <v>2.35742996812583E-2</v>
      </c>
      <c r="O190" s="161">
        <v>0.35966491595982902</v>
      </c>
      <c r="P190" s="161">
        <v>1.0945710590283</v>
      </c>
      <c r="Q190" s="161">
        <v>4.6943392885009802E-2</v>
      </c>
      <c r="R190" s="161">
        <v>0.34727152188018001</v>
      </c>
      <c r="S190" s="161">
        <v>4.1706352130417797E-2</v>
      </c>
      <c r="T190" s="161">
        <v>6.2077974164317196</v>
      </c>
      <c r="U190" s="161">
        <v>5.0087390908653697</v>
      </c>
      <c r="V190" s="161">
        <v>0.55345047131020697</v>
      </c>
      <c r="W190" s="161"/>
      <c r="X190" s="58"/>
      <c r="Y190" s="160"/>
      <c r="Z190" s="160"/>
      <c r="AA190" s="160"/>
      <c r="AB190" s="160"/>
      <c r="AC190" s="160"/>
      <c r="AD190" s="162"/>
      <c r="AE190" s="161"/>
    </row>
    <row r="191" spans="1:31" ht="21.2" customHeight="1">
      <c r="A191" s="8" t="s">
        <v>391</v>
      </c>
      <c r="B191" s="158" t="s">
        <v>890</v>
      </c>
      <c r="C191" s="159">
        <v>34</v>
      </c>
      <c r="D191" s="158" t="s">
        <v>848</v>
      </c>
      <c r="E191" s="58">
        <v>66.237499999999997</v>
      </c>
      <c r="F191" s="160">
        <v>16.277828060859299</v>
      </c>
      <c r="G191" s="161">
        <v>0.234165706950413</v>
      </c>
      <c r="H191" s="161">
        <v>0.35352239654369599</v>
      </c>
      <c r="I191" s="161">
        <v>0.58768810349411005</v>
      </c>
      <c r="J191" s="161">
        <v>2.4850016689476502</v>
      </c>
      <c r="K191" s="161">
        <v>4.2262675147695501E-2</v>
      </c>
      <c r="L191" s="161">
        <v>0.13382849229412899</v>
      </c>
      <c r="M191" s="161">
        <v>9.9249059470493499E-4</v>
      </c>
      <c r="N191" s="161">
        <v>9.6722196063258302E-4</v>
      </c>
      <c r="O191" s="161">
        <v>0.48796992305196202</v>
      </c>
      <c r="P191" s="161">
        <v>0.55063696393820405</v>
      </c>
      <c r="Q191" s="161">
        <v>-5.9355471967554002E-2</v>
      </c>
      <c r="R191" s="161">
        <v>0</v>
      </c>
      <c r="S191" s="161">
        <v>2.7525158452181502E-2</v>
      </c>
      <c r="T191" s="161">
        <v>8.7041072033526706E-2</v>
      </c>
      <c r="U191" s="161">
        <v>0.232745719077813</v>
      </c>
      <c r="V191" s="161">
        <v>0.27218470072211798</v>
      </c>
      <c r="W191" s="161"/>
      <c r="X191" s="58"/>
      <c r="Y191" s="160"/>
      <c r="Z191" s="160"/>
      <c r="AA191" s="160"/>
      <c r="AB191" s="160"/>
      <c r="AC191" s="160"/>
      <c r="AD191" s="162"/>
      <c r="AE191" s="161"/>
    </row>
    <row r="192" spans="1:31" ht="21.2" customHeight="1">
      <c r="A192" s="8" t="s">
        <v>398</v>
      </c>
      <c r="B192" s="158" t="s">
        <v>873</v>
      </c>
      <c r="C192" s="159">
        <v>28</v>
      </c>
      <c r="D192" s="158" t="s">
        <v>864</v>
      </c>
      <c r="E192" s="58">
        <v>71.359642857142902</v>
      </c>
      <c r="F192" s="160">
        <v>16.977162616814699</v>
      </c>
      <c r="G192" s="161">
        <v>0.29164307776628001</v>
      </c>
      <c r="H192" s="161">
        <v>0.29035461603846202</v>
      </c>
      <c r="I192" s="161">
        <v>0.58199769380474298</v>
      </c>
      <c r="J192" s="161">
        <v>2.2049457748951702</v>
      </c>
      <c r="K192" s="161">
        <v>2.80365480512723E-2</v>
      </c>
      <c r="L192" s="161">
        <v>5.5148813524339799E-2</v>
      </c>
      <c r="M192" s="161">
        <v>2.5952809420523401E-2</v>
      </c>
      <c r="N192" s="161">
        <v>3.12827419653244E-2</v>
      </c>
      <c r="O192" s="161">
        <v>0.37877918440078201</v>
      </c>
      <c r="P192" s="161">
        <v>0.62697454183185997</v>
      </c>
      <c r="Q192" s="161">
        <v>1.3133617496593E-2</v>
      </c>
      <c r="R192" s="161">
        <v>0.223201984646067</v>
      </c>
      <c r="S192" s="161">
        <v>4.1284891708456103E-2</v>
      </c>
      <c r="T192" s="161">
        <v>5.3240314501517901E-2</v>
      </c>
      <c r="U192" s="161">
        <v>0.113432299291366</v>
      </c>
      <c r="V192" s="161">
        <v>0.31943048884849801</v>
      </c>
      <c r="W192" s="161"/>
      <c r="X192" s="58"/>
      <c r="Y192" s="160"/>
      <c r="Z192" s="160"/>
      <c r="AA192" s="160"/>
      <c r="AB192" s="160"/>
      <c r="AC192" s="160"/>
      <c r="AD192" s="162"/>
      <c r="AE192" s="161"/>
    </row>
    <row r="193" spans="1:31" ht="21.2" customHeight="1">
      <c r="A193" s="8" t="s">
        <v>410</v>
      </c>
      <c r="B193" s="158" t="s">
        <v>875</v>
      </c>
      <c r="C193" s="159">
        <v>26</v>
      </c>
      <c r="D193" s="158" t="s">
        <v>846</v>
      </c>
      <c r="E193" s="58">
        <v>80.34</v>
      </c>
      <c r="F193" s="160">
        <v>16.156866720063999</v>
      </c>
      <c r="G193" s="161">
        <v>0.20875524000312201</v>
      </c>
      <c r="H193" s="161">
        <v>0.37286133675302702</v>
      </c>
      <c r="I193" s="161">
        <v>0.58161657675614897</v>
      </c>
      <c r="J193" s="161">
        <v>1.6496373727459901</v>
      </c>
      <c r="K193" s="161">
        <v>3.9890367673996202E-2</v>
      </c>
      <c r="L193" s="161">
        <v>0.111628182976588</v>
      </c>
      <c r="M193" s="161">
        <v>2.0179017160002002E-2</v>
      </c>
      <c r="N193" s="161">
        <v>3.1664258802368499E-2</v>
      </c>
      <c r="O193" s="161">
        <v>0.59359821266346702</v>
      </c>
      <c r="P193" s="161">
        <v>0.67830383634602598</v>
      </c>
      <c r="Q193" s="161">
        <v>-6.9261917518439298E-2</v>
      </c>
      <c r="R193" s="161">
        <v>0.21094353241791</v>
      </c>
      <c r="S193" s="161">
        <v>2.2369561285254799E-2</v>
      </c>
      <c r="T193" s="161">
        <v>4.9772802026534597</v>
      </c>
      <c r="U193" s="161">
        <v>6.4969891810103801</v>
      </c>
      <c r="V193" s="161">
        <v>0.43377752745980702</v>
      </c>
      <c r="W193" s="161"/>
      <c r="X193" s="58"/>
      <c r="Y193" s="160"/>
      <c r="Z193" s="160"/>
      <c r="AA193" s="160"/>
      <c r="AB193" s="160"/>
      <c r="AC193" s="160"/>
      <c r="AD193" s="162"/>
      <c r="AE193" s="161"/>
    </row>
    <row r="194" spans="1:31" ht="21.2" customHeight="1">
      <c r="A194" s="8" t="s">
        <v>400</v>
      </c>
      <c r="B194" s="158" t="s">
        <v>890</v>
      </c>
      <c r="C194" s="159">
        <v>23</v>
      </c>
      <c r="D194" s="158" t="s">
        <v>847</v>
      </c>
      <c r="E194" s="58">
        <v>79.271071428571403</v>
      </c>
      <c r="F194" s="160">
        <v>17.166990350609701</v>
      </c>
      <c r="G194" s="161">
        <v>0.25158237950828199</v>
      </c>
      <c r="H194" s="161">
        <v>0.32629757005934601</v>
      </c>
      <c r="I194" s="161">
        <v>0.577879949567628</v>
      </c>
      <c r="J194" s="161">
        <v>1.90234621306965</v>
      </c>
      <c r="K194" s="161">
        <v>2.1007880868721102E-2</v>
      </c>
      <c r="L194" s="161">
        <v>6.4873798383271106E-2</v>
      </c>
      <c r="M194" s="161">
        <v>4.28002952277766E-3</v>
      </c>
      <c r="N194" s="161">
        <v>6.7057224816050197E-3</v>
      </c>
      <c r="O194" s="161">
        <v>0.53605444780067701</v>
      </c>
      <c r="P194" s="161">
        <v>0.94438822422414304</v>
      </c>
      <c r="Q194" s="161">
        <v>-6.5507714838772907E-2</v>
      </c>
      <c r="R194" s="161">
        <v>0.52713660451662103</v>
      </c>
      <c r="S194" s="161">
        <v>2.9572412416514499E-2</v>
      </c>
      <c r="T194" s="161">
        <v>0.25180035131217199</v>
      </c>
      <c r="U194" s="161">
        <v>0.48586130898633401</v>
      </c>
      <c r="V194" s="161">
        <v>0.34134938124651498</v>
      </c>
      <c r="W194" s="161"/>
      <c r="X194" s="58"/>
      <c r="Y194" s="160"/>
      <c r="Z194" s="160"/>
      <c r="AA194" s="160"/>
      <c r="AB194" s="160"/>
      <c r="AC194" s="160"/>
      <c r="AD194" s="162"/>
      <c r="AE194" s="161"/>
    </row>
    <row r="195" spans="1:31" ht="21.2" customHeight="1">
      <c r="A195" s="8" t="s">
        <v>171</v>
      </c>
      <c r="B195" s="158" t="s">
        <v>881</v>
      </c>
      <c r="C195" s="159">
        <v>28</v>
      </c>
      <c r="D195" s="158" t="s">
        <v>849</v>
      </c>
      <c r="E195" s="58">
        <v>79.704999999999998</v>
      </c>
      <c r="F195" s="160">
        <v>24.778621880504801</v>
      </c>
      <c r="G195" s="161">
        <v>0.109554541018084</v>
      </c>
      <c r="H195" s="161">
        <v>0.46751217136232398</v>
      </c>
      <c r="I195" s="161">
        <v>0.57706671238040896</v>
      </c>
      <c r="J195" s="161">
        <v>2.4418689984497899</v>
      </c>
      <c r="K195" s="161">
        <v>2.28769241307001E-2</v>
      </c>
      <c r="L195" s="161">
        <v>0.21246345383531301</v>
      </c>
      <c r="M195" s="161">
        <v>2.24558419575296E-4</v>
      </c>
      <c r="N195" s="161">
        <v>1.25311259291651E-2</v>
      </c>
      <c r="O195" s="161">
        <v>1.77775806108043</v>
      </c>
      <c r="P195" s="161">
        <v>1.3623488197340501</v>
      </c>
      <c r="Q195" s="161">
        <v>-0.109306504471749</v>
      </c>
      <c r="R195" s="161">
        <v>0.42624899171497599</v>
      </c>
      <c r="S195" s="161">
        <v>1.28377711398868E-2</v>
      </c>
      <c r="T195" s="161">
        <v>0</v>
      </c>
      <c r="U195" s="161">
        <v>0</v>
      </c>
      <c r="V195" s="161">
        <v>0</v>
      </c>
      <c r="W195" s="161"/>
      <c r="X195" s="58"/>
      <c r="Y195" s="160"/>
      <c r="Z195" s="160"/>
      <c r="AA195" s="160"/>
      <c r="AB195" s="160"/>
      <c r="AC195" s="160"/>
      <c r="AD195" s="162"/>
      <c r="AE195" s="161"/>
    </row>
    <row r="196" spans="1:31" ht="21.2" customHeight="1">
      <c r="A196" s="8" t="s">
        <v>165</v>
      </c>
      <c r="B196" s="158" t="s">
        <v>884</v>
      </c>
      <c r="C196" s="159">
        <v>38</v>
      </c>
      <c r="D196" s="158" t="s">
        <v>849</v>
      </c>
      <c r="E196" s="58">
        <v>82</v>
      </c>
      <c r="F196" s="160">
        <v>21.3844034327164</v>
      </c>
      <c r="G196" s="161">
        <v>0.130257828247032</v>
      </c>
      <c r="H196" s="161">
        <v>0.44164055899039001</v>
      </c>
      <c r="I196" s="161">
        <v>0.57189838723742203</v>
      </c>
      <c r="J196" s="161">
        <v>2.5493798701119901</v>
      </c>
      <c r="K196" s="161">
        <v>4.5975107407768299E-2</v>
      </c>
      <c r="L196" s="161">
        <v>0.23800123490616501</v>
      </c>
      <c r="M196" s="161">
        <v>-6.7610406504230701E-4</v>
      </c>
      <c r="N196" s="161">
        <v>-2.6458090306818202E-4</v>
      </c>
      <c r="O196" s="161">
        <v>1.19495483345246</v>
      </c>
      <c r="P196" s="161">
        <v>0.65845193879147601</v>
      </c>
      <c r="Q196" s="161">
        <v>0.10100920622932</v>
      </c>
      <c r="R196" s="161">
        <v>0.48735475660320898</v>
      </c>
      <c r="S196" s="161">
        <v>2.3371171080863201E-2</v>
      </c>
      <c r="T196" s="161">
        <v>4.0827674962184901E-3</v>
      </c>
      <c r="U196" s="161">
        <v>5.65962642688673E-3</v>
      </c>
      <c r="V196" s="161">
        <v>0.419072306913779</v>
      </c>
      <c r="W196" s="161"/>
      <c r="X196" s="58"/>
      <c r="Y196" s="160"/>
      <c r="Z196" s="160"/>
      <c r="AA196" s="160"/>
      <c r="AB196" s="160"/>
      <c r="AC196" s="160"/>
      <c r="AD196" s="162"/>
      <c r="AE196" s="161"/>
    </row>
    <row r="197" spans="1:31" ht="21.2" customHeight="1">
      <c r="A197" s="8" t="s">
        <v>210</v>
      </c>
      <c r="B197" s="158" t="s">
        <v>876</v>
      </c>
      <c r="C197" s="159">
        <v>31</v>
      </c>
      <c r="D197" s="158" t="s">
        <v>849</v>
      </c>
      <c r="E197" s="58">
        <v>81.204999999999998</v>
      </c>
      <c r="F197" s="160">
        <v>23.5112300495427</v>
      </c>
      <c r="G197" s="161">
        <v>0.15055808834391601</v>
      </c>
      <c r="H197" s="161">
        <v>0.42024676748207201</v>
      </c>
      <c r="I197" s="161">
        <v>0.57080485582598794</v>
      </c>
      <c r="J197" s="161">
        <v>2.2882018395013799</v>
      </c>
      <c r="K197" s="161">
        <v>2.3578966471089299E-2</v>
      </c>
      <c r="L197" s="161">
        <v>0.131904341330595</v>
      </c>
      <c r="M197" s="161">
        <v>-1.78746505680839E-4</v>
      </c>
      <c r="N197" s="161">
        <v>1.94978155690057E-3</v>
      </c>
      <c r="O197" s="161">
        <v>1.62062361375566</v>
      </c>
      <c r="P197" s="161">
        <v>1.47740308549696</v>
      </c>
      <c r="Q197" s="161">
        <v>-5.12987452444683E-2</v>
      </c>
      <c r="R197" s="161">
        <v>0.47811144938688899</v>
      </c>
      <c r="S197" s="161">
        <v>1.7325130499853798E-2</v>
      </c>
      <c r="T197" s="161">
        <v>0</v>
      </c>
      <c r="U197" s="161">
        <v>0</v>
      </c>
      <c r="V197" s="161">
        <v>0</v>
      </c>
      <c r="W197" s="161"/>
      <c r="X197" s="58"/>
      <c r="Y197" s="160"/>
      <c r="Z197" s="160"/>
      <c r="AA197" s="160"/>
      <c r="AB197" s="160"/>
      <c r="AC197" s="160"/>
      <c r="AD197" s="162"/>
      <c r="AE197" s="161"/>
    </row>
    <row r="198" spans="1:31" ht="21.2" customHeight="1">
      <c r="A198" s="8" t="s">
        <v>404</v>
      </c>
      <c r="B198" s="158" t="s">
        <v>878</v>
      </c>
      <c r="C198" s="159">
        <v>23</v>
      </c>
      <c r="D198" s="158" t="s">
        <v>846</v>
      </c>
      <c r="E198" s="58">
        <v>76.805000000000007</v>
      </c>
      <c r="F198" s="160">
        <v>17.855118617800301</v>
      </c>
      <c r="G198" s="161">
        <v>0.24575456770295401</v>
      </c>
      <c r="H198" s="161">
        <v>0.324241880224023</v>
      </c>
      <c r="I198" s="161">
        <v>0.56999644792697701</v>
      </c>
      <c r="J198" s="161">
        <v>2.1153443703053001</v>
      </c>
      <c r="K198" s="161">
        <v>5.4483309829092198E-2</v>
      </c>
      <c r="L198" s="161">
        <v>0.140689438449627</v>
      </c>
      <c r="M198" s="161">
        <v>2.1678496443326201E-3</v>
      </c>
      <c r="N198" s="161">
        <v>1.1838305506671601E-2</v>
      </c>
      <c r="O198" s="161">
        <v>0.44578109838534802</v>
      </c>
      <c r="P198" s="161">
        <v>1.12601076534115</v>
      </c>
      <c r="Q198" s="161">
        <v>-3.2996319570672603E-2</v>
      </c>
      <c r="R198" s="161">
        <v>0.45218412687100901</v>
      </c>
      <c r="S198" s="161">
        <v>3.10133903612189E-2</v>
      </c>
      <c r="T198" s="161">
        <v>7.62749294559283</v>
      </c>
      <c r="U198" s="161">
        <v>7.6238828275027002</v>
      </c>
      <c r="V198" s="161">
        <v>0.50011835385029701</v>
      </c>
      <c r="W198" s="161"/>
      <c r="X198" s="58"/>
      <c r="Y198" s="160"/>
      <c r="Z198" s="160"/>
      <c r="AA198" s="160"/>
      <c r="AB198" s="160"/>
      <c r="AC198" s="160"/>
      <c r="AD198" s="162"/>
      <c r="AE198" s="161"/>
    </row>
    <row r="199" spans="1:31" ht="21.2" customHeight="1">
      <c r="A199" s="8" t="s">
        <v>401</v>
      </c>
      <c r="B199" s="158" t="s">
        <v>882</v>
      </c>
      <c r="C199" s="159">
        <v>36</v>
      </c>
      <c r="D199" s="158" t="s">
        <v>848</v>
      </c>
      <c r="E199" s="58">
        <v>72.105714285714299</v>
      </c>
      <c r="F199" s="160">
        <v>16.587066733611501</v>
      </c>
      <c r="G199" s="161">
        <v>0.28400169174078499</v>
      </c>
      <c r="H199" s="161">
        <v>0.28542026215357702</v>
      </c>
      <c r="I199" s="161">
        <v>0.56942195389436201</v>
      </c>
      <c r="J199" s="161">
        <v>1.8287241405386101</v>
      </c>
      <c r="K199" s="161">
        <v>0.103898280331835</v>
      </c>
      <c r="L199" s="161">
        <v>0.14396719210933001</v>
      </c>
      <c r="M199" s="161">
        <v>1.7686743599902601E-4</v>
      </c>
      <c r="N199" s="161">
        <v>1.04519986244836E-3</v>
      </c>
      <c r="O199" s="161">
        <v>0.56503332800723405</v>
      </c>
      <c r="P199" s="161">
        <v>1.82022468985894</v>
      </c>
      <c r="Q199" s="161">
        <v>-5.28439613115411E-2</v>
      </c>
      <c r="R199" s="161">
        <v>0.54390641501400405</v>
      </c>
      <c r="S199" s="161">
        <v>3.4933879914720099E-2</v>
      </c>
      <c r="T199" s="161">
        <v>1.56524288966684</v>
      </c>
      <c r="U199" s="161">
        <v>1.8707703142277099</v>
      </c>
      <c r="V199" s="161">
        <v>0.45554041756670799</v>
      </c>
      <c r="W199" s="161"/>
      <c r="X199" s="58"/>
      <c r="Y199" s="160"/>
      <c r="Z199" s="160"/>
      <c r="AA199" s="160"/>
      <c r="AB199" s="160"/>
      <c r="AC199" s="160"/>
      <c r="AD199" s="162"/>
      <c r="AE199" s="161"/>
    </row>
    <row r="200" spans="1:31" ht="21.2" customHeight="1">
      <c r="A200" s="8" t="s">
        <v>219</v>
      </c>
      <c r="B200" s="158" t="s">
        <v>878</v>
      </c>
      <c r="C200" s="159">
        <v>24</v>
      </c>
      <c r="D200" s="158" t="s">
        <v>849</v>
      </c>
      <c r="E200" s="58">
        <v>76.38</v>
      </c>
      <c r="F200" s="160">
        <v>21.479553404335601</v>
      </c>
      <c r="G200" s="161">
        <v>0.10780402264611499</v>
      </c>
      <c r="H200" s="161">
        <v>0.46018516973470203</v>
      </c>
      <c r="I200" s="161">
        <v>0.56798919238081702</v>
      </c>
      <c r="J200" s="161">
        <v>1.82376047634299</v>
      </c>
      <c r="K200" s="161">
        <v>2.87546357381918E-2</v>
      </c>
      <c r="L200" s="161">
        <v>0.27557647175046801</v>
      </c>
      <c r="M200" s="161">
        <v>6.2672006011199404E-4</v>
      </c>
      <c r="N200" s="161">
        <v>7.3687641804130498E-3</v>
      </c>
      <c r="O200" s="161">
        <v>1.97073882649515</v>
      </c>
      <c r="P200" s="161">
        <v>1.2003367191855101</v>
      </c>
      <c r="Q200" s="161">
        <v>-4.7310146334925599E-2</v>
      </c>
      <c r="R200" s="161">
        <v>0.77205728707157995</v>
      </c>
      <c r="S200" s="161">
        <v>1.36045008973132E-2</v>
      </c>
      <c r="T200" s="161">
        <v>0</v>
      </c>
      <c r="U200" s="161">
        <v>0</v>
      </c>
      <c r="V200" s="161">
        <v>0</v>
      </c>
      <c r="W200" s="161"/>
      <c r="X200" s="58"/>
      <c r="Y200" s="160"/>
      <c r="Z200" s="160"/>
      <c r="AA200" s="160"/>
      <c r="AB200" s="160"/>
      <c r="AC200" s="160"/>
      <c r="AD200" s="162"/>
      <c r="AE200" s="161"/>
    </row>
    <row r="201" spans="1:31" ht="21.2" customHeight="1">
      <c r="A201" s="8" t="s">
        <v>329</v>
      </c>
      <c r="B201" s="158" t="s">
        <v>873</v>
      </c>
      <c r="C201" s="159">
        <v>26</v>
      </c>
      <c r="D201" s="158" t="s">
        <v>864</v>
      </c>
      <c r="E201" s="58">
        <v>79.749642857142902</v>
      </c>
      <c r="F201" s="160">
        <v>17.043815998666201</v>
      </c>
      <c r="G201" s="161">
        <v>0.24579300394825401</v>
      </c>
      <c r="H201" s="161">
        <v>0.31971516033445502</v>
      </c>
      <c r="I201" s="161">
        <v>0.565508164282709</v>
      </c>
      <c r="J201" s="161">
        <v>2.2673354568810402</v>
      </c>
      <c r="K201" s="161">
        <v>7.3796379635245601E-2</v>
      </c>
      <c r="L201" s="161">
        <v>0.13912471432332299</v>
      </c>
      <c r="M201" s="161">
        <v>7.5303206056663303E-4</v>
      </c>
      <c r="N201" s="161">
        <v>1.5423738716394499E-3</v>
      </c>
      <c r="O201" s="161">
        <v>0.34216176990056801</v>
      </c>
      <c r="P201" s="161">
        <v>0.84470583707939495</v>
      </c>
      <c r="Q201" s="161">
        <v>-4.7674064065594797E-3</v>
      </c>
      <c r="R201" s="161">
        <v>0.28158782213227301</v>
      </c>
      <c r="S201" s="161">
        <v>3.4794371354261701E-2</v>
      </c>
      <c r="T201" s="161">
        <v>4.8486031814607602E-2</v>
      </c>
      <c r="U201" s="161">
        <v>0.11201655756543499</v>
      </c>
      <c r="V201" s="161">
        <v>0.30208878250431898</v>
      </c>
      <c r="W201" s="161"/>
      <c r="X201" s="58"/>
      <c r="Y201" s="160"/>
      <c r="Z201" s="160"/>
      <c r="AA201" s="160"/>
      <c r="AB201" s="160"/>
      <c r="AC201" s="160"/>
      <c r="AD201" s="162"/>
      <c r="AE201" s="161"/>
    </row>
    <row r="202" spans="1:31" ht="21.2" customHeight="1">
      <c r="A202" s="8" t="s">
        <v>429</v>
      </c>
      <c r="B202" s="158" t="s">
        <v>884</v>
      </c>
      <c r="C202" s="159">
        <v>23</v>
      </c>
      <c r="D202" s="158" t="s">
        <v>860</v>
      </c>
      <c r="E202" s="58">
        <v>79.83</v>
      </c>
      <c r="F202" s="160">
        <v>15.5134607343723</v>
      </c>
      <c r="G202" s="161">
        <v>0.23072136276524</v>
      </c>
      <c r="H202" s="161">
        <v>0.33471779384314898</v>
      </c>
      <c r="I202" s="161">
        <v>0.56543915660838895</v>
      </c>
      <c r="J202" s="161">
        <v>1.6267442066662801</v>
      </c>
      <c r="K202" s="161">
        <v>2.4838083448661001E-2</v>
      </c>
      <c r="L202" s="161">
        <v>9.8952779817744405E-2</v>
      </c>
      <c r="M202" s="161">
        <v>4.1660615867407996E-3</v>
      </c>
      <c r="N202" s="161">
        <v>4.9505197919543697E-3</v>
      </c>
      <c r="O202" s="161">
        <v>0.31034398192903401</v>
      </c>
      <c r="P202" s="161">
        <v>1.32609007549339</v>
      </c>
      <c r="Q202" s="161">
        <v>8.7463313150501598E-2</v>
      </c>
      <c r="R202" s="161">
        <v>0.49789531432502099</v>
      </c>
      <c r="S202" s="161">
        <v>4.1396578722086998E-2</v>
      </c>
      <c r="T202" s="161">
        <v>4.4988097729299801</v>
      </c>
      <c r="U202" s="161">
        <v>4.3811530881090102</v>
      </c>
      <c r="V202" s="161">
        <v>0.50662484104168903</v>
      </c>
      <c r="W202" s="161"/>
      <c r="X202" s="58"/>
      <c r="Y202" s="160"/>
      <c r="Z202" s="160"/>
      <c r="AA202" s="160"/>
      <c r="AB202" s="160"/>
      <c r="AC202" s="160"/>
      <c r="AD202" s="162"/>
      <c r="AE202" s="161"/>
    </row>
    <row r="203" spans="1:31" ht="21.2" customHeight="1">
      <c r="A203" s="8" t="s">
        <v>312</v>
      </c>
      <c r="B203" s="158" t="s">
        <v>892</v>
      </c>
      <c r="C203" s="159">
        <v>28</v>
      </c>
      <c r="D203" s="158" t="s">
        <v>848</v>
      </c>
      <c r="E203" s="58">
        <v>81.099999999999994</v>
      </c>
      <c r="F203" s="160">
        <v>15.2982097371024</v>
      </c>
      <c r="G203" s="161">
        <v>0.25232676887746702</v>
      </c>
      <c r="H203" s="161">
        <v>0.31240127171813997</v>
      </c>
      <c r="I203" s="161">
        <v>0.56472804059560699</v>
      </c>
      <c r="J203" s="161">
        <v>2.2918226673036699</v>
      </c>
      <c r="K203" s="161">
        <v>5.5903143153878003E-2</v>
      </c>
      <c r="L203" s="161">
        <v>0.12416881909886</v>
      </c>
      <c r="M203" s="161">
        <v>2.7244645482266001E-5</v>
      </c>
      <c r="N203" s="161">
        <v>5.0965740206154397E-5</v>
      </c>
      <c r="O203" s="161">
        <v>0.43336248305715402</v>
      </c>
      <c r="P203" s="161">
        <v>0.85391430034478399</v>
      </c>
      <c r="Q203" s="161">
        <v>-9.9280203053065206E-3</v>
      </c>
      <c r="R203" s="161">
        <v>0.21912246188753901</v>
      </c>
      <c r="S203" s="161">
        <v>3.54672969465172E-2</v>
      </c>
      <c r="T203" s="161">
        <v>0.214509171945026</v>
      </c>
      <c r="U203" s="161">
        <v>0.35066493341377097</v>
      </c>
      <c r="V203" s="161">
        <v>0.37954529393884101</v>
      </c>
      <c r="W203" s="161"/>
      <c r="X203" s="58"/>
      <c r="Y203" s="160"/>
      <c r="Z203" s="160"/>
      <c r="AA203" s="160"/>
      <c r="AB203" s="160"/>
      <c r="AC203" s="160"/>
      <c r="AD203" s="162"/>
      <c r="AE203" s="161"/>
    </row>
    <row r="204" spans="1:31" ht="21.2" customHeight="1">
      <c r="A204" s="8" t="s">
        <v>439</v>
      </c>
      <c r="B204" s="158" t="s">
        <v>888</v>
      </c>
      <c r="C204" s="159">
        <v>22</v>
      </c>
      <c r="D204" s="158" t="s">
        <v>848</v>
      </c>
      <c r="E204" s="58">
        <v>69.352500000000006</v>
      </c>
      <c r="F204" s="160">
        <v>14.7410933225209</v>
      </c>
      <c r="G204" s="161">
        <v>0.194132591455</v>
      </c>
      <c r="H204" s="161">
        <v>0.36613450857226698</v>
      </c>
      <c r="I204" s="161">
        <v>0.56026710002726698</v>
      </c>
      <c r="J204" s="161">
        <v>1.74652642041188</v>
      </c>
      <c r="K204" s="161">
        <v>7.4723506222852704E-2</v>
      </c>
      <c r="L204" s="161">
        <v>0.15077898969419801</v>
      </c>
      <c r="M204" s="161">
        <v>8.2928856056798693E-6</v>
      </c>
      <c r="N204" s="161">
        <v>1.6602384468996602E-5</v>
      </c>
      <c r="O204" s="161">
        <v>0.47186653753535501</v>
      </c>
      <c r="P204" s="161">
        <v>0.90864772438932795</v>
      </c>
      <c r="Q204" s="161">
        <v>-1.2110899800326799E-2</v>
      </c>
      <c r="R204" s="161">
        <v>0.240299150820349</v>
      </c>
      <c r="S204" s="161">
        <v>2.83484357112356E-2</v>
      </c>
      <c r="T204" s="161">
        <v>0.29444496861158198</v>
      </c>
      <c r="U204" s="161">
        <v>0.35206161013681198</v>
      </c>
      <c r="V204" s="161">
        <v>0.45544001915899002</v>
      </c>
      <c r="W204" s="161"/>
      <c r="X204" s="58"/>
      <c r="Y204" s="160"/>
      <c r="Z204" s="160"/>
      <c r="AA204" s="160"/>
      <c r="AB204" s="160"/>
      <c r="AC204" s="160"/>
      <c r="AD204" s="162"/>
      <c r="AE204" s="161"/>
    </row>
    <row r="205" spans="1:31" ht="21.2" customHeight="1">
      <c r="A205" s="8" t="s">
        <v>311</v>
      </c>
      <c r="B205" s="158" t="s">
        <v>885</v>
      </c>
      <c r="C205" s="159">
        <v>34</v>
      </c>
      <c r="D205" s="158" t="s">
        <v>846</v>
      </c>
      <c r="E205" s="58">
        <v>81.599999999999994</v>
      </c>
      <c r="F205" s="160">
        <v>17.7318138532363</v>
      </c>
      <c r="G205" s="161">
        <v>0.179671188739667</v>
      </c>
      <c r="H205" s="161">
        <v>0.38007041802710401</v>
      </c>
      <c r="I205" s="161">
        <v>0.55974160676677098</v>
      </c>
      <c r="J205" s="161">
        <v>2.88162521997205</v>
      </c>
      <c r="K205" s="161">
        <v>3.4315634375324401E-2</v>
      </c>
      <c r="L205" s="161">
        <v>0.121240781203589</v>
      </c>
      <c r="M205" s="161">
        <v>6.3825300107790096E-3</v>
      </c>
      <c r="N205" s="161">
        <v>2.44992694783727E-2</v>
      </c>
      <c r="O205" s="161">
        <v>0.381017473359828</v>
      </c>
      <c r="P205" s="161">
        <v>1.0273785154836399</v>
      </c>
      <c r="Q205" s="161">
        <v>6.7907038321517704E-2</v>
      </c>
      <c r="R205" s="161">
        <v>0.43775308893942699</v>
      </c>
      <c r="S205" s="161">
        <v>3.0022741224711599E-2</v>
      </c>
      <c r="T205" s="161">
        <v>8.2004285102896493</v>
      </c>
      <c r="U205" s="161">
        <v>7.9004146568214999</v>
      </c>
      <c r="V205" s="161">
        <v>0.50931671249618105</v>
      </c>
      <c r="W205" s="161"/>
      <c r="X205" s="58"/>
      <c r="Y205" s="160"/>
      <c r="Z205" s="160"/>
      <c r="AA205" s="160"/>
      <c r="AB205" s="160"/>
      <c r="AC205" s="160"/>
      <c r="AD205" s="162"/>
      <c r="AE205" s="161"/>
    </row>
    <row r="206" spans="1:31" ht="21.2" customHeight="1">
      <c r="A206" s="8" t="s">
        <v>468</v>
      </c>
      <c r="B206" s="158" t="s">
        <v>890</v>
      </c>
      <c r="C206" s="159">
        <v>24</v>
      </c>
      <c r="D206" s="158" t="s">
        <v>847</v>
      </c>
      <c r="E206" s="58">
        <v>74.192499999999995</v>
      </c>
      <c r="F206" s="160">
        <v>17.9930099085366</v>
      </c>
      <c r="G206" s="161">
        <v>0.21448154200972899</v>
      </c>
      <c r="H206" s="161">
        <v>0.34109406194921599</v>
      </c>
      <c r="I206" s="161">
        <v>0.55557560395894501</v>
      </c>
      <c r="J206" s="161">
        <v>1.4549688417053701</v>
      </c>
      <c r="K206" s="161">
        <v>4.7726052880839302E-2</v>
      </c>
      <c r="L206" s="161">
        <v>0.11297752512433799</v>
      </c>
      <c r="M206" s="161">
        <v>1.3824500347982001E-2</v>
      </c>
      <c r="N206" s="161">
        <v>2.8317262117040599E-2</v>
      </c>
      <c r="O206" s="161">
        <v>0.73922485496753199</v>
      </c>
      <c r="P206" s="161">
        <v>1.0752721619163801</v>
      </c>
      <c r="Q206" s="161">
        <v>-5.3430620928235903E-2</v>
      </c>
      <c r="R206" s="161">
        <v>0.24030640604459999</v>
      </c>
      <c r="S206" s="161">
        <v>2.5211370639067001E-2</v>
      </c>
      <c r="T206" s="161">
        <v>4.4451270579553199</v>
      </c>
      <c r="U206" s="161">
        <v>8.1940557049278908</v>
      </c>
      <c r="V206" s="161">
        <v>0.35169418318794099</v>
      </c>
      <c r="W206" s="161"/>
      <c r="X206" s="58"/>
      <c r="Y206" s="160"/>
      <c r="Z206" s="160"/>
      <c r="AA206" s="160"/>
      <c r="AB206" s="160"/>
      <c r="AC206" s="160"/>
      <c r="AD206" s="162"/>
      <c r="AE206" s="161"/>
    </row>
    <row r="207" spans="1:31" ht="21.2" customHeight="1">
      <c r="A207" s="8" t="s">
        <v>243</v>
      </c>
      <c r="B207" s="158" t="s">
        <v>883</v>
      </c>
      <c r="C207" s="159">
        <v>20</v>
      </c>
      <c r="D207" s="158" t="s">
        <v>849</v>
      </c>
      <c r="E207" s="58">
        <v>74</v>
      </c>
      <c r="F207" s="160">
        <v>19</v>
      </c>
      <c r="G207" s="161">
        <v>0.161322637660991</v>
      </c>
      <c r="H207" s="161">
        <v>0.39092049368720899</v>
      </c>
      <c r="I207" s="161">
        <v>0.55224313134819902</v>
      </c>
      <c r="J207" s="161">
        <v>2.3819027560433299</v>
      </c>
      <c r="K207" s="161">
        <v>3.9591769480134098E-2</v>
      </c>
      <c r="L207" s="161">
        <v>0.135531398880743</v>
      </c>
      <c r="M207" s="161">
        <v>0</v>
      </c>
      <c r="N207" s="161">
        <v>0</v>
      </c>
      <c r="O207" s="161">
        <v>1.24512195121951</v>
      </c>
      <c r="P207" s="161">
        <v>1.44367265933555</v>
      </c>
      <c r="Q207" s="161">
        <v>7.9268292682926796E-3</v>
      </c>
      <c r="R207" s="161">
        <v>0.56081148140692405</v>
      </c>
      <c r="S207" s="161">
        <v>2.38856000417433E-2</v>
      </c>
      <c r="T207" s="161">
        <v>0</v>
      </c>
      <c r="U207" s="161">
        <v>0</v>
      </c>
      <c r="V207" s="161">
        <v>0</v>
      </c>
      <c r="W207" s="161"/>
      <c r="X207" s="58"/>
      <c r="Y207" s="161"/>
      <c r="Z207" s="161"/>
      <c r="AA207" s="161"/>
      <c r="AB207" s="161"/>
      <c r="AC207" s="160"/>
      <c r="AD207" s="162"/>
      <c r="AE207" s="161"/>
    </row>
    <row r="208" spans="1:31" ht="21.2" customHeight="1">
      <c r="A208" s="8" t="s">
        <v>357</v>
      </c>
      <c r="B208" s="158" t="s">
        <v>877</v>
      </c>
      <c r="C208" s="159">
        <v>30</v>
      </c>
      <c r="D208" s="158" t="s">
        <v>864</v>
      </c>
      <c r="E208" s="58">
        <v>79.599999999999994</v>
      </c>
      <c r="F208" s="160">
        <v>15.9395245149761</v>
      </c>
      <c r="G208" s="161">
        <v>0.30033823027691098</v>
      </c>
      <c r="H208" s="161">
        <v>0.25188003449549101</v>
      </c>
      <c r="I208" s="161">
        <v>0.55221826477240199</v>
      </c>
      <c r="J208" s="161">
        <v>2.2177624325468202</v>
      </c>
      <c r="K208" s="161">
        <v>4.82672152941237E-2</v>
      </c>
      <c r="L208" s="161">
        <v>8.3700975422737703E-2</v>
      </c>
      <c r="M208" s="161">
        <v>1.0629995043064799E-4</v>
      </c>
      <c r="N208" s="161">
        <v>1.8828063481661199E-4</v>
      </c>
      <c r="O208" s="161">
        <v>0.37533533704729899</v>
      </c>
      <c r="P208" s="161">
        <v>1.82225559238261</v>
      </c>
      <c r="Q208" s="161">
        <v>5.3379353505616997E-2</v>
      </c>
      <c r="R208" s="161">
        <v>0.35641242218916203</v>
      </c>
      <c r="S208" s="161">
        <v>4.6853769209922097E-2</v>
      </c>
      <c r="T208" s="161">
        <v>0.102619691895716</v>
      </c>
      <c r="U208" s="161">
        <v>0.11050891812072899</v>
      </c>
      <c r="V208" s="161">
        <v>0.48149186487819501</v>
      </c>
      <c r="W208" s="161"/>
      <c r="X208" s="58"/>
      <c r="Y208" s="160"/>
      <c r="Z208" s="160"/>
      <c r="AA208" s="160"/>
      <c r="AB208" s="160"/>
      <c r="AC208" s="160"/>
      <c r="AD208" s="162"/>
      <c r="AE208" s="161"/>
    </row>
    <row r="209" spans="1:31" ht="21.2" customHeight="1">
      <c r="A209" s="8" t="s">
        <v>428</v>
      </c>
      <c r="B209" s="158" t="s">
        <v>883</v>
      </c>
      <c r="C209" s="159">
        <v>21</v>
      </c>
      <c r="D209" s="158" t="s">
        <v>860</v>
      </c>
      <c r="E209" s="58">
        <v>71.237499999999997</v>
      </c>
      <c r="F209" s="160">
        <v>16.834877080397501</v>
      </c>
      <c r="G209" s="161">
        <v>0.17360675825615701</v>
      </c>
      <c r="H209" s="161">
        <v>0.377934350899295</v>
      </c>
      <c r="I209" s="161">
        <v>0.55154110915545196</v>
      </c>
      <c r="J209" s="161">
        <v>1.6004465150839899</v>
      </c>
      <c r="K209" s="161">
        <v>3.7282707879447298E-2</v>
      </c>
      <c r="L209" s="161">
        <v>7.4639460251430395E-2</v>
      </c>
      <c r="M209" s="161">
        <v>6.4758128391126802E-4</v>
      </c>
      <c r="N209" s="161">
        <v>1.295638595955E-3</v>
      </c>
      <c r="O209" s="161">
        <v>0.34683435792862999</v>
      </c>
      <c r="P209" s="161">
        <v>0.96086025848291701</v>
      </c>
      <c r="Q209" s="161">
        <v>9.5631520245005094E-3</v>
      </c>
      <c r="R209" s="161">
        <v>0.58885756603214501</v>
      </c>
      <c r="S209" s="161">
        <v>2.57043999055123E-2</v>
      </c>
      <c r="T209" s="161">
        <v>1.6029860375945399</v>
      </c>
      <c r="U209" s="161">
        <v>1.8612304948771301</v>
      </c>
      <c r="V209" s="161">
        <v>0.46272685975862698</v>
      </c>
      <c r="W209" s="161"/>
      <c r="X209" s="58"/>
      <c r="Y209" s="160"/>
      <c r="Z209" s="160"/>
      <c r="AA209" s="160"/>
      <c r="AB209" s="160"/>
      <c r="AC209" s="160"/>
      <c r="AD209" s="162"/>
      <c r="AE209" s="161"/>
    </row>
    <row r="210" spans="1:31" ht="21.2" customHeight="1">
      <c r="A210" s="8" t="s">
        <v>437</v>
      </c>
      <c r="B210" s="158" t="s">
        <v>871</v>
      </c>
      <c r="C210" s="163">
        <v>23</v>
      </c>
      <c r="D210" s="158" t="s">
        <v>846</v>
      </c>
      <c r="E210" s="58">
        <v>76.497500000000002</v>
      </c>
      <c r="F210" s="160">
        <v>14.831663035055801</v>
      </c>
      <c r="G210" s="161">
        <v>0.24316653955502701</v>
      </c>
      <c r="H210" s="161">
        <v>0.308267457564744</v>
      </c>
      <c r="I210" s="161">
        <v>0.55143399711977104</v>
      </c>
      <c r="J210" s="161">
        <v>2.3637809433885502</v>
      </c>
      <c r="K210" s="161">
        <v>1.7742927137076502E-2</v>
      </c>
      <c r="L210" s="161">
        <v>5.04505678154916E-2</v>
      </c>
      <c r="M210" s="161">
        <v>2.8759744052063798E-4</v>
      </c>
      <c r="N210" s="161">
        <v>5.6760523589129098E-4</v>
      </c>
      <c r="O210" s="161">
        <v>0.49929531601421701</v>
      </c>
      <c r="P210" s="161">
        <v>0.53648937443370004</v>
      </c>
      <c r="Q210" s="161">
        <v>6.4012374510352396E-2</v>
      </c>
      <c r="R210" s="161">
        <v>0.34163365804197099</v>
      </c>
      <c r="S210" s="161">
        <v>4.1435124257432003E-2</v>
      </c>
      <c r="T210" s="161">
        <v>3.3702278708787201</v>
      </c>
      <c r="U210" s="161">
        <v>4.7563723534078504</v>
      </c>
      <c r="V210" s="161">
        <v>0.41471559789623902</v>
      </c>
      <c r="W210" s="161"/>
      <c r="X210" s="58"/>
      <c r="Y210" s="160"/>
      <c r="Z210" s="160"/>
      <c r="AA210" s="160"/>
      <c r="AB210" s="160"/>
      <c r="AC210" s="160"/>
      <c r="AD210" s="162"/>
      <c r="AE210" s="161"/>
    </row>
    <row r="211" spans="1:31" ht="21.2" customHeight="1">
      <c r="A211" s="8" t="s">
        <v>365</v>
      </c>
      <c r="B211" s="158" t="s">
        <v>870</v>
      </c>
      <c r="C211" s="159">
        <v>31</v>
      </c>
      <c r="D211" s="158" t="s">
        <v>865</v>
      </c>
      <c r="E211" s="58">
        <v>81.297857142857097</v>
      </c>
      <c r="F211" s="160">
        <v>18.719396489353102</v>
      </c>
      <c r="G211" s="161">
        <v>0.196372129343205</v>
      </c>
      <c r="H211" s="161">
        <v>0.35491038170963701</v>
      </c>
      <c r="I211" s="161">
        <v>0.55128251105284098</v>
      </c>
      <c r="J211" s="161">
        <v>1.86566461916795</v>
      </c>
      <c r="K211" s="161">
        <v>2.06292358091563E-2</v>
      </c>
      <c r="L211" s="161">
        <v>6.2725201199084105E-2</v>
      </c>
      <c r="M211" s="161">
        <v>5.6653511053442298E-3</v>
      </c>
      <c r="N211" s="161">
        <v>2.51472294287211E-2</v>
      </c>
      <c r="O211" s="161">
        <v>0.69963644210794596</v>
      </c>
      <c r="P211" s="161">
        <v>0.95912719390465395</v>
      </c>
      <c r="Q211" s="161">
        <v>3.5643857703028303E-2</v>
      </c>
      <c r="R211" s="161">
        <v>0.38713012257721602</v>
      </c>
      <c r="S211" s="161">
        <v>3.2967016034890197E-2</v>
      </c>
      <c r="T211" s="161">
        <v>6.8833113723059398</v>
      </c>
      <c r="U211" s="161">
        <v>6.7327507418528496</v>
      </c>
      <c r="V211" s="161">
        <v>0.50552878758890696</v>
      </c>
      <c r="W211" s="161"/>
      <c r="X211" s="58"/>
      <c r="Y211" s="160"/>
      <c r="Z211" s="160"/>
      <c r="AA211" s="160"/>
      <c r="AB211" s="160"/>
      <c r="AC211" s="160"/>
      <c r="AD211" s="162"/>
      <c r="AE211" s="161"/>
    </row>
    <row r="212" spans="1:31" ht="21.2" customHeight="1">
      <c r="A212" s="8" t="s">
        <v>412</v>
      </c>
      <c r="B212" s="158" t="s">
        <v>876</v>
      </c>
      <c r="C212" s="163">
        <v>30</v>
      </c>
      <c r="D212" s="158" t="s">
        <v>847</v>
      </c>
      <c r="E212" s="58">
        <v>77.770357142857094</v>
      </c>
      <c r="F212" s="160">
        <v>16.414531949716601</v>
      </c>
      <c r="G212" s="161">
        <v>0.27279672969174601</v>
      </c>
      <c r="H212" s="161">
        <v>0.277830308836643</v>
      </c>
      <c r="I212" s="161">
        <v>0.55062703852838901</v>
      </c>
      <c r="J212" s="161">
        <v>1.84743941710932</v>
      </c>
      <c r="K212" s="161">
        <v>5.0974716403909298E-2</v>
      </c>
      <c r="L212" s="161">
        <v>9.3802821697456004E-2</v>
      </c>
      <c r="M212" s="161">
        <v>1.7464631768862399E-2</v>
      </c>
      <c r="N212" s="161">
        <v>3.2196041586850903E-2</v>
      </c>
      <c r="O212" s="161">
        <v>0.39059424290491102</v>
      </c>
      <c r="P212" s="161">
        <v>0.39759327215416301</v>
      </c>
      <c r="Q212" s="161">
        <v>-4.6984640143504001E-2</v>
      </c>
      <c r="R212" s="161">
        <v>0.22996354777813699</v>
      </c>
      <c r="S212" s="161">
        <v>3.13914648746524E-2</v>
      </c>
      <c r="T212" s="161">
        <v>0.118277264790735</v>
      </c>
      <c r="U212" s="161">
        <v>0.13941011406707399</v>
      </c>
      <c r="V212" s="161">
        <v>0.45899517979885202</v>
      </c>
      <c r="W212" s="161"/>
      <c r="X212" s="58"/>
      <c r="Y212" s="160"/>
      <c r="Z212" s="160"/>
      <c r="AA212" s="160"/>
      <c r="AB212" s="160"/>
      <c r="AC212" s="160"/>
      <c r="AD212" s="162"/>
      <c r="AE212" s="161"/>
    </row>
    <row r="213" spans="1:31" ht="21.2" customHeight="1">
      <c r="A213" s="8" t="s">
        <v>478</v>
      </c>
      <c r="B213" s="158" t="s">
        <v>892</v>
      </c>
      <c r="C213" s="159">
        <v>31</v>
      </c>
      <c r="D213" s="158" t="s">
        <v>846</v>
      </c>
      <c r="E213" s="58">
        <v>80.752499999999998</v>
      </c>
      <c r="F213" s="160">
        <v>17.279618968072398</v>
      </c>
      <c r="G213" s="161">
        <v>0.195284173706084</v>
      </c>
      <c r="H213" s="161">
        <v>0.35241630391034601</v>
      </c>
      <c r="I213" s="161">
        <v>0.54770047761643004</v>
      </c>
      <c r="J213" s="161">
        <v>1.7427284371266201</v>
      </c>
      <c r="K213" s="161">
        <v>1.2265097716576001E-2</v>
      </c>
      <c r="L213" s="161">
        <v>2.5648115341689801E-2</v>
      </c>
      <c r="M213" s="161">
        <v>1.13262029621044E-2</v>
      </c>
      <c r="N213" s="161">
        <v>2.3422106131432901E-2</v>
      </c>
      <c r="O213" s="161">
        <v>0.59594543069499495</v>
      </c>
      <c r="P213" s="161">
        <v>1.3031608744545</v>
      </c>
      <c r="Q213" s="161">
        <v>1.06253533224832E-2</v>
      </c>
      <c r="R213" s="161">
        <v>0.65552406674986696</v>
      </c>
      <c r="S213" s="161">
        <v>2.7449334086120599E-2</v>
      </c>
      <c r="T213" s="161">
        <v>5.89925250888367</v>
      </c>
      <c r="U213" s="161">
        <v>6.0390298038687398</v>
      </c>
      <c r="V213" s="161">
        <v>0.49414583726019901</v>
      </c>
      <c r="W213" s="161"/>
      <c r="X213" s="58"/>
      <c r="Y213" s="160"/>
      <c r="Z213" s="160"/>
      <c r="AA213" s="160"/>
      <c r="AB213" s="160"/>
      <c r="AC213" s="160"/>
      <c r="AD213" s="162"/>
      <c r="AE213" s="161"/>
    </row>
    <row r="214" spans="1:31" ht="21.2" customHeight="1">
      <c r="A214" s="8" t="s">
        <v>578</v>
      </c>
      <c r="B214" s="158" t="s">
        <v>887</v>
      </c>
      <c r="C214" s="163">
        <v>18</v>
      </c>
      <c r="D214" s="158" t="s">
        <v>846</v>
      </c>
      <c r="E214" s="58">
        <v>66</v>
      </c>
      <c r="F214" s="160">
        <v>13</v>
      </c>
      <c r="G214" s="161">
        <v>0.18889890046353</v>
      </c>
      <c r="H214" s="161">
        <v>0.356776849056402</v>
      </c>
      <c r="I214" s="161">
        <v>0.54567574951993403</v>
      </c>
      <c r="J214" s="161">
        <v>1.6561175151054299</v>
      </c>
      <c r="K214" s="161">
        <v>4.6008098704093003E-2</v>
      </c>
      <c r="L214" s="161">
        <v>0.132904446149437</v>
      </c>
      <c r="M214" s="161">
        <v>0</v>
      </c>
      <c r="N214" s="161">
        <v>0</v>
      </c>
      <c r="O214" s="161">
        <v>0.41219512195121999</v>
      </c>
      <c r="P214" s="161">
        <v>0.48780487804877998</v>
      </c>
      <c r="Q214" s="161">
        <v>-3.78048780487805E-3</v>
      </c>
      <c r="R214" s="161">
        <v>0.24390243902438999</v>
      </c>
      <c r="S214" s="161">
        <v>1.8108420143800898E-2</v>
      </c>
      <c r="T214" s="161">
        <v>1.09756097560976</v>
      </c>
      <c r="U214" s="161">
        <v>1.58536585365854</v>
      </c>
      <c r="V214" s="161">
        <v>0.41</v>
      </c>
      <c r="W214" s="161"/>
      <c r="X214" s="58"/>
      <c r="Y214" s="161"/>
      <c r="Z214" s="161"/>
      <c r="AA214" s="161"/>
      <c r="AB214" s="161"/>
      <c r="AC214" s="160"/>
      <c r="AD214" s="162"/>
      <c r="AE214" s="161"/>
    </row>
    <row r="215" spans="1:31" ht="21.2" customHeight="1">
      <c r="A215" s="8" t="s">
        <v>235</v>
      </c>
      <c r="B215" s="158" t="s">
        <v>876</v>
      </c>
      <c r="C215" s="159">
        <v>32</v>
      </c>
      <c r="D215" s="158" t="s">
        <v>849</v>
      </c>
      <c r="E215" s="58">
        <v>76.23</v>
      </c>
      <c r="F215" s="160">
        <v>19.467656438497599</v>
      </c>
      <c r="G215" s="161">
        <v>9.8791772166630001E-2</v>
      </c>
      <c r="H215" s="161">
        <v>0.4460761071398</v>
      </c>
      <c r="I215" s="161">
        <v>0.54486787930642999</v>
      </c>
      <c r="J215" s="161">
        <v>1.9208619264283799</v>
      </c>
      <c r="K215" s="161">
        <v>4.6508131442112903E-2</v>
      </c>
      <c r="L215" s="161">
        <v>0.244949716283446</v>
      </c>
      <c r="M215" s="161">
        <v>2.8925273000040598E-5</v>
      </c>
      <c r="N215" s="161">
        <v>1.0136058031385299E-4</v>
      </c>
      <c r="O215" s="161">
        <v>1.2856939643293701</v>
      </c>
      <c r="P215" s="161">
        <v>0.88962531828682101</v>
      </c>
      <c r="Q215" s="161">
        <v>-5.2551679381434402E-2</v>
      </c>
      <c r="R215" s="161">
        <v>0.53676124828256699</v>
      </c>
      <c r="S215" s="161">
        <v>1.13682390891479E-2</v>
      </c>
      <c r="T215" s="161">
        <v>0</v>
      </c>
      <c r="U215" s="161">
        <v>0</v>
      </c>
      <c r="V215" s="161">
        <v>0</v>
      </c>
      <c r="W215" s="161"/>
      <c r="X215" s="58"/>
      <c r="Y215" s="160"/>
      <c r="Z215" s="160"/>
      <c r="AA215" s="160"/>
      <c r="AB215" s="160"/>
      <c r="AC215" s="160"/>
      <c r="AD215" s="162"/>
      <c r="AE215" s="161"/>
    </row>
    <row r="216" spans="1:31" ht="21.2" customHeight="1">
      <c r="A216" s="8" t="s">
        <v>413</v>
      </c>
      <c r="B216" s="158" t="s">
        <v>876</v>
      </c>
      <c r="C216" s="159">
        <v>31</v>
      </c>
      <c r="D216" s="158" t="s">
        <v>846</v>
      </c>
      <c r="E216" s="58">
        <v>77.36</v>
      </c>
      <c r="F216" s="160">
        <v>15.7061840258178</v>
      </c>
      <c r="G216" s="161">
        <v>0.18508189337588801</v>
      </c>
      <c r="H216" s="161">
        <v>0.35968353996055102</v>
      </c>
      <c r="I216" s="161">
        <v>0.54476543333643901</v>
      </c>
      <c r="J216" s="161">
        <v>2.2593004763915698</v>
      </c>
      <c r="K216" s="161">
        <v>4.7332394373133198E-2</v>
      </c>
      <c r="L216" s="161">
        <v>0.130242701895915</v>
      </c>
      <c r="M216" s="161">
        <v>1.78355739824491E-4</v>
      </c>
      <c r="N216" s="161">
        <v>1.1368960490191701E-3</v>
      </c>
      <c r="O216" s="161">
        <v>0.27192555233256499</v>
      </c>
      <c r="P216" s="161">
        <v>0.68745607347403903</v>
      </c>
      <c r="Q216" s="161">
        <v>-5.1921562560659801E-2</v>
      </c>
      <c r="R216" s="161">
        <v>0.30513478661347698</v>
      </c>
      <c r="S216" s="161">
        <v>2.12978790523204E-2</v>
      </c>
      <c r="T216" s="161">
        <v>3.7378223544004499</v>
      </c>
      <c r="U216" s="161">
        <v>4.1184952418907796</v>
      </c>
      <c r="V216" s="161">
        <v>0.475772817046625</v>
      </c>
      <c r="W216" s="161"/>
      <c r="X216" s="58"/>
      <c r="Y216" s="160"/>
      <c r="Z216" s="160"/>
      <c r="AA216" s="160"/>
      <c r="AB216" s="160"/>
      <c r="AC216" s="160"/>
      <c r="AD216" s="162"/>
      <c r="AE216" s="161"/>
    </row>
    <row r="217" spans="1:31" ht="21.2" customHeight="1">
      <c r="A217" s="8" t="s">
        <v>381</v>
      </c>
      <c r="B217" s="158" t="s">
        <v>885</v>
      </c>
      <c r="C217" s="159">
        <v>25</v>
      </c>
      <c r="D217" s="158" t="s">
        <v>880</v>
      </c>
      <c r="E217" s="58">
        <v>80.599999999999994</v>
      </c>
      <c r="F217" s="160">
        <v>15.6219758546452</v>
      </c>
      <c r="G217" s="161">
        <v>0.24527669909195701</v>
      </c>
      <c r="H217" s="161">
        <v>0.29769102256397301</v>
      </c>
      <c r="I217" s="161">
        <v>0.54296772165592999</v>
      </c>
      <c r="J217" s="161">
        <v>1.9434233343637299</v>
      </c>
      <c r="K217" s="161">
        <v>2.7233858995850398E-2</v>
      </c>
      <c r="L217" s="161">
        <v>6.2663501676333402E-2</v>
      </c>
      <c r="M217" s="161">
        <v>1.9545839940409399E-2</v>
      </c>
      <c r="N217" s="161">
        <v>2.5734731010314999E-2</v>
      </c>
      <c r="O217" s="161">
        <v>0.28934229456293498</v>
      </c>
      <c r="P217" s="161">
        <v>1.5460496528977801</v>
      </c>
      <c r="Q217" s="161">
        <v>8.6770789181640894E-3</v>
      </c>
      <c r="R217" s="161">
        <v>0.41022800731568898</v>
      </c>
      <c r="S217" s="161">
        <v>4.0985307198913801E-2</v>
      </c>
      <c r="T217" s="161">
        <v>0.66173686679807597</v>
      </c>
      <c r="U217" s="161">
        <v>0.74263168266913704</v>
      </c>
      <c r="V217" s="161">
        <v>0.47119886517618498</v>
      </c>
      <c r="W217" s="161"/>
      <c r="X217" s="58"/>
      <c r="Y217" s="160"/>
      <c r="Z217" s="160"/>
      <c r="AA217" s="160"/>
      <c r="AB217" s="160"/>
      <c r="AC217" s="160"/>
      <c r="AD217" s="162"/>
      <c r="AE217" s="161"/>
    </row>
    <row r="218" spans="1:31" ht="21.2" customHeight="1">
      <c r="A218" s="8" t="s">
        <v>385</v>
      </c>
      <c r="B218" s="158" t="s">
        <v>889</v>
      </c>
      <c r="C218" s="159">
        <v>26</v>
      </c>
      <c r="D218" s="158" t="s">
        <v>848</v>
      </c>
      <c r="E218" s="58">
        <v>74.527500000000003</v>
      </c>
      <c r="F218" s="160">
        <v>12.7138915523403</v>
      </c>
      <c r="G218" s="161">
        <v>0.27405359383505001</v>
      </c>
      <c r="H218" s="161">
        <v>0.26816446621591999</v>
      </c>
      <c r="I218" s="161">
        <v>0.54221806005096995</v>
      </c>
      <c r="J218" s="161">
        <v>2.2457976899512802</v>
      </c>
      <c r="K218" s="161">
        <v>5.6525924593872699E-2</v>
      </c>
      <c r="L218" s="161">
        <v>0.122169841715837</v>
      </c>
      <c r="M218" s="161">
        <v>1.7246359520032601E-5</v>
      </c>
      <c r="N218" s="161">
        <v>3.3082742442971E-5</v>
      </c>
      <c r="O218" s="161">
        <v>0.279425633599305</v>
      </c>
      <c r="P218" s="161">
        <v>0.726419770749959</v>
      </c>
      <c r="Q218" s="161">
        <v>8.2040492172686594E-3</v>
      </c>
      <c r="R218" s="161">
        <v>0.237374360420085</v>
      </c>
      <c r="S218" s="161">
        <v>3.6267117968037201E-2</v>
      </c>
      <c r="T218" s="161">
        <v>2.4046506187453201E-2</v>
      </c>
      <c r="U218" s="161">
        <v>6.8806144822826307E-2</v>
      </c>
      <c r="V218" s="161">
        <v>0.25897490190981198</v>
      </c>
      <c r="W218" s="161"/>
      <c r="X218" s="58"/>
      <c r="Y218" s="160"/>
      <c r="Z218" s="160"/>
      <c r="AA218" s="160"/>
      <c r="AB218" s="160"/>
      <c r="AC218" s="160"/>
      <c r="AD218" s="162"/>
      <c r="AE218" s="161"/>
    </row>
    <row r="219" spans="1:31" ht="21.2" customHeight="1">
      <c r="A219" s="8" t="s">
        <v>431</v>
      </c>
      <c r="B219" s="158" t="s">
        <v>866</v>
      </c>
      <c r="C219" s="159">
        <v>28</v>
      </c>
      <c r="D219" s="158" t="s">
        <v>860</v>
      </c>
      <c r="E219" s="58">
        <v>80.007142857142895</v>
      </c>
      <c r="F219" s="160">
        <v>14.800279072387299</v>
      </c>
      <c r="G219" s="161">
        <v>0.18534919134033701</v>
      </c>
      <c r="H219" s="161">
        <v>0.35668731713684398</v>
      </c>
      <c r="I219" s="161">
        <v>0.54203650847717999</v>
      </c>
      <c r="J219" s="161">
        <v>1.78887157038721</v>
      </c>
      <c r="K219" s="161">
        <v>3.4936846650686103E-2</v>
      </c>
      <c r="L219" s="161">
        <v>9.1796781489705395E-2</v>
      </c>
      <c r="M219" s="161">
        <v>1.48868846654555E-4</v>
      </c>
      <c r="N219" s="161">
        <v>2.78523323486365E-4</v>
      </c>
      <c r="O219" s="161">
        <v>0.26309754483509301</v>
      </c>
      <c r="P219" s="161">
        <v>0.35484774307676697</v>
      </c>
      <c r="Q219" s="161">
        <v>4.50343020123165E-2</v>
      </c>
      <c r="R219" s="161">
        <v>0.59559129095878705</v>
      </c>
      <c r="S219" s="161">
        <v>2.9776298323756799E-2</v>
      </c>
      <c r="T219" s="161">
        <v>4.3703657413487802</v>
      </c>
      <c r="U219" s="161">
        <v>4.3323775984636104</v>
      </c>
      <c r="V219" s="161">
        <v>0.50218253839058902</v>
      </c>
      <c r="W219" s="161"/>
      <c r="X219" s="58"/>
      <c r="Y219" s="160"/>
      <c r="Z219" s="160"/>
      <c r="AA219" s="160"/>
      <c r="AB219" s="160"/>
      <c r="AC219" s="160"/>
      <c r="AD219" s="162"/>
      <c r="AE219" s="161"/>
    </row>
    <row r="220" spans="1:31" ht="21.2" customHeight="1">
      <c r="A220" s="8" t="s">
        <v>458</v>
      </c>
      <c r="B220" s="158" t="s">
        <v>889</v>
      </c>
      <c r="C220" s="159">
        <v>28</v>
      </c>
      <c r="D220" s="158" t="s">
        <v>860</v>
      </c>
      <c r="E220" s="58">
        <v>79.208571428571403</v>
      </c>
      <c r="F220" s="160">
        <v>18.2927089835242</v>
      </c>
      <c r="G220" s="161">
        <v>0.21523555581057399</v>
      </c>
      <c r="H220" s="161">
        <v>0.32545810717443302</v>
      </c>
      <c r="I220" s="161">
        <v>0.54069366298500698</v>
      </c>
      <c r="J220" s="161">
        <v>1.5222614415870901</v>
      </c>
      <c r="K220" s="161">
        <v>2.58349040813718E-2</v>
      </c>
      <c r="L220" s="161">
        <v>6.0238764104106703E-2</v>
      </c>
      <c r="M220" s="161">
        <v>5.2025812233697701E-3</v>
      </c>
      <c r="N220" s="161">
        <v>6.1730120577039296E-3</v>
      </c>
      <c r="O220" s="161">
        <v>0.86661813079953198</v>
      </c>
      <c r="P220" s="161">
        <v>0.48771893308998299</v>
      </c>
      <c r="Q220" s="161">
        <v>-9.6338860312595396E-3</v>
      </c>
      <c r="R220" s="161">
        <v>0.40233817654182102</v>
      </c>
      <c r="S220" s="161">
        <v>2.8483382335049601E-2</v>
      </c>
      <c r="T220" s="161">
        <v>8.2993554436072898</v>
      </c>
      <c r="U220" s="161">
        <v>8.5564799379429406</v>
      </c>
      <c r="V220" s="161">
        <v>0.49237283443640301</v>
      </c>
      <c r="W220" s="161"/>
      <c r="X220" s="58"/>
      <c r="Y220" s="160"/>
      <c r="Z220" s="160"/>
      <c r="AA220" s="160"/>
      <c r="AB220" s="160"/>
      <c r="AC220" s="160"/>
      <c r="AD220" s="162"/>
      <c r="AE220" s="161"/>
    </row>
    <row r="221" spans="1:31" ht="21.2" customHeight="1">
      <c r="A221" s="8" t="s">
        <v>537</v>
      </c>
      <c r="B221" s="158" t="s">
        <v>888</v>
      </c>
      <c r="C221" s="159">
        <v>22</v>
      </c>
      <c r="D221" s="158" t="s">
        <v>860</v>
      </c>
      <c r="E221" s="58">
        <v>71.599999999999994</v>
      </c>
      <c r="F221" s="160">
        <v>14.120485748556</v>
      </c>
      <c r="G221" s="161">
        <v>0.169218395024579</v>
      </c>
      <c r="H221" s="161">
        <v>0.370863180468266</v>
      </c>
      <c r="I221" s="161">
        <v>0.54008157549284497</v>
      </c>
      <c r="J221" s="161">
        <v>1.24865373109766</v>
      </c>
      <c r="K221" s="161">
        <v>3.0035351530233501E-2</v>
      </c>
      <c r="L221" s="161">
        <v>0.13509895024237301</v>
      </c>
      <c r="M221" s="161">
        <v>2.2855371669345601E-4</v>
      </c>
      <c r="N221" s="161">
        <v>4.6037408322049402E-4</v>
      </c>
      <c r="O221" s="161">
        <v>0.408398833672872</v>
      </c>
      <c r="P221" s="161">
        <v>1.51469708759846</v>
      </c>
      <c r="Q221" s="161">
        <v>-2.4052157956979E-3</v>
      </c>
      <c r="R221" s="161">
        <v>0.34141637685751203</v>
      </c>
      <c r="S221" s="161">
        <v>2.47103114245746E-2</v>
      </c>
      <c r="T221" s="161">
        <v>3.3932950248467901</v>
      </c>
      <c r="U221" s="161">
        <v>3.4151872508135499</v>
      </c>
      <c r="V221" s="161">
        <v>0.49839228295819898</v>
      </c>
      <c r="W221" s="161"/>
      <c r="X221" s="58"/>
      <c r="Y221" s="160"/>
      <c r="Z221" s="160"/>
      <c r="AA221" s="160"/>
      <c r="AB221" s="160"/>
      <c r="AC221" s="160"/>
      <c r="AD221" s="162"/>
      <c r="AE221" s="161"/>
    </row>
    <row r="222" spans="1:31" ht="21.2" customHeight="1">
      <c r="A222" s="8" t="s">
        <v>463</v>
      </c>
      <c r="B222" s="158" t="s">
        <v>862</v>
      </c>
      <c r="C222" s="159">
        <v>26</v>
      </c>
      <c r="D222" s="158" t="s">
        <v>846</v>
      </c>
      <c r="E222" s="58">
        <v>76.066428571428602</v>
      </c>
      <c r="F222" s="160">
        <v>17.318688559845501</v>
      </c>
      <c r="G222" s="161">
        <v>0.213810875676194</v>
      </c>
      <c r="H222" s="161">
        <v>0.32466392212200401</v>
      </c>
      <c r="I222" s="161">
        <v>0.53847479779819796</v>
      </c>
      <c r="J222" s="161">
        <v>1.90897720378073</v>
      </c>
      <c r="K222" s="161">
        <v>3.2288534168445598E-2</v>
      </c>
      <c r="L222" s="161">
        <v>8.1326684624345599E-2</v>
      </c>
      <c r="M222" s="161">
        <v>2.6933525035194399E-2</v>
      </c>
      <c r="N222" s="161">
        <v>2.9567997968750599E-2</v>
      </c>
      <c r="O222" s="161">
        <v>0.77610428244497998</v>
      </c>
      <c r="P222" s="161">
        <v>0.77362465310462003</v>
      </c>
      <c r="Q222" s="161">
        <v>7.7642709667046202E-3</v>
      </c>
      <c r="R222" s="161">
        <v>0.45006049986289098</v>
      </c>
      <c r="S222" s="161">
        <v>3.34614797102585E-2</v>
      </c>
      <c r="T222" s="161">
        <v>6.6233739374654501</v>
      </c>
      <c r="U222" s="161">
        <v>6.9588621392586498</v>
      </c>
      <c r="V222" s="161">
        <v>0.48764974338915701</v>
      </c>
      <c r="W222" s="161"/>
      <c r="X222" s="58"/>
      <c r="Y222" s="160"/>
      <c r="Z222" s="160"/>
      <c r="AA222" s="160"/>
      <c r="AB222" s="160"/>
      <c r="AC222" s="160"/>
      <c r="AD222" s="162"/>
      <c r="AE222" s="161"/>
    </row>
    <row r="223" spans="1:31" ht="21.2" customHeight="1">
      <c r="A223" s="8" t="s">
        <v>501</v>
      </c>
      <c r="B223" s="158" t="s">
        <v>890</v>
      </c>
      <c r="C223" s="159">
        <v>24</v>
      </c>
      <c r="D223" s="158" t="s">
        <v>846</v>
      </c>
      <c r="E223" s="58">
        <v>75.44</v>
      </c>
      <c r="F223" s="160">
        <v>16.125493884150501</v>
      </c>
      <c r="G223" s="161">
        <v>0.213016896597223</v>
      </c>
      <c r="H223" s="161">
        <v>0.32507506829497101</v>
      </c>
      <c r="I223" s="161">
        <v>0.53809196489219402</v>
      </c>
      <c r="J223" s="161">
        <v>1.8932744454974</v>
      </c>
      <c r="K223" s="161">
        <v>2.49411630937811E-2</v>
      </c>
      <c r="L223" s="161">
        <v>7.8290132766418302E-2</v>
      </c>
      <c r="M223" s="161">
        <v>1.0129456302867201E-3</v>
      </c>
      <c r="N223" s="161">
        <v>2.0680369893811001E-3</v>
      </c>
      <c r="O223" s="161">
        <v>0.60675691890878003</v>
      </c>
      <c r="P223" s="161">
        <v>0.99401832736646001</v>
      </c>
      <c r="Q223" s="161">
        <v>-6.7294036815689795E-2</v>
      </c>
      <c r="R223" s="161">
        <v>0.31761246797311499</v>
      </c>
      <c r="S223" s="161">
        <v>2.5039207953161599E-2</v>
      </c>
      <c r="T223" s="161">
        <v>5.3278572632842902</v>
      </c>
      <c r="U223" s="161">
        <v>6.0825971148077196</v>
      </c>
      <c r="V223" s="161">
        <v>0.46692770390579202</v>
      </c>
      <c r="W223" s="161"/>
      <c r="X223" s="58"/>
      <c r="Y223" s="160"/>
      <c r="Z223" s="160"/>
      <c r="AA223" s="160"/>
      <c r="AB223" s="160"/>
      <c r="AC223" s="160"/>
      <c r="AD223" s="162"/>
      <c r="AE223" s="161"/>
    </row>
    <row r="224" spans="1:31" ht="21.2" customHeight="1">
      <c r="A224" s="8" t="s">
        <v>338</v>
      </c>
      <c r="B224" s="158" t="s">
        <v>883</v>
      </c>
      <c r="C224" s="159">
        <v>28</v>
      </c>
      <c r="D224" s="158" t="s">
        <v>864</v>
      </c>
      <c r="E224" s="58">
        <v>77.81</v>
      </c>
      <c r="F224" s="160">
        <v>16.481895358064499</v>
      </c>
      <c r="G224" s="161">
        <v>0.19291820450571501</v>
      </c>
      <c r="H224" s="161">
        <v>0.34002876378970498</v>
      </c>
      <c r="I224" s="161">
        <v>0.53294696829541999</v>
      </c>
      <c r="J224" s="161">
        <v>2.4838784911443801</v>
      </c>
      <c r="K224" s="161">
        <v>3.2432652664817901E-2</v>
      </c>
      <c r="L224" s="161">
        <v>9.2842966940593699E-2</v>
      </c>
      <c r="M224" s="161">
        <v>3.2287491149690498E-2</v>
      </c>
      <c r="N224" s="161">
        <v>4.4639872120231301E-2</v>
      </c>
      <c r="O224" s="161">
        <v>0.39812181647724598</v>
      </c>
      <c r="P224" s="161">
        <v>0.97176098202986605</v>
      </c>
      <c r="Q224" s="161">
        <v>4.0597215005369501E-3</v>
      </c>
      <c r="R224" s="161">
        <v>0.29597823923245098</v>
      </c>
      <c r="S224" s="161">
        <v>2.8563673024477002E-2</v>
      </c>
      <c r="T224" s="161">
        <v>0.23826985521308799</v>
      </c>
      <c r="U224" s="161">
        <v>0.39101638795829502</v>
      </c>
      <c r="V224" s="161">
        <v>0.37863509300996501</v>
      </c>
      <c r="W224" s="161"/>
      <c r="X224" s="58"/>
      <c r="Y224" s="160"/>
      <c r="Z224" s="160"/>
      <c r="AA224" s="160"/>
      <c r="AB224" s="160"/>
      <c r="AC224" s="160"/>
      <c r="AD224" s="162"/>
      <c r="AE224" s="161"/>
    </row>
    <row r="225" spans="1:31" ht="21.2" customHeight="1">
      <c r="A225" s="8" t="s">
        <v>273</v>
      </c>
      <c r="B225" s="158" t="s">
        <v>863</v>
      </c>
      <c r="C225" s="159">
        <v>27</v>
      </c>
      <c r="D225" s="158" t="s">
        <v>849</v>
      </c>
      <c r="E225" s="58">
        <v>65</v>
      </c>
      <c r="F225" s="160">
        <v>21.598563653759399</v>
      </c>
      <c r="G225" s="161">
        <v>0.17232489063748199</v>
      </c>
      <c r="H225" s="161">
        <v>0.35941245967954599</v>
      </c>
      <c r="I225" s="161">
        <v>0.53173735031702796</v>
      </c>
      <c r="J225" s="161">
        <v>2.48022798378005</v>
      </c>
      <c r="K225" s="161">
        <v>5.1904446689016302E-2</v>
      </c>
      <c r="L225" s="161">
        <v>0.15251142284740901</v>
      </c>
      <c r="M225" s="161">
        <v>6.53941090717309E-3</v>
      </c>
      <c r="N225" s="161">
        <v>1.9405678864076299E-2</v>
      </c>
      <c r="O225" s="161">
        <v>1.19507632071764</v>
      </c>
      <c r="P225" s="161">
        <v>1.1148221990465399</v>
      </c>
      <c r="Q225" s="161">
        <v>3.19484621699965E-2</v>
      </c>
      <c r="R225" s="161">
        <v>0.62114029696766704</v>
      </c>
      <c r="S225" s="161">
        <v>2.47203986320516E-2</v>
      </c>
      <c r="T225" s="161">
        <v>0</v>
      </c>
      <c r="U225" s="161">
        <v>0</v>
      </c>
      <c r="V225" s="161">
        <v>0</v>
      </c>
      <c r="W225" s="161"/>
      <c r="X225" s="58"/>
      <c r="Y225" s="160"/>
      <c r="Z225" s="160"/>
      <c r="AA225" s="160"/>
      <c r="AB225" s="160"/>
      <c r="AC225" s="160"/>
      <c r="AD225" s="162"/>
      <c r="AE225" s="161"/>
    </row>
    <row r="226" spans="1:31" ht="21.2" customHeight="1">
      <c r="A226" s="8" t="s">
        <v>545</v>
      </c>
      <c r="B226" s="158" t="s">
        <v>894</v>
      </c>
      <c r="C226" s="159">
        <v>24</v>
      </c>
      <c r="D226" s="158" t="s">
        <v>847</v>
      </c>
      <c r="E226" s="58">
        <v>67.034999999999997</v>
      </c>
      <c r="F226" s="160">
        <v>15.5307984366531</v>
      </c>
      <c r="G226" s="161">
        <v>0.30823675512582799</v>
      </c>
      <c r="H226" s="161">
        <v>0.221932389849196</v>
      </c>
      <c r="I226" s="161">
        <v>0.53016914497502399</v>
      </c>
      <c r="J226" s="161">
        <v>1.55660242289238</v>
      </c>
      <c r="K226" s="161">
        <v>4.2232271387645001E-2</v>
      </c>
      <c r="L226" s="161">
        <v>5.89202387521943E-2</v>
      </c>
      <c r="M226" s="161">
        <v>1.6845540482668699E-2</v>
      </c>
      <c r="N226" s="161">
        <v>2.0531888901558999E-2</v>
      </c>
      <c r="O226" s="161">
        <v>1.1727113360514601</v>
      </c>
      <c r="P226" s="161">
        <v>1.4885091808803499</v>
      </c>
      <c r="Q226" s="161">
        <v>-6.9893364716349896E-2</v>
      </c>
      <c r="R226" s="161">
        <v>0.31652925643714003</v>
      </c>
      <c r="S226" s="161">
        <v>3.1576424987401E-2</v>
      </c>
      <c r="T226" s="161">
        <v>0</v>
      </c>
      <c r="U226" s="161">
        <v>3.1393933877372798E-2</v>
      </c>
      <c r="V226" s="161">
        <v>0</v>
      </c>
      <c r="W226" s="161"/>
      <c r="X226" s="58"/>
      <c r="Y226" s="160"/>
      <c r="Z226" s="160"/>
      <c r="AA226" s="160"/>
      <c r="AB226" s="160"/>
      <c r="AC226" s="160"/>
      <c r="AD226" s="162"/>
      <c r="AE226" s="161"/>
    </row>
    <row r="227" spans="1:31" ht="21.2" customHeight="1">
      <c r="A227" s="8" t="s">
        <v>388</v>
      </c>
      <c r="B227" s="158" t="s">
        <v>890</v>
      </c>
      <c r="C227" s="159">
        <v>29</v>
      </c>
      <c r="D227" s="158" t="s">
        <v>860</v>
      </c>
      <c r="E227" s="58">
        <v>78.818214285714305</v>
      </c>
      <c r="F227" s="160">
        <v>17.653290222509799</v>
      </c>
      <c r="G227" s="161">
        <v>0.214774830373373</v>
      </c>
      <c r="H227" s="161">
        <v>0.31033110370862799</v>
      </c>
      <c r="I227" s="161">
        <v>0.52510593408200101</v>
      </c>
      <c r="J227" s="161">
        <v>2.0587243721233501</v>
      </c>
      <c r="K227" s="161">
        <v>5.0251557252127203E-2</v>
      </c>
      <c r="L227" s="161">
        <v>9.4371042640408007E-2</v>
      </c>
      <c r="M227" s="161">
        <v>2.9778671265167801E-2</v>
      </c>
      <c r="N227" s="161">
        <v>5.6515024379288799E-2</v>
      </c>
      <c r="O227" s="161">
        <v>0.68310637139791697</v>
      </c>
      <c r="P227" s="161">
        <v>1.93020197542993</v>
      </c>
      <c r="Q227" s="161">
        <v>-7.5899868884226201E-2</v>
      </c>
      <c r="R227" s="161">
        <v>0.52206220050764396</v>
      </c>
      <c r="S227" s="161">
        <v>2.52458454081807E-2</v>
      </c>
      <c r="T227" s="161">
        <v>6.2715782953176502</v>
      </c>
      <c r="U227" s="161">
        <v>6.5811929645302403</v>
      </c>
      <c r="V227" s="161">
        <v>0.48795533418618298</v>
      </c>
      <c r="W227" s="161"/>
      <c r="X227" s="58"/>
      <c r="Y227" s="160"/>
      <c r="Z227" s="160"/>
      <c r="AA227" s="160"/>
      <c r="AB227" s="160"/>
      <c r="AC227" s="160"/>
      <c r="AD227" s="162"/>
      <c r="AE227" s="161"/>
    </row>
    <row r="228" spans="1:31" ht="21.2" customHeight="1">
      <c r="A228" s="8" t="s">
        <v>648</v>
      </c>
      <c r="B228" s="158" t="s">
        <v>872</v>
      </c>
      <c r="C228" s="159">
        <v>21</v>
      </c>
      <c r="D228" s="158" t="s">
        <v>848</v>
      </c>
      <c r="E228" s="58">
        <v>50</v>
      </c>
      <c r="F228" s="160">
        <v>14.0614844163012</v>
      </c>
      <c r="G228" s="161">
        <v>0.20933412377246199</v>
      </c>
      <c r="H228" s="161">
        <v>0.314998761483752</v>
      </c>
      <c r="I228" s="161">
        <v>0.52433288525621502</v>
      </c>
      <c r="J228" s="161">
        <v>1.82051502899316</v>
      </c>
      <c r="K228" s="161">
        <v>2.6786673775027001E-2</v>
      </c>
      <c r="L228" s="161">
        <v>7.8441770832728394E-2</v>
      </c>
      <c r="M228" s="161">
        <v>8.2835679040937004E-4</v>
      </c>
      <c r="N228" s="161">
        <v>4.8388158104272902E-3</v>
      </c>
      <c r="O228" s="161">
        <v>0.312627983404066</v>
      </c>
      <c r="P228" s="161">
        <v>0.725762113622896</v>
      </c>
      <c r="Q228" s="161">
        <v>-1.0496265392752301E-2</v>
      </c>
      <c r="R228" s="161">
        <v>0.25271195683158298</v>
      </c>
      <c r="S228" s="161">
        <v>2.6798757020136201E-2</v>
      </c>
      <c r="T228" s="161">
        <v>0.14462791163088201</v>
      </c>
      <c r="U228" s="161">
        <v>0.29956505421398799</v>
      </c>
      <c r="V228" s="161">
        <v>0.32559703271256102</v>
      </c>
      <c r="W228" s="161"/>
      <c r="X228" s="58"/>
      <c r="Y228" s="160"/>
      <c r="Z228" s="160"/>
      <c r="AA228" s="160"/>
      <c r="AB228" s="160"/>
      <c r="AC228" s="160"/>
      <c r="AD228" s="162"/>
      <c r="AE228" s="161"/>
    </row>
    <row r="229" spans="1:31" ht="21.2" customHeight="1">
      <c r="A229" s="8" t="s">
        <v>430</v>
      </c>
      <c r="B229" s="158" t="s">
        <v>888</v>
      </c>
      <c r="C229" s="159">
        <v>33</v>
      </c>
      <c r="D229" s="158" t="s">
        <v>864</v>
      </c>
      <c r="E229" s="58">
        <v>75.027500000000003</v>
      </c>
      <c r="F229" s="160">
        <v>16.642927150180199</v>
      </c>
      <c r="G229" s="161">
        <v>0.18817807126508401</v>
      </c>
      <c r="H229" s="161">
        <v>0.33609912291346</v>
      </c>
      <c r="I229" s="161">
        <v>0.52427719417854401</v>
      </c>
      <c r="J229" s="161">
        <v>1.7795902537074499</v>
      </c>
      <c r="K229" s="161">
        <v>2.5681024102285999E-2</v>
      </c>
      <c r="L229" s="161">
        <v>7.2484179980480901E-2</v>
      </c>
      <c r="M229" s="161">
        <v>2.1763189572078699E-2</v>
      </c>
      <c r="N229" s="161">
        <v>2.04106717130417E-2</v>
      </c>
      <c r="O229" s="161">
        <v>0.54769399591189005</v>
      </c>
      <c r="P229" s="161">
        <v>0.69227492219622699</v>
      </c>
      <c r="Q229" s="161">
        <v>-2.3503165442562299E-2</v>
      </c>
      <c r="R229" s="161">
        <v>0.32355671543944498</v>
      </c>
      <c r="S229" s="161">
        <v>2.7478920028526501E-2</v>
      </c>
      <c r="T229" s="161">
        <v>0.240554305184735</v>
      </c>
      <c r="U229" s="161">
        <v>0.28900110821686498</v>
      </c>
      <c r="V229" s="161">
        <v>0.45425709774078998</v>
      </c>
      <c r="W229" s="161"/>
      <c r="X229" s="58"/>
      <c r="Y229" s="160"/>
      <c r="Z229" s="160"/>
      <c r="AA229" s="160"/>
      <c r="AB229" s="160"/>
      <c r="AC229" s="160"/>
      <c r="AD229" s="162"/>
      <c r="AE229" s="161"/>
    </row>
    <row r="230" spans="1:31" ht="21.2" customHeight="1">
      <c r="A230" s="8" t="s">
        <v>471</v>
      </c>
      <c r="B230" s="158" t="s">
        <v>881</v>
      </c>
      <c r="C230" s="159">
        <v>29</v>
      </c>
      <c r="D230" s="158" t="s">
        <v>860</v>
      </c>
      <c r="E230" s="58">
        <v>73.109642857142902</v>
      </c>
      <c r="F230" s="160">
        <v>16.100251273948</v>
      </c>
      <c r="G230" s="161">
        <v>0.25860912337761</v>
      </c>
      <c r="H230" s="161">
        <v>0.26504448723691798</v>
      </c>
      <c r="I230" s="161">
        <v>0.52365361061452798</v>
      </c>
      <c r="J230" s="161">
        <v>2.0889005942971002</v>
      </c>
      <c r="K230" s="161">
        <v>2.70045590573748E-2</v>
      </c>
      <c r="L230" s="161">
        <v>7.0163509674514304E-2</v>
      </c>
      <c r="M230" s="161">
        <v>1.2720530380094599E-3</v>
      </c>
      <c r="N230" s="161">
        <v>2.34228976609343E-3</v>
      </c>
      <c r="O230" s="161">
        <v>0.50179318235561199</v>
      </c>
      <c r="P230" s="161">
        <v>0.55076013234727905</v>
      </c>
      <c r="Q230" s="161">
        <v>-8.9966192704997797E-2</v>
      </c>
      <c r="R230" s="161">
        <v>0.35505243779776502</v>
      </c>
      <c r="S230" s="161">
        <v>3.03042184263317E-2</v>
      </c>
      <c r="T230" s="161">
        <v>1.1386722285149899</v>
      </c>
      <c r="U230" s="161">
        <v>0.74588806128896201</v>
      </c>
      <c r="V230" s="161">
        <v>0.60421109087119895</v>
      </c>
      <c r="W230" s="161"/>
      <c r="X230" s="58"/>
      <c r="Y230" s="160"/>
      <c r="Z230" s="160"/>
      <c r="AA230" s="160"/>
      <c r="AB230" s="160"/>
      <c r="AC230" s="160"/>
      <c r="AD230" s="162"/>
      <c r="AE230" s="161"/>
    </row>
    <row r="231" spans="1:31" ht="21.2" customHeight="1">
      <c r="A231" s="8" t="s">
        <v>434</v>
      </c>
      <c r="B231" s="158" t="s">
        <v>889</v>
      </c>
      <c r="C231" s="159">
        <v>29</v>
      </c>
      <c r="D231" s="158" t="s">
        <v>880</v>
      </c>
      <c r="E231" s="58">
        <v>80.5085714285714</v>
      </c>
      <c r="F231" s="160">
        <v>16.858716608083899</v>
      </c>
      <c r="G231" s="161">
        <v>0.16172252601104301</v>
      </c>
      <c r="H231" s="161">
        <v>0.35843270954086598</v>
      </c>
      <c r="I231" s="161">
        <v>0.52015523555190901</v>
      </c>
      <c r="J231" s="161">
        <v>1.6072856699782201</v>
      </c>
      <c r="K231" s="161">
        <v>9.0697786601030197E-3</v>
      </c>
      <c r="L231" s="161">
        <v>2.6018991866393001E-2</v>
      </c>
      <c r="M231" s="161">
        <v>1.00417304151802E-2</v>
      </c>
      <c r="N231" s="161">
        <v>1.5909801983933401E-2</v>
      </c>
      <c r="O231" s="161">
        <v>0.56030589531838004</v>
      </c>
      <c r="P231" s="161">
        <v>0.52872738729324797</v>
      </c>
      <c r="Q231" s="161">
        <v>-2.5816961154186299E-2</v>
      </c>
      <c r="R231" s="161">
        <v>0.289374237544473</v>
      </c>
      <c r="S231" s="161">
        <v>2.1401689526690401E-2</v>
      </c>
      <c r="T231" s="161">
        <v>6.5581304951782098</v>
      </c>
      <c r="U231" s="161">
        <v>6.1536780251885403</v>
      </c>
      <c r="V231" s="161">
        <v>0.51590853375983703</v>
      </c>
      <c r="W231" s="161"/>
      <c r="X231" s="58"/>
      <c r="Y231" s="160"/>
      <c r="Z231" s="160"/>
      <c r="AA231" s="160"/>
      <c r="AB231" s="160"/>
      <c r="AC231" s="160"/>
      <c r="AD231" s="162"/>
      <c r="AE231" s="161"/>
    </row>
    <row r="232" spans="1:31" ht="21.2" customHeight="1">
      <c r="A232" s="8" t="s">
        <v>527</v>
      </c>
      <c r="B232" s="158" t="s">
        <v>861</v>
      </c>
      <c r="C232" s="159">
        <v>31</v>
      </c>
      <c r="D232" s="158" t="s">
        <v>846</v>
      </c>
      <c r="E232" s="58">
        <v>75.653571428571396</v>
      </c>
      <c r="F232" s="160">
        <v>15.568644361031099</v>
      </c>
      <c r="G232" s="161">
        <v>0.20362176606249399</v>
      </c>
      <c r="H232" s="161">
        <v>0.31641732231522901</v>
      </c>
      <c r="I232" s="161">
        <v>0.52003908837772295</v>
      </c>
      <c r="J232" s="161">
        <v>1.55574823303206</v>
      </c>
      <c r="K232" s="161">
        <v>6.6011151656084496E-2</v>
      </c>
      <c r="L232" s="161">
        <v>0.148366639155874</v>
      </c>
      <c r="M232" s="161">
        <v>1.27356641084354E-4</v>
      </c>
      <c r="N232" s="161">
        <v>2.19450687640533E-4</v>
      </c>
      <c r="O232" s="161">
        <v>0.40662525853430598</v>
      </c>
      <c r="P232" s="161">
        <v>0.953462767132498</v>
      </c>
      <c r="Q232" s="161">
        <v>4.6920781614768703E-2</v>
      </c>
      <c r="R232" s="161">
        <v>0.53240596859570199</v>
      </c>
      <c r="S232" s="161">
        <v>3.2216031307270701E-2</v>
      </c>
      <c r="T232" s="161">
        <v>8.4242820153582603</v>
      </c>
      <c r="U232" s="161">
        <v>6.9709480190936697</v>
      </c>
      <c r="V232" s="161">
        <v>0.54720078858881205</v>
      </c>
      <c r="W232" s="161"/>
      <c r="X232" s="58"/>
      <c r="Y232" s="160"/>
      <c r="Z232" s="160"/>
      <c r="AA232" s="160"/>
      <c r="AB232" s="160"/>
      <c r="AC232" s="160"/>
      <c r="AD232" s="162"/>
      <c r="AE232" s="161"/>
    </row>
    <row r="233" spans="1:31" ht="21.2" customHeight="1">
      <c r="A233" s="8" t="s">
        <v>396</v>
      </c>
      <c r="B233" s="158" t="s">
        <v>871</v>
      </c>
      <c r="C233" s="159">
        <v>21</v>
      </c>
      <c r="D233" s="158" t="s">
        <v>864</v>
      </c>
      <c r="E233" s="58">
        <v>81.44</v>
      </c>
      <c r="F233" s="160">
        <v>15.339075122421701</v>
      </c>
      <c r="G233" s="161">
        <v>0.24676751856999099</v>
      </c>
      <c r="H233" s="161">
        <v>0.27152461457207</v>
      </c>
      <c r="I233" s="161">
        <v>0.51829213314206102</v>
      </c>
      <c r="J233" s="161">
        <v>1.7238208962895401</v>
      </c>
      <c r="K233" s="161">
        <v>3.2092367697039999E-2</v>
      </c>
      <c r="L233" s="161">
        <v>6.2394597891561203E-2</v>
      </c>
      <c r="M233" s="161">
        <v>2.341612754219E-4</v>
      </c>
      <c r="N233" s="161">
        <v>4.7687654343931199E-4</v>
      </c>
      <c r="O233" s="161">
        <v>0.36254081163394603</v>
      </c>
      <c r="P233" s="161">
        <v>1.5938750517751701</v>
      </c>
      <c r="Q233" s="161">
        <v>5.1042418448224401E-2</v>
      </c>
      <c r="R233" s="161">
        <v>0.395647473592668</v>
      </c>
      <c r="S233" s="161">
        <v>4.2048724357209299E-2</v>
      </c>
      <c r="T233" s="161">
        <v>0.306003641012627</v>
      </c>
      <c r="U233" s="161">
        <v>0.56738723685250103</v>
      </c>
      <c r="V233" s="161">
        <v>0.35036276284520701</v>
      </c>
      <c r="W233" s="161"/>
      <c r="X233" s="58"/>
      <c r="Y233" s="160"/>
      <c r="Z233" s="160"/>
      <c r="AA233" s="160"/>
      <c r="AB233" s="160"/>
      <c r="AC233" s="160"/>
      <c r="AD233" s="162"/>
      <c r="AE233" s="161"/>
    </row>
    <row r="234" spans="1:31" ht="21.2" customHeight="1">
      <c r="A234" s="8" t="s">
        <v>503</v>
      </c>
      <c r="B234" s="158" t="s">
        <v>892</v>
      </c>
      <c r="C234" s="159">
        <v>31</v>
      </c>
      <c r="D234" s="158" t="s">
        <v>847</v>
      </c>
      <c r="E234" s="58">
        <v>69.8</v>
      </c>
      <c r="F234" s="160">
        <v>16.214526950950599</v>
      </c>
      <c r="G234" s="161">
        <v>0.232242336886646</v>
      </c>
      <c r="H234" s="161">
        <v>0.283040404056287</v>
      </c>
      <c r="I234" s="161">
        <v>0.51528274094293303</v>
      </c>
      <c r="J234" s="161">
        <v>2.14589521412121</v>
      </c>
      <c r="K234" s="161">
        <v>5.0590387142654999E-2</v>
      </c>
      <c r="L234" s="161">
        <v>9.5431740977963697E-2</v>
      </c>
      <c r="M234" s="161">
        <v>6.1203875753444096E-4</v>
      </c>
      <c r="N234" s="161">
        <v>1.0140173010285E-3</v>
      </c>
      <c r="O234" s="161">
        <v>0.353370357646626</v>
      </c>
      <c r="P234" s="161">
        <v>0.80001708980830599</v>
      </c>
      <c r="Q234" s="161">
        <v>-1.86586657502298E-2</v>
      </c>
      <c r="R234" s="161">
        <v>0.34730626663220598</v>
      </c>
      <c r="S234" s="161">
        <v>3.26442095801249E-2</v>
      </c>
      <c r="T234" s="161">
        <v>0.85974443222963803</v>
      </c>
      <c r="U234" s="161">
        <v>0.91640049979100002</v>
      </c>
      <c r="V234" s="161">
        <v>0.48405083207458</v>
      </c>
      <c r="W234" s="161"/>
      <c r="X234" s="58"/>
      <c r="Y234" s="160"/>
      <c r="Z234" s="160"/>
      <c r="AA234" s="160"/>
      <c r="AB234" s="160"/>
      <c r="AC234" s="160"/>
      <c r="AD234" s="162"/>
      <c r="AE234" s="161"/>
    </row>
    <row r="235" spans="1:31" ht="21.2" customHeight="1">
      <c r="A235" s="8" t="s">
        <v>246</v>
      </c>
      <c r="B235" s="158" t="s">
        <v>863</v>
      </c>
      <c r="C235" s="159">
        <v>27</v>
      </c>
      <c r="D235" s="158" t="s">
        <v>849</v>
      </c>
      <c r="E235" s="58">
        <v>78.613928571428602</v>
      </c>
      <c r="F235" s="160">
        <v>22.885238833841498</v>
      </c>
      <c r="G235" s="161">
        <v>0.143744829246748</v>
      </c>
      <c r="H235" s="161">
        <v>0.37062721845243501</v>
      </c>
      <c r="I235" s="161">
        <v>0.51437204769918299</v>
      </c>
      <c r="J235" s="161">
        <v>2.3914823978967101</v>
      </c>
      <c r="K235" s="161">
        <v>1.1269129608655001E-2</v>
      </c>
      <c r="L235" s="161">
        <v>5.5861682431537101E-2</v>
      </c>
      <c r="M235" s="161">
        <v>3.0229414556814E-4</v>
      </c>
      <c r="N235" s="161">
        <v>1.47291670370096E-2</v>
      </c>
      <c r="O235" s="161">
        <v>1.32850029047317</v>
      </c>
      <c r="P235" s="161">
        <v>0.86236455147780899</v>
      </c>
      <c r="Q235" s="161">
        <v>5.8044197315334098E-2</v>
      </c>
      <c r="R235" s="161">
        <v>0.42609467616214097</v>
      </c>
      <c r="S235" s="161">
        <v>2.06205236349234E-2</v>
      </c>
      <c r="T235" s="161">
        <v>0</v>
      </c>
      <c r="U235" s="161">
        <v>0</v>
      </c>
      <c r="V235" s="161">
        <v>0</v>
      </c>
      <c r="W235" s="161"/>
      <c r="X235" s="58"/>
      <c r="Y235" s="160"/>
      <c r="Z235" s="160"/>
      <c r="AA235" s="160"/>
      <c r="AB235" s="160"/>
      <c r="AC235" s="160"/>
      <c r="AD235" s="162"/>
      <c r="AE235" s="161"/>
    </row>
    <row r="236" spans="1:31" ht="21.2" customHeight="1">
      <c r="A236" s="8" t="s">
        <v>232</v>
      </c>
      <c r="B236" s="158" t="s">
        <v>885</v>
      </c>
      <c r="C236" s="159">
        <v>26</v>
      </c>
      <c r="D236" s="158" t="s">
        <v>849</v>
      </c>
      <c r="E236" s="58">
        <v>79.8</v>
      </c>
      <c r="F236" s="160">
        <v>22.383958177130399</v>
      </c>
      <c r="G236" s="161">
        <v>0.10408891996491</v>
      </c>
      <c r="H236" s="161">
        <v>0.409398934676444</v>
      </c>
      <c r="I236" s="161">
        <v>0.51348785464135405</v>
      </c>
      <c r="J236" s="161">
        <v>2.1932530049913499</v>
      </c>
      <c r="K236" s="161">
        <v>1.37484787746896E-2</v>
      </c>
      <c r="L236" s="161">
        <v>0.13176428627033701</v>
      </c>
      <c r="M236" s="161">
        <v>4.1322046999067101E-4</v>
      </c>
      <c r="N236" s="161">
        <v>9.1410154613853507E-3</v>
      </c>
      <c r="O236" s="161">
        <v>1.4870781146679399</v>
      </c>
      <c r="P236" s="161">
        <v>1.0337938606027599</v>
      </c>
      <c r="Q236" s="161">
        <v>4.1489929190875997E-2</v>
      </c>
      <c r="R236" s="161">
        <v>0.38132318295444301</v>
      </c>
      <c r="S236" s="161">
        <v>1.7393076376837398E-2</v>
      </c>
      <c r="T236" s="161">
        <v>0</v>
      </c>
      <c r="U236" s="161">
        <v>0</v>
      </c>
      <c r="V236" s="161">
        <v>0</v>
      </c>
      <c r="W236" s="161"/>
      <c r="X236" s="58"/>
      <c r="Y236" s="160"/>
      <c r="Z236" s="160"/>
      <c r="AA236" s="160"/>
      <c r="AB236" s="160"/>
      <c r="AC236" s="160"/>
      <c r="AD236" s="162"/>
      <c r="AE236" s="161"/>
    </row>
    <row r="237" spans="1:31" ht="21.2" customHeight="1">
      <c r="A237" s="8" t="s">
        <v>427</v>
      </c>
      <c r="B237" s="158" t="s">
        <v>887</v>
      </c>
      <c r="C237" s="159">
        <v>30</v>
      </c>
      <c r="D237" s="158" t="s">
        <v>880</v>
      </c>
      <c r="E237" s="58">
        <v>80.930000000000007</v>
      </c>
      <c r="F237" s="160">
        <v>15.152437596701301</v>
      </c>
      <c r="G237" s="161">
        <v>0.18285903847743501</v>
      </c>
      <c r="H237" s="161">
        <v>0.327918976092057</v>
      </c>
      <c r="I237" s="161">
        <v>0.51077801456949301</v>
      </c>
      <c r="J237" s="161">
        <v>1.5836948013358401</v>
      </c>
      <c r="K237" s="161">
        <v>2.8335454260529101E-2</v>
      </c>
      <c r="L237" s="161">
        <v>9.2630774283069997E-2</v>
      </c>
      <c r="M237" s="161">
        <v>1.4863183904021101E-3</v>
      </c>
      <c r="N237" s="161">
        <v>3.1785832019520701E-3</v>
      </c>
      <c r="O237" s="161">
        <v>0.27155724476283299</v>
      </c>
      <c r="P237" s="161">
        <v>0.44608155406560901</v>
      </c>
      <c r="Q237" s="161">
        <v>-0.116317903474774</v>
      </c>
      <c r="R237" s="161">
        <v>0.61224672095596699</v>
      </c>
      <c r="S237" s="161">
        <v>1.7529420699196298E-2</v>
      </c>
      <c r="T237" s="161">
        <v>4.3698848038925497</v>
      </c>
      <c r="U237" s="161">
        <v>5.5869001740969599</v>
      </c>
      <c r="V237" s="161">
        <v>0.43888512341610503</v>
      </c>
      <c r="W237" s="161"/>
      <c r="X237" s="58"/>
      <c r="Y237" s="160"/>
      <c r="Z237" s="160"/>
      <c r="AA237" s="160"/>
      <c r="AB237" s="160"/>
      <c r="AC237" s="160"/>
      <c r="AD237" s="162"/>
      <c r="AE237" s="161"/>
    </row>
    <row r="238" spans="1:31" ht="21.2" customHeight="1">
      <c r="A238" s="8" t="s">
        <v>268</v>
      </c>
      <c r="B238" s="158" t="s">
        <v>868</v>
      </c>
      <c r="C238" s="163">
        <v>20</v>
      </c>
      <c r="D238" s="158" t="s">
        <v>849</v>
      </c>
      <c r="E238" s="58">
        <v>77</v>
      </c>
      <c r="F238" s="160">
        <v>21</v>
      </c>
      <c r="G238" s="161">
        <v>0.107053416929472</v>
      </c>
      <c r="H238" s="161">
        <v>0.40323862581110498</v>
      </c>
      <c r="I238" s="161">
        <v>0.51029204274057705</v>
      </c>
      <c r="J238" s="161">
        <v>1.85549131494759</v>
      </c>
      <c r="K238" s="161">
        <v>2.4912589918896499E-2</v>
      </c>
      <c r="L238" s="161">
        <v>0.11875096343769399</v>
      </c>
      <c r="M238" s="161">
        <v>0</v>
      </c>
      <c r="N238" s="161">
        <v>0</v>
      </c>
      <c r="O238" s="161">
        <v>1.34024390243902</v>
      </c>
      <c r="P238" s="161">
        <v>1.3599236499990399</v>
      </c>
      <c r="Q238" s="161">
        <v>1.1829268292682899E-2</v>
      </c>
      <c r="R238" s="161">
        <v>0.50099076045227298</v>
      </c>
      <c r="S238" s="161">
        <v>1.5734495079036102E-2</v>
      </c>
      <c r="T238" s="161">
        <v>0</v>
      </c>
      <c r="U238" s="161">
        <v>0</v>
      </c>
      <c r="V238" s="161">
        <v>0</v>
      </c>
      <c r="W238" s="161"/>
      <c r="X238" s="58"/>
      <c r="Y238" s="161"/>
      <c r="Z238" s="161"/>
      <c r="AA238" s="161"/>
      <c r="AB238" s="161"/>
      <c r="AC238" s="160"/>
      <c r="AD238" s="162"/>
      <c r="AE238" s="161"/>
    </row>
    <row r="239" spans="1:31" ht="21.2" customHeight="1">
      <c r="A239" s="8" t="s">
        <v>405</v>
      </c>
      <c r="B239" s="158" t="s">
        <v>878</v>
      </c>
      <c r="C239" s="159">
        <v>26</v>
      </c>
      <c r="D239" s="158" t="s">
        <v>864</v>
      </c>
      <c r="E239" s="58">
        <v>78.072857142857103</v>
      </c>
      <c r="F239" s="160">
        <v>16.7469938562724</v>
      </c>
      <c r="G239" s="161">
        <v>0.25939356687905701</v>
      </c>
      <c r="H239" s="161">
        <v>0.25070950484371302</v>
      </c>
      <c r="I239" s="161">
        <v>0.51010307172277103</v>
      </c>
      <c r="J239" s="161">
        <v>1.8585107125507001</v>
      </c>
      <c r="K239" s="161">
        <v>4.6496784199377597E-2</v>
      </c>
      <c r="L239" s="161">
        <v>7.7296277101355407E-2</v>
      </c>
      <c r="M239" s="161">
        <v>5.6218322826680003E-3</v>
      </c>
      <c r="N239" s="161">
        <v>8.2150358360341003E-3</v>
      </c>
      <c r="O239" s="161">
        <v>0.663836550897276</v>
      </c>
      <c r="P239" s="161">
        <v>2.3558859448235498</v>
      </c>
      <c r="Q239" s="161">
        <v>-3.4435368396661697E-2</v>
      </c>
      <c r="R239" s="161">
        <v>0.53810565837326096</v>
      </c>
      <c r="S239" s="161">
        <v>3.27345856559332E-2</v>
      </c>
      <c r="T239" s="161">
        <v>0.37440672498991601</v>
      </c>
      <c r="U239" s="161">
        <v>0.58924689210144798</v>
      </c>
      <c r="V239" s="161">
        <v>0.38852832423335198</v>
      </c>
      <c r="W239" s="161"/>
      <c r="X239" s="58"/>
      <c r="Y239" s="160"/>
      <c r="Z239" s="160"/>
      <c r="AA239" s="160"/>
      <c r="AB239" s="160"/>
      <c r="AC239" s="160"/>
      <c r="AD239" s="162"/>
      <c r="AE239" s="161"/>
    </row>
    <row r="240" spans="1:31" ht="21.2" customHeight="1">
      <c r="A240" s="8" t="s">
        <v>353</v>
      </c>
      <c r="B240" s="158" t="s">
        <v>875</v>
      </c>
      <c r="C240" s="159">
        <v>23</v>
      </c>
      <c r="D240" s="158" t="s">
        <v>864</v>
      </c>
      <c r="E240" s="58">
        <v>78.34</v>
      </c>
      <c r="F240" s="160">
        <v>16.1156868027497</v>
      </c>
      <c r="G240" s="161">
        <v>0.33812222979001599</v>
      </c>
      <c r="H240" s="161">
        <v>0.17103848456998999</v>
      </c>
      <c r="I240" s="161">
        <v>0.50916071436000598</v>
      </c>
      <c r="J240" s="161">
        <v>2.20308317242056</v>
      </c>
      <c r="K240" s="161">
        <v>0.110457646948185</v>
      </c>
      <c r="L240" s="161">
        <v>0.16096066079976101</v>
      </c>
      <c r="M240" s="161">
        <v>4.4114407886442701E-4</v>
      </c>
      <c r="N240" s="161">
        <v>8.7377011649519105E-4</v>
      </c>
      <c r="O240" s="161">
        <v>0.62170361627719495</v>
      </c>
      <c r="P240" s="161">
        <v>0.70337702002533498</v>
      </c>
      <c r="Q240" s="161">
        <v>-7.3988897529869604E-2</v>
      </c>
      <c r="R240" s="161">
        <v>0.32037533112556998</v>
      </c>
      <c r="S240" s="161">
        <v>3.6232124956871198E-2</v>
      </c>
      <c r="T240" s="161">
        <v>0.15184855180203299</v>
      </c>
      <c r="U240" s="161">
        <v>0.118104429179359</v>
      </c>
      <c r="V240" s="161">
        <v>0.5625</v>
      </c>
      <c r="W240" s="161"/>
      <c r="X240" s="58"/>
      <c r="Y240" s="160"/>
      <c r="Z240" s="160"/>
      <c r="AA240" s="160"/>
      <c r="AB240" s="160"/>
      <c r="AC240" s="160"/>
      <c r="AD240" s="162"/>
      <c r="AE240" s="161"/>
    </row>
    <row r="241" spans="1:31" ht="21.2" customHeight="1">
      <c r="A241" s="8" t="s">
        <v>469</v>
      </c>
      <c r="B241" s="158" t="s">
        <v>871</v>
      </c>
      <c r="C241" s="159">
        <v>22</v>
      </c>
      <c r="D241" s="158" t="s">
        <v>848</v>
      </c>
      <c r="E241" s="58">
        <v>75.496071428571398</v>
      </c>
      <c r="F241" s="160">
        <v>15.4288605306783</v>
      </c>
      <c r="G241" s="161">
        <v>0.223325417382363</v>
      </c>
      <c r="H241" s="161">
        <v>0.28446235097820199</v>
      </c>
      <c r="I241" s="161">
        <v>0.50778776836056605</v>
      </c>
      <c r="J241" s="161">
        <v>1.59983561446435</v>
      </c>
      <c r="K241" s="161">
        <v>1.3165055761867699E-2</v>
      </c>
      <c r="L241" s="161">
        <v>4.3373864938315097E-2</v>
      </c>
      <c r="M241" s="161">
        <v>1.66314649620166E-3</v>
      </c>
      <c r="N241" s="161">
        <v>3.7197747570303901E-3</v>
      </c>
      <c r="O241" s="161">
        <v>0.35208458970935702</v>
      </c>
      <c r="P241" s="161">
        <v>0.38466800931999101</v>
      </c>
      <c r="Q241" s="161">
        <v>7.0540829227125901E-2</v>
      </c>
      <c r="R241" s="161">
        <v>0.20115276264263199</v>
      </c>
      <c r="S241" s="161">
        <v>3.8054234089995198E-2</v>
      </c>
      <c r="T241" s="161">
        <v>1.7726118117978001E-2</v>
      </c>
      <c r="U241" s="161">
        <v>5.1514571998446203E-2</v>
      </c>
      <c r="V241" s="161">
        <v>0.25600724210247799</v>
      </c>
      <c r="W241" s="161"/>
      <c r="X241" s="58"/>
      <c r="Y241" s="160"/>
      <c r="Z241" s="160"/>
      <c r="AA241" s="160"/>
      <c r="AB241" s="160"/>
      <c r="AC241" s="160"/>
      <c r="AD241" s="162"/>
      <c r="AE241" s="161"/>
    </row>
    <row r="242" spans="1:31" ht="21.2" customHeight="1">
      <c r="A242" s="8" t="s">
        <v>251</v>
      </c>
      <c r="B242" s="158" t="s">
        <v>870</v>
      </c>
      <c r="C242" s="159">
        <v>29</v>
      </c>
      <c r="D242" s="158" t="s">
        <v>849</v>
      </c>
      <c r="E242" s="58">
        <v>76.862499999999997</v>
      </c>
      <c r="F242" s="160">
        <v>21.557298463204202</v>
      </c>
      <c r="G242" s="161">
        <v>9.3512378554445996E-2</v>
      </c>
      <c r="H242" s="161">
        <v>0.41174478336916498</v>
      </c>
      <c r="I242" s="161">
        <v>0.50525716192361103</v>
      </c>
      <c r="J242" s="161">
        <v>1.8387910570143899</v>
      </c>
      <c r="K242" s="161">
        <v>1.5435168012454601E-2</v>
      </c>
      <c r="L242" s="161">
        <v>0.16886900439502001</v>
      </c>
      <c r="M242" s="161">
        <v>1.3021026696630601E-4</v>
      </c>
      <c r="N242" s="161">
        <v>4.36025056120395E-3</v>
      </c>
      <c r="O242" s="161">
        <v>1.26908336910983</v>
      </c>
      <c r="P242" s="161">
        <v>1.0457699427239999</v>
      </c>
      <c r="Q242" s="161">
        <v>7.9447900731708404E-2</v>
      </c>
      <c r="R242" s="161">
        <v>0.65424257532213403</v>
      </c>
      <c r="S242" s="161">
        <v>1.5698888093621501E-2</v>
      </c>
      <c r="T242" s="161">
        <v>0</v>
      </c>
      <c r="U242" s="161">
        <v>0</v>
      </c>
      <c r="V242" s="161">
        <v>0</v>
      </c>
      <c r="W242" s="161"/>
      <c r="X242" s="58"/>
      <c r="Y242" s="160"/>
      <c r="Z242" s="160"/>
      <c r="AA242" s="160"/>
      <c r="AB242" s="160"/>
      <c r="AC242" s="160"/>
      <c r="AD242" s="162"/>
      <c r="AE242" s="161"/>
    </row>
    <row r="243" spans="1:31" ht="21.2" customHeight="1">
      <c r="A243" s="8" t="s">
        <v>269</v>
      </c>
      <c r="B243" s="158" t="s">
        <v>873</v>
      </c>
      <c r="C243" s="159">
        <v>25</v>
      </c>
      <c r="D243" s="158" t="s">
        <v>849</v>
      </c>
      <c r="E243" s="58">
        <v>78.284999999999997</v>
      </c>
      <c r="F243" s="160">
        <v>22.059552401887299</v>
      </c>
      <c r="G243" s="161">
        <v>8.9778448977695505E-2</v>
      </c>
      <c r="H243" s="161">
        <v>0.41342874556643899</v>
      </c>
      <c r="I243" s="161">
        <v>0.50320719454413398</v>
      </c>
      <c r="J243" s="161">
        <v>1.8379840577158699</v>
      </c>
      <c r="K243" s="161">
        <v>2.4889672582650499E-2</v>
      </c>
      <c r="L243" s="161">
        <v>0.12284350078357099</v>
      </c>
      <c r="M243" s="161">
        <v>5.7986262221939504E-4</v>
      </c>
      <c r="N243" s="161">
        <v>3.4299087100888798E-3</v>
      </c>
      <c r="O243" s="161">
        <v>1.1104297666801299</v>
      </c>
      <c r="P243" s="161">
        <v>1.3355441946801501</v>
      </c>
      <c r="Q243" s="161">
        <v>7.1095000896801196E-3</v>
      </c>
      <c r="R243" s="161">
        <v>0.403006762337215</v>
      </c>
      <c r="S243" s="161">
        <v>1.27090057209163E-2</v>
      </c>
      <c r="T243" s="161">
        <v>0</v>
      </c>
      <c r="U243" s="161">
        <v>0</v>
      </c>
      <c r="V243" s="161">
        <v>0</v>
      </c>
      <c r="W243" s="161"/>
      <c r="X243" s="58"/>
      <c r="Y243" s="160"/>
      <c r="Z243" s="160"/>
      <c r="AA243" s="160"/>
      <c r="AB243" s="160"/>
      <c r="AC243" s="160"/>
      <c r="AD243" s="162"/>
      <c r="AE243" s="161"/>
    </row>
    <row r="244" spans="1:31" ht="21.2" customHeight="1">
      <c r="A244" s="8" t="s">
        <v>350</v>
      </c>
      <c r="B244" s="158" t="s">
        <v>861</v>
      </c>
      <c r="C244" s="159">
        <v>22</v>
      </c>
      <c r="D244" s="158" t="s">
        <v>849</v>
      </c>
      <c r="E244" s="58">
        <v>64.004999999999995</v>
      </c>
      <c r="F244" s="160">
        <v>20.4503001873904</v>
      </c>
      <c r="G244" s="161">
        <v>0.163613319999277</v>
      </c>
      <c r="H244" s="161">
        <v>0.33719810586965498</v>
      </c>
      <c r="I244" s="161">
        <v>0.50081142586893201</v>
      </c>
      <c r="J244" s="161">
        <v>1.5134699335002699</v>
      </c>
      <c r="K244" s="161">
        <v>3.0865420512396501E-2</v>
      </c>
      <c r="L244" s="161">
        <v>8.7964898607833297E-2</v>
      </c>
      <c r="M244" s="161">
        <v>9.8537471018329895E-3</v>
      </c>
      <c r="N244" s="161">
        <v>1.25847720626589E-2</v>
      </c>
      <c r="O244" s="161">
        <v>1.2811226090321199</v>
      </c>
      <c r="P244" s="161">
        <v>1.7375477446027401</v>
      </c>
      <c r="Q244" s="161">
        <v>3.9547391807559097E-2</v>
      </c>
      <c r="R244" s="161">
        <v>0.72992624758321201</v>
      </c>
      <c r="S244" s="161">
        <v>2.5886092343219799E-2</v>
      </c>
      <c r="T244" s="161">
        <v>0</v>
      </c>
      <c r="U244" s="161">
        <v>0</v>
      </c>
      <c r="V244" s="161">
        <v>0</v>
      </c>
      <c r="W244" s="161"/>
      <c r="X244" s="58"/>
      <c r="Y244" s="160"/>
      <c r="Z244" s="160"/>
      <c r="AA244" s="160"/>
      <c r="AB244" s="160"/>
      <c r="AC244" s="160"/>
      <c r="AD244" s="162"/>
      <c r="AE244" s="161"/>
    </row>
    <row r="245" spans="1:31" ht="21.2" customHeight="1">
      <c r="A245" s="8" t="s">
        <v>523</v>
      </c>
      <c r="B245" s="158" t="s">
        <v>859</v>
      </c>
      <c r="C245" s="159">
        <v>29</v>
      </c>
      <c r="D245" s="158" t="s">
        <v>848</v>
      </c>
      <c r="E245" s="58">
        <v>67.662499999999994</v>
      </c>
      <c r="F245" s="160">
        <v>16.850728471946599</v>
      </c>
      <c r="G245" s="161">
        <v>0.19834262175944301</v>
      </c>
      <c r="H245" s="161">
        <v>0.29951304274051999</v>
      </c>
      <c r="I245" s="161">
        <v>0.49785566449996199</v>
      </c>
      <c r="J245" s="161">
        <v>1.7296362013818201</v>
      </c>
      <c r="K245" s="161">
        <v>8.3892182831471693E-3</v>
      </c>
      <c r="L245" s="161">
        <v>5.4899613781571599E-2</v>
      </c>
      <c r="M245" s="161">
        <v>2.36956617653389E-2</v>
      </c>
      <c r="N245" s="161">
        <v>4.1261200750882299E-2</v>
      </c>
      <c r="O245" s="161">
        <v>0.487722277517185</v>
      </c>
      <c r="P245" s="161">
        <v>0.52402231295937896</v>
      </c>
      <c r="Q245" s="161">
        <v>5.3157332498526298E-2</v>
      </c>
      <c r="R245" s="161">
        <v>0.22196238252762401</v>
      </c>
      <c r="S245" s="161">
        <v>3.1395507692919503E-2</v>
      </c>
      <c r="T245" s="161">
        <v>0.46198252019138197</v>
      </c>
      <c r="U245" s="161">
        <v>0.718382816235837</v>
      </c>
      <c r="V245" s="161">
        <v>0.39138943336791898</v>
      </c>
      <c r="W245" s="161"/>
      <c r="X245" s="58"/>
      <c r="Y245" s="160"/>
      <c r="Z245" s="160"/>
      <c r="AA245" s="160"/>
      <c r="AB245" s="160"/>
      <c r="AC245" s="160"/>
      <c r="AD245" s="162"/>
      <c r="AE245" s="161"/>
    </row>
    <row r="246" spans="1:31" ht="21.2" customHeight="1">
      <c r="A246" s="8" t="s">
        <v>466</v>
      </c>
      <c r="B246" s="158" t="s">
        <v>861</v>
      </c>
      <c r="C246" s="159">
        <v>26</v>
      </c>
      <c r="D246" s="158" t="s">
        <v>860</v>
      </c>
      <c r="E246" s="58">
        <v>77.632857142857105</v>
      </c>
      <c r="F246" s="160">
        <v>14.3058122803461</v>
      </c>
      <c r="G246" s="161">
        <v>0.25962856856627198</v>
      </c>
      <c r="H246" s="161">
        <v>0.235755650969415</v>
      </c>
      <c r="I246" s="161">
        <v>0.49538421953568701</v>
      </c>
      <c r="J246" s="161">
        <v>2.0040532444631798</v>
      </c>
      <c r="K246" s="161">
        <v>2.3877024064206501E-2</v>
      </c>
      <c r="L246" s="161">
        <v>6.70648032106783E-2</v>
      </c>
      <c r="M246" s="161">
        <v>1.7592445720921699E-5</v>
      </c>
      <c r="N246" s="161">
        <v>3.3712607908781302E-5</v>
      </c>
      <c r="O246" s="161">
        <v>0.41605597119761001</v>
      </c>
      <c r="P246" s="161">
        <v>2.2555409381767402</v>
      </c>
      <c r="Q246" s="161">
        <v>4.3856117168691103E-2</v>
      </c>
      <c r="R246" s="161">
        <v>0.39153932788463203</v>
      </c>
      <c r="S246" s="161">
        <v>4.1077151303293501E-2</v>
      </c>
      <c r="T246" s="161">
        <v>2.12144027520627</v>
      </c>
      <c r="U246" s="161">
        <v>1.82438206495356</v>
      </c>
      <c r="V246" s="161">
        <v>0.53764211673056095</v>
      </c>
      <c r="W246" s="161"/>
      <c r="X246" s="58"/>
      <c r="Y246" s="160"/>
      <c r="Z246" s="160"/>
      <c r="AA246" s="160"/>
      <c r="AB246" s="160"/>
      <c r="AC246" s="160"/>
      <c r="AD246" s="162"/>
      <c r="AE246" s="161"/>
    </row>
    <row r="247" spans="1:31" ht="21.2" customHeight="1">
      <c r="A247" s="8" t="s">
        <v>440</v>
      </c>
      <c r="B247" s="158" t="s">
        <v>886</v>
      </c>
      <c r="C247" s="159">
        <v>26</v>
      </c>
      <c r="D247" s="158" t="s">
        <v>865</v>
      </c>
      <c r="E247" s="58">
        <v>77.583928571428601</v>
      </c>
      <c r="F247" s="160">
        <v>16.554576736559</v>
      </c>
      <c r="G247" s="161">
        <v>0.20846631945232</v>
      </c>
      <c r="H247" s="161">
        <v>0.28633797302289099</v>
      </c>
      <c r="I247" s="161">
        <v>0.49480429247521102</v>
      </c>
      <c r="J247" s="161">
        <v>1.6315196170258499</v>
      </c>
      <c r="K247" s="161">
        <v>4.1760489255014098E-2</v>
      </c>
      <c r="L247" s="161">
        <v>9.6227412247942706E-2</v>
      </c>
      <c r="M247" s="161">
        <v>1.70208881758627E-3</v>
      </c>
      <c r="N247" s="161">
        <v>1.6124388046708699E-2</v>
      </c>
      <c r="O247" s="161">
        <v>0.55152307397262801</v>
      </c>
      <c r="P247" s="161">
        <v>1.1730768602691599</v>
      </c>
      <c r="Q247" s="161">
        <v>7.0079746958368799E-2</v>
      </c>
      <c r="R247" s="161">
        <v>0.431388031324687</v>
      </c>
      <c r="S247" s="161">
        <v>3.4069084551568797E-2</v>
      </c>
      <c r="T247" s="161">
        <v>5.58564427245296</v>
      </c>
      <c r="U247" s="161">
        <v>6.0873694487376602</v>
      </c>
      <c r="V247" s="161">
        <v>0.47850918416321703</v>
      </c>
      <c r="W247" s="161"/>
      <c r="X247" s="58"/>
      <c r="Y247" s="160"/>
      <c r="Z247" s="160"/>
      <c r="AA247" s="160"/>
      <c r="AB247" s="160"/>
      <c r="AC247" s="160"/>
      <c r="AD247" s="162"/>
      <c r="AE247" s="161"/>
    </row>
    <row r="248" spans="1:31" ht="21.2" customHeight="1">
      <c r="A248" s="8" t="s">
        <v>547</v>
      </c>
      <c r="B248" s="158" t="s">
        <v>894</v>
      </c>
      <c r="C248" s="159">
        <v>28</v>
      </c>
      <c r="D248" s="158" t="s">
        <v>846</v>
      </c>
      <c r="E248" s="58">
        <v>68.696428571428598</v>
      </c>
      <c r="F248" s="160">
        <v>16.360397160823201</v>
      </c>
      <c r="G248" s="161">
        <v>0.17873887701156699</v>
      </c>
      <c r="H248" s="161">
        <v>0.31308337219673699</v>
      </c>
      <c r="I248" s="161">
        <v>0.49182224920830397</v>
      </c>
      <c r="J248" s="161">
        <v>1.94309222083878</v>
      </c>
      <c r="K248" s="161">
        <v>5.9868514635893197E-2</v>
      </c>
      <c r="L248" s="161">
        <v>0.163054901380251</v>
      </c>
      <c r="M248" s="161">
        <v>2.8145161399157699E-3</v>
      </c>
      <c r="N248" s="161">
        <v>5.4351390706242203E-3</v>
      </c>
      <c r="O248" s="161">
        <v>0.40077361150497698</v>
      </c>
      <c r="P248" s="161">
        <v>0.81338100249192002</v>
      </c>
      <c r="Q248" s="161">
        <v>-9.6868012037975904E-2</v>
      </c>
      <c r="R248" s="161">
        <v>0.32645167388871998</v>
      </c>
      <c r="S248" s="161">
        <v>1.83103885193188E-2</v>
      </c>
      <c r="T248" s="161">
        <v>6.6539078703204604</v>
      </c>
      <c r="U248" s="161">
        <v>6.0466211258242897</v>
      </c>
      <c r="V248" s="161">
        <v>0.52390793110588196</v>
      </c>
      <c r="W248" s="161"/>
      <c r="X248" s="58"/>
      <c r="Y248" s="160"/>
      <c r="Z248" s="160"/>
      <c r="AA248" s="160"/>
      <c r="AB248" s="160"/>
      <c r="AC248" s="160"/>
      <c r="AD248" s="162"/>
      <c r="AE248" s="161"/>
    </row>
    <row r="249" spans="1:31" ht="21.2" customHeight="1">
      <c r="A249" s="8" t="s">
        <v>530</v>
      </c>
      <c r="B249" s="158" t="s">
        <v>894</v>
      </c>
      <c r="C249" s="163">
        <v>22</v>
      </c>
      <c r="D249" s="158" t="s">
        <v>860</v>
      </c>
      <c r="E249" s="58">
        <v>79.417500000000004</v>
      </c>
      <c r="F249" s="160">
        <v>15.153814580747801</v>
      </c>
      <c r="G249" s="161">
        <v>0.208035548786656</v>
      </c>
      <c r="H249" s="161">
        <v>0.28345500981371502</v>
      </c>
      <c r="I249" s="161">
        <v>0.491490558600371</v>
      </c>
      <c r="J249" s="161">
        <v>1.50375662213149</v>
      </c>
      <c r="K249" s="161">
        <v>2.3230147636914101E-2</v>
      </c>
      <c r="L249" s="161">
        <v>4.9836289671617198E-2</v>
      </c>
      <c r="M249" s="161">
        <v>2.7192770702370102E-4</v>
      </c>
      <c r="N249" s="161">
        <v>5.50415063948898E-4</v>
      </c>
      <c r="O249" s="161">
        <v>0.391256901388983</v>
      </c>
      <c r="P249" s="161">
        <v>0.77489953967997904</v>
      </c>
      <c r="Q249" s="161">
        <v>-7.2604233263524595E-2</v>
      </c>
      <c r="R249" s="161">
        <v>0.28449448712689401</v>
      </c>
      <c r="S249" s="161">
        <v>2.1311601526213399E-2</v>
      </c>
      <c r="T249" s="161">
        <v>2.5528490626736802</v>
      </c>
      <c r="U249" s="161">
        <v>4.0390885081683301</v>
      </c>
      <c r="V249" s="161">
        <v>0.38726839191646001</v>
      </c>
      <c r="W249" s="161"/>
      <c r="X249" s="58"/>
      <c r="Y249" s="160"/>
      <c r="Z249" s="160"/>
      <c r="AA249" s="160"/>
      <c r="AB249" s="160"/>
      <c r="AC249" s="160"/>
      <c r="AD249" s="162"/>
      <c r="AE249" s="161"/>
    </row>
    <row r="250" spans="1:31" ht="21.2" customHeight="1">
      <c r="A250" s="8" t="s">
        <v>286</v>
      </c>
      <c r="B250" s="158" t="s">
        <v>881</v>
      </c>
      <c r="C250" s="159">
        <v>19</v>
      </c>
      <c r="D250" s="158" t="s">
        <v>849</v>
      </c>
      <c r="E250" s="58">
        <v>77</v>
      </c>
      <c r="F250" s="160">
        <v>20</v>
      </c>
      <c r="G250" s="161">
        <v>9.1068481171633894E-2</v>
      </c>
      <c r="H250" s="161">
        <v>0.39899201060331302</v>
      </c>
      <c r="I250" s="161">
        <v>0.49006049177494798</v>
      </c>
      <c r="J250" s="161">
        <v>1.7004374380965599</v>
      </c>
      <c r="K250" s="161">
        <v>2.0563761820841599E-2</v>
      </c>
      <c r="L250" s="161">
        <v>0.110658343051442</v>
      </c>
      <c r="M250" s="161">
        <v>0</v>
      </c>
      <c r="N250" s="161">
        <v>0</v>
      </c>
      <c r="O250" s="161">
        <v>1.2926829268292701</v>
      </c>
      <c r="P250" s="161">
        <v>1.2646341463414601</v>
      </c>
      <c r="Q250" s="161">
        <v>9.8780487804877998E-3</v>
      </c>
      <c r="R250" s="161">
        <v>0.43292682926829301</v>
      </c>
      <c r="S250" s="161">
        <v>1.06715459576025E-2</v>
      </c>
      <c r="T250" s="161">
        <v>0</v>
      </c>
      <c r="U250" s="161">
        <v>0</v>
      </c>
      <c r="V250" s="161">
        <v>0</v>
      </c>
      <c r="W250" s="161"/>
      <c r="X250" s="58"/>
      <c r="Y250" s="161"/>
      <c r="Z250" s="161"/>
      <c r="AA250" s="161"/>
      <c r="AB250" s="161"/>
      <c r="AC250" s="160"/>
      <c r="AD250" s="162"/>
      <c r="AE250" s="161"/>
    </row>
    <row r="251" spans="1:31" ht="21.2" customHeight="1">
      <c r="A251" s="8" t="s">
        <v>522</v>
      </c>
      <c r="B251" s="158" t="s">
        <v>868</v>
      </c>
      <c r="C251" s="159">
        <v>32</v>
      </c>
      <c r="D251" s="158" t="s">
        <v>847</v>
      </c>
      <c r="E251" s="58">
        <v>75.338571428571399</v>
      </c>
      <c r="F251" s="160">
        <v>14.524762777318101</v>
      </c>
      <c r="G251" s="161">
        <v>0.17600424445210699</v>
      </c>
      <c r="H251" s="161">
        <v>0.31381754760173403</v>
      </c>
      <c r="I251" s="161">
        <v>0.48982179205384102</v>
      </c>
      <c r="J251" s="161">
        <v>1.5914305655401999</v>
      </c>
      <c r="K251" s="161">
        <v>2.5341128134818799E-2</v>
      </c>
      <c r="L251" s="161">
        <v>8.1345093748065506E-2</v>
      </c>
      <c r="M251" s="161">
        <v>3.5267981266973798E-4</v>
      </c>
      <c r="N251" s="161">
        <v>1.9587015967013699E-3</v>
      </c>
      <c r="O251" s="161">
        <v>0.67049767902573698</v>
      </c>
      <c r="P251" s="161">
        <v>1.3374925477694899</v>
      </c>
      <c r="Q251" s="161">
        <v>8.69439647219746E-3</v>
      </c>
      <c r="R251" s="161">
        <v>0.26846579476805899</v>
      </c>
      <c r="S251" s="161">
        <v>2.5868748496328899E-2</v>
      </c>
      <c r="T251" s="161">
        <v>8.1627078046569903E-3</v>
      </c>
      <c r="U251" s="161">
        <v>0.15776268309154601</v>
      </c>
      <c r="V251" s="161">
        <v>4.9195049416898902E-2</v>
      </c>
      <c r="W251" s="161"/>
      <c r="X251" s="58"/>
      <c r="Y251" s="160"/>
      <c r="Z251" s="160"/>
      <c r="AA251" s="160"/>
      <c r="AB251" s="160"/>
      <c r="AC251" s="160"/>
      <c r="AD251" s="162"/>
      <c r="AE251" s="161"/>
    </row>
    <row r="252" spans="1:31" ht="21.2" customHeight="1">
      <c r="A252" s="8" t="s">
        <v>402</v>
      </c>
      <c r="B252" s="158" t="s">
        <v>872</v>
      </c>
      <c r="C252" s="159">
        <v>28</v>
      </c>
      <c r="D252" s="158" t="s">
        <v>864</v>
      </c>
      <c r="E252" s="58">
        <v>79.412499999999994</v>
      </c>
      <c r="F252" s="160">
        <v>13.671634468597601</v>
      </c>
      <c r="G252" s="161">
        <v>0.25988531957290101</v>
      </c>
      <c r="H252" s="161">
        <v>0.22987025867868999</v>
      </c>
      <c r="I252" s="161">
        <v>0.489755578251591</v>
      </c>
      <c r="J252" s="161">
        <v>1.9356382302684501</v>
      </c>
      <c r="K252" s="161">
        <v>6.8478391791794296E-2</v>
      </c>
      <c r="L252" s="161">
        <v>0.127152019958577</v>
      </c>
      <c r="M252" s="161">
        <v>9.3155387528109102E-5</v>
      </c>
      <c r="N252" s="161">
        <v>4.4649561013062998E-4</v>
      </c>
      <c r="O252" s="161">
        <v>0.227588949226044</v>
      </c>
      <c r="P252" s="161">
        <v>0.34739156205034</v>
      </c>
      <c r="Q252" s="161">
        <v>-5.1676966529734102E-2</v>
      </c>
      <c r="R252" s="161">
        <v>0.12462598954227699</v>
      </c>
      <c r="S252" s="161">
        <v>3.3270273411825001E-2</v>
      </c>
      <c r="T252" s="161">
        <v>1.0924762956787499E-2</v>
      </c>
      <c r="U252" s="161">
        <v>4.92338731859105E-2</v>
      </c>
      <c r="V252" s="161">
        <v>0.18159924588173201</v>
      </c>
      <c r="W252" s="161"/>
      <c r="X252" s="58"/>
      <c r="Y252" s="160"/>
      <c r="Z252" s="160"/>
      <c r="AA252" s="160"/>
      <c r="AB252" s="160"/>
      <c r="AC252" s="160"/>
      <c r="AD252" s="162"/>
      <c r="AE252" s="161"/>
    </row>
    <row r="253" spans="1:31" ht="21.2" customHeight="1">
      <c r="A253" s="8" t="s">
        <v>445</v>
      </c>
      <c r="B253" s="158" t="s">
        <v>891</v>
      </c>
      <c r="C253" s="159">
        <v>32</v>
      </c>
      <c r="D253" s="158" t="s">
        <v>848</v>
      </c>
      <c r="E253" s="58">
        <v>74.717857142857099</v>
      </c>
      <c r="F253" s="160">
        <v>15.767185415919799</v>
      </c>
      <c r="G253" s="161">
        <v>0.22313413529373299</v>
      </c>
      <c r="H253" s="161">
        <v>0.26660550381346698</v>
      </c>
      <c r="I253" s="161">
        <v>0.48973963910719998</v>
      </c>
      <c r="J253" s="161">
        <v>2.0554762513785101</v>
      </c>
      <c r="K253" s="161">
        <v>3.5424843446054802E-2</v>
      </c>
      <c r="L253" s="161">
        <v>8.0244967095195394E-2</v>
      </c>
      <c r="M253" s="161">
        <v>2.0933414260444101E-3</v>
      </c>
      <c r="N253" s="161">
        <v>2.4411560344508301E-3</v>
      </c>
      <c r="O253" s="161">
        <v>0.304825649055529</v>
      </c>
      <c r="P253" s="161">
        <v>1.1879975805885901</v>
      </c>
      <c r="Q253" s="161">
        <v>2.5196482488500399E-2</v>
      </c>
      <c r="R253" s="161">
        <v>0.476444739287188</v>
      </c>
      <c r="S253" s="161">
        <v>3.4479101022119998E-2</v>
      </c>
      <c r="T253" s="161">
        <v>0.15915707439420701</v>
      </c>
      <c r="U253" s="161">
        <v>0.29647132120748299</v>
      </c>
      <c r="V253" s="161">
        <v>0.34931333501290901</v>
      </c>
      <c r="W253" s="161"/>
      <c r="X253" s="58"/>
      <c r="Y253" s="160"/>
      <c r="Z253" s="160"/>
      <c r="AA253" s="160"/>
      <c r="AB253" s="160"/>
      <c r="AC253" s="160"/>
      <c r="AD253" s="162"/>
      <c r="AE253" s="161"/>
    </row>
    <row r="254" spans="1:31" ht="21.2" customHeight="1">
      <c r="A254" s="8" t="s">
        <v>486</v>
      </c>
      <c r="B254" s="158" t="s">
        <v>878</v>
      </c>
      <c r="C254" s="159">
        <v>31</v>
      </c>
      <c r="D254" s="158" t="s">
        <v>847</v>
      </c>
      <c r="E254" s="58">
        <v>73.046785714285704</v>
      </c>
      <c r="F254" s="160">
        <v>14.687193654655101</v>
      </c>
      <c r="G254" s="161">
        <v>0.26002967867430199</v>
      </c>
      <c r="H254" s="161">
        <v>0.22893007383049099</v>
      </c>
      <c r="I254" s="161">
        <v>0.48895975250479401</v>
      </c>
      <c r="J254" s="161">
        <v>2.2358904647554501</v>
      </c>
      <c r="K254" s="161">
        <v>2.00035552271111E-2</v>
      </c>
      <c r="L254" s="161">
        <v>7.0927099355444598E-2</v>
      </c>
      <c r="M254" s="161">
        <v>1.36471140484948E-5</v>
      </c>
      <c r="N254" s="161">
        <v>2.4012288879885399E-5</v>
      </c>
      <c r="O254" s="161">
        <v>0.38481141530455099</v>
      </c>
      <c r="P254" s="161">
        <v>2.0914680006217701</v>
      </c>
      <c r="Q254" s="161">
        <v>-2.26035891157635E-2</v>
      </c>
      <c r="R254" s="161">
        <v>0.42461067891969401</v>
      </c>
      <c r="S254" s="161">
        <v>3.28148608003739E-2</v>
      </c>
      <c r="T254" s="161">
        <v>5.4850166133599998E-2</v>
      </c>
      <c r="U254" s="161">
        <v>0.14658447077905901</v>
      </c>
      <c r="V254" s="161">
        <v>0.272297589800224</v>
      </c>
      <c r="W254" s="161"/>
      <c r="X254" s="58"/>
      <c r="Y254" s="160"/>
      <c r="Z254" s="160"/>
      <c r="AA254" s="160"/>
      <c r="AB254" s="160"/>
      <c r="AC254" s="160"/>
      <c r="AD254" s="162"/>
      <c r="AE254" s="161"/>
    </row>
    <row r="255" spans="1:31" ht="21.2" customHeight="1">
      <c r="A255" s="8" t="s">
        <v>372</v>
      </c>
      <c r="B255" s="158" t="s">
        <v>879</v>
      </c>
      <c r="C255" s="159">
        <v>27</v>
      </c>
      <c r="D255" s="158" t="s">
        <v>864</v>
      </c>
      <c r="E255" s="58">
        <v>81.302499999999995</v>
      </c>
      <c r="F255" s="160">
        <v>14.2950883828788</v>
      </c>
      <c r="G255" s="161">
        <v>0.218099351063654</v>
      </c>
      <c r="H255" s="161">
        <v>0.27049271241982198</v>
      </c>
      <c r="I255" s="161">
        <v>0.488592063483476</v>
      </c>
      <c r="J255" s="161">
        <v>2.0338711044450202</v>
      </c>
      <c r="K255" s="161">
        <v>5.6156098533191597E-2</v>
      </c>
      <c r="L255" s="161">
        <v>0.14917870210744999</v>
      </c>
      <c r="M255" s="161">
        <v>2.7598225244579298E-4</v>
      </c>
      <c r="N255" s="161">
        <v>5.1613119608149302E-4</v>
      </c>
      <c r="O255" s="161">
        <v>0.33810889502230701</v>
      </c>
      <c r="P255" s="161">
        <v>1.0985132103309501</v>
      </c>
      <c r="Q255" s="161">
        <v>1.00186146731571E-2</v>
      </c>
      <c r="R255" s="161">
        <v>0.27812466683121301</v>
      </c>
      <c r="S255" s="161">
        <v>3.2799068973911001E-2</v>
      </c>
      <c r="T255" s="161">
        <v>0.126934269218961</v>
      </c>
      <c r="U255" s="161">
        <v>0.22367257063676299</v>
      </c>
      <c r="V255" s="161">
        <v>0.36204162266541901</v>
      </c>
      <c r="W255" s="161"/>
      <c r="X255" s="58"/>
      <c r="Y255" s="160"/>
      <c r="Z255" s="160"/>
      <c r="AA255" s="160"/>
      <c r="AB255" s="160"/>
      <c r="AC255" s="160"/>
      <c r="AD255" s="162"/>
      <c r="AE255" s="161"/>
    </row>
    <row r="256" spans="1:31" ht="21.2" customHeight="1">
      <c r="A256" s="8" t="s">
        <v>562</v>
      </c>
      <c r="B256" s="158" t="s">
        <v>878</v>
      </c>
      <c r="C256" s="159">
        <v>20</v>
      </c>
      <c r="D256" s="158" t="s">
        <v>864</v>
      </c>
      <c r="E256" s="58">
        <v>61.695</v>
      </c>
      <c r="F256" s="160">
        <v>14.025948510391601</v>
      </c>
      <c r="G256" s="161">
        <v>0.196242615386618</v>
      </c>
      <c r="H256" s="161">
        <v>0.291558511357985</v>
      </c>
      <c r="I256" s="161">
        <v>0.48780112674460402</v>
      </c>
      <c r="J256" s="161">
        <v>1.7457488472793901</v>
      </c>
      <c r="K256" s="161">
        <v>7.5798001979249602E-2</v>
      </c>
      <c r="L256" s="161">
        <v>0.129254582854437</v>
      </c>
      <c r="M256" s="161">
        <v>4.36572766326243E-4</v>
      </c>
      <c r="N256" s="161">
        <v>8.8979743389755895E-4</v>
      </c>
      <c r="O256" s="161">
        <v>0.39978801052327101</v>
      </c>
      <c r="P256" s="161">
        <v>0.79626439129041204</v>
      </c>
      <c r="Q256" s="161">
        <v>-5.2897955467144903E-2</v>
      </c>
      <c r="R256" s="161">
        <v>0.34101831822197998</v>
      </c>
      <c r="S256" s="161">
        <v>2.4765150423768E-2</v>
      </c>
      <c r="T256" s="161">
        <v>6.4829898360950197E-2</v>
      </c>
      <c r="U256" s="161">
        <v>6.4829898360950197E-2</v>
      </c>
      <c r="V256" s="161">
        <v>0.5</v>
      </c>
      <c r="W256" s="161"/>
      <c r="X256" s="58"/>
      <c r="Y256" s="160"/>
      <c r="Z256" s="160"/>
      <c r="AA256" s="160"/>
      <c r="AB256" s="160"/>
      <c r="AC256" s="160"/>
      <c r="AD256" s="162"/>
      <c r="AE256" s="161"/>
    </row>
    <row r="257" spans="1:31" ht="21.2" customHeight="1">
      <c r="A257" s="8" t="s">
        <v>558</v>
      </c>
      <c r="B257" s="158" t="s">
        <v>870</v>
      </c>
      <c r="C257" s="159">
        <v>25</v>
      </c>
      <c r="D257" s="158" t="s">
        <v>846</v>
      </c>
      <c r="E257" s="58">
        <v>75.556428571428597</v>
      </c>
      <c r="F257" s="160">
        <v>15.1161716758256</v>
      </c>
      <c r="G257" s="161">
        <v>0.17133843438607299</v>
      </c>
      <c r="H257" s="161">
        <v>0.31546730667157702</v>
      </c>
      <c r="I257" s="161">
        <v>0.48680574105765001</v>
      </c>
      <c r="J257" s="161">
        <v>1.6668063969960201</v>
      </c>
      <c r="K257" s="161">
        <v>3.1870950985206703E-2</v>
      </c>
      <c r="L257" s="161">
        <v>7.5075160998958002E-2</v>
      </c>
      <c r="M257" s="161">
        <v>2.9150869207099301E-3</v>
      </c>
      <c r="N257" s="161">
        <v>6.32626886286083E-3</v>
      </c>
      <c r="O257" s="161">
        <v>0.53562849246648303</v>
      </c>
      <c r="P257" s="161">
        <v>0.99462960303108405</v>
      </c>
      <c r="Q257" s="161">
        <v>3.6289879518846699E-2</v>
      </c>
      <c r="R257" s="161">
        <v>0.40027977026279798</v>
      </c>
      <c r="S257" s="161">
        <v>2.8764351299193799E-2</v>
      </c>
      <c r="T257" s="161">
        <v>6.0617638869497998</v>
      </c>
      <c r="U257" s="161">
        <v>5.80086064496472</v>
      </c>
      <c r="V257" s="161">
        <v>0.510996859981666</v>
      </c>
      <c r="W257" s="161"/>
      <c r="X257" s="58"/>
      <c r="Y257" s="160"/>
      <c r="Z257" s="160"/>
      <c r="AA257" s="160"/>
      <c r="AB257" s="160"/>
      <c r="AC257" s="160"/>
      <c r="AD257" s="162"/>
      <c r="AE257" s="161"/>
    </row>
    <row r="258" spans="1:31" ht="21.2" customHeight="1">
      <c r="A258" s="8" t="s">
        <v>555</v>
      </c>
      <c r="B258" s="158" t="s">
        <v>869</v>
      </c>
      <c r="C258" s="159">
        <v>28</v>
      </c>
      <c r="D258" s="158" t="s">
        <v>847</v>
      </c>
      <c r="E258" s="58">
        <v>72.327142857142903</v>
      </c>
      <c r="F258" s="160">
        <v>13.6386271776898</v>
      </c>
      <c r="G258" s="161">
        <v>0.181843554706902</v>
      </c>
      <c r="H258" s="161">
        <v>0.30427785949089398</v>
      </c>
      <c r="I258" s="161">
        <v>0.48612141419779598</v>
      </c>
      <c r="J258" s="161">
        <v>1.81816318119934</v>
      </c>
      <c r="K258" s="161">
        <v>1.2965919080372699E-2</v>
      </c>
      <c r="L258" s="161">
        <v>3.1817784478573703E-2</v>
      </c>
      <c r="M258" s="161">
        <v>8.17363369527882E-5</v>
      </c>
      <c r="N258" s="161">
        <v>1.52732672139566E-4</v>
      </c>
      <c r="O258" s="161">
        <v>0.43084615003919302</v>
      </c>
      <c r="P258" s="161">
        <v>1.3526109628184999</v>
      </c>
      <c r="Q258" s="161">
        <v>6.0914932235311303E-2</v>
      </c>
      <c r="R258" s="161">
        <v>0.64429046962876702</v>
      </c>
      <c r="S258" s="161">
        <v>2.9093679654242199E-2</v>
      </c>
      <c r="T258" s="161">
        <v>0.148524216767496</v>
      </c>
      <c r="U258" s="161">
        <v>0.26690675167537298</v>
      </c>
      <c r="V258" s="161">
        <v>0.35751840389800399</v>
      </c>
      <c r="W258" s="161"/>
      <c r="X258" s="58"/>
      <c r="Y258" s="160"/>
      <c r="Z258" s="160"/>
      <c r="AA258" s="160"/>
      <c r="AB258" s="160"/>
      <c r="AC258" s="160"/>
      <c r="AD258" s="162"/>
      <c r="AE258" s="161"/>
    </row>
    <row r="259" spans="1:31" ht="21.2" customHeight="1">
      <c r="A259" s="8" t="s">
        <v>266</v>
      </c>
      <c r="B259" s="158" t="s">
        <v>872</v>
      </c>
      <c r="C259" s="159">
        <v>20</v>
      </c>
      <c r="D259" s="158" t="s">
        <v>849</v>
      </c>
      <c r="E259" s="58">
        <v>81.45</v>
      </c>
      <c r="F259" s="160">
        <v>23.520805503724201</v>
      </c>
      <c r="G259" s="161">
        <v>8.2315294153584101E-2</v>
      </c>
      <c r="H259" s="161">
        <v>0.40356461209753902</v>
      </c>
      <c r="I259" s="161">
        <v>0.48587990625112298</v>
      </c>
      <c r="J259" s="161">
        <v>1.6762416584665001</v>
      </c>
      <c r="K259" s="161">
        <v>4.9649170598550603E-3</v>
      </c>
      <c r="L259" s="161">
        <v>9.8163936254859793E-2</v>
      </c>
      <c r="M259" s="161">
        <v>5.7180349733156098E-4</v>
      </c>
      <c r="N259" s="161">
        <v>8.5655272290711005E-3</v>
      </c>
      <c r="O259" s="161">
        <v>1.1761510752096</v>
      </c>
      <c r="P259" s="161">
        <v>0.56110610480895895</v>
      </c>
      <c r="Q259" s="161">
        <v>2.8725430830109401E-3</v>
      </c>
      <c r="R259" s="161">
        <v>0.38052458263911798</v>
      </c>
      <c r="S259" s="161">
        <v>1.0537926293664001E-2</v>
      </c>
      <c r="T259" s="161">
        <v>0</v>
      </c>
      <c r="U259" s="161">
        <v>0</v>
      </c>
      <c r="V259" s="161">
        <v>0</v>
      </c>
      <c r="W259" s="161"/>
      <c r="X259" s="58"/>
      <c r="Y259" s="160"/>
      <c r="Z259" s="160"/>
      <c r="AA259" s="160"/>
      <c r="AB259" s="160"/>
      <c r="AC259" s="160"/>
      <c r="AD259" s="162"/>
      <c r="AE259" s="161"/>
    </row>
    <row r="260" spans="1:31" ht="21.2" customHeight="1">
      <c r="A260" s="8" t="s">
        <v>389</v>
      </c>
      <c r="B260" s="158" t="s">
        <v>863</v>
      </c>
      <c r="C260" s="159">
        <v>30</v>
      </c>
      <c r="D260" s="158" t="s">
        <v>880</v>
      </c>
      <c r="E260" s="58">
        <v>76.647499999999994</v>
      </c>
      <c r="F260" s="160">
        <v>15.724809358331401</v>
      </c>
      <c r="G260" s="161">
        <v>0.19967353776329999</v>
      </c>
      <c r="H260" s="161">
        <v>0.285923210276749</v>
      </c>
      <c r="I260" s="161">
        <v>0.48559674804004899</v>
      </c>
      <c r="J260" s="161">
        <v>2.4162298862363798</v>
      </c>
      <c r="K260" s="161">
        <v>6.0921674504920899E-2</v>
      </c>
      <c r="L260" s="161">
        <v>0.102271547212093</v>
      </c>
      <c r="M260" s="161">
        <v>8.2346240979011998E-4</v>
      </c>
      <c r="N260" s="161">
        <v>1.3622263065561199E-3</v>
      </c>
      <c r="O260" s="161">
        <v>0.36763501838804402</v>
      </c>
      <c r="P260" s="161">
        <v>0.66986990931337798</v>
      </c>
      <c r="Q260" s="161">
        <v>4.9440399676166001E-2</v>
      </c>
      <c r="R260" s="161">
        <v>0.30828485367167002</v>
      </c>
      <c r="S260" s="161">
        <v>2.8643624444042799E-2</v>
      </c>
      <c r="T260" s="161">
        <v>1.6263740504697899</v>
      </c>
      <c r="U260" s="161">
        <v>1.77899241003702</v>
      </c>
      <c r="V260" s="161">
        <v>0.47759149252551902</v>
      </c>
      <c r="W260" s="161"/>
      <c r="X260" s="58"/>
      <c r="Y260" s="160"/>
      <c r="Z260" s="160"/>
      <c r="AA260" s="160"/>
      <c r="AB260" s="160"/>
      <c r="AC260" s="160"/>
      <c r="AD260" s="162"/>
      <c r="AE260" s="161"/>
    </row>
    <row r="261" spans="1:31" ht="21.2" customHeight="1">
      <c r="A261" s="8" t="s">
        <v>655</v>
      </c>
      <c r="B261" s="158" t="s">
        <v>892</v>
      </c>
      <c r="C261" s="163">
        <v>19</v>
      </c>
      <c r="D261" s="158" t="s">
        <v>846</v>
      </c>
      <c r="E261" s="58">
        <v>60</v>
      </c>
      <c r="F261" s="160">
        <v>13.5</v>
      </c>
      <c r="G261" s="161">
        <v>0.220057241834682</v>
      </c>
      <c r="H261" s="161">
        <v>0.26529623987526302</v>
      </c>
      <c r="I261" s="161">
        <v>0.48535348170994502</v>
      </c>
      <c r="J261" s="161">
        <v>1.80256171954983</v>
      </c>
      <c r="K261" s="161">
        <v>4.9318375161722799E-2</v>
      </c>
      <c r="L261" s="161">
        <v>0.108775539025441</v>
      </c>
      <c r="M261" s="161">
        <v>0</v>
      </c>
      <c r="N261" s="161">
        <v>0</v>
      </c>
      <c r="O261" s="161">
        <v>0.41585365853658501</v>
      </c>
      <c r="P261" s="161">
        <v>0.60975609756097604</v>
      </c>
      <c r="Q261" s="161">
        <v>-2.8048780487804899E-3</v>
      </c>
      <c r="R261" s="161">
        <v>0.34704191138326201</v>
      </c>
      <c r="S261" s="161">
        <v>3.09314607249313E-2</v>
      </c>
      <c r="T261" s="161">
        <v>0.65062902730898797</v>
      </c>
      <c r="U261" s="161">
        <v>1.0615526235041399</v>
      </c>
      <c r="V261" s="161">
        <v>0.38</v>
      </c>
      <c r="W261" s="161"/>
      <c r="X261" s="58"/>
      <c r="Y261" s="161"/>
      <c r="Z261" s="161"/>
      <c r="AA261" s="161"/>
      <c r="AB261" s="161"/>
      <c r="AC261" s="160"/>
      <c r="AD261" s="162"/>
      <c r="AE261" s="161"/>
    </row>
    <row r="262" spans="1:31" ht="21.2" customHeight="1">
      <c r="A262" s="8" t="s">
        <v>512</v>
      </c>
      <c r="B262" s="158" t="s">
        <v>891</v>
      </c>
      <c r="C262" s="159">
        <v>30</v>
      </c>
      <c r="D262" s="158" t="s">
        <v>846</v>
      </c>
      <c r="E262" s="58">
        <v>78.919642857142904</v>
      </c>
      <c r="F262" s="160">
        <v>16.541189061839301</v>
      </c>
      <c r="G262" s="161">
        <v>0.18574174793429399</v>
      </c>
      <c r="H262" s="161">
        <v>0.29458826644770097</v>
      </c>
      <c r="I262" s="161">
        <v>0.48033001438199502</v>
      </c>
      <c r="J262" s="161">
        <v>1.62347810620537</v>
      </c>
      <c r="K262" s="161">
        <v>4.9533182421259002E-2</v>
      </c>
      <c r="L262" s="161">
        <v>8.7163646619585894E-2</v>
      </c>
      <c r="M262" s="161">
        <v>2.4026063799799501E-2</v>
      </c>
      <c r="N262" s="161">
        <v>3.6819307187174501E-2</v>
      </c>
      <c r="O262" s="161">
        <v>0.78312364300380699</v>
      </c>
      <c r="P262" s="161">
        <v>2.12797813351485</v>
      </c>
      <c r="Q262" s="161">
        <v>9.5314855826487202E-3</v>
      </c>
      <c r="R262" s="161">
        <v>0.278356510194679</v>
      </c>
      <c r="S262" s="161">
        <v>2.8701159876866E-2</v>
      </c>
      <c r="T262" s="161">
        <v>9.3667012027680894</v>
      </c>
      <c r="U262" s="161">
        <v>7.2340797726358401</v>
      </c>
      <c r="V262" s="161">
        <v>0.56423256331409899</v>
      </c>
      <c r="W262" s="161"/>
      <c r="X262" s="58"/>
      <c r="Y262" s="160"/>
      <c r="Z262" s="160"/>
      <c r="AA262" s="160"/>
      <c r="AB262" s="160"/>
      <c r="AC262" s="160"/>
      <c r="AD262" s="162"/>
      <c r="AE262" s="161"/>
    </row>
    <row r="263" spans="1:31" ht="21.2" customHeight="1">
      <c r="A263" s="8" t="s">
        <v>446</v>
      </c>
      <c r="B263" s="158" t="s">
        <v>881</v>
      </c>
      <c r="C263" s="159">
        <v>25</v>
      </c>
      <c r="D263" s="158" t="s">
        <v>848</v>
      </c>
      <c r="E263" s="58">
        <v>79.42</v>
      </c>
      <c r="F263" s="160">
        <v>15.9991238602388</v>
      </c>
      <c r="G263" s="161">
        <v>0.23551529693800899</v>
      </c>
      <c r="H263" s="161">
        <v>0.24422295578869899</v>
      </c>
      <c r="I263" s="161">
        <v>0.479738252726707</v>
      </c>
      <c r="J263" s="161">
        <v>1.5299098921815</v>
      </c>
      <c r="K263" s="161">
        <v>6.6551517877219801E-2</v>
      </c>
      <c r="L263" s="161">
        <v>0.13583960033201201</v>
      </c>
      <c r="M263" s="161">
        <v>5.2469801671452897E-5</v>
      </c>
      <c r="N263" s="161">
        <v>6.6999619777096506E-5</v>
      </c>
      <c r="O263" s="161">
        <v>0.419242163616382</v>
      </c>
      <c r="P263" s="161">
        <v>1.1138061191516999</v>
      </c>
      <c r="Q263" s="161">
        <v>-7.5251784368065497E-2</v>
      </c>
      <c r="R263" s="161">
        <v>0.23779714975741201</v>
      </c>
      <c r="S263" s="161">
        <v>2.7598048003629399E-2</v>
      </c>
      <c r="T263" s="161">
        <v>0.112528069819993</v>
      </c>
      <c r="U263" s="161">
        <v>0.117664303555073</v>
      </c>
      <c r="V263" s="161">
        <v>0.48884360576379599</v>
      </c>
      <c r="W263" s="161"/>
      <c r="X263" s="58"/>
      <c r="Y263" s="160"/>
      <c r="Z263" s="160"/>
      <c r="AA263" s="160"/>
      <c r="AB263" s="160"/>
      <c r="AC263" s="160"/>
      <c r="AD263" s="162"/>
      <c r="AE263" s="161"/>
    </row>
    <row r="264" spans="1:31" ht="21.2" customHeight="1">
      <c r="A264" s="8" t="s">
        <v>456</v>
      </c>
      <c r="B264" s="158" t="s">
        <v>893</v>
      </c>
      <c r="C264" s="163">
        <v>31</v>
      </c>
      <c r="D264" s="158" t="s">
        <v>865</v>
      </c>
      <c r="E264" s="58">
        <v>80.490357142857107</v>
      </c>
      <c r="F264" s="160">
        <v>16.121150196768699</v>
      </c>
      <c r="G264" s="161">
        <v>0.124980674984248</v>
      </c>
      <c r="H264" s="161">
        <v>0.35234574919904299</v>
      </c>
      <c r="I264" s="161">
        <v>0.47732642418329002</v>
      </c>
      <c r="J264" s="161">
        <v>1.3747153029307799</v>
      </c>
      <c r="K264" s="161">
        <v>1.9811386583365901E-2</v>
      </c>
      <c r="L264" s="161">
        <v>0.117180644655626</v>
      </c>
      <c r="M264" s="161">
        <v>-1.50797496880209E-4</v>
      </c>
      <c r="N264" s="161">
        <v>-8.3165869078619602E-4</v>
      </c>
      <c r="O264" s="161">
        <v>0.61801637293800404</v>
      </c>
      <c r="P264" s="161">
        <v>0.95417434747103003</v>
      </c>
      <c r="Q264" s="161">
        <v>-6.9588706313254501E-3</v>
      </c>
      <c r="R264" s="161">
        <v>0.286103244133387</v>
      </c>
      <c r="S264" s="161">
        <v>2.00619008766839E-2</v>
      </c>
      <c r="T264" s="161">
        <v>2.82820723457833</v>
      </c>
      <c r="U264" s="161">
        <v>3.2053455922388898</v>
      </c>
      <c r="V264" s="161">
        <v>0.46874657697664401</v>
      </c>
      <c r="W264" s="161"/>
      <c r="X264" s="58"/>
      <c r="Y264" s="160"/>
      <c r="Z264" s="160"/>
      <c r="AA264" s="160"/>
      <c r="AB264" s="160"/>
      <c r="AC264" s="160"/>
      <c r="AD264" s="162"/>
      <c r="AE264" s="161"/>
    </row>
    <row r="265" spans="1:31" ht="21.2" customHeight="1">
      <c r="A265" s="8" t="s">
        <v>281</v>
      </c>
      <c r="B265" s="158" t="s">
        <v>884</v>
      </c>
      <c r="C265" s="163">
        <v>32</v>
      </c>
      <c r="D265" s="158" t="s">
        <v>849</v>
      </c>
      <c r="E265" s="58">
        <v>76.7</v>
      </c>
      <c r="F265" s="160">
        <v>21.484203889340598</v>
      </c>
      <c r="G265" s="161">
        <v>0.124173269954663</v>
      </c>
      <c r="H265" s="161">
        <v>0.35227444261938201</v>
      </c>
      <c r="I265" s="161">
        <v>0.476447712574045</v>
      </c>
      <c r="J265" s="161">
        <v>1.74313718245432</v>
      </c>
      <c r="K265" s="161">
        <v>2.10135236974037E-2</v>
      </c>
      <c r="L265" s="161">
        <v>0.109783191178673</v>
      </c>
      <c r="M265" s="161">
        <v>-9.1942755802071598E-5</v>
      </c>
      <c r="N265" s="161">
        <v>-5.1567660233407895E-4</v>
      </c>
      <c r="O265" s="161">
        <v>1.3187097801411201</v>
      </c>
      <c r="P265" s="161">
        <v>1.80022365285073</v>
      </c>
      <c r="Q265" s="161">
        <v>7.6787227110841696E-2</v>
      </c>
      <c r="R265" s="161">
        <v>0.45128800863527602</v>
      </c>
      <c r="S265" s="161">
        <v>2.22794650796489E-2</v>
      </c>
      <c r="T265" s="161">
        <v>0</v>
      </c>
      <c r="U265" s="161">
        <v>0</v>
      </c>
      <c r="V265" s="161">
        <v>0</v>
      </c>
      <c r="W265" s="161"/>
      <c r="X265" s="58"/>
      <c r="Y265" s="160"/>
      <c r="Z265" s="160"/>
      <c r="AA265" s="160"/>
      <c r="AB265" s="160"/>
      <c r="AC265" s="160"/>
      <c r="AD265" s="162"/>
      <c r="AE265" s="161"/>
    </row>
    <row r="266" spans="1:31" ht="21.2" customHeight="1">
      <c r="A266" s="8" t="s">
        <v>504</v>
      </c>
      <c r="B266" s="158" t="s">
        <v>877</v>
      </c>
      <c r="C266" s="163">
        <v>29</v>
      </c>
      <c r="D266" s="158" t="s">
        <v>847</v>
      </c>
      <c r="E266" s="58">
        <v>76.7</v>
      </c>
      <c r="F266" s="160">
        <v>16.158772970752398</v>
      </c>
      <c r="G266" s="161">
        <v>0.18724237547419101</v>
      </c>
      <c r="H266" s="161">
        <v>0.287992626912078</v>
      </c>
      <c r="I266" s="161">
        <v>0.47523500238626998</v>
      </c>
      <c r="J266" s="161">
        <v>1.97093101871578</v>
      </c>
      <c r="K266" s="161">
        <v>2.8008034116822799E-2</v>
      </c>
      <c r="L266" s="161">
        <v>4.1721219043913398E-2</v>
      </c>
      <c r="M266" s="161">
        <v>4.3468717396847002E-3</v>
      </c>
      <c r="N266" s="161">
        <v>8.3000884299427608E-3</v>
      </c>
      <c r="O266" s="161">
        <v>0.55323423186331999</v>
      </c>
      <c r="P266" s="161">
        <v>0.57635774232201498</v>
      </c>
      <c r="Q266" s="161">
        <v>2.5397679533332201E-2</v>
      </c>
      <c r="R266" s="161">
        <v>0.21212247457432301</v>
      </c>
      <c r="S266" s="161">
        <v>2.9210437308286201E-2</v>
      </c>
      <c r="T266" s="161">
        <v>0.102949815230131</v>
      </c>
      <c r="U266" s="161">
        <v>0.12544889140808299</v>
      </c>
      <c r="V266" s="161">
        <v>0.45074605169811699</v>
      </c>
      <c r="W266" s="161"/>
      <c r="X266" s="58"/>
      <c r="Y266" s="160"/>
      <c r="Z266" s="160"/>
      <c r="AA266" s="160"/>
      <c r="AB266" s="160"/>
      <c r="AC266" s="160"/>
      <c r="AD266" s="162"/>
      <c r="AE266" s="161"/>
    </row>
    <row r="267" spans="1:31" ht="21.2" customHeight="1">
      <c r="A267" s="8" t="s">
        <v>490</v>
      </c>
      <c r="B267" s="158" t="s">
        <v>867</v>
      </c>
      <c r="C267" s="163">
        <v>30</v>
      </c>
      <c r="D267" s="158" t="s">
        <v>865</v>
      </c>
      <c r="E267" s="58">
        <v>75.787142857142896</v>
      </c>
      <c r="F267" s="160">
        <v>15.839862500000001</v>
      </c>
      <c r="G267" s="161">
        <v>0.18962194964856299</v>
      </c>
      <c r="H267" s="161">
        <v>0.28373672775480002</v>
      </c>
      <c r="I267" s="161">
        <v>0.47335867740336302</v>
      </c>
      <c r="J267" s="161">
        <v>1.65017424159783</v>
      </c>
      <c r="K267" s="161">
        <v>1.9115976078698499E-2</v>
      </c>
      <c r="L267" s="161">
        <v>3.4686210704110002E-2</v>
      </c>
      <c r="M267" s="161">
        <v>1.39681039605972E-2</v>
      </c>
      <c r="N267" s="161">
        <v>3.1721214509332303E-2</v>
      </c>
      <c r="O267" s="161">
        <v>0.60926699265923201</v>
      </c>
      <c r="P267" s="161">
        <v>0.61543442575482199</v>
      </c>
      <c r="Q267" s="161">
        <v>2.5288219204133398E-2</v>
      </c>
      <c r="R267" s="161">
        <v>0.16859683305815101</v>
      </c>
      <c r="S267" s="161">
        <v>3.0448812981256301E-2</v>
      </c>
      <c r="T267" s="161">
        <v>6.0252602117472298</v>
      </c>
      <c r="U267" s="161">
        <v>6.0671504436640404</v>
      </c>
      <c r="V267" s="161">
        <v>0.49826791228355899</v>
      </c>
      <c r="W267" s="161"/>
      <c r="X267" s="58"/>
      <c r="Y267" s="160"/>
      <c r="Z267" s="160"/>
      <c r="AA267" s="160"/>
      <c r="AB267" s="160"/>
      <c r="AC267" s="160"/>
      <c r="AD267" s="162"/>
      <c r="AE267" s="161"/>
    </row>
    <row r="268" spans="1:31" ht="21.2" customHeight="1">
      <c r="A268" s="8" t="s">
        <v>263</v>
      </c>
      <c r="B268" s="158" t="s">
        <v>866</v>
      </c>
      <c r="C268" s="159">
        <v>31</v>
      </c>
      <c r="D268" s="158" t="s">
        <v>849</v>
      </c>
      <c r="E268" s="58">
        <v>77.828214285714296</v>
      </c>
      <c r="F268" s="160">
        <v>19.168837382777301</v>
      </c>
      <c r="G268" s="161">
        <v>9.7282606523332704E-2</v>
      </c>
      <c r="H268" s="161">
        <v>0.373875542682372</v>
      </c>
      <c r="I268" s="161">
        <v>0.47115814920570498</v>
      </c>
      <c r="J268" s="161">
        <v>1.7141904100272001</v>
      </c>
      <c r="K268" s="161">
        <v>2.4637603942094501E-2</v>
      </c>
      <c r="L268" s="161">
        <v>0.19896519454542799</v>
      </c>
      <c r="M268" s="161">
        <v>3.4805151891770703E-5</v>
      </c>
      <c r="N268" s="161">
        <v>1.20815939589877E-4</v>
      </c>
      <c r="O268" s="161">
        <v>1.1581216182684899</v>
      </c>
      <c r="P268" s="161">
        <v>0.89888967693256305</v>
      </c>
      <c r="Q268" s="161">
        <v>1.6881444408825701E-2</v>
      </c>
      <c r="R268" s="161">
        <v>0.43671151154711102</v>
      </c>
      <c r="S268" s="161">
        <v>1.56284248806485E-2</v>
      </c>
      <c r="T268" s="161">
        <v>0</v>
      </c>
      <c r="U268" s="161">
        <v>0</v>
      </c>
      <c r="V268" s="161">
        <v>0</v>
      </c>
      <c r="W268" s="161"/>
      <c r="X268" s="58"/>
      <c r="Y268" s="160"/>
      <c r="Z268" s="160"/>
      <c r="AA268" s="160"/>
      <c r="AB268" s="160"/>
      <c r="AC268" s="160"/>
      <c r="AD268" s="162"/>
      <c r="AE268" s="161"/>
    </row>
    <row r="269" spans="1:31" ht="21.2" customHeight="1">
      <c r="A269" s="8" t="s">
        <v>479</v>
      </c>
      <c r="B269" s="158" t="s">
        <v>895</v>
      </c>
      <c r="C269" s="159">
        <v>32</v>
      </c>
      <c r="D269" s="158" t="s">
        <v>864</v>
      </c>
      <c r="E269" s="58">
        <v>80.326428571428593</v>
      </c>
      <c r="F269" s="160">
        <v>14.4734531789996</v>
      </c>
      <c r="G269" s="161">
        <v>0.198660675514929</v>
      </c>
      <c r="H269" s="161">
        <v>0.27240656897037102</v>
      </c>
      <c r="I269" s="161">
        <v>0.47106724448530002</v>
      </c>
      <c r="J269" s="161">
        <v>1.6792157139194099</v>
      </c>
      <c r="K269" s="161">
        <v>1.2121703150315299E-2</v>
      </c>
      <c r="L269" s="161">
        <v>4.0791694664185002E-2</v>
      </c>
      <c r="M269" s="161">
        <v>0</v>
      </c>
      <c r="N269" s="161">
        <v>0</v>
      </c>
      <c r="O269" s="161">
        <v>0.36051795120056002</v>
      </c>
      <c r="P269" s="161">
        <v>0.855106379377227</v>
      </c>
      <c r="Q269" s="161">
        <v>2.3572841464131002E-2</v>
      </c>
      <c r="R269" s="161">
        <v>0.306891420537791</v>
      </c>
      <c r="S269" s="161">
        <v>0</v>
      </c>
      <c r="T269" s="161">
        <v>0.20859076770760501</v>
      </c>
      <c r="U269" s="161">
        <v>0.31533472319998501</v>
      </c>
      <c r="V269" s="161">
        <v>0.39813059552850799</v>
      </c>
      <c r="W269" s="161"/>
      <c r="X269" s="58"/>
      <c r="Y269" s="160"/>
      <c r="Z269" s="160"/>
      <c r="AA269" s="160"/>
      <c r="AB269" s="160"/>
      <c r="AC269" s="160"/>
      <c r="AD269" s="162"/>
      <c r="AE269" s="161"/>
    </row>
    <row r="270" spans="1:31" ht="21.2" customHeight="1">
      <c r="A270" s="8" t="s">
        <v>417</v>
      </c>
      <c r="B270" s="158" t="s">
        <v>862</v>
      </c>
      <c r="C270" s="159">
        <v>31</v>
      </c>
      <c r="D270" s="158" t="s">
        <v>864</v>
      </c>
      <c r="E270" s="58">
        <v>80.078214285714296</v>
      </c>
      <c r="F270" s="160">
        <v>15.7947745426829</v>
      </c>
      <c r="G270" s="161">
        <v>0.206241630513501</v>
      </c>
      <c r="H270" s="161">
        <v>0.26332311478006698</v>
      </c>
      <c r="I270" s="161">
        <v>0.46956474529356801</v>
      </c>
      <c r="J270" s="161">
        <v>1.87721814753063</v>
      </c>
      <c r="K270" s="161">
        <v>2.5677847425313201E-2</v>
      </c>
      <c r="L270" s="161">
        <v>8.0221537207063404E-2</v>
      </c>
      <c r="M270" s="161">
        <v>8.9821205690601008E-3</v>
      </c>
      <c r="N270" s="161">
        <v>8.5772901909724301E-3</v>
      </c>
      <c r="O270" s="161">
        <v>0.51375674069412303</v>
      </c>
      <c r="P270" s="161">
        <v>0.73331573197246103</v>
      </c>
      <c r="Q270" s="161">
        <v>1.2037596530869801E-3</v>
      </c>
      <c r="R270" s="161">
        <v>0.28070886845051601</v>
      </c>
      <c r="S270" s="161">
        <v>3.2276890092764098E-2</v>
      </c>
      <c r="T270" s="161">
        <v>0.195319638328774</v>
      </c>
      <c r="U270" s="161">
        <v>0.24668615197250601</v>
      </c>
      <c r="V270" s="161">
        <v>0.44189384531736697</v>
      </c>
      <c r="W270" s="161"/>
      <c r="X270" s="58"/>
      <c r="Y270" s="160"/>
      <c r="Z270" s="160"/>
      <c r="AA270" s="160"/>
      <c r="AB270" s="160"/>
      <c r="AC270" s="160"/>
      <c r="AD270" s="162"/>
      <c r="AE270" s="161"/>
    </row>
    <row r="271" spans="1:31" ht="21.2" customHeight="1">
      <c r="A271" s="8" t="s">
        <v>275</v>
      </c>
      <c r="B271" s="158" t="s">
        <v>887</v>
      </c>
      <c r="C271" s="159">
        <v>19</v>
      </c>
      <c r="D271" s="158" t="s">
        <v>849</v>
      </c>
      <c r="E271" s="58">
        <v>74</v>
      </c>
      <c r="F271" s="160">
        <v>20</v>
      </c>
      <c r="G271" s="161">
        <v>0.14270923046885201</v>
      </c>
      <c r="H271" s="161">
        <v>0.32674243123435998</v>
      </c>
      <c r="I271" s="161">
        <v>0.46945166170321201</v>
      </c>
      <c r="J271" s="161">
        <v>2.2013527062795699</v>
      </c>
      <c r="K271" s="161">
        <v>3.1133213623406701E-2</v>
      </c>
      <c r="L271" s="161">
        <v>0.10241481102274801</v>
      </c>
      <c r="M271" s="161">
        <v>0</v>
      </c>
      <c r="N271" s="161">
        <v>0</v>
      </c>
      <c r="O271" s="161">
        <v>1.2926829268292701</v>
      </c>
      <c r="P271" s="161">
        <v>1.2646341463414601</v>
      </c>
      <c r="Q271" s="161">
        <v>9.8780487804877998E-3</v>
      </c>
      <c r="R271" s="161">
        <v>0.43292682926829301</v>
      </c>
      <c r="S271" s="161">
        <v>1.36805386235024E-2</v>
      </c>
      <c r="T271" s="161">
        <v>0</v>
      </c>
      <c r="U271" s="161">
        <v>0</v>
      </c>
      <c r="V271" s="161">
        <v>0</v>
      </c>
      <c r="W271" s="161"/>
      <c r="X271" s="58"/>
      <c r="Y271" s="161"/>
      <c r="Z271" s="161"/>
      <c r="AA271" s="161"/>
      <c r="AB271" s="161"/>
      <c r="AC271" s="160"/>
      <c r="AD271" s="162"/>
      <c r="AE271" s="161"/>
    </row>
    <row r="272" spans="1:31" ht="21.2" customHeight="1">
      <c r="A272" s="8" t="s">
        <v>270</v>
      </c>
      <c r="B272" s="158" t="s">
        <v>888</v>
      </c>
      <c r="C272" s="163">
        <v>32</v>
      </c>
      <c r="D272" s="158" t="s">
        <v>849</v>
      </c>
      <c r="E272" s="58">
        <v>81.325000000000003</v>
      </c>
      <c r="F272" s="160">
        <v>18.225764967494701</v>
      </c>
      <c r="G272" s="161">
        <v>9.7085938353849599E-2</v>
      </c>
      <c r="H272" s="161">
        <v>0.37126952560037702</v>
      </c>
      <c r="I272" s="161">
        <v>0.468355463954227</v>
      </c>
      <c r="J272" s="161">
        <v>1.77282846970233</v>
      </c>
      <c r="K272" s="161">
        <v>2.70763763663452E-2</v>
      </c>
      <c r="L272" s="161">
        <v>0.194045341377904</v>
      </c>
      <c r="M272" s="161">
        <v>7.4400495898526106E-5</v>
      </c>
      <c r="N272" s="161">
        <v>4.6891012998980701E-3</v>
      </c>
      <c r="O272" s="161">
        <v>1.0334258908499201</v>
      </c>
      <c r="P272" s="161">
        <v>0.73182665698128402</v>
      </c>
      <c r="Q272" s="161">
        <v>-2.21432656102406E-2</v>
      </c>
      <c r="R272" s="161">
        <v>0.31895199219903297</v>
      </c>
      <c r="S272" s="161">
        <v>1.4177086192799599E-2</v>
      </c>
      <c r="T272" s="161">
        <v>0</v>
      </c>
      <c r="U272" s="161">
        <v>0</v>
      </c>
      <c r="V272" s="161">
        <v>0</v>
      </c>
      <c r="W272" s="161"/>
      <c r="X272" s="58"/>
      <c r="Y272" s="160"/>
      <c r="Z272" s="160"/>
      <c r="AA272" s="160"/>
      <c r="AB272" s="160"/>
      <c r="AC272" s="160"/>
      <c r="AD272" s="162"/>
      <c r="AE272" s="161"/>
    </row>
    <row r="273" spans="1:31" ht="21.2" customHeight="1">
      <c r="A273" s="8" t="s">
        <v>489</v>
      </c>
      <c r="B273" s="158" t="s">
        <v>881</v>
      </c>
      <c r="C273" s="159">
        <v>33</v>
      </c>
      <c r="D273" s="158" t="s">
        <v>865</v>
      </c>
      <c r="E273" s="58">
        <v>69.568571428571403</v>
      </c>
      <c r="F273" s="160">
        <v>15.7077322791556</v>
      </c>
      <c r="G273" s="161">
        <v>0.17733354699559101</v>
      </c>
      <c r="H273" s="161">
        <v>0.29081012767933301</v>
      </c>
      <c r="I273" s="161">
        <v>0.46814367467492402</v>
      </c>
      <c r="J273" s="161">
        <v>2.0021237568300401</v>
      </c>
      <c r="K273" s="161">
        <v>4.5112363501202603E-2</v>
      </c>
      <c r="L273" s="161">
        <v>0.118969838346298</v>
      </c>
      <c r="M273" s="161">
        <v>2.24725882602206E-4</v>
      </c>
      <c r="N273" s="161">
        <v>3.7922275049222698E-4</v>
      </c>
      <c r="O273" s="161">
        <v>0.41615225063656203</v>
      </c>
      <c r="P273" s="161">
        <v>1.0064614837363099</v>
      </c>
      <c r="Q273" s="161">
        <v>-9.7144115025198305E-2</v>
      </c>
      <c r="R273" s="161">
        <v>0.34849931078502699</v>
      </c>
      <c r="S273" s="161">
        <v>2.0780220250094399E-2</v>
      </c>
      <c r="T273" s="161">
        <v>1.3765035254225999</v>
      </c>
      <c r="U273" s="161">
        <v>1.1786309203799299</v>
      </c>
      <c r="V273" s="161">
        <v>0.53872058579299498</v>
      </c>
      <c r="W273" s="161"/>
      <c r="X273" s="58"/>
      <c r="Y273" s="160"/>
      <c r="Z273" s="160"/>
      <c r="AA273" s="160"/>
      <c r="AB273" s="160"/>
      <c r="AC273" s="160"/>
      <c r="AD273" s="162"/>
      <c r="AE273" s="161"/>
    </row>
    <row r="274" spans="1:31" ht="21.2" customHeight="1">
      <c r="A274" s="8" t="s">
        <v>502</v>
      </c>
      <c r="B274" s="158" t="s">
        <v>876</v>
      </c>
      <c r="C274" s="159">
        <v>27</v>
      </c>
      <c r="D274" s="158" t="s">
        <v>848</v>
      </c>
      <c r="E274" s="58">
        <v>76.434642857142904</v>
      </c>
      <c r="F274" s="160">
        <v>13.9940849690036</v>
      </c>
      <c r="G274" s="161">
        <v>0.18823626162965601</v>
      </c>
      <c r="H274" s="161">
        <v>0.27587863242356497</v>
      </c>
      <c r="I274" s="161">
        <v>0.46411489405322098</v>
      </c>
      <c r="J274" s="161">
        <v>1.6877093657542199</v>
      </c>
      <c r="K274" s="161">
        <v>2.2053416155454801E-2</v>
      </c>
      <c r="L274" s="161">
        <v>6.5025368935979003E-2</v>
      </c>
      <c r="M274" s="161">
        <v>1.03895496048582E-2</v>
      </c>
      <c r="N274" s="161">
        <v>1.2034108851318901E-2</v>
      </c>
      <c r="O274" s="161">
        <v>0.31537275224146599</v>
      </c>
      <c r="P274" s="161">
        <v>1.4419738370658</v>
      </c>
      <c r="Q274" s="161">
        <v>-5.3785740256492097E-2</v>
      </c>
      <c r="R274" s="161">
        <v>0.25173047420653399</v>
      </c>
      <c r="S274" s="161">
        <v>2.1660860823956001E-2</v>
      </c>
      <c r="T274" s="161">
        <v>0.30037516918874302</v>
      </c>
      <c r="U274" s="161">
        <v>0.60141556441205202</v>
      </c>
      <c r="V274" s="161">
        <v>0.33308744257036599</v>
      </c>
      <c r="W274" s="161"/>
      <c r="X274" s="58"/>
      <c r="Y274" s="160"/>
      <c r="Z274" s="160"/>
      <c r="AA274" s="160"/>
      <c r="AB274" s="160"/>
      <c r="AC274" s="160"/>
      <c r="AD274" s="162"/>
      <c r="AE274" s="161"/>
    </row>
    <row r="275" spans="1:31" ht="21.2" customHeight="1">
      <c r="A275" s="8" t="s">
        <v>358</v>
      </c>
      <c r="B275" s="158" t="s">
        <v>887</v>
      </c>
      <c r="C275" s="159">
        <v>29</v>
      </c>
      <c r="D275" s="158" t="s">
        <v>864</v>
      </c>
      <c r="E275" s="58">
        <v>80.34</v>
      </c>
      <c r="F275" s="160">
        <v>15.2412928125782</v>
      </c>
      <c r="G275" s="161">
        <v>0.24964373090928699</v>
      </c>
      <c r="H275" s="161">
        <v>0.21428246307464999</v>
      </c>
      <c r="I275" s="161">
        <v>0.46392619398393697</v>
      </c>
      <c r="J275" s="161">
        <v>2.54021736259963</v>
      </c>
      <c r="K275" s="161">
        <v>4.3356790069069402E-2</v>
      </c>
      <c r="L275" s="161">
        <v>8.5001491609009897E-2</v>
      </c>
      <c r="M275" s="161">
        <v>1.2035956972686599E-3</v>
      </c>
      <c r="N275" s="161">
        <v>2.1657709810698499E-3</v>
      </c>
      <c r="O275" s="161">
        <v>0.70978501695818497</v>
      </c>
      <c r="P275" s="161">
        <v>1.01390019932479</v>
      </c>
      <c r="Q275" s="161">
        <v>-0.12763514312237401</v>
      </c>
      <c r="R275" s="161">
        <v>0.404472714436523</v>
      </c>
      <c r="S275" s="161">
        <v>2.3931603384023298E-2</v>
      </c>
      <c r="T275" s="161">
        <v>9.2019715248113698E-2</v>
      </c>
      <c r="U275" s="161">
        <v>0.14201819444594899</v>
      </c>
      <c r="V275" s="161">
        <v>0.39318294787542402</v>
      </c>
      <c r="W275" s="161"/>
      <c r="X275" s="58"/>
      <c r="Y275" s="160"/>
      <c r="Z275" s="160"/>
      <c r="AA275" s="160"/>
      <c r="AB275" s="160"/>
      <c r="AC275" s="160"/>
      <c r="AD275" s="162"/>
      <c r="AE275" s="161"/>
    </row>
    <row r="276" spans="1:31" ht="21.2" customHeight="1">
      <c r="A276" s="8" t="s">
        <v>476</v>
      </c>
      <c r="B276" s="158" t="s">
        <v>862</v>
      </c>
      <c r="C276" s="159">
        <v>26</v>
      </c>
      <c r="D276" s="158" t="s">
        <v>864</v>
      </c>
      <c r="E276" s="58">
        <v>74.823928571428596</v>
      </c>
      <c r="F276" s="160">
        <v>16.8118233024544</v>
      </c>
      <c r="G276" s="161">
        <v>0.21838986816786701</v>
      </c>
      <c r="H276" s="161">
        <v>0.24424883102672601</v>
      </c>
      <c r="I276" s="161">
        <v>0.46263869919459299</v>
      </c>
      <c r="J276" s="161">
        <v>1.7755776846359099</v>
      </c>
      <c r="K276" s="161">
        <v>3.0067395912970401E-2</v>
      </c>
      <c r="L276" s="161">
        <v>5.9706260121451998E-2</v>
      </c>
      <c r="M276" s="161">
        <v>7.14029189379768E-3</v>
      </c>
      <c r="N276" s="161">
        <v>1.73485362032983E-2</v>
      </c>
      <c r="O276" s="161">
        <v>0.81938260811410002</v>
      </c>
      <c r="P276" s="161">
        <v>3.8636968624226502</v>
      </c>
      <c r="Q276" s="161">
        <v>-5.2932432203647799E-6</v>
      </c>
      <c r="R276" s="161">
        <v>1.2470330876261</v>
      </c>
      <c r="S276" s="161">
        <v>3.4178093698527298E-2</v>
      </c>
      <c r="T276" s="161">
        <v>0.145837831677396</v>
      </c>
      <c r="U276" s="161">
        <v>0.200246360706794</v>
      </c>
      <c r="V276" s="161">
        <v>0.42139408527362299</v>
      </c>
      <c r="W276" s="161"/>
      <c r="X276" s="58"/>
      <c r="Y276" s="160"/>
      <c r="Z276" s="160"/>
      <c r="AA276" s="160"/>
      <c r="AB276" s="160"/>
      <c r="AC276" s="160"/>
      <c r="AD276" s="162"/>
      <c r="AE276" s="161"/>
    </row>
    <row r="277" spans="1:31" ht="21.2" customHeight="1">
      <c r="A277" s="8" t="s">
        <v>321</v>
      </c>
      <c r="B277" s="158" t="s">
        <v>890</v>
      </c>
      <c r="C277" s="159">
        <v>22</v>
      </c>
      <c r="D277" s="158" t="s">
        <v>849</v>
      </c>
      <c r="E277" s="58">
        <v>70.41</v>
      </c>
      <c r="F277" s="160">
        <v>21.6064706247023</v>
      </c>
      <c r="G277" s="161">
        <v>7.7924963247384502E-2</v>
      </c>
      <c r="H277" s="161">
        <v>0.38362099106878</v>
      </c>
      <c r="I277" s="161">
        <v>0.46154595431616502</v>
      </c>
      <c r="J277" s="161">
        <v>1.1581307295960801</v>
      </c>
      <c r="K277" s="161">
        <v>1.9842840840647299E-2</v>
      </c>
      <c r="L277" s="161">
        <v>0.14557918889645699</v>
      </c>
      <c r="M277" s="161">
        <v>2.1894038078863301E-4</v>
      </c>
      <c r="N277" s="161">
        <v>3.51615199617313E-3</v>
      </c>
      <c r="O277" s="161">
        <v>1.39394611001789</v>
      </c>
      <c r="P277" s="161">
        <v>1.0759164197934401</v>
      </c>
      <c r="Q277" s="161">
        <v>-5.9444170413823397E-2</v>
      </c>
      <c r="R277" s="161">
        <v>0.38063001144132202</v>
      </c>
      <c r="S277" s="161">
        <v>9.1597398641248204E-3</v>
      </c>
      <c r="T277" s="161">
        <v>0</v>
      </c>
      <c r="U277" s="161">
        <v>0</v>
      </c>
      <c r="V277" s="161">
        <v>0</v>
      </c>
      <c r="W277" s="161"/>
      <c r="X277" s="58"/>
      <c r="Y277" s="160"/>
      <c r="Z277" s="160"/>
      <c r="AA277" s="160"/>
      <c r="AB277" s="160"/>
      <c r="AC277" s="160"/>
      <c r="AD277" s="162"/>
      <c r="AE277" s="161"/>
    </row>
    <row r="278" spans="1:31" ht="21.2" customHeight="1">
      <c r="A278" s="8" t="s">
        <v>419</v>
      </c>
      <c r="B278" s="158" t="s">
        <v>894</v>
      </c>
      <c r="C278" s="159">
        <v>29</v>
      </c>
      <c r="D278" s="158" t="s">
        <v>848</v>
      </c>
      <c r="E278" s="58">
        <v>77.349285714285699</v>
      </c>
      <c r="F278" s="160">
        <v>16.739677973027099</v>
      </c>
      <c r="G278" s="161">
        <v>0.27532739024387198</v>
      </c>
      <c r="H278" s="161">
        <v>0.18547058863844901</v>
      </c>
      <c r="I278" s="161">
        <v>0.46079797888232099</v>
      </c>
      <c r="J278" s="161">
        <v>2.1358446818325199</v>
      </c>
      <c r="K278" s="161">
        <v>3.6995764597350503E-2</v>
      </c>
      <c r="L278" s="161">
        <v>5.3124336576984801E-2</v>
      </c>
      <c r="M278" s="161">
        <v>1.68473957052593E-2</v>
      </c>
      <c r="N278" s="161">
        <v>1.84810205833577E-2</v>
      </c>
      <c r="O278" s="161">
        <v>0.61018139589003395</v>
      </c>
      <c r="P278" s="161">
        <v>1.8282892241230699</v>
      </c>
      <c r="Q278" s="161">
        <v>-0.10181760445714701</v>
      </c>
      <c r="R278" s="161">
        <v>0.69462091124158498</v>
      </c>
      <c r="S278" s="161">
        <v>2.8205120059298299E-2</v>
      </c>
      <c r="T278" s="161">
        <v>0.27661435859838901</v>
      </c>
      <c r="U278" s="161">
        <v>0.30341343955503303</v>
      </c>
      <c r="V278" s="161">
        <v>0.47689845121047603</v>
      </c>
      <c r="W278" s="161"/>
      <c r="X278" s="58"/>
      <c r="Y278" s="160"/>
      <c r="Z278" s="160"/>
      <c r="AA278" s="160"/>
      <c r="AB278" s="160"/>
      <c r="AC278" s="160"/>
      <c r="AD278" s="162"/>
      <c r="AE278" s="161"/>
    </row>
    <row r="279" spans="1:31" ht="21.2" customHeight="1">
      <c r="A279" s="8" t="s">
        <v>348</v>
      </c>
      <c r="B279" s="158" t="s">
        <v>867</v>
      </c>
      <c r="C279" s="159">
        <v>23</v>
      </c>
      <c r="D279" s="158" t="s">
        <v>849</v>
      </c>
      <c r="E279" s="58">
        <v>64.63</v>
      </c>
      <c r="F279" s="160">
        <v>16.1527448932349</v>
      </c>
      <c r="G279" s="161">
        <v>5.9399887341587597E-2</v>
      </c>
      <c r="H279" s="161">
        <v>0.40015322183700702</v>
      </c>
      <c r="I279" s="161">
        <v>0.45955310917859499</v>
      </c>
      <c r="J279" s="161">
        <v>1.2623976825510701</v>
      </c>
      <c r="K279" s="161">
        <v>7.40433115070545E-3</v>
      </c>
      <c r="L279" s="161">
        <v>0.27273565415266199</v>
      </c>
      <c r="M279" s="161">
        <v>7.72736474175982E-5</v>
      </c>
      <c r="N279" s="161">
        <v>3.3560727621226798E-4</v>
      </c>
      <c r="O279" s="161">
        <v>0.74846185999195003</v>
      </c>
      <c r="P279" s="161">
        <v>0.70237116408784295</v>
      </c>
      <c r="Q279" s="161">
        <v>2.42696001948591E-3</v>
      </c>
      <c r="R279" s="161">
        <v>0.34853823653235499</v>
      </c>
      <c r="S279" s="161">
        <v>9.5382209924735895E-3</v>
      </c>
      <c r="T279" s="161">
        <v>0</v>
      </c>
      <c r="U279" s="161">
        <v>0</v>
      </c>
      <c r="V279" s="161">
        <v>0</v>
      </c>
      <c r="W279" s="161"/>
      <c r="X279" s="58"/>
      <c r="Y279" s="160"/>
      <c r="Z279" s="160"/>
      <c r="AA279" s="160"/>
      <c r="AB279" s="160"/>
      <c r="AC279" s="160"/>
      <c r="AD279" s="162"/>
      <c r="AE279" s="161"/>
    </row>
    <row r="280" spans="1:31" ht="21.2" customHeight="1">
      <c r="A280" s="8" t="s">
        <v>420</v>
      </c>
      <c r="B280" s="158" t="s">
        <v>885</v>
      </c>
      <c r="C280" s="159">
        <v>25</v>
      </c>
      <c r="D280" s="158" t="s">
        <v>847</v>
      </c>
      <c r="E280" s="58">
        <v>79.669642857142904</v>
      </c>
      <c r="F280" s="160">
        <v>14.463996465955301</v>
      </c>
      <c r="G280" s="161">
        <v>0.21659815143417599</v>
      </c>
      <c r="H280" s="161">
        <v>0.241209315345528</v>
      </c>
      <c r="I280" s="161">
        <v>0.45780746677970402</v>
      </c>
      <c r="J280" s="161">
        <v>2.1898474691816499</v>
      </c>
      <c r="K280" s="161">
        <v>4.2736867779931201E-2</v>
      </c>
      <c r="L280" s="161">
        <v>8.4461050316605002E-2</v>
      </c>
      <c r="M280" s="161">
        <v>1.9594043724817E-2</v>
      </c>
      <c r="N280" s="161">
        <v>3.4847516396163701E-2</v>
      </c>
      <c r="O280" s="161">
        <v>0.522759549509487</v>
      </c>
      <c r="P280" s="161">
        <v>0.458173389308274</v>
      </c>
      <c r="Q280" s="161">
        <v>-1.6011974035608199E-3</v>
      </c>
      <c r="R280" s="161">
        <v>0.19669209702551299</v>
      </c>
      <c r="S280" s="161">
        <v>3.6193172071018E-2</v>
      </c>
      <c r="T280" s="161">
        <v>0.47451090566871801</v>
      </c>
      <c r="U280" s="161">
        <v>0.88385183953385404</v>
      </c>
      <c r="V280" s="161">
        <v>0.349325618171275</v>
      </c>
      <c r="W280" s="161"/>
      <c r="X280" s="58"/>
      <c r="Y280" s="160"/>
      <c r="Z280" s="160"/>
      <c r="AA280" s="160"/>
      <c r="AB280" s="160"/>
      <c r="AC280" s="160"/>
      <c r="AD280" s="162"/>
      <c r="AE280" s="161"/>
    </row>
    <row r="281" spans="1:31" ht="21.2" customHeight="1">
      <c r="A281" s="8" t="s">
        <v>519</v>
      </c>
      <c r="B281" s="158" t="s">
        <v>891</v>
      </c>
      <c r="C281" s="159">
        <v>27</v>
      </c>
      <c r="D281" s="158" t="s">
        <v>847</v>
      </c>
      <c r="E281" s="58">
        <v>78.364999999999995</v>
      </c>
      <c r="F281" s="160">
        <v>14.714846547559301</v>
      </c>
      <c r="G281" s="161">
        <v>0.22376618164078499</v>
      </c>
      <c r="H281" s="161">
        <v>0.23069088567026</v>
      </c>
      <c r="I281" s="161">
        <v>0.45445706731104502</v>
      </c>
      <c r="J281" s="161">
        <v>1.9544527475198199</v>
      </c>
      <c r="K281" s="161">
        <v>1.5361040458460999E-2</v>
      </c>
      <c r="L281" s="161">
        <v>4.3116448524806998E-2</v>
      </c>
      <c r="M281" s="161">
        <v>5.1026960511015599E-3</v>
      </c>
      <c r="N281" s="161">
        <v>7.98495114505526E-3</v>
      </c>
      <c r="O281" s="161">
        <v>0.16062062654579101</v>
      </c>
      <c r="P281" s="161">
        <v>0.79766136963173195</v>
      </c>
      <c r="Q281" s="161">
        <v>2.3352483059385198E-2</v>
      </c>
      <c r="R281" s="161">
        <v>0.36910099353496001</v>
      </c>
      <c r="S281" s="161">
        <v>3.4576765997593198E-2</v>
      </c>
      <c r="T281" s="161">
        <v>0.64478460516569802</v>
      </c>
      <c r="U281" s="161">
        <v>0.73662224053398195</v>
      </c>
      <c r="V281" s="161">
        <v>0.46675938169331699</v>
      </c>
      <c r="W281" s="161"/>
      <c r="X281" s="58"/>
      <c r="Y281" s="160"/>
      <c r="Z281" s="160"/>
      <c r="AA281" s="160"/>
      <c r="AB281" s="160"/>
      <c r="AC281" s="160"/>
      <c r="AD281" s="162"/>
      <c r="AE281" s="161"/>
    </row>
    <row r="282" spans="1:31" ht="21.2" customHeight="1">
      <c r="A282" s="8" t="s">
        <v>253</v>
      </c>
      <c r="B282" s="158" t="s">
        <v>859</v>
      </c>
      <c r="C282" s="159">
        <v>28</v>
      </c>
      <c r="D282" s="158" t="s">
        <v>849</v>
      </c>
      <c r="E282" s="58">
        <v>80.517499999999998</v>
      </c>
      <c r="F282" s="160">
        <v>21.811385729283899</v>
      </c>
      <c r="G282" s="161">
        <v>0.13985408328094101</v>
      </c>
      <c r="H282" s="161">
        <v>0.314369953669899</v>
      </c>
      <c r="I282" s="161">
        <v>0.45422403695084002</v>
      </c>
      <c r="J282" s="161">
        <v>2.2640725749728401</v>
      </c>
      <c r="K282" s="161">
        <v>3.20243559739134E-3</v>
      </c>
      <c r="L282" s="161">
        <v>3.8237319490343397E-2</v>
      </c>
      <c r="M282" s="161">
        <v>1.8139800775767299E-2</v>
      </c>
      <c r="N282" s="161">
        <v>2.30060872591379E-2</v>
      </c>
      <c r="O282" s="161">
        <v>1.7913947590336301</v>
      </c>
      <c r="P282" s="161">
        <v>1.8162830349200501</v>
      </c>
      <c r="Q282" s="161">
        <v>7.8483809367511204E-2</v>
      </c>
      <c r="R282" s="161">
        <v>0.68430728844528799</v>
      </c>
      <c r="S282" s="161">
        <v>2.2137399962668301E-2</v>
      </c>
      <c r="T282" s="161">
        <v>0</v>
      </c>
      <c r="U282" s="161">
        <v>0</v>
      </c>
      <c r="V282" s="161">
        <v>0</v>
      </c>
      <c r="W282" s="161"/>
      <c r="X282" s="58"/>
      <c r="Y282" s="160"/>
      <c r="Z282" s="160"/>
      <c r="AA282" s="160"/>
      <c r="AB282" s="160"/>
      <c r="AC282" s="160"/>
      <c r="AD282" s="162"/>
      <c r="AE282" s="161"/>
    </row>
    <row r="283" spans="1:31" ht="21.2" customHeight="1">
      <c r="A283" s="8" t="s">
        <v>641</v>
      </c>
      <c r="B283" s="158" t="s">
        <v>861</v>
      </c>
      <c r="C283" s="159">
        <v>28</v>
      </c>
      <c r="D283" s="158" t="s">
        <v>860</v>
      </c>
      <c r="E283" s="58">
        <v>69.412857142857106</v>
      </c>
      <c r="F283" s="160">
        <v>14.166713070516201</v>
      </c>
      <c r="G283" s="161">
        <v>8.8387218640359602E-2</v>
      </c>
      <c r="H283" s="161">
        <v>0.36165770148418802</v>
      </c>
      <c r="I283" s="161">
        <v>0.450044920124548</v>
      </c>
      <c r="J283" s="161">
        <v>1.26514836648484</v>
      </c>
      <c r="K283" s="161">
        <v>4.66571423634261E-3</v>
      </c>
      <c r="L283" s="161">
        <v>7.8164585068158807E-2</v>
      </c>
      <c r="M283" s="161">
        <v>7.6364142791243798E-5</v>
      </c>
      <c r="N283" s="161">
        <v>1.4178324722866599E-4</v>
      </c>
      <c r="O283" s="161">
        <v>0.35770282213525401</v>
      </c>
      <c r="P283" s="161">
        <v>0.63961079169644797</v>
      </c>
      <c r="Q283" s="161">
        <v>3.7049694171735002E-2</v>
      </c>
      <c r="R283" s="161">
        <v>0.33379510132237</v>
      </c>
      <c r="S283" s="161">
        <v>1.39841896961373E-2</v>
      </c>
      <c r="T283" s="161">
        <v>2.3037439667836801</v>
      </c>
      <c r="U283" s="161">
        <v>2.7337846604534599</v>
      </c>
      <c r="V283" s="161">
        <v>0.45731630274569401</v>
      </c>
      <c r="W283" s="161"/>
      <c r="X283" s="58"/>
      <c r="Y283" s="160"/>
      <c r="Z283" s="160"/>
      <c r="AA283" s="160"/>
      <c r="AB283" s="160"/>
      <c r="AC283" s="160"/>
      <c r="AD283" s="162"/>
      <c r="AE283" s="161"/>
    </row>
    <row r="284" spans="1:31" ht="21.2" customHeight="1">
      <c r="A284" s="8" t="s">
        <v>488</v>
      </c>
      <c r="B284" s="158" t="s">
        <v>870</v>
      </c>
      <c r="C284" s="159">
        <v>34</v>
      </c>
      <c r="D284" s="158" t="s">
        <v>847</v>
      </c>
      <c r="E284" s="58">
        <v>78.302499999999995</v>
      </c>
      <c r="F284" s="160">
        <v>15.3075794547175</v>
      </c>
      <c r="G284" s="161">
        <v>0.21269475745320399</v>
      </c>
      <c r="H284" s="161">
        <v>0.23594327417667599</v>
      </c>
      <c r="I284" s="161">
        <v>0.44863803162987897</v>
      </c>
      <c r="J284" s="161">
        <v>2.0183419018835602</v>
      </c>
      <c r="K284" s="161">
        <v>6.6468366836656301E-2</v>
      </c>
      <c r="L284" s="161">
        <v>9.2501401541780007E-2</v>
      </c>
      <c r="M284" s="161">
        <v>2.52495782258627E-5</v>
      </c>
      <c r="N284" s="161">
        <v>4.2189622711949299E-5</v>
      </c>
      <c r="O284" s="161">
        <v>0.33312337573773698</v>
      </c>
      <c r="P284" s="161">
        <v>0.46405107483687102</v>
      </c>
      <c r="Q284" s="161">
        <v>4.9314019047678202E-2</v>
      </c>
      <c r="R284" s="161">
        <v>0.34979763534451302</v>
      </c>
      <c r="S284" s="161">
        <v>3.57072640753512E-2</v>
      </c>
      <c r="T284" s="161">
        <v>0.11509279896904</v>
      </c>
      <c r="U284" s="161">
        <v>0.13264864537537099</v>
      </c>
      <c r="V284" s="161">
        <v>0.46456820849497399</v>
      </c>
      <c r="W284" s="161"/>
      <c r="X284" s="58"/>
      <c r="Y284" s="160"/>
      <c r="Z284" s="160"/>
      <c r="AA284" s="160"/>
      <c r="AB284" s="160"/>
      <c r="AC284" s="160"/>
      <c r="AD284" s="162"/>
      <c r="AE284" s="161"/>
    </row>
    <row r="285" spans="1:31" ht="21.2" customHeight="1">
      <c r="A285" s="8" t="s">
        <v>619</v>
      </c>
      <c r="B285" s="158" t="s">
        <v>881</v>
      </c>
      <c r="C285" s="159">
        <v>24</v>
      </c>
      <c r="D285" s="158" t="s">
        <v>846</v>
      </c>
      <c r="E285" s="58">
        <v>73.375</v>
      </c>
      <c r="F285" s="160">
        <v>14.2358377558798</v>
      </c>
      <c r="G285" s="161">
        <v>0.226794008034617</v>
      </c>
      <c r="H285" s="161">
        <v>0.22150036522041999</v>
      </c>
      <c r="I285" s="161">
        <v>0.44829437325503702</v>
      </c>
      <c r="J285" s="161">
        <v>1.6804445743766101</v>
      </c>
      <c r="K285" s="161">
        <v>7.0705512833937603E-3</v>
      </c>
      <c r="L285" s="161">
        <v>1.7809558697139599E-2</v>
      </c>
      <c r="M285" s="161">
        <v>3.7062649107069598E-3</v>
      </c>
      <c r="N285" s="161">
        <v>7.2530465152114898E-3</v>
      </c>
      <c r="O285" s="161">
        <v>0.51252041705631002</v>
      </c>
      <c r="P285" s="161">
        <v>0.72747493216457904</v>
      </c>
      <c r="Q285" s="161">
        <v>-6.6388336493578906E-2</v>
      </c>
      <c r="R285" s="161">
        <v>0.30052550720036297</v>
      </c>
      <c r="S285" s="161">
        <v>2.6576073834908301E-2</v>
      </c>
      <c r="T285" s="161">
        <v>6.1454683469091202</v>
      </c>
      <c r="U285" s="161">
        <v>5.6566242738595198</v>
      </c>
      <c r="V285" s="161">
        <v>0.52071005917159796</v>
      </c>
      <c r="W285" s="161"/>
      <c r="X285" s="58"/>
      <c r="Y285" s="160"/>
      <c r="Z285" s="160"/>
      <c r="AA285" s="160"/>
      <c r="AB285" s="160"/>
      <c r="AC285" s="160"/>
      <c r="AD285" s="162"/>
      <c r="AE285" s="161"/>
    </row>
    <row r="286" spans="1:31" ht="21.2" customHeight="1">
      <c r="A286" s="8" t="s">
        <v>482</v>
      </c>
      <c r="B286" s="158" t="s">
        <v>892</v>
      </c>
      <c r="C286" s="159">
        <v>24</v>
      </c>
      <c r="D286" s="158" t="s">
        <v>864</v>
      </c>
      <c r="E286" s="58">
        <v>73</v>
      </c>
      <c r="F286" s="160">
        <v>14.1531691711759</v>
      </c>
      <c r="G286" s="161">
        <v>0.23220296147456701</v>
      </c>
      <c r="H286" s="161">
        <v>0.21605144779838401</v>
      </c>
      <c r="I286" s="161">
        <v>0.44825440927295102</v>
      </c>
      <c r="J286" s="161">
        <v>1.83678815903602</v>
      </c>
      <c r="K286" s="161">
        <v>5.1835863376803001E-2</v>
      </c>
      <c r="L286" s="161">
        <v>0.114366972721568</v>
      </c>
      <c r="M286" s="161">
        <v>7.5603212145542104E-4</v>
      </c>
      <c r="N286" s="161">
        <v>1.5096779362231999E-3</v>
      </c>
      <c r="O286" s="161">
        <v>0.69884558765029903</v>
      </c>
      <c r="P286" s="161">
        <v>1.73816662426561</v>
      </c>
      <c r="Q286" s="161">
        <v>6.9705271237885703E-3</v>
      </c>
      <c r="R286" s="161">
        <v>0.23603896085583401</v>
      </c>
      <c r="S286" s="161">
        <v>3.2638674933766001E-2</v>
      </c>
      <c r="T286" s="161">
        <v>2.1147789242712801E-2</v>
      </c>
      <c r="U286" s="161">
        <v>0.13544757067475899</v>
      </c>
      <c r="V286" s="161">
        <v>0.135047355514608</v>
      </c>
      <c r="W286" s="161"/>
      <c r="X286" s="58"/>
      <c r="Y286" s="160"/>
      <c r="Z286" s="160"/>
      <c r="AA286" s="160"/>
      <c r="AB286" s="160"/>
      <c r="AC286" s="160"/>
      <c r="AD286" s="162"/>
      <c r="AE286" s="161"/>
    </row>
    <row r="287" spans="1:31" ht="21.2" customHeight="1">
      <c r="A287" s="8" t="s">
        <v>267</v>
      </c>
      <c r="B287" s="158" t="s">
        <v>885</v>
      </c>
      <c r="C287" s="159">
        <v>29</v>
      </c>
      <c r="D287" s="158" t="s">
        <v>849</v>
      </c>
      <c r="E287" s="58">
        <v>80.8</v>
      </c>
      <c r="F287" s="160">
        <v>20.613531413824902</v>
      </c>
      <c r="G287" s="161">
        <v>7.3132894643654398E-2</v>
      </c>
      <c r="H287" s="161">
        <v>0.37448208069264499</v>
      </c>
      <c r="I287" s="161">
        <v>0.44761497533630001</v>
      </c>
      <c r="J287" s="161">
        <v>2.0909884750184302</v>
      </c>
      <c r="K287" s="161">
        <v>9.80094762228996E-3</v>
      </c>
      <c r="L287" s="161">
        <v>7.6942905829936098E-2</v>
      </c>
      <c r="M287" s="161">
        <v>2.2739463834416098E-3</v>
      </c>
      <c r="N287" s="161">
        <v>1.12475695678996E-2</v>
      </c>
      <c r="O287" s="161">
        <v>1.5191759018925499</v>
      </c>
      <c r="P287" s="161">
        <v>2.1003808622040099</v>
      </c>
      <c r="Q287" s="161">
        <v>6.5650505589047101E-2</v>
      </c>
      <c r="R287" s="161">
        <v>0.55193900740011104</v>
      </c>
      <c r="S287" s="161">
        <v>1.2220378716823001E-2</v>
      </c>
      <c r="T287" s="161">
        <v>0</v>
      </c>
      <c r="U287" s="161">
        <v>0</v>
      </c>
      <c r="V287" s="161">
        <v>0</v>
      </c>
      <c r="W287" s="161"/>
      <c r="X287" s="58"/>
      <c r="Y287" s="160"/>
      <c r="Z287" s="160"/>
      <c r="AA287" s="160"/>
      <c r="AB287" s="160"/>
      <c r="AC287" s="160"/>
      <c r="AD287" s="162"/>
      <c r="AE287" s="161"/>
    </row>
    <row r="288" spans="1:31" ht="21.2" customHeight="1">
      <c r="A288" s="8" t="s">
        <v>339</v>
      </c>
      <c r="B288" s="158" t="s">
        <v>887</v>
      </c>
      <c r="C288" s="159">
        <v>19</v>
      </c>
      <c r="D288" s="158" t="s">
        <v>849</v>
      </c>
      <c r="E288" s="58">
        <v>66</v>
      </c>
      <c r="F288" s="160">
        <v>19</v>
      </c>
      <c r="G288" s="161">
        <v>0.10476585020833</v>
      </c>
      <c r="H288" s="161">
        <v>0.342021573182063</v>
      </c>
      <c r="I288" s="161">
        <v>0.44678742339039401</v>
      </c>
      <c r="J288" s="161">
        <v>1.8333019177525101</v>
      </c>
      <c r="K288" s="161">
        <v>2.1889155692978501E-2</v>
      </c>
      <c r="L288" s="161">
        <v>9.3349115697620999E-2</v>
      </c>
      <c r="M288" s="161">
        <v>0</v>
      </c>
      <c r="N288" s="161">
        <v>0</v>
      </c>
      <c r="O288" s="161">
        <v>1.24512195121951</v>
      </c>
      <c r="P288" s="161">
        <v>1.2485853658536601</v>
      </c>
      <c r="Q288" s="161">
        <v>7.9268292682926796E-3</v>
      </c>
      <c r="R288" s="161">
        <v>0.42146341463414599</v>
      </c>
      <c r="S288" s="161">
        <v>1.00431713876556E-2</v>
      </c>
      <c r="T288" s="161">
        <v>0</v>
      </c>
      <c r="U288" s="161">
        <v>0</v>
      </c>
      <c r="V288" s="161">
        <v>0</v>
      </c>
      <c r="W288" s="161"/>
      <c r="X288" s="58"/>
      <c r="Y288" s="161"/>
      <c r="Z288" s="161"/>
      <c r="AA288" s="161"/>
      <c r="AB288" s="161"/>
      <c r="AC288" s="160"/>
      <c r="AD288" s="162"/>
      <c r="AE288" s="161"/>
    </row>
    <row r="289" spans="1:31" ht="21.2" customHeight="1">
      <c r="A289" s="8" t="s">
        <v>592</v>
      </c>
      <c r="B289" s="158" t="s">
        <v>894</v>
      </c>
      <c r="C289" s="159">
        <v>27</v>
      </c>
      <c r="D289" s="158" t="s">
        <v>860</v>
      </c>
      <c r="E289" s="58">
        <v>75.260000000000005</v>
      </c>
      <c r="F289" s="160">
        <v>15.5573909713075</v>
      </c>
      <c r="G289" s="161">
        <v>0.17124102699615101</v>
      </c>
      <c r="H289" s="161">
        <v>0.26842666493078399</v>
      </c>
      <c r="I289" s="161">
        <v>0.439667691926935</v>
      </c>
      <c r="J289" s="161">
        <v>1.2576590638077201</v>
      </c>
      <c r="K289" s="161">
        <v>1.08996413992803E-2</v>
      </c>
      <c r="L289" s="161">
        <v>3.00841251002677E-2</v>
      </c>
      <c r="M289" s="161">
        <v>8.9842472104189296E-3</v>
      </c>
      <c r="N289" s="161">
        <v>1.0923475246476E-2</v>
      </c>
      <c r="O289" s="161">
        <v>0.88278123579577406</v>
      </c>
      <c r="P289" s="161">
        <v>0.421269051089251</v>
      </c>
      <c r="Q289" s="161">
        <v>-0.108369868118666</v>
      </c>
      <c r="R289" s="161">
        <v>0.19669103563944099</v>
      </c>
      <c r="S289" s="161">
        <v>1.7542292908910701E-2</v>
      </c>
      <c r="T289" s="161">
        <v>7.4530734099359401</v>
      </c>
      <c r="U289" s="161">
        <v>6.4682792085977203</v>
      </c>
      <c r="V289" s="161">
        <v>0.535369918007362</v>
      </c>
      <c r="W289" s="161"/>
      <c r="X289" s="58"/>
      <c r="Y289" s="160"/>
      <c r="Z289" s="160"/>
      <c r="AA289" s="160"/>
      <c r="AB289" s="160"/>
      <c r="AC289" s="160"/>
      <c r="AD289" s="162"/>
      <c r="AE289" s="161"/>
    </row>
    <row r="290" spans="1:31" ht="21.2" customHeight="1">
      <c r="A290" s="8" t="s">
        <v>581</v>
      </c>
      <c r="B290" s="158" t="s">
        <v>892</v>
      </c>
      <c r="C290" s="159">
        <v>28</v>
      </c>
      <c r="D290" s="158" t="s">
        <v>846</v>
      </c>
      <c r="E290" s="58">
        <v>81.754999999999995</v>
      </c>
      <c r="F290" s="160">
        <v>17.704137305832401</v>
      </c>
      <c r="G290" s="161">
        <v>0.160493593102363</v>
      </c>
      <c r="H290" s="161">
        <v>0.278526184810094</v>
      </c>
      <c r="I290" s="161">
        <v>0.439019777912457</v>
      </c>
      <c r="J290" s="161">
        <v>1.2278399133437601</v>
      </c>
      <c r="K290" s="161">
        <v>3.5206124927530502E-2</v>
      </c>
      <c r="L290" s="161">
        <v>8.6148080268315996E-2</v>
      </c>
      <c r="M290" s="161">
        <v>2.71549470378998E-3</v>
      </c>
      <c r="N290" s="161">
        <v>7.5198754094083498E-3</v>
      </c>
      <c r="O290" s="161">
        <v>0.69437538008621502</v>
      </c>
      <c r="P290" s="161">
        <v>0.57999666739599598</v>
      </c>
      <c r="Q290" s="161">
        <v>-1.4820300037593E-2</v>
      </c>
      <c r="R290" s="161">
        <v>0.28094220132595399</v>
      </c>
      <c r="S290" s="161">
        <v>2.2559136115039999E-2</v>
      </c>
      <c r="T290" s="161">
        <v>7.22475980369427</v>
      </c>
      <c r="U290" s="161">
        <v>8.2697989406524002</v>
      </c>
      <c r="V290" s="161">
        <v>0.46627722175891501</v>
      </c>
      <c r="W290" s="161"/>
      <c r="X290" s="58"/>
      <c r="Y290" s="160"/>
      <c r="Z290" s="160"/>
      <c r="AA290" s="160"/>
      <c r="AB290" s="160"/>
      <c r="AC290" s="160"/>
      <c r="AD290" s="162"/>
      <c r="AE290" s="161"/>
    </row>
    <row r="291" spans="1:31" ht="21.2" customHeight="1">
      <c r="A291" s="8" t="s">
        <v>611</v>
      </c>
      <c r="B291" s="158" t="s">
        <v>886</v>
      </c>
      <c r="C291" s="159">
        <v>22</v>
      </c>
      <c r="D291" s="158" t="s">
        <v>847</v>
      </c>
      <c r="E291" s="58">
        <v>67.45</v>
      </c>
      <c r="F291" s="160">
        <v>13.4822938528963</v>
      </c>
      <c r="G291" s="161">
        <v>0.24670161451877301</v>
      </c>
      <c r="H291" s="161">
        <v>0.191433265183024</v>
      </c>
      <c r="I291" s="161">
        <v>0.43813487970179799</v>
      </c>
      <c r="J291" s="161">
        <v>1.7668262468009099</v>
      </c>
      <c r="K291" s="161">
        <v>2.5287933765302001E-2</v>
      </c>
      <c r="L291" s="161">
        <v>4.6223716684936203E-2</v>
      </c>
      <c r="M291" s="161">
        <v>1.45346058768382E-5</v>
      </c>
      <c r="N291" s="161">
        <v>2.8909248587859299E-5</v>
      </c>
      <c r="O291" s="161">
        <v>0.46963335863206501</v>
      </c>
      <c r="P291" s="161">
        <v>0.60343088748027796</v>
      </c>
      <c r="Q291" s="161">
        <v>6.3414541703613395E-2</v>
      </c>
      <c r="R291" s="161">
        <v>0.35253919377299803</v>
      </c>
      <c r="S291" s="161">
        <v>4.0317775006197001E-2</v>
      </c>
      <c r="T291" s="161">
        <v>0</v>
      </c>
      <c r="U291" s="161">
        <v>5.2089973437118998E-2</v>
      </c>
      <c r="V291" s="161">
        <v>0</v>
      </c>
      <c r="W291" s="161"/>
      <c r="X291" s="58"/>
      <c r="Y291" s="160"/>
      <c r="Z291" s="160"/>
      <c r="AA291" s="160"/>
      <c r="AB291" s="160"/>
      <c r="AC291" s="160"/>
      <c r="AD291" s="162"/>
      <c r="AE291" s="161"/>
    </row>
    <row r="292" spans="1:31" ht="21.2" customHeight="1">
      <c r="A292" s="8" t="s">
        <v>750</v>
      </c>
      <c r="B292" s="158" t="s">
        <v>885</v>
      </c>
      <c r="C292" s="159">
        <v>22</v>
      </c>
      <c r="D292" s="158" t="s">
        <v>860</v>
      </c>
      <c r="E292" s="58">
        <v>41</v>
      </c>
      <c r="F292" s="160">
        <v>14.563637588937301</v>
      </c>
      <c r="G292" s="161">
        <v>0.18441282157397301</v>
      </c>
      <c r="H292" s="161">
        <v>0.253204645989901</v>
      </c>
      <c r="I292" s="161">
        <v>0.43761746756387399</v>
      </c>
      <c r="J292" s="161">
        <v>1.7087626303646499</v>
      </c>
      <c r="K292" s="161">
        <v>5.37634588372898E-2</v>
      </c>
      <c r="L292" s="161">
        <v>9.5785139764165902E-2</v>
      </c>
      <c r="M292" s="161">
        <v>1.4388265819064301E-4</v>
      </c>
      <c r="N292" s="161">
        <v>2.7555113331335202E-4</v>
      </c>
      <c r="O292" s="161">
        <v>0.51971622222221203</v>
      </c>
      <c r="P292" s="161">
        <v>0.93971665153769501</v>
      </c>
      <c r="Q292" s="161">
        <v>2.0477127386088499E-2</v>
      </c>
      <c r="R292" s="161">
        <v>0.26063835543101499</v>
      </c>
      <c r="S292" s="161">
        <v>3.0815059773754101E-2</v>
      </c>
      <c r="T292" s="161">
        <v>8.5560247856753494E-2</v>
      </c>
      <c r="U292" s="161">
        <v>0.25668074357026099</v>
      </c>
      <c r="V292" s="161">
        <v>0.25</v>
      </c>
      <c r="W292" s="161"/>
      <c r="X292" s="58"/>
      <c r="Y292" s="160"/>
      <c r="Z292" s="160"/>
      <c r="AA292" s="160"/>
      <c r="AB292" s="160"/>
      <c r="AC292" s="160"/>
      <c r="AD292" s="162"/>
      <c r="AE292" s="161"/>
    </row>
    <row r="293" spans="1:31" ht="21.2" customHeight="1">
      <c r="A293" s="8" t="s">
        <v>548</v>
      </c>
      <c r="B293" s="158" t="s">
        <v>893</v>
      </c>
      <c r="C293" s="159">
        <v>27</v>
      </c>
      <c r="D293" s="158" t="s">
        <v>848</v>
      </c>
      <c r="E293" s="58">
        <v>71.721071428571406</v>
      </c>
      <c r="F293" s="160">
        <v>14.3090425424712</v>
      </c>
      <c r="G293" s="161">
        <v>0.19348332807049401</v>
      </c>
      <c r="H293" s="161">
        <v>0.24412079885066301</v>
      </c>
      <c r="I293" s="161">
        <v>0.43760412692115702</v>
      </c>
      <c r="J293" s="161">
        <v>1.72099737078856</v>
      </c>
      <c r="K293" s="161">
        <v>2.4060889690802899E-2</v>
      </c>
      <c r="L293" s="161">
        <v>5.9080533773725699E-2</v>
      </c>
      <c r="M293" s="161">
        <v>7.0672840074190697E-6</v>
      </c>
      <c r="N293" s="161">
        <v>1.3367567340165999E-5</v>
      </c>
      <c r="O293" s="161">
        <v>0.37610882782359101</v>
      </c>
      <c r="P293" s="161">
        <v>1.0293869699622999</v>
      </c>
      <c r="Q293" s="161">
        <v>6.5640272909337303E-3</v>
      </c>
      <c r="R293" s="161">
        <v>0.44763199129424402</v>
      </c>
      <c r="S293" s="161">
        <v>2.4022068564935401E-2</v>
      </c>
      <c r="T293" s="161">
        <v>3.3920187081285399E-2</v>
      </c>
      <c r="U293" s="161">
        <v>6.0489497559760901E-2</v>
      </c>
      <c r="V293" s="161">
        <v>0.35928715587021398</v>
      </c>
      <c r="W293" s="161"/>
      <c r="X293" s="58"/>
      <c r="Y293" s="160"/>
      <c r="Z293" s="160"/>
      <c r="AA293" s="160"/>
      <c r="AB293" s="160"/>
      <c r="AC293" s="160"/>
      <c r="AD293" s="162"/>
      <c r="AE293" s="161"/>
    </row>
    <row r="294" spans="1:31" ht="21.2" customHeight="1">
      <c r="A294" s="8" t="s">
        <v>524</v>
      </c>
      <c r="B294" s="158" t="s">
        <v>868</v>
      </c>
      <c r="C294" s="159">
        <v>32</v>
      </c>
      <c r="D294" s="158" t="s">
        <v>860</v>
      </c>
      <c r="E294" s="58">
        <v>80.392857142857096</v>
      </c>
      <c r="F294" s="160">
        <v>15.2022447143314</v>
      </c>
      <c r="G294" s="161">
        <v>0.16505562467668899</v>
      </c>
      <c r="H294" s="161">
        <v>0.27201972106545602</v>
      </c>
      <c r="I294" s="161">
        <v>0.43707534574214502</v>
      </c>
      <c r="J294" s="161">
        <v>1.7281621130167699</v>
      </c>
      <c r="K294" s="161">
        <v>9.2751623833816008E-3</v>
      </c>
      <c r="L294" s="161">
        <v>2.6879157240037699E-2</v>
      </c>
      <c r="M294" s="161">
        <v>2.11184780190216E-2</v>
      </c>
      <c r="N294" s="161">
        <v>2.7859093921573298E-2</v>
      </c>
      <c r="O294" s="161">
        <v>0.58449924282403398</v>
      </c>
      <c r="P294" s="161">
        <v>1.1997097412831601</v>
      </c>
      <c r="Q294" s="161">
        <v>1.07014549008422E-2</v>
      </c>
      <c r="R294" s="161">
        <v>0.48803732581367898</v>
      </c>
      <c r="S294" s="161">
        <v>2.4259542467043E-2</v>
      </c>
      <c r="T294" s="161">
        <v>6.2768232678445504</v>
      </c>
      <c r="U294" s="161">
        <v>5.2918995490313501</v>
      </c>
      <c r="V294" s="161">
        <v>0.54256838608737501</v>
      </c>
      <c r="W294" s="161"/>
      <c r="X294" s="58"/>
      <c r="Y294" s="160"/>
      <c r="Z294" s="160"/>
      <c r="AA294" s="160"/>
      <c r="AB294" s="160"/>
      <c r="AC294" s="160"/>
      <c r="AD294" s="162"/>
      <c r="AE294" s="161"/>
    </row>
    <row r="295" spans="1:31" ht="21.2" customHeight="1">
      <c r="A295" s="8" t="s">
        <v>531</v>
      </c>
      <c r="B295" s="158" t="s">
        <v>872</v>
      </c>
      <c r="C295" s="163">
        <v>21</v>
      </c>
      <c r="D295" s="158" t="s">
        <v>864</v>
      </c>
      <c r="E295" s="58">
        <v>76.7</v>
      </c>
      <c r="F295" s="160">
        <v>13.5183494978545</v>
      </c>
      <c r="G295" s="161">
        <v>0.17068091103779401</v>
      </c>
      <c r="H295" s="161">
        <v>0.26604534319325901</v>
      </c>
      <c r="I295" s="161">
        <v>0.43672625423105199</v>
      </c>
      <c r="J295" s="161">
        <v>1.65281300767423</v>
      </c>
      <c r="K295" s="161">
        <v>2.6614331316886598E-2</v>
      </c>
      <c r="L295" s="161">
        <v>6.4007635187464398E-2</v>
      </c>
      <c r="M295" s="161">
        <v>5.4395291013511105E-4</v>
      </c>
      <c r="N295" s="161">
        <v>1.11161432413014E-3</v>
      </c>
      <c r="O295" s="161">
        <v>0.196329855892074</v>
      </c>
      <c r="P295" s="161">
        <v>0.40119970894356699</v>
      </c>
      <c r="Q295" s="161">
        <v>-3.56570243059013E-2</v>
      </c>
      <c r="R295" s="161">
        <v>0.33203297541592702</v>
      </c>
      <c r="S295" s="161">
        <v>2.1850409194867401E-2</v>
      </c>
      <c r="T295" s="161">
        <v>6.2331606747193902E-2</v>
      </c>
      <c r="U295" s="161">
        <v>5.2721317329292597E-2</v>
      </c>
      <c r="V295" s="161">
        <v>0.541764646553061</v>
      </c>
      <c r="W295" s="161"/>
      <c r="X295" s="58"/>
      <c r="Y295" s="160"/>
      <c r="Z295" s="160"/>
      <c r="AA295" s="160"/>
      <c r="AB295" s="160"/>
      <c r="AC295" s="160"/>
      <c r="AD295" s="162"/>
      <c r="AE295" s="161"/>
    </row>
    <row r="296" spans="1:31" ht="21.2" customHeight="1">
      <c r="A296" s="8" t="s">
        <v>535</v>
      </c>
      <c r="B296" s="158" t="s">
        <v>867</v>
      </c>
      <c r="C296" s="163">
        <v>32</v>
      </c>
      <c r="D296" s="158" t="s">
        <v>860</v>
      </c>
      <c r="E296" s="58">
        <v>76.958928571428601</v>
      </c>
      <c r="F296" s="160">
        <v>16.187360942794601</v>
      </c>
      <c r="G296" s="161">
        <v>0.17363788419110099</v>
      </c>
      <c r="H296" s="161">
        <v>0.26277441263415502</v>
      </c>
      <c r="I296" s="161">
        <v>0.43641229682525601</v>
      </c>
      <c r="J296" s="161">
        <v>1.6430951567427601</v>
      </c>
      <c r="K296" s="161">
        <v>3.1278500672849402E-2</v>
      </c>
      <c r="L296" s="161">
        <v>0.108098755446852</v>
      </c>
      <c r="M296" s="161">
        <v>8.6532537561636695E-3</v>
      </c>
      <c r="N296" s="161">
        <v>8.8544554545866207E-3</v>
      </c>
      <c r="O296" s="161">
        <v>0.353450880024618</v>
      </c>
      <c r="P296" s="161">
        <v>0.42149740739295</v>
      </c>
      <c r="Q296" s="161">
        <v>2.8348963355668898E-2</v>
      </c>
      <c r="R296" s="161">
        <v>0.146485899402928</v>
      </c>
      <c r="S296" s="161">
        <v>2.7882149044426E-2</v>
      </c>
      <c r="T296" s="161">
        <v>0.37033739630763701</v>
      </c>
      <c r="U296" s="161">
        <v>0.50078048452400004</v>
      </c>
      <c r="V296" s="161">
        <v>0.42512891131804598</v>
      </c>
      <c r="W296" s="161"/>
      <c r="X296" s="58"/>
      <c r="Y296" s="160"/>
      <c r="Z296" s="160"/>
      <c r="AA296" s="160"/>
      <c r="AB296" s="160"/>
      <c r="AC296" s="160"/>
      <c r="AD296" s="162"/>
      <c r="AE296" s="161"/>
    </row>
    <row r="297" spans="1:31" ht="21.2" customHeight="1">
      <c r="A297" s="8" t="s">
        <v>568</v>
      </c>
      <c r="B297" s="158" t="s">
        <v>863</v>
      </c>
      <c r="C297" s="163">
        <v>24</v>
      </c>
      <c r="D297" s="158" t="s">
        <v>860</v>
      </c>
      <c r="E297" s="58">
        <v>79.722857142857094</v>
      </c>
      <c r="F297" s="160">
        <v>14.9668237148669</v>
      </c>
      <c r="G297" s="161">
        <v>0.16873072884007301</v>
      </c>
      <c r="H297" s="161">
        <v>0.267443796799746</v>
      </c>
      <c r="I297" s="161">
        <v>0.43617452563982001</v>
      </c>
      <c r="J297" s="161">
        <v>1.41583210624455</v>
      </c>
      <c r="K297" s="161">
        <v>9.8907032962586693E-3</v>
      </c>
      <c r="L297" s="161">
        <v>2.6329555095358701E-2</v>
      </c>
      <c r="M297" s="161">
        <v>9.1476263752172608E-3</v>
      </c>
      <c r="N297" s="161">
        <v>1.6221005430806699E-2</v>
      </c>
      <c r="O297" s="161">
        <v>0.61164605322263699</v>
      </c>
      <c r="P297" s="161">
        <v>0.96099231939645702</v>
      </c>
      <c r="Q297" s="161">
        <v>5.73142967025599E-2</v>
      </c>
      <c r="R297" s="161">
        <v>0.291704796482879</v>
      </c>
      <c r="S297" s="161">
        <v>2.4204807923992201E-2</v>
      </c>
      <c r="T297" s="161">
        <v>2.5440222070738301</v>
      </c>
      <c r="U297" s="161">
        <v>3.5049383228939099</v>
      </c>
      <c r="V297" s="161">
        <v>0.42057179815775603</v>
      </c>
      <c r="W297" s="161"/>
      <c r="X297" s="58"/>
      <c r="Y297" s="160"/>
      <c r="Z297" s="160"/>
      <c r="AA297" s="160"/>
      <c r="AB297" s="160"/>
      <c r="AC297" s="160"/>
      <c r="AD297" s="162"/>
      <c r="AE297" s="161"/>
    </row>
    <row r="298" spans="1:31" ht="21.2" customHeight="1">
      <c r="A298" s="8" t="s">
        <v>289</v>
      </c>
      <c r="B298" s="158" t="s">
        <v>875</v>
      </c>
      <c r="C298" s="159">
        <v>29</v>
      </c>
      <c r="D298" s="158" t="s">
        <v>849</v>
      </c>
      <c r="E298" s="58">
        <v>81.577500000000001</v>
      </c>
      <c r="F298" s="160">
        <v>20.9404606966404</v>
      </c>
      <c r="G298" s="161">
        <v>9.2622873383600396E-2</v>
      </c>
      <c r="H298" s="161">
        <v>0.34305170841532401</v>
      </c>
      <c r="I298" s="161">
        <v>0.43567458179892399</v>
      </c>
      <c r="J298" s="161">
        <v>1.5262812399849599</v>
      </c>
      <c r="K298" s="161">
        <v>2.1241742292830101E-2</v>
      </c>
      <c r="L298" s="161">
        <v>8.6479291980193204E-2</v>
      </c>
      <c r="M298" s="161">
        <v>3.2967728432733399E-3</v>
      </c>
      <c r="N298" s="161">
        <v>6.7365040701547699E-3</v>
      </c>
      <c r="O298" s="161">
        <v>1.3349735214060601</v>
      </c>
      <c r="P298" s="161">
        <v>0.79727801701385204</v>
      </c>
      <c r="Q298" s="161">
        <v>-3.3571906147647101E-2</v>
      </c>
      <c r="R298" s="161">
        <v>0.50781920483997001</v>
      </c>
      <c r="S298" s="161">
        <v>9.9251786088811796E-3</v>
      </c>
      <c r="T298" s="161">
        <v>0</v>
      </c>
      <c r="U298" s="161">
        <v>0</v>
      </c>
      <c r="V298" s="161">
        <v>0</v>
      </c>
      <c r="W298" s="161"/>
      <c r="X298" s="58"/>
      <c r="Y298" s="160"/>
      <c r="Z298" s="160"/>
      <c r="AA298" s="160"/>
      <c r="AB298" s="160"/>
      <c r="AC298" s="160"/>
      <c r="AD298" s="162"/>
      <c r="AE298" s="161"/>
    </row>
    <row r="299" spans="1:31" ht="21.2" customHeight="1">
      <c r="A299" s="8" t="s">
        <v>508</v>
      </c>
      <c r="B299" s="158" t="s">
        <v>862</v>
      </c>
      <c r="C299" s="159">
        <v>28</v>
      </c>
      <c r="D299" s="158" t="s">
        <v>860</v>
      </c>
      <c r="E299" s="58">
        <v>81.400000000000006</v>
      </c>
      <c r="F299" s="160">
        <v>16.317860285823201</v>
      </c>
      <c r="G299" s="161">
        <v>0.20613075188193999</v>
      </c>
      <c r="H299" s="161">
        <v>0.22662126345650899</v>
      </c>
      <c r="I299" s="161">
        <v>0.43275201533844898</v>
      </c>
      <c r="J299" s="161">
        <v>1.73140866862184</v>
      </c>
      <c r="K299" s="161">
        <v>5.02548548659787E-2</v>
      </c>
      <c r="L299" s="161">
        <v>7.0911221444300898E-2</v>
      </c>
      <c r="M299" s="161">
        <v>4.9503371538858502E-3</v>
      </c>
      <c r="N299" s="161">
        <v>1.3481272384672401E-2</v>
      </c>
      <c r="O299" s="161">
        <v>0.58254479040785501</v>
      </c>
      <c r="P299" s="161">
        <v>1.3111213035940701</v>
      </c>
      <c r="Q299" s="161">
        <v>-2.8420762557066501E-3</v>
      </c>
      <c r="R299" s="161">
        <v>0.387657351699984</v>
      </c>
      <c r="S299" s="161">
        <v>3.2259537546648002E-2</v>
      </c>
      <c r="T299" s="161">
        <v>5.7502785673050099</v>
      </c>
      <c r="U299" s="161">
        <v>5.2647317044562598</v>
      </c>
      <c r="V299" s="161">
        <v>0.52204023649862297</v>
      </c>
      <c r="W299" s="161"/>
      <c r="X299" s="58"/>
      <c r="Y299" s="160"/>
      <c r="Z299" s="160"/>
      <c r="AA299" s="160"/>
      <c r="AB299" s="160"/>
      <c r="AC299" s="160"/>
      <c r="AD299" s="162"/>
      <c r="AE299" s="161"/>
    </row>
    <row r="300" spans="1:31" ht="21.2" customHeight="1">
      <c r="A300" s="8" t="s">
        <v>279</v>
      </c>
      <c r="B300" s="158" t="s">
        <v>877</v>
      </c>
      <c r="C300" s="159">
        <v>28</v>
      </c>
      <c r="D300" s="158" t="s">
        <v>849</v>
      </c>
      <c r="E300" s="58">
        <v>81.049642857142899</v>
      </c>
      <c r="F300" s="160">
        <v>21.7701031971798</v>
      </c>
      <c r="G300" s="161">
        <v>7.7405661488179997E-2</v>
      </c>
      <c r="H300" s="161">
        <v>0.35513987283971499</v>
      </c>
      <c r="I300" s="161">
        <v>0.432545534327895</v>
      </c>
      <c r="J300" s="161">
        <v>1.7338559991893701</v>
      </c>
      <c r="K300" s="161">
        <v>1.2594925248600401E-2</v>
      </c>
      <c r="L300" s="161">
        <v>8.4930362924720199E-2</v>
      </c>
      <c r="M300" s="161">
        <v>3.0248229430182198E-4</v>
      </c>
      <c r="N300" s="161">
        <v>8.3343065366767808E-3</v>
      </c>
      <c r="O300" s="161">
        <v>1.5258762516070401</v>
      </c>
      <c r="P300" s="161">
        <v>2.0810523162701999</v>
      </c>
      <c r="Q300" s="161">
        <v>-6.2114740065785396E-3</v>
      </c>
      <c r="R300" s="161">
        <v>0.53070584997105097</v>
      </c>
      <c r="S300" s="161">
        <v>1.20755422829944E-2</v>
      </c>
      <c r="T300" s="161">
        <v>0</v>
      </c>
      <c r="U300" s="161">
        <v>0</v>
      </c>
      <c r="V300" s="161">
        <v>0</v>
      </c>
      <c r="W300" s="161"/>
      <c r="X300" s="58"/>
      <c r="Y300" s="160"/>
      <c r="Z300" s="160"/>
      <c r="AA300" s="160"/>
      <c r="AB300" s="160"/>
      <c r="AC300" s="160"/>
      <c r="AD300" s="162"/>
      <c r="AE300" s="161"/>
    </row>
    <row r="301" spans="1:31" ht="21.2" customHeight="1">
      <c r="A301" s="8" t="s">
        <v>326</v>
      </c>
      <c r="B301" s="158" t="s">
        <v>878</v>
      </c>
      <c r="C301" s="159">
        <v>23</v>
      </c>
      <c r="D301" s="158" t="s">
        <v>849</v>
      </c>
      <c r="E301" s="58">
        <v>77.517499999999998</v>
      </c>
      <c r="F301" s="160">
        <v>22.409793154380399</v>
      </c>
      <c r="G301" s="161">
        <v>9.9912368466525903E-2</v>
      </c>
      <c r="H301" s="161">
        <v>0.33238064093685099</v>
      </c>
      <c r="I301" s="161">
        <v>0.432293009403377</v>
      </c>
      <c r="J301" s="161">
        <v>1.12596665093993</v>
      </c>
      <c r="K301" s="161">
        <v>2.6975367710400901E-2</v>
      </c>
      <c r="L301" s="161">
        <v>9.3754312971917095E-2</v>
      </c>
      <c r="M301" s="161">
        <v>9.4987580610178199E-4</v>
      </c>
      <c r="N301" s="161">
        <v>6.4466703331235199E-3</v>
      </c>
      <c r="O301" s="161">
        <v>1.6187948224988</v>
      </c>
      <c r="P301" s="161">
        <v>1.1134469998612799</v>
      </c>
      <c r="Q301" s="161">
        <v>-6.4168878902482102E-2</v>
      </c>
      <c r="R301" s="161">
        <v>0.47436152826260197</v>
      </c>
      <c r="S301" s="161">
        <v>1.2608600988086799E-2</v>
      </c>
      <c r="T301" s="161">
        <v>0</v>
      </c>
      <c r="U301" s="161">
        <v>0</v>
      </c>
      <c r="V301" s="161">
        <v>0</v>
      </c>
      <c r="W301" s="161"/>
      <c r="X301" s="58"/>
      <c r="Y301" s="160"/>
      <c r="Z301" s="160"/>
      <c r="AA301" s="160"/>
      <c r="AB301" s="160"/>
      <c r="AC301" s="160"/>
      <c r="AD301" s="162"/>
      <c r="AE301" s="161"/>
    </row>
    <row r="302" spans="1:31" ht="21.2" customHeight="1">
      <c r="A302" s="8" t="s">
        <v>315</v>
      </c>
      <c r="B302" s="158" t="s">
        <v>861</v>
      </c>
      <c r="C302" s="159">
        <v>25</v>
      </c>
      <c r="D302" s="158" t="s">
        <v>849</v>
      </c>
      <c r="E302" s="58">
        <v>77.731071428571397</v>
      </c>
      <c r="F302" s="160">
        <v>20.311455675405298</v>
      </c>
      <c r="G302" s="161">
        <v>7.7459735462924506E-2</v>
      </c>
      <c r="H302" s="161">
        <v>0.35446186523245699</v>
      </c>
      <c r="I302" s="161">
        <v>0.43192160069538199</v>
      </c>
      <c r="J302" s="161">
        <v>1.3796749664862</v>
      </c>
      <c r="K302" s="161">
        <v>3.8219935972364301E-3</v>
      </c>
      <c r="L302" s="161">
        <v>5.6376857543537801E-2</v>
      </c>
      <c r="M302" s="161">
        <v>5.4347784561552996E-4</v>
      </c>
      <c r="N302" s="161">
        <v>9.2949023218602007E-3</v>
      </c>
      <c r="O302" s="161">
        <v>1.43756618536799</v>
      </c>
      <c r="P302" s="161">
        <v>0.99863786292735701</v>
      </c>
      <c r="Q302" s="161">
        <v>3.7537683311713498E-2</v>
      </c>
      <c r="R302" s="161">
        <v>0.281260120541307</v>
      </c>
      <c r="S302" s="161">
        <v>1.22552972159205E-2</v>
      </c>
      <c r="T302" s="161">
        <v>0</v>
      </c>
      <c r="U302" s="161">
        <v>0</v>
      </c>
      <c r="V302" s="161">
        <v>0</v>
      </c>
      <c r="W302" s="161"/>
      <c r="X302" s="58"/>
      <c r="Y302" s="160"/>
      <c r="Z302" s="160"/>
      <c r="AA302" s="160"/>
      <c r="AB302" s="160"/>
      <c r="AC302" s="160"/>
      <c r="AD302" s="162"/>
      <c r="AE302" s="161"/>
    </row>
    <row r="303" spans="1:31" ht="21.2" customHeight="1">
      <c r="A303" s="8" t="s">
        <v>557</v>
      </c>
      <c r="B303" s="158" t="s">
        <v>882</v>
      </c>
      <c r="C303" s="159">
        <v>28</v>
      </c>
      <c r="D303" s="158" t="s">
        <v>848</v>
      </c>
      <c r="E303" s="58">
        <v>72.099999999999994</v>
      </c>
      <c r="F303" s="160">
        <v>14.067539616892301</v>
      </c>
      <c r="G303" s="161">
        <v>0.18032938262356801</v>
      </c>
      <c r="H303" s="161">
        <v>0.25060297909307599</v>
      </c>
      <c r="I303" s="161">
        <v>0.43093236171664401</v>
      </c>
      <c r="J303" s="161">
        <v>1.79324282871601</v>
      </c>
      <c r="K303" s="161">
        <v>1.08249353070046E-2</v>
      </c>
      <c r="L303" s="161">
        <v>2.5431270792069499E-2</v>
      </c>
      <c r="M303" s="161">
        <v>7.2939452650481998E-5</v>
      </c>
      <c r="N303" s="161">
        <v>1.3389959642923999E-4</v>
      </c>
      <c r="O303" s="161">
        <v>0.390709135681235</v>
      </c>
      <c r="P303" s="161">
        <v>1.0474583477552399</v>
      </c>
      <c r="Q303" s="161">
        <v>-2.8582955500677201E-2</v>
      </c>
      <c r="R303" s="161">
        <v>0.39143022924183501</v>
      </c>
      <c r="S303" s="161">
        <v>2.21815756063071E-2</v>
      </c>
      <c r="T303" s="161">
        <v>0.160151060437391</v>
      </c>
      <c r="U303" s="161">
        <v>0.12914377379547201</v>
      </c>
      <c r="V303" s="161">
        <v>0.55359115160860395</v>
      </c>
      <c r="W303" s="161"/>
      <c r="X303" s="58"/>
      <c r="Y303" s="160"/>
      <c r="Z303" s="160"/>
      <c r="AA303" s="160"/>
      <c r="AB303" s="160"/>
      <c r="AC303" s="160"/>
      <c r="AD303" s="162"/>
      <c r="AE303" s="161"/>
    </row>
    <row r="304" spans="1:31" ht="21.2" customHeight="1">
      <c r="A304" s="8" t="s">
        <v>549</v>
      </c>
      <c r="B304" s="158" t="s">
        <v>889</v>
      </c>
      <c r="C304" s="163">
        <v>24</v>
      </c>
      <c r="D304" s="158" t="s">
        <v>860</v>
      </c>
      <c r="E304" s="58">
        <v>74.797142857142902</v>
      </c>
      <c r="F304" s="160">
        <v>14.8967493167466</v>
      </c>
      <c r="G304" s="161">
        <v>0.18720585021612901</v>
      </c>
      <c r="H304" s="161">
        <v>0.24351037894112801</v>
      </c>
      <c r="I304" s="161">
        <v>0.43071622915725699</v>
      </c>
      <c r="J304" s="161">
        <v>1.77580480798611</v>
      </c>
      <c r="K304" s="161">
        <v>1.1521556793576001E-2</v>
      </c>
      <c r="L304" s="161">
        <v>4.6346058886301E-2</v>
      </c>
      <c r="M304" s="161">
        <v>2.9392150764103501E-3</v>
      </c>
      <c r="N304" s="161">
        <v>6.5335667582283796E-3</v>
      </c>
      <c r="O304" s="161">
        <v>0.84580775397919505</v>
      </c>
      <c r="P304" s="161">
        <v>1.9744376956438501</v>
      </c>
      <c r="Q304" s="161">
        <v>-3.6064950044565898E-2</v>
      </c>
      <c r="R304" s="161">
        <v>0.64907442445775498</v>
      </c>
      <c r="S304" s="161">
        <v>2.4774047145616099E-2</v>
      </c>
      <c r="T304" s="161">
        <v>3.8457748018093199</v>
      </c>
      <c r="U304" s="161">
        <v>3.9215612724894502</v>
      </c>
      <c r="V304" s="161">
        <v>0.49512146314031003</v>
      </c>
      <c r="W304" s="161"/>
      <c r="X304" s="58"/>
      <c r="Y304" s="160"/>
      <c r="Z304" s="160"/>
      <c r="AA304" s="160"/>
      <c r="AB304" s="160"/>
      <c r="AC304" s="160"/>
      <c r="AD304" s="162"/>
      <c r="AE304" s="161"/>
    </row>
    <row r="305" spans="1:31" ht="21.2" customHeight="1">
      <c r="A305" s="8" t="s">
        <v>334</v>
      </c>
      <c r="B305" s="158" t="s">
        <v>869</v>
      </c>
      <c r="C305" s="159">
        <v>22</v>
      </c>
      <c r="D305" s="158" t="s">
        <v>849</v>
      </c>
      <c r="E305" s="58">
        <v>73.674999999999997</v>
      </c>
      <c r="F305" s="160">
        <v>20.3589067745283</v>
      </c>
      <c r="G305" s="161">
        <v>8.7746518982699598E-2</v>
      </c>
      <c r="H305" s="161">
        <v>0.34204072053817602</v>
      </c>
      <c r="I305" s="161">
        <v>0.429787239520876</v>
      </c>
      <c r="J305" s="161">
        <v>1.6336257900523501</v>
      </c>
      <c r="K305" s="161">
        <v>6.5349566774713201E-3</v>
      </c>
      <c r="L305" s="161">
        <v>4.1139590196322899E-2</v>
      </c>
      <c r="M305" s="161">
        <v>2.9867923066594998E-4</v>
      </c>
      <c r="N305" s="161">
        <v>1.3014114542870699E-3</v>
      </c>
      <c r="O305" s="161">
        <v>1.29865993961923</v>
      </c>
      <c r="P305" s="161">
        <v>0.94345468863145399</v>
      </c>
      <c r="Q305" s="161">
        <v>6.5028589171150397E-2</v>
      </c>
      <c r="R305" s="161">
        <v>0.41776595815145601</v>
      </c>
      <c r="S305" s="161">
        <v>1.4038820997380399E-2</v>
      </c>
      <c r="T305" s="161">
        <v>0</v>
      </c>
      <c r="U305" s="161">
        <v>0</v>
      </c>
      <c r="V305" s="161">
        <v>0</v>
      </c>
      <c r="W305" s="161"/>
      <c r="X305" s="58"/>
      <c r="Y305" s="160"/>
      <c r="Z305" s="160"/>
      <c r="AA305" s="160"/>
      <c r="AB305" s="160"/>
      <c r="AC305" s="160"/>
      <c r="AD305" s="162"/>
      <c r="AE305" s="161"/>
    </row>
    <row r="306" spans="1:31" ht="21.2" customHeight="1">
      <c r="A306" s="8" t="s">
        <v>672</v>
      </c>
      <c r="B306" s="158" t="s">
        <v>895</v>
      </c>
      <c r="C306" s="163">
        <v>35</v>
      </c>
      <c r="D306" s="158" t="s">
        <v>846</v>
      </c>
      <c r="E306" s="58">
        <v>67.17</v>
      </c>
      <c r="F306" s="160">
        <v>14.94949830102</v>
      </c>
      <c r="G306" s="161">
        <v>0.15383980799937799</v>
      </c>
      <c r="H306" s="161">
        <v>0.27554481552177701</v>
      </c>
      <c r="I306" s="161">
        <v>0.42938462352115497</v>
      </c>
      <c r="J306" s="161">
        <v>1.47830795472104</v>
      </c>
      <c r="K306" s="161">
        <v>5.8781020557365699E-2</v>
      </c>
      <c r="L306" s="161">
        <v>9.1608839988257598E-2</v>
      </c>
      <c r="M306" s="161">
        <v>0</v>
      </c>
      <c r="N306" s="161">
        <v>0</v>
      </c>
      <c r="O306" s="161">
        <v>0.33049707348885499</v>
      </c>
      <c r="P306" s="161">
        <v>0.35988113734487698</v>
      </c>
      <c r="Q306" s="161">
        <v>-1.70675535352145E-2</v>
      </c>
      <c r="R306" s="161">
        <v>0.47027294466420899</v>
      </c>
      <c r="S306" s="161">
        <v>0</v>
      </c>
      <c r="T306" s="161">
        <v>9.2820465766246496</v>
      </c>
      <c r="U306" s="161">
        <v>5.9449735578759002</v>
      </c>
      <c r="V306" s="161">
        <v>0.60957734964793897</v>
      </c>
      <c r="W306" s="161"/>
      <c r="X306" s="58"/>
      <c r="Y306" s="160"/>
      <c r="Z306" s="160"/>
      <c r="AA306" s="160"/>
      <c r="AB306" s="160"/>
      <c r="AC306" s="160"/>
      <c r="AD306" s="162"/>
      <c r="AE306" s="161"/>
    </row>
    <row r="307" spans="1:31" ht="21.2" customHeight="1">
      <c r="A307" s="8" t="s">
        <v>652</v>
      </c>
      <c r="B307" s="158" t="s">
        <v>889</v>
      </c>
      <c r="C307" s="159">
        <v>27</v>
      </c>
      <c r="D307" s="158" t="s">
        <v>860</v>
      </c>
      <c r="E307" s="58">
        <v>65.062857142857098</v>
      </c>
      <c r="F307" s="160">
        <v>13.8175776355259</v>
      </c>
      <c r="G307" s="161">
        <v>0.212994798742241</v>
      </c>
      <c r="H307" s="161">
        <v>0.215212625560355</v>
      </c>
      <c r="I307" s="161">
        <v>0.42820742430259601</v>
      </c>
      <c r="J307" s="161">
        <v>1.41841879437082</v>
      </c>
      <c r="K307" s="161">
        <v>4.6622182567880498E-2</v>
      </c>
      <c r="L307" s="161">
        <v>9.9322407880030605E-2</v>
      </c>
      <c r="M307" s="161">
        <v>1.5808613382145201E-4</v>
      </c>
      <c r="N307" s="161">
        <v>3.0010663288635098E-4</v>
      </c>
      <c r="O307" s="161">
        <v>0.40717357618237898</v>
      </c>
      <c r="P307" s="161">
        <v>1.33649920515777</v>
      </c>
      <c r="Q307" s="161">
        <v>-3.05180700294252E-2</v>
      </c>
      <c r="R307" s="161">
        <v>0.41757471739593499</v>
      </c>
      <c r="S307" s="161">
        <v>2.8186849821836699E-2</v>
      </c>
      <c r="T307" s="161">
        <v>0.72512496805173798</v>
      </c>
      <c r="U307" s="161">
        <v>0.87880311975520098</v>
      </c>
      <c r="V307" s="161">
        <v>0.452093191436784</v>
      </c>
      <c r="W307" s="161"/>
      <c r="X307" s="58"/>
      <c r="Y307" s="160"/>
      <c r="Z307" s="160"/>
      <c r="AA307" s="160"/>
      <c r="AB307" s="160"/>
      <c r="AC307" s="160"/>
      <c r="AD307" s="162"/>
      <c r="AE307" s="161"/>
    </row>
    <row r="308" spans="1:31" ht="21.2" customHeight="1">
      <c r="A308" s="8" t="s">
        <v>571</v>
      </c>
      <c r="B308" s="158" t="s">
        <v>884</v>
      </c>
      <c r="C308" s="159">
        <v>30</v>
      </c>
      <c r="D308" s="158" t="s">
        <v>864</v>
      </c>
      <c r="E308" s="58">
        <v>70.344999999999999</v>
      </c>
      <c r="F308" s="160">
        <v>12.339441786388001</v>
      </c>
      <c r="G308" s="161">
        <v>0.159770231549104</v>
      </c>
      <c r="H308" s="161">
        <v>0.26626661856235501</v>
      </c>
      <c r="I308" s="161">
        <v>0.42603685011145898</v>
      </c>
      <c r="J308" s="161">
        <v>1.4411397880504</v>
      </c>
      <c r="K308" s="161">
        <v>6.3299498408837904E-2</v>
      </c>
      <c r="L308" s="161">
        <v>0.124415037472812</v>
      </c>
      <c r="M308" s="161">
        <v>9.2070177796988806E-5</v>
      </c>
      <c r="N308" s="161">
        <v>1.56602758421749E-4</v>
      </c>
      <c r="O308" s="161">
        <v>0.25918289188677202</v>
      </c>
      <c r="P308" s="161">
        <v>1.29182358269862</v>
      </c>
      <c r="Q308" s="161">
        <v>9.4137933536573806E-2</v>
      </c>
      <c r="R308" s="161">
        <v>0.37036249360604001</v>
      </c>
      <c r="S308" s="161">
        <v>2.86663570659394E-2</v>
      </c>
      <c r="T308" s="161">
        <v>0.64574678045200995</v>
      </c>
      <c r="U308" s="161">
        <v>0.724383004356009</v>
      </c>
      <c r="V308" s="161">
        <v>0.47130336674090401</v>
      </c>
      <c r="W308" s="161"/>
      <c r="X308" s="58"/>
      <c r="Y308" s="160"/>
      <c r="Z308" s="160"/>
      <c r="AA308" s="160"/>
      <c r="AB308" s="160"/>
      <c r="AC308" s="160"/>
      <c r="AD308" s="162"/>
      <c r="AE308" s="161"/>
    </row>
    <row r="309" spans="1:31" ht="21.2" customHeight="1">
      <c r="A309" s="8" t="s">
        <v>546</v>
      </c>
      <c r="B309" s="158" t="s">
        <v>866</v>
      </c>
      <c r="C309" s="159">
        <v>31</v>
      </c>
      <c r="D309" s="158" t="s">
        <v>865</v>
      </c>
      <c r="E309" s="58">
        <v>77.207499999999996</v>
      </c>
      <c r="F309" s="160">
        <v>14.326361312907199</v>
      </c>
      <c r="G309" s="161">
        <v>0.19660830523852099</v>
      </c>
      <c r="H309" s="161">
        <v>0.22711276275527301</v>
      </c>
      <c r="I309" s="161">
        <v>0.423721067993794</v>
      </c>
      <c r="J309" s="161">
        <v>1.4389579488025399</v>
      </c>
      <c r="K309" s="161">
        <v>2.3094440154176801E-2</v>
      </c>
      <c r="L309" s="161">
        <v>5.5303889539573201E-2</v>
      </c>
      <c r="M309" s="161">
        <v>1.1001306890368301E-2</v>
      </c>
      <c r="N309" s="161">
        <v>2.61302504531934E-2</v>
      </c>
      <c r="O309" s="161">
        <v>0.294756647505171</v>
      </c>
      <c r="P309" s="161">
        <v>0.74448613016002996</v>
      </c>
      <c r="Q309" s="161">
        <v>5.5648519388309801E-2</v>
      </c>
      <c r="R309" s="161">
        <v>0.17446470138022799</v>
      </c>
      <c r="S309" s="161">
        <v>3.1585071978872899E-2</v>
      </c>
      <c r="T309" s="161">
        <v>0.97703950314886301</v>
      </c>
      <c r="U309" s="161">
        <v>1.1133370855653599</v>
      </c>
      <c r="V309" s="161">
        <v>0.46739879714680299</v>
      </c>
      <c r="W309" s="161"/>
      <c r="X309" s="58"/>
      <c r="Y309" s="160"/>
      <c r="Z309" s="160"/>
      <c r="AA309" s="160"/>
      <c r="AB309" s="160"/>
      <c r="AC309" s="160"/>
      <c r="AD309" s="162"/>
      <c r="AE309" s="161"/>
    </row>
    <row r="310" spans="1:31" ht="21.2" customHeight="1">
      <c r="A310" s="8" t="s">
        <v>433</v>
      </c>
      <c r="B310" s="158" t="s">
        <v>885</v>
      </c>
      <c r="C310" s="159">
        <v>31</v>
      </c>
      <c r="D310" s="158" t="s">
        <v>864</v>
      </c>
      <c r="E310" s="58">
        <v>81.746071428571398</v>
      </c>
      <c r="F310" s="160">
        <v>14.708450076719499</v>
      </c>
      <c r="G310" s="161">
        <v>0.193400989359576</v>
      </c>
      <c r="H310" s="161">
        <v>0.22971477970610901</v>
      </c>
      <c r="I310" s="161">
        <v>0.42311576906568399</v>
      </c>
      <c r="J310" s="161">
        <v>2.2433198006024999</v>
      </c>
      <c r="K310" s="161">
        <v>7.4101406133264005E-4</v>
      </c>
      <c r="L310" s="161">
        <v>1.5976535444535E-3</v>
      </c>
      <c r="M310" s="161">
        <v>1.33330584796979E-2</v>
      </c>
      <c r="N310" s="161">
        <v>1.5792200367181201E-2</v>
      </c>
      <c r="O310" s="161">
        <v>0.48407849354593702</v>
      </c>
      <c r="P310" s="161">
        <v>1.4630224708100501</v>
      </c>
      <c r="Q310" s="161">
        <v>4.45109206971313E-2</v>
      </c>
      <c r="R310" s="161">
        <v>0.61762243623040203</v>
      </c>
      <c r="S310" s="161">
        <v>3.2316966881979603E-2</v>
      </c>
      <c r="T310" s="161">
        <v>0.124255809252611</v>
      </c>
      <c r="U310" s="161">
        <v>0.296651825704495</v>
      </c>
      <c r="V310" s="161">
        <v>0.29520920727720501</v>
      </c>
      <c r="W310" s="161"/>
      <c r="X310" s="58"/>
      <c r="Y310" s="160"/>
      <c r="Z310" s="160"/>
      <c r="AA310" s="160"/>
      <c r="AB310" s="160"/>
      <c r="AC310" s="160"/>
      <c r="AD310" s="162"/>
      <c r="AE310" s="161"/>
    </row>
    <row r="311" spans="1:31" ht="21.2" customHeight="1">
      <c r="A311" s="8" t="s">
        <v>700</v>
      </c>
      <c r="B311" s="158" t="s">
        <v>885</v>
      </c>
      <c r="C311" s="159">
        <v>24</v>
      </c>
      <c r="D311" s="158" t="s">
        <v>860</v>
      </c>
      <c r="E311" s="58">
        <v>60.099285714285699</v>
      </c>
      <c r="F311" s="160">
        <v>12.123398372696</v>
      </c>
      <c r="G311" s="161">
        <v>0.157818320529272</v>
      </c>
      <c r="H311" s="161">
        <v>0.264680152422205</v>
      </c>
      <c r="I311" s="161">
        <v>0.42249847295147702</v>
      </c>
      <c r="J311" s="161">
        <v>1.41146898454154</v>
      </c>
      <c r="K311" s="161">
        <v>1.80548493269709E-2</v>
      </c>
      <c r="L311" s="161">
        <v>5.0511438180290601E-2</v>
      </c>
      <c r="M311" s="161">
        <v>9.3745860177753696E-5</v>
      </c>
      <c r="N311" s="161">
        <v>1.8272918482917201E-4</v>
      </c>
      <c r="O311" s="161">
        <v>0.26602998229395097</v>
      </c>
      <c r="P311" s="161">
        <v>0.881368497182204</v>
      </c>
      <c r="Q311" s="161">
        <v>3.2258607246371203E-2</v>
      </c>
      <c r="R311" s="161">
        <v>0.28288317126749002</v>
      </c>
      <c r="S311" s="161">
        <v>2.6371165187948901E-2</v>
      </c>
      <c r="T311" s="161">
        <v>2.24568733489127</v>
      </c>
      <c r="U311" s="161">
        <v>2.5073885075317999</v>
      </c>
      <c r="V311" s="161">
        <v>0.472470334861402</v>
      </c>
      <c r="W311" s="161"/>
      <c r="X311" s="58"/>
      <c r="Y311" s="160"/>
      <c r="Z311" s="160"/>
      <c r="AA311" s="160"/>
      <c r="AB311" s="160"/>
      <c r="AC311" s="160"/>
      <c r="AD311" s="162"/>
      <c r="AE311" s="161"/>
    </row>
    <row r="312" spans="1:31" ht="21.2" customHeight="1">
      <c r="A312" s="8" t="s">
        <v>462</v>
      </c>
      <c r="B312" s="158" t="s">
        <v>893</v>
      </c>
      <c r="C312" s="159">
        <v>33</v>
      </c>
      <c r="D312" s="158" t="s">
        <v>847</v>
      </c>
      <c r="E312" s="58">
        <v>76.719285714285704</v>
      </c>
      <c r="F312" s="160">
        <v>14.6197749865649</v>
      </c>
      <c r="G312" s="161">
        <v>0.18459402794284599</v>
      </c>
      <c r="H312" s="161">
        <v>0.23779106408159101</v>
      </c>
      <c r="I312" s="161">
        <v>0.42238509202443802</v>
      </c>
      <c r="J312" s="161">
        <v>2.20917237803096</v>
      </c>
      <c r="K312" s="161">
        <v>4.3613752704532001E-2</v>
      </c>
      <c r="L312" s="161">
        <v>0.15872227049846099</v>
      </c>
      <c r="M312" s="161">
        <v>9.6555067206660999E-5</v>
      </c>
      <c r="N312" s="161">
        <v>1.5242095979816199E-4</v>
      </c>
      <c r="O312" s="161">
        <v>0.376197923558662</v>
      </c>
      <c r="P312" s="161">
        <v>0.47903664946650698</v>
      </c>
      <c r="Q312" s="161">
        <v>-9.3220162715863305E-3</v>
      </c>
      <c r="R312" s="161">
        <v>0.36667910806394399</v>
      </c>
      <c r="S312" s="161">
        <v>1.89102025619238E-2</v>
      </c>
      <c r="T312" s="161">
        <v>0.206104720309082</v>
      </c>
      <c r="U312" s="161">
        <v>0.137236664017723</v>
      </c>
      <c r="V312" s="161">
        <v>0.60029093408938905</v>
      </c>
      <c r="W312" s="161"/>
      <c r="X312" s="58"/>
      <c r="Y312" s="160"/>
      <c r="Z312" s="160"/>
      <c r="AA312" s="160"/>
      <c r="AB312" s="160"/>
      <c r="AC312" s="160"/>
      <c r="AD312" s="162"/>
      <c r="AE312" s="161"/>
    </row>
    <row r="313" spans="1:31" ht="21.2" customHeight="1">
      <c r="A313" s="8" t="s">
        <v>345</v>
      </c>
      <c r="B313" s="158" t="s">
        <v>894</v>
      </c>
      <c r="C313" s="163">
        <v>21</v>
      </c>
      <c r="D313" s="158" t="s">
        <v>849</v>
      </c>
      <c r="E313" s="58">
        <v>74.2</v>
      </c>
      <c r="F313" s="160">
        <v>20.604517182303201</v>
      </c>
      <c r="G313" s="161">
        <v>9.2679929993021701E-2</v>
      </c>
      <c r="H313" s="161">
        <v>0.32849133351856602</v>
      </c>
      <c r="I313" s="161">
        <v>0.42117126351158801</v>
      </c>
      <c r="J313" s="161">
        <v>1.3836893377492001</v>
      </c>
      <c r="K313" s="161">
        <v>4.6207970785007999E-3</v>
      </c>
      <c r="L313" s="161">
        <v>2.9392319577886499E-2</v>
      </c>
      <c r="M313" s="161">
        <v>9.50310473894067E-4</v>
      </c>
      <c r="N313" s="161">
        <v>6.1009216294536E-3</v>
      </c>
      <c r="O313" s="161">
        <v>1.72580967316426</v>
      </c>
      <c r="P313" s="161">
        <v>1.6434734928868</v>
      </c>
      <c r="Q313" s="161">
        <v>-0.117350515449357</v>
      </c>
      <c r="R313" s="161">
        <v>0.57964518765002804</v>
      </c>
      <c r="S313" s="161">
        <v>9.4943280079222703E-3</v>
      </c>
      <c r="T313" s="161">
        <v>0</v>
      </c>
      <c r="U313" s="161">
        <v>0</v>
      </c>
      <c r="V313" s="161">
        <v>0</v>
      </c>
      <c r="W313" s="161"/>
      <c r="X313" s="58"/>
      <c r="Y313" s="160"/>
      <c r="Z313" s="160"/>
      <c r="AA313" s="160"/>
      <c r="AB313" s="160"/>
      <c r="AC313" s="160"/>
      <c r="AD313" s="162"/>
      <c r="AE313" s="161"/>
    </row>
    <row r="314" spans="1:31" ht="21.2" customHeight="1">
      <c r="A314" s="8" t="s">
        <v>316</v>
      </c>
      <c r="B314" s="158" t="s">
        <v>871</v>
      </c>
      <c r="C314" s="159">
        <v>23</v>
      </c>
      <c r="D314" s="158" t="s">
        <v>849</v>
      </c>
      <c r="E314" s="58">
        <v>81.0582142857143</v>
      </c>
      <c r="F314" s="160">
        <v>22.101937710086101</v>
      </c>
      <c r="G314" s="161">
        <v>0.106268897920804</v>
      </c>
      <c r="H314" s="161">
        <v>0.314639365547145</v>
      </c>
      <c r="I314" s="161">
        <v>0.42090826346794902</v>
      </c>
      <c r="J314" s="161">
        <v>1.4169052411810901</v>
      </c>
      <c r="K314" s="161">
        <v>3.75928508495716E-3</v>
      </c>
      <c r="L314" s="161">
        <v>1.5552132018841E-2</v>
      </c>
      <c r="M314" s="161">
        <v>6.5998578773402295E-4</v>
      </c>
      <c r="N314" s="161">
        <v>1.32208531427717E-2</v>
      </c>
      <c r="O314" s="161">
        <v>1.3837406310559</v>
      </c>
      <c r="P314" s="161">
        <v>1.87617959855005</v>
      </c>
      <c r="Q314" s="161">
        <v>5.2943131322868799E-2</v>
      </c>
      <c r="R314" s="161">
        <v>0.42488428128587702</v>
      </c>
      <c r="S314" s="161">
        <v>1.8108021761984401E-2</v>
      </c>
      <c r="T314" s="161">
        <v>0</v>
      </c>
      <c r="U314" s="161">
        <v>0</v>
      </c>
      <c r="V314" s="161">
        <v>0</v>
      </c>
      <c r="W314" s="161"/>
      <c r="X314" s="58"/>
      <c r="Y314" s="160"/>
      <c r="Z314" s="160"/>
      <c r="AA314" s="160"/>
      <c r="AB314" s="160"/>
      <c r="AC314" s="160"/>
      <c r="AD314" s="162"/>
      <c r="AE314" s="161"/>
    </row>
    <row r="315" spans="1:31" ht="21.2" customHeight="1">
      <c r="A315" s="8" t="s">
        <v>566</v>
      </c>
      <c r="B315" s="158" t="s">
        <v>881</v>
      </c>
      <c r="C315" s="163">
        <v>23</v>
      </c>
      <c r="D315" s="158" t="s">
        <v>860</v>
      </c>
      <c r="E315" s="58">
        <v>77.544642857142904</v>
      </c>
      <c r="F315" s="160">
        <v>16.711378292876802</v>
      </c>
      <c r="G315" s="161">
        <v>0.15621960077002001</v>
      </c>
      <c r="H315" s="161">
        <v>0.26380381600251801</v>
      </c>
      <c r="I315" s="161">
        <v>0.42002341677253802</v>
      </c>
      <c r="J315" s="161">
        <v>1.5520499214066299</v>
      </c>
      <c r="K315" s="161">
        <v>2.0399714815235399E-2</v>
      </c>
      <c r="L315" s="161">
        <v>7.1978253575657403E-2</v>
      </c>
      <c r="M315" s="161">
        <v>4.0907975214625903E-3</v>
      </c>
      <c r="N315" s="161">
        <v>9.2059025554718406E-3</v>
      </c>
      <c r="O315" s="161">
        <v>0.476346684439451</v>
      </c>
      <c r="P315" s="161">
        <v>0.61081131168029501</v>
      </c>
      <c r="Q315" s="161">
        <v>-0.117750490766552</v>
      </c>
      <c r="R315" s="161">
        <v>0.26003183651900702</v>
      </c>
      <c r="S315" s="161">
        <v>1.8306055263550999E-2</v>
      </c>
      <c r="T315" s="161">
        <v>1.2484910275791701</v>
      </c>
      <c r="U315" s="161">
        <v>1.6340781472338</v>
      </c>
      <c r="V315" s="161">
        <v>0.43311745594454798</v>
      </c>
      <c r="W315" s="161"/>
      <c r="X315" s="58"/>
      <c r="Y315" s="160"/>
      <c r="Z315" s="160"/>
      <c r="AA315" s="160"/>
      <c r="AB315" s="160"/>
      <c r="AC315" s="160"/>
      <c r="AD315" s="162"/>
      <c r="AE315" s="161"/>
    </row>
    <row r="316" spans="1:31" ht="21.2" customHeight="1">
      <c r="A316" s="8" t="s">
        <v>364</v>
      </c>
      <c r="B316" s="158" t="s">
        <v>882</v>
      </c>
      <c r="C316" s="163">
        <v>23</v>
      </c>
      <c r="D316" s="158" t="s">
        <v>849</v>
      </c>
      <c r="E316" s="58">
        <v>72.599999999999994</v>
      </c>
      <c r="F316" s="160">
        <v>18.639695703996701</v>
      </c>
      <c r="G316" s="161">
        <v>9.7064620544201605E-2</v>
      </c>
      <c r="H316" s="161">
        <v>0.32268470446632203</v>
      </c>
      <c r="I316" s="161">
        <v>0.41974932501052298</v>
      </c>
      <c r="J316" s="161">
        <v>1.2165931485149999</v>
      </c>
      <c r="K316" s="161">
        <v>3.26809801341161E-3</v>
      </c>
      <c r="L316" s="161">
        <v>8.6952986611744096E-2</v>
      </c>
      <c r="M316" s="161">
        <v>1.31280418291812E-4</v>
      </c>
      <c r="N316" s="161">
        <v>5.5948706019269404E-4</v>
      </c>
      <c r="O316" s="161">
        <v>1.2522335359872601</v>
      </c>
      <c r="P316" s="161">
        <v>1.88247547011572</v>
      </c>
      <c r="Q316" s="161">
        <v>-1.7157621470796799E-2</v>
      </c>
      <c r="R316" s="161">
        <v>0.39641557104554098</v>
      </c>
      <c r="S316" s="161">
        <v>1.1939519716501999E-2</v>
      </c>
      <c r="T316" s="161">
        <v>0</v>
      </c>
      <c r="U316" s="161">
        <v>0</v>
      </c>
      <c r="V316" s="161">
        <v>0</v>
      </c>
      <c r="W316" s="161"/>
      <c r="X316" s="58"/>
      <c r="Y316" s="160"/>
      <c r="Z316" s="160"/>
      <c r="AA316" s="160"/>
      <c r="AB316" s="160"/>
      <c r="AC316" s="160"/>
      <c r="AD316" s="162"/>
      <c r="AE316" s="161"/>
    </row>
    <row r="317" spans="1:31" ht="21.2" customHeight="1">
      <c r="A317" s="8" t="s">
        <v>572</v>
      </c>
      <c r="B317" s="158" t="s">
        <v>878</v>
      </c>
      <c r="C317" s="159">
        <v>29</v>
      </c>
      <c r="D317" s="158" t="s">
        <v>860</v>
      </c>
      <c r="E317" s="58">
        <v>82</v>
      </c>
      <c r="F317" s="160">
        <v>14.1200300412202</v>
      </c>
      <c r="G317" s="161">
        <v>0.124256390116583</v>
      </c>
      <c r="H317" s="161">
        <v>0.29497924924343399</v>
      </c>
      <c r="I317" s="161">
        <v>0.41923563936001701</v>
      </c>
      <c r="J317" s="161">
        <v>1.33650938317263</v>
      </c>
      <c r="K317" s="161">
        <v>1.0027523860228701E-2</v>
      </c>
      <c r="L317" s="161">
        <v>2.09064064929016E-2</v>
      </c>
      <c r="M317" s="161">
        <v>1.04430913239527E-2</v>
      </c>
      <c r="N317" s="161">
        <v>3.03687300083973E-2</v>
      </c>
      <c r="O317" s="161">
        <v>0.55707136290867798</v>
      </c>
      <c r="P317" s="161">
        <v>0.76472421605107099</v>
      </c>
      <c r="Q317" s="161">
        <v>-2.6283316736196601E-2</v>
      </c>
      <c r="R317" s="161">
        <v>0.29563984853749098</v>
      </c>
      <c r="S317" s="161">
        <v>1.5680733699401199E-2</v>
      </c>
      <c r="T317" s="161">
        <v>0.92063506623632996</v>
      </c>
      <c r="U317" s="161">
        <v>1.20532034201199</v>
      </c>
      <c r="V317" s="161">
        <v>0.43304533230774001</v>
      </c>
      <c r="W317" s="161"/>
      <c r="X317" s="58"/>
      <c r="Y317" s="160"/>
      <c r="Z317" s="160"/>
      <c r="AA317" s="160"/>
      <c r="AB317" s="160"/>
      <c r="AC317" s="160"/>
      <c r="AD317" s="162"/>
      <c r="AE317" s="161"/>
    </row>
    <row r="318" spans="1:31" ht="21.2" customHeight="1">
      <c r="A318" s="8" t="s">
        <v>514</v>
      </c>
      <c r="B318" s="158" t="s">
        <v>866</v>
      </c>
      <c r="C318" s="163">
        <v>20</v>
      </c>
      <c r="D318" s="158" t="s">
        <v>847</v>
      </c>
      <c r="E318" s="58">
        <v>74</v>
      </c>
      <c r="F318" s="160">
        <v>15</v>
      </c>
      <c r="G318" s="161">
        <v>0.17685234445457901</v>
      </c>
      <c r="H318" s="161">
        <v>0.236869892257285</v>
      </c>
      <c r="I318" s="161">
        <v>0.41372223671186298</v>
      </c>
      <c r="J318" s="161">
        <v>1.59949870186335</v>
      </c>
      <c r="K318" s="161">
        <v>3.4249905837631101E-2</v>
      </c>
      <c r="L318" s="161">
        <v>8.0123041026208805E-2</v>
      </c>
      <c r="M318" s="161">
        <v>0</v>
      </c>
      <c r="N318" s="161">
        <v>0</v>
      </c>
      <c r="O318" s="161">
        <v>0.42682926829268297</v>
      </c>
      <c r="P318" s="161">
        <v>1.1830924032672601</v>
      </c>
      <c r="Q318" s="161">
        <v>1.21951219512195E-4</v>
      </c>
      <c r="R318" s="161">
        <v>0.40406689838350401</v>
      </c>
      <c r="S318" s="161">
        <v>2.84112821299876E-2</v>
      </c>
      <c r="T318" s="161">
        <v>0</v>
      </c>
      <c r="U318" s="161">
        <v>0</v>
      </c>
      <c r="V318" s="161">
        <v>0</v>
      </c>
      <c r="W318" s="161"/>
      <c r="X318" s="58"/>
      <c r="Y318" s="161"/>
      <c r="Z318" s="161"/>
      <c r="AA318" s="161"/>
      <c r="AB318" s="161"/>
      <c r="AC318" s="160"/>
      <c r="AD318" s="162"/>
      <c r="AE318" s="161"/>
    </row>
    <row r="319" spans="1:31" ht="21.2" customHeight="1">
      <c r="A319" s="8" t="s">
        <v>322</v>
      </c>
      <c r="B319" s="158" t="s">
        <v>878</v>
      </c>
      <c r="C319" s="159">
        <v>24</v>
      </c>
      <c r="D319" s="158" t="s">
        <v>849</v>
      </c>
      <c r="E319" s="58">
        <v>76.307500000000005</v>
      </c>
      <c r="F319" s="160">
        <v>18.735645757788902</v>
      </c>
      <c r="G319" s="161">
        <v>5.8265659957528498E-2</v>
      </c>
      <c r="H319" s="161">
        <v>0.354988669777905</v>
      </c>
      <c r="I319" s="161">
        <v>0.41325432973543302</v>
      </c>
      <c r="J319" s="161">
        <v>1.3428432046790599</v>
      </c>
      <c r="K319" s="161">
        <v>1.3969128212323901E-2</v>
      </c>
      <c r="L319" s="161">
        <v>0.13282312181334799</v>
      </c>
      <c r="M319" s="161">
        <v>3.2025423630298902E-4</v>
      </c>
      <c r="N319" s="161">
        <v>1.5226452189683901E-3</v>
      </c>
      <c r="O319" s="161">
        <v>1.27468436112059</v>
      </c>
      <c r="P319" s="161">
        <v>0.91035594519505503</v>
      </c>
      <c r="Q319" s="161">
        <v>-3.0303329170742899E-2</v>
      </c>
      <c r="R319" s="161">
        <v>0.63588314155919601</v>
      </c>
      <c r="S319" s="161">
        <v>7.35292806073512E-3</v>
      </c>
      <c r="T319" s="161">
        <v>0</v>
      </c>
      <c r="U319" s="161">
        <v>0</v>
      </c>
      <c r="V319" s="161">
        <v>0</v>
      </c>
      <c r="W319" s="161"/>
      <c r="X319" s="58"/>
      <c r="Y319" s="160"/>
      <c r="Z319" s="160"/>
      <c r="AA319" s="160"/>
      <c r="AB319" s="160"/>
      <c r="AC319" s="160"/>
      <c r="AD319" s="162"/>
      <c r="AE319" s="161"/>
    </row>
    <row r="320" spans="1:31" ht="21.2" customHeight="1">
      <c r="A320" s="8" t="s">
        <v>294</v>
      </c>
      <c r="B320" s="158" t="s">
        <v>889</v>
      </c>
      <c r="C320" s="159">
        <v>30</v>
      </c>
      <c r="D320" s="158" t="s">
        <v>849</v>
      </c>
      <c r="E320" s="58">
        <v>78.591071428571396</v>
      </c>
      <c r="F320" s="160">
        <v>17.5118288729951</v>
      </c>
      <c r="G320" s="161">
        <v>0.12354926412985</v>
      </c>
      <c r="H320" s="161">
        <v>0.28933694082285399</v>
      </c>
      <c r="I320" s="161">
        <v>0.41288620495270401</v>
      </c>
      <c r="J320" s="161">
        <v>1.5720414979860899</v>
      </c>
      <c r="K320" s="161">
        <v>3.4195388572223803E-2</v>
      </c>
      <c r="L320" s="161">
        <v>0.12757985236038999</v>
      </c>
      <c r="M320" s="161">
        <v>3.3308487627990899E-3</v>
      </c>
      <c r="N320" s="161">
        <v>3.5557415008876702E-3</v>
      </c>
      <c r="O320" s="161">
        <v>1.0693973369634799</v>
      </c>
      <c r="P320" s="161">
        <v>0.69461512958315197</v>
      </c>
      <c r="Q320" s="161">
        <v>-2.81624284820629E-2</v>
      </c>
      <c r="R320" s="161">
        <v>0.26132717830505903</v>
      </c>
      <c r="S320" s="161">
        <v>1.6349998094746299E-2</v>
      </c>
      <c r="T320" s="161">
        <v>0</v>
      </c>
      <c r="U320" s="161">
        <v>0</v>
      </c>
      <c r="V320" s="161">
        <v>0</v>
      </c>
      <c r="W320" s="161"/>
      <c r="X320" s="58"/>
      <c r="Y320" s="160"/>
      <c r="Z320" s="160"/>
      <c r="AA320" s="160"/>
      <c r="AB320" s="160"/>
      <c r="AC320" s="160"/>
      <c r="AD320" s="162"/>
      <c r="AE320" s="161"/>
    </row>
    <row r="321" spans="1:31" ht="21.2" customHeight="1">
      <c r="A321" s="8" t="s">
        <v>274</v>
      </c>
      <c r="B321" s="158" t="s">
        <v>879</v>
      </c>
      <c r="C321" s="159">
        <v>21</v>
      </c>
      <c r="D321" s="158" t="s">
        <v>849</v>
      </c>
      <c r="E321" s="58">
        <v>79.954999999999998</v>
      </c>
      <c r="F321" s="160">
        <v>21.968369312902801</v>
      </c>
      <c r="G321" s="161">
        <v>6.3698829770174603E-2</v>
      </c>
      <c r="H321" s="161">
        <v>0.34727251008418902</v>
      </c>
      <c r="I321" s="161">
        <v>0.41097133985436302</v>
      </c>
      <c r="J321" s="161">
        <v>1.68981535079083</v>
      </c>
      <c r="K321" s="161">
        <v>2.0251508852625499E-2</v>
      </c>
      <c r="L321" s="161">
        <v>0.144858822170468</v>
      </c>
      <c r="M321" s="161">
        <v>1.08782975616122E-3</v>
      </c>
      <c r="N321" s="161">
        <v>7.3323294306077797E-3</v>
      </c>
      <c r="O321" s="161">
        <v>1.89295200902395</v>
      </c>
      <c r="P321" s="161">
        <v>0.870143603490523</v>
      </c>
      <c r="Q321" s="161">
        <v>2.74056191725676E-3</v>
      </c>
      <c r="R321" s="161">
        <v>0.25501245211178503</v>
      </c>
      <c r="S321" s="161">
        <v>9.57940636228489E-3</v>
      </c>
      <c r="T321" s="161">
        <v>0</v>
      </c>
      <c r="U321" s="161">
        <v>0</v>
      </c>
      <c r="V321" s="161">
        <v>0</v>
      </c>
      <c r="W321" s="161"/>
      <c r="X321" s="58"/>
      <c r="Y321" s="160"/>
      <c r="Z321" s="160"/>
      <c r="AA321" s="160"/>
      <c r="AB321" s="160"/>
      <c r="AC321" s="160"/>
      <c r="AD321" s="162"/>
      <c r="AE321" s="161"/>
    </row>
    <row r="322" spans="1:31" ht="21.2" customHeight="1">
      <c r="A322" s="8" t="s">
        <v>278</v>
      </c>
      <c r="B322" s="158" t="s">
        <v>867</v>
      </c>
      <c r="C322" s="159">
        <v>33</v>
      </c>
      <c r="D322" s="158" t="s">
        <v>849</v>
      </c>
      <c r="E322" s="58">
        <v>79.400000000000006</v>
      </c>
      <c r="F322" s="160">
        <v>21.423531844077999</v>
      </c>
      <c r="G322" s="161">
        <v>0.120141755115903</v>
      </c>
      <c r="H322" s="161">
        <v>0.29044000166234002</v>
      </c>
      <c r="I322" s="161">
        <v>0.41058175677824399</v>
      </c>
      <c r="J322" s="161">
        <v>1.90128456439479</v>
      </c>
      <c r="K322" s="161">
        <v>8.7343438958839906E-3</v>
      </c>
      <c r="L322" s="161">
        <v>6.2996612938714905E-2</v>
      </c>
      <c r="M322" s="161">
        <v>-6.4027358388589299E-4</v>
      </c>
      <c r="N322" s="161">
        <v>4.1201863005504002E-3</v>
      </c>
      <c r="O322" s="161">
        <v>2.0648345899858001</v>
      </c>
      <c r="P322" s="161">
        <v>0.92174926585931505</v>
      </c>
      <c r="Q322" s="161">
        <v>7.0109269651029593E-2</v>
      </c>
      <c r="R322" s="161">
        <v>0.20933595199487201</v>
      </c>
      <c r="S322" s="161">
        <v>1.9291932392552301E-2</v>
      </c>
      <c r="T322" s="161">
        <v>0</v>
      </c>
      <c r="U322" s="161">
        <v>0</v>
      </c>
      <c r="V322" s="161">
        <v>0</v>
      </c>
      <c r="W322" s="161"/>
      <c r="X322" s="58"/>
      <c r="Y322" s="160"/>
      <c r="Z322" s="160"/>
      <c r="AA322" s="160"/>
      <c r="AB322" s="160"/>
      <c r="AC322" s="160"/>
      <c r="AD322" s="162"/>
      <c r="AE322" s="161"/>
    </row>
    <row r="323" spans="1:31" ht="21.2" customHeight="1">
      <c r="A323" s="8" t="s">
        <v>328</v>
      </c>
      <c r="B323" s="158" t="s">
        <v>889</v>
      </c>
      <c r="C323" s="159">
        <v>35</v>
      </c>
      <c r="D323" s="158" t="s">
        <v>849</v>
      </c>
      <c r="E323" s="58">
        <v>76.231071428571397</v>
      </c>
      <c r="F323" s="160">
        <v>19.9386875110429</v>
      </c>
      <c r="G323" s="161">
        <v>8.6276270726754506E-2</v>
      </c>
      <c r="H323" s="161">
        <v>0.321992200427477</v>
      </c>
      <c r="I323" s="161">
        <v>0.40826847115423198</v>
      </c>
      <c r="J323" s="161">
        <v>1.5521044462668401</v>
      </c>
      <c r="K323" s="161">
        <v>1.1167581166131301E-2</v>
      </c>
      <c r="L323" s="161">
        <v>5.4333055308349101E-2</v>
      </c>
      <c r="M323" s="161">
        <v>-6.3415628487104101E-4</v>
      </c>
      <c r="N323" s="161">
        <v>2.4962830128589298E-3</v>
      </c>
      <c r="O323" s="161">
        <v>1.5283082307231799</v>
      </c>
      <c r="P323" s="161">
        <v>2.2190289147232298</v>
      </c>
      <c r="Q323" s="161">
        <v>-9.9949095306637297E-3</v>
      </c>
      <c r="R323" s="161">
        <v>0.41486846393656002</v>
      </c>
      <c r="S323" s="161">
        <v>1.3849068998453199E-2</v>
      </c>
      <c r="T323" s="161">
        <v>0</v>
      </c>
      <c r="U323" s="161">
        <v>0</v>
      </c>
      <c r="V323" s="161">
        <v>0</v>
      </c>
      <c r="W323" s="161"/>
      <c r="X323" s="58"/>
      <c r="Y323" s="160"/>
      <c r="Z323" s="160"/>
      <c r="AA323" s="160"/>
      <c r="AB323" s="160"/>
      <c r="AC323" s="160"/>
      <c r="AD323" s="162"/>
      <c r="AE323" s="161"/>
    </row>
    <row r="324" spans="1:31" ht="21.2" customHeight="1">
      <c r="A324" s="8" t="s">
        <v>656</v>
      </c>
      <c r="B324" s="158" t="s">
        <v>879</v>
      </c>
      <c r="C324" s="159">
        <v>22</v>
      </c>
      <c r="D324" s="158" t="s">
        <v>846</v>
      </c>
      <c r="E324" s="58">
        <v>70.867500000000007</v>
      </c>
      <c r="F324" s="160">
        <v>14.4655959686337</v>
      </c>
      <c r="G324" s="161">
        <v>0.20531091729888301</v>
      </c>
      <c r="H324" s="161">
        <v>0.20076738976230599</v>
      </c>
      <c r="I324" s="161">
        <v>0.40607830706118903</v>
      </c>
      <c r="J324" s="161">
        <v>1.6165424968733699</v>
      </c>
      <c r="K324" s="161">
        <v>2.5057171341177902E-2</v>
      </c>
      <c r="L324" s="161">
        <v>4.9847605889048997E-2</v>
      </c>
      <c r="M324" s="161">
        <v>2.0478011467020499E-3</v>
      </c>
      <c r="N324" s="161">
        <v>4.5291945475411603E-3</v>
      </c>
      <c r="O324" s="161">
        <v>0.56047128419105696</v>
      </c>
      <c r="P324" s="161">
        <v>0.87351981072773999</v>
      </c>
      <c r="Q324" s="161">
        <v>-7.4716070483072097E-3</v>
      </c>
      <c r="R324" s="161">
        <v>0.28429180619369399</v>
      </c>
      <c r="S324" s="161">
        <v>3.0875868748539401E-2</v>
      </c>
      <c r="T324" s="161">
        <v>4.8469142903784501</v>
      </c>
      <c r="U324" s="161">
        <v>4.7148786492988704</v>
      </c>
      <c r="V324" s="161">
        <v>0.50690433488324604</v>
      </c>
      <c r="W324" s="161"/>
      <c r="X324" s="58"/>
      <c r="Y324" s="160"/>
      <c r="Z324" s="160"/>
      <c r="AA324" s="160"/>
      <c r="AB324" s="160"/>
      <c r="AC324" s="160"/>
      <c r="AD324" s="162"/>
      <c r="AE324" s="161"/>
    </row>
    <row r="325" spans="1:31" ht="21.2" customHeight="1">
      <c r="A325" s="8" t="s">
        <v>467</v>
      </c>
      <c r="B325" s="158" t="s">
        <v>881</v>
      </c>
      <c r="C325" s="163">
        <v>27</v>
      </c>
      <c r="D325" s="158" t="s">
        <v>860</v>
      </c>
      <c r="E325" s="58">
        <v>78.098928571428601</v>
      </c>
      <c r="F325" s="160">
        <v>13.1853251012783</v>
      </c>
      <c r="G325" s="161">
        <v>0.19339933151944799</v>
      </c>
      <c r="H325" s="161">
        <v>0.21231742040384899</v>
      </c>
      <c r="I325" s="161">
        <v>0.40571675192329598</v>
      </c>
      <c r="J325" s="161">
        <v>2.5076738031219299</v>
      </c>
      <c r="K325" s="161">
        <v>2.5105203404593501E-2</v>
      </c>
      <c r="L325" s="161">
        <v>7.5300068924142802E-2</v>
      </c>
      <c r="M325" s="161">
        <v>2.1956296135290602E-3</v>
      </c>
      <c r="N325" s="161">
        <v>3.9977273766835198E-3</v>
      </c>
      <c r="O325" s="161">
        <v>0.293874117435513</v>
      </c>
      <c r="P325" s="161">
        <v>1.1983040225158299</v>
      </c>
      <c r="Q325" s="161">
        <v>-6.35709424855328E-2</v>
      </c>
      <c r="R325" s="161">
        <v>0.42630251400873798</v>
      </c>
      <c r="S325" s="161">
        <v>2.26628338139261E-2</v>
      </c>
      <c r="T325" s="161">
        <v>0.79955217948280399</v>
      </c>
      <c r="U325" s="161">
        <v>1.1426701689897201</v>
      </c>
      <c r="V325" s="161">
        <v>0.41166871553693002</v>
      </c>
      <c r="W325" s="161"/>
      <c r="X325" s="58"/>
      <c r="Y325" s="160"/>
      <c r="Z325" s="160"/>
      <c r="AA325" s="160"/>
      <c r="AB325" s="160"/>
      <c r="AC325" s="160"/>
      <c r="AD325" s="162"/>
      <c r="AE325" s="161"/>
    </row>
    <row r="326" spans="1:31" ht="21.2" customHeight="1">
      <c r="A326" s="8" t="s">
        <v>298</v>
      </c>
      <c r="B326" s="158" t="s">
        <v>887</v>
      </c>
      <c r="C326" s="163">
        <v>21</v>
      </c>
      <c r="D326" s="158" t="s">
        <v>849</v>
      </c>
      <c r="E326" s="58">
        <v>72.946785714285696</v>
      </c>
      <c r="F326" s="160">
        <v>21.8423006121808</v>
      </c>
      <c r="G326" s="161">
        <v>7.31518327343465E-2</v>
      </c>
      <c r="H326" s="161">
        <v>0.33146011142207299</v>
      </c>
      <c r="I326" s="161">
        <v>0.40461194415641999</v>
      </c>
      <c r="J326" s="161">
        <v>1.6410834174825</v>
      </c>
      <c r="K326" s="161">
        <v>5.8277530939738302E-3</v>
      </c>
      <c r="L326" s="161">
        <v>0.12151724561006801</v>
      </c>
      <c r="M326" s="161">
        <v>1.76407865584515E-3</v>
      </c>
      <c r="N326" s="161">
        <v>8.0286263849889804E-3</v>
      </c>
      <c r="O326" s="161">
        <v>1.32853651176323</v>
      </c>
      <c r="P326" s="161">
        <v>1.06259765372441</v>
      </c>
      <c r="Q326" s="161">
        <v>-0.117901231633166</v>
      </c>
      <c r="R326" s="161">
        <v>0.33025055848524398</v>
      </c>
      <c r="S326" s="161">
        <v>7.0125560190771596E-3</v>
      </c>
      <c r="T326" s="161">
        <v>0</v>
      </c>
      <c r="U326" s="161">
        <v>0</v>
      </c>
      <c r="V326" s="161">
        <v>0</v>
      </c>
      <c r="W326" s="161"/>
      <c r="X326" s="58"/>
      <c r="Y326" s="160"/>
      <c r="Z326" s="160"/>
      <c r="AA326" s="160"/>
      <c r="AB326" s="160"/>
      <c r="AC326" s="160"/>
      <c r="AD326" s="162"/>
      <c r="AE326" s="161"/>
    </row>
    <row r="327" spans="1:31" ht="21.2" customHeight="1">
      <c r="A327" s="8" t="s">
        <v>288</v>
      </c>
      <c r="B327" s="158" t="s">
        <v>859</v>
      </c>
      <c r="C327" s="159">
        <v>33</v>
      </c>
      <c r="D327" s="158" t="s">
        <v>849</v>
      </c>
      <c r="E327" s="58">
        <v>79.323571428571398</v>
      </c>
      <c r="F327" s="160">
        <v>22.213327102383701</v>
      </c>
      <c r="G327" s="161">
        <v>9.5508696186406103E-2</v>
      </c>
      <c r="H327" s="161">
        <v>0.30611247926452101</v>
      </c>
      <c r="I327" s="161">
        <v>0.40162117545092701</v>
      </c>
      <c r="J327" s="161">
        <v>1.8633698382572601</v>
      </c>
      <c r="K327" s="161">
        <v>1.00414323843942E-3</v>
      </c>
      <c r="L327" s="161">
        <v>4.5874769707836001E-2</v>
      </c>
      <c r="M327" s="161">
        <v>-5.9073615357913695E-4</v>
      </c>
      <c r="N327" s="161">
        <v>8.1107961605903795E-3</v>
      </c>
      <c r="O327" s="161">
        <v>1.3546560637540701</v>
      </c>
      <c r="P327" s="161">
        <v>1.1172803689562101</v>
      </c>
      <c r="Q327" s="161">
        <v>0.109876271276031</v>
      </c>
      <c r="R327" s="161">
        <v>0.43808182645468902</v>
      </c>
      <c r="S327" s="161">
        <v>1.5118001260958301E-2</v>
      </c>
      <c r="T327" s="161">
        <v>0</v>
      </c>
      <c r="U327" s="161">
        <v>0</v>
      </c>
      <c r="V327" s="161">
        <v>0</v>
      </c>
      <c r="W327" s="161"/>
      <c r="X327" s="58"/>
      <c r="Y327" s="160"/>
      <c r="Z327" s="160"/>
      <c r="AA327" s="160"/>
      <c r="AB327" s="160"/>
      <c r="AC327" s="160"/>
      <c r="AD327" s="162"/>
      <c r="AE327" s="161"/>
    </row>
    <row r="328" spans="1:31" ht="21.2" customHeight="1">
      <c r="A328" s="8" t="s">
        <v>330</v>
      </c>
      <c r="B328" s="158" t="s">
        <v>892</v>
      </c>
      <c r="C328" s="159">
        <v>33</v>
      </c>
      <c r="D328" s="158" t="s">
        <v>849</v>
      </c>
      <c r="E328" s="58">
        <v>77.868214285714302</v>
      </c>
      <c r="F328" s="160">
        <v>17.458222504210799</v>
      </c>
      <c r="G328" s="161">
        <v>6.5685156063757993E-2</v>
      </c>
      <c r="H328" s="161">
        <v>0.33273312729591997</v>
      </c>
      <c r="I328" s="161">
        <v>0.39841828335967799</v>
      </c>
      <c r="J328" s="161">
        <v>1.3182416823131</v>
      </c>
      <c r="K328" s="161">
        <v>1.6869573490796801E-2</v>
      </c>
      <c r="L328" s="161">
        <v>0.143469410742913</v>
      </c>
      <c r="M328" s="161">
        <v>3.9026691730790901E-5</v>
      </c>
      <c r="N328" s="161">
        <v>1.3129899065858499E-4</v>
      </c>
      <c r="O328" s="161">
        <v>1.0651246769401499</v>
      </c>
      <c r="P328" s="161">
        <v>0.654638239905727</v>
      </c>
      <c r="Q328" s="161">
        <v>-3.7575410412883001E-3</v>
      </c>
      <c r="R328" s="161">
        <v>0.38766784643574898</v>
      </c>
      <c r="S328" s="161">
        <v>9.2327696560127806E-3</v>
      </c>
      <c r="T328" s="161">
        <v>0</v>
      </c>
      <c r="U328" s="161">
        <v>0</v>
      </c>
      <c r="V328" s="161">
        <v>0</v>
      </c>
      <c r="W328" s="161"/>
      <c r="X328" s="58"/>
      <c r="Y328" s="160"/>
      <c r="Z328" s="160"/>
      <c r="AA328" s="160"/>
      <c r="AB328" s="160"/>
      <c r="AC328" s="160"/>
      <c r="AD328" s="162"/>
      <c r="AE328" s="161"/>
    </row>
    <row r="329" spans="1:31" ht="21.2" customHeight="1">
      <c r="A329" s="8" t="s">
        <v>669</v>
      </c>
      <c r="B329" s="158" t="s">
        <v>859</v>
      </c>
      <c r="C329" s="159">
        <v>23</v>
      </c>
      <c r="D329" s="158" t="s">
        <v>846</v>
      </c>
      <c r="E329" s="58">
        <v>74.28</v>
      </c>
      <c r="F329" s="160">
        <v>14.364570120730001</v>
      </c>
      <c r="G329" s="161">
        <v>0.17698282021797901</v>
      </c>
      <c r="H329" s="161">
        <v>0.218333410995359</v>
      </c>
      <c r="I329" s="161">
        <v>0.39531623121333798</v>
      </c>
      <c r="J329" s="161">
        <v>1.3693724674794601</v>
      </c>
      <c r="K329" s="161">
        <v>1.4030039796527999E-2</v>
      </c>
      <c r="L329" s="161">
        <v>3.4787781506854902E-2</v>
      </c>
      <c r="M329" s="161">
        <v>1.7866029014825899E-2</v>
      </c>
      <c r="N329" s="161">
        <v>2.82654161254615E-2</v>
      </c>
      <c r="O329" s="161">
        <v>0.39397139537804299</v>
      </c>
      <c r="P329" s="161">
        <v>0.77413274824709499</v>
      </c>
      <c r="Q329" s="161">
        <v>6.4581321093127406E-2</v>
      </c>
      <c r="R329" s="161">
        <v>0.27932396815247201</v>
      </c>
      <c r="S329" s="161">
        <v>2.8014480419681301E-2</v>
      </c>
      <c r="T329" s="161">
        <v>4.8551759583505598</v>
      </c>
      <c r="U329" s="161">
        <v>5.3091190010110498</v>
      </c>
      <c r="V329" s="161">
        <v>0.47766972306119498</v>
      </c>
      <c r="W329" s="161"/>
      <c r="X329" s="58"/>
      <c r="Y329" s="160"/>
      <c r="Z329" s="160"/>
      <c r="AA329" s="160"/>
      <c r="AB329" s="160"/>
      <c r="AC329" s="160"/>
      <c r="AD329" s="162"/>
      <c r="AE329" s="161"/>
    </row>
    <row r="330" spans="1:31" ht="21.2" customHeight="1">
      <c r="A330" s="8" t="s">
        <v>346</v>
      </c>
      <c r="B330" s="158" t="s">
        <v>867</v>
      </c>
      <c r="C330" s="159">
        <v>20</v>
      </c>
      <c r="D330" s="158" t="s">
        <v>849</v>
      </c>
      <c r="E330" s="58">
        <v>74</v>
      </c>
      <c r="F330" s="160">
        <v>20</v>
      </c>
      <c r="G330" s="161">
        <v>7.7316917280436298E-2</v>
      </c>
      <c r="H330" s="161">
        <v>0.31782779452183302</v>
      </c>
      <c r="I330" s="161">
        <v>0.39514471180227001</v>
      </c>
      <c r="J330" s="161">
        <v>1.5670472683519401</v>
      </c>
      <c r="K330" s="161">
        <v>1.4223456836766801E-2</v>
      </c>
      <c r="L330" s="161">
        <v>7.2692031062371196E-2</v>
      </c>
      <c r="M330" s="161">
        <v>0</v>
      </c>
      <c r="N330" s="161">
        <v>0</v>
      </c>
      <c r="O330" s="161">
        <v>1.2926829268292701</v>
      </c>
      <c r="P330" s="161">
        <v>1.31795062491404</v>
      </c>
      <c r="Q330" s="161">
        <v>9.8780487804877998E-3</v>
      </c>
      <c r="R330" s="161">
        <v>0.47101002824870403</v>
      </c>
      <c r="S330" s="161">
        <v>1.2415273437080701E-2</v>
      </c>
      <c r="T330" s="161">
        <v>0</v>
      </c>
      <c r="U330" s="161">
        <v>0</v>
      </c>
      <c r="V330" s="161">
        <v>0</v>
      </c>
      <c r="W330" s="161"/>
      <c r="X330" s="58"/>
      <c r="Y330" s="161"/>
      <c r="Z330" s="161"/>
      <c r="AA330" s="161"/>
      <c r="AB330" s="161"/>
      <c r="AC330" s="160"/>
      <c r="AD330" s="162"/>
      <c r="AE330" s="161"/>
    </row>
    <row r="331" spans="1:31" ht="21.2" customHeight="1">
      <c r="A331" s="8" t="s">
        <v>511</v>
      </c>
      <c r="B331" s="158" t="s">
        <v>895</v>
      </c>
      <c r="C331" s="159">
        <v>35</v>
      </c>
      <c r="D331" s="158" t="s">
        <v>848</v>
      </c>
      <c r="E331" s="58">
        <v>82.03</v>
      </c>
      <c r="F331" s="160">
        <v>12.596116615853701</v>
      </c>
      <c r="G331" s="161">
        <v>0.118341877110403</v>
      </c>
      <c r="H331" s="161">
        <v>0.27642704348033298</v>
      </c>
      <c r="I331" s="161">
        <v>0.39476892059073698</v>
      </c>
      <c r="J331" s="161">
        <v>1.6512034455437301</v>
      </c>
      <c r="K331" s="161">
        <v>1.7481936349217901E-2</v>
      </c>
      <c r="L331" s="161">
        <v>8.2756117043890895E-2</v>
      </c>
      <c r="M331" s="161">
        <v>0</v>
      </c>
      <c r="N331" s="161">
        <v>0</v>
      </c>
      <c r="O331" s="161">
        <v>0.30259835448046501</v>
      </c>
      <c r="P331" s="161">
        <v>0.25133601816967099</v>
      </c>
      <c r="Q331" s="161">
        <v>-1.16621981532364E-2</v>
      </c>
      <c r="R331" s="161">
        <v>0.29057269999070001</v>
      </c>
      <c r="S331" s="161">
        <v>0</v>
      </c>
      <c r="T331" s="161">
        <v>4.3875209561678202E-2</v>
      </c>
      <c r="U331" s="161">
        <v>8.2163852415435501E-2</v>
      </c>
      <c r="V331" s="161">
        <v>0.34810802995062801</v>
      </c>
      <c r="W331" s="161"/>
      <c r="X331" s="58"/>
      <c r="Y331" s="160"/>
      <c r="Z331" s="160"/>
      <c r="AA331" s="160"/>
      <c r="AB331" s="160"/>
      <c r="AC331" s="160"/>
      <c r="AD331" s="162"/>
      <c r="AE331" s="161"/>
    </row>
    <row r="332" spans="1:31" ht="21.2" customHeight="1">
      <c r="A332" s="8" t="s">
        <v>301</v>
      </c>
      <c r="B332" s="158" t="s">
        <v>876</v>
      </c>
      <c r="C332" s="159">
        <v>30</v>
      </c>
      <c r="D332" s="158" t="s">
        <v>849</v>
      </c>
      <c r="E332" s="58">
        <v>78.44</v>
      </c>
      <c r="F332" s="160">
        <v>23.0827304398059</v>
      </c>
      <c r="G332" s="161">
        <v>6.5753090428509006E-2</v>
      </c>
      <c r="H332" s="161">
        <v>0.32782269524675101</v>
      </c>
      <c r="I332" s="161">
        <v>0.39357578567526003</v>
      </c>
      <c r="J332" s="161">
        <v>1.70015839644355</v>
      </c>
      <c r="K332" s="161">
        <v>1.27157509030667E-3</v>
      </c>
      <c r="L332" s="161">
        <v>2.04387416253402E-2</v>
      </c>
      <c r="M332" s="161">
        <v>-3.5248379097883401E-5</v>
      </c>
      <c r="N332" s="161">
        <v>7.0444555151742702E-3</v>
      </c>
      <c r="O332" s="161">
        <v>1.86540394493912</v>
      </c>
      <c r="P332" s="161">
        <v>1.28724146851198</v>
      </c>
      <c r="Q332" s="161">
        <v>-7.9024070647279093E-2</v>
      </c>
      <c r="R332" s="161">
        <v>0.37228467841725998</v>
      </c>
      <c r="S332" s="161">
        <v>7.5663877309627304E-3</v>
      </c>
      <c r="T332" s="161">
        <v>0</v>
      </c>
      <c r="U332" s="161">
        <v>0</v>
      </c>
      <c r="V332" s="161">
        <v>0</v>
      </c>
      <c r="W332" s="161"/>
      <c r="X332" s="58"/>
      <c r="Y332" s="160"/>
      <c r="Z332" s="160"/>
      <c r="AA332" s="160"/>
      <c r="AB332" s="160"/>
      <c r="AC332" s="160"/>
      <c r="AD332" s="162"/>
      <c r="AE332" s="161"/>
    </row>
    <row r="333" spans="1:31" ht="21.2" customHeight="1">
      <c r="A333" s="8" t="s">
        <v>602</v>
      </c>
      <c r="B333" s="158" t="s">
        <v>892</v>
      </c>
      <c r="C333" s="163">
        <v>24</v>
      </c>
      <c r="D333" s="158" t="s">
        <v>848</v>
      </c>
      <c r="E333" s="58">
        <v>76.2</v>
      </c>
      <c r="F333" s="160">
        <v>13.4132314240788</v>
      </c>
      <c r="G333" s="161">
        <v>0.16882067985282101</v>
      </c>
      <c r="H333" s="161">
        <v>0.22129206285238501</v>
      </c>
      <c r="I333" s="161">
        <v>0.39011274270520602</v>
      </c>
      <c r="J333" s="161">
        <v>1.28499748012687</v>
      </c>
      <c r="K333" s="161">
        <v>1.0818183638311401E-2</v>
      </c>
      <c r="L333" s="161">
        <v>2.3363785984656601E-2</v>
      </c>
      <c r="M333" s="161">
        <v>5.2383512170973701E-3</v>
      </c>
      <c r="N333" s="161">
        <v>1.1600553889052199E-2</v>
      </c>
      <c r="O333" s="161">
        <v>0.369505606398283</v>
      </c>
      <c r="P333" s="161">
        <v>1.10744841502799</v>
      </c>
      <c r="Q333" s="161">
        <v>8.9732008537053503E-4</v>
      </c>
      <c r="R333" s="161">
        <v>0.33468020794418701</v>
      </c>
      <c r="S333" s="161">
        <v>2.37295995573127E-2</v>
      </c>
      <c r="T333" s="161">
        <v>4.3242538595989297E-2</v>
      </c>
      <c r="U333" s="161">
        <v>9.3356214766553799E-2</v>
      </c>
      <c r="V333" s="161">
        <v>0.316566129130186</v>
      </c>
      <c r="W333" s="161"/>
      <c r="X333" s="58"/>
      <c r="Y333" s="160"/>
      <c r="Z333" s="160"/>
      <c r="AA333" s="160"/>
      <c r="AB333" s="160"/>
      <c r="AC333" s="160"/>
      <c r="AD333" s="162"/>
      <c r="AE333" s="161"/>
    </row>
    <row r="334" spans="1:31" ht="21.2" customHeight="1">
      <c r="A334" s="8" t="s">
        <v>564</v>
      </c>
      <c r="B334" s="158" t="s">
        <v>893</v>
      </c>
      <c r="C334" s="159">
        <v>23</v>
      </c>
      <c r="D334" s="158" t="s">
        <v>864</v>
      </c>
      <c r="E334" s="58">
        <v>65.917500000000004</v>
      </c>
      <c r="F334" s="160">
        <v>12.9291446136325</v>
      </c>
      <c r="G334" s="161">
        <v>0.12708402040292599</v>
      </c>
      <c r="H334" s="161">
        <v>0.26280584276077801</v>
      </c>
      <c r="I334" s="161">
        <v>0.389889863163704</v>
      </c>
      <c r="J334" s="161">
        <v>2.0788068798792798</v>
      </c>
      <c r="K334" s="161">
        <v>4.04896210777956E-2</v>
      </c>
      <c r="L334" s="161">
        <v>0.108291968980699</v>
      </c>
      <c r="M334" s="161">
        <v>6.6713751002704099E-5</v>
      </c>
      <c r="N334" s="161">
        <v>1.3426495082042401E-4</v>
      </c>
      <c r="O334" s="161">
        <v>0.33265562455889502</v>
      </c>
      <c r="P334" s="161">
        <v>0.91793598370560603</v>
      </c>
      <c r="Q334" s="161">
        <v>-3.5599089873670502E-3</v>
      </c>
      <c r="R334" s="161">
        <v>0.22960275453505999</v>
      </c>
      <c r="S334" s="161">
        <v>1.5778212428279401E-2</v>
      </c>
      <c r="T334" s="161">
        <v>0.110519355074139</v>
      </c>
      <c r="U334" s="161">
        <v>0.135284030406459</v>
      </c>
      <c r="V334" s="161">
        <v>0.44962503204766602</v>
      </c>
      <c r="W334" s="161"/>
      <c r="X334" s="58"/>
      <c r="Y334" s="160"/>
      <c r="Z334" s="160"/>
      <c r="AA334" s="160"/>
      <c r="AB334" s="160"/>
      <c r="AC334" s="160"/>
      <c r="AD334" s="162"/>
      <c r="AE334" s="161"/>
    </row>
    <row r="335" spans="1:31" ht="21.2" customHeight="1">
      <c r="A335" s="8" t="s">
        <v>665</v>
      </c>
      <c r="B335" s="158" t="s">
        <v>882</v>
      </c>
      <c r="C335" s="159">
        <v>27</v>
      </c>
      <c r="D335" s="158" t="s">
        <v>847</v>
      </c>
      <c r="E335" s="58">
        <v>74.834999999999994</v>
      </c>
      <c r="F335" s="160">
        <v>12.3635814012576</v>
      </c>
      <c r="G335" s="161">
        <v>0.14418971907299999</v>
      </c>
      <c r="H335" s="161">
        <v>0.245223546294979</v>
      </c>
      <c r="I335" s="161">
        <v>0.38941326536797899</v>
      </c>
      <c r="J335" s="161">
        <v>1.242763231998</v>
      </c>
      <c r="K335" s="161">
        <v>1.20258636606066E-2</v>
      </c>
      <c r="L335" s="161">
        <v>3.2751784672122801E-2</v>
      </c>
      <c r="M335" s="161">
        <v>9.6301635341080194E-6</v>
      </c>
      <c r="N335" s="161">
        <v>1.8117422739915701E-5</v>
      </c>
      <c r="O335" s="161">
        <v>0.25828101102377599</v>
      </c>
      <c r="P335" s="161">
        <v>0.66192422588792599</v>
      </c>
      <c r="Q335" s="161">
        <v>-3.3121679483123702E-2</v>
      </c>
      <c r="R335" s="161">
        <v>0.22455390074233</v>
      </c>
      <c r="S335" s="161">
        <v>1.7736184246504E-2</v>
      </c>
      <c r="T335" s="161">
        <v>0</v>
      </c>
      <c r="U335" s="161">
        <v>4.8407614189865502E-3</v>
      </c>
      <c r="V335" s="161">
        <v>0</v>
      </c>
      <c r="W335" s="161"/>
      <c r="X335" s="58"/>
      <c r="Y335" s="160"/>
      <c r="Z335" s="160"/>
      <c r="AA335" s="160"/>
      <c r="AB335" s="160"/>
      <c r="AC335" s="160"/>
      <c r="AD335" s="162"/>
      <c r="AE335" s="161"/>
    </row>
    <row r="336" spans="1:31" ht="21.2" customHeight="1">
      <c r="A336" s="8" t="s">
        <v>376</v>
      </c>
      <c r="B336" s="158" t="s">
        <v>890</v>
      </c>
      <c r="C336" s="163">
        <v>27</v>
      </c>
      <c r="D336" s="158" t="s">
        <v>849</v>
      </c>
      <c r="E336" s="58">
        <v>66.400000000000006</v>
      </c>
      <c r="F336" s="160">
        <v>16.0190706365964</v>
      </c>
      <c r="G336" s="161">
        <v>9.5727521449174999E-2</v>
      </c>
      <c r="H336" s="161">
        <v>0.29354290431943197</v>
      </c>
      <c r="I336" s="161">
        <v>0.38927042576860699</v>
      </c>
      <c r="J336" s="161">
        <v>1.7612187118146601</v>
      </c>
      <c r="K336" s="161">
        <v>1.7273359081069899E-2</v>
      </c>
      <c r="L336" s="161">
        <v>0.10048599790660399</v>
      </c>
      <c r="M336" s="161">
        <v>4.4666380069463703E-5</v>
      </c>
      <c r="N336" s="161">
        <v>1.9896223330468401E-4</v>
      </c>
      <c r="O336" s="161">
        <v>0.91169907232941605</v>
      </c>
      <c r="P336" s="161">
        <v>0.73545361712457402</v>
      </c>
      <c r="Q336" s="161">
        <v>5.7960223019646803E-2</v>
      </c>
      <c r="R336" s="161">
        <v>0.45154952143513799</v>
      </c>
      <c r="S336" s="161">
        <v>1.1252353004366699E-2</v>
      </c>
      <c r="T336" s="161">
        <v>0</v>
      </c>
      <c r="U336" s="161">
        <v>0</v>
      </c>
      <c r="V336" s="161">
        <v>0</v>
      </c>
      <c r="W336" s="161"/>
      <c r="X336" s="58"/>
      <c r="Y336" s="160"/>
      <c r="Z336" s="160"/>
      <c r="AA336" s="160"/>
      <c r="AB336" s="160"/>
      <c r="AC336" s="160"/>
      <c r="AD336" s="162"/>
      <c r="AE336" s="161"/>
    </row>
    <row r="337" spans="1:31" ht="21.2" customHeight="1">
      <c r="A337" s="8" t="s">
        <v>682</v>
      </c>
      <c r="B337" s="158" t="s">
        <v>883</v>
      </c>
      <c r="C337" s="159">
        <v>25</v>
      </c>
      <c r="D337" s="158" t="s">
        <v>846</v>
      </c>
      <c r="E337" s="58">
        <v>78.006071428571403</v>
      </c>
      <c r="F337" s="160">
        <v>12.907922936210801</v>
      </c>
      <c r="G337" s="161">
        <v>0.14084238735589399</v>
      </c>
      <c r="H337" s="161">
        <v>0.24752815979317999</v>
      </c>
      <c r="I337" s="161">
        <v>0.38837054714907399</v>
      </c>
      <c r="J337" s="161">
        <v>1.1937006489955599</v>
      </c>
      <c r="K337" s="161">
        <v>8.1111638908299896E-4</v>
      </c>
      <c r="L337" s="161">
        <v>2.0245084861605701E-3</v>
      </c>
      <c r="M337" s="161">
        <v>5.9956055157568697E-3</v>
      </c>
      <c r="N337" s="161">
        <v>3.07460804717791E-2</v>
      </c>
      <c r="O337" s="161">
        <v>0.38925366855865001</v>
      </c>
      <c r="P337" s="161">
        <v>1.1266829811069801</v>
      </c>
      <c r="Q337" s="161">
        <v>8.6414673740617294E-3</v>
      </c>
      <c r="R337" s="161">
        <v>0.52988016723193698</v>
      </c>
      <c r="S337" s="161">
        <v>2.0853272560399101E-2</v>
      </c>
      <c r="T337" s="161">
        <v>5.0076310220211999</v>
      </c>
      <c r="U337" s="161">
        <v>4.7372789252404504</v>
      </c>
      <c r="V337" s="161">
        <v>0.51387145177553495</v>
      </c>
      <c r="W337" s="161"/>
      <c r="X337" s="58"/>
      <c r="Y337" s="160"/>
      <c r="Z337" s="160"/>
      <c r="AA337" s="160"/>
      <c r="AB337" s="160"/>
      <c r="AC337" s="160"/>
      <c r="AD337" s="162"/>
      <c r="AE337" s="161"/>
    </row>
    <row r="338" spans="1:31" ht="21.2" customHeight="1">
      <c r="A338" s="8" t="s">
        <v>662</v>
      </c>
      <c r="B338" s="158" t="s">
        <v>894</v>
      </c>
      <c r="C338" s="159">
        <v>19</v>
      </c>
      <c r="D338" s="158" t="s">
        <v>847</v>
      </c>
      <c r="E338" s="58">
        <v>64.185000000000002</v>
      </c>
      <c r="F338" s="160">
        <v>13.636793699976399</v>
      </c>
      <c r="G338" s="161">
        <v>0.15845044443449799</v>
      </c>
      <c r="H338" s="161">
        <v>0.22849522689358001</v>
      </c>
      <c r="I338" s="161">
        <v>0.386945671328078</v>
      </c>
      <c r="J338" s="161">
        <v>1.5857607198727799</v>
      </c>
      <c r="K338" s="161">
        <v>3.6218541226370499E-2</v>
      </c>
      <c r="L338" s="161">
        <v>7.9567767149764795E-2</v>
      </c>
      <c r="M338" s="161">
        <v>1.3115530868341E-5</v>
      </c>
      <c r="N338" s="161">
        <v>2.68422654664596E-5</v>
      </c>
      <c r="O338" s="161">
        <v>0.655220113378288</v>
      </c>
      <c r="P338" s="161">
        <v>1.44953750425234</v>
      </c>
      <c r="Q338" s="161">
        <v>-0.10212115583074401</v>
      </c>
      <c r="R338" s="161">
        <v>0.48913417668832798</v>
      </c>
      <c r="S338" s="161">
        <v>1.62319985845421E-2</v>
      </c>
      <c r="T338" s="161">
        <v>0.14312335957153999</v>
      </c>
      <c r="U338" s="161">
        <v>0.14312335957153999</v>
      </c>
      <c r="V338" s="161">
        <v>0.5</v>
      </c>
      <c r="W338" s="161"/>
      <c r="X338" s="58"/>
      <c r="Y338" s="160"/>
      <c r="Z338" s="160"/>
      <c r="AA338" s="160"/>
      <c r="AB338" s="160"/>
      <c r="AC338" s="160"/>
      <c r="AD338" s="162"/>
      <c r="AE338" s="161"/>
    </row>
    <row r="339" spans="1:31" ht="21.2" customHeight="1">
      <c r="A339" s="8" t="s">
        <v>610</v>
      </c>
      <c r="B339" s="158" t="s">
        <v>892</v>
      </c>
      <c r="C339" s="159">
        <v>31</v>
      </c>
      <c r="D339" s="158" t="s">
        <v>864</v>
      </c>
      <c r="E339" s="58">
        <v>71.2</v>
      </c>
      <c r="F339" s="160">
        <v>14.182909283536601</v>
      </c>
      <c r="G339" s="161">
        <v>0.17739964173911299</v>
      </c>
      <c r="H339" s="161">
        <v>0.20847725203935899</v>
      </c>
      <c r="I339" s="161">
        <v>0.38587689377847201</v>
      </c>
      <c r="J339" s="161">
        <v>1.41076471171991</v>
      </c>
      <c r="K339" s="161">
        <v>1.4835607116083899E-3</v>
      </c>
      <c r="L339" s="161">
        <v>2.5601600308793001E-3</v>
      </c>
      <c r="M339" s="161">
        <v>1.5774756030300201E-2</v>
      </c>
      <c r="N339" s="161">
        <v>1.7110427762602201E-2</v>
      </c>
      <c r="O339" s="161">
        <v>0.79442088644628805</v>
      </c>
      <c r="P339" s="161">
        <v>2.3133128511363901</v>
      </c>
      <c r="Q339" s="161">
        <v>1.1365810754612999E-2</v>
      </c>
      <c r="R339" s="161">
        <v>0.39601231070502402</v>
      </c>
      <c r="S339" s="161">
        <v>2.4935466814550701E-2</v>
      </c>
      <c r="T339" s="161">
        <v>6.3778513472852294E-2</v>
      </c>
      <c r="U339" s="161">
        <v>0.22670186075599999</v>
      </c>
      <c r="V339" s="161">
        <v>0.219562211878056</v>
      </c>
      <c r="W339" s="161"/>
      <c r="X339" s="58"/>
      <c r="Y339" s="160"/>
      <c r="Z339" s="160"/>
      <c r="AA339" s="160"/>
      <c r="AB339" s="160"/>
      <c r="AC339" s="160"/>
      <c r="AD339" s="162"/>
      <c r="AE339" s="161"/>
    </row>
    <row r="340" spans="1:31" ht="21.2" customHeight="1">
      <c r="A340" s="8" t="s">
        <v>609</v>
      </c>
      <c r="B340" s="158" t="s">
        <v>886</v>
      </c>
      <c r="C340" s="163">
        <v>28</v>
      </c>
      <c r="D340" s="158" t="s">
        <v>847</v>
      </c>
      <c r="E340" s="58">
        <v>74.216785714285706</v>
      </c>
      <c r="F340" s="160">
        <v>12.603615948252401</v>
      </c>
      <c r="G340" s="161">
        <v>0.20081913095378001</v>
      </c>
      <c r="H340" s="161">
        <v>0.183441327860661</v>
      </c>
      <c r="I340" s="161">
        <v>0.38426045881444099</v>
      </c>
      <c r="J340" s="161">
        <v>1.8361939407833401</v>
      </c>
      <c r="K340" s="161">
        <v>4.3972957543454896E-3</v>
      </c>
      <c r="L340" s="161">
        <v>1.1211013914329999E-2</v>
      </c>
      <c r="M340" s="161">
        <v>8.2487110846799004E-4</v>
      </c>
      <c r="N340" s="161">
        <v>1.5523194020265101E-3</v>
      </c>
      <c r="O340" s="161">
        <v>0.37479964971171098</v>
      </c>
      <c r="P340" s="161">
        <v>2.1791334081889802</v>
      </c>
      <c r="Q340" s="161">
        <v>8.5062136123656498E-2</v>
      </c>
      <c r="R340" s="161">
        <v>0.42329978788957601</v>
      </c>
      <c r="S340" s="161">
        <v>3.2819325299220603E-2</v>
      </c>
      <c r="T340" s="161">
        <v>4.6146895725361299E-2</v>
      </c>
      <c r="U340" s="161">
        <v>0.101066568608041</v>
      </c>
      <c r="V340" s="161">
        <v>0.31346925999139502</v>
      </c>
      <c r="W340" s="161"/>
      <c r="X340" s="58"/>
      <c r="Y340" s="160"/>
      <c r="Z340" s="160"/>
      <c r="AA340" s="160"/>
      <c r="AB340" s="160"/>
      <c r="AC340" s="160"/>
      <c r="AD340" s="162"/>
      <c r="AE340" s="161"/>
    </row>
    <row r="341" spans="1:31" ht="21.2" customHeight="1">
      <c r="A341" s="8" t="s">
        <v>561</v>
      </c>
      <c r="B341" s="158" t="s">
        <v>891</v>
      </c>
      <c r="C341" s="159">
        <v>23</v>
      </c>
      <c r="D341" s="158" t="s">
        <v>848</v>
      </c>
      <c r="E341" s="58">
        <v>70.692857142857093</v>
      </c>
      <c r="F341" s="160">
        <v>12.059634716664901</v>
      </c>
      <c r="G341" s="161">
        <v>0.18090476702094099</v>
      </c>
      <c r="H341" s="161">
        <v>0.202581859263854</v>
      </c>
      <c r="I341" s="161">
        <v>0.38348662628479502</v>
      </c>
      <c r="J341" s="161">
        <v>1.93572150018844</v>
      </c>
      <c r="K341" s="161">
        <v>4.0465756823593199E-2</v>
      </c>
      <c r="L341" s="161">
        <v>7.4520782469203004E-2</v>
      </c>
      <c r="M341" s="161">
        <v>3.57538537301124E-6</v>
      </c>
      <c r="N341" s="161">
        <v>7.0448749288000597E-6</v>
      </c>
      <c r="O341" s="161">
        <v>0.36712049729570501</v>
      </c>
      <c r="P341" s="161">
        <v>1.3935880559087801</v>
      </c>
      <c r="Q341" s="161">
        <v>1.9288367316268901E-2</v>
      </c>
      <c r="R341" s="161">
        <v>0.60611784428173199</v>
      </c>
      <c r="S341" s="161">
        <v>2.79537406022041E-2</v>
      </c>
      <c r="T341" s="161">
        <v>0.17147932657773901</v>
      </c>
      <c r="U341" s="161">
        <v>0.25367662305189398</v>
      </c>
      <c r="V341" s="161">
        <v>0.40333276936879198</v>
      </c>
      <c r="W341" s="161"/>
      <c r="X341" s="58"/>
      <c r="Y341" s="160"/>
      <c r="Z341" s="160"/>
      <c r="AA341" s="160"/>
      <c r="AB341" s="160"/>
      <c r="AC341" s="160"/>
      <c r="AD341" s="162"/>
      <c r="AE341" s="161"/>
    </row>
    <row r="342" spans="1:31" ht="21.2" customHeight="1">
      <c r="A342" s="8" t="s">
        <v>553</v>
      </c>
      <c r="B342" s="158" t="s">
        <v>894</v>
      </c>
      <c r="C342" s="159">
        <v>31</v>
      </c>
      <c r="D342" s="158" t="s">
        <v>848</v>
      </c>
      <c r="E342" s="58">
        <v>67.392499999999998</v>
      </c>
      <c r="F342" s="160">
        <v>13.6606361414098</v>
      </c>
      <c r="G342" s="161">
        <v>0.16833179053234101</v>
      </c>
      <c r="H342" s="161">
        <v>0.21514113403467799</v>
      </c>
      <c r="I342" s="161">
        <v>0.38347292456701998</v>
      </c>
      <c r="J342" s="161">
        <v>2.3286605131684901</v>
      </c>
      <c r="K342" s="161">
        <v>2.5801078814682799E-2</v>
      </c>
      <c r="L342" s="161">
        <v>5.1170610559706599E-2</v>
      </c>
      <c r="M342" s="161">
        <v>3.5002869495505599E-5</v>
      </c>
      <c r="N342" s="161">
        <v>6.2357722531970397E-5</v>
      </c>
      <c r="O342" s="161">
        <v>0.40970149146735202</v>
      </c>
      <c r="P342" s="161">
        <v>0.77258234039391305</v>
      </c>
      <c r="Q342" s="161">
        <v>-6.20492834086874E-2</v>
      </c>
      <c r="R342" s="161">
        <v>0.64086583819125897</v>
      </c>
      <c r="S342" s="161">
        <v>1.72442645737351E-2</v>
      </c>
      <c r="T342" s="161">
        <v>0.22199579107138501</v>
      </c>
      <c r="U342" s="161">
        <v>0.33225430489076802</v>
      </c>
      <c r="V342" s="161">
        <v>0.40053360872407401</v>
      </c>
      <c r="W342" s="161"/>
      <c r="X342" s="58"/>
      <c r="Y342" s="160"/>
      <c r="Z342" s="160"/>
      <c r="AA342" s="160"/>
      <c r="AB342" s="160"/>
      <c r="AC342" s="160"/>
      <c r="AD342" s="162"/>
      <c r="AE342" s="161"/>
    </row>
    <row r="343" spans="1:31" ht="21.2" customHeight="1">
      <c r="A343" s="8" t="s">
        <v>678</v>
      </c>
      <c r="B343" s="158" t="s">
        <v>873</v>
      </c>
      <c r="C343" s="159">
        <v>29</v>
      </c>
      <c r="D343" s="158" t="s">
        <v>847</v>
      </c>
      <c r="E343" s="58">
        <v>57.8642857142857</v>
      </c>
      <c r="F343" s="160">
        <v>14.582448275862101</v>
      </c>
      <c r="G343" s="161">
        <v>0.16362017743831</v>
      </c>
      <c r="H343" s="161">
        <v>0.21879335855599599</v>
      </c>
      <c r="I343" s="161">
        <v>0.382413535994306</v>
      </c>
      <c r="J343" s="161">
        <v>2.1461462558522202</v>
      </c>
      <c r="K343" s="161">
        <v>4.6014569711800403E-3</v>
      </c>
      <c r="L343" s="161">
        <v>1.6635049644380499E-2</v>
      </c>
      <c r="M343" s="161">
        <v>2.7228421106401599E-3</v>
      </c>
      <c r="N343" s="161">
        <v>2.0983053007608901E-2</v>
      </c>
      <c r="O343" s="161">
        <v>0.409670702501995</v>
      </c>
      <c r="P343" s="161">
        <v>1.60591125119641</v>
      </c>
      <c r="Q343" s="161">
        <v>3.2138820486312799E-3</v>
      </c>
      <c r="R343" s="161">
        <v>0.43510182758640498</v>
      </c>
      <c r="S343" s="161">
        <v>2.31620148799568E-2</v>
      </c>
      <c r="T343" s="161">
        <v>4.7876270073166999E-2</v>
      </c>
      <c r="U343" s="161">
        <v>0.10833173901496999</v>
      </c>
      <c r="V343" s="161">
        <v>0.306490495286664</v>
      </c>
      <c r="W343" s="161"/>
      <c r="X343" s="58"/>
      <c r="Y343" s="160"/>
      <c r="Z343" s="160"/>
      <c r="AA343" s="160"/>
      <c r="AB343" s="160"/>
      <c r="AC343" s="160"/>
      <c r="AD343" s="162"/>
      <c r="AE343" s="161"/>
    </row>
    <row r="344" spans="1:31" ht="21.2" customHeight="1">
      <c r="A344" s="8" t="s">
        <v>308</v>
      </c>
      <c r="B344" s="158" t="s">
        <v>884</v>
      </c>
      <c r="C344" s="159">
        <v>29</v>
      </c>
      <c r="D344" s="158" t="s">
        <v>849</v>
      </c>
      <c r="E344" s="58">
        <v>79.966785714285706</v>
      </c>
      <c r="F344" s="160">
        <v>21.899566867578599</v>
      </c>
      <c r="G344" s="161">
        <v>6.6585629063748E-2</v>
      </c>
      <c r="H344" s="161">
        <v>0.31573812057491701</v>
      </c>
      <c r="I344" s="161">
        <v>0.382323749638665</v>
      </c>
      <c r="J344" s="161">
        <v>1.7880814816769399</v>
      </c>
      <c r="K344" s="161">
        <v>7.54670893110987E-4</v>
      </c>
      <c r="L344" s="161">
        <v>4.6930691829917401E-3</v>
      </c>
      <c r="M344" s="161">
        <v>-3.1177782964025E-6</v>
      </c>
      <c r="N344" s="161">
        <v>1.51809434076676E-2</v>
      </c>
      <c r="O344" s="161">
        <v>1.43939706384524</v>
      </c>
      <c r="P344" s="161">
        <v>0.63987421993057303</v>
      </c>
      <c r="Q344" s="161">
        <v>0.11428255885659699</v>
      </c>
      <c r="R344" s="161">
        <v>0.15620662511769301</v>
      </c>
      <c r="S344" s="161">
        <v>1.19469528190235E-2</v>
      </c>
      <c r="T344" s="161">
        <v>0</v>
      </c>
      <c r="U344" s="161">
        <v>0</v>
      </c>
      <c r="V344" s="161">
        <v>0</v>
      </c>
      <c r="W344" s="161"/>
      <c r="X344" s="58"/>
      <c r="Y344" s="160"/>
      <c r="Z344" s="160"/>
      <c r="AA344" s="160"/>
      <c r="AB344" s="160"/>
      <c r="AC344" s="160"/>
      <c r="AD344" s="162"/>
      <c r="AE344" s="161"/>
    </row>
    <row r="345" spans="1:31" ht="21.2" customHeight="1">
      <c r="A345" s="8" t="s">
        <v>538</v>
      </c>
      <c r="B345" s="158" t="s">
        <v>869</v>
      </c>
      <c r="C345" s="163">
        <v>34</v>
      </c>
      <c r="D345" s="158" t="s">
        <v>848</v>
      </c>
      <c r="E345" s="58">
        <v>79.736071428571407</v>
      </c>
      <c r="F345" s="160">
        <v>13.7212905977057</v>
      </c>
      <c r="G345" s="161">
        <v>0.131820133710735</v>
      </c>
      <c r="H345" s="161">
        <v>0.24993510500094401</v>
      </c>
      <c r="I345" s="161">
        <v>0.38175523871167899</v>
      </c>
      <c r="J345" s="161">
        <v>1.54055327600702</v>
      </c>
      <c r="K345" s="161">
        <v>1.9297760399542199E-2</v>
      </c>
      <c r="L345" s="161">
        <v>7.1836832870121506E-2</v>
      </c>
      <c r="M345" s="161">
        <v>7.08541897505333E-4</v>
      </c>
      <c r="N345" s="161">
        <v>1.0378470486588399E-3</v>
      </c>
      <c r="O345" s="161">
        <v>0.46740478445181</v>
      </c>
      <c r="P345" s="161">
        <v>0.63776399939343498</v>
      </c>
      <c r="Q345" s="161">
        <v>5.7867354746881497E-2</v>
      </c>
      <c r="R345" s="161">
        <v>0.21511850327561499</v>
      </c>
      <c r="S345" s="161">
        <v>2.10902869136111E-2</v>
      </c>
      <c r="T345" s="161">
        <v>1.53136452116576E-2</v>
      </c>
      <c r="U345" s="161">
        <v>6.8865642686658401E-2</v>
      </c>
      <c r="V345" s="161">
        <v>0.18191702013630301</v>
      </c>
      <c r="W345" s="161"/>
      <c r="X345" s="58"/>
      <c r="Y345" s="160"/>
      <c r="Z345" s="160"/>
      <c r="AA345" s="160"/>
      <c r="AB345" s="160"/>
      <c r="AC345" s="160"/>
      <c r="AD345" s="162"/>
      <c r="AE345" s="161"/>
    </row>
    <row r="346" spans="1:31" ht="21.2" customHeight="1">
      <c r="A346" s="8" t="s">
        <v>617</v>
      </c>
      <c r="B346" s="158" t="s">
        <v>895</v>
      </c>
      <c r="C346" s="159">
        <v>33</v>
      </c>
      <c r="D346" s="158" t="s">
        <v>864</v>
      </c>
      <c r="E346" s="58">
        <v>77.442142857142898</v>
      </c>
      <c r="F346" s="160">
        <v>13.1155186302065</v>
      </c>
      <c r="G346" s="161">
        <v>0.12073455120957</v>
      </c>
      <c r="H346" s="161">
        <v>0.26008367082225398</v>
      </c>
      <c r="I346" s="161">
        <v>0.38081822203182403</v>
      </c>
      <c r="J346" s="161">
        <v>1.0755443035552199</v>
      </c>
      <c r="K346" s="161">
        <v>7.3448518191553402E-3</v>
      </c>
      <c r="L346" s="161">
        <v>5.8955061105950099E-2</v>
      </c>
      <c r="M346" s="161">
        <v>0</v>
      </c>
      <c r="N346" s="161">
        <v>0</v>
      </c>
      <c r="O346" s="161">
        <v>0.35348052074588998</v>
      </c>
      <c r="P346" s="161">
        <v>0.35280514797401002</v>
      </c>
      <c r="Q346" s="161">
        <v>-7.2239160350481002E-3</v>
      </c>
      <c r="R346" s="161">
        <v>0.10003430801877</v>
      </c>
      <c r="S346" s="161">
        <v>0</v>
      </c>
      <c r="T346" s="161">
        <v>0.47501415524305901</v>
      </c>
      <c r="U346" s="161">
        <v>0.68140690740911503</v>
      </c>
      <c r="V346" s="161">
        <v>0.41076228251468</v>
      </c>
      <c r="W346" s="161"/>
      <c r="X346" s="58"/>
      <c r="Y346" s="160"/>
      <c r="Z346" s="160"/>
      <c r="AA346" s="160"/>
      <c r="AB346" s="160"/>
      <c r="AC346" s="160"/>
      <c r="AD346" s="162"/>
      <c r="AE346" s="161"/>
    </row>
    <row r="347" spans="1:31" ht="21.2" customHeight="1">
      <c r="A347" s="8" t="s">
        <v>600</v>
      </c>
      <c r="B347" s="158" t="s">
        <v>893</v>
      </c>
      <c r="C347" s="159">
        <v>25</v>
      </c>
      <c r="D347" s="158" t="s">
        <v>860</v>
      </c>
      <c r="E347" s="58">
        <v>70.341785714285706</v>
      </c>
      <c r="F347" s="160">
        <v>15.359567736059001</v>
      </c>
      <c r="G347" s="161">
        <v>0.18322063402616101</v>
      </c>
      <c r="H347" s="161">
        <v>0.19651518323182701</v>
      </c>
      <c r="I347" s="161">
        <v>0.379735817257988</v>
      </c>
      <c r="J347" s="161">
        <v>1.8352076277945999</v>
      </c>
      <c r="K347" s="161">
        <v>1.9467672567798501E-2</v>
      </c>
      <c r="L347" s="161">
        <v>4.9336525911053503E-2</v>
      </c>
      <c r="M347" s="161">
        <v>3.94946225673584E-3</v>
      </c>
      <c r="N347" s="161">
        <v>8.0997130530296099E-3</v>
      </c>
      <c r="O347" s="161">
        <v>0.76265466815300598</v>
      </c>
      <c r="P347" s="161">
        <v>2.2575673462886598</v>
      </c>
      <c r="Q347" s="161">
        <v>-1.2749612084892401E-2</v>
      </c>
      <c r="R347" s="161">
        <v>0.78552116522427595</v>
      </c>
      <c r="S347" s="161">
        <v>2.2747896043445001E-2</v>
      </c>
      <c r="T347" s="161">
        <v>0.33870899075490002</v>
      </c>
      <c r="U347" s="161">
        <v>0.47846105618308998</v>
      </c>
      <c r="V347" s="161">
        <v>0.41449021782439599</v>
      </c>
      <c r="W347" s="161"/>
      <c r="X347" s="58"/>
      <c r="Y347" s="160"/>
      <c r="Z347" s="160"/>
      <c r="AA347" s="160"/>
      <c r="AB347" s="160"/>
      <c r="AC347" s="160"/>
      <c r="AD347" s="162"/>
      <c r="AE347" s="161"/>
    </row>
    <row r="348" spans="1:31" ht="21.2" customHeight="1">
      <c r="A348" s="8" t="s">
        <v>303</v>
      </c>
      <c r="B348" s="158" t="s">
        <v>884</v>
      </c>
      <c r="C348" s="159">
        <v>28</v>
      </c>
      <c r="D348" s="158" t="s">
        <v>849</v>
      </c>
      <c r="E348" s="58">
        <v>80.233571428571395</v>
      </c>
      <c r="F348" s="160">
        <v>21.342498913871999</v>
      </c>
      <c r="G348" s="161">
        <v>7.3453583058543798E-2</v>
      </c>
      <c r="H348" s="161">
        <v>0.30567111271077202</v>
      </c>
      <c r="I348" s="161">
        <v>0.37912469576931601</v>
      </c>
      <c r="J348" s="161">
        <v>1.7752623891475601</v>
      </c>
      <c r="K348" s="161">
        <v>7.1059153259364098E-3</v>
      </c>
      <c r="L348" s="161">
        <v>3.0146475475707198E-2</v>
      </c>
      <c r="M348" s="161">
        <v>1.4666761020995999E-4</v>
      </c>
      <c r="N348" s="161">
        <v>1.24021319102366E-2</v>
      </c>
      <c r="O348" s="161">
        <v>1.38642361395407</v>
      </c>
      <c r="P348" s="161">
        <v>0.59207993685274996</v>
      </c>
      <c r="Q348" s="161">
        <v>8.9776332500762099E-2</v>
      </c>
      <c r="R348" s="161">
        <v>0.40585499184479901</v>
      </c>
      <c r="S348" s="161">
        <v>1.31792175508095E-2</v>
      </c>
      <c r="T348" s="161">
        <v>0</v>
      </c>
      <c r="U348" s="161">
        <v>0</v>
      </c>
      <c r="V348" s="161">
        <v>0</v>
      </c>
      <c r="W348" s="161"/>
      <c r="X348" s="58"/>
      <c r="Y348" s="160"/>
      <c r="Z348" s="160"/>
      <c r="AA348" s="160"/>
      <c r="AB348" s="160"/>
      <c r="AC348" s="160"/>
      <c r="AD348" s="162"/>
      <c r="AE348" s="161"/>
    </row>
    <row r="349" spans="1:31" ht="21.2" customHeight="1">
      <c r="A349" s="8" t="s">
        <v>689</v>
      </c>
      <c r="B349" s="158" t="s">
        <v>875</v>
      </c>
      <c r="C349" s="159">
        <v>23</v>
      </c>
      <c r="D349" s="158" t="s">
        <v>847</v>
      </c>
      <c r="E349" s="58">
        <v>72.12</v>
      </c>
      <c r="F349" s="160">
        <v>11.6997632043796</v>
      </c>
      <c r="G349" s="161">
        <v>0.17572595001409999</v>
      </c>
      <c r="H349" s="161">
        <v>0.202683651760212</v>
      </c>
      <c r="I349" s="161">
        <v>0.37840960177431199</v>
      </c>
      <c r="J349" s="161">
        <v>1.2516645725389399</v>
      </c>
      <c r="K349" s="161">
        <v>3.3933845224162701E-3</v>
      </c>
      <c r="L349" s="161">
        <v>8.4798428760359396E-3</v>
      </c>
      <c r="M349" s="161">
        <v>0</v>
      </c>
      <c r="N349" s="161">
        <v>0</v>
      </c>
      <c r="O349" s="161">
        <v>0.33093978728184797</v>
      </c>
      <c r="P349" s="161">
        <v>0.82795160712262195</v>
      </c>
      <c r="Q349" s="161">
        <v>-5.8407349042593398E-2</v>
      </c>
      <c r="R349" s="161">
        <v>0</v>
      </c>
      <c r="S349" s="161">
        <v>1.8830245450084299E-2</v>
      </c>
      <c r="T349" s="161">
        <v>1.3185672509000199</v>
      </c>
      <c r="U349" s="161">
        <v>2.39243653396665</v>
      </c>
      <c r="V349" s="161">
        <v>0.35531282837196099</v>
      </c>
      <c r="W349" s="161"/>
      <c r="X349" s="58"/>
      <c r="Y349" s="160"/>
      <c r="Z349" s="160"/>
      <c r="AA349" s="160"/>
      <c r="AB349" s="160"/>
      <c r="AC349" s="160"/>
      <c r="AD349" s="162"/>
      <c r="AE349" s="161"/>
    </row>
    <row r="350" spans="1:31" ht="21.2" customHeight="1">
      <c r="A350" s="8" t="s">
        <v>686</v>
      </c>
      <c r="B350" s="158" t="s">
        <v>885</v>
      </c>
      <c r="C350" s="159">
        <v>25</v>
      </c>
      <c r="D350" s="158" t="s">
        <v>848</v>
      </c>
      <c r="E350" s="58">
        <v>59.204999999999998</v>
      </c>
      <c r="F350" s="160">
        <v>11.295290191850301</v>
      </c>
      <c r="G350" s="161">
        <v>0.20303823286994899</v>
      </c>
      <c r="H350" s="161">
        <v>0.17475923938539401</v>
      </c>
      <c r="I350" s="161">
        <v>0.37779747225534299</v>
      </c>
      <c r="J350" s="161">
        <v>1.66405695566439</v>
      </c>
      <c r="K350" s="161">
        <v>2.5075144362337598E-3</v>
      </c>
      <c r="L350" s="161">
        <v>6.2781082560459597E-3</v>
      </c>
      <c r="M350" s="161">
        <v>0</v>
      </c>
      <c r="N350" s="161">
        <v>0</v>
      </c>
      <c r="O350" s="161">
        <v>0.26602007688204599</v>
      </c>
      <c r="P350" s="161">
        <v>1.80649745793904</v>
      </c>
      <c r="Q350" s="161">
        <v>2.3542431671604101E-2</v>
      </c>
      <c r="R350" s="161">
        <v>0.243269918117374</v>
      </c>
      <c r="S350" s="161">
        <v>3.3927333407971098E-2</v>
      </c>
      <c r="T350" s="161">
        <v>3.9710856064044397E-2</v>
      </c>
      <c r="U350" s="161">
        <v>0.24561840734324999</v>
      </c>
      <c r="V350" s="161">
        <v>0.139175546138634</v>
      </c>
      <c r="W350" s="161"/>
      <c r="X350" s="58"/>
      <c r="Y350" s="160"/>
      <c r="Z350" s="160"/>
      <c r="AA350" s="160"/>
      <c r="AB350" s="160"/>
      <c r="AC350" s="160"/>
      <c r="AD350" s="162"/>
      <c r="AE350" s="161"/>
    </row>
    <row r="351" spans="1:31" ht="21.2" customHeight="1">
      <c r="A351" s="8" t="s">
        <v>708</v>
      </c>
      <c r="B351" s="158" t="s">
        <v>888</v>
      </c>
      <c r="C351" s="159">
        <v>28</v>
      </c>
      <c r="D351" s="158" t="s">
        <v>847</v>
      </c>
      <c r="E351" s="58">
        <v>57.535357142857102</v>
      </c>
      <c r="F351" s="160">
        <v>13.202479897980201</v>
      </c>
      <c r="G351" s="161">
        <v>0.17109706283294099</v>
      </c>
      <c r="H351" s="161">
        <v>0.20389053024273801</v>
      </c>
      <c r="I351" s="161">
        <v>0.37498759307567903</v>
      </c>
      <c r="J351" s="161">
        <v>1.6660550574686599</v>
      </c>
      <c r="K351" s="161">
        <v>1.50790567450667E-2</v>
      </c>
      <c r="L351" s="161">
        <v>3.44724760121706E-2</v>
      </c>
      <c r="M351" s="161">
        <v>2.6245484218009402E-4</v>
      </c>
      <c r="N351" s="161">
        <v>4.9202886570755104E-4</v>
      </c>
      <c r="O351" s="161">
        <v>0.46235258126283202</v>
      </c>
      <c r="P351" s="161">
        <v>2.4520055884852301</v>
      </c>
      <c r="Q351" s="161">
        <v>-5.6587014801469E-3</v>
      </c>
      <c r="R351" s="161">
        <v>0.50941881457249305</v>
      </c>
      <c r="S351" s="161">
        <v>2.4984646059418501E-2</v>
      </c>
      <c r="T351" s="161">
        <v>0.18521106971871101</v>
      </c>
      <c r="U351" s="161">
        <v>0.10482878130852</v>
      </c>
      <c r="V351" s="161">
        <v>0.63857111035863301</v>
      </c>
      <c r="W351" s="161"/>
      <c r="X351" s="58"/>
      <c r="Y351" s="160"/>
      <c r="Z351" s="160"/>
      <c r="AA351" s="160"/>
      <c r="AB351" s="160"/>
      <c r="AC351" s="160"/>
      <c r="AD351" s="162"/>
      <c r="AE351" s="161"/>
    </row>
    <row r="352" spans="1:31" ht="21.2" customHeight="1">
      <c r="A352" s="8" t="s">
        <v>621</v>
      </c>
      <c r="B352" s="158" t="s">
        <v>867</v>
      </c>
      <c r="C352" s="159">
        <v>32</v>
      </c>
      <c r="D352" s="158" t="s">
        <v>864</v>
      </c>
      <c r="E352" s="58">
        <v>75.423214285714295</v>
      </c>
      <c r="F352" s="160">
        <v>14.1025034171213</v>
      </c>
      <c r="G352" s="161">
        <v>0.16420241922466999</v>
      </c>
      <c r="H352" s="161">
        <v>0.21067341753611299</v>
      </c>
      <c r="I352" s="161">
        <v>0.37487583676078301</v>
      </c>
      <c r="J352" s="161">
        <v>1.2127261065896699</v>
      </c>
      <c r="K352" s="161">
        <v>1.4057498891055099E-2</v>
      </c>
      <c r="L352" s="161">
        <v>3.4009959499757103E-2</v>
      </c>
      <c r="M352" s="161">
        <v>1.7022598592917101E-3</v>
      </c>
      <c r="N352" s="161">
        <v>8.1784285913688701E-4</v>
      </c>
      <c r="O352" s="161">
        <v>0.54678475064157905</v>
      </c>
      <c r="P352" s="161">
        <v>2.99572519506961</v>
      </c>
      <c r="Q352" s="161">
        <v>3.2980660753015097E-2</v>
      </c>
      <c r="R352" s="161">
        <v>0.90351896753549099</v>
      </c>
      <c r="S352" s="161">
        <v>2.6367035901213799E-2</v>
      </c>
      <c r="T352" s="161">
        <v>0.10611220245045599</v>
      </c>
      <c r="U352" s="161">
        <v>0.107677019771104</v>
      </c>
      <c r="V352" s="161">
        <v>0.49634028014979698</v>
      </c>
      <c r="W352" s="161"/>
      <c r="X352" s="58"/>
      <c r="Y352" s="160"/>
      <c r="Z352" s="160"/>
      <c r="AA352" s="160"/>
      <c r="AB352" s="160"/>
      <c r="AC352" s="160"/>
      <c r="AD352" s="162"/>
      <c r="AE352" s="161"/>
    </row>
    <row r="353" spans="1:31" ht="21.2" customHeight="1">
      <c r="A353" s="8" t="s">
        <v>397</v>
      </c>
      <c r="B353" s="158" t="s">
        <v>875</v>
      </c>
      <c r="C353" s="159">
        <v>23</v>
      </c>
      <c r="D353" s="158" t="s">
        <v>849</v>
      </c>
      <c r="E353" s="58">
        <v>72.099999999999994</v>
      </c>
      <c r="F353" s="160">
        <v>16.758948498417599</v>
      </c>
      <c r="G353" s="161">
        <v>0.112326229082809</v>
      </c>
      <c r="H353" s="161">
        <v>0.25935698917528299</v>
      </c>
      <c r="I353" s="161">
        <v>0.37168321825809297</v>
      </c>
      <c r="J353" s="161">
        <v>1.23706553763907</v>
      </c>
      <c r="K353" s="161">
        <v>1.3959656073911701E-2</v>
      </c>
      <c r="L353" s="161">
        <v>8.5371745251625206E-2</v>
      </c>
      <c r="M353" s="161">
        <v>4.7909508045164401E-5</v>
      </c>
      <c r="N353" s="161">
        <v>2.0248534127763801E-4</v>
      </c>
      <c r="O353" s="161">
        <v>1.01903819774725</v>
      </c>
      <c r="P353" s="161">
        <v>0.76276238944971497</v>
      </c>
      <c r="Q353" s="161">
        <v>-6.9089380499236699E-2</v>
      </c>
      <c r="R353" s="161">
        <v>0.27959567363656102</v>
      </c>
      <c r="S353" s="161">
        <v>1.20365288333452E-2</v>
      </c>
      <c r="T353" s="161">
        <v>0</v>
      </c>
      <c r="U353" s="161">
        <v>0</v>
      </c>
      <c r="V353" s="161">
        <v>0</v>
      </c>
      <c r="W353" s="161"/>
      <c r="X353" s="58"/>
      <c r="Y353" s="160"/>
      <c r="Z353" s="160"/>
      <c r="AA353" s="160"/>
      <c r="AB353" s="160"/>
      <c r="AC353" s="160"/>
      <c r="AD353" s="162"/>
      <c r="AE353" s="161"/>
    </row>
    <row r="354" spans="1:31" ht="21.2" customHeight="1">
      <c r="A354" s="8" t="s">
        <v>622</v>
      </c>
      <c r="B354" s="158" t="s">
        <v>877</v>
      </c>
      <c r="C354" s="163">
        <v>27</v>
      </c>
      <c r="D354" s="158" t="s">
        <v>864</v>
      </c>
      <c r="E354" s="58">
        <v>72.827500000000001</v>
      </c>
      <c r="F354" s="160">
        <v>15.556299816925399</v>
      </c>
      <c r="G354" s="161">
        <v>0.13654707373314801</v>
      </c>
      <c r="H354" s="161">
        <v>0.233914368604874</v>
      </c>
      <c r="I354" s="161">
        <v>0.37046144233802197</v>
      </c>
      <c r="J354" s="161">
        <v>1.5494857746470101</v>
      </c>
      <c r="K354" s="161">
        <v>1.1522244721206101E-3</v>
      </c>
      <c r="L354" s="161">
        <v>2.0379773339212399E-3</v>
      </c>
      <c r="M354" s="161">
        <v>1.7066401336928E-3</v>
      </c>
      <c r="N354" s="161">
        <v>9.1998652353908195E-3</v>
      </c>
      <c r="O354" s="161">
        <v>0.346748691842516</v>
      </c>
      <c r="P354" s="161">
        <v>1.0430969879557199</v>
      </c>
      <c r="Q354" s="161">
        <v>2.6867875864462602E-2</v>
      </c>
      <c r="R354" s="161">
        <v>0.287748845481541</v>
      </c>
      <c r="S354" s="161">
        <v>2.1301800550281001E-2</v>
      </c>
      <c r="T354" s="161">
        <v>8.6128910712854098E-2</v>
      </c>
      <c r="U354" s="161">
        <v>0.173449065219796</v>
      </c>
      <c r="V354" s="161">
        <v>0.33180361470728598</v>
      </c>
      <c r="W354" s="161"/>
      <c r="X354" s="58"/>
      <c r="Y354" s="160"/>
      <c r="Z354" s="160"/>
      <c r="AA354" s="160"/>
      <c r="AB354" s="160"/>
      <c r="AC354" s="160"/>
      <c r="AD354" s="162"/>
      <c r="AE354" s="161"/>
    </row>
    <row r="355" spans="1:31" ht="21.2" customHeight="1">
      <c r="A355" s="8" t="s">
        <v>668</v>
      </c>
      <c r="B355" s="158" t="s">
        <v>868</v>
      </c>
      <c r="C355" s="159">
        <v>21</v>
      </c>
      <c r="D355" s="158" t="s">
        <v>848</v>
      </c>
      <c r="E355" s="58">
        <v>61</v>
      </c>
      <c r="F355" s="160">
        <v>13.626346150504</v>
      </c>
      <c r="G355" s="161">
        <v>0.16662254379910499</v>
      </c>
      <c r="H355" s="161">
        <v>0.203154778875384</v>
      </c>
      <c r="I355" s="161">
        <v>0.36977732267448898</v>
      </c>
      <c r="J355" s="161">
        <v>1.4668705198074501</v>
      </c>
      <c r="K355" s="161">
        <v>5.0984283954016101E-2</v>
      </c>
      <c r="L355" s="161">
        <v>8.7060757552693394E-2</v>
      </c>
      <c r="M355" s="161">
        <v>0</v>
      </c>
      <c r="N355" s="161">
        <v>0</v>
      </c>
      <c r="O355" s="161">
        <v>0.36814212804111002</v>
      </c>
      <c r="P355" s="161">
        <v>0.95140652430182004</v>
      </c>
      <c r="Q355" s="161">
        <v>-1.45824001958291E-2</v>
      </c>
      <c r="R355" s="161">
        <v>0.38506504185023999</v>
      </c>
      <c r="S355" s="161">
        <v>2.448984507604E-2</v>
      </c>
      <c r="T355" s="161">
        <v>0</v>
      </c>
      <c r="U355" s="161">
        <v>0</v>
      </c>
      <c r="V355" s="161">
        <v>0</v>
      </c>
      <c r="W355" s="161"/>
      <c r="X355" s="58"/>
      <c r="Y355" s="160"/>
      <c r="Z355" s="160"/>
      <c r="AA355" s="160"/>
      <c r="AB355" s="160"/>
      <c r="AC355" s="160"/>
      <c r="AD355" s="162"/>
      <c r="AE355" s="161"/>
    </row>
    <row r="356" spans="1:31" ht="21.2" customHeight="1">
      <c r="A356" s="8" t="s">
        <v>660</v>
      </c>
      <c r="B356" s="158" t="s">
        <v>884</v>
      </c>
      <c r="C356" s="159">
        <v>34</v>
      </c>
      <c r="D356" s="158" t="s">
        <v>846</v>
      </c>
      <c r="E356" s="58">
        <v>80.863214285714307</v>
      </c>
      <c r="F356" s="160">
        <v>15.255839681364201</v>
      </c>
      <c r="G356" s="161">
        <v>0.169116639571746</v>
      </c>
      <c r="H356" s="161">
        <v>0.19829504701700201</v>
      </c>
      <c r="I356" s="161">
        <v>0.36741168658874901</v>
      </c>
      <c r="J356" s="161">
        <v>1.5118648088892199</v>
      </c>
      <c r="K356" s="161">
        <v>3.6579819911574901E-3</v>
      </c>
      <c r="L356" s="161">
        <v>7.7693043827759501E-3</v>
      </c>
      <c r="M356" s="161">
        <v>-2.7985247734471298E-3</v>
      </c>
      <c r="N356" s="161">
        <v>-6.4366513013232301E-3</v>
      </c>
      <c r="O356" s="161">
        <v>0.44189718589052801</v>
      </c>
      <c r="P356" s="161">
        <v>1.9104208309872299</v>
      </c>
      <c r="Q356" s="161">
        <v>8.4836710480572994E-2</v>
      </c>
      <c r="R356" s="161">
        <v>0.34524457520373503</v>
      </c>
      <c r="S356" s="161">
        <v>3.0343311947103799E-2</v>
      </c>
      <c r="T356" s="161">
        <v>9.4997424501698795</v>
      </c>
      <c r="U356" s="161">
        <v>7.2504265953670703</v>
      </c>
      <c r="V356" s="161">
        <v>0.56714307923364304</v>
      </c>
      <c r="W356" s="161"/>
      <c r="X356" s="58"/>
      <c r="Y356" s="160"/>
      <c r="Z356" s="160"/>
      <c r="AA356" s="160"/>
      <c r="AB356" s="160"/>
      <c r="AC356" s="160"/>
      <c r="AD356" s="162"/>
      <c r="AE356" s="161"/>
    </row>
    <row r="357" spans="1:31" ht="21.2" customHeight="1">
      <c r="A357" s="8" t="s">
        <v>577</v>
      </c>
      <c r="B357" s="158" t="s">
        <v>889</v>
      </c>
      <c r="C357" s="159">
        <v>23</v>
      </c>
      <c r="D357" s="158" t="s">
        <v>864</v>
      </c>
      <c r="E357" s="58">
        <v>75.805000000000007</v>
      </c>
      <c r="F357" s="160">
        <v>12.5984188545316</v>
      </c>
      <c r="G357" s="161">
        <v>0.181329176255662</v>
      </c>
      <c r="H357" s="161">
        <v>0.18542018009130601</v>
      </c>
      <c r="I357" s="161">
        <v>0.36674935634696798</v>
      </c>
      <c r="J357" s="161">
        <v>1.46314983872267</v>
      </c>
      <c r="K357" s="161">
        <v>4.9364959283013203E-2</v>
      </c>
      <c r="L357" s="161">
        <v>9.4149479081768794E-2</v>
      </c>
      <c r="M357" s="161">
        <v>4.9447256721116299E-5</v>
      </c>
      <c r="N357" s="161">
        <v>9.7480421315911597E-5</v>
      </c>
      <c r="O357" s="161">
        <v>0.41557861566941501</v>
      </c>
      <c r="P357" s="161">
        <v>0.52174841022347096</v>
      </c>
      <c r="Q357" s="161">
        <v>-3.3420509652684102E-2</v>
      </c>
      <c r="R357" s="161">
        <v>0.25961430778793798</v>
      </c>
      <c r="S357" s="161">
        <v>2.3996352444366501E-2</v>
      </c>
      <c r="T357" s="161">
        <v>4.1909978225804299E-2</v>
      </c>
      <c r="U357" s="161">
        <v>4.1909978225804299E-2</v>
      </c>
      <c r="V357" s="161">
        <v>0.5</v>
      </c>
      <c r="W357" s="161"/>
      <c r="X357" s="58"/>
      <c r="Y357" s="160"/>
      <c r="Z357" s="160"/>
      <c r="AA357" s="160"/>
      <c r="AB357" s="160"/>
      <c r="AC357" s="160"/>
      <c r="AD357" s="162"/>
      <c r="AE357" s="161"/>
    </row>
    <row r="358" spans="1:31" ht="21.2" customHeight="1">
      <c r="A358" s="8" t="s">
        <v>618</v>
      </c>
      <c r="B358" s="158" t="s">
        <v>870</v>
      </c>
      <c r="C358" s="163">
        <v>25</v>
      </c>
      <c r="D358" s="158" t="s">
        <v>860</v>
      </c>
      <c r="E358" s="58">
        <v>76.422499999999999</v>
      </c>
      <c r="F358" s="160">
        <v>12.4100397600268</v>
      </c>
      <c r="G358" s="161">
        <v>0.185138989036644</v>
      </c>
      <c r="H358" s="161">
        <v>0.180426673443183</v>
      </c>
      <c r="I358" s="161">
        <v>0.36556566247982702</v>
      </c>
      <c r="J358" s="161">
        <v>1.7319589523810199</v>
      </c>
      <c r="K358" s="161">
        <v>6.8390477278037305E-4</v>
      </c>
      <c r="L358" s="161">
        <v>1.7102679942881699E-3</v>
      </c>
      <c r="M358" s="161">
        <v>1.0267841842307201E-3</v>
      </c>
      <c r="N358" s="161">
        <v>6.5319465914356204E-3</v>
      </c>
      <c r="O358" s="161">
        <v>0.49146312983847001</v>
      </c>
      <c r="P358" s="161">
        <v>1.64786117866379</v>
      </c>
      <c r="Q358" s="161">
        <v>6.8887077342393396E-2</v>
      </c>
      <c r="R358" s="161">
        <v>0.69073332039972102</v>
      </c>
      <c r="S358" s="161">
        <v>3.1081192838659798E-2</v>
      </c>
      <c r="T358" s="161">
        <v>0.420849880161343</v>
      </c>
      <c r="U358" s="161">
        <v>0.678562878190484</v>
      </c>
      <c r="V358" s="161">
        <v>0.38279515765512401</v>
      </c>
      <c r="W358" s="161"/>
      <c r="X358" s="58"/>
      <c r="Y358" s="160"/>
      <c r="Z358" s="160"/>
      <c r="AA358" s="160"/>
      <c r="AB358" s="160"/>
      <c r="AC358" s="160"/>
      <c r="AD358" s="162"/>
      <c r="AE358" s="161"/>
    </row>
    <row r="359" spans="1:31" ht="21.2" customHeight="1">
      <c r="A359" s="8" t="s">
        <v>706</v>
      </c>
      <c r="B359" s="158" t="s">
        <v>889</v>
      </c>
      <c r="C359" s="163">
        <v>24</v>
      </c>
      <c r="D359" s="158" t="s">
        <v>864</v>
      </c>
      <c r="E359" s="58">
        <v>63.910357142857102</v>
      </c>
      <c r="F359" s="160">
        <v>11.2179535886427</v>
      </c>
      <c r="G359" s="161">
        <v>0.17493762211925501</v>
      </c>
      <c r="H359" s="161">
        <v>0.19039763981045901</v>
      </c>
      <c r="I359" s="161">
        <v>0.365335261929713</v>
      </c>
      <c r="J359" s="161">
        <v>1.1033909718575501</v>
      </c>
      <c r="K359" s="161">
        <v>8.7901285683412598E-4</v>
      </c>
      <c r="L359" s="161">
        <v>2.1901555294434301E-3</v>
      </c>
      <c r="M359" s="161">
        <v>7.52509298273466E-6</v>
      </c>
      <c r="N359" s="161">
        <v>1.46200711256576E-5</v>
      </c>
      <c r="O359" s="161">
        <v>0.314690335001093</v>
      </c>
      <c r="P359" s="161">
        <v>2.61363027607374</v>
      </c>
      <c r="Q359" s="161">
        <v>-2.0754421411283301E-2</v>
      </c>
      <c r="R359" s="161">
        <v>0.69118827312972397</v>
      </c>
      <c r="S359" s="161">
        <v>2.31505206323461E-2</v>
      </c>
      <c r="T359" s="161">
        <v>7.9236986837531803E-2</v>
      </c>
      <c r="U359" s="161">
        <v>0.10661364478201101</v>
      </c>
      <c r="V359" s="161">
        <v>0.426347686564439</v>
      </c>
      <c r="W359" s="161"/>
      <c r="X359" s="58"/>
      <c r="Y359" s="160"/>
      <c r="Z359" s="160"/>
      <c r="AA359" s="160"/>
      <c r="AB359" s="160"/>
      <c r="AC359" s="160"/>
      <c r="AD359" s="162"/>
      <c r="AE359" s="161"/>
    </row>
    <row r="360" spans="1:31" ht="21.2" customHeight="1">
      <c r="A360" s="8" t="s">
        <v>314</v>
      </c>
      <c r="B360" s="158" t="s">
        <v>884</v>
      </c>
      <c r="C360" s="159">
        <v>29</v>
      </c>
      <c r="D360" s="158" t="s">
        <v>849</v>
      </c>
      <c r="E360" s="58">
        <v>80.599999999999994</v>
      </c>
      <c r="F360" s="160">
        <v>19.164236317819601</v>
      </c>
      <c r="G360" s="161">
        <v>0.121007361624446</v>
      </c>
      <c r="H360" s="161">
        <v>0.24411112699957799</v>
      </c>
      <c r="I360" s="161">
        <v>0.36511848862402402</v>
      </c>
      <c r="J360" s="161">
        <v>1.94514292751344</v>
      </c>
      <c r="K360" s="161">
        <v>1.7035302625244001E-2</v>
      </c>
      <c r="L360" s="161">
        <v>3.5588698637068497E-2</v>
      </c>
      <c r="M360" s="161">
        <v>4.9697095835164401E-3</v>
      </c>
      <c r="N360" s="161">
        <v>7.6066193236706096E-3</v>
      </c>
      <c r="O360" s="161">
        <v>0.872902293872024</v>
      </c>
      <c r="P360" s="161">
        <v>0.98407737352664404</v>
      </c>
      <c r="Q360" s="161">
        <v>7.9856136406986203E-2</v>
      </c>
      <c r="R360" s="161">
        <v>0.49338111377184402</v>
      </c>
      <c r="S360" s="161">
        <v>2.1711430235159399E-2</v>
      </c>
      <c r="T360" s="161">
        <v>0</v>
      </c>
      <c r="U360" s="161">
        <v>0</v>
      </c>
      <c r="V360" s="161">
        <v>0</v>
      </c>
      <c r="W360" s="161"/>
      <c r="X360" s="58"/>
      <c r="Y360" s="160"/>
      <c r="Z360" s="160"/>
      <c r="AA360" s="160"/>
      <c r="AB360" s="160"/>
      <c r="AC360" s="160"/>
      <c r="AD360" s="162"/>
      <c r="AE360" s="161"/>
    </row>
    <row r="361" spans="1:31" ht="21.2" customHeight="1">
      <c r="A361" s="8" t="s">
        <v>284</v>
      </c>
      <c r="B361" s="158" t="s">
        <v>871</v>
      </c>
      <c r="C361" s="159">
        <v>29</v>
      </c>
      <c r="D361" s="158" t="s">
        <v>849</v>
      </c>
      <c r="E361" s="58">
        <v>78.510000000000005</v>
      </c>
      <c r="F361" s="160">
        <v>20.673119645579199</v>
      </c>
      <c r="G361" s="161">
        <v>9.0822587652212794E-2</v>
      </c>
      <c r="H361" s="161">
        <v>0.27383594511466097</v>
      </c>
      <c r="I361" s="161">
        <v>0.36465853276687399</v>
      </c>
      <c r="J361" s="161">
        <v>2.1518179225035401</v>
      </c>
      <c r="K361" s="161">
        <v>6.44973388436127E-3</v>
      </c>
      <c r="L361" s="161">
        <v>1.9900167884517098E-2</v>
      </c>
      <c r="M361" s="161">
        <v>6.8250445375173799E-5</v>
      </c>
      <c r="N361" s="161">
        <v>1.07366170492991E-2</v>
      </c>
      <c r="O361" s="161">
        <v>2.1703693809898201</v>
      </c>
      <c r="P361" s="161">
        <v>2.39968593460177</v>
      </c>
      <c r="Q361" s="161">
        <v>4.3746633447479297E-2</v>
      </c>
      <c r="R361" s="161">
        <v>0.77672961606692703</v>
      </c>
      <c r="S361" s="161">
        <v>1.54759993362465E-2</v>
      </c>
      <c r="T361" s="161">
        <v>0</v>
      </c>
      <c r="U361" s="161">
        <v>9.06326148912261E-3</v>
      </c>
      <c r="V361" s="161">
        <v>0</v>
      </c>
      <c r="W361" s="161"/>
      <c r="X361" s="58"/>
      <c r="Y361" s="160"/>
      <c r="Z361" s="160"/>
      <c r="AA361" s="160"/>
      <c r="AB361" s="160"/>
      <c r="AC361" s="160"/>
      <c r="AD361" s="162"/>
      <c r="AE361" s="161"/>
    </row>
    <row r="362" spans="1:31" ht="21.2" customHeight="1">
      <c r="A362" s="8" t="s">
        <v>623</v>
      </c>
      <c r="B362" s="158" t="s">
        <v>875</v>
      </c>
      <c r="C362" s="159">
        <v>22</v>
      </c>
      <c r="D362" s="158" t="s">
        <v>864</v>
      </c>
      <c r="E362" s="58">
        <v>70</v>
      </c>
      <c r="F362" s="160">
        <v>13.252333333333301</v>
      </c>
      <c r="G362" s="161">
        <v>0.14569184593781201</v>
      </c>
      <c r="H362" s="161">
        <v>0.21795434511898701</v>
      </c>
      <c r="I362" s="161">
        <v>0.36364619105679902</v>
      </c>
      <c r="J362" s="161">
        <v>1.5332020535352699</v>
      </c>
      <c r="K362" s="161">
        <v>2.36458408082416E-2</v>
      </c>
      <c r="L362" s="161">
        <v>5.48182760285683E-2</v>
      </c>
      <c r="M362" s="161">
        <v>0</v>
      </c>
      <c r="N362" s="161">
        <v>0</v>
      </c>
      <c r="O362" s="161">
        <v>0.43889184042423002</v>
      </c>
      <c r="P362" s="161">
        <v>1.0041687262872001</v>
      </c>
      <c r="Q362" s="161">
        <v>-2.6354765798336701E-2</v>
      </c>
      <c r="R362" s="161">
        <v>0.31168652878070702</v>
      </c>
      <c r="S362" s="161">
        <v>1.5611884407878999E-2</v>
      </c>
      <c r="T362" s="161">
        <v>1.2830022874159901E-2</v>
      </c>
      <c r="U362" s="161">
        <v>8.7907646140907805E-2</v>
      </c>
      <c r="V362" s="161">
        <v>0.12736072811294499</v>
      </c>
      <c r="W362" s="161"/>
      <c r="X362" s="58"/>
      <c r="Y362" s="160"/>
      <c r="Z362" s="160"/>
      <c r="AA362" s="160"/>
      <c r="AB362" s="160"/>
      <c r="AC362" s="160"/>
      <c r="AD362" s="162"/>
      <c r="AE362" s="161"/>
    </row>
    <row r="363" spans="1:31" ht="21.2" customHeight="1">
      <c r="A363" s="8" t="s">
        <v>337</v>
      </c>
      <c r="B363" s="158" t="s">
        <v>893</v>
      </c>
      <c r="C363" s="159">
        <v>24</v>
      </c>
      <c r="D363" s="158" t="s">
        <v>849</v>
      </c>
      <c r="E363" s="58">
        <v>76.599999999999994</v>
      </c>
      <c r="F363" s="160">
        <v>25.8324009612213</v>
      </c>
      <c r="G363" s="161">
        <v>6.7755700138892802E-2</v>
      </c>
      <c r="H363" s="161">
        <v>0.29554349453044798</v>
      </c>
      <c r="I363" s="161">
        <v>0.36329919466934002</v>
      </c>
      <c r="J363" s="161">
        <v>1.22787724665676</v>
      </c>
      <c r="K363" s="161">
        <v>8.0102085448421692E-3</v>
      </c>
      <c r="L363" s="161">
        <v>9.26430594122611E-2</v>
      </c>
      <c r="M363" s="161">
        <v>6.4869602191849896E-4</v>
      </c>
      <c r="N363" s="161">
        <v>4.9846742264373998E-3</v>
      </c>
      <c r="O363" s="161">
        <v>2.2106502799734602</v>
      </c>
      <c r="P363" s="161">
        <v>1.9750527436779</v>
      </c>
      <c r="Q363" s="161">
        <v>-2.59546687170602E-2</v>
      </c>
      <c r="R363" s="161">
        <v>0.41452280117912399</v>
      </c>
      <c r="S363" s="161">
        <v>8.4122600672274297E-3</v>
      </c>
      <c r="T363" s="161">
        <v>0</v>
      </c>
      <c r="U363" s="161">
        <v>1.22283446225289E-2</v>
      </c>
      <c r="V363" s="161">
        <v>0</v>
      </c>
      <c r="W363" s="161"/>
      <c r="X363" s="58"/>
      <c r="Y363" s="160"/>
      <c r="Z363" s="160"/>
      <c r="AA363" s="160"/>
      <c r="AB363" s="160"/>
      <c r="AC363" s="160"/>
      <c r="AD363" s="162"/>
      <c r="AE363" s="161"/>
    </row>
    <row r="364" spans="1:31" ht="21.2" customHeight="1">
      <c r="A364" s="8" t="s">
        <v>714</v>
      </c>
      <c r="B364" s="158" t="s">
        <v>879</v>
      </c>
      <c r="C364" s="163">
        <v>21</v>
      </c>
      <c r="D364" s="158" t="s">
        <v>860</v>
      </c>
      <c r="E364" s="58">
        <v>63</v>
      </c>
      <c r="F364" s="160">
        <v>12.1263973818598</v>
      </c>
      <c r="G364" s="161">
        <v>0.13712790261586699</v>
      </c>
      <c r="H364" s="161">
        <v>0.22315418578653201</v>
      </c>
      <c r="I364" s="161">
        <v>0.360282088402399</v>
      </c>
      <c r="J364" s="161">
        <v>1.3605418995155401</v>
      </c>
      <c r="K364" s="161">
        <v>5.18915547221898E-3</v>
      </c>
      <c r="L364" s="161">
        <v>2.62920847761983E-2</v>
      </c>
      <c r="M364" s="161">
        <v>2.0406631870069302E-3</v>
      </c>
      <c r="N364" s="161">
        <v>4.0787022720893303E-3</v>
      </c>
      <c r="O364" s="161">
        <v>0.28796031151478801</v>
      </c>
      <c r="P364" s="161">
        <v>1.42211501398763</v>
      </c>
      <c r="Q364" s="161">
        <v>2.92758299187722E-2</v>
      </c>
      <c r="R364" s="161">
        <v>0.38781405423634102</v>
      </c>
      <c r="S364" s="161">
        <v>2.0622104165880398E-2</v>
      </c>
      <c r="T364" s="161">
        <v>2.02083124993207</v>
      </c>
      <c r="U364" s="161">
        <v>3.1017409882678302</v>
      </c>
      <c r="V364" s="161">
        <v>0.394495412844037</v>
      </c>
      <c r="W364" s="161"/>
      <c r="X364" s="58"/>
      <c r="Y364" s="160"/>
      <c r="Z364" s="160"/>
      <c r="AA364" s="160"/>
      <c r="AB364" s="160"/>
      <c r="AC364" s="160"/>
      <c r="AD364" s="162"/>
      <c r="AE364" s="161"/>
    </row>
    <row r="365" spans="1:31" ht="21.2" customHeight="1">
      <c r="A365" s="8" t="s">
        <v>677</v>
      </c>
      <c r="B365" s="158" t="s">
        <v>876</v>
      </c>
      <c r="C365" s="163">
        <v>27</v>
      </c>
      <c r="D365" s="158" t="s">
        <v>864</v>
      </c>
      <c r="E365" s="58">
        <v>71.511428571428596</v>
      </c>
      <c r="F365" s="160">
        <v>12.129291720730899</v>
      </c>
      <c r="G365" s="161">
        <v>0.13474782142182801</v>
      </c>
      <c r="H365" s="161">
        <v>0.22302401960379101</v>
      </c>
      <c r="I365" s="161">
        <v>0.35777184102561999</v>
      </c>
      <c r="J365" s="161">
        <v>1.05218469270204</v>
      </c>
      <c r="K365" s="161">
        <v>4.7118826629484398E-3</v>
      </c>
      <c r="L365" s="161">
        <v>1.67545136357901E-2</v>
      </c>
      <c r="M365" s="161">
        <v>3.1776478303563303E-5</v>
      </c>
      <c r="N365" s="161">
        <v>5.9820109028130199E-5</v>
      </c>
      <c r="O365" s="161">
        <v>0.48972793309638202</v>
      </c>
      <c r="P365" s="161">
        <v>2.96038608077972</v>
      </c>
      <c r="Q365" s="161">
        <v>-4.1223670729950597E-2</v>
      </c>
      <c r="R365" s="161">
        <v>0.43076528360382998</v>
      </c>
      <c r="S365" s="161">
        <v>1.5505799896791199E-2</v>
      </c>
      <c r="T365" s="161">
        <v>4.1141456422479301E-2</v>
      </c>
      <c r="U365" s="161">
        <v>7.00508291433483E-2</v>
      </c>
      <c r="V365" s="161">
        <v>0.370002794826291</v>
      </c>
      <c r="W365" s="161"/>
      <c r="X365" s="58"/>
      <c r="Y365" s="160"/>
      <c r="Z365" s="160"/>
      <c r="AA365" s="160"/>
      <c r="AB365" s="160"/>
      <c r="AC365" s="160"/>
      <c r="AD365" s="162"/>
      <c r="AE365" s="161"/>
    </row>
    <row r="366" spans="1:31" ht="21.2" customHeight="1">
      <c r="A366" s="8" t="s">
        <v>626</v>
      </c>
      <c r="B366" s="158" t="s">
        <v>861</v>
      </c>
      <c r="C366" s="159">
        <v>27</v>
      </c>
      <c r="D366" s="158" t="s">
        <v>847</v>
      </c>
      <c r="E366" s="58">
        <v>72.293571428571397</v>
      </c>
      <c r="F366" s="160">
        <v>12.344037980147499</v>
      </c>
      <c r="G366" s="161">
        <v>0.16956223299217599</v>
      </c>
      <c r="H366" s="161">
        <v>0.18696806868747601</v>
      </c>
      <c r="I366" s="161">
        <v>0.356530301679651</v>
      </c>
      <c r="J366" s="161">
        <v>2.0386922075041798</v>
      </c>
      <c r="K366" s="161">
        <v>5.7790784744918902E-3</v>
      </c>
      <c r="L366" s="161">
        <v>9.4026213922782601E-3</v>
      </c>
      <c r="M366" s="161">
        <v>1.6008951540171101E-4</v>
      </c>
      <c r="N366" s="161">
        <v>2.9822823429147602E-4</v>
      </c>
      <c r="O366" s="161">
        <v>0.31430066046447303</v>
      </c>
      <c r="P366" s="161">
        <v>1.3612936846696799</v>
      </c>
      <c r="Q366" s="161">
        <v>3.5488171342667303E-2</v>
      </c>
      <c r="R366" s="161">
        <v>0.55763669195579302</v>
      </c>
      <c r="S366" s="161">
        <v>2.6827300009421001E-2</v>
      </c>
      <c r="T366" s="161">
        <v>2.5466471509553501E-2</v>
      </c>
      <c r="U366" s="161">
        <v>8.81994443732073E-2</v>
      </c>
      <c r="V366" s="161">
        <v>0.22404668375540601</v>
      </c>
      <c r="W366" s="161"/>
      <c r="X366" s="58"/>
      <c r="Y366" s="160"/>
      <c r="Z366" s="160"/>
      <c r="AA366" s="160"/>
      <c r="AB366" s="160"/>
      <c r="AC366" s="160"/>
      <c r="AD366" s="162"/>
      <c r="AE366" s="161"/>
    </row>
    <row r="367" spans="1:31" ht="21.2" customHeight="1">
      <c r="A367" s="8" t="s">
        <v>576</v>
      </c>
      <c r="B367" s="158" t="s">
        <v>859</v>
      </c>
      <c r="C367" s="163">
        <v>27</v>
      </c>
      <c r="D367" s="158" t="s">
        <v>864</v>
      </c>
      <c r="E367" s="58">
        <v>78.928214285714304</v>
      </c>
      <c r="F367" s="160">
        <v>12.301779787211</v>
      </c>
      <c r="G367" s="161">
        <v>0.15957619687174401</v>
      </c>
      <c r="H367" s="161">
        <v>0.19585583135642901</v>
      </c>
      <c r="I367" s="161">
        <v>0.35543202822817299</v>
      </c>
      <c r="J367" s="161">
        <v>1.72603361954794</v>
      </c>
      <c r="K367" s="161">
        <v>6.3863260266481502E-3</v>
      </c>
      <c r="L367" s="161">
        <v>1.26647646498734E-2</v>
      </c>
      <c r="M367" s="161">
        <v>3.4113002558825399E-3</v>
      </c>
      <c r="N367" s="161">
        <v>3.9614223457082702E-3</v>
      </c>
      <c r="O367" s="161">
        <v>0.29075985966155099</v>
      </c>
      <c r="P367" s="161">
        <v>1.40494824586995</v>
      </c>
      <c r="Q367" s="161">
        <v>7.4632823737717804E-2</v>
      </c>
      <c r="R367" s="161">
        <v>0.33721701806522902</v>
      </c>
      <c r="S367" s="161">
        <v>2.52591988149172E-2</v>
      </c>
      <c r="T367" s="161">
        <v>0.132143568103291</v>
      </c>
      <c r="U367" s="161">
        <v>0.13009485175376001</v>
      </c>
      <c r="V367" s="161">
        <v>0.50390620937742303</v>
      </c>
      <c r="W367" s="161"/>
      <c r="X367" s="58"/>
      <c r="Y367" s="160"/>
      <c r="Z367" s="160"/>
      <c r="AA367" s="160"/>
      <c r="AB367" s="160"/>
      <c r="AC367" s="160"/>
      <c r="AD367" s="162"/>
      <c r="AE367" s="161"/>
    </row>
    <row r="368" spans="1:31" ht="21.2" customHeight="1">
      <c r="A368" s="8" t="s">
        <v>613</v>
      </c>
      <c r="B368" s="158" t="s">
        <v>895</v>
      </c>
      <c r="C368" s="159">
        <v>27</v>
      </c>
      <c r="D368" s="158" t="s">
        <v>860</v>
      </c>
      <c r="E368" s="58">
        <v>81.351071428571402</v>
      </c>
      <c r="F368" s="160">
        <v>14.3398719128334</v>
      </c>
      <c r="G368" s="161">
        <v>0.180108506036079</v>
      </c>
      <c r="H368" s="161">
        <v>0.17515877265445601</v>
      </c>
      <c r="I368" s="161">
        <v>0.35526727869053498</v>
      </c>
      <c r="J368" s="161">
        <v>1.50752053940244</v>
      </c>
      <c r="K368" s="161">
        <v>4.5034851129309E-4</v>
      </c>
      <c r="L368" s="161">
        <v>1.7850132343612999E-3</v>
      </c>
      <c r="M368" s="161">
        <v>2.1877794064418501E-2</v>
      </c>
      <c r="N368" s="161">
        <v>2.34355768542222E-2</v>
      </c>
      <c r="O368" s="161">
        <v>0.47253618057631103</v>
      </c>
      <c r="P368" s="161">
        <v>0.51727709526524102</v>
      </c>
      <c r="Q368" s="161">
        <v>7.4085420100141099E-3</v>
      </c>
      <c r="R368" s="161">
        <v>0.19808548376505</v>
      </c>
      <c r="S368" s="161">
        <v>0</v>
      </c>
      <c r="T368" s="161">
        <v>3.3801900650683399</v>
      </c>
      <c r="U368" s="161">
        <v>3.8053986089832401</v>
      </c>
      <c r="V368" s="161">
        <v>0.47041240716641602</v>
      </c>
      <c r="W368" s="161"/>
      <c r="X368" s="58"/>
      <c r="Y368" s="160"/>
      <c r="Z368" s="160"/>
      <c r="AA368" s="160"/>
      <c r="AB368" s="160"/>
      <c r="AC368" s="160"/>
      <c r="AD368" s="162"/>
      <c r="AE368" s="161"/>
    </row>
    <row r="369" spans="1:31" ht="21.2" customHeight="1">
      <c r="A369" s="8" t="s">
        <v>616</v>
      </c>
      <c r="B369" s="158" t="s">
        <v>884</v>
      </c>
      <c r="C369" s="159">
        <v>31</v>
      </c>
      <c r="D369" s="158" t="s">
        <v>847</v>
      </c>
      <c r="E369" s="58">
        <v>77.110357142857097</v>
      </c>
      <c r="F369" s="160">
        <v>14.9683511553716</v>
      </c>
      <c r="G369" s="161">
        <v>0.13251662960168001</v>
      </c>
      <c r="H369" s="161">
        <v>0.22221220743681</v>
      </c>
      <c r="I369" s="161">
        <v>0.35472883703849001</v>
      </c>
      <c r="J369" s="161">
        <v>1.82648589367488</v>
      </c>
      <c r="K369" s="161">
        <v>6.9436035578914303E-4</v>
      </c>
      <c r="L369" s="161">
        <v>1.80230079192461E-3</v>
      </c>
      <c r="M369" s="161">
        <v>2.8678284325201202E-4</v>
      </c>
      <c r="N369" s="161">
        <v>2.0349381813415499E-3</v>
      </c>
      <c r="O369" s="161">
        <v>0.38120714336518702</v>
      </c>
      <c r="P369" s="161">
        <v>1.13560883627711</v>
      </c>
      <c r="Q369" s="161">
        <v>7.8879653245667397E-2</v>
      </c>
      <c r="R369" s="161">
        <v>0.597583747909471</v>
      </c>
      <c r="S369" s="161">
        <v>2.37764506222744E-2</v>
      </c>
      <c r="T369" s="161">
        <v>0.512282330754537</v>
      </c>
      <c r="U369" s="161">
        <v>0.61682610610131505</v>
      </c>
      <c r="V369" s="161">
        <v>0.45370516598126998</v>
      </c>
      <c r="W369" s="161"/>
      <c r="X369" s="58"/>
      <c r="Y369" s="160"/>
      <c r="Z369" s="160"/>
      <c r="AA369" s="160"/>
      <c r="AB369" s="160"/>
      <c r="AC369" s="160"/>
      <c r="AD369" s="162"/>
      <c r="AE369" s="161"/>
    </row>
    <row r="370" spans="1:31" ht="21.2" customHeight="1">
      <c r="A370" s="8" t="s">
        <v>528</v>
      </c>
      <c r="B370" s="158" t="s">
        <v>883</v>
      </c>
      <c r="C370" s="159">
        <v>22</v>
      </c>
      <c r="D370" s="158" t="s">
        <v>848</v>
      </c>
      <c r="E370" s="58">
        <v>69.086428571428598</v>
      </c>
      <c r="F370" s="160">
        <v>10.8245709484702</v>
      </c>
      <c r="G370" s="161">
        <v>0.16167727508197299</v>
      </c>
      <c r="H370" s="161">
        <v>0.19282013537779999</v>
      </c>
      <c r="I370" s="161">
        <v>0.35449741045977301</v>
      </c>
      <c r="J370" s="161">
        <v>2.5557429671642402</v>
      </c>
      <c r="K370" s="161">
        <v>6.0480200954197198E-2</v>
      </c>
      <c r="L370" s="161">
        <v>9.5270631638647102E-2</v>
      </c>
      <c r="M370" s="161">
        <v>8.3045483690221002E-6</v>
      </c>
      <c r="N370" s="161">
        <v>1.6431672690592E-5</v>
      </c>
      <c r="O370" s="161">
        <v>0.26714085660116799</v>
      </c>
      <c r="P370" s="161">
        <v>0.83733609909676798</v>
      </c>
      <c r="Q370" s="161">
        <v>2.7269059516478E-3</v>
      </c>
      <c r="R370" s="161">
        <v>0.25285841492073502</v>
      </c>
      <c r="S370" s="161">
        <v>2.3938108032687599E-2</v>
      </c>
      <c r="T370" s="161">
        <v>0</v>
      </c>
      <c r="U370" s="161">
        <v>0</v>
      </c>
      <c r="V370" s="161">
        <v>0</v>
      </c>
      <c r="W370" s="161"/>
      <c r="X370" s="58"/>
      <c r="Y370" s="160"/>
      <c r="Z370" s="160"/>
      <c r="AA370" s="160"/>
      <c r="AB370" s="160"/>
      <c r="AC370" s="160"/>
      <c r="AD370" s="162"/>
      <c r="AE370" s="161"/>
    </row>
    <row r="371" spans="1:31" ht="21.2" customHeight="1">
      <c r="A371" s="8" t="s">
        <v>707</v>
      </c>
      <c r="B371" s="158" t="s">
        <v>872</v>
      </c>
      <c r="C371" s="159">
        <v>22</v>
      </c>
      <c r="D371" s="158" t="s">
        <v>860</v>
      </c>
      <c r="E371" s="58">
        <v>69.5582142857143</v>
      </c>
      <c r="F371" s="160">
        <v>13.128460192060899</v>
      </c>
      <c r="G371" s="161">
        <v>0.13403327542538301</v>
      </c>
      <c r="H371" s="161">
        <v>0.21860269932614401</v>
      </c>
      <c r="I371" s="161">
        <v>0.35263597475152703</v>
      </c>
      <c r="J371" s="161">
        <v>1.04456930273973</v>
      </c>
      <c r="K371" s="161">
        <v>1.03144239970642E-2</v>
      </c>
      <c r="L371" s="161">
        <v>5.3711420305009097E-2</v>
      </c>
      <c r="M371" s="161">
        <v>8.6975186145190498E-3</v>
      </c>
      <c r="N371" s="161">
        <v>1.07621750817857E-2</v>
      </c>
      <c r="O371" s="161">
        <v>0.26530346942427602</v>
      </c>
      <c r="P371" s="161">
        <v>1.0613696218020101</v>
      </c>
      <c r="Q371" s="161">
        <v>-4.8252289524116802E-2</v>
      </c>
      <c r="R371" s="161">
        <v>0.47570480294937001</v>
      </c>
      <c r="S371" s="161">
        <v>1.71588134605427E-2</v>
      </c>
      <c r="T371" s="161">
        <v>2.6889829696385998</v>
      </c>
      <c r="U371" s="161">
        <v>3.7796590781950901</v>
      </c>
      <c r="V371" s="161">
        <v>0.41569512577050499</v>
      </c>
      <c r="W371" s="161"/>
      <c r="X371" s="58"/>
      <c r="Y371" s="160"/>
      <c r="Z371" s="160"/>
      <c r="AA371" s="160"/>
      <c r="AB371" s="160"/>
      <c r="AC371" s="160"/>
      <c r="AD371" s="162"/>
      <c r="AE371" s="161"/>
    </row>
    <row r="372" spans="1:31" ht="21.2" customHeight="1">
      <c r="A372" s="8" t="s">
        <v>416</v>
      </c>
      <c r="B372" s="158" t="s">
        <v>871</v>
      </c>
      <c r="C372" s="159">
        <v>31</v>
      </c>
      <c r="D372" s="158" t="s">
        <v>849</v>
      </c>
      <c r="E372" s="58">
        <v>68.67</v>
      </c>
      <c r="F372" s="160">
        <v>15.9357560849304</v>
      </c>
      <c r="G372" s="161">
        <v>5.99293958338874E-2</v>
      </c>
      <c r="H372" s="161">
        <v>0.291281328093282</v>
      </c>
      <c r="I372" s="161">
        <v>0.35121072392717001</v>
      </c>
      <c r="J372" s="161">
        <v>1.33234996584722</v>
      </c>
      <c r="K372" s="161">
        <v>9.2386967211261601E-4</v>
      </c>
      <c r="L372" s="161">
        <v>8.0367949623652707E-2</v>
      </c>
      <c r="M372" s="161">
        <v>9.9999962615333001E-5</v>
      </c>
      <c r="N372" s="161">
        <v>3.71371737279699E-4</v>
      </c>
      <c r="O372" s="161">
        <v>0.86005680900373704</v>
      </c>
      <c r="P372" s="161">
        <v>0.79638856955402804</v>
      </c>
      <c r="Q372" s="161">
        <v>7.3440172738239107E-2</v>
      </c>
      <c r="R372" s="161">
        <v>0.25788551483751598</v>
      </c>
      <c r="S372" s="161">
        <v>1.02118571395306E-2</v>
      </c>
      <c r="T372" s="161">
        <v>0</v>
      </c>
      <c r="U372" s="161">
        <v>0</v>
      </c>
      <c r="V372" s="161">
        <v>0</v>
      </c>
      <c r="W372" s="161"/>
      <c r="X372" s="58"/>
      <c r="Y372" s="160"/>
      <c r="Z372" s="160"/>
      <c r="AA372" s="160"/>
      <c r="AB372" s="160"/>
      <c r="AC372" s="160"/>
      <c r="AD372" s="162"/>
      <c r="AE372" s="161"/>
    </row>
    <row r="373" spans="1:31" ht="21.2" customHeight="1">
      <c r="A373" s="8" t="s">
        <v>735</v>
      </c>
      <c r="B373" s="158" t="s">
        <v>882</v>
      </c>
      <c r="C373" s="159">
        <v>27</v>
      </c>
      <c r="D373" s="158" t="s">
        <v>860</v>
      </c>
      <c r="E373" s="58">
        <v>58.89</v>
      </c>
      <c r="F373" s="160">
        <v>12.0083198812089</v>
      </c>
      <c r="G373" s="161">
        <v>0.16078045445305</v>
      </c>
      <c r="H373" s="161">
        <v>0.189798942488839</v>
      </c>
      <c r="I373" s="161">
        <v>0.350579396941889</v>
      </c>
      <c r="J373" s="161">
        <v>1.35195322067366</v>
      </c>
      <c r="K373" s="161">
        <v>1.3024406725973699E-3</v>
      </c>
      <c r="L373" s="161">
        <v>2.55362761364979E-3</v>
      </c>
      <c r="M373" s="161">
        <v>0</v>
      </c>
      <c r="N373" s="161">
        <v>0</v>
      </c>
      <c r="O373" s="161">
        <v>0.423708442455762</v>
      </c>
      <c r="P373" s="161">
        <v>0.82020644052389302</v>
      </c>
      <c r="Q373" s="161">
        <v>-2.90971540221956E-2</v>
      </c>
      <c r="R373" s="161">
        <v>0.23035507486284101</v>
      </c>
      <c r="S373" s="161">
        <v>1.97769423628062E-2</v>
      </c>
      <c r="T373" s="161">
        <v>8.1098994501275196E-2</v>
      </c>
      <c r="U373" s="161">
        <v>0.13312527849324901</v>
      </c>
      <c r="V373" s="161">
        <v>0.37857052035998001</v>
      </c>
      <c r="W373" s="161"/>
      <c r="X373" s="58"/>
      <c r="Y373" s="160"/>
      <c r="Z373" s="160"/>
      <c r="AA373" s="160"/>
      <c r="AB373" s="160"/>
      <c r="AC373" s="160"/>
      <c r="AD373" s="162"/>
      <c r="AE373" s="161"/>
    </row>
    <row r="374" spans="1:31" ht="21.2" customHeight="1">
      <c r="A374" s="8" t="s">
        <v>636</v>
      </c>
      <c r="B374" s="158" t="s">
        <v>877</v>
      </c>
      <c r="C374" s="163">
        <v>30</v>
      </c>
      <c r="D374" s="158" t="s">
        <v>846</v>
      </c>
      <c r="E374" s="58">
        <v>81.031785714285704</v>
      </c>
      <c r="F374" s="160">
        <v>14.8754127210366</v>
      </c>
      <c r="G374" s="161">
        <v>0.15246397171918999</v>
      </c>
      <c r="H374" s="161">
        <v>0.19648925057099501</v>
      </c>
      <c r="I374" s="161">
        <v>0.34895322229018499</v>
      </c>
      <c r="J374" s="161">
        <v>1.5397509106295699</v>
      </c>
      <c r="K374" s="161">
        <v>7.3007643757785701E-3</v>
      </c>
      <c r="L374" s="161">
        <v>3.3256162831973898E-2</v>
      </c>
      <c r="M374" s="161">
        <v>2.8590408093394099E-2</v>
      </c>
      <c r="N374" s="161">
        <v>3.9773317239324903E-2</v>
      </c>
      <c r="O374" s="161">
        <v>0.54983322470613405</v>
      </c>
      <c r="P374" s="161">
        <v>2.1437809509865402</v>
      </c>
      <c r="Q374" s="161">
        <v>1.4767267888745E-2</v>
      </c>
      <c r="R374" s="161">
        <v>0.489040751743816</v>
      </c>
      <c r="S374" s="161">
        <v>2.37848899128584E-2</v>
      </c>
      <c r="T374" s="161">
        <v>6.9444542564904799</v>
      </c>
      <c r="U374" s="161">
        <v>6.5713848336896099</v>
      </c>
      <c r="V374" s="161">
        <v>0.51380119355933696</v>
      </c>
      <c r="W374" s="161"/>
      <c r="X374" s="58"/>
      <c r="Y374" s="160"/>
      <c r="Z374" s="160"/>
      <c r="AA374" s="160"/>
      <c r="AB374" s="160"/>
      <c r="AC374" s="160"/>
      <c r="AD374" s="162"/>
      <c r="AE374" s="161"/>
    </row>
    <row r="375" spans="1:31" ht="21.2" customHeight="1">
      <c r="A375" s="8" t="s">
        <v>657</v>
      </c>
      <c r="B375" s="158" t="s">
        <v>875</v>
      </c>
      <c r="C375" s="159">
        <v>20</v>
      </c>
      <c r="D375" s="158" t="s">
        <v>846</v>
      </c>
      <c r="E375" s="58">
        <v>77.422499999999999</v>
      </c>
      <c r="F375" s="160">
        <v>14.0638927704063</v>
      </c>
      <c r="G375" s="161">
        <v>0.15112729822169399</v>
      </c>
      <c r="H375" s="161">
        <v>0.19746189385582599</v>
      </c>
      <c r="I375" s="161">
        <v>0.34858919207751998</v>
      </c>
      <c r="J375" s="161">
        <v>1.6283399955262301</v>
      </c>
      <c r="K375" s="161">
        <v>1.5036680901786699E-2</v>
      </c>
      <c r="L375" s="161">
        <v>3.2572685430739101E-2</v>
      </c>
      <c r="M375" s="161">
        <v>2.4122067229205499E-3</v>
      </c>
      <c r="N375" s="161">
        <v>5.6878225426567602E-3</v>
      </c>
      <c r="O375" s="161">
        <v>0.57158138688511495</v>
      </c>
      <c r="P375" s="161">
        <v>1.51280970545978</v>
      </c>
      <c r="Q375" s="161">
        <v>-9.6074232439817706E-2</v>
      </c>
      <c r="R375" s="161">
        <v>0.40311945741198302</v>
      </c>
      <c r="S375" s="161">
        <v>1.61943305442038E-2</v>
      </c>
      <c r="T375" s="161">
        <v>5.08971498919521</v>
      </c>
      <c r="U375" s="161">
        <v>6.1311047593344004</v>
      </c>
      <c r="V375" s="161">
        <v>0.45359564659811702</v>
      </c>
      <c r="W375" s="161"/>
      <c r="X375" s="58"/>
      <c r="Y375" s="160"/>
      <c r="Z375" s="160"/>
      <c r="AA375" s="160"/>
      <c r="AB375" s="160"/>
      <c r="AC375" s="160"/>
      <c r="AD375" s="162"/>
      <c r="AE375" s="161"/>
    </row>
    <row r="376" spans="1:31" ht="21.2" customHeight="1">
      <c r="A376" s="8" t="s">
        <v>659</v>
      </c>
      <c r="B376" s="158" t="s">
        <v>886</v>
      </c>
      <c r="C376" s="159">
        <v>27</v>
      </c>
      <c r="D376" s="158" t="s">
        <v>880</v>
      </c>
      <c r="E376" s="58">
        <v>71.253214285714293</v>
      </c>
      <c r="F376" s="160">
        <v>12.1030655044139</v>
      </c>
      <c r="G376" s="161">
        <v>0.18880859932417199</v>
      </c>
      <c r="H376" s="161">
        <v>0.15725580861691299</v>
      </c>
      <c r="I376" s="161">
        <v>0.34606440794108501</v>
      </c>
      <c r="J376" s="161">
        <v>1.36138837345477</v>
      </c>
      <c r="K376" s="161">
        <v>8.5224444157892196E-3</v>
      </c>
      <c r="L376" s="161">
        <v>2.0793913604256201E-2</v>
      </c>
      <c r="M376" s="161">
        <v>0</v>
      </c>
      <c r="N376" s="161">
        <v>0</v>
      </c>
      <c r="O376" s="161">
        <v>0.38552310726833899</v>
      </c>
      <c r="P376" s="161">
        <v>0.88088866856423498</v>
      </c>
      <c r="Q376" s="161">
        <v>5.7951837759991298E-2</v>
      </c>
      <c r="R376" s="161">
        <v>0.23164846936383801</v>
      </c>
      <c r="S376" s="161">
        <v>3.0856476726494501E-2</v>
      </c>
      <c r="T376" s="161">
        <v>0.64229955146515405</v>
      </c>
      <c r="U376" s="161">
        <v>0.73655337896218698</v>
      </c>
      <c r="V376" s="161">
        <v>0.465821653122998</v>
      </c>
      <c r="W376" s="161"/>
      <c r="X376" s="58"/>
      <c r="Y376" s="160"/>
      <c r="Z376" s="160"/>
      <c r="AA376" s="160"/>
      <c r="AB376" s="160"/>
      <c r="AC376" s="160"/>
      <c r="AD376" s="162"/>
      <c r="AE376" s="161"/>
    </row>
    <row r="377" spans="1:31" ht="21.2" customHeight="1">
      <c r="A377" s="8" t="s">
        <v>742</v>
      </c>
      <c r="B377" s="158" t="s">
        <v>866</v>
      </c>
      <c r="C377" s="159">
        <v>21</v>
      </c>
      <c r="D377" s="158" t="s">
        <v>847</v>
      </c>
      <c r="E377" s="58">
        <v>52.916071428571399</v>
      </c>
      <c r="F377" s="160">
        <v>12.007596562474101</v>
      </c>
      <c r="G377" s="161">
        <v>0.15149407747632801</v>
      </c>
      <c r="H377" s="161">
        <v>0.19451276502378001</v>
      </c>
      <c r="I377" s="161">
        <v>0.34600684250010899</v>
      </c>
      <c r="J377" s="161">
        <v>1.6058258068033999</v>
      </c>
      <c r="K377" s="161">
        <v>7.0784049746594503E-3</v>
      </c>
      <c r="L377" s="161">
        <v>1.7476102747004001E-2</v>
      </c>
      <c r="M377" s="161">
        <v>2.04657633918984E-4</v>
      </c>
      <c r="N377" s="161">
        <v>4.0134306376570102E-4</v>
      </c>
      <c r="O377" s="161">
        <v>0.44461799281390202</v>
      </c>
      <c r="P377" s="161">
        <v>1.2927999862085</v>
      </c>
      <c r="Q377" s="161">
        <v>4.6988653460406198E-2</v>
      </c>
      <c r="R377" s="161">
        <v>0.24597806232029901</v>
      </c>
      <c r="S377" s="161">
        <v>2.43374832800567E-2</v>
      </c>
      <c r="T377" s="161">
        <v>7.0978000122329896E-2</v>
      </c>
      <c r="U377" s="161">
        <v>0.112746566174139</v>
      </c>
      <c r="V377" s="161">
        <v>0.38632830411908903</v>
      </c>
      <c r="W377" s="161"/>
      <c r="X377" s="58"/>
      <c r="Y377" s="160"/>
      <c r="Z377" s="160"/>
      <c r="AA377" s="160"/>
      <c r="AB377" s="160"/>
      <c r="AC377" s="160"/>
      <c r="AD377" s="162"/>
      <c r="AE377" s="161"/>
    </row>
    <row r="378" spans="1:31" ht="21.2" customHeight="1">
      <c r="A378" s="8" t="s">
        <v>317</v>
      </c>
      <c r="B378" s="158" t="s">
        <v>892</v>
      </c>
      <c r="C378" s="159">
        <v>30</v>
      </c>
      <c r="D378" s="158" t="s">
        <v>849</v>
      </c>
      <c r="E378" s="58">
        <v>82.03</v>
      </c>
      <c r="F378" s="160">
        <v>23.771965354420701</v>
      </c>
      <c r="G378" s="161">
        <v>9.49639587522733E-2</v>
      </c>
      <c r="H378" s="161">
        <v>0.25060481474568203</v>
      </c>
      <c r="I378" s="161">
        <v>0.34556877349795501</v>
      </c>
      <c r="J378" s="161">
        <v>1.65288790510012</v>
      </c>
      <c r="K378" s="161">
        <v>4.4835442063387402E-4</v>
      </c>
      <c r="L378" s="161">
        <v>3.9899578024467598E-3</v>
      </c>
      <c r="M378" s="161">
        <v>-1.83304733927778E-4</v>
      </c>
      <c r="N378" s="161">
        <v>1.23687760202332E-4</v>
      </c>
      <c r="O378" s="161">
        <v>2.0281387479363202</v>
      </c>
      <c r="P378" s="161">
        <v>2.4274535738151601</v>
      </c>
      <c r="Q378" s="161">
        <v>1.81459820372059E-3</v>
      </c>
      <c r="R378" s="161">
        <v>0.622924887323968</v>
      </c>
      <c r="S378" s="161">
        <v>1.33482267429156E-2</v>
      </c>
      <c r="T378" s="161">
        <v>3.0393067049727201E-4</v>
      </c>
      <c r="U378" s="161">
        <v>1.6219237257009799E-3</v>
      </c>
      <c r="V378" s="161">
        <v>0.15781601719073299</v>
      </c>
      <c r="W378" s="161"/>
      <c r="X378" s="58"/>
      <c r="Y378" s="160"/>
      <c r="Z378" s="160"/>
      <c r="AA378" s="160"/>
      <c r="AB378" s="160"/>
      <c r="AC378" s="160"/>
      <c r="AD378" s="162"/>
      <c r="AE378" s="161"/>
    </row>
    <row r="379" spans="1:31" ht="21.2" customHeight="1">
      <c r="A379" s="8" t="s">
        <v>340</v>
      </c>
      <c r="B379" s="158" t="s">
        <v>890</v>
      </c>
      <c r="C379" s="163">
        <v>27</v>
      </c>
      <c r="D379" s="158" t="s">
        <v>849</v>
      </c>
      <c r="E379" s="58">
        <v>81.4310714285714</v>
      </c>
      <c r="F379" s="160">
        <v>21.562490076345298</v>
      </c>
      <c r="G379" s="161">
        <v>8.4980307453087101E-2</v>
      </c>
      <c r="H379" s="161">
        <v>0.26046964625949098</v>
      </c>
      <c r="I379" s="161">
        <v>0.34544995371257797</v>
      </c>
      <c r="J379" s="161">
        <v>1.51323263765921</v>
      </c>
      <c r="K379" s="161">
        <v>1.2962006400111599E-3</v>
      </c>
      <c r="L379" s="161">
        <v>1.25786985449646E-2</v>
      </c>
      <c r="M379" s="161">
        <v>5.9362799838533001E-3</v>
      </c>
      <c r="N379" s="161">
        <v>7.6849123056920996E-3</v>
      </c>
      <c r="O379" s="161">
        <v>1.6933807602237201</v>
      </c>
      <c r="P379" s="161">
        <v>0.85537888809213403</v>
      </c>
      <c r="Q379" s="161">
        <v>-7.1318392941431302E-2</v>
      </c>
      <c r="R379" s="161">
        <v>0.468120458276445</v>
      </c>
      <c r="S379" s="161">
        <v>9.9890648311566702E-3</v>
      </c>
      <c r="T379" s="161">
        <v>0</v>
      </c>
      <c r="U379" s="161">
        <v>0</v>
      </c>
      <c r="V379" s="161">
        <v>0</v>
      </c>
      <c r="W379" s="161"/>
      <c r="X379" s="58"/>
      <c r="Y379" s="160"/>
      <c r="Z379" s="160"/>
      <c r="AA379" s="160"/>
      <c r="AB379" s="160"/>
      <c r="AC379" s="160"/>
      <c r="AD379" s="162"/>
      <c r="AE379" s="161"/>
    </row>
    <row r="380" spans="1:31" ht="21.2" customHeight="1">
      <c r="A380" s="8" t="s">
        <v>667</v>
      </c>
      <c r="B380" s="158" t="s">
        <v>869</v>
      </c>
      <c r="C380" s="159">
        <v>23</v>
      </c>
      <c r="D380" s="158" t="s">
        <v>865</v>
      </c>
      <c r="E380" s="58">
        <v>71.862142857142899</v>
      </c>
      <c r="F380" s="160">
        <v>13.871401620919199</v>
      </c>
      <c r="G380" s="161">
        <v>0.11957154141253</v>
      </c>
      <c r="H380" s="161">
        <v>0.22573772577769399</v>
      </c>
      <c r="I380" s="161">
        <v>0.34530926719022298</v>
      </c>
      <c r="J380" s="161">
        <v>1.1240163221651001</v>
      </c>
      <c r="K380" s="161">
        <v>9.0800350878381803E-4</v>
      </c>
      <c r="L380" s="161">
        <v>1.8682453985568799E-3</v>
      </c>
      <c r="M380" s="161">
        <v>3.2480286403368799E-3</v>
      </c>
      <c r="N380" s="161">
        <v>4.1800305612123403E-2</v>
      </c>
      <c r="O380" s="161">
        <v>0.471273784124221</v>
      </c>
      <c r="P380" s="161">
        <v>1.46383415953913</v>
      </c>
      <c r="Q380" s="161">
        <v>4.8100428508588498E-2</v>
      </c>
      <c r="R380" s="161">
        <v>0.58917791039557399</v>
      </c>
      <c r="S380" s="161">
        <v>1.9130598976836E-2</v>
      </c>
      <c r="T380" s="161">
        <v>1.2452026710899999</v>
      </c>
      <c r="U380" s="161">
        <v>1.2537251791646</v>
      </c>
      <c r="V380" s="161">
        <v>0.49829476707906301</v>
      </c>
      <c r="W380" s="161"/>
      <c r="X380" s="58"/>
      <c r="Y380" s="160"/>
      <c r="Z380" s="160"/>
      <c r="AA380" s="160"/>
      <c r="AB380" s="160"/>
      <c r="AC380" s="160"/>
      <c r="AD380" s="162"/>
      <c r="AE380" s="161"/>
    </row>
    <row r="381" spans="1:31" ht="21.2" customHeight="1">
      <c r="A381" s="8" t="s">
        <v>649</v>
      </c>
      <c r="B381" s="158" t="s">
        <v>884</v>
      </c>
      <c r="C381" s="159">
        <v>31</v>
      </c>
      <c r="D381" s="158" t="s">
        <v>848</v>
      </c>
      <c r="E381" s="58">
        <v>80.210714285714303</v>
      </c>
      <c r="F381" s="160">
        <v>14.1055636656672</v>
      </c>
      <c r="G381" s="161">
        <v>0.124652637075878</v>
      </c>
      <c r="H381" s="161">
        <v>0.22044921401878401</v>
      </c>
      <c r="I381" s="161">
        <v>0.34510185109466202</v>
      </c>
      <c r="J381" s="161">
        <v>1.0064364297529</v>
      </c>
      <c r="K381" s="161">
        <v>2.4911528015424001E-3</v>
      </c>
      <c r="L381" s="161">
        <v>6.7790425111887397E-3</v>
      </c>
      <c r="M381" s="161">
        <v>-1.60048506823648E-4</v>
      </c>
      <c r="N381" s="161">
        <v>2.0264022996360698E-2</v>
      </c>
      <c r="O381" s="161">
        <v>0.46909394756228501</v>
      </c>
      <c r="P381" s="161">
        <v>1.2576854270937901</v>
      </c>
      <c r="Q381" s="161">
        <v>8.4239086821565598E-2</v>
      </c>
      <c r="R381" s="161">
        <v>0.19183972151363299</v>
      </c>
      <c r="S381" s="161">
        <v>2.2365474275036299E-2</v>
      </c>
      <c r="T381" s="161">
        <v>0.13776648922245399</v>
      </c>
      <c r="U381" s="161">
        <v>0.210017226572528</v>
      </c>
      <c r="V381" s="161">
        <v>0.396126911541962</v>
      </c>
      <c r="W381" s="161"/>
      <c r="X381" s="58"/>
      <c r="Y381" s="160"/>
      <c r="Z381" s="160"/>
      <c r="AA381" s="160"/>
      <c r="AB381" s="160"/>
      <c r="AC381" s="160"/>
      <c r="AD381" s="162"/>
      <c r="AE381" s="161"/>
    </row>
    <row r="382" spans="1:31" ht="21.2" customHeight="1">
      <c r="A382" s="8" t="s">
        <v>638</v>
      </c>
      <c r="B382" s="158" t="s">
        <v>862</v>
      </c>
      <c r="C382" s="159">
        <v>26</v>
      </c>
      <c r="D382" s="158" t="s">
        <v>860</v>
      </c>
      <c r="E382" s="58">
        <v>68.2</v>
      </c>
      <c r="F382" s="160">
        <v>13.026067839193001</v>
      </c>
      <c r="G382" s="161">
        <v>0.12676846465880201</v>
      </c>
      <c r="H382" s="161">
        <v>0.21744737880065701</v>
      </c>
      <c r="I382" s="161">
        <v>0.34421584345945999</v>
      </c>
      <c r="J382" s="161">
        <v>2.2512096602544802</v>
      </c>
      <c r="K382" s="161">
        <v>5.6427107591498901E-3</v>
      </c>
      <c r="L382" s="161">
        <v>1.43282989271801E-2</v>
      </c>
      <c r="M382" s="161">
        <v>3.8203064459627198E-4</v>
      </c>
      <c r="N382" s="161">
        <v>7.2226858683146101E-4</v>
      </c>
      <c r="O382" s="161">
        <v>0.38432044696791001</v>
      </c>
      <c r="P382" s="161">
        <v>1.8543417871240699</v>
      </c>
      <c r="Q382" s="161">
        <v>1.44186545551073E-2</v>
      </c>
      <c r="R382" s="161">
        <v>0.71445005825583396</v>
      </c>
      <c r="S382" s="161">
        <v>1.98393107678266E-2</v>
      </c>
      <c r="T382" s="161">
        <v>0.23409773968102099</v>
      </c>
      <c r="U382" s="161">
        <v>0.43401810761183002</v>
      </c>
      <c r="V382" s="161">
        <v>0.35038495289337201</v>
      </c>
      <c r="W382" s="161"/>
      <c r="X382" s="58"/>
      <c r="Y382" s="160"/>
      <c r="Z382" s="160"/>
      <c r="AA382" s="160"/>
      <c r="AB382" s="160"/>
      <c r="AC382" s="160"/>
      <c r="AD382" s="162"/>
      <c r="AE382" s="161"/>
    </row>
    <row r="383" spans="1:31" ht="21.2" customHeight="1">
      <c r="A383" s="8" t="s">
        <v>681</v>
      </c>
      <c r="B383" s="158" t="s">
        <v>891</v>
      </c>
      <c r="C383" s="163">
        <v>28</v>
      </c>
      <c r="D383" s="158" t="s">
        <v>848</v>
      </c>
      <c r="E383" s="58">
        <v>68.209999999999994</v>
      </c>
      <c r="F383" s="160">
        <v>12.514266451203101</v>
      </c>
      <c r="G383" s="161">
        <v>0.169685099130995</v>
      </c>
      <c r="H383" s="161">
        <v>0.173775726264493</v>
      </c>
      <c r="I383" s="161">
        <v>0.343460825395488</v>
      </c>
      <c r="J383" s="161">
        <v>1.28118788934821</v>
      </c>
      <c r="K383" s="161">
        <v>3.5170471553805501E-3</v>
      </c>
      <c r="L383" s="161">
        <v>1.25646863280511E-2</v>
      </c>
      <c r="M383" s="161">
        <v>3.0235899913065598E-6</v>
      </c>
      <c r="N383" s="161">
        <v>5.6624543468718999E-6</v>
      </c>
      <c r="O383" s="161">
        <v>0.45182749076266299</v>
      </c>
      <c r="P383" s="161">
        <v>1.00160113387271</v>
      </c>
      <c r="Q383" s="161">
        <v>1.6091804692988699E-2</v>
      </c>
      <c r="R383" s="161">
        <v>0.236220049143193</v>
      </c>
      <c r="S383" s="161">
        <v>2.6220056681082599E-2</v>
      </c>
      <c r="T383" s="161">
        <v>5.77882720857468E-2</v>
      </c>
      <c r="U383" s="161">
        <v>0.140626437477334</v>
      </c>
      <c r="V383" s="161">
        <v>0.29124993914513497</v>
      </c>
      <c r="W383" s="161"/>
      <c r="X383" s="58"/>
      <c r="Y383" s="160"/>
      <c r="Z383" s="160"/>
      <c r="AA383" s="160"/>
      <c r="AB383" s="160"/>
      <c r="AC383" s="160"/>
      <c r="AD383" s="162"/>
      <c r="AE383" s="161"/>
    </row>
    <row r="384" spans="1:31" ht="21.2" customHeight="1">
      <c r="A384" s="8" t="s">
        <v>567</v>
      </c>
      <c r="B384" s="158" t="s">
        <v>895</v>
      </c>
      <c r="C384" s="159">
        <v>39</v>
      </c>
      <c r="D384" s="158" t="s">
        <v>847</v>
      </c>
      <c r="E384" s="58">
        <v>80.419285714285706</v>
      </c>
      <c r="F384" s="160">
        <v>13.7538688371612</v>
      </c>
      <c r="G384" s="161">
        <v>0.175821594750767</v>
      </c>
      <c r="H384" s="161">
        <v>0.16668689846317999</v>
      </c>
      <c r="I384" s="161">
        <v>0.342508493213948</v>
      </c>
      <c r="J384" s="161">
        <v>1.89475897687021</v>
      </c>
      <c r="K384" s="161">
        <v>2.12809066818649E-2</v>
      </c>
      <c r="L384" s="161">
        <v>4.9846863565671501E-2</v>
      </c>
      <c r="M384" s="161">
        <v>0</v>
      </c>
      <c r="N384" s="161">
        <v>0</v>
      </c>
      <c r="O384" s="161">
        <v>0.68076597171559305</v>
      </c>
      <c r="P384" s="161">
        <v>0.93899811830194901</v>
      </c>
      <c r="Q384" s="161">
        <v>6.3346935733290498E-3</v>
      </c>
      <c r="R384" s="161">
        <v>0.26961602569529802</v>
      </c>
      <c r="S384" s="161">
        <v>0</v>
      </c>
      <c r="T384" s="161">
        <v>0.18822930786381001</v>
      </c>
      <c r="U384" s="161">
        <v>0.30476724664275201</v>
      </c>
      <c r="V384" s="161">
        <v>0.38180653828748801</v>
      </c>
      <c r="W384" s="161"/>
      <c r="X384" s="58"/>
      <c r="Y384" s="160"/>
      <c r="Z384" s="160"/>
      <c r="AA384" s="160"/>
      <c r="AB384" s="160"/>
      <c r="AC384" s="160"/>
      <c r="AD384" s="162"/>
      <c r="AE384" s="161"/>
    </row>
    <row r="385" spans="1:31" ht="21.2" customHeight="1">
      <c r="A385" s="8" t="s">
        <v>746</v>
      </c>
      <c r="B385" s="158" t="s">
        <v>873</v>
      </c>
      <c r="C385" s="159">
        <v>22</v>
      </c>
      <c r="D385" s="158" t="s">
        <v>847</v>
      </c>
      <c r="E385" s="58">
        <v>55</v>
      </c>
      <c r="F385" s="160">
        <v>12.055199999999999</v>
      </c>
      <c r="G385" s="161">
        <v>0.157398094622233</v>
      </c>
      <c r="H385" s="161">
        <v>0.18510241415640899</v>
      </c>
      <c r="I385" s="161">
        <v>0.34250050877864102</v>
      </c>
      <c r="J385" s="161">
        <v>1.5035211294667401</v>
      </c>
      <c r="K385" s="161">
        <v>4.06937670848561E-3</v>
      </c>
      <c r="L385" s="161">
        <v>9.5742643600814793E-3</v>
      </c>
      <c r="M385" s="161">
        <v>0</v>
      </c>
      <c r="N385" s="161">
        <v>0</v>
      </c>
      <c r="O385" s="161">
        <v>0.31182645248905999</v>
      </c>
      <c r="P385" s="161">
        <v>0.86163853944914903</v>
      </c>
      <c r="Q385" s="161">
        <v>-7.5343246977480104E-4</v>
      </c>
      <c r="R385" s="161">
        <v>0.291880518681359</v>
      </c>
      <c r="S385" s="161">
        <v>2.2281219020750399E-2</v>
      </c>
      <c r="T385" s="161">
        <v>1.3640998618951501E-2</v>
      </c>
      <c r="U385" s="161">
        <v>3.5578570169946103E-2</v>
      </c>
      <c r="V385" s="161">
        <v>0.27714583761303502</v>
      </c>
      <c r="W385" s="161"/>
      <c r="X385" s="58"/>
      <c r="Y385" s="160"/>
      <c r="Z385" s="160"/>
      <c r="AA385" s="160"/>
      <c r="AB385" s="160"/>
      <c r="AC385" s="160"/>
      <c r="AD385" s="162"/>
      <c r="AE385" s="161"/>
    </row>
    <row r="386" spans="1:31" ht="21.2" customHeight="1">
      <c r="A386" s="8" t="s">
        <v>356</v>
      </c>
      <c r="B386" s="158" t="s">
        <v>891</v>
      </c>
      <c r="C386" s="159">
        <v>29</v>
      </c>
      <c r="D386" s="158" t="s">
        <v>849</v>
      </c>
      <c r="E386" s="58">
        <v>77.752499999999998</v>
      </c>
      <c r="F386" s="160">
        <v>21.800020605478402</v>
      </c>
      <c r="G386" s="161">
        <v>6.9117370621284896E-2</v>
      </c>
      <c r="H386" s="161">
        <v>0.27323561165973198</v>
      </c>
      <c r="I386" s="161">
        <v>0.34235298228101702</v>
      </c>
      <c r="J386" s="161">
        <v>1.54339964222618</v>
      </c>
      <c r="K386" s="161">
        <v>4.53327569438963E-4</v>
      </c>
      <c r="L386" s="161">
        <v>2.9491168990678001E-3</v>
      </c>
      <c r="M386" s="161">
        <v>2.66268149157326E-3</v>
      </c>
      <c r="N386" s="161">
        <v>2.2749003691824501E-2</v>
      </c>
      <c r="O386" s="161">
        <v>1.7489383962898</v>
      </c>
      <c r="P386" s="161">
        <v>1.2432163857349601</v>
      </c>
      <c r="Q386" s="161">
        <v>3.0277090251805701E-2</v>
      </c>
      <c r="R386" s="161">
        <v>0.49618014749744999</v>
      </c>
      <c r="S386" s="161">
        <v>1.0680144483037E-2</v>
      </c>
      <c r="T386" s="161">
        <v>0</v>
      </c>
      <c r="U386" s="161">
        <v>0</v>
      </c>
      <c r="V386" s="161">
        <v>0</v>
      </c>
      <c r="W386" s="161"/>
      <c r="X386" s="58"/>
      <c r="Y386" s="160"/>
      <c r="Z386" s="160"/>
      <c r="AA386" s="160"/>
      <c r="AB386" s="160"/>
      <c r="AC386" s="160"/>
      <c r="AD386" s="162"/>
      <c r="AE386" s="161"/>
    </row>
    <row r="387" spans="1:31" ht="21.2" customHeight="1">
      <c r="A387" s="8" t="s">
        <v>375</v>
      </c>
      <c r="B387" s="158" t="s">
        <v>883</v>
      </c>
      <c r="C387" s="159">
        <v>27</v>
      </c>
      <c r="D387" s="158" t="s">
        <v>849</v>
      </c>
      <c r="E387" s="58">
        <v>79.833571428571403</v>
      </c>
      <c r="F387" s="160">
        <v>21.9373527078676</v>
      </c>
      <c r="G387" s="161">
        <v>7.2801251381280602E-2</v>
      </c>
      <c r="H387" s="161">
        <v>0.26902313417193402</v>
      </c>
      <c r="I387" s="161">
        <v>0.34182438555321498</v>
      </c>
      <c r="J387" s="161">
        <v>1.2760443616156301</v>
      </c>
      <c r="K387" s="161">
        <v>1.0477719064668899E-3</v>
      </c>
      <c r="L387" s="161">
        <v>6.6547169970992701E-3</v>
      </c>
      <c r="M387" s="161">
        <v>5.8805983281421999E-3</v>
      </c>
      <c r="N387" s="161">
        <v>1.67629932012545E-2</v>
      </c>
      <c r="O387" s="161">
        <v>1.5649919777116501</v>
      </c>
      <c r="P387" s="161">
        <v>1.15692501575498</v>
      </c>
      <c r="Q387" s="161">
        <v>-9.7110047958234099E-4</v>
      </c>
      <c r="R387" s="161">
        <v>0.59874809675034002</v>
      </c>
      <c r="S387" s="161">
        <v>1.07790301364019E-2</v>
      </c>
      <c r="T387" s="161">
        <v>0</v>
      </c>
      <c r="U387" s="161">
        <v>0</v>
      </c>
      <c r="V387" s="161">
        <v>0</v>
      </c>
      <c r="W387" s="161"/>
      <c r="X387" s="58"/>
      <c r="Y387" s="160"/>
      <c r="Z387" s="160"/>
      <c r="AA387" s="160"/>
      <c r="AB387" s="160"/>
      <c r="AC387" s="160"/>
      <c r="AD387" s="162"/>
      <c r="AE387" s="161"/>
    </row>
    <row r="388" spans="1:31" ht="21.2" customHeight="1">
      <c r="A388" s="8" t="s">
        <v>643</v>
      </c>
      <c r="B388" s="158" t="s">
        <v>859</v>
      </c>
      <c r="C388" s="163">
        <v>30</v>
      </c>
      <c r="D388" s="158" t="s">
        <v>864</v>
      </c>
      <c r="E388" s="58">
        <v>77.127499999999998</v>
      </c>
      <c r="F388" s="160">
        <v>13.8719586680853</v>
      </c>
      <c r="G388" s="161">
        <v>0.13227124589939601</v>
      </c>
      <c r="H388" s="161">
        <v>0.20898078864730499</v>
      </c>
      <c r="I388" s="161">
        <v>0.341252034546701</v>
      </c>
      <c r="J388" s="161">
        <v>1.23223369838055</v>
      </c>
      <c r="K388" s="161">
        <v>9.5424779336963298E-4</v>
      </c>
      <c r="L388" s="161">
        <v>2.01207791006999E-3</v>
      </c>
      <c r="M388" s="161">
        <v>2.8181475530260701E-2</v>
      </c>
      <c r="N388" s="161">
        <v>3.9204223832866099E-2</v>
      </c>
      <c r="O388" s="161">
        <v>0.392410245696518</v>
      </c>
      <c r="P388" s="161">
        <v>0.40893081105062401</v>
      </c>
      <c r="Q388" s="161">
        <v>4.9819219079684299E-2</v>
      </c>
      <c r="R388" s="161">
        <v>0.324972178800078</v>
      </c>
      <c r="S388" s="161">
        <v>2.0937118211652599E-2</v>
      </c>
      <c r="T388" s="161">
        <v>0.31801767201346098</v>
      </c>
      <c r="U388" s="161">
        <v>0.47535609146058799</v>
      </c>
      <c r="V388" s="161">
        <v>0.40084218391709298</v>
      </c>
      <c r="W388" s="161"/>
      <c r="X388" s="58"/>
      <c r="Y388" s="160"/>
      <c r="Z388" s="160"/>
      <c r="AA388" s="160"/>
      <c r="AB388" s="160"/>
      <c r="AC388" s="160"/>
      <c r="AD388" s="162"/>
      <c r="AE388" s="161"/>
    </row>
    <row r="389" spans="1:31" ht="21.2" customHeight="1">
      <c r="A389" s="8" t="s">
        <v>332</v>
      </c>
      <c r="B389" s="158" t="s">
        <v>874</v>
      </c>
      <c r="C389" s="159">
        <v>28</v>
      </c>
      <c r="D389" s="158" t="s">
        <v>849</v>
      </c>
      <c r="E389" s="58">
        <v>80.0646428571429</v>
      </c>
      <c r="F389" s="160">
        <v>20.0840416037368</v>
      </c>
      <c r="G389" s="161">
        <v>7.9051533591254497E-2</v>
      </c>
      <c r="H389" s="161">
        <v>0.261139234011043</v>
      </c>
      <c r="I389" s="161">
        <v>0.34019076760229799</v>
      </c>
      <c r="J389" s="161">
        <v>1.69412652546306</v>
      </c>
      <c r="K389" s="161">
        <v>3.1504969459171002E-4</v>
      </c>
      <c r="L389" s="161">
        <v>2.0034887555435599E-3</v>
      </c>
      <c r="M389" s="161">
        <v>1.73997522634948E-4</v>
      </c>
      <c r="N389" s="161">
        <v>1.41509914299552E-2</v>
      </c>
      <c r="O389" s="161">
        <v>1.8616410969859001</v>
      </c>
      <c r="P389" s="161">
        <v>1.2071033505581901</v>
      </c>
      <c r="Q389" s="161">
        <v>2.5914430711287701E-2</v>
      </c>
      <c r="R389" s="161">
        <v>0.42545231414307699</v>
      </c>
      <c r="S389" s="161">
        <v>1.2689354024192001E-2</v>
      </c>
      <c r="T389" s="161">
        <v>0</v>
      </c>
      <c r="U389" s="161">
        <v>0</v>
      </c>
      <c r="V389" s="161">
        <v>0</v>
      </c>
      <c r="W389" s="161"/>
      <c r="X389" s="58"/>
      <c r="Y389" s="160"/>
      <c r="Z389" s="160"/>
      <c r="AA389" s="160"/>
      <c r="AB389" s="160"/>
      <c r="AC389" s="160"/>
      <c r="AD389" s="162"/>
      <c r="AE389" s="161"/>
    </row>
    <row r="390" spans="1:31" ht="21.2" customHeight="1">
      <c r="A390" s="8" t="s">
        <v>691</v>
      </c>
      <c r="B390" s="158" t="s">
        <v>888</v>
      </c>
      <c r="C390" s="163">
        <v>29</v>
      </c>
      <c r="D390" s="158" t="s">
        <v>846</v>
      </c>
      <c r="E390" s="58">
        <v>81.324642857142905</v>
      </c>
      <c r="F390" s="160">
        <v>15.499616902972599</v>
      </c>
      <c r="G390" s="161">
        <v>0.12583106349843001</v>
      </c>
      <c r="H390" s="161">
        <v>0.21373165286934301</v>
      </c>
      <c r="I390" s="161">
        <v>0.33956271636777302</v>
      </c>
      <c r="J390" s="161">
        <v>1.1171916983100201</v>
      </c>
      <c r="K390" s="161">
        <v>5.5076339354773697E-3</v>
      </c>
      <c r="L390" s="161">
        <v>2.4800302056375401E-2</v>
      </c>
      <c r="M390" s="161">
        <v>5.4910466465983897E-3</v>
      </c>
      <c r="N390" s="161">
        <v>7.1980047074765401E-3</v>
      </c>
      <c r="O390" s="161">
        <v>0.73654325949781096</v>
      </c>
      <c r="P390" s="161">
        <v>1.93168530105023</v>
      </c>
      <c r="Q390" s="161">
        <v>-2.7453231908204302E-2</v>
      </c>
      <c r="R390" s="161">
        <v>0.31789862909080002</v>
      </c>
      <c r="S390" s="161">
        <v>1.8374626266133801E-2</v>
      </c>
      <c r="T390" s="161">
        <v>7.3248922494166298</v>
      </c>
      <c r="U390" s="161">
        <v>6.1513080769584301</v>
      </c>
      <c r="V390" s="161">
        <v>0.54354284382969997</v>
      </c>
      <c r="W390" s="161"/>
      <c r="X390" s="58"/>
      <c r="Y390" s="160"/>
      <c r="Z390" s="160"/>
      <c r="AA390" s="160"/>
      <c r="AB390" s="160"/>
      <c r="AC390" s="160"/>
      <c r="AD390" s="162"/>
      <c r="AE390" s="161"/>
    </row>
    <row r="391" spans="1:31" ht="21.2" customHeight="1">
      <c r="A391" s="8" t="s">
        <v>580</v>
      </c>
      <c r="B391" s="158" t="s">
        <v>866</v>
      </c>
      <c r="C391" s="159">
        <v>24</v>
      </c>
      <c r="D391" s="158" t="s">
        <v>849</v>
      </c>
      <c r="E391" s="58">
        <v>50</v>
      </c>
      <c r="F391" s="160">
        <v>16.4168791263522</v>
      </c>
      <c r="G391" s="161">
        <v>5.4968855080849803E-2</v>
      </c>
      <c r="H391" s="161">
        <v>0.283684965436799</v>
      </c>
      <c r="I391" s="161">
        <v>0.33865382051764897</v>
      </c>
      <c r="J391" s="161">
        <v>0.95658930628146599</v>
      </c>
      <c r="K391" s="161">
        <v>1.9884552459575001E-3</v>
      </c>
      <c r="L391" s="161">
        <v>3.7270217764016803E-2</v>
      </c>
      <c r="M391" s="161">
        <v>8.5929567319686803E-5</v>
      </c>
      <c r="N391" s="161">
        <v>3.6719567412458998E-4</v>
      </c>
      <c r="O391" s="161">
        <v>0.99343740473325404</v>
      </c>
      <c r="P391" s="161">
        <v>1.1479975026977201</v>
      </c>
      <c r="Q391" s="161">
        <v>5.2773827527470202E-2</v>
      </c>
      <c r="R391" s="161">
        <v>0.34110028353316202</v>
      </c>
      <c r="S391" s="161">
        <v>8.8307319582383009E-3</v>
      </c>
      <c r="T391" s="161">
        <v>0</v>
      </c>
      <c r="U391" s="161">
        <v>0</v>
      </c>
      <c r="V391" s="161">
        <v>0</v>
      </c>
      <c r="W391" s="161"/>
      <c r="X391" s="58"/>
      <c r="Y391" s="160"/>
      <c r="Z391" s="160"/>
      <c r="AA391" s="160"/>
      <c r="AB391" s="160"/>
      <c r="AC391" s="160"/>
      <c r="AD391" s="162"/>
      <c r="AE391" s="161"/>
    </row>
    <row r="392" spans="1:31" ht="21.2" customHeight="1">
      <c r="A392" s="8" t="s">
        <v>713</v>
      </c>
      <c r="B392" s="158" t="s">
        <v>886</v>
      </c>
      <c r="C392" s="159">
        <v>25</v>
      </c>
      <c r="D392" s="158" t="s">
        <v>860</v>
      </c>
      <c r="E392" s="58">
        <v>70.197500000000005</v>
      </c>
      <c r="F392" s="160">
        <v>13.173532965387899</v>
      </c>
      <c r="G392" s="161">
        <v>0.14310799779901501</v>
      </c>
      <c r="H392" s="161">
        <v>0.194352780977849</v>
      </c>
      <c r="I392" s="161">
        <v>0.33746077877686298</v>
      </c>
      <c r="J392" s="161">
        <v>1.0555392641040899</v>
      </c>
      <c r="K392" s="161">
        <v>4.63581468495151E-4</v>
      </c>
      <c r="L392" s="161">
        <v>9.0720928104645398E-4</v>
      </c>
      <c r="M392" s="161">
        <v>1.8867064172224E-3</v>
      </c>
      <c r="N392" s="161">
        <v>1.30710144912459E-2</v>
      </c>
      <c r="O392" s="161">
        <v>0.66642625406971101</v>
      </c>
      <c r="P392" s="161">
        <v>1.7221279351812799</v>
      </c>
      <c r="Q392" s="161">
        <v>5.5736601662226597E-2</v>
      </c>
      <c r="R392" s="161">
        <v>0.50571197006534796</v>
      </c>
      <c r="S392" s="161">
        <v>2.33877515074346E-2</v>
      </c>
      <c r="T392" s="161">
        <v>2.4101377108082902</v>
      </c>
      <c r="U392" s="161">
        <v>2.4605390956333699</v>
      </c>
      <c r="V392" s="161">
        <v>0.49482603888248</v>
      </c>
      <c r="W392" s="161"/>
      <c r="X392" s="58"/>
      <c r="Y392" s="160"/>
      <c r="Z392" s="160"/>
      <c r="AA392" s="160"/>
      <c r="AB392" s="160"/>
      <c r="AC392" s="160"/>
      <c r="AD392" s="162"/>
      <c r="AE392" s="161"/>
    </row>
    <row r="393" spans="1:31" ht="21.2" customHeight="1">
      <c r="A393" s="8" t="s">
        <v>425</v>
      </c>
      <c r="B393" s="158" t="s">
        <v>893</v>
      </c>
      <c r="C393" s="163">
        <v>29</v>
      </c>
      <c r="D393" s="158" t="s">
        <v>849</v>
      </c>
      <c r="E393" s="58">
        <v>73.8</v>
      </c>
      <c r="F393" s="160">
        <v>22.920313332288799</v>
      </c>
      <c r="G393" s="161">
        <v>3.3248182980543398E-2</v>
      </c>
      <c r="H393" s="161">
        <v>0.303467709511757</v>
      </c>
      <c r="I393" s="161">
        <v>0.33671589249230099</v>
      </c>
      <c r="J393" s="161">
        <v>0.97357085060316595</v>
      </c>
      <c r="K393" s="161">
        <v>3.21703975830589E-3</v>
      </c>
      <c r="L393" s="161">
        <v>2.6574178854402102E-2</v>
      </c>
      <c r="M393" s="161">
        <v>5.9380568126711498E-5</v>
      </c>
      <c r="N393" s="161">
        <v>1.2036455888382201E-2</v>
      </c>
      <c r="O393" s="161">
        <v>1.5480894412848201</v>
      </c>
      <c r="P393" s="161">
        <v>1.43017948502749</v>
      </c>
      <c r="Q393" s="161">
        <v>-1.09656966440226E-2</v>
      </c>
      <c r="R393" s="161">
        <v>0.54635818403878</v>
      </c>
      <c r="S393" s="161">
        <v>4.1279532411553996E-3</v>
      </c>
      <c r="T393" s="161">
        <v>0</v>
      </c>
      <c r="U393" s="161">
        <v>0</v>
      </c>
      <c r="V393" s="161">
        <v>0</v>
      </c>
      <c r="W393" s="161"/>
      <c r="X393" s="58"/>
      <c r="Y393" s="160"/>
      <c r="Z393" s="160"/>
      <c r="AA393" s="160"/>
      <c r="AB393" s="160"/>
      <c r="AC393" s="160"/>
      <c r="AD393" s="162"/>
      <c r="AE393" s="161"/>
    </row>
    <row r="394" spans="1:31" ht="21.2" customHeight="1">
      <c r="A394" s="8" t="s">
        <v>646</v>
      </c>
      <c r="B394" s="158" t="s">
        <v>879</v>
      </c>
      <c r="C394" s="159">
        <v>26</v>
      </c>
      <c r="D394" s="158" t="s">
        <v>848</v>
      </c>
      <c r="E394" s="58">
        <v>75.627499999999998</v>
      </c>
      <c r="F394" s="160">
        <v>13.527295133384101</v>
      </c>
      <c r="G394" s="161">
        <v>0.120709349494345</v>
      </c>
      <c r="H394" s="161">
        <v>0.214739376464573</v>
      </c>
      <c r="I394" s="161">
        <v>0.335448725958918</v>
      </c>
      <c r="J394" s="161">
        <v>1.1936855494582901</v>
      </c>
      <c r="K394" s="161">
        <v>2.6389673373570502E-3</v>
      </c>
      <c r="L394" s="161">
        <v>6.9281245337604602E-3</v>
      </c>
      <c r="M394" s="161">
        <v>2.21179692547404E-2</v>
      </c>
      <c r="N394" s="161">
        <v>4.5270883691745097E-2</v>
      </c>
      <c r="O394" s="161">
        <v>0.47969069801166098</v>
      </c>
      <c r="P394" s="161">
        <v>1.4745745392848699</v>
      </c>
      <c r="Q394" s="161">
        <v>1.6021954813070598E-2</v>
      </c>
      <c r="R394" s="161">
        <v>0.375644127668262</v>
      </c>
      <c r="S394" s="161">
        <v>1.8152985144396099E-2</v>
      </c>
      <c r="T394" s="161">
        <v>0.19227097521231001</v>
      </c>
      <c r="U394" s="161">
        <v>0.31743268322123303</v>
      </c>
      <c r="V394" s="161">
        <v>0.37722110098877898</v>
      </c>
      <c r="W394" s="161"/>
      <c r="X394" s="58"/>
      <c r="Y394" s="160"/>
      <c r="Z394" s="160"/>
      <c r="AA394" s="160"/>
      <c r="AB394" s="160"/>
      <c r="AC394" s="160"/>
      <c r="AD394" s="162"/>
      <c r="AE394" s="161"/>
    </row>
    <row r="395" spans="1:31" ht="21.2" customHeight="1">
      <c r="A395" s="8" t="s">
        <v>717</v>
      </c>
      <c r="B395" s="158" t="s">
        <v>886</v>
      </c>
      <c r="C395" s="163">
        <v>23</v>
      </c>
      <c r="D395" s="158" t="s">
        <v>860</v>
      </c>
      <c r="E395" s="58">
        <v>67.45</v>
      </c>
      <c r="F395" s="160">
        <v>11.811131444220999</v>
      </c>
      <c r="G395" s="161">
        <v>0.209647475150051</v>
      </c>
      <c r="H395" s="161">
        <v>0.125375295971037</v>
      </c>
      <c r="I395" s="161">
        <v>0.33502277112108803</v>
      </c>
      <c r="J395" s="161">
        <v>1.2987273953288501</v>
      </c>
      <c r="K395" s="161">
        <v>3.2535272087052701E-3</v>
      </c>
      <c r="L395" s="161">
        <v>8.0927638032394795E-3</v>
      </c>
      <c r="M395" s="161">
        <v>9.8530361438826805E-5</v>
      </c>
      <c r="N395" s="161">
        <v>1.92713290704367E-4</v>
      </c>
      <c r="O395" s="161">
        <v>0.31397066671482099</v>
      </c>
      <c r="P395" s="161">
        <v>2.4622425491198299</v>
      </c>
      <c r="Q395" s="161">
        <v>3.0995784063719601E-2</v>
      </c>
      <c r="R395" s="161">
        <v>0.30179397033095401</v>
      </c>
      <c r="S395" s="161">
        <v>3.4262117620125397E-2</v>
      </c>
      <c r="T395" s="161">
        <v>0.170120208187162</v>
      </c>
      <c r="U395" s="161">
        <v>0.227967686692329</v>
      </c>
      <c r="V395" s="161">
        <v>0.427343333910368</v>
      </c>
      <c r="W395" s="161"/>
      <c r="X395" s="58"/>
      <c r="Y395" s="160"/>
      <c r="Z395" s="160"/>
      <c r="AA395" s="160"/>
      <c r="AB395" s="160"/>
      <c r="AC395" s="160"/>
      <c r="AD395" s="162"/>
      <c r="AE395" s="161"/>
    </row>
    <row r="396" spans="1:31" ht="21.2" customHeight="1">
      <c r="A396" s="8" t="s">
        <v>666</v>
      </c>
      <c r="B396" s="158" t="s">
        <v>875</v>
      </c>
      <c r="C396" s="159">
        <v>28</v>
      </c>
      <c r="D396" s="158" t="s">
        <v>847</v>
      </c>
      <c r="E396" s="58">
        <v>78.192499999999995</v>
      </c>
      <c r="F396" s="160">
        <v>13.371833133198599</v>
      </c>
      <c r="G396" s="161">
        <v>0.14497149423929501</v>
      </c>
      <c r="H396" s="161">
        <v>0.18852104947745499</v>
      </c>
      <c r="I396" s="161">
        <v>0.33349254371675002</v>
      </c>
      <c r="J396" s="161">
        <v>1.3638476250227101</v>
      </c>
      <c r="K396" s="161">
        <v>2.19701027762033E-4</v>
      </c>
      <c r="L396" s="161">
        <v>5.56708009436483E-4</v>
      </c>
      <c r="M396" s="161">
        <v>1.14069209556026E-2</v>
      </c>
      <c r="N396" s="161">
        <v>2.7220366895454901E-2</v>
      </c>
      <c r="O396" s="161">
        <v>0.40537568021998699</v>
      </c>
      <c r="P396" s="161">
        <v>1.53330988646816</v>
      </c>
      <c r="Q396" s="161">
        <v>-7.77229855058163E-2</v>
      </c>
      <c r="R396" s="161">
        <v>0.17937832757202399</v>
      </c>
      <c r="S396" s="161">
        <v>1.55346937636266E-2</v>
      </c>
      <c r="T396" s="161">
        <v>6.1692037928141097E-2</v>
      </c>
      <c r="U396" s="161">
        <v>0.108687261915542</v>
      </c>
      <c r="V396" s="161">
        <v>0.36208646229173003</v>
      </c>
      <c r="W396" s="161"/>
      <c r="X396" s="58"/>
      <c r="Y396" s="160"/>
      <c r="Z396" s="160"/>
      <c r="AA396" s="160"/>
      <c r="AB396" s="160"/>
      <c r="AC396" s="160"/>
      <c r="AD396" s="162"/>
      <c r="AE396" s="161"/>
    </row>
    <row r="397" spans="1:31" ht="21.2" customHeight="1">
      <c r="A397" s="8" t="s">
        <v>637</v>
      </c>
      <c r="B397" s="158" t="s">
        <v>871</v>
      </c>
      <c r="C397" s="159">
        <v>30</v>
      </c>
      <c r="D397" s="158" t="s">
        <v>865</v>
      </c>
      <c r="E397" s="58">
        <v>81.471071428571406</v>
      </c>
      <c r="F397" s="160">
        <v>13.6422595058278</v>
      </c>
      <c r="G397" s="161">
        <v>0.117050252414092</v>
      </c>
      <c r="H397" s="161">
        <v>0.215327264464309</v>
      </c>
      <c r="I397" s="161">
        <v>0.332377516878401</v>
      </c>
      <c r="J397" s="161">
        <v>1.1185782583744099</v>
      </c>
      <c r="K397" s="161">
        <v>2.70716651347891E-3</v>
      </c>
      <c r="L397" s="161">
        <v>4.7851794154062698E-3</v>
      </c>
      <c r="M397" s="161">
        <v>3.3609871846782299E-3</v>
      </c>
      <c r="N397" s="161">
        <v>1.53380563911377E-2</v>
      </c>
      <c r="O397" s="161">
        <v>0.66896981036823</v>
      </c>
      <c r="P397" s="161">
        <v>1.4157820339773</v>
      </c>
      <c r="Q397" s="161">
        <v>4.9304049850242802E-2</v>
      </c>
      <c r="R397" s="161">
        <v>0.626518859688448</v>
      </c>
      <c r="S397" s="161">
        <v>1.9945144434825399E-2</v>
      </c>
      <c r="T397" s="161">
        <v>3.3145865507174901</v>
      </c>
      <c r="U397" s="161">
        <v>3.5894045846471201</v>
      </c>
      <c r="V397" s="161">
        <v>0.48009716202256397</v>
      </c>
      <c r="W397" s="161"/>
      <c r="X397" s="58"/>
      <c r="Y397" s="160"/>
      <c r="Z397" s="160"/>
      <c r="AA397" s="160"/>
      <c r="AB397" s="160"/>
      <c r="AC397" s="160"/>
      <c r="AD397" s="162"/>
      <c r="AE397" s="161"/>
    </row>
    <row r="398" spans="1:31" ht="21.2" customHeight="1">
      <c r="A398" s="8" t="s">
        <v>354</v>
      </c>
      <c r="B398" s="158" t="s">
        <v>867</v>
      </c>
      <c r="C398" s="159">
        <v>30</v>
      </c>
      <c r="D398" s="158" t="s">
        <v>849</v>
      </c>
      <c r="E398" s="58">
        <v>77.3</v>
      </c>
      <c r="F398" s="160">
        <v>22.577507709603701</v>
      </c>
      <c r="G398" s="161">
        <v>7.6894427775606705E-2</v>
      </c>
      <c r="H398" s="161">
        <v>0.25406785729290099</v>
      </c>
      <c r="I398" s="161">
        <v>0.330962285068509</v>
      </c>
      <c r="J398" s="161">
        <v>1.5403733274621101</v>
      </c>
      <c r="K398" s="161">
        <v>2.88465547710805E-3</v>
      </c>
      <c r="L398" s="161">
        <v>1.53437313805343E-2</v>
      </c>
      <c r="M398" s="161">
        <v>-1.06409262130435E-4</v>
      </c>
      <c r="N398" s="161">
        <v>1.8735201055028999E-2</v>
      </c>
      <c r="O398" s="161">
        <v>1.93268413608637</v>
      </c>
      <c r="P398" s="161">
        <v>0.82319074370434098</v>
      </c>
      <c r="Q398" s="161">
        <v>4.0447642025303203E-2</v>
      </c>
      <c r="R398" s="161">
        <v>0.39535165175549802</v>
      </c>
      <c r="S398" s="161">
        <v>1.23474315867943E-2</v>
      </c>
      <c r="T398" s="161">
        <v>0</v>
      </c>
      <c r="U398" s="161">
        <v>0</v>
      </c>
      <c r="V398" s="161">
        <v>0</v>
      </c>
      <c r="W398" s="161"/>
      <c r="X398" s="58"/>
      <c r="Y398" s="160"/>
      <c r="Z398" s="160"/>
      <c r="AA398" s="160"/>
      <c r="AB398" s="160"/>
      <c r="AC398" s="160"/>
      <c r="AD398" s="162"/>
      <c r="AE398" s="161"/>
    </row>
    <row r="399" spans="1:31" ht="21.2" customHeight="1">
      <c r="A399" s="8" t="s">
        <v>628</v>
      </c>
      <c r="B399" s="158" t="s">
        <v>874</v>
      </c>
      <c r="C399" s="159">
        <v>38</v>
      </c>
      <c r="D399" s="158" t="s">
        <v>846</v>
      </c>
      <c r="E399" s="58">
        <v>80.379642857142898</v>
      </c>
      <c r="F399" s="160">
        <v>13.1988288162821</v>
      </c>
      <c r="G399" s="161">
        <v>0.143456718364943</v>
      </c>
      <c r="H399" s="161">
        <v>0.18719203204100501</v>
      </c>
      <c r="I399" s="161">
        <v>0.33064875040594799</v>
      </c>
      <c r="J399" s="161">
        <v>1.7501552896718799</v>
      </c>
      <c r="K399" s="161">
        <v>2.39618460132732E-2</v>
      </c>
      <c r="L399" s="161">
        <v>5.6593642519562698E-2</v>
      </c>
      <c r="M399" s="161">
        <v>2.26667368090113E-3</v>
      </c>
      <c r="N399" s="161">
        <v>5.1731568458824101E-3</v>
      </c>
      <c r="O399" s="161">
        <v>0.59558990872165196</v>
      </c>
      <c r="P399" s="161">
        <v>1.0243045121261301</v>
      </c>
      <c r="Q399" s="161">
        <v>8.9364266827677999E-4</v>
      </c>
      <c r="R399" s="161">
        <v>0.355484069930455</v>
      </c>
      <c r="S399" s="161">
        <v>2.3027675793034101E-2</v>
      </c>
      <c r="T399" s="161">
        <v>5.9679538644103696</v>
      </c>
      <c r="U399" s="161">
        <v>4.6079433008775501</v>
      </c>
      <c r="V399" s="161">
        <v>0.56429764502611801</v>
      </c>
      <c r="W399" s="161"/>
      <c r="X399" s="58"/>
      <c r="Y399" s="160"/>
      <c r="Z399" s="160"/>
      <c r="AA399" s="160"/>
      <c r="AB399" s="160"/>
      <c r="AC399" s="160"/>
      <c r="AD399" s="162"/>
      <c r="AE399" s="161"/>
    </row>
    <row r="400" spans="1:31" ht="21.2" customHeight="1">
      <c r="A400" s="8" t="s">
        <v>541</v>
      </c>
      <c r="B400" s="158" t="s">
        <v>885</v>
      </c>
      <c r="C400" s="159">
        <v>26</v>
      </c>
      <c r="D400" s="158" t="s">
        <v>849</v>
      </c>
      <c r="E400" s="58">
        <v>52.4</v>
      </c>
      <c r="F400" s="160">
        <v>15.760745007622001</v>
      </c>
      <c r="G400" s="161">
        <v>8.5620390009837302E-2</v>
      </c>
      <c r="H400" s="161">
        <v>0.24441562785698001</v>
      </c>
      <c r="I400" s="161">
        <v>0.33003601786681802</v>
      </c>
      <c r="J400" s="161">
        <v>1.4171905655555199</v>
      </c>
      <c r="K400" s="161">
        <v>5.5048793278740498E-3</v>
      </c>
      <c r="L400" s="161">
        <v>2.2235215628389898E-2</v>
      </c>
      <c r="M400" s="161">
        <v>0</v>
      </c>
      <c r="N400" s="161">
        <v>0</v>
      </c>
      <c r="O400" s="161">
        <v>0.99997158854926504</v>
      </c>
      <c r="P400" s="161">
        <v>0.85833560307515699</v>
      </c>
      <c r="Q400" s="161">
        <v>4.4828404694374303E-2</v>
      </c>
      <c r="R400" s="161">
        <v>0</v>
      </c>
      <c r="S400" s="161">
        <v>1.4307017340152399E-2</v>
      </c>
      <c r="T400" s="161">
        <v>0</v>
      </c>
      <c r="U400" s="161">
        <v>0</v>
      </c>
      <c r="V400" s="161">
        <v>0</v>
      </c>
      <c r="W400" s="161"/>
      <c r="X400" s="58"/>
      <c r="Y400" s="160"/>
      <c r="Z400" s="160"/>
      <c r="AA400" s="160"/>
      <c r="AB400" s="160"/>
      <c r="AC400" s="160"/>
      <c r="AD400" s="162"/>
      <c r="AE400" s="161"/>
    </row>
    <row r="401" spans="1:31" ht="21.2" customHeight="1">
      <c r="A401" s="8" t="s">
        <v>333</v>
      </c>
      <c r="B401" s="158" t="s">
        <v>875</v>
      </c>
      <c r="C401" s="159">
        <v>26</v>
      </c>
      <c r="D401" s="158" t="s">
        <v>849</v>
      </c>
      <c r="E401" s="58">
        <v>81.617500000000007</v>
      </c>
      <c r="F401" s="160">
        <v>21.6247563504729</v>
      </c>
      <c r="G401" s="161">
        <v>8.8547397246724294E-2</v>
      </c>
      <c r="H401" s="161">
        <v>0.240355458604538</v>
      </c>
      <c r="I401" s="161">
        <v>0.328902855851262</v>
      </c>
      <c r="J401" s="161">
        <v>1.5057686672869299</v>
      </c>
      <c r="K401" s="161">
        <v>2.4724465316468798E-3</v>
      </c>
      <c r="L401" s="161">
        <v>3.36449295925502E-2</v>
      </c>
      <c r="M401" s="161">
        <v>4.23494150155962E-4</v>
      </c>
      <c r="N401" s="161">
        <v>2.1408910700704002E-2</v>
      </c>
      <c r="O401" s="161">
        <v>1.8731168951997601</v>
      </c>
      <c r="P401" s="161">
        <v>1.1379111676354301</v>
      </c>
      <c r="Q401" s="161">
        <v>-8.2470067780264902E-2</v>
      </c>
      <c r="R401" s="161">
        <v>0.37006057380986701</v>
      </c>
      <c r="S401" s="161">
        <v>9.4884632803985108E-3</v>
      </c>
      <c r="T401" s="161">
        <v>0</v>
      </c>
      <c r="U401" s="161">
        <v>0</v>
      </c>
      <c r="V401" s="161">
        <v>0</v>
      </c>
      <c r="W401" s="161"/>
      <c r="X401" s="58"/>
      <c r="Y401" s="160"/>
      <c r="Z401" s="160"/>
      <c r="AA401" s="160"/>
      <c r="AB401" s="160"/>
      <c r="AC401" s="160"/>
      <c r="AD401" s="162"/>
      <c r="AE401" s="161"/>
    </row>
    <row r="402" spans="1:31" ht="21.2" customHeight="1">
      <c r="A402" s="8" t="s">
        <v>680</v>
      </c>
      <c r="B402" s="158" t="s">
        <v>881</v>
      </c>
      <c r="C402" s="159">
        <v>28</v>
      </c>
      <c r="D402" s="158" t="s">
        <v>846</v>
      </c>
      <c r="E402" s="58">
        <v>77.837857142857104</v>
      </c>
      <c r="F402" s="160">
        <v>15.3935684739105</v>
      </c>
      <c r="G402" s="161">
        <v>0.11041060249271401</v>
      </c>
      <c r="H402" s="161">
        <v>0.217987893661859</v>
      </c>
      <c r="I402" s="161">
        <v>0.32839849615457301</v>
      </c>
      <c r="J402" s="161">
        <v>1.3172690391012001</v>
      </c>
      <c r="K402" s="161">
        <v>4.3195612997090497E-3</v>
      </c>
      <c r="L402" s="161">
        <v>8.4062127148320197E-3</v>
      </c>
      <c r="M402" s="161">
        <v>5.0736434526203495E-4</v>
      </c>
      <c r="N402" s="161">
        <v>3.8184108286302698E-2</v>
      </c>
      <c r="O402" s="161">
        <v>0.90753156929344003</v>
      </c>
      <c r="P402" s="161">
        <v>1.3944637611023301</v>
      </c>
      <c r="Q402" s="161">
        <v>-0.10452192005243</v>
      </c>
      <c r="R402" s="161">
        <v>0.35601795951382598</v>
      </c>
      <c r="S402" s="161">
        <v>1.29380857520504E-2</v>
      </c>
      <c r="T402" s="161">
        <v>4.000851169043</v>
      </c>
      <c r="U402" s="161">
        <v>4.6853623000926001</v>
      </c>
      <c r="V402" s="161">
        <v>0.46059784084965</v>
      </c>
      <c r="W402" s="161"/>
      <c r="X402" s="58"/>
      <c r="Y402" s="160"/>
      <c r="Z402" s="160"/>
      <c r="AA402" s="160"/>
      <c r="AB402" s="160"/>
      <c r="AC402" s="160"/>
      <c r="AD402" s="162"/>
      <c r="AE402" s="161"/>
    </row>
    <row r="403" spans="1:31" ht="21.2" customHeight="1">
      <c r="A403" s="8" t="s">
        <v>716</v>
      </c>
      <c r="B403" s="158" t="s">
        <v>894</v>
      </c>
      <c r="C403" s="159">
        <v>27</v>
      </c>
      <c r="D403" s="158" t="s">
        <v>846</v>
      </c>
      <c r="E403" s="58">
        <v>74.367142857142895</v>
      </c>
      <c r="F403" s="160">
        <v>13.537480911322101</v>
      </c>
      <c r="G403" s="161">
        <v>9.1056604738040905E-2</v>
      </c>
      <c r="H403" s="161">
        <v>0.23671128293772301</v>
      </c>
      <c r="I403" s="161">
        <v>0.32776788767576498</v>
      </c>
      <c r="J403" s="161">
        <v>1.1668133855865399</v>
      </c>
      <c r="K403" s="161">
        <v>1.30307275397288E-3</v>
      </c>
      <c r="L403" s="161">
        <v>2.28527952077594E-3</v>
      </c>
      <c r="M403" s="161">
        <v>3.90437266976143E-3</v>
      </c>
      <c r="N403" s="161">
        <v>3.0771179695553898E-2</v>
      </c>
      <c r="O403" s="161">
        <v>0.61624505425847398</v>
      </c>
      <c r="P403" s="161">
        <v>0.818171722542405</v>
      </c>
      <c r="Q403" s="161">
        <v>-8.7784552615093298E-2</v>
      </c>
      <c r="R403" s="161">
        <v>0.37760995516190599</v>
      </c>
      <c r="S403" s="161">
        <v>9.3280311361454808E-3</v>
      </c>
      <c r="T403" s="161">
        <v>5.6201187712395999</v>
      </c>
      <c r="U403" s="161">
        <v>5.4675656505402097</v>
      </c>
      <c r="V403" s="161">
        <v>0.50687939496184298</v>
      </c>
      <c r="W403" s="161"/>
      <c r="X403" s="58"/>
      <c r="Y403" s="160"/>
      <c r="Z403" s="160"/>
      <c r="AA403" s="160"/>
      <c r="AB403" s="160"/>
      <c r="AC403" s="160"/>
      <c r="AD403" s="162"/>
      <c r="AE403" s="161"/>
    </row>
    <row r="404" spans="1:31" ht="21.2" customHeight="1">
      <c r="A404" s="8" t="s">
        <v>683</v>
      </c>
      <c r="B404" s="158" t="s">
        <v>893</v>
      </c>
      <c r="C404" s="159">
        <v>28</v>
      </c>
      <c r="D404" s="158" t="s">
        <v>846</v>
      </c>
      <c r="E404" s="58">
        <v>78.6314285714286</v>
      </c>
      <c r="F404" s="160">
        <v>13.615360583741699</v>
      </c>
      <c r="G404" s="161">
        <v>0.16619463303145399</v>
      </c>
      <c r="H404" s="161">
        <v>0.161126699179161</v>
      </c>
      <c r="I404" s="161">
        <v>0.32732133221061499</v>
      </c>
      <c r="J404" s="161">
        <v>1.5087529811614</v>
      </c>
      <c r="K404" s="161">
        <v>3.33905912866185E-3</v>
      </c>
      <c r="L404" s="161">
        <v>7.8602473463159905E-3</v>
      </c>
      <c r="M404" s="161">
        <v>1.24258638325234E-2</v>
      </c>
      <c r="N404" s="161">
        <v>1.34746256361989E-2</v>
      </c>
      <c r="O404" s="161">
        <v>0.54749662886246697</v>
      </c>
      <c r="P404" s="161">
        <v>1.3341856786842401</v>
      </c>
      <c r="Q404" s="161">
        <v>-3.9556405986187603E-3</v>
      </c>
      <c r="R404" s="161">
        <v>0.299138561258462</v>
      </c>
      <c r="S404" s="161">
        <v>2.0634020045134101E-2</v>
      </c>
      <c r="T404" s="161">
        <v>5.4857573651389302</v>
      </c>
      <c r="U404" s="161">
        <v>4.6483232821896099</v>
      </c>
      <c r="V404" s="161">
        <v>0.54131771356931502</v>
      </c>
      <c r="W404" s="161"/>
      <c r="X404" s="58"/>
      <c r="Y404" s="160"/>
      <c r="Z404" s="160"/>
      <c r="AA404" s="160"/>
      <c r="AB404" s="160"/>
      <c r="AC404" s="160"/>
      <c r="AD404" s="162"/>
      <c r="AE404" s="161"/>
    </row>
    <row r="405" spans="1:31" ht="21.2" customHeight="1">
      <c r="A405" s="8" t="s">
        <v>645</v>
      </c>
      <c r="B405" s="158" t="s">
        <v>866</v>
      </c>
      <c r="C405" s="163">
        <v>28</v>
      </c>
      <c r="D405" s="158" t="s">
        <v>865</v>
      </c>
      <c r="E405" s="58">
        <v>73.103571428571399</v>
      </c>
      <c r="F405" s="160">
        <v>13.7581917839745</v>
      </c>
      <c r="G405" s="161">
        <v>0.135153271934779</v>
      </c>
      <c r="H405" s="161">
        <v>0.19132082034398801</v>
      </c>
      <c r="I405" s="161">
        <v>0.326474092278767</v>
      </c>
      <c r="J405" s="161">
        <v>1.41205691628615</v>
      </c>
      <c r="K405" s="161">
        <v>2.2999326200092199E-3</v>
      </c>
      <c r="L405" s="161">
        <v>5.8739104651965596E-3</v>
      </c>
      <c r="M405" s="161">
        <v>3.5675931588201697E-2</v>
      </c>
      <c r="N405" s="161">
        <v>4.5523619920725199E-2</v>
      </c>
      <c r="O405" s="161">
        <v>0.47495935672716699</v>
      </c>
      <c r="P405" s="161">
        <v>1.8288709520866699</v>
      </c>
      <c r="Q405" s="161">
        <v>2.6212643525734498E-2</v>
      </c>
      <c r="R405" s="161">
        <v>0.53015653601646495</v>
      </c>
      <c r="S405" s="161">
        <v>2.1712337213127202E-2</v>
      </c>
      <c r="T405" s="161">
        <v>2.9584589076688399</v>
      </c>
      <c r="U405" s="161">
        <v>3.2266642162502701</v>
      </c>
      <c r="V405" s="161">
        <v>0.478318514990896</v>
      </c>
      <c r="W405" s="161"/>
      <c r="X405" s="58"/>
      <c r="Y405" s="160"/>
      <c r="Z405" s="160"/>
      <c r="AA405" s="160"/>
      <c r="AB405" s="160"/>
      <c r="AC405" s="160"/>
      <c r="AD405" s="162"/>
      <c r="AE405" s="161"/>
    </row>
    <row r="406" spans="1:31" ht="21.2" customHeight="1">
      <c r="A406" s="8" t="s">
        <v>378</v>
      </c>
      <c r="B406" s="158" t="s">
        <v>862</v>
      </c>
      <c r="C406" s="159">
        <v>25</v>
      </c>
      <c r="D406" s="158" t="s">
        <v>849</v>
      </c>
      <c r="E406" s="58">
        <v>78.2</v>
      </c>
      <c r="F406" s="160">
        <v>17.1333307564481</v>
      </c>
      <c r="G406" s="161">
        <v>7.9193570514931297E-2</v>
      </c>
      <c r="H406" s="161">
        <v>0.247130663856648</v>
      </c>
      <c r="I406" s="161">
        <v>0.32632423437157898</v>
      </c>
      <c r="J406" s="161">
        <v>1.69564049010104</v>
      </c>
      <c r="K406" s="161">
        <v>2.99324689705152E-4</v>
      </c>
      <c r="L406" s="161">
        <v>1.8587511866573899E-3</v>
      </c>
      <c r="M406" s="161">
        <v>7.3239018714519404E-5</v>
      </c>
      <c r="N406" s="161">
        <v>3.0538885251965499E-4</v>
      </c>
      <c r="O406" s="161">
        <v>1.1396314679545501</v>
      </c>
      <c r="P406" s="161">
        <v>1.24904479837932</v>
      </c>
      <c r="Q406" s="161">
        <v>5.9380204655554098E-3</v>
      </c>
      <c r="R406" s="161">
        <v>0.38155260174099298</v>
      </c>
      <c r="S406" s="161">
        <v>1.23938225527007E-2</v>
      </c>
      <c r="T406" s="161">
        <v>0</v>
      </c>
      <c r="U406" s="161">
        <v>0</v>
      </c>
      <c r="V406" s="161">
        <v>0</v>
      </c>
      <c r="W406" s="161"/>
      <c r="X406" s="58"/>
      <c r="Y406" s="160"/>
      <c r="Z406" s="160"/>
      <c r="AA406" s="160"/>
      <c r="AB406" s="160"/>
      <c r="AC406" s="160"/>
      <c r="AD406" s="162"/>
      <c r="AE406" s="161"/>
    </row>
    <row r="407" spans="1:31" ht="21.2" customHeight="1">
      <c r="A407" s="8" t="s">
        <v>393</v>
      </c>
      <c r="B407" s="158" t="s">
        <v>866</v>
      </c>
      <c r="C407" s="163">
        <v>24</v>
      </c>
      <c r="D407" s="158" t="s">
        <v>849</v>
      </c>
      <c r="E407" s="58">
        <v>74.680000000000007</v>
      </c>
      <c r="F407" s="160">
        <v>18.9095921721681</v>
      </c>
      <c r="G407" s="161">
        <v>8.6198311163590904E-2</v>
      </c>
      <c r="H407" s="161">
        <v>0.23861372407055101</v>
      </c>
      <c r="I407" s="161">
        <v>0.32481203523414298</v>
      </c>
      <c r="J407" s="161">
        <v>1.37525368363111</v>
      </c>
      <c r="K407" s="161">
        <v>6.5900279977118299E-3</v>
      </c>
      <c r="L407" s="161">
        <v>2.80254134811798E-2</v>
      </c>
      <c r="M407" s="161">
        <v>9.3454935040698395E-3</v>
      </c>
      <c r="N407" s="161">
        <v>2.05741249129478E-2</v>
      </c>
      <c r="O407" s="161">
        <v>1.4222909618858799</v>
      </c>
      <c r="P407" s="161">
        <v>1.6486117302508201</v>
      </c>
      <c r="Q407" s="161">
        <v>9.2703029115094607E-2</v>
      </c>
      <c r="R407" s="161">
        <v>0.41908581911446202</v>
      </c>
      <c r="S407" s="161">
        <v>1.38477357772671E-2</v>
      </c>
      <c r="T407" s="161">
        <v>0</v>
      </c>
      <c r="U407" s="161">
        <v>0</v>
      </c>
      <c r="V407" s="161">
        <v>0</v>
      </c>
      <c r="W407" s="161"/>
      <c r="X407" s="58"/>
      <c r="Y407" s="160"/>
      <c r="Z407" s="160"/>
      <c r="AA407" s="160"/>
      <c r="AB407" s="160"/>
      <c r="AC407" s="160"/>
      <c r="AD407" s="162"/>
      <c r="AE407" s="161"/>
    </row>
    <row r="408" spans="1:31" ht="21.2" customHeight="1">
      <c r="A408" s="8" t="s">
        <v>582</v>
      </c>
      <c r="B408" s="158" t="s">
        <v>888</v>
      </c>
      <c r="C408" s="159">
        <v>26</v>
      </c>
      <c r="D408" s="158" t="s">
        <v>864</v>
      </c>
      <c r="E408" s="58">
        <v>79.256785714285698</v>
      </c>
      <c r="F408" s="160">
        <v>14.772821523994301</v>
      </c>
      <c r="G408" s="161">
        <v>0.17726192223361101</v>
      </c>
      <c r="H408" s="161">
        <v>0.147099855339238</v>
      </c>
      <c r="I408" s="161">
        <v>0.32436177757284901</v>
      </c>
      <c r="J408" s="161">
        <v>1.73246593390515</v>
      </c>
      <c r="K408" s="161">
        <v>2.4557030886431801E-3</v>
      </c>
      <c r="L408" s="161">
        <v>1.0979822024682E-2</v>
      </c>
      <c r="M408" s="161">
        <v>1.6573594985480201E-2</v>
      </c>
      <c r="N408" s="161">
        <v>1.9066856798287998E-2</v>
      </c>
      <c r="O408" s="161">
        <v>0.41707838246187801</v>
      </c>
      <c r="P408" s="161">
        <v>2.0755793808724401</v>
      </c>
      <c r="Q408" s="161">
        <v>-2.6173536091201599E-2</v>
      </c>
      <c r="R408" s="161">
        <v>0.499228789976433</v>
      </c>
      <c r="S408" s="161">
        <v>2.58848767681257E-2</v>
      </c>
      <c r="T408" s="161">
        <v>0.16196438984320699</v>
      </c>
      <c r="U408" s="161">
        <v>0.28345556851318199</v>
      </c>
      <c r="V408" s="161">
        <v>0.36362176145150799</v>
      </c>
      <c r="W408" s="161"/>
      <c r="X408" s="58"/>
      <c r="Y408" s="160"/>
      <c r="Z408" s="160"/>
      <c r="AA408" s="160"/>
      <c r="AB408" s="160"/>
      <c r="AC408" s="160"/>
      <c r="AD408" s="162"/>
      <c r="AE408" s="161"/>
    </row>
    <row r="409" spans="1:31" ht="21.2" customHeight="1">
      <c r="A409" s="8" t="s">
        <v>382</v>
      </c>
      <c r="B409" s="158" t="s">
        <v>882</v>
      </c>
      <c r="C409" s="159">
        <v>32</v>
      </c>
      <c r="D409" s="158" t="s">
        <v>849</v>
      </c>
      <c r="E409" s="58">
        <v>79.55</v>
      </c>
      <c r="F409" s="160">
        <v>20.778134799549601</v>
      </c>
      <c r="G409" s="161">
        <v>6.0254636195578297E-2</v>
      </c>
      <c r="H409" s="161">
        <v>0.26129358935430202</v>
      </c>
      <c r="I409" s="161">
        <v>0.32154822554988</v>
      </c>
      <c r="J409" s="161">
        <v>1.37987426417824</v>
      </c>
      <c r="K409" s="161">
        <v>1.9041027802910201E-4</v>
      </c>
      <c r="L409" s="161">
        <v>1.25950804989685E-3</v>
      </c>
      <c r="M409" s="161">
        <v>-6.6421152965405396E-4</v>
      </c>
      <c r="N409" s="161">
        <v>4.1528114772338802E-3</v>
      </c>
      <c r="O409" s="161">
        <v>1.6129002758449</v>
      </c>
      <c r="P409" s="161">
        <v>1.55163975156395</v>
      </c>
      <c r="Q409" s="161">
        <v>-2.5140746263802E-2</v>
      </c>
      <c r="R409" s="161">
        <v>0.30762588300973298</v>
      </c>
      <c r="S409" s="161">
        <v>7.4116749525657702E-3</v>
      </c>
      <c r="T409" s="161">
        <v>0</v>
      </c>
      <c r="U409" s="161">
        <v>0</v>
      </c>
      <c r="V409" s="161">
        <v>0</v>
      </c>
      <c r="W409" s="161"/>
      <c r="X409" s="58"/>
      <c r="Y409" s="160"/>
      <c r="Z409" s="160"/>
      <c r="AA409" s="160"/>
      <c r="AB409" s="160"/>
      <c r="AC409" s="160"/>
      <c r="AD409" s="162"/>
      <c r="AE409" s="161"/>
    </row>
    <row r="410" spans="1:31" ht="21.2" customHeight="1">
      <c r="A410" s="8" t="s">
        <v>730</v>
      </c>
      <c r="B410" s="158" t="s">
        <v>878</v>
      </c>
      <c r="C410" s="159">
        <v>23</v>
      </c>
      <c r="D410" s="158" t="s">
        <v>846</v>
      </c>
      <c r="E410" s="58">
        <v>77</v>
      </c>
      <c r="F410" s="160">
        <v>13.0415059605106</v>
      </c>
      <c r="G410" s="161">
        <v>0.15161760457769799</v>
      </c>
      <c r="H410" s="161">
        <v>0.16910892296708399</v>
      </c>
      <c r="I410" s="161">
        <v>0.32072652754478198</v>
      </c>
      <c r="J410" s="161">
        <v>0.97878129228389599</v>
      </c>
      <c r="K410" s="161">
        <v>1.43872618257663E-3</v>
      </c>
      <c r="L410" s="161">
        <v>4.8836978363743302E-3</v>
      </c>
      <c r="M410" s="161">
        <v>3.8634695553841701E-3</v>
      </c>
      <c r="N410" s="161">
        <v>9.3709800225956104E-3</v>
      </c>
      <c r="O410" s="161">
        <v>0.560267296813166</v>
      </c>
      <c r="P410" s="161">
        <v>3.0373246996845902</v>
      </c>
      <c r="Q410" s="161">
        <v>-6.1003303255851501E-2</v>
      </c>
      <c r="R410" s="161">
        <v>0.59510218238567203</v>
      </c>
      <c r="S410" s="161">
        <v>1.9133625878663799E-2</v>
      </c>
      <c r="T410" s="161">
        <v>4.1185643081626298</v>
      </c>
      <c r="U410" s="161">
        <v>5.4347760899932798</v>
      </c>
      <c r="V410" s="161">
        <v>0.43111248385513801</v>
      </c>
      <c r="W410" s="161"/>
      <c r="X410" s="58"/>
      <c r="Y410" s="160"/>
      <c r="Z410" s="160"/>
      <c r="AA410" s="160"/>
      <c r="AB410" s="160"/>
      <c r="AC410" s="160"/>
      <c r="AD410" s="162"/>
      <c r="AE410" s="161"/>
    </row>
    <row r="411" spans="1:31" ht="21.2" customHeight="1">
      <c r="A411" s="8" t="s">
        <v>650</v>
      </c>
      <c r="B411" s="158" t="s">
        <v>895</v>
      </c>
      <c r="C411" s="159">
        <v>23</v>
      </c>
      <c r="D411" s="158" t="s">
        <v>848</v>
      </c>
      <c r="E411" s="58">
        <v>70.674999999999997</v>
      </c>
      <c r="F411" s="160">
        <v>13.413834057611099</v>
      </c>
      <c r="G411" s="161">
        <v>0.12641073118267601</v>
      </c>
      <c r="H411" s="161">
        <v>0.19194106140657599</v>
      </c>
      <c r="I411" s="161">
        <v>0.318351792589251</v>
      </c>
      <c r="J411" s="161">
        <v>1.6107439629945399</v>
      </c>
      <c r="K411" s="161">
        <v>1.27863284817833E-2</v>
      </c>
      <c r="L411" s="161">
        <v>2.63964155449571E-2</v>
      </c>
      <c r="M411" s="161">
        <v>3.86149808936612E-4</v>
      </c>
      <c r="N411" s="161">
        <v>7.46657910587988E-4</v>
      </c>
      <c r="O411" s="161">
        <v>0.46464820858230699</v>
      </c>
      <c r="P411" s="161">
        <v>0.85613451432037302</v>
      </c>
      <c r="Q411" s="161">
        <v>-2.9413496317355599E-3</v>
      </c>
      <c r="R411" s="161">
        <v>0.191784182546962</v>
      </c>
      <c r="S411" s="161">
        <v>0</v>
      </c>
      <c r="T411" s="161">
        <v>7.9966829768396197E-2</v>
      </c>
      <c r="U411" s="161">
        <v>0.112111758136066</v>
      </c>
      <c r="V411" s="161">
        <v>0.41632349883877201</v>
      </c>
      <c r="W411" s="161"/>
      <c r="X411" s="58"/>
      <c r="Y411" s="160"/>
      <c r="Z411" s="160"/>
      <c r="AA411" s="160"/>
      <c r="AB411" s="160"/>
      <c r="AC411" s="160"/>
      <c r="AD411" s="162"/>
      <c r="AE411" s="161"/>
    </row>
    <row r="412" spans="1:31" ht="21.2" customHeight="1">
      <c r="A412" s="8" t="s">
        <v>325</v>
      </c>
      <c r="B412" s="158" t="s">
        <v>870</v>
      </c>
      <c r="C412" s="159">
        <v>34</v>
      </c>
      <c r="D412" s="158" t="s">
        <v>849</v>
      </c>
      <c r="E412" s="58">
        <v>80.641071428571394</v>
      </c>
      <c r="F412" s="160">
        <v>17.535369512403499</v>
      </c>
      <c r="G412" s="161">
        <v>5.58607842480221E-2</v>
      </c>
      <c r="H412" s="161">
        <v>0.262285831561761</v>
      </c>
      <c r="I412" s="161">
        <v>0.31814661580978298</v>
      </c>
      <c r="J412" s="161">
        <v>1.6772204038071701</v>
      </c>
      <c r="K412" s="161">
        <v>1.2831186943950201E-2</v>
      </c>
      <c r="L412" s="161">
        <v>0.123705294760048</v>
      </c>
      <c r="M412" s="161">
        <v>-1.0543414447606601E-4</v>
      </c>
      <c r="N412" s="161">
        <v>-5.8854056936069902E-4</v>
      </c>
      <c r="O412" s="161">
        <v>1.2693933645993201</v>
      </c>
      <c r="P412" s="161">
        <v>0.996053411793695</v>
      </c>
      <c r="Q412" s="161">
        <v>2.9016356785932299E-2</v>
      </c>
      <c r="R412" s="161">
        <v>0.45444011444809801</v>
      </c>
      <c r="S412" s="161">
        <v>9.3779263696200706E-3</v>
      </c>
      <c r="T412" s="161">
        <v>0</v>
      </c>
      <c r="U412" s="161">
        <v>1.7638430371070199E-3</v>
      </c>
      <c r="V412" s="161">
        <v>0</v>
      </c>
      <c r="W412" s="161"/>
      <c r="X412" s="58"/>
      <c r="Y412" s="160"/>
      <c r="Z412" s="160"/>
      <c r="AA412" s="160"/>
      <c r="AB412" s="160"/>
      <c r="AC412" s="160"/>
      <c r="AD412" s="162"/>
      <c r="AE412" s="161"/>
    </row>
    <row r="413" spans="1:31" ht="21.2" customHeight="1">
      <c r="A413" s="8" t="s">
        <v>403</v>
      </c>
      <c r="B413" s="158" t="s">
        <v>870</v>
      </c>
      <c r="C413" s="159">
        <v>29</v>
      </c>
      <c r="D413" s="158" t="s">
        <v>849</v>
      </c>
      <c r="E413" s="58">
        <v>76.767857142857096</v>
      </c>
      <c r="F413" s="160">
        <v>17.3033809175813</v>
      </c>
      <c r="G413" s="161">
        <v>6.0003921386163402E-2</v>
      </c>
      <c r="H413" s="161">
        <v>0.25671481968875098</v>
      </c>
      <c r="I413" s="161">
        <v>0.31671874107491499</v>
      </c>
      <c r="J413" s="161">
        <v>1.4122012657327001</v>
      </c>
      <c r="K413" s="161">
        <v>2.0570143615713699E-3</v>
      </c>
      <c r="L413" s="161">
        <v>2.3197198414539499E-2</v>
      </c>
      <c r="M413" s="161">
        <v>1.1560604005761E-4</v>
      </c>
      <c r="N413" s="161">
        <v>4.67697868345484E-4</v>
      </c>
      <c r="O413" s="161">
        <v>1.09393869926364</v>
      </c>
      <c r="P413" s="161">
        <v>0.79518792123400195</v>
      </c>
      <c r="Q413" s="161">
        <v>9.0926479170493402E-2</v>
      </c>
      <c r="R413" s="161">
        <v>0.382635786906666</v>
      </c>
      <c r="S413" s="161">
        <v>1.00734775607422E-2</v>
      </c>
      <c r="T413" s="161">
        <v>0</v>
      </c>
      <c r="U413" s="161">
        <v>0</v>
      </c>
      <c r="V413" s="161">
        <v>0</v>
      </c>
      <c r="W413" s="161"/>
      <c r="X413" s="58"/>
      <c r="Y413" s="160"/>
      <c r="Z413" s="160"/>
      <c r="AA413" s="160"/>
      <c r="AB413" s="160"/>
      <c r="AC413" s="160"/>
      <c r="AD413" s="162"/>
      <c r="AE413" s="161"/>
    </row>
    <row r="414" spans="1:31" ht="21.2" customHeight="1">
      <c r="A414" s="8" t="s">
        <v>729</v>
      </c>
      <c r="B414" s="158" t="s">
        <v>887</v>
      </c>
      <c r="C414" s="159">
        <v>23</v>
      </c>
      <c r="D414" s="158" t="s">
        <v>846</v>
      </c>
      <c r="E414" s="58">
        <v>73.8</v>
      </c>
      <c r="F414" s="160">
        <v>14.3119135291102</v>
      </c>
      <c r="G414" s="161">
        <v>0.14242899990647601</v>
      </c>
      <c r="H414" s="161">
        <v>0.17408590873938501</v>
      </c>
      <c r="I414" s="161">
        <v>0.31651490864586102</v>
      </c>
      <c r="J414" s="161">
        <v>1.06150813671291</v>
      </c>
      <c r="K414" s="161">
        <v>2.2061332646865E-3</v>
      </c>
      <c r="L414" s="161">
        <v>5.4642277214922196E-3</v>
      </c>
      <c r="M414" s="161">
        <v>1.6222130684386701E-2</v>
      </c>
      <c r="N414" s="161">
        <v>2.05464318749248E-2</v>
      </c>
      <c r="O414" s="161">
        <v>0.65378811399825598</v>
      </c>
      <c r="P414" s="161">
        <v>0.52475616137985404</v>
      </c>
      <c r="Q414" s="161">
        <v>-0.115359014547571</v>
      </c>
      <c r="R414" s="161">
        <v>0.15959048622276101</v>
      </c>
      <c r="S414" s="161">
        <v>1.36536748739084E-2</v>
      </c>
      <c r="T414" s="161">
        <v>4.5392786186243503</v>
      </c>
      <c r="U414" s="161">
        <v>5.2998623874164998</v>
      </c>
      <c r="V414" s="161">
        <v>0.46134907669657499</v>
      </c>
      <c r="W414" s="161"/>
      <c r="X414" s="58"/>
      <c r="Y414" s="160"/>
      <c r="Z414" s="160"/>
      <c r="AA414" s="160"/>
      <c r="AB414" s="160"/>
      <c r="AC414" s="160"/>
      <c r="AD414" s="162"/>
      <c r="AE414" s="161"/>
    </row>
    <row r="415" spans="1:31" ht="21.2" customHeight="1">
      <c r="A415" s="8" t="s">
        <v>673</v>
      </c>
      <c r="B415" s="158" t="s">
        <v>890</v>
      </c>
      <c r="C415" s="159">
        <v>25</v>
      </c>
      <c r="D415" s="158" t="s">
        <v>848</v>
      </c>
      <c r="E415" s="58">
        <v>66.2</v>
      </c>
      <c r="F415" s="160">
        <v>12.9229472122967</v>
      </c>
      <c r="G415" s="161">
        <v>0.16386024802965701</v>
      </c>
      <c r="H415" s="161">
        <v>0.151933558911618</v>
      </c>
      <c r="I415" s="161">
        <v>0.31579380694127601</v>
      </c>
      <c r="J415" s="161">
        <v>1.5096871414146</v>
      </c>
      <c r="K415" s="161">
        <v>4.83038163082611E-3</v>
      </c>
      <c r="L415" s="161">
        <v>1.0280636026619E-2</v>
      </c>
      <c r="M415" s="161">
        <v>8.3912636089202095E-5</v>
      </c>
      <c r="N415" s="161">
        <v>1.61617058833849E-4</v>
      </c>
      <c r="O415" s="161">
        <v>0.89646190308899998</v>
      </c>
      <c r="P415" s="161">
        <v>2.6751098759754401</v>
      </c>
      <c r="Q415" s="161">
        <v>-6.7604587428301596E-2</v>
      </c>
      <c r="R415" s="161">
        <v>0.37979025593283999</v>
      </c>
      <c r="S415" s="161">
        <v>1.9261058118920701E-2</v>
      </c>
      <c r="T415" s="161">
        <v>1.43398316468552E-2</v>
      </c>
      <c r="U415" s="161">
        <v>8.4299226413452694E-2</v>
      </c>
      <c r="V415" s="161">
        <v>0.14537681045258799</v>
      </c>
      <c r="W415" s="161"/>
      <c r="X415" s="58"/>
      <c r="Y415" s="160"/>
      <c r="Z415" s="160"/>
      <c r="AA415" s="160"/>
      <c r="AB415" s="160"/>
      <c r="AC415" s="160"/>
      <c r="AD415" s="162"/>
      <c r="AE415" s="161"/>
    </row>
    <row r="416" spans="1:31" ht="21.2" customHeight="1">
      <c r="A416" s="8" t="s">
        <v>392</v>
      </c>
      <c r="B416" s="158" t="s">
        <v>874</v>
      </c>
      <c r="C416" s="163">
        <v>27</v>
      </c>
      <c r="D416" s="158" t="s">
        <v>849</v>
      </c>
      <c r="E416" s="58">
        <v>76.852142857142894</v>
      </c>
      <c r="F416" s="160">
        <v>19.897084429174502</v>
      </c>
      <c r="G416" s="161">
        <v>3.6187918576720199E-2</v>
      </c>
      <c r="H416" s="161">
        <v>0.27936666885155198</v>
      </c>
      <c r="I416" s="161">
        <v>0.31555458742827303</v>
      </c>
      <c r="J416" s="161">
        <v>1.3645732471649299</v>
      </c>
      <c r="K416" s="161">
        <v>4.4664978997097701E-4</v>
      </c>
      <c r="L416" s="161">
        <v>2.7961743613720098E-3</v>
      </c>
      <c r="M416" s="161">
        <v>5.3013408486822901E-4</v>
      </c>
      <c r="N416" s="161">
        <v>3.5903987729757601E-3</v>
      </c>
      <c r="O416" s="161">
        <v>1.7228874242705099</v>
      </c>
      <c r="P416" s="161">
        <v>1.84703802622187</v>
      </c>
      <c r="Q416" s="161">
        <v>3.7674939252529897E-2</v>
      </c>
      <c r="R416" s="161">
        <v>0.63186431081575201</v>
      </c>
      <c r="S416" s="161">
        <v>5.80888553779351E-3</v>
      </c>
      <c r="T416" s="161">
        <v>0</v>
      </c>
      <c r="U416" s="161">
        <v>0</v>
      </c>
      <c r="V416" s="161">
        <v>0</v>
      </c>
      <c r="W416" s="161"/>
      <c r="X416" s="58"/>
      <c r="Y416" s="160"/>
      <c r="Z416" s="160"/>
      <c r="AA416" s="160"/>
      <c r="AB416" s="160"/>
      <c r="AC416" s="160"/>
      <c r="AD416" s="162"/>
      <c r="AE416" s="161"/>
    </row>
    <row r="417" spans="1:31" ht="21.2" customHeight="1">
      <c r="A417" s="8" t="s">
        <v>386</v>
      </c>
      <c r="B417" s="158" t="s">
        <v>895</v>
      </c>
      <c r="C417" s="159">
        <v>29</v>
      </c>
      <c r="D417" s="158" t="s">
        <v>849</v>
      </c>
      <c r="E417" s="58">
        <v>77.327857142857098</v>
      </c>
      <c r="F417" s="160">
        <v>21.6868044566707</v>
      </c>
      <c r="G417" s="161">
        <v>8.3540448518038907E-2</v>
      </c>
      <c r="H417" s="161">
        <v>0.23140088199533501</v>
      </c>
      <c r="I417" s="161">
        <v>0.31494133051337397</v>
      </c>
      <c r="J417" s="161">
        <v>1.4942502015924</v>
      </c>
      <c r="K417" s="161">
        <v>4.25763268647209E-3</v>
      </c>
      <c r="L417" s="161">
        <v>2.2828893321843999E-2</v>
      </c>
      <c r="M417" s="161">
        <v>1.5222218505667401E-4</v>
      </c>
      <c r="N417" s="161">
        <v>1.0219790402249899E-3</v>
      </c>
      <c r="O417" s="161">
        <v>1.48808053154262</v>
      </c>
      <c r="P417" s="161">
        <v>1.4005742809566699</v>
      </c>
      <c r="Q417" s="161">
        <v>-4.1827709703437903E-2</v>
      </c>
      <c r="R417" s="161">
        <v>0.75543834559482703</v>
      </c>
      <c r="S417" s="161">
        <v>0</v>
      </c>
      <c r="T417" s="161">
        <v>0</v>
      </c>
      <c r="U417" s="161">
        <v>0</v>
      </c>
      <c r="V417" s="161">
        <v>0</v>
      </c>
      <c r="W417" s="161"/>
      <c r="X417" s="58"/>
      <c r="Y417" s="160"/>
      <c r="Z417" s="160"/>
      <c r="AA417" s="160"/>
      <c r="AB417" s="160"/>
      <c r="AC417" s="160"/>
      <c r="AD417" s="162"/>
      <c r="AE417" s="161"/>
    </row>
    <row r="418" spans="1:31" ht="21.2" customHeight="1">
      <c r="A418" s="8" t="s">
        <v>685</v>
      </c>
      <c r="B418" s="158" t="s">
        <v>875</v>
      </c>
      <c r="C418" s="159">
        <v>24</v>
      </c>
      <c r="D418" s="158" t="s">
        <v>865</v>
      </c>
      <c r="E418" s="58">
        <v>68.31</v>
      </c>
      <c r="F418" s="160">
        <v>11.274184679877999</v>
      </c>
      <c r="G418" s="161">
        <v>0.120766209492344</v>
      </c>
      <c r="H418" s="161">
        <v>0.19346348282522999</v>
      </c>
      <c r="I418" s="161">
        <v>0.31422969231757403</v>
      </c>
      <c r="J418" s="161">
        <v>1.40191750613865</v>
      </c>
      <c r="K418" s="161">
        <v>1.30894428750352E-2</v>
      </c>
      <c r="L418" s="161">
        <v>2.6401821058508301E-2</v>
      </c>
      <c r="M418" s="161">
        <v>0</v>
      </c>
      <c r="N418" s="161">
        <v>0</v>
      </c>
      <c r="O418" s="161">
        <v>0.34854187503704798</v>
      </c>
      <c r="P418" s="161">
        <v>0.70011367659901802</v>
      </c>
      <c r="Q418" s="161">
        <v>-6.1653890597679402E-2</v>
      </c>
      <c r="R418" s="161">
        <v>0.153592212569577</v>
      </c>
      <c r="S418" s="161">
        <v>1.2940930845072401E-2</v>
      </c>
      <c r="T418" s="161">
        <v>9.5936743190071505E-2</v>
      </c>
      <c r="U418" s="161">
        <v>0.15284322271430201</v>
      </c>
      <c r="V418" s="161">
        <v>0.38562889435778602</v>
      </c>
      <c r="W418" s="161"/>
      <c r="X418" s="58"/>
      <c r="Y418" s="160"/>
      <c r="Z418" s="160"/>
      <c r="AA418" s="160"/>
      <c r="AB418" s="160"/>
      <c r="AC418" s="160"/>
      <c r="AD418" s="162"/>
      <c r="AE418" s="161"/>
    </row>
    <row r="419" spans="1:31" ht="21.2" customHeight="1">
      <c r="A419" s="8" t="s">
        <v>342</v>
      </c>
      <c r="B419" s="158" t="s">
        <v>891</v>
      </c>
      <c r="C419" s="159">
        <v>28</v>
      </c>
      <c r="D419" s="158" t="s">
        <v>849</v>
      </c>
      <c r="E419" s="58">
        <v>78.454999999999998</v>
      </c>
      <c r="F419" s="160">
        <v>20.772920297141798</v>
      </c>
      <c r="G419" s="161">
        <v>5.99551848008563E-2</v>
      </c>
      <c r="H419" s="161">
        <v>0.253973873088635</v>
      </c>
      <c r="I419" s="161">
        <v>0.31392905788949099</v>
      </c>
      <c r="J419" s="161">
        <v>1.6995337829072199</v>
      </c>
      <c r="K419" s="161">
        <v>1.2087074876513599E-2</v>
      </c>
      <c r="L419" s="161">
        <v>5.2402821047839498E-2</v>
      </c>
      <c r="M419" s="161">
        <v>2.6700688390828399E-4</v>
      </c>
      <c r="N419" s="161">
        <v>5.0260816735183201E-3</v>
      </c>
      <c r="O419" s="161">
        <v>1.7243435267138201</v>
      </c>
      <c r="P419" s="161">
        <v>1.66566486241793</v>
      </c>
      <c r="Q419" s="161">
        <v>1.37983693486923E-2</v>
      </c>
      <c r="R419" s="161">
        <v>0.18392846962248199</v>
      </c>
      <c r="S419" s="161">
        <v>9.2643865127464507E-3</v>
      </c>
      <c r="T419" s="161">
        <v>0</v>
      </c>
      <c r="U419" s="161">
        <v>0</v>
      </c>
      <c r="V419" s="161">
        <v>0</v>
      </c>
      <c r="W419" s="161"/>
      <c r="X419" s="58"/>
      <c r="Y419" s="160"/>
      <c r="Z419" s="160"/>
      <c r="AA419" s="160"/>
      <c r="AB419" s="160"/>
      <c r="AC419" s="160"/>
      <c r="AD419" s="162"/>
      <c r="AE419" s="161"/>
    </row>
    <row r="420" spans="1:31" ht="21.2" customHeight="1">
      <c r="A420" s="8" t="s">
        <v>696</v>
      </c>
      <c r="B420" s="158" t="s">
        <v>873</v>
      </c>
      <c r="C420" s="159">
        <v>22</v>
      </c>
      <c r="D420" s="158" t="s">
        <v>864</v>
      </c>
      <c r="E420" s="58">
        <v>65.784999999999997</v>
      </c>
      <c r="F420" s="160">
        <v>12.542656149552499</v>
      </c>
      <c r="G420" s="161">
        <v>0.156661804142293</v>
      </c>
      <c r="H420" s="161">
        <v>0.156601003789787</v>
      </c>
      <c r="I420" s="161">
        <v>0.313262807932079</v>
      </c>
      <c r="J420" s="161">
        <v>1.33850201541585</v>
      </c>
      <c r="K420" s="161">
        <v>2.15085625715567E-2</v>
      </c>
      <c r="L420" s="161">
        <v>4.1915396038776198E-2</v>
      </c>
      <c r="M420" s="161">
        <v>1.02128680547929E-4</v>
      </c>
      <c r="N420" s="161">
        <v>2.02321864939584E-4</v>
      </c>
      <c r="O420" s="161">
        <v>0.410536701585972</v>
      </c>
      <c r="P420" s="161">
        <v>1.27195815722424</v>
      </c>
      <c r="Q420" s="161">
        <v>3.7695597944742E-3</v>
      </c>
      <c r="R420" s="161">
        <v>0.30013291651747398</v>
      </c>
      <c r="S420" s="161">
        <v>2.2176989998881801E-2</v>
      </c>
      <c r="T420" s="161">
        <v>0.15918739323236999</v>
      </c>
      <c r="U420" s="161">
        <v>0.21370927707367399</v>
      </c>
      <c r="V420" s="161">
        <v>0.42689411278926598</v>
      </c>
      <c r="W420" s="161"/>
      <c r="X420" s="58"/>
      <c r="Y420" s="160"/>
      <c r="Z420" s="160"/>
      <c r="AA420" s="160"/>
      <c r="AB420" s="160"/>
      <c r="AC420" s="160"/>
      <c r="AD420" s="162"/>
      <c r="AE420" s="161"/>
    </row>
    <row r="421" spans="1:31" ht="21.2" customHeight="1">
      <c r="A421" s="8" t="s">
        <v>733</v>
      </c>
      <c r="B421" s="158" t="s">
        <v>878</v>
      </c>
      <c r="C421" s="159">
        <v>27</v>
      </c>
      <c r="D421" s="158" t="s">
        <v>847</v>
      </c>
      <c r="E421" s="58">
        <v>61.64</v>
      </c>
      <c r="F421" s="160">
        <v>11.993778312674801</v>
      </c>
      <c r="G421" s="161">
        <v>0.16346534634361601</v>
      </c>
      <c r="H421" s="161">
        <v>0.14943157635450199</v>
      </c>
      <c r="I421" s="161">
        <v>0.31289692269811797</v>
      </c>
      <c r="J421" s="161">
        <v>1.4814445905856</v>
      </c>
      <c r="K421" s="161">
        <v>3.9098521491859103E-3</v>
      </c>
      <c r="L421" s="161">
        <v>9.8470256928627105E-3</v>
      </c>
      <c r="M421" s="161">
        <v>1.9765531817316101E-5</v>
      </c>
      <c r="N421" s="161">
        <v>3.7159979923290001E-5</v>
      </c>
      <c r="O421" s="161">
        <v>0.315631692538688</v>
      </c>
      <c r="P421" s="161">
        <v>1.4370157559079899</v>
      </c>
      <c r="Q421" s="161">
        <v>-2.7564132314760501E-2</v>
      </c>
      <c r="R421" s="161">
        <v>0.366100459797082</v>
      </c>
      <c r="S421" s="161">
        <v>2.0628770582258801E-2</v>
      </c>
      <c r="T421" s="161">
        <v>0</v>
      </c>
      <c r="U421" s="161">
        <v>0.10349604155888401</v>
      </c>
      <c r="V421" s="161">
        <v>0</v>
      </c>
      <c r="W421" s="161"/>
      <c r="X421" s="58"/>
      <c r="Y421" s="160"/>
      <c r="Z421" s="160"/>
      <c r="AA421" s="160"/>
      <c r="AB421" s="160"/>
      <c r="AC421" s="160"/>
      <c r="AD421" s="162"/>
      <c r="AE421" s="161"/>
    </row>
    <row r="422" spans="1:31" ht="21.2" customHeight="1">
      <c r="A422" s="8" t="s">
        <v>426</v>
      </c>
      <c r="B422" s="158" t="s">
        <v>875</v>
      </c>
      <c r="C422" s="163">
        <v>19</v>
      </c>
      <c r="D422" s="158" t="s">
        <v>849</v>
      </c>
      <c r="E422" s="58">
        <v>72</v>
      </c>
      <c r="F422" s="160">
        <v>16</v>
      </c>
      <c r="G422" s="161">
        <v>5.8168080929036498E-2</v>
      </c>
      <c r="H422" s="161">
        <v>0.25441175489854501</v>
      </c>
      <c r="I422" s="161">
        <v>0.31257983582757998</v>
      </c>
      <c r="J422" s="161">
        <v>1.3813035557433699</v>
      </c>
      <c r="K422" s="161">
        <v>7.3814735508662896E-3</v>
      </c>
      <c r="L422" s="161">
        <v>3.96660806724956E-2</v>
      </c>
      <c r="M422" s="161">
        <v>0</v>
      </c>
      <c r="N422" s="161">
        <v>0</v>
      </c>
      <c r="O422" s="161">
        <v>1.10243902439024</v>
      </c>
      <c r="P422" s="161">
        <v>1.23034065217306</v>
      </c>
      <c r="Q422" s="161">
        <v>2.0731707317073202E-3</v>
      </c>
      <c r="R422" s="161">
        <v>0.40843147629086202</v>
      </c>
      <c r="S422" s="161">
        <v>6.2331103696763902E-3</v>
      </c>
      <c r="T422" s="161">
        <v>0</v>
      </c>
      <c r="U422" s="161">
        <v>0</v>
      </c>
      <c r="V422" s="161">
        <v>0</v>
      </c>
      <c r="W422" s="161"/>
      <c r="X422" s="58"/>
      <c r="Y422" s="161"/>
      <c r="Z422" s="161"/>
      <c r="AA422" s="161"/>
      <c r="AB422" s="161"/>
      <c r="AC422" s="160"/>
      <c r="AD422" s="162"/>
      <c r="AE422" s="161"/>
    </row>
    <row r="423" spans="1:31" ht="21.2" customHeight="1">
      <c r="A423" s="8" t="s">
        <v>644</v>
      </c>
      <c r="B423" s="158" t="s">
        <v>861</v>
      </c>
      <c r="C423" s="159">
        <v>27</v>
      </c>
      <c r="D423" s="158" t="s">
        <v>848</v>
      </c>
      <c r="E423" s="58">
        <v>76.913928571428599</v>
      </c>
      <c r="F423" s="160">
        <v>13.8369740966699</v>
      </c>
      <c r="G423" s="161">
        <v>0.113651639637238</v>
      </c>
      <c r="H423" s="161">
        <v>0.19884142118436701</v>
      </c>
      <c r="I423" s="161">
        <v>0.312493060821605</v>
      </c>
      <c r="J423" s="161">
        <v>1.3066190380826701</v>
      </c>
      <c r="K423" s="161">
        <v>8.4676615777882602E-4</v>
      </c>
      <c r="L423" s="161">
        <v>2.1345296073426801E-3</v>
      </c>
      <c r="M423" s="161">
        <v>1.8428311875884E-2</v>
      </c>
      <c r="N423" s="161">
        <v>3.7834954362637598E-2</v>
      </c>
      <c r="O423" s="161">
        <v>0.59881017762424604</v>
      </c>
      <c r="P423" s="161">
        <v>1.28701586709371</v>
      </c>
      <c r="Q423" s="161">
        <v>5.3540023482860001E-2</v>
      </c>
      <c r="R423" s="161">
        <v>0.42442421698292998</v>
      </c>
      <c r="S423" s="161">
        <v>1.7981401750302901E-2</v>
      </c>
      <c r="T423" s="161">
        <v>3.5376261253624301E-2</v>
      </c>
      <c r="U423" s="161">
        <v>0.13072009596221301</v>
      </c>
      <c r="V423" s="161">
        <v>0.21298637638183601</v>
      </c>
      <c r="W423" s="161"/>
      <c r="X423" s="58"/>
      <c r="Y423" s="160"/>
      <c r="Z423" s="160"/>
      <c r="AA423" s="160"/>
      <c r="AB423" s="160"/>
      <c r="AC423" s="160"/>
      <c r="AD423" s="162"/>
      <c r="AE423" s="161"/>
    </row>
    <row r="424" spans="1:31" ht="21.2" customHeight="1">
      <c r="A424" s="8" t="s">
        <v>526</v>
      </c>
      <c r="B424" s="158" t="s">
        <v>876</v>
      </c>
      <c r="C424" s="159">
        <v>29</v>
      </c>
      <c r="D424" s="158" t="s">
        <v>849</v>
      </c>
      <c r="E424" s="58">
        <v>62.17</v>
      </c>
      <c r="F424" s="160">
        <v>15.495330844450001</v>
      </c>
      <c r="G424" s="161">
        <v>0.108496279824103</v>
      </c>
      <c r="H424" s="161">
        <v>0.20343323729247101</v>
      </c>
      <c r="I424" s="161">
        <v>0.31192951711657302</v>
      </c>
      <c r="J424" s="161">
        <v>1.1902167894646001</v>
      </c>
      <c r="K424" s="161">
        <v>2.6588144550327602E-4</v>
      </c>
      <c r="L424" s="161">
        <v>1.72038437921563E-3</v>
      </c>
      <c r="M424" s="161">
        <v>4.6886307755824398E-4</v>
      </c>
      <c r="N424" s="161">
        <v>1.92368343021617E-3</v>
      </c>
      <c r="O424" s="161">
        <v>1.0931162220973301</v>
      </c>
      <c r="P424" s="161">
        <v>0.69604557129198696</v>
      </c>
      <c r="Q424" s="161">
        <v>-2.5942492520298899E-2</v>
      </c>
      <c r="R424" s="161">
        <v>0.25641891290586499</v>
      </c>
      <c r="S424" s="161">
        <v>1.24849632947482E-2</v>
      </c>
      <c r="T424" s="161">
        <v>0</v>
      </c>
      <c r="U424" s="161">
        <v>0</v>
      </c>
      <c r="V424" s="161">
        <v>0</v>
      </c>
      <c r="W424" s="161"/>
      <c r="X424" s="58"/>
      <c r="Y424" s="160"/>
      <c r="Z424" s="160"/>
      <c r="AA424" s="160"/>
      <c r="AB424" s="160"/>
      <c r="AC424" s="160"/>
      <c r="AD424" s="162"/>
      <c r="AE424" s="161"/>
    </row>
    <row r="425" spans="1:31" ht="21.2" customHeight="1">
      <c r="A425" s="8" t="s">
        <v>709</v>
      </c>
      <c r="B425" s="158" t="s">
        <v>877</v>
      </c>
      <c r="C425" s="159">
        <v>24</v>
      </c>
      <c r="D425" s="158" t="s">
        <v>860</v>
      </c>
      <c r="E425" s="58">
        <v>64.869642857142907</v>
      </c>
      <c r="F425" s="160">
        <v>12.8830622816856</v>
      </c>
      <c r="G425" s="161">
        <v>0.124904933611466</v>
      </c>
      <c r="H425" s="161">
        <v>0.186875090698533</v>
      </c>
      <c r="I425" s="161">
        <v>0.31178002430999902</v>
      </c>
      <c r="J425" s="161">
        <v>1.5249367867705701</v>
      </c>
      <c r="K425" s="161">
        <v>8.2698462919742204E-4</v>
      </c>
      <c r="L425" s="161">
        <v>2.0433531575875601E-3</v>
      </c>
      <c r="M425" s="161">
        <v>2.4588837997347899E-3</v>
      </c>
      <c r="N425" s="161">
        <v>2.3046963982040401E-2</v>
      </c>
      <c r="O425" s="161">
        <v>0.55723068399696696</v>
      </c>
      <c r="P425" s="161">
        <v>1.6637703855230499</v>
      </c>
      <c r="Q425" s="161">
        <v>1.5677545729439999E-2</v>
      </c>
      <c r="R425" s="161">
        <v>0.39084315680859499</v>
      </c>
      <c r="S425" s="161">
        <v>1.9485587722936602E-2</v>
      </c>
      <c r="T425" s="161">
        <v>0.26665899220977701</v>
      </c>
      <c r="U425" s="161">
        <v>0.30084343423807403</v>
      </c>
      <c r="V425" s="161">
        <v>0.46988167765002598</v>
      </c>
      <c r="W425" s="161"/>
      <c r="X425" s="58"/>
      <c r="Y425" s="160"/>
      <c r="Z425" s="160"/>
      <c r="AA425" s="160"/>
      <c r="AB425" s="160"/>
      <c r="AC425" s="160"/>
      <c r="AD425" s="162"/>
      <c r="AE425" s="161"/>
    </row>
    <row r="426" spans="1:31" ht="21.2" customHeight="1">
      <c r="A426" s="8" t="s">
        <v>605</v>
      </c>
      <c r="B426" s="158" t="s">
        <v>878</v>
      </c>
      <c r="C426" s="159">
        <v>31</v>
      </c>
      <c r="D426" s="158" t="s">
        <v>865</v>
      </c>
      <c r="E426" s="58">
        <v>76.125357142857098</v>
      </c>
      <c r="F426" s="160">
        <v>14.4269870293751</v>
      </c>
      <c r="G426" s="161">
        <v>0.16064800905872401</v>
      </c>
      <c r="H426" s="161">
        <v>0.15104044773297601</v>
      </c>
      <c r="I426" s="161">
        <v>0.31168845679169999</v>
      </c>
      <c r="J426" s="161">
        <v>1.7475983806389499</v>
      </c>
      <c r="K426" s="161">
        <v>4.7244307075688403E-3</v>
      </c>
      <c r="L426" s="161">
        <v>8.1939053194936603E-3</v>
      </c>
      <c r="M426" s="161">
        <v>1.0416651214953899E-2</v>
      </c>
      <c r="N426" s="161">
        <v>9.7736224273317907E-3</v>
      </c>
      <c r="O426" s="161">
        <v>0.51057036306899595</v>
      </c>
      <c r="P426" s="161">
        <v>1.89165703000583</v>
      </c>
      <c r="Q426" s="161">
        <v>-2.40316230999017E-2</v>
      </c>
      <c r="R426" s="161">
        <v>0.41039842604745702</v>
      </c>
      <c r="S426" s="161">
        <v>2.0273232201783301E-2</v>
      </c>
      <c r="T426" s="161">
        <v>5.8091473169163699</v>
      </c>
      <c r="U426" s="161">
        <v>5.9581568116148702</v>
      </c>
      <c r="V426" s="161">
        <v>0.49366849479409602</v>
      </c>
      <c r="W426" s="161"/>
      <c r="X426" s="58"/>
      <c r="Y426" s="160"/>
      <c r="Z426" s="160"/>
      <c r="AA426" s="160"/>
      <c r="AB426" s="160"/>
      <c r="AC426" s="160"/>
      <c r="AD426" s="162"/>
      <c r="AE426" s="161"/>
    </row>
    <row r="427" spans="1:31" ht="21.2" customHeight="1">
      <c r="A427" s="8" t="s">
        <v>705</v>
      </c>
      <c r="B427" s="158" t="s">
        <v>866</v>
      </c>
      <c r="C427" s="159">
        <v>28</v>
      </c>
      <c r="D427" s="158" t="s">
        <v>846</v>
      </c>
      <c r="E427" s="58">
        <v>82.03</v>
      </c>
      <c r="F427" s="160">
        <v>14.881329360046401</v>
      </c>
      <c r="G427" s="161">
        <v>9.6389128383245995E-2</v>
      </c>
      <c r="H427" s="161">
        <v>0.214561733168982</v>
      </c>
      <c r="I427" s="161">
        <v>0.31095086155222801</v>
      </c>
      <c r="J427" s="161">
        <v>1.20934743670269</v>
      </c>
      <c r="K427" s="161">
        <v>7.8386654839637403E-4</v>
      </c>
      <c r="L427" s="161">
        <v>1.9781312952565698E-3</v>
      </c>
      <c r="M427" s="161">
        <v>7.8280617189694594E-3</v>
      </c>
      <c r="N427" s="161">
        <v>2.99048492660762E-2</v>
      </c>
      <c r="O427" s="161">
        <v>0.344635789661141</v>
      </c>
      <c r="P427" s="161">
        <v>0.91870873523769403</v>
      </c>
      <c r="Q427" s="161">
        <v>4.1927716833856203E-2</v>
      </c>
      <c r="R427" s="161">
        <v>0.224336625901882</v>
      </c>
      <c r="S427" s="161">
        <v>1.54848878549265E-2</v>
      </c>
      <c r="T427" s="161">
        <v>7.14993231363691</v>
      </c>
      <c r="U427" s="161">
        <v>6.5350758073752404</v>
      </c>
      <c r="V427" s="161">
        <v>0.52246460143920603</v>
      </c>
      <c r="W427" s="161"/>
      <c r="X427" s="58"/>
      <c r="Y427" s="160"/>
      <c r="Z427" s="160"/>
      <c r="AA427" s="160"/>
      <c r="AB427" s="160"/>
      <c r="AC427" s="160"/>
      <c r="AD427" s="162"/>
      <c r="AE427" s="161"/>
    </row>
    <row r="428" spans="1:31" ht="21.2" customHeight="1">
      <c r="A428" s="8" t="s">
        <v>738</v>
      </c>
      <c r="B428" s="158" t="s">
        <v>871</v>
      </c>
      <c r="C428" s="159">
        <v>31</v>
      </c>
      <c r="D428" s="158" t="s">
        <v>865</v>
      </c>
      <c r="E428" s="58">
        <v>53</v>
      </c>
      <c r="F428" s="160">
        <v>12.2179199110123</v>
      </c>
      <c r="G428" s="161">
        <v>0.12892861916354001</v>
      </c>
      <c r="H428" s="161">
        <v>0.18039145722153499</v>
      </c>
      <c r="I428" s="161">
        <v>0.30932007638507603</v>
      </c>
      <c r="J428" s="161">
        <v>1.3028330130230501</v>
      </c>
      <c r="K428" s="161">
        <v>3.3734639736518199E-3</v>
      </c>
      <c r="L428" s="161">
        <v>8.7764392120919296E-3</v>
      </c>
      <c r="M428" s="161">
        <v>2.2651016491501601E-3</v>
      </c>
      <c r="N428" s="161">
        <v>3.4282941390899099E-3</v>
      </c>
      <c r="O428" s="161">
        <v>0.62027329605275705</v>
      </c>
      <c r="P428" s="161">
        <v>1.2149664910737199</v>
      </c>
      <c r="Q428" s="161">
        <v>-5.11003597005538E-4</v>
      </c>
      <c r="R428" s="161">
        <v>0.35595621067208899</v>
      </c>
      <c r="S428" s="161">
        <v>2.19691959475844E-2</v>
      </c>
      <c r="T428" s="161">
        <v>3.0010646372159102</v>
      </c>
      <c r="U428" s="161">
        <v>3.3095790223931099</v>
      </c>
      <c r="V428" s="161">
        <v>0.47555602868596197</v>
      </c>
      <c r="W428" s="161"/>
      <c r="X428" s="58"/>
      <c r="Y428" s="160"/>
      <c r="Z428" s="160"/>
      <c r="AA428" s="160"/>
      <c r="AB428" s="160"/>
      <c r="AC428" s="160"/>
      <c r="AD428" s="162"/>
      <c r="AE428" s="161"/>
    </row>
    <row r="429" spans="1:31" ht="21.2" customHeight="1">
      <c r="A429" s="8" t="s">
        <v>701</v>
      </c>
      <c r="B429" s="158" t="s">
        <v>878</v>
      </c>
      <c r="C429" s="159">
        <v>29</v>
      </c>
      <c r="D429" s="158" t="s">
        <v>865</v>
      </c>
      <c r="E429" s="58">
        <v>72.400000000000006</v>
      </c>
      <c r="F429" s="160">
        <v>12.9131321669377</v>
      </c>
      <c r="G429" s="161">
        <v>0.14461890101889099</v>
      </c>
      <c r="H429" s="161">
        <v>0.16342003628081</v>
      </c>
      <c r="I429" s="161">
        <v>0.308038937299701</v>
      </c>
      <c r="J429" s="161">
        <v>0.87037308747978703</v>
      </c>
      <c r="K429" s="161">
        <v>1.03548728267877E-2</v>
      </c>
      <c r="L429" s="161">
        <v>3.6427596433781302E-2</v>
      </c>
      <c r="M429" s="161">
        <v>6.74681276413283E-4</v>
      </c>
      <c r="N429" s="161">
        <v>9.4082531767808897E-4</v>
      </c>
      <c r="O429" s="161">
        <v>0.56182755334129897</v>
      </c>
      <c r="P429" s="161">
        <v>0.62441590893369503</v>
      </c>
      <c r="Q429" s="161">
        <v>-6.5160993253954899E-2</v>
      </c>
      <c r="R429" s="161">
        <v>0.27951886951688798</v>
      </c>
      <c r="S429" s="161">
        <v>1.82504132998683E-2</v>
      </c>
      <c r="T429" s="161">
        <v>4.6805449449889496</v>
      </c>
      <c r="U429" s="161">
        <v>5.8423646700185596</v>
      </c>
      <c r="V429" s="161">
        <v>0.44479569969067101</v>
      </c>
      <c r="W429" s="161"/>
      <c r="X429" s="58"/>
      <c r="Y429" s="160"/>
      <c r="Z429" s="160"/>
      <c r="AA429" s="160"/>
      <c r="AB429" s="160"/>
      <c r="AC429" s="160"/>
      <c r="AD429" s="162"/>
      <c r="AE429" s="161"/>
    </row>
    <row r="430" spans="1:31" ht="21.2" customHeight="1">
      <c r="A430" s="8" t="s">
        <v>675</v>
      </c>
      <c r="B430" s="158" t="s">
        <v>895</v>
      </c>
      <c r="C430" s="159">
        <v>27</v>
      </c>
      <c r="D430" s="158" t="s">
        <v>847</v>
      </c>
      <c r="E430" s="58">
        <v>77.172499999999999</v>
      </c>
      <c r="F430" s="160">
        <v>12.0108789345748</v>
      </c>
      <c r="G430" s="161">
        <v>0.159077440770763</v>
      </c>
      <c r="H430" s="161">
        <v>0.14873145562232401</v>
      </c>
      <c r="I430" s="161">
        <v>0.30780889639308801</v>
      </c>
      <c r="J430" s="161">
        <v>1.43272984214713</v>
      </c>
      <c r="K430" s="161">
        <v>1.6748186852735599E-2</v>
      </c>
      <c r="L430" s="161">
        <v>4.0385565322700601E-2</v>
      </c>
      <c r="M430" s="161">
        <v>0</v>
      </c>
      <c r="N430" s="161">
        <v>0</v>
      </c>
      <c r="O430" s="161">
        <v>0.41060294546922599</v>
      </c>
      <c r="P430" s="161">
        <v>2.5129836441910598</v>
      </c>
      <c r="Q430" s="161">
        <v>-1.52396091759906E-2</v>
      </c>
      <c r="R430" s="161">
        <v>0.55640680812636301</v>
      </c>
      <c r="S430" s="161">
        <v>0</v>
      </c>
      <c r="T430" s="161">
        <v>9.7743603005178807E-3</v>
      </c>
      <c r="U430" s="161">
        <v>0.11358974782975299</v>
      </c>
      <c r="V430" s="161">
        <v>7.9231799659235505E-2</v>
      </c>
      <c r="W430" s="161"/>
      <c r="X430" s="58"/>
      <c r="Y430" s="160"/>
      <c r="Z430" s="160"/>
      <c r="AA430" s="160"/>
      <c r="AB430" s="160"/>
      <c r="AC430" s="160"/>
      <c r="AD430" s="162"/>
      <c r="AE430" s="161"/>
    </row>
    <row r="431" spans="1:31" ht="21.2" customHeight="1">
      <c r="A431" s="8" t="s">
        <v>787</v>
      </c>
      <c r="B431" s="158" t="s">
        <v>874</v>
      </c>
      <c r="C431" s="159">
        <v>28</v>
      </c>
      <c r="D431" s="158" t="s">
        <v>847</v>
      </c>
      <c r="E431" s="58">
        <v>50</v>
      </c>
      <c r="F431" s="160">
        <v>11.755641362842301</v>
      </c>
      <c r="G431" s="161">
        <v>0.109743584888608</v>
      </c>
      <c r="H431" s="161">
        <v>0.19794252417351299</v>
      </c>
      <c r="I431" s="161">
        <v>0.30768610906212202</v>
      </c>
      <c r="J431" s="161">
        <v>1.1795838312129601</v>
      </c>
      <c r="K431" s="161">
        <v>7.6126328924466698E-3</v>
      </c>
      <c r="L431" s="161">
        <v>1.33947891740488E-2</v>
      </c>
      <c r="M431" s="161">
        <v>4.2112320875028499E-5</v>
      </c>
      <c r="N431" s="161">
        <v>7.6959797773390595E-5</v>
      </c>
      <c r="O431" s="161">
        <v>0.31349830533333001</v>
      </c>
      <c r="P431" s="161">
        <v>0.88673541158054003</v>
      </c>
      <c r="Q431" s="161">
        <v>2.6389716116823999E-2</v>
      </c>
      <c r="R431" s="161">
        <v>0.31287088942418501</v>
      </c>
      <c r="S431" s="161">
        <v>1.76160428175372E-2</v>
      </c>
      <c r="T431" s="161">
        <v>0.162735987415322</v>
      </c>
      <c r="U431" s="161">
        <v>0.3188416365183</v>
      </c>
      <c r="V431" s="161">
        <v>0.337922651152398</v>
      </c>
      <c r="W431" s="161"/>
      <c r="X431" s="58"/>
      <c r="Y431" s="160"/>
      <c r="Z431" s="160"/>
      <c r="AA431" s="160"/>
      <c r="AB431" s="160"/>
      <c r="AC431" s="160"/>
      <c r="AD431" s="162"/>
      <c r="AE431" s="161"/>
    </row>
    <row r="432" spans="1:31" ht="21.2" customHeight="1">
      <c r="A432" s="8" t="s">
        <v>492</v>
      </c>
      <c r="B432" s="158" t="s">
        <v>891</v>
      </c>
      <c r="C432" s="159">
        <v>27</v>
      </c>
      <c r="D432" s="158" t="s">
        <v>849</v>
      </c>
      <c r="E432" s="58">
        <v>65.991785714285697</v>
      </c>
      <c r="F432" s="160">
        <v>16.645277334815098</v>
      </c>
      <c r="G432" s="161">
        <v>6.6764128821011695E-2</v>
      </c>
      <c r="H432" s="161">
        <v>0.240865226880741</v>
      </c>
      <c r="I432" s="161">
        <v>0.30762935570175398</v>
      </c>
      <c r="J432" s="161">
        <v>1.21394057878359</v>
      </c>
      <c r="K432" s="161">
        <v>2.0835447216671602E-3</v>
      </c>
      <c r="L432" s="161">
        <v>3.5078865065848501E-2</v>
      </c>
      <c r="M432" s="161">
        <v>3.6353028029336701E-4</v>
      </c>
      <c r="N432" s="161">
        <v>1.5352070720147E-3</v>
      </c>
      <c r="O432" s="161">
        <v>1.0622320929657501</v>
      </c>
      <c r="P432" s="161">
        <v>0.80974342790972598</v>
      </c>
      <c r="Q432" s="161">
        <v>1.4402435661168E-2</v>
      </c>
      <c r="R432" s="161">
        <v>0.33649118774278403</v>
      </c>
      <c r="S432" s="161">
        <v>1.0316517189282601E-2</v>
      </c>
      <c r="T432" s="161">
        <v>0</v>
      </c>
      <c r="U432" s="161">
        <v>0</v>
      </c>
      <c r="V432" s="161">
        <v>0</v>
      </c>
      <c r="W432" s="161"/>
      <c r="X432" s="58"/>
      <c r="Y432" s="160"/>
      <c r="Z432" s="160"/>
      <c r="AA432" s="160"/>
      <c r="AB432" s="160"/>
      <c r="AC432" s="160"/>
      <c r="AD432" s="162"/>
      <c r="AE432" s="161"/>
    </row>
    <row r="433" spans="1:31" ht="21.2" customHeight="1">
      <c r="A433" s="8" t="s">
        <v>658</v>
      </c>
      <c r="B433" s="158" t="s">
        <v>863</v>
      </c>
      <c r="C433" s="159">
        <v>30</v>
      </c>
      <c r="D433" s="158" t="s">
        <v>865</v>
      </c>
      <c r="E433" s="58">
        <v>78.986785714285702</v>
      </c>
      <c r="F433" s="160">
        <v>11.3859451406717</v>
      </c>
      <c r="G433" s="161">
        <v>0.103175554987808</v>
      </c>
      <c r="H433" s="161">
        <v>0.20171450633073801</v>
      </c>
      <c r="I433" s="161">
        <v>0.30489006131854501</v>
      </c>
      <c r="J433" s="161">
        <v>1.31500482090174</v>
      </c>
      <c r="K433" s="161">
        <v>8.2816121013305495E-4</v>
      </c>
      <c r="L433" s="161">
        <v>1.8047411161121599E-3</v>
      </c>
      <c r="M433" s="161">
        <v>1.39564357273129E-4</v>
      </c>
      <c r="N433" s="161">
        <v>2.5157546639585898E-4</v>
      </c>
      <c r="O433" s="161">
        <v>0.45014487654324298</v>
      </c>
      <c r="P433" s="161">
        <v>1.1253919838347699</v>
      </c>
      <c r="Q433" s="161">
        <v>2.58892573315362E-2</v>
      </c>
      <c r="R433" s="161">
        <v>0.430828437855513</v>
      </c>
      <c r="S433" s="161">
        <v>1.4800768704663301E-2</v>
      </c>
      <c r="T433" s="161">
        <v>0.76084462148031495</v>
      </c>
      <c r="U433" s="161">
        <v>0.78615914596096503</v>
      </c>
      <c r="V433" s="161">
        <v>0.49181820852236202</v>
      </c>
      <c r="W433" s="161"/>
      <c r="X433" s="58"/>
      <c r="Y433" s="160"/>
      <c r="Z433" s="160"/>
      <c r="AA433" s="160"/>
      <c r="AB433" s="160"/>
      <c r="AC433" s="160"/>
      <c r="AD433" s="162"/>
      <c r="AE433" s="161"/>
    </row>
    <row r="434" spans="1:31" ht="21.2" customHeight="1">
      <c r="A434" s="8" t="s">
        <v>748</v>
      </c>
      <c r="B434" s="158" t="s">
        <v>874</v>
      </c>
      <c r="C434" s="159">
        <v>29</v>
      </c>
      <c r="D434" s="158" t="s">
        <v>864</v>
      </c>
      <c r="E434" s="58">
        <v>55</v>
      </c>
      <c r="F434" s="160">
        <v>11.0089701779689</v>
      </c>
      <c r="G434" s="161">
        <v>0.113653292404609</v>
      </c>
      <c r="H434" s="161">
        <v>0.190648796118252</v>
      </c>
      <c r="I434" s="161">
        <v>0.304302088522862</v>
      </c>
      <c r="J434" s="161">
        <v>1.21036256825072</v>
      </c>
      <c r="K434" s="161">
        <v>1.0682400313549801E-3</v>
      </c>
      <c r="L434" s="161">
        <v>2.1131902032599402E-3</v>
      </c>
      <c r="M434" s="161">
        <v>1.00260898925253E-3</v>
      </c>
      <c r="N434" s="161">
        <v>7.5642267202502798E-3</v>
      </c>
      <c r="O434" s="161">
        <v>0.25479186312573199</v>
      </c>
      <c r="P434" s="161">
        <v>0.56034994444460395</v>
      </c>
      <c r="Q434" s="161">
        <v>8.8141687291016704E-3</v>
      </c>
      <c r="R434" s="161">
        <v>0.27356780092178901</v>
      </c>
      <c r="S434" s="161">
        <v>1.8243629159607401E-2</v>
      </c>
      <c r="T434" s="161">
        <v>9.0658208113865602E-2</v>
      </c>
      <c r="U434" s="161">
        <v>0.177183440664648</v>
      </c>
      <c r="V434" s="161">
        <v>0.33847688933857201</v>
      </c>
      <c r="W434" s="161"/>
      <c r="X434" s="58"/>
      <c r="Y434" s="160"/>
      <c r="Z434" s="160"/>
      <c r="AA434" s="160"/>
      <c r="AB434" s="160"/>
      <c r="AC434" s="160"/>
      <c r="AD434" s="162"/>
      <c r="AE434" s="161"/>
    </row>
    <row r="435" spans="1:31" ht="21.2" customHeight="1">
      <c r="A435" s="8" t="s">
        <v>699</v>
      </c>
      <c r="B435" s="158" t="s">
        <v>873</v>
      </c>
      <c r="C435" s="159">
        <v>29</v>
      </c>
      <c r="D435" s="158" t="s">
        <v>860</v>
      </c>
      <c r="E435" s="58">
        <v>74.416428571428597</v>
      </c>
      <c r="F435" s="160">
        <v>12.968644329933699</v>
      </c>
      <c r="G435" s="161">
        <v>9.2172995956363302E-2</v>
      </c>
      <c r="H435" s="161">
        <v>0.209029702468361</v>
      </c>
      <c r="I435" s="161">
        <v>0.30120269842472402</v>
      </c>
      <c r="J435" s="161">
        <v>1.2821763773505499</v>
      </c>
      <c r="K435" s="161">
        <v>7.6323557295638299E-4</v>
      </c>
      <c r="L435" s="161">
        <v>1.9505059416253399E-3</v>
      </c>
      <c r="M435" s="161">
        <v>1.2559339654872E-2</v>
      </c>
      <c r="N435" s="161">
        <v>2.5190324841324802E-2</v>
      </c>
      <c r="O435" s="161">
        <v>0.628851743756767</v>
      </c>
      <c r="P435" s="161">
        <v>1.1991840492210899</v>
      </c>
      <c r="Q435" s="161">
        <v>-6.5552449234431596E-3</v>
      </c>
      <c r="R435" s="161">
        <v>0.21519392038379501</v>
      </c>
      <c r="S435" s="161">
        <v>1.3047976950620399E-2</v>
      </c>
      <c r="T435" s="161">
        <v>4.6863944197786704</v>
      </c>
      <c r="U435" s="161">
        <v>4.3619190353148296</v>
      </c>
      <c r="V435" s="161">
        <v>0.51793015825955901</v>
      </c>
      <c r="W435" s="161"/>
      <c r="X435" s="58"/>
      <c r="Y435" s="160"/>
      <c r="Z435" s="160"/>
      <c r="AA435" s="160"/>
      <c r="AB435" s="160"/>
      <c r="AC435" s="160"/>
      <c r="AD435" s="162"/>
      <c r="AE435" s="161"/>
    </row>
    <row r="436" spans="1:31" ht="21.2" customHeight="1">
      <c r="A436" s="8" t="s">
        <v>712</v>
      </c>
      <c r="B436" s="158" t="s">
        <v>876</v>
      </c>
      <c r="C436" s="159">
        <v>21</v>
      </c>
      <c r="D436" s="158" t="s">
        <v>847</v>
      </c>
      <c r="E436" s="58">
        <v>70.77</v>
      </c>
      <c r="F436" s="160">
        <v>12.1848979404717</v>
      </c>
      <c r="G436" s="161">
        <v>0.15088816901752</v>
      </c>
      <c r="H436" s="161">
        <v>0.14906056265144599</v>
      </c>
      <c r="I436" s="161">
        <v>0.29994873166896602</v>
      </c>
      <c r="J436" s="161">
        <v>1.2590236631564899</v>
      </c>
      <c r="K436" s="161">
        <v>1.58074352507434E-2</v>
      </c>
      <c r="L436" s="161">
        <v>3.4695944433668302E-2</v>
      </c>
      <c r="M436" s="161">
        <v>9.2905187529334396E-4</v>
      </c>
      <c r="N436" s="161">
        <v>1.8712064376285699E-3</v>
      </c>
      <c r="O436" s="161">
        <v>0.45483173809994998</v>
      </c>
      <c r="P436" s="161">
        <v>1.4066485449792301</v>
      </c>
      <c r="Q436" s="161">
        <v>-7.6559710375780202E-2</v>
      </c>
      <c r="R436" s="161">
        <v>0.417927995477272</v>
      </c>
      <c r="S436" s="161">
        <v>1.7363113784634902E-2</v>
      </c>
      <c r="T436" s="161">
        <v>0.157892396066527</v>
      </c>
      <c r="U436" s="161">
        <v>0.27542616394138197</v>
      </c>
      <c r="V436" s="161">
        <v>0.364379490376883</v>
      </c>
      <c r="W436" s="161"/>
      <c r="X436" s="58"/>
      <c r="Y436" s="160"/>
      <c r="Z436" s="160"/>
      <c r="AA436" s="160"/>
      <c r="AB436" s="160"/>
      <c r="AC436" s="160"/>
      <c r="AD436" s="162"/>
      <c r="AE436" s="161"/>
    </row>
    <row r="437" spans="1:31" ht="21.2" customHeight="1">
      <c r="A437" s="8" t="s">
        <v>632</v>
      </c>
      <c r="B437" s="158" t="s">
        <v>895</v>
      </c>
      <c r="C437" s="163">
        <v>25</v>
      </c>
      <c r="D437" s="158" t="s">
        <v>880</v>
      </c>
      <c r="E437" s="58">
        <v>71.172857142857097</v>
      </c>
      <c r="F437" s="160">
        <v>12.192987920428999</v>
      </c>
      <c r="G437" s="161">
        <v>0.14920831964110701</v>
      </c>
      <c r="H437" s="161">
        <v>0.14932048811890999</v>
      </c>
      <c r="I437" s="161">
        <v>0.298528807760017</v>
      </c>
      <c r="J437" s="161">
        <v>1.9317948299875001</v>
      </c>
      <c r="K437" s="161">
        <v>1.24359001767177E-3</v>
      </c>
      <c r="L437" s="161">
        <v>5.1408938468800102E-3</v>
      </c>
      <c r="M437" s="161">
        <v>0</v>
      </c>
      <c r="N437" s="161">
        <v>0</v>
      </c>
      <c r="O437" s="161">
        <v>0.58359446848515395</v>
      </c>
      <c r="P437" s="161">
        <v>1.5862505264473901</v>
      </c>
      <c r="Q437" s="161">
        <v>-1.2930365841002E-2</v>
      </c>
      <c r="R437" s="161">
        <v>0.37798987732307199</v>
      </c>
      <c r="S437" s="161">
        <v>0</v>
      </c>
      <c r="T437" s="161">
        <v>0.17231591823869</v>
      </c>
      <c r="U437" s="161">
        <v>0.36614497822096098</v>
      </c>
      <c r="V437" s="161">
        <v>0.320015658280216</v>
      </c>
      <c r="W437" s="161"/>
      <c r="X437" s="58"/>
      <c r="Y437" s="160"/>
      <c r="Z437" s="160"/>
      <c r="AA437" s="160"/>
      <c r="AB437" s="160"/>
      <c r="AC437" s="160"/>
      <c r="AD437" s="162"/>
      <c r="AE437" s="161"/>
    </row>
    <row r="438" spans="1:31" ht="21.2" customHeight="1">
      <c r="A438" s="8" t="s">
        <v>723</v>
      </c>
      <c r="B438" s="158" t="s">
        <v>882</v>
      </c>
      <c r="C438" s="163">
        <v>22</v>
      </c>
      <c r="D438" s="158" t="s">
        <v>860</v>
      </c>
      <c r="E438" s="58">
        <v>67.432500000000005</v>
      </c>
      <c r="F438" s="160">
        <v>11.7348036727292</v>
      </c>
      <c r="G438" s="161">
        <v>0.103170764890508</v>
      </c>
      <c r="H438" s="161">
        <v>0.194617969196411</v>
      </c>
      <c r="I438" s="161">
        <v>0.29778873408692003</v>
      </c>
      <c r="J438" s="161">
        <v>1.35977652463615</v>
      </c>
      <c r="K438" s="161">
        <v>6.6493945641421602E-4</v>
      </c>
      <c r="L438" s="161">
        <v>1.9703274473652798E-3</v>
      </c>
      <c r="M438" s="161">
        <v>2.8222185867067002E-3</v>
      </c>
      <c r="N438" s="161">
        <v>5.7163199721382901E-3</v>
      </c>
      <c r="O438" s="161">
        <v>0.32809533181449801</v>
      </c>
      <c r="P438" s="161">
        <v>0.79390766272206803</v>
      </c>
      <c r="Q438" s="161">
        <v>-2.9654698017002001E-2</v>
      </c>
      <c r="R438" s="161">
        <v>0.202927166386105</v>
      </c>
      <c r="S438" s="161">
        <v>1.2690611416091201E-2</v>
      </c>
      <c r="T438" s="161">
        <v>0.51678315224058202</v>
      </c>
      <c r="U438" s="161">
        <v>0.89031287946186799</v>
      </c>
      <c r="V438" s="161">
        <v>0.367269284112275</v>
      </c>
      <c r="W438" s="161"/>
      <c r="X438" s="58"/>
      <c r="Y438" s="160"/>
      <c r="Z438" s="160"/>
      <c r="AA438" s="160"/>
      <c r="AB438" s="160"/>
      <c r="AC438" s="160"/>
      <c r="AD438" s="162"/>
      <c r="AE438" s="161"/>
    </row>
    <row r="439" spans="1:31" ht="21.2" customHeight="1">
      <c r="A439" s="8" t="s">
        <v>634</v>
      </c>
      <c r="B439" s="158" t="s">
        <v>872</v>
      </c>
      <c r="C439" s="159">
        <v>35</v>
      </c>
      <c r="D439" s="158" t="s">
        <v>848</v>
      </c>
      <c r="E439" s="58">
        <v>76.612499999999997</v>
      </c>
      <c r="F439" s="160">
        <v>12.672771507114</v>
      </c>
      <c r="G439" s="161">
        <v>0.12019094408934899</v>
      </c>
      <c r="H439" s="161">
        <v>0.177272031036946</v>
      </c>
      <c r="I439" s="161">
        <v>0.29746297512629499</v>
      </c>
      <c r="J439" s="161">
        <v>1.6506634417455901</v>
      </c>
      <c r="K439" s="161">
        <v>6.8863576003694504E-3</v>
      </c>
      <c r="L439" s="161">
        <v>1.7601007097096701E-2</v>
      </c>
      <c r="M439" s="161">
        <v>1.50649094474966E-2</v>
      </c>
      <c r="N439" s="161">
        <v>1.59374951608438E-2</v>
      </c>
      <c r="O439" s="161">
        <v>0.30250728528408899</v>
      </c>
      <c r="P439" s="161">
        <v>0.901785316981357</v>
      </c>
      <c r="Q439" s="161">
        <v>-2.8542774709054902E-2</v>
      </c>
      <c r="R439" s="161">
        <v>0.36228225811637998</v>
      </c>
      <c r="S439" s="161">
        <v>1.5386731263042E-2</v>
      </c>
      <c r="T439" s="161">
        <v>1.6956063238925201</v>
      </c>
      <c r="U439" s="161">
        <v>1.76858479304255</v>
      </c>
      <c r="V439" s="161">
        <v>0.48946673744510399</v>
      </c>
      <c r="W439" s="161"/>
      <c r="X439" s="58"/>
      <c r="Y439" s="160"/>
      <c r="Z439" s="160"/>
      <c r="AA439" s="160"/>
      <c r="AB439" s="160"/>
      <c r="AC439" s="160"/>
      <c r="AD439" s="162"/>
      <c r="AE439" s="161"/>
    </row>
    <row r="440" spans="1:31" ht="21.2" customHeight="1">
      <c r="A440" s="8" t="s">
        <v>506</v>
      </c>
      <c r="B440" s="158" t="s">
        <v>881</v>
      </c>
      <c r="C440" s="159">
        <v>22</v>
      </c>
      <c r="D440" s="158" t="s">
        <v>849</v>
      </c>
      <c r="E440" s="58">
        <v>61.64</v>
      </c>
      <c r="F440" s="160">
        <v>20.799675665832201</v>
      </c>
      <c r="G440" s="161">
        <v>7.1764213226146206E-2</v>
      </c>
      <c r="H440" s="161">
        <v>0.225686451044422</v>
      </c>
      <c r="I440" s="161">
        <v>0.29745066427056799</v>
      </c>
      <c r="J440" s="161">
        <v>1.2547017549408901</v>
      </c>
      <c r="K440" s="161">
        <v>3.8376520762023703E-4</v>
      </c>
      <c r="L440" s="161">
        <v>2.2852322539720902E-3</v>
      </c>
      <c r="M440" s="161">
        <v>2.0751019656702098E-3</v>
      </c>
      <c r="N440" s="161">
        <v>1.15152282042936E-2</v>
      </c>
      <c r="O440" s="161">
        <v>1.71709921419928</v>
      </c>
      <c r="P440" s="161">
        <v>1.4974653790932799</v>
      </c>
      <c r="Q440" s="161">
        <v>-7.1570658939416998E-2</v>
      </c>
      <c r="R440" s="161">
        <v>0.38864661894118402</v>
      </c>
      <c r="S440" s="161">
        <v>8.4094418804532608E-3</v>
      </c>
      <c r="T440" s="161">
        <v>0</v>
      </c>
      <c r="U440" s="161">
        <v>0</v>
      </c>
      <c r="V440" s="161">
        <v>0</v>
      </c>
      <c r="W440" s="161"/>
      <c r="X440" s="58"/>
      <c r="Y440" s="160"/>
      <c r="Z440" s="160"/>
      <c r="AA440" s="160"/>
      <c r="AB440" s="160"/>
      <c r="AC440" s="160"/>
      <c r="AD440" s="162"/>
      <c r="AE440" s="161"/>
    </row>
    <row r="441" spans="1:31" ht="21.2" customHeight="1">
      <c r="A441" s="8" t="s">
        <v>726</v>
      </c>
      <c r="B441" s="158" t="s">
        <v>882</v>
      </c>
      <c r="C441" s="159">
        <v>33</v>
      </c>
      <c r="D441" s="158" t="s">
        <v>846</v>
      </c>
      <c r="E441" s="58">
        <v>76.537499999999994</v>
      </c>
      <c r="F441" s="160">
        <v>13.377314962247899</v>
      </c>
      <c r="G441" s="161">
        <v>0.14493135270382601</v>
      </c>
      <c r="H441" s="161">
        <v>0.15237541605764299</v>
      </c>
      <c r="I441" s="161">
        <v>0.297306768761468</v>
      </c>
      <c r="J441" s="161">
        <v>1.08150163318866</v>
      </c>
      <c r="K441" s="161">
        <v>3.4025081156872298E-4</v>
      </c>
      <c r="L441" s="161">
        <v>1.11238065090608E-3</v>
      </c>
      <c r="M441" s="161">
        <v>2.57065077926363E-3</v>
      </c>
      <c r="N441" s="161">
        <v>7.0377346259363899E-3</v>
      </c>
      <c r="O441" s="161">
        <v>0.84765792377906302</v>
      </c>
      <c r="P441" s="161">
        <v>1.9829449054407799</v>
      </c>
      <c r="Q441" s="161">
        <v>-2.8907839652394601E-2</v>
      </c>
      <c r="R441" s="161">
        <v>0.47109857396781002</v>
      </c>
      <c r="S441" s="161">
        <v>1.7827409548864599E-2</v>
      </c>
      <c r="T441" s="161">
        <v>6.9990752576286797</v>
      </c>
      <c r="U441" s="161">
        <v>6.1893644750057302</v>
      </c>
      <c r="V441" s="161">
        <v>0.53069774738475495</v>
      </c>
      <c r="W441" s="161"/>
      <c r="X441" s="58"/>
      <c r="Y441" s="160"/>
      <c r="Z441" s="160"/>
      <c r="AA441" s="160"/>
      <c r="AB441" s="160"/>
      <c r="AC441" s="160"/>
      <c r="AD441" s="162"/>
      <c r="AE441" s="161"/>
    </row>
    <row r="442" spans="1:31" ht="21.2" customHeight="1">
      <c r="A442" s="8" t="s">
        <v>731</v>
      </c>
      <c r="B442" s="158" t="s">
        <v>868</v>
      </c>
      <c r="C442" s="159">
        <v>25</v>
      </c>
      <c r="D442" s="158" t="s">
        <v>846</v>
      </c>
      <c r="E442" s="58">
        <v>78</v>
      </c>
      <c r="F442" s="160">
        <v>12.2412363922256</v>
      </c>
      <c r="G442" s="161">
        <v>8.1451515143871098E-2</v>
      </c>
      <c r="H442" s="161">
        <v>0.214608155732887</v>
      </c>
      <c r="I442" s="161">
        <v>0.296059670876757</v>
      </c>
      <c r="J442" s="161">
        <v>1.08205611023599</v>
      </c>
      <c r="K442" s="161">
        <v>6.5718461400096997E-4</v>
      </c>
      <c r="L442" s="161">
        <v>1.6411669495227099E-3</v>
      </c>
      <c r="M442" s="161">
        <v>1.3742969070130501E-3</v>
      </c>
      <c r="N442" s="161">
        <v>1.12501056582125E-2</v>
      </c>
      <c r="O442" s="161">
        <v>0.54796727972773496</v>
      </c>
      <c r="P442" s="161">
        <v>1.64875181455435</v>
      </c>
      <c r="Q442" s="161">
        <v>-7.8866415489788205E-3</v>
      </c>
      <c r="R442" s="161">
        <v>0.49525821607918702</v>
      </c>
      <c r="S442" s="161">
        <v>1.1971579244925999E-2</v>
      </c>
      <c r="T442" s="161">
        <v>6.9316547414579297</v>
      </c>
      <c r="U442" s="161">
        <v>5.0926325975826501</v>
      </c>
      <c r="V442" s="161">
        <v>0.57647114926737997</v>
      </c>
      <c r="W442" s="161"/>
      <c r="X442" s="58"/>
      <c r="Y442" s="160"/>
      <c r="Z442" s="160"/>
      <c r="AA442" s="160"/>
      <c r="AB442" s="160"/>
      <c r="AC442" s="160"/>
      <c r="AD442" s="162"/>
      <c r="AE442" s="161"/>
    </row>
    <row r="443" spans="1:31" ht="21.2" customHeight="1">
      <c r="A443" s="8" t="s">
        <v>377</v>
      </c>
      <c r="B443" s="158" t="s">
        <v>890</v>
      </c>
      <c r="C443" s="159">
        <v>28</v>
      </c>
      <c r="D443" s="158" t="s">
        <v>849</v>
      </c>
      <c r="E443" s="58">
        <v>77.385000000000005</v>
      </c>
      <c r="F443" s="160">
        <v>20.747243389522801</v>
      </c>
      <c r="G443" s="161">
        <v>5.0958239072398499E-2</v>
      </c>
      <c r="H443" s="161">
        <v>0.24412143894631699</v>
      </c>
      <c r="I443" s="161">
        <v>0.29507967801871599</v>
      </c>
      <c r="J443" s="161">
        <v>1.35092904716578</v>
      </c>
      <c r="K443" s="161">
        <v>8.6933267460204793E-3</v>
      </c>
      <c r="L443" s="161">
        <v>5.3191909875535397E-2</v>
      </c>
      <c r="M443" s="161">
        <v>6.2221731854220103E-3</v>
      </c>
      <c r="N443" s="161">
        <v>1.9255746610285202E-2</v>
      </c>
      <c r="O443" s="161">
        <v>1.8758929542393401</v>
      </c>
      <c r="P443" s="161">
        <v>2.4691993095266498</v>
      </c>
      <c r="Q443" s="161">
        <v>-7.4821654975465696E-2</v>
      </c>
      <c r="R443" s="161">
        <v>0.54119747059650403</v>
      </c>
      <c r="S443" s="161">
        <v>5.9899189474782099E-3</v>
      </c>
      <c r="T443" s="161">
        <v>0</v>
      </c>
      <c r="U443" s="161">
        <v>0</v>
      </c>
      <c r="V443" s="161">
        <v>0</v>
      </c>
      <c r="W443" s="161"/>
      <c r="X443" s="58"/>
      <c r="Y443" s="160"/>
      <c r="Z443" s="160"/>
      <c r="AA443" s="160"/>
      <c r="AB443" s="160"/>
      <c r="AC443" s="160"/>
      <c r="AD443" s="162"/>
      <c r="AE443" s="161"/>
    </row>
    <row r="444" spans="1:31" ht="21.2" customHeight="1">
      <c r="A444" s="8" t="s">
        <v>448</v>
      </c>
      <c r="B444" s="158" t="s">
        <v>875</v>
      </c>
      <c r="C444" s="163">
        <v>25</v>
      </c>
      <c r="D444" s="158" t="s">
        <v>849</v>
      </c>
      <c r="E444" s="58">
        <v>74.3</v>
      </c>
      <c r="F444" s="160">
        <v>17.7037000463034</v>
      </c>
      <c r="G444" s="161">
        <v>6.4705466909161097E-2</v>
      </c>
      <c r="H444" s="161">
        <v>0.23020246488976501</v>
      </c>
      <c r="I444" s="161">
        <v>0.29490793179892599</v>
      </c>
      <c r="J444" s="161">
        <v>1.21270120804958</v>
      </c>
      <c r="K444" s="161">
        <v>3.37698611422566E-3</v>
      </c>
      <c r="L444" s="161">
        <v>1.6922754525006498E-2</v>
      </c>
      <c r="M444" s="161">
        <v>4.4243994212038202E-4</v>
      </c>
      <c r="N444" s="161">
        <v>5.2387109260260602E-3</v>
      </c>
      <c r="O444" s="161">
        <v>1.20194027675055</v>
      </c>
      <c r="P444" s="161">
        <v>0.99014333413606603</v>
      </c>
      <c r="Q444" s="161">
        <v>-7.0330690622981196E-2</v>
      </c>
      <c r="R444" s="161">
        <v>0.37160139285576199</v>
      </c>
      <c r="S444" s="161">
        <v>6.9336362885734498E-3</v>
      </c>
      <c r="T444" s="161">
        <v>0</v>
      </c>
      <c r="U444" s="161">
        <v>0</v>
      </c>
      <c r="V444" s="161">
        <v>0</v>
      </c>
      <c r="W444" s="161"/>
      <c r="X444" s="58"/>
      <c r="Y444" s="160"/>
      <c r="Z444" s="160"/>
      <c r="AA444" s="160"/>
      <c r="AB444" s="160"/>
      <c r="AC444" s="160"/>
      <c r="AD444" s="162"/>
      <c r="AE444" s="161"/>
    </row>
    <row r="445" spans="1:31" ht="21.2" customHeight="1">
      <c r="A445" s="8" t="s">
        <v>406</v>
      </c>
      <c r="B445" s="158" t="s">
        <v>862</v>
      </c>
      <c r="C445" s="159">
        <v>26</v>
      </c>
      <c r="D445" s="158" t="s">
        <v>849</v>
      </c>
      <c r="E445" s="58">
        <v>75.3</v>
      </c>
      <c r="F445" s="160">
        <v>20.100372894526998</v>
      </c>
      <c r="G445" s="161">
        <v>5.0246719254048E-2</v>
      </c>
      <c r="H445" s="161">
        <v>0.24436092253316599</v>
      </c>
      <c r="I445" s="161">
        <v>0.29460764178721299</v>
      </c>
      <c r="J445" s="161">
        <v>1.44032831274935</v>
      </c>
      <c r="K445" s="161">
        <v>2.87643914615077E-4</v>
      </c>
      <c r="L445" s="161">
        <v>1.7849525667162399E-3</v>
      </c>
      <c r="M445" s="161">
        <v>5.0616021852355002E-4</v>
      </c>
      <c r="N445" s="161">
        <v>1.09485482710281E-2</v>
      </c>
      <c r="O445" s="161">
        <v>1.51044110665267</v>
      </c>
      <c r="P445" s="161">
        <v>2.72063640640157</v>
      </c>
      <c r="Q445" s="161">
        <v>8.6133636922618802E-4</v>
      </c>
      <c r="R445" s="161">
        <v>0.70729890891413505</v>
      </c>
      <c r="S445" s="161">
        <v>7.8636298154106804E-3</v>
      </c>
      <c r="T445" s="161">
        <v>0</v>
      </c>
      <c r="U445" s="161">
        <v>0</v>
      </c>
      <c r="V445" s="161">
        <v>0</v>
      </c>
      <c r="W445" s="161"/>
      <c r="X445" s="58"/>
      <c r="Y445" s="160"/>
      <c r="Z445" s="160"/>
      <c r="AA445" s="160"/>
      <c r="AB445" s="160"/>
      <c r="AC445" s="160"/>
      <c r="AD445" s="162"/>
      <c r="AE445" s="161"/>
    </row>
    <row r="446" spans="1:31" ht="21.2" customHeight="1">
      <c r="A446" s="8" t="s">
        <v>450</v>
      </c>
      <c r="B446" s="158" t="s">
        <v>874</v>
      </c>
      <c r="C446" s="159">
        <v>24</v>
      </c>
      <c r="D446" s="158" t="s">
        <v>849</v>
      </c>
      <c r="E446" s="58">
        <v>68.330357142857096</v>
      </c>
      <c r="F446" s="160">
        <v>16.901523157703799</v>
      </c>
      <c r="G446" s="161">
        <v>6.5352283634101796E-2</v>
      </c>
      <c r="H446" s="161">
        <v>0.22908042531540901</v>
      </c>
      <c r="I446" s="161">
        <v>0.29443270894951101</v>
      </c>
      <c r="J446" s="161">
        <v>1.5965653101041</v>
      </c>
      <c r="K446" s="161">
        <v>1.1528256938594401E-2</v>
      </c>
      <c r="L446" s="161">
        <v>4.38631796800407E-2</v>
      </c>
      <c r="M446" s="161">
        <v>1.5889103483871699E-4</v>
      </c>
      <c r="N446" s="161">
        <v>7.0637578822330398E-4</v>
      </c>
      <c r="O446" s="161">
        <v>0.75989817426487605</v>
      </c>
      <c r="P446" s="161">
        <v>1.3344198624275001</v>
      </c>
      <c r="Q446" s="161">
        <v>4.3894536933852799E-2</v>
      </c>
      <c r="R446" s="161">
        <v>0.55756802020023799</v>
      </c>
      <c r="S446" s="161">
        <v>1.04903501001057E-2</v>
      </c>
      <c r="T446" s="161">
        <v>0</v>
      </c>
      <c r="U446" s="161">
        <v>0</v>
      </c>
      <c r="V446" s="161">
        <v>0</v>
      </c>
      <c r="W446" s="161"/>
      <c r="X446" s="58"/>
      <c r="Y446" s="160"/>
      <c r="Z446" s="160"/>
      <c r="AA446" s="160"/>
      <c r="AB446" s="160"/>
      <c r="AC446" s="160"/>
      <c r="AD446" s="162"/>
      <c r="AE446" s="161"/>
    </row>
    <row r="447" spans="1:31" ht="21.2" customHeight="1">
      <c r="A447" s="8" t="s">
        <v>670</v>
      </c>
      <c r="B447" s="158" t="s">
        <v>895</v>
      </c>
      <c r="C447" s="159">
        <v>28</v>
      </c>
      <c r="D447" s="158" t="s">
        <v>864</v>
      </c>
      <c r="E447" s="58">
        <v>76.283928571428604</v>
      </c>
      <c r="F447" s="160">
        <v>10.2182777321764</v>
      </c>
      <c r="G447" s="161">
        <v>0.12750982030337099</v>
      </c>
      <c r="H447" s="161">
        <v>0.16652318370475899</v>
      </c>
      <c r="I447" s="161">
        <v>0.29403300400812898</v>
      </c>
      <c r="J447" s="161">
        <v>1.3451365002422899</v>
      </c>
      <c r="K447" s="161">
        <v>5.8645690888585403E-3</v>
      </c>
      <c r="L447" s="161">
        <v>1.0367082410743101E-2</v>
      </c>
      <c r="M447" s="161">
        <v>0</v>
      </c>
      <c r="N447" s="161">
        <v>0</v>
      </c>
      <c r="O447" s="161">
        <v>0.39502620373946701</v>
      </c>
      <c r="P447" s="161">
        <v>1.0757238921740999</v>
      </c>
      <c r="Q447" s="161">
        <v>5.59168635883179E-3</v>
      </c>
      <c r="R447" s="161">
        <v>0.16536514721283299</v>
      </c>
      <c r="S447" s="161">
        <v>0</v>
      </c>
      <c r="T447" s="161">
        <v>1.28217212055557E-2</v>
      </c>
      <c r="U447" s="161">
        <v>5.9327705057629999E-2</v>
      </c>
      <c r="V447" s="161">
        <v>0.17771064677333501</v>
      </c>
      <c r="W447" s="161"/>
      <c r="X447" s="58"/>
      <c r="Y447" s="160"/>
      <c r="Z447" s="160"/>
      <c r="AA447" s="160"/>
      <c r="AB447" s="160"/>
      <c r="AC447" s="160"/>
      <c r="AD447" s="162"/>
      <c r="AE447" s="161"/>
    </row>
    <row r="448" spans="1:31" ht="21.2" customHeight="1">
      <c r="A448" s="8" t="s">
        <v>766</v>
      </c>
      <c r="B448" s="158" t="s">
        <v>870</v>
      </c>
      <c r="C448" s="159">
        <v>23</v>
      </c>
      <c r="D448" s="158" t="s">
        <v>860</v>
      </c>
      <c r="E448" s="58">
        <v>61</v>
      </c>
      <c r="F448" s="160">
        <v>10.4881712267675</v>
      </c>
      <c r="G448" s="161">
        <v>0.146793794098876</v>
      </c>
      <c r="H448" s="161">
        <v>0.14681725646193999</v>
      </c>
      <c r="I448" s="161">
        <v>0.29361105056081599</v>
      </c>
      <c r="J448" s="161">
        <v>1.0132177587898099</v>
      </c>
      <c r="K448" s="161">
        <v>1.96010797001191E-4</v>
      </c>
      <c r="L448" s="161">
        <v>4.82404628756834E-4</v>
      </c>
      <c r="M448" s="161">
        <v>1.7740621152967199E-3</v>
      </c>
      <c r="N448" s="161">
        <v>3.5313625044835202E-3</v>
      </c>
      <c r="O448" s="161">
        <v>0.38644562115584402</v>
      </c>
      <c r="P448" s="161">
        <v>1.9960038134376099</v>
      </c>
      <c r="Q448" s="161">
        <v>3.7243834914334799E-2</v>
      </c>
      <c r="R448" s="161">
        <v>0.345535925874148</v>
      </c>
      <c r="S448" s="161">
        <v>2.4643789218286302E-2</v>
      </c>
      <c r="T448" s="161">
        <v>0</v>
      </c>
      <c r="U448" s="161">
        <v>0.20582193448986999</v>
      </c>
      <c r="V448" s="161">
        <v>0</v>
      </c>
      <c r="W448" s="161"/>
      <c r="X448" s="58"/>
      <c r="Y448" s="160"/>
      <c r="Z448" s="160"/>
      <c r="AA448" s="160"/>
      <c r="AB448" s="160"/>
      <c r="AC448" s="160"/>
      <c r="AD448" s="162"/>
      <c r="AE448" s="161"/>
    </row>
    <row r="449" spans="1:31" ht="21.2" customHeight="1">
      <c r="A449" s="8" t="s">
        <v>415</v>
      </c>
      <c r="B449" s="158" t="s">
        <v>868</v>
      </c>
      <c r="C449" s="159">
        <v>26</v>
      </c>
      <c r="D449" s="158" t="s">
        <v>849</v>
      </c>
      <c r="E449" s="58">
        <v>78.111785714285702</v>
      </c>
      <c r="F449" s="160">
        <v>21.100371022637201</v>
      </c>
      <c r="G449" s="161">
        <v>4.5111692492409899E-2</v>
      </c>
      <c r="H449" s="161">
        <v>0.247812984255393</v>
      </c>
      <c r="I449" s="161">
        <v>0.29292467674780198</v>
      </c>
      <c r="J449" s="161">
        <v>1.18988257363088</v>
      </c>
      <c r="K449" s="161">
        <v>1.1713518206514801E-3</v>
      </c>
      <c r="L449" s="161">
        <v>7.8785678831245504E-3</v>
      </c>
      <c r="M449" s="161">
        <v>4.7681781505760999E-4</v>
      </c>
      <c r="N449" s="161">
        <v>2.1163131272065001E-2</v>
      </c>
      <c r="O449" s="161">
        <v>1.37276360574455</v>
      </c>
      <c r="P449" s="161">
        <v>0.89132980845129495</v>
      </c>
      <c r="Q449" s="161">
        <v>-3.53601621620173E-3</v>
      </c>
      <c r="R449" s="161">
        <v>0.31205900866360398</v>
      </c>
      <c r="S449" s="161">
        <v>6.6304254818549497E-3</v>
      </c>
      <c r="T449" s="161">
        <v>0</v>
      </c>
      <c r="U449" s="161">
        <v>0</v>
      </c>
      <c r="V449" s="161">
        <v>0</v>
      </c>
      <c r="W449" s="161"/>
      <c r="X449" s="58"/>
      <c r="Y449" s="160"/>
      <c r="Z449" s="160"/>
      <c r="AA449" s="160"/>
      <c r="AB449" s="160"/>
      <c r="AC449" s="160"/>
      <c r="AD449" s="162"/>
      <c r="AE449" s="161"/>
    </row>
    <row r="450" spans="1:31" ht="21.2" customHeight="1">
      <c r="A450" s="8" t="s">
        <v>721</v>
      </c>
      <c r="B450" s="158" t="s">
        <v>872</v>
      </c>
      <c r="C450" s="159">
        <v>25</v>
      </c>
      <c r="D450" s="158" t="s">
        <v>846</v>
      </c>
      <c r="E450" s="58">
        <v>78.2</v>
      </c>
      <c r="F450" s="160">
        <v>11.7994350472961</v>
      </c>
      <c r="G450" s="161">
        <v>0.10260308052038999</v>
      </c>
      <c r="H450" s="161">
        <v>0.18989097942170499</v>
      </c>
      <c r="I450" s="161">
        <v>0.29249405994209499</v>
      </c>
      <c r="J450" s="161">
        <v>1.2588077933673001</v>
      </c>
      <c r="K450" s="161">
        <v>5.9012879270417204E-4</v>
      </c>
      <c r="L450" s="161">
        <v>1.4810059041723499E-3</v>
      </c>
      <c r="M450" s="161">
        <v>1.1034785262770499E-3</v>
      </c>
      <c r="N450" s="161">
        <v>5.1162278428158901E-3</v>
      </c>
      <c r="O450" s="161">
        <v>0.41205415144172097</v>
      </c>
      <c r="P450" s="161">
        <v>0.87932158008607597</v>
      </c>
      <c r="Q450" s="161">
        <v>-3.1274336605424599E-2</v>
      </c>
      <c r="R450" s="161">
        <v>0.38101206135206001</v>
      </c>
      <c r="S450" s="161">
        <v>1.31351495629645E-2</v>
      </c>
      <c r="T450" s="161">
        <v>2.2556170014925701</v>
      </c>
      <c r="U450" s="161">
        <v>3.2451728697454398</v>
      </c>
      <c r="V450" s="161">
        <v>0.41005329312550498</v>
      </c>
      <c r="W450" s="161"/>
      <c r="X450" s="58"/>
      <c r="Y450" s="160"/>
      <c r="Z450" s="160"/>
      <c r="AA450" s="160"/>
      <c r="AB450" s="160"/>
      <c r="AC450" s="160"/>
      <c r="AD450" s="162"/>
      <c r="AE450" s="161"/>
    </row>
    <row r="451" spans="1:31" ht="21.2" customHeight="1">
      <c r="A451" s="8" t="s">
        <v>756</v>
      </c>
      <c r="B451" s="158" t="s">
        <v>869</v>
      </c>
      <c r="C451" s="159">
        <v>25</v>
      </c>
      <c r="D451" s="158" t="s">
        <v>846</v>
      </c>
      <c r="E451" s="58">
        <v>75.037499999999994</v>
      </c>
      <c r="F451" s="160">
        <v>11.7777591183489</v>
      </c>
      <c r="G451" s="161">
        <v>0.116910712006407</v>
      </c>
      <c r="H451" s="161">
        <v>0.175423298246663</v>
      </c>
      <c r="I451" s="161">
        <v>0.29233401025306999</v>
      </c>
      <c r="J451" s="161">
        <v>1.0055169601793801</v>
      </c>
      <c r="K451" s="161">
        <v>6.8685145764142198E-4</v>
      </c>
      <c r="L451" s="161">
        <v>4.7552887709445E-3</v>
      </c>
      <c r="M451" s="161">
        <v>9.9115096287430201E-3</v>
      </c>
      <c r="N451" s="161">
        <v>1.2003009206908E-2</v>
      </c>
      <c r="O451" s="161">
        <v>0.282394065605376</v>
      </c>
      <c r="P451" s="161">
        <v>0.73618523227169297</v>
      </c>
      <c r="Q451" s="161">
        <v>5.1410981827563797E-2</v>
      </c>
      <c r="R451" s="161">
        <v>0.22841009643146201</v>
      </c>
      <c r="S451" s="161">
        <v>1.8704885134620899E-2</v>
      </c>
      <c r="T451" s="161">
        <v>3.7261551773982902</v>
      </c>
      <c r="U451" s="161">
        <v>3.7864551638327901</v>
      </c>
      <c r="V451" s="161">
        <v>0.49598674870014497</v>
      </c>
      <c r="W451" s="161"/>
      <c r="X451" s="58"/>
      <c r="Y451" s="160"/>
      <c r="Z451" s="160"/>
      <c r="AA451" s="160"/>
      <c r="AB451" s="160"/>
      <c r="AC451" s="160"/>
      <c r="AD451" s="162"/>
      <c r="AE451" s="161"/>
    </row>
    <row r="452" spans="1:31" ht="21.2" customHeight="1">
      <c r="A452" s="8" t="s">
        <v>695</v>
      </c>
      <c r="B452" s="158" t="s">
        <v>877</v>
      </c>
      <c r="C452" s="163">
        <v>30</v>
      </c>
      <c r="D452" s="158" t="s">
        <v>860</v>
      </c>
      <c r="E452" s="58">
        <v>79.740714285714304</v>
      </c>
      <c r="F452" s="160">
        <v>11.935810243902401</v>
      </c>
      <c r="G452" s="161">
        <v>0.12149459194286499</v>
      </c>
      <c r="H452" s="161">
        <v>0.16889397685669499</v>
      </c>
      <c r="I452" s="161">
        <v>0.29038856879955999</v>
      </c>
      <c r="J452" s="161">
        <v>1.2789826435279099</v>
      </c>
      <c r="K452" s="161">
        <v>3.0082124377742202E-3</v>
      </c>
      <c r="L452" s="161">
        <v>1.6912254621329101E-2</v>
      </c>
      <c r="M452" s="161">
        <v>1.56752403327704E-3</v>
      </c>
      <c r="N452" s="161">
        <v>3.0351286086748898E-3</v>
      </c>
      <c r="O452" s="161">
        <v>0.46353295100297598</v>
      </c>
      <c r="P452" s="161">
        <v>1.2376338344314901</v>
      </c>
      <c r="Q452" s="161">
        <v>2.7326443319402299E-2</v>
      </c>
      <c r="R452" s="161">
        <v>0.41268117813838501</v>
      </c>
      <c r="S452" s="161">
        <v>1.89535630076005E-2</v>
      </c>
      <c r="T452" s="161">
        <v>1.02380559023754</v>
      </c>
      <c r="U452" s="161">
        <v>1.47530508924691</v>
      </c>
      <c r="V452" s="161">
        <v>0.40966796654590099</v>
      </c>
      <c r="W452" s="161"/>
      <c r="X452" s="58"/>
      <c r="Y452" s="160"/>
      <c r="Z452" s="160"/>
      <c r="AA452" s="160"/>
      <c r="AB452" s="160"/>
      <c r="AC452" s="160"/>
      <c r="AD452" s="162"/>
      <c r="AE452" s="161"/>
    </row>
    <row r="453" spans="1:31" ht="21.2" customHeight="1">
      <c r="A453" s="8" t="s">
        <v>481</v>
      </c>
      <c r="B453" s="158" t="s">
        <v>888</v>
      </c>
      <c r="C453" s="159">
        <v>26</v>
      </c>
      <c r="D453" s="158" t="s">
        <v>849</v>
      </c>
      <c r="E453" s="58">
        <v>69.0021428571429</v>
      </c>
      <c r="F453" s="160">
        <v>18.313071734465002</v>
      </c>
      <c r="G453" s="161">
        <v>4.3978184598233702E-2</v>
      </c>
      <c r="H453" s="161">
        <v>0.24446869544198199</v>
      </c>
      <c r="I453" s="161">
        <v>0.28844688004021601</v>
      </c>
      <c r="J453" s="161">
        <v>1.1808049963373299</v>
      </c>
      <c r="K453" s="161">
        <v>4.0752413976473997E-3</v>
      </c>
      <c r="L453" s="161">
        <v>1.91730396600177E-2</v>
      </c>
      <c r="M453" s="161">
        <v>3.9876279740162399E-4</v>
      </c>
      <c r="N453" s="161">
        <v>5.4400055081222599E-3</v>
      </c>
      <c r="O453" s="161">
        <v>1.4327059359074801</v>
      </c>
      <c r="P453" s="161">
        <v>1.31008752977537</v>
      </c>
      <c r="Q453" s="161">
        <v>-1.0481420134359499E-2</v>
      </c>
      <c r="R453" s="161">
        <v>0.56175205163461095</v>
      </c>
      <c r="S453" s="161">
        <v>6.4219651601821201E-3</v>
      </c>
      <c r="T453" s="161">
        <v>0</v>
      </c>
      <c r="U453" s="161">
        <v>3.19511466759649E-3</v>
      </c>
      <c r="V453" s="161">
        <v>0</v>
      </c>
      <c r="W453" s="161"/>
      <c r="X453" s="58"/>
      <c r="Y453" s="160"/>
      <c r="Z453" s="160"/>
      <c r="AA453" s="160"/>
      <c r="AB453" s="160"/>
      <c r="AC453" s="160"/>
      <c r="AD453" s="162"/>
      <c r="AE453" s="161"/>
    </row>
    <row r="454" spans="1:31" ht="21.2" customHeight="1">
      <c r="A454" s="8" t="s">
        <v>770</v>
      </c>
      <c r="B454" s="158" t="s">
        <v>866</v>
      </c>
      <c r="C454" s="159">
        <v>24</v>
      </c>
      <c r="D454" s="158" t="s">
        <v>848</v>
      </c>
      <c r="E454" s="58">
        <v>54.567500000000003</v>
      </c>
      <c r="F454" s="160">
        <v>10.123286374526201</v>
      </c>
      <c r="G454" s="161">
        <v>0.108721063151931</v>
      </c>
      <c r="H454" s="161">
        <v>0.17938595802249099</v>
      </c>
      <c r="I454" s="161">
        <v>0.288107021174422</v>
      </c>
      <c r="J454" s="161">
        <v>0.81926208038814397</v>
      </c>
      <c r="K454" s="161">
        <v>1.34727605714687E-3</v>
      </c>
      <c r="L454" s="161">
        <v>2.3551995120257001E-3</v>
      </c>
      <c r="M454" s="161">
        <v>1.68944621536834E-3</v>
      </c>
      <c r="N454" s="161">
        <v>3.3048979351636E-3</v>
      </c>
      <c r="O454" s="161">
        <v>0.45850974053482102</v>
      </c>
      <c r="P454" s="161">
        <v>0.956278869128112</v>
      </c>
      <c r="Q454" s="161">
        <v>5.1650407250589503E-2</v>
      </c>
      <c r="R454" s="161">
        <v>0.34440763801016699</v>
      </c>
      <c r="S454" s="161">
        <v>1.7466009897737101E-2</v>
      </c>
      <c r="T454" s="161">
        <v>2.4420035608926298</v>
      </c>
      <c r="U454" s="161">
        <v>3.3085209534674398</v>
      </c>
      <c r="V454" s="161">
        <v>0.42465753424657499</v>
      </c>
      <c r="W454" s="161"/>
      <c r="X454" s="58"/>
      <c r="Y454" s="160"/>
      <c r="Z454" s="160"/>
      <c r="AA454" s="160"/>
      <c r="AB454" s="160"/>
      <c r="AC454" s="160"/>
      <c r="AD454" s="162"/>
      <c r="AE454" s="161"/>
    </row>
    <row r="455" spans="1:31" ht="21.2" customHeight="1">
      <c r="A455" s="8" t="s">
        <v>724</v>
      </c>
      <c r="B455" s="158" t="s">
        <v>878</v>
      </c>
      <c r="C455" s="163">
        <v>28</v>
      </c>
      <c r="D455" s="158" t="s">
        <v>847</v>
      </c>
      <c r="E455" s="58">
        <v>62</v>
      </c>
      <c r="F455" s="160">
        <v>13.5060416666667</v>
      </c>
      <c r="G455" s="161">
        <v>0.136872132233294</v>
      </c>
      <c r="H455" s="161">
        <v>0.15000215318190699</v>
      </c>
      <c r="I455" s="161">
        <v>0.28687428541520099</v>
      </c>
      <c r="J455" s="161">
        <v>1.3242882678782699</v>
      </c>
      <c r="K455" s="161">
        <v>2.6555106283858002E-2</v>
      </c>
      <c r="L455" s="161">
        <v>5.4148720542439903E-2</v>
      </c>
      <c r="M455" s="161">
        <v>5.8659849720903905E-4</v>
      </c>
      <c r="N455" s="161">
        <v>2.2839861882226098E-3</v>
      </c>
      <c r="O455" s="161">
        <v>0.80997123267120497</v>
      </c>
      <c r="P455" s="161">
        <v>1.63820570985616</v>
      </c>
      <c r="Q455" s="161">
        <v>-6.6387367493786504E-3</v>
      </c>
      <c r="R455" s="161">
        <v>0.45288909518367798</v>
      </c>
      <c r="S455" s="161">
        <v>1.72727974344483E-2</v>
      </c>
      <c r="T455" s="161">
        <v>0.18779897188306999</v>
      </c>
      <c r="U455" s="161">
        <v>0.50943318844206198</v>
      </c>
      <c r="V455" s="161">
        <v>0.26934926781847801</v>
      </c>
      <c r="W455" s="161"/>
      <c r="X455" s="58"/>
      <c r="Y455" s="160"/>
      <c r="Z455" s="160"/>
      <c r="AA455" s="160"/>
      <c r="AB455" s="160"/>
      <c r="AC455" s="160"/>
      <c r="AD455" s="162"/>
      <c r="AE455" s="161"/>
    </row>
    <row r="456" spans="1:31" ht="21.2" customHeight="1">
      <c r="A456" s="8" t="s">
        <v>704</v>
      </c>
      <c r="B456" s="158" t="s">
        <v>872</v>
      </c>
      <c r="C456" s="159">
        <v>26</v>
      </c>
      <c r="D456" s="158" t="s">
        <v>847</v>
      </c>
      <c r="E456" s="58">
        <v>75.73</v>
      </c>
      <c r="F456" s="160">
        <v>11.514842945408899</v>
      </c>
      <c r="G456" s="161">
        <v>0.10640392714505</v>
      </c>
      <c r="H456" s="161">
        <v>0.17984319094660201</v>
      </c>
      <c r="I456" s="161">
        <v>0.28624711809165199</v>
      </c>
      <c r="J456" s="161">
        <v>1.37049243807867</v>
      </c>
      <c r="K456" s="161">
        <v>1.31134434389354E-3</v>
      </c>
      <c r="L456" s="161">
        <v>3.3383773165254001E-3</v>
      </c>
      <c r="M456" s="161">
        <v>3.4717264990125101E-4</v>
      </c>
      <c r="N456" s="161">
        <v>7.4989302497998202E-4</v>
      </c>
      <c r="O456" s="161">
        <v>0.483720724873337</v>
      </c>
      <c r="P456" s="161">
        <v>1.67209279651063</v>
      </c>
      <c r="Q456" s="161">
        <v>-1.51744058756256E-2</v>
      </c>
      <c r="R456" s="161">
        <v>0.54145584090491305</v>
      </c>
      <c r="S456" s="161">
        <v>1.3621730361782601E-2</v>
      </c>
      <c r="T456" s="161">
        <v>9.0620432365284304E-2</v>
      </c>
      <c r="U456" s="161">
        <v>0.20442822083107301</v>
      </c>
      <c r="V456" s="161">
        <v>0.30713725137723502</v>
      </c>
      <c r="W456" s="161"/>
      <c r="X456" s="58"/>
      <c r="Y456" s="160"/>
      <c r="Z456" s="160"/>
      <c r="AA456" s="160"/>
      <c r="AB456" s="160"/>
      <c r="AC456" s="160"/>
      <c r="AD456" s="162"/>
      <c r="AE456" s="161"/>
    </row>
    <row r="457" spans="1:31" ht="21.2" customHeight="1">
      <c r="A457" s="8" t="s">
        <v>606</v>
      </c>
      <c r="B457" s="158" t="s">
        <v>887</v>
      </c>
      <c r="C457" s="159">
        <v>32</v>
      </c>
      <c r="D457" s="158" t="s">
        <v>848</v>
      </c>
      <c r="E457" s="58">
        <v>75.599999999999994</v>
      </c>
      <c r="F457" s="160">
        <v>14.861785868267299</v>
      </c>
      <c r="G457" s="161">
        <v>9.9122794822673901E-2</v>
      </c>
      <c r="H457" s="161">
        <v>0.186816444414488</v>
      </c>
      <c r="I457" s="161">
        <v>0.28593923923716202</v>
      </c>
      <c r="J457" s="161">
        <v>1.7023219991538401</v>
      </c>
      <c r="K457" s="161">
        <v>2.8129647281342599E-2</v>
      </c>
      <c r="L457" s="161">
        <v>6.6630127495216795E-2</v>
      </c>
      <c r="M457" s="161">
        <v>7.3680216764914798E-4</v>
      </c>
      <c r="N457" s="161">
        <v>-2.76607737169223E-3</v>
      </c>
      <c r="O457" s="161">
        <v>0.61634796123589997</v>
      </c>
      <c r="P457" s="161">
        <v>0.38885439322225601</v>
      </c>
      <c r="Q457" s="161">
        <v>-0.119950118032459</v>
      </c>
      <c r="R457" s="161">
        <v>0.406463367704266</v>
      </c>
      <c r="S457" s="161">
        <v>9.5022110243742994E-3</v>
      </c>
      <c r="T457" s="161">
        <v>0.20494997096256801</v>
      </c>
      <c r="U457" s="161">
        <v>0.37354967256924598</v>
      </c>
      <c r="V457" s="161">
        <v>0.35427847407359198</v>
      </c>
      <c r="W457" s="161"/>
      <c r="X457" s="58"/>
      <c r="Y457" s="160"/>
      <c r="Z457" s="160"/>
      <c r="AA457" s="160"/>
      <c r="AB457" s="160"/>
      <c r="AC457" s="160"/>
      <c r="AD457" s="162"/>
      <c r="AE457" s="161"/>
    </row>
    <row r="458" spans="1:31" ht="21.2" customHeight="1">
      <c r="A458" s="8" t="s">
        <v>694</v>
      </c>
      <c r="B458" s="158" t="s">
        <v>882</v>
      </c>
      <c r="C458" s="159">
        <v>27</v>
      </c>
      <c r="D458" s="158" t="s">
        <v>848</v>
      </c>
      <c r="E458" s="58">
        <v>74.903928571428594</v>
      </c>
      <c r="F458" s="160">
        <v>11.6591043865379</v>
      </c>
      <c r="G458" s="161">
        <v>0.112945820860842</v>
      </c>
      <c r="H458" s="161">
        <v>0.17292503190826</v>
      </c>
      <c r="I458" s="161">
        <v>0.28587085276910201</v>
      </c>
      <c r="J458" s="161">
        <v>1.28238710516383</v>
      </c>
      <c r="K458" s="161">
        <v>3.2654069486849499E-4</v>
      </c>
      <c r="L458" s="161">
        <v>8.2134587138822895E-4</v>
      </c>
      <c r="M458" s="161">
        <v>2.4061460430609E-3</v>
      </c>
      <c r="N458" s="161">
        <v>4.5789610442910599E-3</v>
      </c>
      <c r="O458" s="161">
        <v>0.26461273797945101</v>
      </c>
      <c r="P458" s="161">
        <v>2.0417735314289498</v>
      </c>
      <c r="Q458" s="161">
        <v>-2.9385955078331701E-2</v>
      </c>
      <c r="R458" s="161">
        <v>0.65970773241056102</v>
      </c>
      <c r="S458" s="161">
        <v>1.38930008431901E-2</v>
      </c>
      <c r="T458" s="161">
        <v>8.6985338340381205E-2</v>
      </c>
      <c r="U458" s="161">
        <v>0.14578680111423201</v>
      </c>
      <c r="V458" s="161">
        <v>0.37369308261799999</v>
      </c>
      <c r="W458" s="161"/>
      <c r="X458" s="58"/>
      <c r="Y458" s="160"/>
      <c r="Z458" s="160"/>
      <c r="AA458" s="160"/>
      <c r="AB458" s="160"/>
      <c r="AC458" s="160"/>
      <c r="AD458" s="162"/>
      <c r="AE458" s="161"/>
    </row>
    <row r="459" spans="1:31" ht="21.2" customHeight="1">
      <c r="A459" s="8" t="s">
        <v>399</v>
      </c>
      <c r="B459" s="158" t="s">
        <v>877</v>
      </c>
      <c r="C459" s="159">
        <v>32</v>
      </c>
      <c r="D459" s="158" t="s">
        <v>849</v>
      </c>
      <c r="E459" s="58">
        <v>79.097142857142899</v>
      </c>
      <c r="F459" s="160">
        <v>17.7943389967472</v>
      </c>
      <c r="G459" s="161">
        <v>6.6115735103431106E-2</v>
      </c>
      <c r="H459" s="161">
        <v>0.218857532423513</v>
      </c>
      <c r="I459" s="161">
        <v>0.28497326752694502</v>
      </c>
      <c r="J459" s="161">
        <v>1.34299814130567</v>
      </c>
      <c r="K459" s="161">
        <v>1.47273614066444E-2</v>
      </c>
      <c r="L459" s="161">
        <v>6.9012340011949794E-2</v>
      </c>
      <c r="M459" s="161">
        <v>2.1507339248527801E-5</v>
      </c>
      <c r="N459" s="161">
        <v>2.1570313939042901E-3</v>
      </c>
      <c r="O459" s="161">
        <v>1.17657314814067</v>
      </c>
      <c r="P459" s="161">
        <v>0.73251329629853301</v>
      </c>
      <c r="Q459" s="161">
        <v>2.4975865265935201E-2</v>
      </c>
      <c r="R459" s="161">
        <v>0.15517331193095499</v>
      </c>
      <c r="S459" s="161">
        <v>1.0314275977535E-2</v>
      </c>
      <c r="T459" s="161">
        <v>0</v>
      </c>
      <c r="U459" s="161">
        <v>0</v>
      </c>
      <c r="V459" s="161">
        <v>0</v>
      </c>
      <c r="W459" s="161"/>
      <c r="X459" s="58"/>
      <c r="Y459" s="160"/>
      <c r="Z459" s="160"/>
      <c r="AA459" s="160"/>
      <c r="AB459" s="160"/>
      <c r="AC459" s="160"/>
      <c r="AD459" s="162"/>
      <c r="AE459" s="161"/>
    </row>
    <row r="460" spans="1:31" ht="21.2" customHeight="1">
      <c r="A460" s="8" t="s">
        <v>630</v>
      </c>
      <c r="B460" s="158" t="s">
        <v>881</v>
      </c>
      <c r="C460" s="163">
        <v>38</v>
      </c>
      <c r="D460" s="158" t="s">
        <v>848</v>
      </c>
      <c r="E460" s="58">
        <v>80.827500000000001</v>
      </c>
      <c r="F460" s="160">
        <v>11.9615654222525</v>
      </c>
      <c r="G460" s="161">
        <v>0.12682762167981301</v>
      </c>
      <c r="H460" s="161">
        <v>0.156743156976205</v>
      </c>
      <c r="I460" s="161">
        <v>0.28357077865601799</v>
      </c>
      <c r="J460" s="161">
        <v>1.40579895213179</v>
      </c>
      <c r="K460" s="161">
        <v>2.9823290593091099E-2</v>
      </c>
      <c r="L460" s="161">
        <v>6.4404270909761793E-2</v>
      </c>
      <c r="M460" s="161">
        <v>1.4142233180694799E-5</v>
      </c>
      <c r="N460" s="161">
        <v>2.17166197226724E-5</v>
      </c>
      <c r="O460" s="161">
        <v>0.34781971483755703</v>
      </c>
      <c r="P460" s="161">
        <v>0.86198954312741005</v>
      </c>
      <c r="Q460" s="161">
        <v>-7.0243449288493506E-2</v>
      </c>
      <c r="R460" s="161">
        <v>0.65199148230714898</v>
      </c>
      <c r="S460" s="161">
        <v>1.4861857538820199E-2</v>
      </c>
      <c r="T460" s="161">
        <v>3.8566044411045002E-3</v>
      </c>
      <c r="U460" s="161">
        <v>1.5040315912849499E-2</v>
      </c>
      <c r="V460" s="161">
        <v>0.204086399734311</v>
      </c>
      <c r="W460" s="161"/>
      <c r="X460" s="58"/>
      <c r="Y460" s="160"/>
      <c r="Z460" s="160"/>
      <c r="AA460" s="160"/>
      <c r="AB460" s="160"/>
      <c r="AC460" s="160"/>
      <c r="AD460" s="162"/>
      <c r="AE460" s="161"/>
    </row>
    <row r="461" spans="1:31" ht="21.2" customHeight="1">
      <c r="A461" s="8" t="s">
        <v>366</v>
      </c>
      <c r="B461" s="158" t="s">
        <v>869</v>
      </c>
      <c r="C461" s="159">
        <v>29</v>
      </c>
      <c r="D461" s="158" t="s">
        <v>849</v>
      </c>
      <c r="E461" s="58">
        <v>81.204999999999998</v>
      </c>
      <c r="F461" s="160">
        <v>20.837838780110499</v>
      </c>
      <c r="G461" s="161">
        <v>7.2787530480777698E-2</v>
      </c>
      <c r="H461" s="161">
        <v>0.208824941253521</v>
      </c>
      <c r="I461" s="161">
        <v>0.28161247173429899</v>
      </c>
      <c r="J461" s="161">
        <v>1.5129332218014</v>
      </c>
      <c r="K461" s="161">
        <v>1.1408502961235301E-4</v>
      </c>
      <c r="L461" s="161">
        <v>1.9283930270460701E-3</v>
      </c>
      <c r="M461" s="161">
        <v>6.1271614406171598E-3</v>
      </c>
      <c r="N461" s="161">
        <v>2.8386165404514999E-2</v>
      </c>
      <c r="O461" s="161">
        <v>1.86782106960578</v>
      </c>
      <c r="P461" s="161">
        <v>1.3025703840738001</v>
      </c>
      <c r="Q461" s="161">
        <v>6.3346092728423994E-2</v>
      </c>
      <c r="R461" s="161">
        <v>0.21957176432604</v>
      </c>
      <c r="S461" s="161">
        <v>1.1645488882156999E-2</v>
      </c>
      <c r="T461" s="161">
        <v>0</v>
      </c>
      <c r="U461" s="161">
        <v>1.91093924844835E-3</v>
      </c>
      <c r="V461" s="161">
        <v>0</v>
      </c>
      <c r="W461" s="161"/>
      <c r="X461" s="58"/>
      <c r="Y461" s="160"/>
      <c r="Z461" s="160"/>
      <c r="AA461" s="160"/>
      <c r="AB461" s="160"/>
      <c r="AC461" s="160"/>
      <c r="AD461" s="162"/>
      <c r="AE461" s="161"/>
    </row>
    <row r="462" spans="1:31" ht="21.2" customHeight="1">
      <c r="A462" s="8" t="s">
        <v>370</v>
      </c>
      <c r="B462" s="158" t="s">
        <v>889</v>
      </c>
      <c r="C462" s="159">
        <v>27</v>
      </c>
      <c r="D462" s="158" t="s">
        <v>849</v>
      </c>
      <c r="E462" s="58">
        <v>69.709285714285699</v>
      </c>
      <c r="F462" s="160">
        <v>20.133092868455002</v>
      </c>
      <c r="G462" s="161">
        <v>0.1071303778463</v>
      </c>
      <c r="H462" s="161">
        <v>0.17426778834519299</v>
      </c>
      <c r="I462" s="161">
        <v>0.28139816619149299</v>
      </c>
      <c r="J462" s="161">
        <v>2.15546016123605</v>
      </c>
      <c r="K462" s="161">
        <v>1.1400137548758899E-3</v>
      </c>
      <c r="L462" s="161">
        <v>1.7057490789283199E-2</v>
      </c>
      <c r="M462" s="161">
        <v>5.3967515483731602E-4</v>
      </c>
      <c r="N462" s="161">
        <v>2.9296937241723802E-3</v>
      </c>
      <c r="O462" s="161">
        <v>1.84484207359521</v>
      </c>
      <c r="P462" s="161">
        <v>1.0937116731598899</v>
      </c>
      <c r="Q462" s="161">
        <v>-1.24326510755862E-2</v>
      </c>
      <c r="R462" s="161">
        <v>0.56724929467417196</v>
      </c>
      <c r="S462" s="161">
        <v>1.41771906616582E-2</v>
      </c>
      <c r="T462" s="161">
        <v>0</v>
      </c>
      <c r="U462" s="161">
        <v>0</v>
      </c>
      <c r="V462" s="161">
        <v>0</v>
      </c>
      <c r="W462" s="161"/>
      <c r="X462" s="58"/>
      <c r="Y462" s="160"/>
      <c r="Z462" s="160"/>
      <c r="AA462" s="160"/>
      <c r="AB462" s="160"/>
      <c r="AC462" s="160"/>
      <c r="AD462" s="162"/>
      <c r="AE462" s="161"/>
    </row>
    <row r="463" spans="1:31" ht="21.2" customHeight="1">
      <c r="A463" s="8" t="s">
        <v>702</v>
      </c>
      <c r="B463" s="158" t="s">
        <v>886</v>
      </c>
      <c r="C463" s="159">
        <v>26</v>
      </c>
      <c r="D463" s="158" t="s">
        <v>848</v>
      </c>
      <c r="E463" s="58">
        <v>78.165357142857104</v>
      </c>
      <c r="F463" s="160">
        <v>11.4904814081791</v>
      </c>
      <c r="G463" s="161">
        <v>9.9089376046804997E-2</v>
      </c>
      <c r="H463" s="161">
        <v>0.182049082685976</v>
      </c>
      <c r="I463" s="161">
        <v>0.28113845873277998</v>
      </c>
      <c r="J463" s="161">
        <v>0.97917154314280697</v>
      </c>
      <c r="K463" s="161">
        <v>5.4449076329633696E-4</v>
      </c>
      <c r="L463" s="161">
        <v>1.06702372627084E-3</v>
      </c>
      <c r="M463" s="161">
        <v>1.2811451536953299E-3</v>
      </c>
      <c r="N463" s="161">
        <v>1.6086417766000001E-3</v>
      </c>
      <c r="O463" s="161">
        <v>0.45293676232799901</v>
      </c>
      <c r="P463" s="161">
        <v>3.2140845081231002</v>
      </c>
      <c r="Q463" s="161">
        <v>5.6273504884152802E-2</v>
      </c>
      <c r="R463" s="161">
        <v>0.67678936274025103</v>
      </c>
      <c r="S463" s="161">
        <v>1.61939076756854E-2</v>
      </c>
      <c r="T463" s="161">
        <v>0.34762728880380001</v>
      </c>
      <c r="U463" s="161">
        <v>0.56774218950542199</v>
      </c>
      <c r="V463" s="161">
        <v>0.37976718367964601</v>
      </c>
      <c r="W463" s="161"/>
      <c r="X463" s="58"/>
      <c r="Y463" s="160"/>
      <c r="Z463" s="160"/>
      <c r="AA463" s="160"/>
      <c r="AB463" s="160"/>
      <c r="AC463" s="160"/>
      <c r="AD463" s="162"/>
      <c r="AE463" s="161"/>
    </row>
    <row r="464" spans="1:31" ht="21.2" customHeight="1">
      <c r="A464" s="8" t="s">
        <v>414</v>
      </c>
      <c r="B464" s="158" t="s">
        <v>873</v>
      </c>
      <c r="C464" s="163">
        <v>29</v>
      </c>
      <c r="D464" s="158" t="s">
        <v>849</v>
      </c>
      <c r="E464" s="58">
        <v>77.966428571428594</v>
      </c>
      <c r="F464" s="160">
        <v>18.804233642347299</v>
      </c>
      <c r="G464" s="161">
        <v>7.6820819213882605E-2</v>
      </c>
      <c r="H464" s="161">
        <v>0.204081838992165</v>
      </c>
      <c r="I464" s="161">
        <v>0.28090265820604798</v>
      </c>
      <c r="J464" s="161">
        <v>1.29142096830528</v>
      </c>
      <c r="K464" s="161">
        <v>5.1735354470614598E-4</v>
      </c>
      <c r="L464" s="161">
        <v>5.7817927233198198E-3</v>
      </c>
      <c r="M464" s="161">
        <v>5.2419655162092901E-3</v>
      </c>
      <c r="N464" s="161">
        <v>1.20686016174813E-2</v>
      </c>
      <c r="O464" s="161">
        <v>1.4299905836531099</v>
      </c>
      <c r="P464" s="161">
        <v>1.9159226580344</v>
      </c>
      <c r="Q464" s="161">
        <v>1.8860104139427101E-2</v>
      </c>
      <c r="R464" s="161">
        <v>0.82627213346017303</v>
      </c>
      <c r="S464" s="161">
        <v>1.0874728200275199E-2</v>
      </c>
      <c r="T464" s="161">
        <v>0</v>
      </c>
      <c r="U464" s="161">
        <v>0</v>
      </c>
      <c r="V464" s="161">
        <v>0</v>
      </c>
      <c r="W464" s="161"/>
      <c r="X464" s="58"/>
      <c r="Y464" s="160"/>
      <c r="Z464" s="160"/>
      <c r="AA464" s="160"/>
      <c r="AB464" s="160"/>
      <c r="AC464" s="160"/>
      <c r="AD464" s="162"/>
      <c r="AE464" s="161"/>
    </row>
    <row r="465" spans="1:31" ht="21.2" customHeight="1">
      <c r="A465" s="8" t="s">
        <v>423</v>
      </c>
      <c r="B465" s="158" t="s">
        <v>866</v>
      </c>
      <c r="C465" s="159">
        <v>29</v>
      </c>
      <c r="D465" s="158" t="s">
        <v>849</v>
      </c>
      <c r="E465" s="58">
        <v>73.706071428571406</v>
      </c>
      <c r="F465" s="160">
        <v>19.327457144327798</v>
      </c>
      <c r="G465" s="161">
        <v>4.5081846886856097E-2</v>
      </c>
      <c r="H465" s="161">
        <v>0.23568540820728801</v>
      </c>
      <c r="I465" s="161">
        <v>0.28076725509414402</v>
      </c>
      <c r="J465" s="161">
        <v>1.2539490718434301</v>
      </c>
      <c r="K465" s="161">
        <v>2.5262855693673801E-4</v>
      </c>
      <c r="L465" s="161">
        <v>1.65713245587946E-3</v>
      </c>
      <c r="M465" s="161">
        <v>1.10152604614931E-4</v>
      </c>
      <c r="N465" s="161">
        <v>1.5811987165954501E-3</v>
      </c>
      <c r="O465" s="161">
        <v>2.08233646009506</v>
      </c>
      <c r="P465" s="161">
        <v>2.0804802194994898</v>
      </c>
      <c r="Q465" s="161">
        <v>7.2355834817611195E-2</v>
      </c>
      <c r="R465" s="161">
        <v>0.52486366436460097</v>
      </c>
      <c r="S465" s="161">
        <v>7.24238671980017E-3</v>
      </c>
      <c r="T465" s="161">
        <v>0</v>
      </c>
      <c r="U465" s="161">
        <v>0</v>
      </c>
      <c r="V465" s="161">
        <v>0</v>
      </c>
      <c r="W465" s="161"/>
      <c r="X465" s="58"/>
      <c r="Y465" s="160"/>
      <c r="Z465" s="160"/>
      <c r="AA465" s="160"/>
      <c r="AB465" s="160"/>
      <c r="AC465" s="160"/>
      <c r="AD465" s="162"/>
      <c r="AE465" s="161"/>
    </row>
    <row r="466" spans="1:31" ht="21.2" customHeight="1">
      <c r="A466" s="8" t="s">
        <v>693</v>
      </c>
      <c r="B466" s="158" t="s">
        <v>883</v>
      </c>
      <c r="C466" s="159">
        <v>25</v>
      </c>
      <c r="D466" s="158" t="s">
        <v>864</v>
      </c>
      <c r="E466" s="58">
        <v>72.424642857142899</v>
      </c>
      <c r="F466" s="160">
        <v>10.693561218536001</v>
      </c>
      <c r="G466" s="161">
        <v>0.15925851461273</v>
      </c>
      <c r="H466" s="161">
        <v>0.120116917902568</v>
      </c>
      <c r="I466" s="161">
        <v>0.279375432515299</v>
      </c>
      <c r="J466" s="161">
        <v>1.4042681743375001</v>
      </c>
      <c r="K466" s="161">
        <v>1.16819932142553E-3</v>
      </c>
      <c r="L466" s="161">
        <v>2.4397816341543898E-3</v>
      </c>
      <c r="M466" s="161">
        <v>1.78232527375122E-3</v>
      </c>
      <c r="N466" s="161">
        <v>3.6654537264035401E-3</v>
      </c>
      <c r="O466" s="161">
        <v>0.34139679368043402</v>
      </c>
      <c r="P466" s="161">
        <v>2.2601915309157898</v>
      </c>
      <c r="Q466" s="161">
        <v>1.06317005496561E-3</v>
      </c>
      <c r="R466" s="161">
        <v>0.321220134282865</v>
      </c>
      <c r="S466" s="161">
        <v>2.3579983804105899E-2</v>
      </c>
      <c r="T466" s="161">
        <v>7.1333505927285601E-2</v>
      </c>
      <c r="U466" s="161">
        <v>0.108235016865454</v>
      </c>
      <c r="V466" s="161">
        <v>0.39724950017893601</v>
      </c>
      <c r="W466" s="161"/>
      <c r="X466" s="58"/>
      <c r="Y466" s="160"/>
      <c r="Z466" s="160"/>
      <c r="AA466" s="160"/>
      <c r="AB466" s="160"/>
      <c r="AC466" s="160"/>
      <c r="AD466" s="162"/>
      <c r="AE466" s="161"/>
    </row>
    <row r="467" spans="1:31" ht="21.2" customHeight="1">
      <c r="A467" s="8" t="s">
        <v>395</v>
      </c>
      <c r="B467" s="158" t="s">
        <v>891</v>
      </c>
      <c r="C467" s="159">
        <v>30</v>
      </c>
      <c r="D467" s="158" t="s">
        <v>849</v>
      </c>
      <c r="E467" s="58">
        <v>79.142499999999998</v>
      </c>
      <c r="F467" s="160">
        <v>20.1785387060396</v>
      </c>
      <c r="G467" s="161">
        <v>5.5275362655046699E-2</v>
      </c>
      <c r="H467" s="161">
        <v>0.223901942048056</v>
      </c>
      <c r="I467" s="161">
        <v>0.27917730470310198</v>
      </c>
      <c r="J467" s="161">
        <v>1.3712470810548301</v>
      </c>
      <c r="K467" s="161">
        <v>2.5606006265980498E-4</v>
      </c>
      <c r="L467" s="161">
        <v>1.6583056308081801E-3</v>
      </c>
      <c r="M467" s="161">
        <v>-1.3649717571764E-4</v>
      </c>
      <c r="N467" s="161">
        <v>4.4163529973901298E-3</v>
      </c>
      <c r="O467" s="161">
        <v>1.93302610424312</v>
      </c>
      <c r="P467" s="161">
        <v>1.3194511136973801</v>
      </c>
      <c r="Q467" s="161">
        <v>2.9046932409590902E-3</v>
      </c>
      <c r="R467" s="161">
        <v>0.67115439995413195</v>
      </c>
      <c r="S467" s="161">
        <v>8.5412517027429607E-3</v>
      </c>
      <c r="T467" s="161">
        <v>0</v>
      </c>
      <c r="U467" s="161">
        <v>0</v>
      </c>
      <c r="V467" s="161">
        <v>0</v>
      </c>
      <c r="W467" s="161"/>
      <c r="X467" s="58"/>
      <c r="Y467" s="160"/>
      <c r="Z467" s="160"/>
      <c r="AA467" s="160"/>
      <c r="AB467" s="160"/>
      <c r="AC467" s="160"/>
      <c r="AD467" s="162"/>
      <c r="AE467" s="161"/>
    </row>
    <row r="468" spans="1:31" ht="21.2" customHeight="1">
      <c r="A468" s="8" t="s">
        <v>407</v>
      </c>
      <c r="B468" s="158" t="s">
        <v>888</v>
      </c>
      <c r="C468" s="163">
        <v>34</v>
      </c>
      <c r="D468" s="158" t="s">
        <v>849</v>
      </c>
      <c r="E468" s="58">
        <v>77.686428571428607</v>
      </c>
      <c r="F468" s="160">
        <v>21.193434124012398</v>
      </c>
      <c r="G468" s="161">
        <v>4.39779112984056E-2</v>
      </c>
      <c r="H468" s="161">
        <v>0.234953390682477</v>
      </c>
      <c r="I468" s="161">
        <v>0.27893130198088301</v>
      </c>
      <c r="J468" s="161">
        <v>1.2014430989370299</v>
      </c>
      <c r="K468" s="161">
        <v>1.7282919910052201E-4</v>
      </c>
      <c r="L468" s="161">
        <v>1.6485189491625501E-3</v>
      </c>
      <c r="M468" s="161">
        <v>-9.3388040015814002E-4</v>
      </c>
      <c r="N468" s="161">
        <v>-4.0426443318187797E-3</v>
      </c>
      <c r="O468" s="161">
        <v>2.0705727204253299</v>
      </c>
      <c r="P468" s="161">
        <v>1.1532244450514599</v>
      </c>
      <c r="Q468" s="161">
        <v>-5.7891663955694497E-3</v>
      </c>
      <c r="R468" s="161">
        <v>0.30516357013358503</v>
      </c>
      <c r="S468" s="161">
        <v>6.42192525125932E-3</v>
      </c>
      <c r="T468" s="161">
        <v>0</v>
      </c>
      <c r="U468" s="161">
        <v>2.0968594057868199E-3</v>
      </c>
      <c r="V468" s="161">
        <v>0</v>
      </c>
      <c r="W468" s="161"/>
      <c r="X468" s="58"/>
      <c r="Y468" s="160"/>
      <c r="Z468" s="160"/>
      <c r="AA468" s="160"/>
      <c r="AB468" s="160"/>
      <c r="AC468" s="160"/>
      <c r="AD468" s="162"/>
      <c r="AE468" s="161"/>
    </row>
    <row r="469" spans="1:31" ht="21.2" customHeight="1">
      <c r="A469" s="8" t="s">
        <v>792</v>
      </c>
      <c r="B469" s="158" t="s">
        <v>873</v>
      </c>
      <c r="C469" s="159">
        <v>23</v>
      </c>
      <c r="D469" s="158" t="s">
        <v>846</v>
      </c>
      <c r="E469" s="58">
        <v>60.07</v>
      </c>
      <c r="F469" s="160">
        <v>12.424576644996399</v>
      </c>
      <c r="G469" s="161">
        <v>9.1432153698415897E-2</v>
      </c>
      <c r="H469" s="161">
        <v>0.187025814156285</v>
      </c>
      <c r="I469" s="161">
        <v>0.27845796785470101</v>
      </c>
      <c r="J469" s="161">
        <v>0.83614970584785597</v>
      </c>
      <c r="K469" s="161">
        <v>8.7741730570047201E-4</v>
      </c>
      <c r="L469" s="161">
        <v>2.1396151933070501E-3</v>
      </c>
      <c r="M469" s="161">
        <v>2.4630002910331602E-3</v>
      </c>
      <c r="N469" s="161">
        <v>2.2182607702910199E-2</v>
      </c>
      <c r="O469" s="161">
        <v>0.55337781913653705</v>
      </c>
      <c r="P469" s="161">
        <v>0.78236204306647905</v>
      </c>
      <c r="Q469" s="161">
        <v>-1.9689822773934398E-2</v>
      </c>
      <c r="R469" s="161">
        <v>0.28038826663986499</v>
      </c>
      <c r="S469" s="161">
        <v>1.29431035806551E-2</v>
      </c>
      <c r="T469" s="161">
        <v>2.6035871175043002</v>
      </c>
      <c r="U469" s="161">
        <v>4.2146465493301797</v>
      </c>
      <c r="V469" s="161">
        <v>0.38185654008438802</v>
      </c>
      <c r="W469" s="161"/>
      <c r="X469" s="58"/>
      <c r="Y469" s="160"/>
      <c r="Z469" s="160"/>
      <c r="AA469" s="160"/>
      <c r="AB469" s="160"/>
      <c r="AC469" s="160"/>
      <c r="AD469" s="162"/>
      <c r="AE469" s="161"/>
    </row>
    <row r="470" spans="1:31" ht="21.2" customHeight="1">
      <c r="A470" s="8" t="s">
        <v>690</v>
      </c>
      <c r="B470" s="158" t="s">
        <v>868</v>
      </c>
      <c r="C470" s="159">
        <v>25</v>
      </c>
      <c r="D470" s="158" t="s">
        <v>848</v>
      </c>
      <c r="E470" s="58">
        <v>72</v>
      </c>
      <c r="F470" s="160">
        <v>11.973523432279</v>
      </c>
      <c r="G470" s="161">
        <v>0.13106373001281499</v>
      </c>
      <c r="H470" s="161">
        <v>0.146912633364885</v>
      </c>
      <c r="I470" s="161">
        <v>0.27797636337769999</v>
      </c>
      <c r="J470" s="161">
        <v>1.26825630314006</v>
      </c>
      <c r="K470" s="161">
        <v>6.3029459689615897E-3</v>
      </c>
      <c r="L470" s="161">
        <v>1.1202486963612399E-2</v>
      </c>
      <c r="M470" s="161">
        <v>2.90285431585465E-3</v>
      </c>
      <c r="N470" s="161">
        <v>6.4185540943166499E-3</v>
      </c>
      <c r="O470" s="161">
        <v>0.73616066957577397</v>
      </c>
      <c r="P470" s="161">
        <v>2.3644495933901202</v>
      </c>
      <c r="Q470" s="161">
        <v>7.5720312151461699E-3</v>
      </c>
      <c r="R470" s="161">
        <v>0.53434178545502597</v>
      </c>
      <c r="S470" s="161">
        <v>1.9263482419112E-2</v>
      </c>
      <c r="T470" s="161">
        <v>0.30943920628494898</v>
      </c>
      <c r="U470" s="161">
        <v>0.47646132020823401</v>
      </c>
      <c r="V470" s="161">
        <v>0.39373838781571702</v>
      </c>
      <c r="W470" s="161"/>
      <c r="X470" s="58"/>
      <c r="Y470" s="160"/>
      <c r="Z470" s="160"/>
      <c r="AA470" s="160"/>
      <c r="AB470" s="160"/>
      <c r="AC470" s="160"/>
      <c r="AD470" s="162"/>
      <c r="AE470" s="161"/>
    </row>
    <row r="471" spans="1:31" ht="21.2" customHeight="1">
      <c r="A471" s="8" t="s">
        <v>684</v>
      </c>
      <c r="B471" s="158" t="s">
        <v>874</v>
      </c>
      <c r="C471" s="159">
        <v>31</v>
      </c>
      <c r="D471" s="158" t="s">
        <v>880</v>
      </c>
      <c r="E471" s="58">
        <v>70.421071428571395</v>
      </c>
      <c r="F471" s="160">
        <v>13.708700866103401</v>
      </c>
      <c r="G471" s="161">
        <v>0.137607573671506</v>
      </c>
      <c r="H471" s="161">
        <v>0.13892942521506199</v>
      </c>
      <c r="I471" s="161">
        <v>0.27653699888656802</v>
      </c>
      <c r="J471" s="161">
        <v>1.2907180599017101</v>
      </c>
      <c r="K471" s="161">
        <v>8.9780837158860997E-4</v>
      </c>
      <c r="L471" s="161">
        <v>2.2055782026638702E-3</v>
      </c>
      <c r="M471" s="161">
        <v>-5.1924491565185998E-4</v>
      </c>
      <c r="N471" s="161">
        <v>2.2233118489466699E-2</v>
      </c>
      <c r="O471" s="161">
        <v>0.96512793392256502</v>
      </c>
      <c r="P471" s="161">
        <v>2.6474814000457298</v>
      </c>
      <c r="Q471" s="161">
        <v>1.46822465380348E-2</v>
      </c>
      <c r="R471" s="161">
        <v>0.30065236823000902</v>
      </c>
      <c r="S471" s="161">
        <v>2.20887709498023E-2</v>
      </c>
      <c r="T471" s="161">
        <v>4.3601663456401702</v>
      </c>
      <c r="U471" s="161">
        <v>3.8459358272967399</v>
      </c>
      <c r="V471" s="161">
        <v>0.53133220300615602</v>
      </c>
      <c r="W471" s="161"/>
      <c r="X471" s="58"/>
      <c r="Y471" s="160"/>
      <c r="Z471" s="160"/>
      <c r="AA471" s="160"/>
      <c r="AB471" s="160"/>
      <c r="AC471" s="160"/>
      <c r="AD471" s="162"/>
      <c r="AE471" s="161"/>
    </row>
    <row r="472" spans="1:31" ht="21.2" customHeight="1">
      <c r="A472" s="8" t="s">
        <v>380</v>
      </c>
      <c r="B472" s="158" t="s">
        <v>883</v>
      </c>
      <c r="C472" s="159">
        <v>28</v>
      </c>
      <c r="D472" s="158" t="s">
        <v>849</v>
      </c>
      <c r="E472" s="58">
        <v>78.210357142857106</v>
      </c>
      <c r="F472" s="160">
        <v>18.755442891387201</v>
      </c>
      <c r="G472" s="161">
        <v>6.6055959442998399E-2</v>
      </c>
      <c r="H472" s="161">
        <v>0.20871345987567799</v>
      </c>
      <c r="I472" s="161">
        <v>0.27476941931867699</v>
      </c>
      <c r="J472" s="161">
        <v>1.6613430356122001</v>
      </c>
      <c r="K472" s="161">
        <v>1.69419899519261E-4</v>
      </c>
      <c r="L472" s="161">
        <v>2.1409724152859E-3</v>
      </c>
      <c r="M472" s="161">
        <v>6.2300148086725897E-3</v>
      </c>
      <c r="N472" s="161">
        <v>2.27961324040424E-2</v>
      </c>
      <c r="O472" s="161">
        <v>1.6729451538956299</v>
      </c>
      <c r="P472" s="161">
        <v>1.50399491340161</v>
      </c>
      <c r="Q472" s="161">
        <v>6.7245632254216703E-3</v>
      </c>
      <c r="R472" s="161">
        <v>0.31699641553545499</v>
      </c>
      <c r="S472" s="161">
        <v>9.7803150909588007E-3</v>
      </c>
      <c r="T472" s="161">
        <v>0</v>
      </c>
      <c r="U472" s="161">
        <v>0</v>
      </c>
      <c r="V472" s="161">
        <v>0</v>
      </c>
      <c r="W472" s="161"/>
      <c r="X472" s="58"/>
      <c r="Y472" s="160"/>
      <c r="Z472" s="160"/>
      <c r="AA472" s="160"/>
      <c r="AB472" s="160"/>
      <c r="AC472" s="160"/>
      <c r="AD472" s="162"/>
      <c r="AE472" s="161"/>
    </row>
    <row r="473" spans="1:31" ht="21.2" customHeight="1">
      <c r="A473" s="8" t="s">
        <v>710</v>
      </c>
      <c r="B473" s="158" t="s">
        <v>874</v>
      </c>
      <c r="C473" s="159">
        <v>34</v>
      </c>
      <c r="D473" s="158" t="s">
        <v>846</v>
      </c>
      <c r="E473" s="58">
        <v>79.252857142857096</v>
      </c>
      <c r="F473" s="160">
        <v>14.0217364908505</v>
      </c>
      <c r="G473" s="161">
        <v>0.116701264800712</v>
      </c>
      <c r="H473" s="161">
        <v>0.157672963492623</v>
      </c>
      <c r="I473" s="161">
        <v>0.27437422829333502</v>
      </c>
      <c r="J473" s="161">
        <v>1.5074158906733199</v>
      </c>
      <c r="K473" s="161">
        <v>3.3526723755327402E-4</v>
      </c>
      <c r="L473" s="161">
        <v>1.9931782101928002E-3</v>
      </c>
      <c r="M473" s="161">
        <v>5.8778796999722598E-3</v>
      </c>
      <c r="N473" s="161">
        <v>2.7868267651177301E-3</v>
      </c>
      <c r="O473" s="161">
        <v>0.48044391175575002</v>
      </c>
      <c r="P473" s="161">
        <v>1.1119459876833799</v>
      </c>
      <c r="Q473" s="161">
        <v>1.7450064289879899E-2</v>
      </c>
      <c r="R473" s="161">
        <v>0.46414426759584798</v>
      </c>
      <c r="S473" s="161">
        <v>1.8732889760041799E-2</v>
      </c>
      <c r="T473" s="161">
        <v>6.0867926781476802</v>
      </c>
      <c r="U473" s="161">
        <v>5.7096596725990603</v>
      </c>
      <c r="V473" s="161">
        <v>0.51598501796706497</v>
      </c>
      <c r="W473" s="161"/>
      <c r="X473" s="58"/>
      <c r="Y473" s="160"/>
      <c r="Z473" s="160"/>
      <c r="AA473" s="160"/>
      <c r="AB473" s="160"/>
      <c r="AC473" s="160"/>
      <c r="AD473" s="162"/>
      <c r="AE473" s="161"/>
    </row>
    <row r="474" spans="1:31" ht="21.2" customHeight="1">
      <c r="A474" s="8" t="s">
        <v>703</v>
      </c>
      <c r="B474" s="158" t="s">
        <v>889</v>
      </c>
      <c r="C474" s="159">
        <v>26</v>
      </c>
      <c r="D474" s="158" t="s">
        <v>848</v>
      </c>
      <c r="E474" s="58">
        <v>70</v>
      </c>
      <c r="F474" s="160">
        <v>12.5239868422081</v>
      </c>
      <c r="G474" s="161">
        <v>0.123463741711051</v>
      </c>
      <c r="H474" s="161">
        <v>0.150848099015891</v>
      </c>
      <c r="I474" s="161">
        <v>0.27431184072694298</v>
      </c>
      <c r="J474" s="161">
        <v>1.33034243877979</v>
      </c>
      <c r="K474" s="161">
        <v>1.41285249271556E-3</v>
      </c>
      <c r="L474" s="161">
        <v>3.9650058642506101E-3</v>
      </c>
      <c r="M474" s="161">
        <v>4.5603072267062297E-3</v>
      </c>
      <c r="N474" s="161">
        <v>5.8449491685068902E-3</v>
      </c>
      <c r="O474" s="161">
        <v>0.39863001297803002</v>
      </c>
      <c r="P474" s="161">
        <v>1.51813408901122</v>
      </c>
      <c r="Q474" s="161">
        <v>-3.9581323297849497E-2</v>
      </c>
      <c r="R474" s="161">
        <v>0.226734050820635</v>
      </c>
      <c r="S474" s="161">
        <v>1.6338680411923399E-2</v>
      </c>
      <c r="T474" s="161">
        <v>0.24123499199652099</v>
      </c>
      <c r="U474" s="161">
        <v>0.61119930923246202</v>
      </c>
      <c r="V474" s="161">
        <v>0.28299540697590903</v>
      </c>
      <c r="W474" s="161"/>
      <c r="X474" s="58"/>
      <c r="Y474" s="160"/>
      <c r="Z474" s="160"/>
      <c r="AA474" s="160"/>
      <c r="AB474" s="160"/>
      <c r="AC474" s="160"/>
      <c r="AD474" s="162"/>
      <c r="AE474" s="161"/>
    </row>
    <row r="475" spans="1:31" ht="21.2" customHeight="1">
      <c r="A475" s="8" t="s">
        <v>741</v>
      </c>
      <c r="B475" s="158" t="s">
        <v>887</v>
      </c>
      <c r="C475" s="159">
        <v>25</v>
      </c>
      <c r="D475" s="158" t="s">
        <v>847</v>
      </c>
      <c r="E475" s="58">
        <v>65.3</v>
      </c>
      <c r="F475" s="160">
        <v>11.6205540656557</v>
      </c>
      <c r="G475" s="161">
        <v>0.12699526438733899</v>
      </c>
      <c r="H475" s="161">
        <v>0.14588522750744401</v>
      </c>
      <c r="I475" s="161">
        <v>0.27288049189478297</v>
      </c>
      <c r="J475" s="161">
        <v>1.3947308655789801</v>
      </c>
      <c r="K475" s="161">
        <v>6.3405172973704897E-3</v>
      </c>
      <c r="L475" s="161">
        <v>1.1986395512760199E-2</v>
      </c>
      <c r="M475" s="161">
        <v>4.6147525502183702E-4</v>
      </c>
      <c r="N475" s="161">
        <v>9.2001323903670895E-4</v>
      </c>
      <c r="O475" s="161">
        <v>0.26794978133066799</v>
      </c>
      <c r="P475" s="161">
        <v>1.43584570956039</v>
      </c>
      <c r="Q475" s="161">
        <v>-0.11736699418527601</v>
      </c>
      <c r="R475" s="161">
        <v>0.67157336725720995</v>
      </c>
      <c r="S475" s="161">
        <v>1.21741502896836E-2</v>
      </c>
      <c r="T475" s="161">
        <v>0.13126896835134899</v>
      </c>
      <c r="U475" s="161">
        <v>0.14875593783126501</v>
      </c>
      <c r="V475" s="161">
        <v>0.46877604617692198</v>
      </c>
      <c r="W475" s="161"/>
      <c r="X475" s="58"/>
      <c r="Y475" s="160"/>
      <c r="Z475" s="160"/>
      <c r="AA475" s="160"/>
      <c r="AB475" s="160"/>
      <c r="AC475" s="160"/>
      <c r="AD475" s="162"/>
      <c r="AE475" s="161"/>
    </row>
    <row r="476" spans="1:31" ht="21.2" customHeight="1">
      <c r="A476" s="8" t="s">
        <v>732</v>
      </c>
      <c r="B476" s="158" t="s">
        <v>873</v>
      </c>
      <c r="C476" s="159">
        <v>27</v>
      </c>
      <c r="D476" s="158" t="s">
        <v>865</v>
      </c>
      <c r="E476" s="58">
        <v>67.904642857142903</v>
      </c>
      <c r="F476" s="160">
        <v>11.2480436828014</v>
      </c>
      <c r="G476" s="161">
        <v>0.120243081338783</v>
      </c>
      <c r="H476" s="161">
        <v>0.15213488782241699</v>
      </c>
      <c r="I476" s="161">
        <v>0.2723779691612</v>
      </c>
      <c r="J476" s="161">
        <v>0.95453211345893296</v>
      </c>
      <c r="K476" s="161">
        <v>3.0508152648047598E-3</v>
      </c>
      <c r="L476" s="161">
        <v>5.3567798301749799E-3</v>
      </c>
      <c r="M476" s="161">
        <v>7.8988315058335402E-3</v>
      </c>
      <c r="N476" s="161">
        <v>9.1945731188933996E-3</v>
      </c>
      <c r="O476" s="161">
        <v>0.39042191664360598</v>
      </c>
      <c r="P476" s="161">
        <v>2.5941088577136502</v>
      </c>
      <c r="Q476" s="161">
        <v>-4.7361147708994897E-3</v>
      </c>
      <c r="R476" s="161">
        <v>0.52308516791661797</v>
      </c>
      <c r="S476" s="161">
        <v>1.7021568383464299E-2</v>
      </c>
      <c r="T476" s="161">
        <v>0.43919532474522599</v>
      </c>
      <c r="U476" s="161">
        <v>0.37879864615036601</v>
      </c>
      <c r="V476" s="161">
        <v>0.53691755730713597</v>
      </c>
      <c r="W476" s="161"/>
      <c r="X476" s="58"/>
      <c r="Y476" s="160"/>
      <c r="Z476" s="160"/>
      <c r="AA476" s="160"/>
      <c r="AB476" s="160"/>
      <c r="AC476" s="160"/>
      <c r="AD476" s="162"/>
      <c r="AE476" s="161"/>
    </row>
    <row r="477" spans="1:31" ht="21.2" customHeight="1">
      <c r="A477" s="8" t="s">
        <v>460</v>
      </c>
      <c r="B477" s="158" t="s">
        <v>872</v>
      </c>
      <c r="C477" s="159">
        <v>23</v>
      </c>
      <c r="D477" s="158" t="s">
        <v>849</v>
      </c>
      <c r="E477" s="58">
        <v>68.4375</v>
      </c>
      <c r="F477" s="160">
        <v>22.196301809173999</v>
      </c>
      <c r="G477" s="161">
        <v>4.3966512107485103E-2</v>
      </c>
      <c r="H477" s="161">
        <v>0.22746594854906699</v>
      </c>
      <c r="I477" s="161">
        <v>0.27143246065655202</v>
      </c>
      <c r="J477" s="161">
        <v>1.40175612796107</v>
      </c>
      <c r="K477" s="161">
        <v>3.3457311961704799E-4</v>
      </c>
      <c r="L477" s="161">
        <v>2.0621796969777098E-3</v>
      </c>
      <c r="M477" s="161">
        <v>9.5260156338107299E-4</v>
      </c>
      <c r="N477" s="161">
        <v>1.6117875835540699E-2</v>
      </c>
      <c r="O477" s="161">
        <v>1.6627736202521299</v>
      </c>
      <c r="P477" s="161">
        <v>1.8495555316935699</v>
      </c>
      <c r="Q477" s="161">
        <v>-2.2590883212525399E-2</v>
      </c>
      <c r="R477" s="161">
        <v>0.42423656760809603</v>
      </c>
      <c r="S477" s="161">
        <v>5.6285513979177203E-3</v>
      </c>
      <c r="T477" s="161">
        <v>0</v>
      </c>
      <c r="U477" s="161">
        <v>0</v>
      </c>
      <c r="V477" s="161">
        <v>0</v>
      </c>
      <c r="W477" s="161"/>
      <c r="X477" s="58"/>
      <c r="Y477" s="160"/>
      <c r="Z477" s="160"/>
      <c r="AA477" s="160"/>
      <c r="AB477" s="160"/>
      <c r="AC477" s="160"/>
      <c r="AD477" s="162"/>
      <c r="AE477" s="161"/>
    </row>
    <row r="478" spans="1:31" ht="21.2" customHeight="1">
      <c r="A478" s="8" t="s">
        <v>664</v>
      </c>
      <c r="B478" s="158" t="s">
        <v>869</v>
      </c>
      <c r="C478" s="159">
        <v>33</v>
      </c>
      <c r="D478" s="158" t="s">
        <v>848</v>
      </c>
      <c r="E478" s="58">
        <v>77.442142857142898</v>
      </c>
      <c r="F478" s="160">
        <v>10.7256716758765</v>
      </c>
      <c r="G478" s="161">
        <v>0.13294147670162401</v>
      </c>
      <c r="H478" s="161">
        <v>0.134212501707691</v>
      </c>
      <c r="I478" s="161">
        <v>0.26715397840931598</v>
      </c>
      <c r="J478" s="161">
        <v>1.5928736531749099</v>
      </c>
      <c r="K478" s="161">
        <v>6.3055839905079103E-4</v>
      </c>
      <c r="L478" s="161">
        <v>2.2377405785487798E-3</v>
      </c>
      <c r="M478" s="161">
        <v>1.3667269170185E-5</v>
      </c>
      <c r="N478" s="161">
        <v>2.29912337369672E-5</v>
      </c>
      <c r="O478" s="161">
        <v>0.32666547034493898</v>
      </c>
      <c r="P478" s="161">
        <v>0.97625187797193802</v>
      </c>
      <c r="Q478" s="161">
        <v>6.1352882515403398E-2</v>
      </c>
      <c r="R478" s="161">
        <v>0.27800618304394398</v>
      </c>
      <c r="S478" s="161">
        <v>2.1269693842891801E-2</v>
      </c>
      <c r="T478" s="161">
        <v>5.0892707746122E-2</v>
      </c>
      <c r="U478" s="161">
        <v>0.108809736567118</v>
      </c>
      <c r="V478" s="161">
        <v>0.31867206519582802</v>
      </c>
      <c r="W478" s="161"/>
      <c r="X478" s="58"/>
      <c r="Y478" s="160"/>
      <c r="Z478" s="160"/>
      <c r="AA478" s="160"/>
      <c r="AB478" s="160"/>
      <c r="AC478" s="160"/>
      <c r="AD478" s="162"/>
      <c r="AE478" s="161"/>
    </row>
    <row r="479" spans="1:31" ht="21.2" customHeight="1">
      <c r="A479" s="8" t="s">
        <v>802</v>
      </c>
      <c r="B479" s="158" t="s">
        <v>867</v>
      </c>
      <c r="C479" s="159">
        <v>21</v>
      </c>
      <c r="D479" s="158" t="s">
        <v>846</v>
      </c>
      <c r="E479" s="58">
        <v>51.647500000000001</v>
      </c>
      <c r="F479" s="160">
        <v>12.886467260524</v>
      </c>
      <c r="G479" s="161">
        <v>0.1051824948617</v>
      </c>
      <c r="H479" s="161">
        <v>0.16186539439498401</v>
      </c>
      <c r="I479" s="161">
        <v>0.26704788925668399</v>
      </c>
      <c r="J479" s="161">
        <v>1.0811539787476501</v>
      </c>
      <c r="K479" s="161">
        <v>1.33635871891465E-2</v>
      </c>
      <c r="L479" s="161">
        <v>3.2339654671375E-2</v>
      </c>
      <c r="M479" s="161">
        <v>1.1454094648576799E-3</v>
      </c>
      <c r="N479" s="161">
        <v>2.2183179659139001E-3</v>
      </c>
      <c r="O479" s="161">
        <v>0.44643778547098001</v>
      </c>
      <c r="P479" s="161">
        <v>0.830268856754377</v>
      </c>
      <c r="Q479" s="161">
        <v>3.47825358904929E-3</v>
      </c>
      <c r="R479" s="161">
        <v>0.39337288396671599</v>
      </c>
      <c r="S479" s="161">
        <v>1.68898280018824E-2</v>
      </c>
      <c r="T479" s="161">
        <v>3.63139969085206</v>
      </c>
      <c r="U479" s="161">
        <v>4.3066243725416804</v>
      </c>
      <c r="V479" s="161">
        <v>0.45746896984078</v>
      </c>
      <c r="W479" s="161"/>
      <c r="X479" s="58"/>
      <c r="Y479" s="160"/>
      <c r="Z479" s="160"/>
      <c r="AA479" s="160"/>
      <c r="AB479" s="160"/>
      <c r="AC479" s="160"/>
      <c r="AD479" s="162"/>
      <c r="AE479" s="161"/>
    </row>
    <row r="480" spans="1:31" ht="21.2" customHeight="1">
      <c r="A480" s="8" t="s">
        <v>421</v>
      </c>
      <c r="B480" s="158" t="s">
        <v>882</v>
      </c>
      <c r="C480" s="159">
        <v>23</v>
      </c>
      <c r="D480" s="158" t="s">
        <v>849</v>
      </c>
      <c r="E480" s="58">
        <v>77.454999999999998</v>
      </c>
      <c r="F480" s="160">
        <v>20.271129452243301</v>
      </c>
      <c r="G480" s="161">
        <v>9.5399484243980995E-2</v>
      </c>
      <c r="H480" s="161">
        <v>0.17044648063401599</v>
      </c>
      <c r="I480" s="161">
        <v>0.265845964877996</v>
      </c>
      <c r="J480" s="161">
        <v>1.27482457347874</v>
      </c>
      <c r="K480" s="161">
        <v>3.4053805786958899E-4</v>
      </c>
      <c r="L480" s="161">
        <v>2.0761663449041299E-3</v>
      </c>
      <c r="M480" s="161">
        <v>5.4198192117672602E-3</v>
      </c>
      <c r="N480" s="161">
        <v>1.3314983364503199E-2</v>
      </c>
      <c r="O480" s="161">
        <v>1.7096175612020501</v>
      </c>
      <c r="P480" s="161">
        <v>2.7385964665755198</v>
      </c>
      <c r="Q480" s="161">
        <v>-5.8216210315989399E-2</v>
      </c>
      <c r="R480" s="161">
        <v>0.42874121726521702</v>
      </c>
      <c r="S480" s="161">
        <v>1.1734698149429601E-2</v>
      </c>
      <c r="T480" s="161">
        <v>0</v>
      </c>
      <c r="U480" s="161">
        <v>0</v>
      </c>
      <c r="V480" s="161">
        <v>0</v>
      </c>
      <c r="W480" s="161"/>
      <c r="X480" s="58"/>
      <c r="Y480" s="160"/>
      <c r="Z480" s="160"/>
      <c r="AA480" s="160"/>
      <c r="AB480" s="160"/>
      <c r="AC480" s="160"/>
      <c r="AD480" s="162"/>
      <c r="AE480" s="161"/>
    </row>
    <row r="481" spans="1:31" ht="21.2" customHeight="1">
      <c r="A481" s="8" t="s">
        <v>753</v>
      </c>
      <c r="B481" s="158" t="s">
        <v>890</v>
      </c>
      <c r="C481" s="159">
        <v>24</v>
      </c>
      <c r="D481" s="158" t="s">
        <v>846</v>
      </c>
      <c r="E481" s="58">
        <v>70.545000000000002</v>
      </c>
      <c r="F481" s="160">
        <v>11.034029760081101</v>
      </c>
      <c r="G481" s="161">
        <v>0.126942610269805</v>
      </c>
      <c r="H481" s="161">
        <v>0.13789495177804101</v>
      </c>
      <c r="I481" s="161">
        <v>0.26483756204784598</v>
      </c>
      <c r="J481" s="161">
        <v>1.18832081217557</v>
      </c>
      <c r="K481" s="161">
        <v>1.2082642623730199E-3</v>
      </c>
      <c r="L481" s="161">
        <v>2.06229805282474E-3</v>
      </c>
      <c r="M481" s="161">
        <v>2.3937870285082999E-2</v>
      </c>
      <c r="N481" s="161">
        <v>3.7396594602313801E-2</v>
      </c>
      <c r="O481" s="161">
        <v>0.62388142687802906</v>
      </c>
      <c r="P481" s="161">
        <v>1.0379519981215199</v>
      </c>
      <c r="Q481" s="161">
        <v>-7.4050233563622295E-2</v>
      </c>
      <c r="R481" s="161">
        <v>0.17305156691686099</v>
      </c>
      <c r="S481" s="161">
        <v>1.4921550672446699E-2</v>
      </c>
      <c r="T481" s="161">
        <v>3.3726136791400698</v>
      </c>
      <c r="U481" s="161">
        <v>3.9886944562404998</v>
      </c>
      <c r="V481" s="161">
        <v>0.45815412384795001</v>
      </c>
      <c r="W481" s="161"/>
      <c r="X481" s="58"/>
      <c r="Y481" s="160"/>
      <c r="Z481" s="160"/>
      <c r="AA481" s="160"/>
      <c r="AB481" s="160"/>
      <c r="AC481" s="160"/>
      <c r="AD481" s="162"/>
      <c r="AE481" s="161"/>
    </row>
    <row r="482" spans="1:31" ht="21.2" customHeight="1">
      <c r="A482" s="8" t="s">
        <v>474</v>
      </c>
      <c r="B482" s="158" t="s">
        <v>879</v>
      </c>
      <c r="C482" s="159">
        <v>23</v>
      </c>
      <c r="D482" s="158" t="s">
        <v>849</v>
      </c>
      <c r="E482" s="58">
        <v>72.815357142857096</v>
      </c>
      <c r="F482" s="160">
        <v>17.526048239679302</v>
      </c>
      <c r="G482" s="161">
        <v>3.2229963468882197E-2</v>
      </c>
      <c r="H482" s="161">
        <v>0.231512544468778</v>
      </c>
      <c r="I482" s="161">
        <v>0.26374250793766002</v>
      </c>
      <c r="J482" s="161">
        <v>1.2301630091421001</v>
      </c>
      <c r="K482" s="161">
        <v>1.3866353513222001E-3</v>
      </c>
      <c r="L482" s="161">
        <v>1.39793985306228E-2</v>
      </c>
      <c r="M482" s="161">
        <v>6.1497963675590005E-4</v>
      </c>
      <c r="N482" s="161">
        <v>3.1853676666011598E-3</v>
      </c>
      <c r="O482" s="161">
        <v>1.36499562482966</v>
      </c>
      <c r="P482" s="161">
        <v>0.90355122038472202</v>
      </c>
      <c r="Q482" s="161">
        <v>1.9074800114437601E-2</v>
      </c>
      <c r="R482" s="161">
        <v>0.55432926044920705</v>
      </c>
      <c r="S482" s="161">
        <v>4.8469323255068896E-3</v>
      </c>
      <c r="T482" s="161">
        <v>0</v>
      </c>
      <c r="U482" s="161">
        <v>0</v>
      </c>
      <c r="V482" s="161">
        <v>0</v>
      </c>
      <c r="W482" s="161"/>
      <c r="X482" s="58"/>
      <c r="Y482" s="160"/>
      <c r="Z482" s="160"/>
      <c r="AA482" s="160"/>
      <c r="AB482" s="160"/>
      <c r="AC482" s="160"/>
      <c r="AD482" s="162"/>
      <c r="AE482" s="161"/>
    </row>
    <row r="483" spans="1:31" ht="21.2" customHeight="1">
      <c r="A483" s="8" t="s">
        <v>459</v>
      </c>
      <c r="B483" s="158" t="s">
        <v>866</v>
      </c>
      <c r="C483" s="159">
        <v>33</v>
      </c>
      <c r="D483" s="158" t="s">
        <v>849</v>
      </c>
      <c r="E483" s="58">
        <v>77.77</v>
      </c>
      <c r="F483" s="160">
        <v>21.296945505239499</v>
      </c>
      <c r="G483" s="161">
        <v>3.5817853830212E-2</v>
      </c>
      <c r="H483" s="161">
        <v>0.22581768678303199</v>
      </c>
      <c r="I483" s="161">
        <v>0.26163554061324401</v>
      </c>
      <c r="J483" s="161">
        <v>0.98942448682043005</v>
      </c>
      <c r="K483" s="161">
        <v>1.8532423722487801E-4</v>
      </c>
      <c r="L483" s="161">
        <v>2.7803441178772602E-3</v>
      </c>
      <c r="M483" s="161">
        <v>-6.9887679078228804E-4</v>
      </c>
      <c r="N483" s="161">
        <v>1.5665620107434001E-2</v>
      </c>
      <c r="O483" s="161">
        <v>1.7299519228281</v>
      </c>
      <c r="P483" s="161">
        <v>0.95476282679691005</v>
      </c>
      <c r="Q483" s="161">
        <v>8.0018509083336506E-2</v>
      </c>
      <c r="R483" s="161">
        <v>0.34956341737978303</v>
      </c>
      <c r="S483" s="161">
        <v>5.7541286975823199E-3</v>
      </c>
      <c r="T483" s="161">
        <v>0</v>
      </c>
      <c r="U483" s="161">
        <v>0</v>
      </c>
      <c r="V483" s="161">
        <v>0</v>
      </c>
      <c r="W483" s="161"/>
      <c r="X483" s="58"/>
      <c r="Y483" s="160"/>
      <c r="Z483" s="160"/>
      <c r="AA483" s="160"/>
      <c r="AB483" s="160"/>
      <c r="AC483" s="160"/>
      <c r="AD483" s="162"/>
      <c r="AE483" s="161"/>
    </row>
    <row r="484" spans="1:31" ht="21.2" customHeight="1">
      <c r="A484" s="8" t="s">
        <v>472</v>
      </c>
      <c r="B484" s="158" t="s">
        <v>871</v>
      </c>
      <c r="C484" s="163">
        <v>25</v>
      </c>
      <c r="D484" s="158" t="s">
        <v>849</v>
      </c>
      <c r="E484" s="58">
        <v>75.23</v>
      </c>
      <c r="F484" s="160">
        <v>18.951672197110899</v>
      </c>
      <c r="G484" s="161">
        <v>3.5376826488184999E-2</v>
      </c>
      <c r="H484" s="161">
        <v>0.22567685787497699</v>
      </c>
      <c r="I484" s="161">
        <v>0.26105368436316201</v>
      </c>
      <c r="J484" s="161">
        <v>1.11779146564823</v>
      </c>
      <c r="K484" s="161">
        <v>1.79282902406787E-4</v>
      </c>
      <c r="L484" s="161">
        <v>1.1162248658532999E-3</v>
      </c>
      <c r="M484" s="161">
        <v>5.2059160633425195E-4</v>
      </c>
      <c r="N484" s="161">
        <v>9.9717035875886602E-3</v>
      </c>
      <c r="O484" s="161">
        <v>1.5171862068022199</v>
      </c>
      <c r="P484" s="161">
        <v>1.3302687792724399</v>
      </c>
      <c r="Q484" s="161">
        <v>8.8751706456189794E-2</v>
      </c>
      <c r="R484" s="161">
        <v>0.62308131200561001</v>
      </c>
      <c r="S484" s="161">
        <v>6.02814517183951E-3</v>
      </c>
      <c r="T484" s="161">
        <v>0</v>
      </c>
      <c r="U484" s="161">
        <v>0</v>
      </c>
      <c r="V484" s="161">
        <v>0</v>
      </c>
      <c r="W484" s="161"/>
      <c r="X484" s="58"/>
      <c r="Y484" s="160"/>
      <c r="Z484" s="160"/>
      <c r="AA484" s="160"/>
      <c r="AB484" s="160"/>
      <c r="AC484" s="160"/>
      <c r="AD484" s="162"/>
      <c r="AE484" s="161"/>
    </row>
    <row r="485" spans="1:31" ht="21.2" customHeight="1">
      <c r="A485" s="8" t="s">
        <v>441</v>
      </c>
      <c r="B485" s="158" t="s">
        <v>877</v>
      </c>
      <c r="C485" s="159">
        <v>30</v>
      </c>
      <c r="D485" s="158" t="s">
        <v>849</v>
      </c>
      <c r="E485" s="58">
        <v>78.599999999999994</v>
      </c>
      <c r="F485" s="160">
        <v>19.380017271341501</v>
      </c>
      <c r="G485" s="161">
        <v>3.5238583629950603E-2</v>
      </c>
      <c r="H485" s="161">
        <v>0.225708212981826</v>
      </c>
      <c r="I485" s="161">
        <v>0.260946796611777</v>
      </c>
      <c r="J485" s="161">
        <v>1.1822787543106399</v>
      </c>
      <c r="K485" s="161">
        <v>3.0676798588772898E-4</v>
      </c>
      <c r="L485" s="161">
        <v>2.0097512015615098E-3</v>
      </c>
      <c r="M485" s="161">
        <v>9.1514066388267094E-3</v>
      </c>
      <c r="N485" s="161">
        <v>2.7209320215009901E-2</v>
      </c>
      <c r="O485" s="161">
        <v>1.4111532574305601</v>
      </c>
      <c r="P485" s="161">
        <v>1.5739316926917</v>
      </c>
      <c r="Q485" s="161">
        <v>3.4240190009222099E-2</v>
      </c>
      <c r="R485" s="161">
        <v>0.52318400620421801</v>
      </c>
      <c r="S485" s="161">
        <v>5.4973369962257896E-3</v>
      </c>
      <c r="T485" s="161">
        <v>0</v>
      </c>
      <c r="U485" s="161">
        <v>0</v>
      </c>
      <c r="V485" s="161">
        <v>0</v>
      </c>
      <c r="W485" s="161"/>
      <c r="X485" s="58"/>
      <c r="Y485" s="160"/>
      <c r="Z485" s="160"/>
      <c r="AA485" s="160"/>
      <c r="AB485" s="160"/>
      <c r="AC485" s="160"/>
      <c r="AD485" s="162"/>
      <c r="AE485" s="161"/>
    </row>
    <row r="486" spans="1:31" ht="21.2" customHeight="1">
      <c r="A486" s="8" t="s">
        <v>688</v>
      </c>
      <c r="B486" s="158" t="s">
        <v>895</v>
      </c>
      <c r="C486" s="159">
        <v>28</v>
      </c>
      <c r="D486" s="158" t="s">
        <v>864</v>
      </c>
      <c r="E486" s="58">
        <v>70.494285714285695</v>
      </c>
      <c r="F486" s="160">
        <v>10.853233615277</v>
      </c>
      <c r="G486" s="161">
        <v>0.111156713461461</v>
      </c>
      <c r="H486" s="161">
        <v>0.14956759999809099</v>
      </c>
      <c r="I486" s="161">
        <v>0.26072431345955199</v>
      </c>
      <c r="J486" s="161">
        <v>1.53747467539043</v>
      </c>
      <c r="K486" s="161">
        <v>6.3534538957098197E-4</v>
      </c>
      <c r="L486" s="161">
        <v>1.6146791859981201E-3</v>
      </c>
      <c r="M486" s="161">
        <v>0</v>
      </c>
      <c r="N486" s="161">
        <v>0</v>
      </c>
      <c r="O486" s="161">
        <v>0.737855644103391</v>
      </c>
      <c r="P486" s="161">
        <v>1.8903015018755001</v>
      </c>
      <c r="Q486" s="161">
        <v>-1.1707987102656801E-3</v>
      </c>
      <c r="R486" s="161">
        <v>0.222974774733739</v>
      </c>
      <c r="S486" s="161">
        <v>0</v>
      </c>
      <c r="T486" s="161">
        <v>0.30838244006721199</v>
      </c>
      <c r="U486" s="161">
        <v>0.34442801111648003</v>
      </c>
      <c r="V486" s="161">
        <v>0.47239200828976502</v>
      </c>
      <c r="W486" s="161"/>
      <c r="X486" s="58"/>
      <c r="Y486" s="160"/>
      <c r="Z486" s="160"/>
      <c r="AA486" s="160"/>
      <c r="AB486" s="160"/>
      <c r="AC486" s="160"/>
      <c r="AD486" s="162"/>
      <c r="AE486" s="161"/>
    </row>
    <row r="487" spans="1:31" ht="21.2" customHeight="1">
      <c r="A487" s="8" t="s">
        <v>725</v>
      </c>
      <c r="B487" s="158" t="s">
        <v>875</v>
      </c>
      <c r="C487" s="159">
        <v>30</v>
      </c>
      <c r="D487" s="158" t="s">
        <v>846</v>
      </c>
      <c r="E487" s="58">
        <v>78.072142857142893</v>
      </c>
      <c r="F487" s="160">
        <v>13.590176092618499</v>
      </c>
      <c r="G487" s="161">
        <v>0.12362391300778</v>
      </c>
      <c r="H487" s="161">
        <v>0.13663098302714499</v>
      </c>
      <c r="I487" s="161">
        <v>0.26025489603492602</v>
      </c>
      <c r="J487" s="161">
        <v>1.33890836627452</v>
      </c>
      <c r="K487" s="161">
        <v>1.2465653468204301E-3</v>
      </c>
      <c r="L487" s="161">
        <v>2.2252569036981802E-3</v>
      </c>
      <c r="M487" s="161">
        <v>6.13670770209283E-3</v>
      </c>
      <c r="N487" s="161">
        <v>9.2009141716452095E-3</v>
      </c>
      <c r="O487" s="161">
        <v>0.56945558114713901</v>
      </c>
      <c r="P487" s="161">
        <v>2.27732561615798</v>
      </c>
      <c r="Q487" s="161">
        <v>-8.8403583397438201E-2</v>
      </c>
      <c r="R487" s="161">
        <v>0.51914837334377995</v>
      </c>
      <c r="S487" s="161">
        <v>1.32471534525754E-2</v>
      </c>
      <c r="T487" s="161">
        <v>7.0343503854422398</v>
      </c>
      <c r="U487" s="161">
        <v>6.8170437455791699</v>
      </c>
      <c r="V487" s="161">
        <v>0.50784421545613201</v>
      </c>
      <c r="W487" s="161"/>
      <c r="X487" s="58"/>
      <c r="Y487" s="160"/>
      <c r="Z487" s="160"/>
      <c r="AA487" s="160"/>
      <c r="AB487" s="160"/>
      <c r="AC487" s="160"/>
      <c r="AD487" s="162"/>
      <c r="AE487" s="161"/>
    </row>
    <row r="488" spans="1:31" ht="21.2" customHeight="1">
      <c r="A488" s="8" t="s">
        <v>444</v>
      </c>
      <c r="B488" s="158" t="s">
        <v>883</v>
      </c>
      <c r="C488" s="159">
        <v>24</v>
      </c>
      <c r="D488" s="158" t="s">
        <v>849</v>
      </c>
      <c r="E488" s="58">
        <v>77.412142857142896</v>
      </c>
      <c r="F488" s="160">
        <v>21.577976981670201</v>
      </c>
      <c r="G488" s="161">
        <v>5.4435682584324803E-2</v>
      </c>
      <c r="H488" s="161">
        <v>0.205192756826095</v>
      </c>
      <c r="I488" s="161">
        <v>0.25962843941042002</v>
      </c>
      <c r="J488" s="161">
        <v>1.1961203332735999</v>
      </c>
      <c r="K488" s="161">
        <v>1.1368218378011801E-3</v>
      </c>
      <c r="L488" s="161">
        <v>2.5161690359187701E-3</v>
      </c>
      <c r="M488" s="161">
        <v>6.2944697628378003E-4</v>
      </c>
      <c r="N488" s="161">
        <v>1.5359791484264E-2</v>
      </c>
      <c r="O488" s="161">
        <v>1.600654844988</v>
      </c>
      <c r="P488" s="161">
        <v>1.9312795734667101</v>
      </c>
      <c r="Q488" s="161">
        <v>6.3851738145052003E-3</v>
      </c>
      <c r="R488" s="161">
        <v>0.39065756605531998</v>
      </c>
      <c r="S488" s="161">
        <v>8.0598046316401797E-3</v>
      </c>
      <c r="T488" s="161">
        <v>0</v>
      </c>
      <c r="U488" s="161">
        <v>0</v>
      </c>
      <c r="V488" s="161">
        <v>0</v>
      </c>
      <c r="W488" s="161"/>
      <c r="X488" s="58"/>
      <c r="Y488" s="160"/>
      <c r="Z488" s="160"/>
      <c r="AA488" s="160"/>
      <c r="AB488" s="160"/>
      <c r="AC488" s="160"/>
      <c r="AD488" s="162"/>
      <c r="AE488" s="161"/>
    </row>
    <row r="489" spans="1:31" ht="21.2" customHeight="1">
      <c r="A489" s="8" t="s">
        <v>510</v>
      </c>
      <c r="B489" s="158" t="s">
        <v>879</v>
      </c>
      <c r="C489" s="159">
        <v>27</v>
      </c>
      <c r="D489" s="158" t="s">
        <v>849</v>
      </c>
      <c r="E489" s="58">
        <v>75.427142857142897</v>
      </c>
      <c r="F489" s="160">
        <v>19.1066687682261</v>
      </c>
      <c r="G489" s="161">
        <v>6.5936785466803496E-2</v>
      </c>
      <c r="H489" s="161">
        <v>0.193561909767588</v>
      </c>
      <c r="I489" s="161">
        <v>0.25949869523439101</v>
      </c>
      <c r="J489" s="161">
        <v>0.93468492983309304</v>
      </c>
      <c r="K489" s="161">
        <v>2.6619523598371097E-4</v>
      </c>
      <c r="L489" s="161">
        <v>1.6760503045755101E-3</v>
      </c>
      <c r="M489" s="161">
        <v>3.4568319781200002E-4</v>
      </c>
      <c r="N489" s="161">
        <v>1.8644758292060599E-3</v>
      </c>
      <c r="O489" s="161">
        <v>1.3395103997400599</v>
      </c>
      <c r="P489" s="161">
        <v>1.9681877278037301</v>
      </c>
      <c r="Q489" s="161">
        <v>2.2175043736911801E-2</v>
      </c>
      <c r="R489" s="161">
        <v>0.63343313208903196</v>
      </c>
      <c r="S489" s="161">
        <v>9.9159633620939606E-3</v>
      </c>
      <c r="T489" s="161">
        <v>0</v>
      </c>
      <c r="U489" s="161">
        <v>0</v>
      </c>
      <c r="V489" s="161">
        <v>0</v>
      </c>
      <c r="W489" s="161"/>
      <c r="X489" s="58"/>
      <c r="Y489" s="160"/>
      <c r="Z489" s="160"/>
      <c r="AA489" s="160"/>
      <c r="AB489" s="160"/>
      <c r="AC489" s="160"/>
      <c r="AD489" s="162"/>
      <c r="AE489" s="161"/>
    </row>
    <row r="490" spans="1:31" ht="21.2" customHeight="1">
      <c r="A490" s="8" t="s">
        <v>454</v>
      </c>
      <c r="B490" s="158" t="s">
        <v>863</v>
      </c>
      <c r="C490" s="159">
        <v>32</v>
      </c>
      <c r="D490" s="158" t="s">
        <v>849</v>
      </c>
      <c r="E490" s="58">
        <v>75.1832142857143</v>
      </c>
      <c r="F490" s="160">
        <v>17.101886266569998</v>
      </c>
      <c r="G490" s="161">
        <v>3.1572820672914899E-2</v>
      </c>
      <c r="H490" s="161">
        <v>0.22757318662741499</v>
      </c>
      <c r="I490" s="161">
        <v>0.259146007300329</v>
      </c>
      <c r="J490" s="161">
        <v>1.41740730099482</v>
      </c>
      <c r="K490" s="161">
        <v>6.3587681820075998E-3</v>
      </c>
      <c r="L490" s="161">
        <v>3.9096658952234901E-2</v>
      </c>
      <c r="M490" s="161">
        <v>-1.55300816268006E-5</v>
      </c>
      <c r="N490" s="161">
        <v>3.3361810109925902E-3</v>
      </c>
      <c r="O490" s="161">
        <v>0.82861557678979303</v>
      </c>
      <c r="P490" s="161">
        <v>1.1002724017715799</v>
      </c>
      <c r="Q490" s="161">
        <v>2.33979173274055E-5</v>
      </c>
      <c r="R490" s="161">
        <v>0.45322911306312202</v>
      </c>
      <c r="S490" s="161">
        <v>4.5291931425892997E-3</v>
      </c>
      <c r="T490" s="161">
        <v>0</v>
      </c>
      <c r="U490" s="161">
        <v>0</v>
      </c>
      <c r="V490" s="161">
        <v>0</v>
      </c>
      <c r="W490" s="161"/>
      <c r="X490" s="58"/>
      <c r="Y490" s="160"/>
      <c r="Z490" s="160"/>
      <c r="AA490" s="160"/>
      <c r="AB490" s="160"/>
      <c r="AC490" s="160"/>
      <c r="AD490" s="162"/>
      <c r="AE490" s="161"/>
    </row>
    <row r="491" spans="1:31" ht="21.2" customHeight="1">
      <c r="A491" s="8" t="s">
        <v>715</v>
      </c>
      <c r="B491" s="158" t="s">
        <v>887</v>
      </c>
      <c r="C491" s="159">
        <v>29</v>
      </c>
      <c r="D491" s="158" t="s">
        <v>847</v>
      </c>
      <c r="E491" s="58">
        <v>74.7</v>
      </c>
      <c r="F491" s="160">
        <v>13.2202528699822</v>
      </c>
      <c r="G491" s="161">
        <v>0.149170187644418</v>
      </c>
      <c r="H491" s="161">
        <v>0.109929756234564</v>
      </c>
      <c r="I491" s="161">
        <v>0.259099943878982</v>
      </c>
      <c r="J491" s="161">
        <v>1.27723322945794</v>
      </c>
      <c r="K491" s="161">
        <v>2.3198695332580599E-4</v>
      </c>
      <c r="L491" s="161">
        <v>5.9319097829023696E-4</v>
      </c>
      <c r="M491" s="161">
        <v>1.91103921501002E-2</v>
      </c>
      <c r="N491" s="161">
        <v>1.9267796122894601E-2</v>
      </c>
      <c r="O491" s="161">
        <v>0.61173991619163304</v>
      </c>
      <c r="P491" s="161">
        <v>1.21649271136987</v>
      </c>
      <c r="Q491" s="161">
        <v>-0.103898800493019</v>
      </c>
      <c r="R491" s="161">
        <v>0.25222952134744803</v>
      </c>
      <c r="S491" s="161">
        <v>1.4299905527063899E-2</v>
      </c>
      <c r="T491" s="161">
        <v>8.0909394667453297E-2</v>
      </c>
      <c r="U491" s="161">
        <v>0.185100714459034</v>
      </c>
      <c r="V491" s="161">
        <v>0.30415909731077501</v>
      </c>
      <c r="W491" s="161"/>
      <c r="X491" s="58"/>
      <c r="Y491" s="160"/>
      <c r="Z491" s="160"/>
      <c r="AA491" s="160"/>
      <c r="AB491" s="160"/>
      <c r="AC491" s="160"/>
      <c r="AD491" s="162"/>
      <c r="AE491" s="161"/>
    </row>
    <row r="492" spans="1:31" ht="21.2" customHeight="1">
      <c r="A492" s="8" t="s">
        <v>435</v>
      </c>
      <c r="B492" s="158" t="s">
        <v>872</v>
      </c>
      <c r="C492" s="159">
        <v>28</v>
      </c>
      <c r="D492" s="158" t="s">
        <v>849</v>
      </c>
      <c r="E492" s="58">
        <v>77.48</v>
      </c>
      <c r="F492" s="160">
        <v>18.658760376882</v>
      </c>
      <c r="G492" s="161">
        <v>5.3604539846593802E-2</v>
      </c>
      <c r="H492" s="161">
        <v>0.2054588853929</v>
      </c>
      <c r="I492" s="161">
        <v>0.25906342523949399</v>
      </c>
      <c r="J492" s="161">
        <v>1.3256254203690701</v>
      </c>
      <c r="K492" s="161">
        <v>2.9754261478286999E-4</v>
      </c>
      <c r="L492" s="161">
        <v>1.88227603931209E-3</v>
      </c>
      <c r="M492" s="161">
        <v>5.5517441729609901E-3</v>
      </c>
      <c r="N492" s="161">
        <v>8.4057495036771006E-3</v>
      </c>
      <c r="O492" s="161">
        <v>1.5054631448028899</v>
      </c>
      <c r="P492" s="161">
        <v>2.5009508369624101</v>
      </c>
      <c r="Q492" s="161">
        <v>-1.8646912601279601E-2</v>
      </c>
      <c r="R492" s="161">
        <v>0.714965376621577</v>
      </c>
      <c r="S492" s="161">
        <v>6.8624026156697401E-3</v>
      </c>
      <c r="T492" s="161">
        <v>0</v>
      </c>
      <c r="U492" s="161">
        <v>0</v>
      </c>
      <c r="V492" s="161">
        <v>0</v>
      </c>
      <c r="W492" s="161"/>
      <c r="X492" s="58"/>
      <c r="Y492" s="160"/>
      <c r="Z492" s="160"/>
      <c r="AA492" s="160"/>
      <c r="AB492" s="160"/>
      <c r="AC492" s="160"/>
      <c r="AD492" s="162"/>
      <c r="AE492" s="161"/>
    </row>
    <row r="493" spans="1:31" ht="21.2" customHeight="1">
      <c r="A493" s="8" t="s">
        <v>697</v>
      </c>
      <c r="B493" s="158" t="s">
        <v>894</v>
      </c>
      <c r="C493" s="159">
        <v>30</v>
      </c>
      <c r="D493" s="158" t="s">
        <v>848</v>
      </c>
      <c r="E493" s="58">
        <v>69.886071428571398</v>
      </c>
      <c r="F493" s="160">
        <v>13.191452451224499</v>
      </c>
      <c r="G493" s="161">
        <v>0.120831082023905</v>
      </c>
      <c r="H493" s="161">
        <v>0.13633652984377401</v>
      </c>
      <c r="I493" s="161">
        <v>0.257167611867679</v>
      </c>
      <c r="J493" s="161">
        <v>1.4628068143811099</v>
      </c>
      <c r="K493" s="161">
        <v>3.3151583680098998E-3</v>
      </c>
      <c r="L493" s="161">
        <v>9.9823638423630606E-3</v>
      </c>
      <c r="M493" s="161">
        <v>1.6914604864965401E-2</v>
      </c>
      <c r="N493" s="161">
        <v>2.0212905836609601E-2</v>
      </c>
      <c r="O493" s="161">
        <v>0.49450479106018702</v>
      </c>
      <c r="P493" s="161">
        <v>1.1927370835014901</v>
      </c>
      <c r="Q493" s="161">
        <v>-9.8980839997497794E-2</v>
      </c>
      <c r="R493" s="161">
        <v>0.31968643208144099</v>
      </c>
      <c r="S493" s="161">
        <v>1.23781915499234E-2</v>
      </c>
      <c r="T493" s="161">
        <v>6.1608954106607099E-2</v>
      </c>
      <c r="U493" s="161">
        <v>0.178312159809076</v>
      </c>
      <c r="V493" s="161">
        <v>0.25678837973492802</v>
      </c>
      <c r="W493" s="161"/>
      <c r="X493" s="58"/>
      <c r="Y493" s="160"/>
      <c r="Z493" s="160"/>
      <c r="AA493" s="160"/>
      <c r="AB493" s="160"/>
      <c r="AC493" s="160"/>
      <c r="AD493" s="162"/>
      <c r="AE493" s="161"/>
    </row>
    <row r="494" spans="1:31" ht="21.2" customHeight="1">
      <c r="A494" s="8" t="s">
        <v>453</v>
      </c>
      <c r="B494" s="158" t="s">
        <v>892</v>
      </c>
      <c r="C494" s="159">
        <v>30</v>
      </c>
      <c r="D494" s="158" t="s">
        <v>849</v>
      </c>
      <c r="E494" s="58">
        <v>79.412499999999994</v>
      </c>
      <c r="F494" s="160">
        <v>19.178648669969501</v>
      </c>
      <c r="G494" s="161">
        <v>6.6906462450139301E-2</v>
      </c>
      <c r="H494" s="161">
        <v>0.18944342555022101</v>
      </c>
      <c r="I494" s="161">
        <v>0.25634988800036002</v>
      </c>
      <c r="J494" s="161">
        <v>1.13322976970446</v>
      </c>
      <c r="K494" s="161">
        <v>2.5951357100706699E-4</v>
      </c>
      <c r="L494" s="161">
        <v>1.7002785958670399E-3</v>
      </c>
      <c r="M494" s="161">
        <v>-1.0622323168056001E-4</v>
      </c>
      <c r="N494" s="161">
        <v>4.7292621043601799E-3</v>
      </c>
      <c r="O494" s="161">
        <v>1.48481759679155</v>
      </c>
      <c r="P494" s="161">
        <v>1.8367409669752901</v>
      </c>
      <c r="Q494" s="161">
        <v>3.2038843702930203E-4</v>
      </c>
      <c r="R494" s="161">
        <v>0.66929996918590595</v>
      </c>
      <c r="S494" s="161">
        <v>9.4044376738816795E-3</v>
      </c>
      <c r="T494" s="161">
        <v>0</v>
      </c>
      <c r="U494" s="161">
        <v>0</v>
      </c>
      <c r="V494" s="161">
        <v>0</v>
      </c>
      <c r="W494" s="161"/>
      <c r="X494" s="58"/>
      <c r="Y494" s="160"/>
      <c r="Z494" s="160"/>
      <c r="AA494" s="160"/>
      <c r="AB494" s="160"/>
      <c r="AC494" s="160"/>
      <c r="AD494" s="162"/>
      <c r="AE494" s="161"/>
    </row>
    <row r="495" spans="1:31" ht="21.2" customHeight="1">
      <c r="A495" s="8" t="s">
        <v>443</v>
      </c>
      <c r="B495" s="158" t="s">
        <v>859</v>
      </c>
      <c r="C495" s="159">
        <v>29</v>
      </c>
      <c r="D495" s="158" t="s">
        <v>849</v>
      </c>
      <c r="E495" s="58">
        <v>80.685714285714297</v>
      </c>
      <c r="F495" s="160">
        <v>18.929549623939</v>
      </c>
      <c r="G495" s="161">
        <v>4.1731067340090397E-2</v>
      </c>
      <c r="H495" s="161">
        <v>0.21407592070363399</v>
      </c>
      <c r="I495" s="161">
        <v>0.25580698804372398</v>
      </c>
      <c r="J495" s="161">
        <v>1.1715039695124001</v>
      </c>
      <c r="K495" s="161">
        <v>2.6686569367344998E-4</v>
      </c>
      <c r="L495" s="161">
        <v>1.75038025076613E-3</v>
      </c>
      <c r="M495" s="161">
        <v>3.31914331641866E-7</v>
      </c>
      <c r="N495" s="161">
        <v>1.01646052938187E-2</v>
      </c>
      <c r="O495" s="161">
        <v>1.44546976885384</v>
      </c>
      <c r="P495" s="161">
        <v>1.61050840359551</v>
      </c>
      <c r="Q495" s="161">
        <v>5.5772525953254E-2</v>
      </c>
      <c r="R495" s="161">
        <v>0.26659185575787803</v>
      </c>
      <c r="S495" s="161">
        <v>6.6055799509324399E-3</v>
      </c>
      <c r="T495" s="161">
        <v>0</v>
      </c>
      <c r="U495" s="161">
        <v>0</v>
      </c>
      <c r="V495" s="161">
        <v>0</v>
      </c>
      <c r="W495" s="161"/>
      <c r="X495" s="58"/>
      <c r="Y495" s="160"/>
      <c r="Z495" s="160"/>
      <c r="AA495" s="160"/>
      <c r="AB495" s="160"/>
      <c r="AC495" s="160"/>
      <c r="AD495" s="162"/>
      <c r="AE495" s="161"/>
    </row>
    <row r="496" spans="1:31" ht="21.2" customHeight="1">
      <c r="A496" s="8" t="s">
        <v>676</v>
      </c>
      <c r="B496" s="158" t="s">
        <v>890</v>
      </c>
      <c r="C496" s="159">
        <v>31</v>
      </c>
      <c r="D496" s="158" t="s">
        <v>848</v>
      </c>
      <c r="E496" s="58">
        <v>81.56</v>
      </c>
      <c r="F496" s="160">
        <v>11.7869071393692</v>
      </c>
      <c r="G496" s="161">
        <v>0.129325636713741</v>
      </c>
      <c r="H496" s="161">
        <v>0.123904230591162</v>
      </c>
      <c r="I496" s="161">
        <v>0.25322986730490399</v>
      </c>
      <c r="J496" s="161">
        <v>1.13213459227293</v>
      </c>
      <c r="K496" s="161">
        <v>1.1769294495099299E-4</v>
      </c>
      <c r="L496" s="161">
        <v>3.0507918059596601E-4</v>
      </c>
      <c r="M496" s="161">
        <v>-1.15230465793037E-4</v>
      </c>
      <c r="N496" s="161">
        <v>1.15940219898873E-2</v>
      </c>
      <c r="O496" s="161">
        <v>0.84750993868353697</v>
      </c>
      <c r="P496" s="161">
        <v>2.8597915004902799</v>
      </c>
      <c r="Q496" s="161">
        <v>-5.6020216220194999E-2</v>
      </c>
      <c r="R496" s="161">
        <v>0.61925593557545</v>
      </c>
      <c r="S496" s="161">
        <v>1.5201665046662E-2</v>
      </c>
      <c r="T496" s="161">
        <v>6.4955300752167294E-2</v>
      </c>
      <c r="U496" s="161">
        <v>0.14320643227961699</v>
      </c>
      <c r="V496" s="161">
        <v>0.31204246720144901</v>
      </c>
      <c r="W496" s="161"/>
      <c r="X496" s="58"/>
      <c r="Y496" s="160"/>
      <c r="Z496" s="160"/>
      <c r="AA496" s="160"/>
      <c r="AB496" s="160"/>
      <c r="AC496" s="160"/>
      <c r="AD496" s="162"/>
      <c r="AE496" s="161"/>
    </row>
    <row r="497" spans="1:31" ht="21.2" customHeight="1">
      <c r="A497" s="8" t="s">
        <v>409</v>
      </c>
      <c r="B497" s="158" t="s">
        <v>886</v>
      </c>
      <c r="C497" s="159">
        <v>24</v>
      </c>
      <c r="D497" s="158" t="s">
        <v>849</v>
      </c>
      <c r="E497" s="58">
        <v>77.141785714285703</v>
      </c>
      <c r="F497" s="160">
        <v>17.250053396232701</v>
      </c>
      <c r="G497" s="161">
        <v>5.7840965068760998E-2</v>
      </c>
      <c r="H497" s="161">
        <v>0.195126660548189</v>
      </c>
      <c r="I497" s="161">
        <v>0.25296762561695002</v>
      </c>
      <c r="J497" s="161">
        <v>1.5182498760145899</v>
      </c>
      <c r="K497" s="161">
        <v>3.02757206206121E-3</v>
      </c>
      <c r="L497" s="161">
        <v>1.8445549042071602E-2</v>
      </c>
      <c r="M497" s="161">
        <v>3.96400658073989E-4</v>
      </c>
      <c r="N497" s="161">
        <v>1.97704545924288E-3</v>
      </c>
      <c r="O497" s="161">
        <v>1.4687383181493801</v>
      </c>
      <c r="P497" s="161">
        <v>1.3538023260718299</v>
      </c>
      <c r="Q497" s="161">
        <v>5.2953201202707599E-2</v>
      </c>
      <c r="R497" s="161">
        <v>0.48707242930037797</v>
      </c>
      <c r="S497" s="161">
        <v>9.4527918689650201E-3</v>
      </c>
      <c r="T497" s="161">
        <v>0</v>
      </c>
      <c r="U497" s="161">
        <v>0</v>
      </c>
      <c r="V497" s="161">
        <v>0</v>
      </c>
      <c r="W497" s="161"/>
      <c r="X497" s="58"/>
      <c r="Y497" s="160"/>
      <c r="Z497" s="160"/>
      <c r="AA497" s="160"/>
      <c r="AB497" s="160"/>
      <c r="AC497" s="160"/>
      <c r="AD497" s="162"/>
      <c r="AE497" s="161"/>
    </row>
    <row r="498" spans="1:31" ht="21.2" customHeight="1">
      <c r="A498" s="8" t="s">
        <v>498</v>
      </c>
      <c r="B498" s="158" t="s">
        <v>889</v>
      </c>
      <c r="C498" s="159">
        <v>31</v>
      </c>
      <c r="D498" s="158" t="s">
        <v>849</v>
      </c>
      <c r="E498" s="58">
        <v>79.741071428571402</v>
      </c>
      <c r="F498" s="160">
        <v>18.589297127749902</v>
      </c>
      <c r="G498" s="161">
        <v>2.9830202258672701E-2</v>
      </c>
      <c r="H498" s="161">
        <v>0.22304426798426299</v>
      </c>
      <c r="I498" s="161">
        <v>0.25287447024293702</v>
      </c>
      <c r="J498" s="161">
        <v>0.82515047621151105</v>
      </c>
      <c r="K498" s="161">
        <v>2.8318566233667301E-4</v>
      </c>
      <c r="L498" s="161">
        <v>1.8800730755095399E-3</v>
      </c>
      <c r="M498" s="161">
        <v>2.5652778949768499E-3</v>
      </c>
      <c r="N498" s="161">
        <v>9.8457631026662405E-3</v>
      </c>
      <c r="O498" s="161">
        <v>1.4996309092560101</v>
      </c>
      <c r="P498" s="161">
        <v>1.66282654666263</v>
      </c>
      <c r="Q498" s="161">
        <v>-2.1045442550623399E-2</v>
      </c>
      <c r="R498" s="161">
        <v>0.46848222471981499</v>
      </c>
      <c r="S498" s="161">
        <v>3.94760546353882E-3</v>
      </c>
      <c r="T498" s="161">
        <v>0</v>
      </c>
      <c r="U498" s="161">
        <v>0</v>
      </c>
      <c r="V498" s="161">
        <v>0</v>
      </c>
      <c r="W498" s="161"/>
      <c r="X498" s="58"/>
      <c r="Y498" s="160"/>
      <c r="Z498" s="160"/>
      <c r="AA498" s="160"/>
      <c r="AB498" s="160"/>
      <c r="AC498" s="160"/>
      <c r="AD498" s="162"/>
      <c r="AE498" s="161"/>
    </row>
    <row r="499" spans="1:31" ht="21.2" customHeight="1">
      <c r="A499" s="8" t="s">
        <v>728</v>
      </c>
      <c r="B499" s="158" t="s">
        <v>881</v>
      </c>
      <c r="C499" s="159">
        <v>35</v>
      </c>
      <c r="D499" s="158" t="s">
        <v>847</v>
      </c>
      <c r="E499" s="58">
        <v>74.625</v>
      </c>
      <c r="F499" s="160">
        <v>11.926720266768299</v>
      </c>
      <c r="G499" s="161">
        <v>7.8073814270535599E-2</v>
      </c>
      <c r="H499" s="161">
        <v>0.17430866468485701</v>
      </c>
      <c r="I499" s="161">
        <v>0.25238247895539301</v>
      </c>
      <c r="J499" s="161">
        <v>1.15289125799571</v>
      </c>
      <c r="K499" s="161">
        <v>2.0694208704342201E-3</v>
      </c>
      <c r="L499" s="161">
        <v>5.7752639931107803E-3</v>
      </c>
      <c r="M499" s="161">
        <v>9.1745718273816596E-4</v>
      </c>
      <c r="N499" s="161">
        <v>1.3588533554076101E-2</v>
      </c>
      <c r="O499" s="161">
        <v>0.52651836237844596</v>
      </c>
      <c r="P499" s="161">
        <v>2.30581504113026</v>
      </c>
      <c r="Q499" s="161">
        <v>-6.9208114450143202E-2</v>
      </c>
      <c r="R499" s="161">
        <v>0.60962577839272303</v>
      </c>
      <c r="S499" s="161">
        <v>9.1488107230327E-3</v>
      </c>
      <c r="T499" s="161">
        <v>0.77887198767269505</v>
      </c>
      <c r="U499" s="161">
        <v>0.69118100037155406</v>
      </c>
      <c r="V499" s="161">
        <v>0.52982579131987795</v>
      </c>
      <c r="W499" s="161"/>
      <c r="X499" s="58"/>
      <c r="Y499" s="160"/>
      <c r="Z499" s="160"/>
      <c r="AA499" s="160"/>
      <c r="AB499" s="160"/>
      <c r="AC499" s="160"/>
      <c r="AD499" s="162"/>
      <c r="AE499" s="161"/>
    </row>
    <row r="500" spans="1:31" ht="21.2" customHeight="1">
      <c r="A500" s="8" t="s">
        <v>461</v>
      </c>
      <c r="B500" s="158" t="s">
        <v>885</v>
      </c>
      <c r="C500" s="159">
        <v>33</v>
      </c>
      <c r="D500" s="158" t="s">
        <v>849</v>
      </c>
      <c r="E500" s="58">
        <v>74.900000000000006</v>
      </c>
      <c r="F500" s="160">
        <v>19.8791305522983</v>
      </c>
      <c r="G500" s="161">
        <v>4.2148932747798198E-2</v>
      </c>
      <c r="H500" s="161">
        <v>0.209947421086634</v>
      </c>
      <c r="I500" s="161">
        <v>0.25209635383443302</v>
      </c>
      <c r="J500" s="161">
        <v>1.1508322512017199</v>
      </c>
      <c r="K500" s="161">
        <v>9.14547414621757E-4</v>
      </c>
      <c r="L500" s="161">
        <v>9.6390264513736695E-3</v>
      </c>
      <c r="M500" s="161">
        <v>-6.7025817791327197E-4</v>
      </c>
      <c r="N500" s="161">
        <v>-2.7142875391505199E-3</v>
      </c>
      <c r="O500" s="161">
        <v>1.8644238884034401</v>
      </c>
      <c r="P500" s="161">
        <v>0.89979316541980603</v>
      </c>
      <c r="Q500" s="161">
        <v>5.5472479237667197E-2</v>
      </c>
      <c r="R500" s="161">
        <v>0.29637048794024301</v>
      </c>
      <c r="S500" s="161">
        <v>7.0430129040802598E-3</v>
      </c>
      <c r="T500" s="161">
        <v>0</v>
      </c>
      <c r="U500" s="161">
        <v>0</v>
      </c>
      <c r="V500" s="161">
        <v>0</v>
      </c>
      <c r="W500" s="161"/>
      <c r="X500" s="58"/>
      <c r="Y500" s="160"/>
      <c r="Z500" s="160"/>
      <c r="AA500" s="160"/>
      <c r="AB500" s="160"/>
      <c r="AC500" s="160"/>
      <c r="AD500" s="162"/>
      <c r="AE500" s="161"/>
    </row>
    <row r="501" spans="1:31" ht="21.2" customHeight="1">
      <c r="A501" s="8" t="s">
        <v>711</v>
      </c>
      <c r="B501" s="158" t="s">
        <v>876</v>
      </c>
      <c r="C501" s="159">
        <v>24</v>
      </c>
      <c r="D501" s="158" t="s">
        <v>864</v>
      </c>
      <c r="E501" s="58">
        <v>68.997500000000002</v>
      </c>
      <c r="F501" s="160">
        <v>11.864781613754801</v>
      </c>
      <c r="G501" s="161">
        <v>0.13099025224514299</v>
      </c>
      <c r="H501" s="161">
        <v>0.12077697870626899</v>
      </c>
      <c r="I501" s="161">
        <v>0.25176723095141201</v>
      </c>
      <c r="J501" s="161">
        <v>1.26091299986516</v>
      </c>
      <c r="K501" s="161">
        <v>8.1089803634908E-4</v>
      </c>
      <c r="L501" s="161">
        <v>1.99445269340841E-3</v>
      </c>
      <c r="M501" s="161">
        <v>1.1064078573656501E-2</v>
      </c>
      <c r="N501" s="161">
        <v>1.355517634468E-2</v>
      </c>
      <c r="O501" s="161">
        <v>0.63327494947422203</v>
      </c>
      <c r="P501" s="161">
        <v>1.82724016407644</v>
      </c>
      <c r="Q501" s="161">
        <v>-4.996339878166E-2</v>
      </c>
      <c r="R501" s="161">
        <v>0.27239277488900399</v>
      </c>
      <c r="S501" s="161">
        <v>1.50734061472133E-2</v>
      </c>
      <c r="T501" s="161">
        <v>3.0748163475698399E-2</v>
      </c>
      <c r="U501" s="161">
        <v>8.3483589793873506E-2</v>
      </c>
      <c r="V501" s="161">
        <v>0.26917352308457299</v>
      </c>
      <c r="W501" s="161"/>
      <c r="X501" s="58"/>
      <c r="Y501" s="160"/>
      <c r="Z501" s="160"/>
      <c r="AA501" s="160"/>
      <c r="AB501" s="160"/>
      <c r="AC501" s="160"/>
      <c r="AD501" s="162"/>
      <c r="AE501" s="161"/>
    </row>
    <row r="502" spans="1:31" ht="21.2" customHeight="1">
      <c r="A502" s="8" t="s">
        <v>718</v>
      </c>
      <c r="B502" s="158" t="s">
        <v>863</v>
      </c>
      <c r="C502" s="159">
        <v>28</v>
      </c>
      <c r="D502" s="158" t="s">
        <v>847</v>
      </c>
      <c r="E502" s="58">
        <v>72</v>
      </c>
      <c r="F502" s="160">
        <v>11.205898509527501</v>
      </c>
      <c r="G502" s="161">
        <v>0.134990301719879</v>
      </c>
      <c r="H502" s="161">
        <v>0.116688012592814</v>
      </c>
      <c r="I502" s="161">
        <v>0.251678314312693</v>
      </c>
      <c r="J502" s="161">
        <v>1.57492901519721</v>
      </c>
      <c r="K502" s="161">
        <v>7.5354593538826597E-4</v>
      </c>
      <c r="L502" s="161">
        <v>1.9120360466848201E-3</v>
      </c>
      <c r="M502" s="161">
        <v>5.6312418322234401E-4</v>
      </c>
      <c r="N502" s="161">
        <v>2.9845510378517302E-3</v>
      </c>
      <c r="O502" s="161">
        <v>0.272838678885932</v>
      </c>
      <c r="P502" s="161">
        <v>1.8772726446922601</v>
      </c>
      <c r="Q502" s="161">
        <v>3.5962916603301101E-2</v>
      </c>
      <c r="R502" s="161">
        <v>0.77361041281996801</v>
      </c>
      <c r="S502" s="161">
        <v>1.9364666692267801E-2</v>
      </c>
      <c r="T502" s="161">
        <v>0.10333613464215199</v>
      </c>
      <c r="U502" s="161">
        <v>0.21203584320768901</v>
      </c>
      <c r="V502" s="161">
        <v>0.32766428820557397</v>
      </c>
      <c r="W502" s="161"/>
      <c r="X502" s="58"/>
      <c r="Y502" s="160"/>
      <c r="Z502" s="160"/>
      <c r="AA502" s="160"/>
      <c r="AB502" s="160"/>
      <c r="AC502" s="160"/>
      <c r="AD502" s="162"/>
      <c r="AE502" s="161"/>
    </row>
    <row r="503" spans="1:31" ht="21.2" customHeight="1">
      <c r="A503" s="8" t="s">
        <v>473</v>
      </c>
      <c r="B503" s="158" t="s">
        <v>886</v>
      </c>
      <c r="C503" s="159">
        <v>26</v>
      </c>
      <c r="D503" s="158" t="s">
        <v>849</v>
      </c>
      <c r="E503" s="58">
        <v>74.052857142857107</v>
      </c>
      <c r="F503" s="160">
        <v>17.367332460815401</v>
      </c>
      <c r="G503" s="161">
        <v>8.2456983160795999E-2</v>
      </c>
      <c r="H503" s="161">
        <v>0.169017139932537</v>
      </c>
      <c r="I503" s="161">
        <v>0.251474123093333</v>
      </c>
      <c r="J503" s="161">
        <v>1.1937183856318401</v>
      </c>
      <c r="K503" s="161">
        <v>1.03731112043156E-4</v>
      </c>
      <c r="L503" s="161">
        <v>6.5067434163139501E-4</v>
      </c>
      <c r="M503" s="161">
        <v>4.4644796596966596E-3</v>
      </c>
      <c r="N503" s="161">
        <v>6.6377652946025397E-3</v>
      </c>
      <c r="O503" s="161">
        <v>1.6023410222908401</v>
      </c>
      <c r="P503" s="161">
        <v>1.5031724053717599</v>
      </c>
      <c r="Q503" s="161">
        <v>6.4030780140680199E-2</v>
      </c>
      <c r="R503" s="161">
        <v>0.44073636935856603</v>
      </c>
      <c r="S503" s="161">
        <v>1.3475720867298001E-2</v>
      </c>
      <c r="T503" s="161">
        <v>0</v>
      </c>
      <c r="U503" s="161">
        <v>0</v>
      </c>
      <c r="V503" s="161">
        <v>0</v>
      </c>
      <c r="W503" s="161"/>
      <c r="X503" s="58"/>
      <c r="Y503" s="160"/>
      <c r="Z503" s="160"/>
      <c r="AA503" s="160"/>
      <c r="AB503" s="160"/>
      <c r="AC503" s="160"/>
      <c r="AD503" s="162"/>
      <c r="AE503" s="161"/>
    </row>
    <row r="504" spans="1:31" ht="21.2" customHeight="1">
      <c r="A504" s="8" t="s">
        <v>743</v>
      </c>
      <c r="B504" s="158" t="s">
        <v>881</v>
      </c>
      <c r="C504" s="159">
        <v>25</v>
      </c>
      <c r="D504" s="158" t="s">
        <v>847</v>
      </c>
      <c r="E504" s="58">
        <v>72.207499999999996</v>
      </c>
      <c r="F504" s="160">
        <v>12.2772769974769</v>
      </c>
      <c r="G504" s="161">
        <v>9.04528891919021E-2</v>
      </c>
      <c r="H504" s="161">
        <v>0.15993308392410399</v>
      </c>
      <c r="I504" s="161">
        <v>0.25038597311600602</v>
      </c>
      <c r="J504" s="161">
        <v>1.11274823007942</v>
      </c>
      <c r="K504" s="161">
        <v>2.9235621822851E-3</v>
      </c>
      <c r="L504" s="161">
        <v>7.2871497680275198E-3</v>
      </c>
      <c r="M504" s="161">
        <v>3.1168924040706099E-3</v>
      </c>
      <c r="N504" s="161">
        <v>1.95749425717185E-2</v>
      </c>
      <c r="O504" s="161">
        <v>0.35668286580265501</v>
      </c>
      <c r="P504" s="161">
        <v>1.78546932827728</v>
      </c>
      <c r="Q504" s="161">
        <v>-9.0052716300327795E-2</v>
      </c>
      <c r="R504" s="161">
        <v>0.40016615812438699</v>
      </c>
      <c r="S504" s="161">
        <v>1.05994099340484E-2</v>
      </c>
      <c r="T504" s="161">
        <v>7.5983325426484102E-2</v>
      </c>
      <c r="U504" s="161">
        <v>0.206585905980149</v>
      </c>
      <c r="V504" s="161">
        <v>0.26890162473896501</v>
      </c>
      <c r="W504" s="161"/>
      <c r="X504" s="58"/>
      <c r="Y504" s="160"/>
      <c r="Z504" s="160"/>
      <c r="AA504" s="160"/>
      <c r="AB504" s="160"/>
      <c r="AC504" s="160"/>
      <c r="AD504" s="162"/>
      <c r="AE504" s="161"/>
    </row>
    <row r="505" spans="1:31" ht="21.2" customHeight="1">
      <c r="A505" s="8" t="s">
        <v>515</v>
      </c>
      <c r="B505" s="158" t="s">
        <v>861</v>
      </c>
      <c r="C505" s="163">
        <v>31</v>
      </c>
      <c r="D505" s="158" t="s">
        <v>849</v>
      </c>
      <c r="E505" s="58">
        <v>67.680357142857105</v>
      </c>
      <c r="F505" s="160">
        <v>17.488209394454302</v>
      </c>
      <c r="G505" s="161">
        <v>6.4922956401554294E-2</v>
      </c>
      <c r="H505" s="161">
        <v>0.18544017727471501</v>
      </c>
      <c r="I505" s="161">
        <v>0.25036313367627</v>
      </c>
      <c r="J505" s="161">
        <v>1.30052035122759</v>
      </c>
      <c r="K505" s="161">
        <v>1.25641503180221E-4</v>
      </c>
      <c r="L505" s="161">
        <v>8.2982612361918399E-4</v>
      </c>
      <c r="M505" s="161">
        <v>6.61861322825126E-5</v>
      </c>
      <c r="N505" s="161">
        <v>2.9090150517609902E-4</v>
      </c>
      <c r="O505" s="161">
        <v>1.2732257115918899</v>
      </c>
      <c r="P505" s="161">
        <v>2.0416868720580901</v>
      </c>
      <c r="Q505" s="161">
        <v>5.0805106804953801E-2</v>
      </c>
      <c r="R505" s="161">
        <v>0.97209238111829899</v>
      </c>
      <c r="S505" s="161">
        <v>1.02717898800226E-2</v>
      </c>
      <c r="T505" s="161">
        <v>0</v>
      </c>
      <c r="U505" s="161">
        <v>0</v>
      </c>
      <c r="V505" s="161">
        <v>0</v>
      </c>
      <c r="W505" s="161"/>
      <c r="X505" s="58"/>
      <c r="Y505" s="160"/>
      <c r="Z505" s="160"/>
      <c r="AA505" s="160"/>
      <c r="AB505" s="160"/>
      <c r="AC505" s="160"/>
      <c r="AD505" s="162"/>
      <c r="AE505" s="161"/>
    </row>
    <row r="506" spans="1:31" ht="21.2" customHeight="1">
      <c r="A506" s="8" t="s">
        <v>436</v>
      </c>
      <c r="B506" s="158" t="s">
        <v>885</v>
      </c>
      <c r="C506" s="159">
        <v>28</v>
      </c>
      <c r="D506" s="158" t="s">
        <v>849</v>
      </c>
      <c r="E506" s="58">
        <v>80.783571428571406</v>
      </c>
      <c r="F506" s="160">
        <v>18.471598978658498</v>
      </c>
      <c r="G506" s="161">
        <v>8.9101921027391298E-2</v>
      </c>
      <c r="H506" s="161">
        <v>0.159503922808299</v>
      </c>
      <c r="I506" s="161">
        <v>0.24860584383569001</v>
      </c>
      <c r="J506" s="161">
        <v>1.44894719280552</v>
      </c>
      <c r="K506" s="161">
        <v>4.3628646511682101E-4</v>
      </c>
      <c r="L506" s="161">
        <v>4.2283795443661199E-3</v>
      </c>
      <c r="M506" s="161">
        <v>2.33137877827493E-4</v>
      </c>
      <c r="N506" s="161">
        <v>2.0812320046721699E-3</v>
      </c>
      <c r="O506" s="161">
        <v>1.0196218935800201</v>
      </c>
      <c r="P506" s="161">
        <v>2.1103339704005699</v>
      </c>
      <c r="Q506" s="161">
        <v>3.4634920859197102E-2</v>
      </c>
      <c r="R506" s="161">
        <v>0.78544142960973695</v>
      </c>
      <c r="S506" s="161">
        <v>1.4888775080717599E-2</v>
      </c>
      <c r="T506" s="161">
        <v>0</v>
      </c>
      <c r="U506" s="161">
        <v>0</v>
      </c>
      <c r="V506" s="161">
        <v>0</v>
      </c>
      <c r="W506" s="161"/>
      <c r="X506" s="58"/>
      <c r="Y506" s="160"/>
      <c r="Z506" s="160"/>
      <c r="AA506" s="160"/>
      <c r="AB506" s="160"/>
      <c r="AC506" s="160"/>
      <c r="AD506" s="162"/>
      <c r="AE506" s="161"/>
    </row>
    <row r="507" spans="1:31" ht="21.2" customHeight="1">
      <c r="A507" s="8" t="s">
        <v>484</v>
      </c>
      <c r="B507" s="158" t="s">
        <v>890</v>
      </c>
      <c r="C507" s="159">
        <v>28</v>
      </c>
      <c r="D507" s="158" t="s">
        <v>849</v>
      </c>
      <c r="E507" s="58">
        <v>68.132142857142895</v>
      </c>
      <c r="F507" s="160">
        <v>16.2295943765264</v>
      </c>
      <c r="G507" s="161">
        <v>6.0344532450895001E-2</v>
      </c>
      <c r="H507" s="161">
        <v>0.1879622911394</v>
      </c>
      <c r="I507" s="161">
        <v>0.24830682359029499</v>
      </c>
      <c r="J507" s="161">
        <v>1.51565534872052</v>
      </c>
      <c r="K507" s="161">
        <v>2.86722797863911E-4</v>
      </c>
      <c r="L507" s="161">
        <v>3.9373556431086297E-3</v>
      </c>
      <c r="M507" s="161">
        <v>1.8195359829084099E-4</v>
      </c>
      <c r="N507" s="161">
        <v>8.3083908771175604E-4</v>
      </c>
      <c r="O507" s="161">
        <v>1.4151202852551701</v>
      </c>
      <c r="P507" s="161">
        <v>1.20255230648929</v>
      </c>
      <c r="Q507" s="161">
        <v>-6.9804142337931793E-2</v>
      </c>
      <c r="R507" s="161">
        <v>0.47387670211357003</v>
      </c>
      <c r="S507" s="161">
        <v>7.0932368324342901E-3</v>
      </c>
      <c r="T507" s="161">
        <v>0</v>
      </c>
      <c r="U507" s="161">
        <v>0</v>
      </c>
      <c r="V507" s="161">
        <v>0</v>
      </c>
      <c r="W507" s="161"/>
      <c r="X507" s="58"/>
      <c r="Y507" s="160"/>
      <c r="Z507" s="160"/>
      <c r="AA507" s="160"/>
      <c r="AB507" s="160"/>
      <c r="AC507" s="160"/>
      <c r="AD507" s="162"/>
      <c r="AE507" s="161"/>
    </row>
    <row r="508" spans="1:31" ht="21.2" customHeight="1">
      <c r="A508" s="8" t="s">
        <v>477</v>
      </c>
      <c r="B508" s="158" t="s">
        <v>877</v>
      </c>
      <c r="C508" s="159">
        <v>32</v>
      </c>
      <c r="D508" s="158" t="s">
        <v>849</v>
      </c>
      <c r="E508" s="58">
        <v>81.617500000000007</v>
      </c>
      <c r="F508" s="160">
        <v>18.554670965402401</v>
      </c>
      <c r="G508" s="161">
        <v>2.8625883013491601E-2</v>
      </c>
      <c r="H508" s="161">
        <v>0.21956681986377899</v>
      </c>
      <c r="I508" s="161">
        <v>0.24819270287727099</v>
      </c>
      <c r="J508" s="161">
        <v>0.98824261654606205</v>
      </c>
      <c r="K508" s="161">
        <v>2.7622522008211302E-4</v>
      </c>
      <c r="L508" s="161">
        <v>2.3628343816610099E-3</v>
      </c>
      <c r="M508" s="161">
        <v>-4.1633933282837998E-4</v>
      </c>
      <c r="N508" s="161">
        <v>7.5285185907591201E-3</v>
      </c>
      <c r="O508" s="161">
        <v>1.3254393488615701</v>
      </c>
      <c r="P508" s="161">
        <v>2.1940969372855599</v>
      </c>
      <c r="Q508" s="161">
        <v>1.5656562738751E-2</v>
      </c>
      <c r="R508" s="161">
        <v>0.76250002310258702</v>
      </c>
      <c r="S508" s="161">
        <v>4.46573356614559E-3</v>
      </c>
      <c r="T508" s="161">
        <v>0</v>
      </c>
      <c r="U508" s="161">
        <v>0</v>
      </c>
      <c r="V508" s="161">
        <v>0</v>
      </c>
      <c r="W508" s="161"/>
      <c r="X508" s="58"/>
      <c r="Y508" s="160"/>
      <c r="Z508" s="160"/>
      <c r="AA508" s="160"/>
      <c r="AB508" s="160"/>
      <c r="AC508" s="160"/>
      <c r="AD508" s="162"/>
      <c r="AE508" s="161"/>
    </row>
    <row r="509" spans="1:31" ht="21.2" customHeight="1">
      <c r="A509" s="8" t="s">
        <v>513</v>
      </c>
      <c r="B509" s="158" t="s">
        <v>863</v>
      </c>
      <c r="C509" s="159">
        <v>30</v>
      </c>
      <c r="D509" s="158" t="s">
        <v>849</v>
      </c>
      <c r="E509" s="58">
        <v>67.453571428571394</v>
      </c>
      <c r="F509" s="160">
        <v>16.152891650609799</v>
      </c>
      <c r="G509" s="161">
        <v>2.9000431336058501E-2</v>
      </c>
      <c r="H509" s="161">
        <v>0.21866051081113699</v>
      </c>
      <c r="I509" s="161">
        <v>0.247660942147195</v>
      </c>
      <c r="J509" s="161">
        <v>1.4245000789095601</v>
      </c>
      <c r="K509" s="161">
        <v>1.0250389549561699E-3</v>
      </c>
      <c r="L509" s="161">
        <v>2.1774954442751002E-2</v>
      </c>
      <c r="M509" s="161">
        <v>1.19138245427147E-3</v>
      </c>
      <c r="N509" s="161">
        <v>1.4726689247866701E-3</v>
      </c>
      <c r="O509" s="161">
        <v>0.88968950756324505</v>
      </c>
      <c r="P509" s="161">
        <v>1.3204388889680401</v>
      </c>
      <c r="Q509" s="161">
        <v>3.7773554364282799E-2</v>
      </c>
      <c r="R509" s="161">
        <v>0.37514557481594502</v>
      </c>
      <c r="S509" s="161">
        <v>4.1601780246415202E-3</v>
      </c>
      <c r="T509" s="161">
        <v>0</v>
      </c>
      <c r="U509" s="161">
        <v>0</v>
      </c>
      <c r="V509" s="161">
        <v>0</v>
      </c>
      <c r="W509" s="161"/>
      <c r="X509" s="58"/>
      <c r="Y509" s="160"/>
      <c r="Z509" s="160"/>
      <c r="AA509" s="160"/>
      <c r="AB509" s="160"/>
      <c r="AC509" s="160"/>
      <c r="AD509" s="162"/>
      <c r="AE509" s="161"/>
    </row>
    <row r="510" spans="1:31" ht="21.2" customHeight="1">
      <c r="A510" s="8" t="s">
        <v>722</v>
      </c>
      <c r="B510" s="158" t="s">
        <v>893</v>
      </c>
      <c r="C510" s="159">
        <v>27</v>
      </c>
      <c r="D510" s="158" t="s">
        <v>847</v>
      </c>
      <c r="E510" s="58">
        <v>79.141428571428605</v>
      </c>
      <c r="F510" s="160">
        <v>11.2311320841553</v>
      </c>
      <c r="G510" s="161">
        <v>0.113200984904195</v>
      </c>
      <c r="H510" s="161">
        <v>0.13440744128453799</v>
      </c>
      <c r="I510" s="161">
        <v>0.24760842618873299</v>
      </c>
      <c r="J510" s="161">
        <v>1.1517401671595799</v>
      </c>
      <c r="K510" s="161">
        <v>1.1795937514648201E-3</v>
      </c>
      <c r="L510" s="161">
        <v>4.86594828264707E-3</v>
      </c>
      <c r="M510" s="161">
        <v>6.4191425917845197E-4</v>
      </c>
      <c r="N510" s="161">
        <v>1.3791358371912301E-3</v>
      </c>
      <c r="O510" s="161">
        <v>0.41682610372642698</v>
      </c>
      <c r="P510" s="161">
        <v>1.03662925697745</v>
      </c>
      <c r="Q510" s="161">
        <v>-1.2376252389637001E-2</v>
      </c>
      <c r="R510" s="161">
        <v>0.23892514640439799</v>
      </c>
      <c r="S510" s="161">
        <v>1.40545536822482E-2</v>
      </c>
      <c r="T510" s="161">
        <v>0.109442365495227</v>
      </c>
      <c r="U510" s="161">
        <v>0.134199425815167</v>
      </c>
      <c r="V510" s="161">
        <v>0.44919373193985501</v>
      </c>
      <c r="W510" s="161"/>
      <c r="X510" s="58"/>
      <c r="Y510" s="160"/>
      <c r="Z510" s="160"/>
      <c r="AA510" s="160"/>
      <c r="AB510" s="160"/>
      <c r="AC510" s="160"/>
      <c r="AD510" s="162"/>
      <c r="AE510" s="161"/>
    </row>
    <row r="511" spans="1:31" ht="21.2" customHeight="1">
      <c r="A511" s="8" t="s">
        <v>438</v>
      </c>
      <c r="B511" s="158" t="s">
        <v>886</v>
      </c>
      <c r="C511" s="159">
        <v>36</v>
      </c>
      <c r="D511" s="158" t="s">
        <v>849</v>
      </c>
      <c r="E511" s="58">
        <v>73.003214285714293</v>
      </c>
      <c r="F511" s="160">
        <v>19.539667494803201</v>
      </c>
      <c r="G511" s="161">
        <v>6.1129784117585101E-2</v>
      </c>
      <c r="H511" s="161">
        <v>0.18643879793881099</v>
      </c>
      <c r="I511" s="161">
        <v>0.24756858205639601</v>
      </c>
      <c r="J511" s="161">
        <v>1.1127913422795199</v>
      </c>
      <c r="K511" s="161">
        <v>1.64570698817182E-3</v>
      </c>
      <c r="L511" s="161">
        <v>6.2487908454729804E-3</v>
      </c>
      <c r="M511" s="161">
        <v>-6.5202039552337296E-4</v>
      </c>
      <c r="N511" s="161">
        <v>-3.4374111597345399E-3</v>
      </c>
      <c r="O511" s="161">
        <v>2.7663189219265401</v>
      </c>
      <c r="P511" s="161">
        <v>0.89849333062449999</v>
      </c>
      <c r="Q511" s="161">
        <v>7.9698809323746303E-2</v>
      </c>
      <c r="R511" s="161">
        <v>0.33352096996612801</v>
      </c>
      <c r="S511" s="161">
        <v>9.9902746361744607E-3</v>
      </c>
      <c r="T511" s="161">
        <v>0</v>
      </c>
      <c r="U511" s="161">
        <v>0</v>
      </c>
      <c r="V511" s="161">
        <v>0</v>
      </c>
      <c r="W511" s="161"/>
      <c r="X511" s="58"/>
      <c r="Y511" s="160"/>
      <c r="Z511" s="160"/>
      <c r="AA511" s="160"/>
      <c r="AB511" s="160"/>
      <c r="AC511" s="160"/>
      <c r="AD511" s="162"/>
      <c r="AE511" s="161"/>
    </row>
    <row r="512" spans="1:31" ht="21.2" customHeight="1">
      <c r="A512" s="8" t="s">
        <v>800</v>
      </c>
      <c r="B512" s="158" t="s">
        <v>876</v>
      </c>
      <c r="C512" s="159">
        <v>22</v>
      </c>
      <c r="D512" s="158" t="s">
        <v>846</v>
      </c>
      <c r="E512" s="58">
        <v>59.62</v>
      </c>
      <c r="F512" s="160">
        <v>9.6253540182709099</v>
      </c>
      <c r="G512" s="161">
        <v>0.107217295073873</v>
      </c>
      <c r="H512" s="161">
        <v>0.13995341135637099</v>
      </c>
      <c r="I512" s="161">
        <v>0.247170706430244</v>
      </c>
      <c r="J512" s="161">
        <v>0.96682285847411698</v>
      </c>
      <c r="K512" s="161">
        <v>8.2780147196991603E-4</v>
      </c>
      <c r="L512" s="161">
        <v>2.03340911799259E-3</v>
      </c>
      <c r="M512" s="161">
        <v>6.7519472028033901E-4</v>
      </c>
      <c r="N512" s="161">
        <v>1.31624207632722E-3</v>
      </c>
      <c r="O512" s="161">
        <v>0.42531030830488897</v>
      </c>
      <c r="P512" s="161">
        <v>1.1859897148329299</v>
      </c>
      <c r="Q512" s="161">
        <v>-4.22897708545837E-2</v>
      </c>
      <c r="R512" s="161">
        <v>0.25532386657106498</v>
      </c>
      <c r="S512" s="161">
        <v>1.2337787025782599E-2</v>
      </c>
      <c r="T512" s="161">
        <v>1.8566210392996201</v>
      </c>
      <c r="U512" s="161">
        <v>3.39796680777479</v>
      </c>
      <c r="V512" s="161">
        <v>0.353333333333333</v>
      </c>
      <c r="W512" s="161"/>
      <c r="X512" s="58"/>
      <c r="Y512" s="160"/>
      <c r="Z512" s="160"/>
      <c r="AA512" s="160"/>
      <c r="AB512" s="160"/>
      <c r="AC512" s="160"/>
      <c r="AD512" s="162"/>
      <c r="AE512" s="161"/>
    </row>
    <row r="513" spans="1:31" ht="21.2" customHeight="1">
      <c r="A513" s="8" t="s">
        <v>449</v>
      </c>
      <c r="B513" s="158" t="s">
        <v>866</v>
      </c>
      <c r="C513" s="159">
        <v>39</v>
      </c>
      <c r="D513" s="158" t="s">
        <v>849</v>
      </c>
      <c r="E513" s="58">
        <v>74</v>
      </c>
      <c r="F513" s="160">
        <v>17.422282885063201</v>
      </c>
      <c r="G513" s="161">
        <v>5.7636219322015098E-2</v>
      </c>
      <c r="H513" s="161">
        <v>0.189157767805648</v>
      </c>
      <c r="I513" s="161">
        <v>0.24679398712766201</v>
      </c>
      <c r="J513" s="161">
        <v>1.3507923003698299</v>
      </c>
      <c r="K513" s="161">
        <v>7.6048588107340898E-4</v>
      </c>
      <c r="L513" s="161">
        <v>4.9494625577631698E-3</v>
      </c>
      <c r="M513" s="161">
        <v>1.16687089007056E-2</v>
      </c>
      <c r="N513" s="161">
        <v>8.3360423628457796E-3</v>
      </c>
      <c r="O513" s="161">
        <v>1.6783293396853201</v>
      </c>
      <c r="P513" s="161">
        <v>0.89948048786761103</v>
      </c>
      <c r="Q513" s="161">
        <v>7.7543630287180199E-2</v>
      </c>
      <c r="R513" s="161">
        <v>0.48575417402069099</v>
      </c>
      <c r="S513" s="161">
        <v>9.2592433146068496E-3</v>
      </c>
      <c r="T513" s="161">
        <v>0</v>
      </c>
      <c r="U513" s="161">
        <v>0</v>
      </c>
      <c r="V513" s="161">
        <v>0</v>
      </c>
      <c r="W513" s="161"/>
      <c r="X513" s="58"/>
      <c r="Y513" s="160"/>
      <c r="Z513" s="160"/>
      <c r="AA513" s="160"/>
      <c r="AB513" s="160"/>
      <c r="AC513" s="160"/>
      <c r="AD513" s="162"/>
      <c r="AE513" s="161"/>
    </row>
    <row r="514" spans="1:31" ht="21.2" customHeight="1">
      <c r="A514" s="8" t="s">
        <v>442</v>
      </c>
      <c r="B514" s="158" t="s">
        <v>868</v>
      </c>
      <c r="C514" s="159">
        <v>26</v>
      </c>
      <c r="D514" s="158" t="s">
        <v>849</v>
      </c>
      <c r="E514" s="58">
        <v>78.825000000000003</v>
      </c>
      <c r="F514" s="160">
        <v>20.484557164634101</v>
      </c>
      <c r="G514" s="161">
        <v>3.7845050913505401E-2</v>
      </c>
      <c r="H514" s="161">
        <v>0.20855211601493401</v>
      </c>
      <c r="I514" s="161">
        <v>0.24639716692843899</v>
      </c>
      <c r="J514" s="161">
        <v>1.1621105949453301</v>
      </c>
      <c r="K514" s="161">
        <v>2.4287177481313398E-3</v>
      </c>
      <c r="L514" s="161">
        <v>5.3163677110717204E-3</v>
      </c>
      <c r="M514" s="161">
        <v>5.0783047324146199E-4</v>
      </c>
      <c r="N514" s="161">
        <v>7.8999909365034295E-3</v>
      </c>
      <c r="O514" s="161">
        <v>1.80348458871102</v>
      </c>
      <c r="P514" s="161">
        <v>1.37746188894094</v>
      </c>
      <c r="Q514" s="161">
        <v>9.0775706317589803E-3</v>
      </c>
      <c r="R514" s="161">
        <v>0.55557772953066697</v>
      </c>
      <c r="S514" s="161">
        <v>5.56238917396467E-3</v>
      </c>
      <c r="T514" s="161">
        <v>0</v>
      </c>
      <c r="U514" s="161">
        <v>0</v>
      </c>
      <c r="V514" s="161">
        <v>0</v>
      </c>
      <c r="W514" s="161"/>
      <c r="X514" s="58"/>
      <c r="Y514" s="160"/>
      <c r="Z514" s="160"/>
      <c r="AA514" s="160"/>
      <c r="AB514" s="160"/>
      <c r="AC514" s="160"/>
      <c r="AD514" s="162"/>
      <c r="AE514" s="161"/>
    </row>
    <row r="515" spans="1:31" ht="21.2" customHeight="1">
      <c r="A515" s="8" t="s">
        <v>390</v>
      </c>
      <c r="B515" s="158" t="s">
        <v>887</v>
      </c>
      <c r="C515" s="159">
        <v>33</v>
      </c>
      <c r="D515" s="158" t="s">
        <v>849</v>
      </c>
      <c r="E515" s="58">
        <v>79.274642857142894</v>
      </c>
      <c r="F515" s="160">
        <v>20.005505301360301</v>
      </c>
      <c r="G515" s="161">
        <v>3.7550854750459897E-2</v>
      </c>
      <c r="H515" s="161">
        <v>0.20821774953139899</v>
      </c>
      <c r="I515" s="161">
        <v>0.24576860428185901</v>
      </c>
      <c r="J515" s="161">
        <v>1.65158433978709</v>
      </c>
      <c r="K515" s="161">
        <v>7.4614709084213997E-4</v>
      </c>
      <c r="L515" s="161">
        <v>5.0250474550438302E-3</v>
      </c>
      <c r="M515" s="161">
        <v>3.05344824788607E-3</v>
      </c>
      <c r="N515" s="161">
        <v>1.66122300550723E-3</v>
      </c>
      <c r="O515" s="161">
        <v>1.84093126598545</v>
      </c>
      <c r="P515" s="161">
        <v>4.2341276883232801</v>
      </c>
      <c r="Q515" s="161">
        <v>-5.51268208339167E-2</v>
      </c>
      <c r="R515" s="161">
        <v>1.1007228230752599</v>
      </c>
      <c r="S515" s="161">
        <v>3.5997385528003401E-3</v>
      </c>
      <c r="T515" s="161">
        <v>0</v>
      </c>
      <c r="U515" s="161">
        <v>0</v>
      </c>
      <c r="V515" s="161">
        <v>0</v>
      </c>
      <c r="W515" s="161"/>
      <c r="X515" s="58"/>
      <c r="Y515" s="160"/>
      <c r="Z515" s="160"/>
      <c r="AA515" s="160"/>
      <c r="AB515" s="160"/>
      <c r="AC515" s="160"/>
      <c r="AD515" s="162"/>
      <c r="AE515" s="161"/>
    </row>
    <row r="516" spans="1:31" ht="21.2" customHeight="1">
      <c r="A516" s="8" t="s">
        <v>768</v>
      </c>
      <c r="B516" s="158" t="s">
        <v>884</v>
      </c>
      <c r="C516" s="159">
        <v>23</v>
      </c>
      <c r="D516" s="158" t="s">
        <v>860</v>
      </c>
      <c r="E516" s="58">
        <v>55.02</v>
      </c>
      <c r="F516" s="160">
        <v>10.370621475443301</v>
      </c>
      <c r="G516" s="161">
        <v>0.10185333093144799</v>
      </c>
      <c r="H516" s="161">
        <v>0.143700083438872</v>
      </c>
      <c r="I516" s="161">
        <v>0.24555341437032099</v>
      </c>
      <c r="J516" s="161">
        <v>1.5364229622818499</v>
      </c>
      <c r="K516" s="161">
        <v>4.8608451847940697E-3</v>
      </c>
      <c r="L516" s="161">
        <v>1.6379089080170699E-2</v>
      </c>
      <c r="M516" s="161">
        <v>1.3730667954017701E-3</v>
      </c>
      <c r="N516" s="161">
        <v>2.7344223317206798E-3</v>
      </c>
      <c r="O516" s="161">
        <v>0.41579865440492297</v>
      </c>
      <c r="P516" s="161">
        <v>0.75156712489865596</v>
      </c>
      <c r="Q516" s="161">
        <v>8.3547674247347894E-2</v>
      </c>
      <c r="R516" s="161">
        <v>0.309156317434368</v>
      </c>
      <c r="S516" s="161">
        <v>1.8274768237654001E-2</v>
      </c>
      <c r="T516" s="161">
        <v>1.7618920970505501</v>
      </c>
      <c r="U516" s="161">
        <v>1.4530980256799599</v>
      </c>
      <c r="V516" s="161">
        <v>0.54802410887476005</v>
      </c>
      <c r="W516" s="161"/>
      <c r="X516" s="58"/>
      <c r="Y516" s="160"/>
      <c r="Z516" s="160"/>
      <c r="AA516" s="160"/>
      <c r="AB516" s="160"/>
      <c r="AC516" s="160"/>
      <c r="AD516" s="162"/>
      <c r="AE516" s="161"/>
    </row>
    <row r="517" spans="1:31" ht="21.2" customHeight="1">
      <c r="A517" s="8" t="s">
        <v>499</v>
      </c>
      <c r="B517" s="158" t="s">
        <v>894</v>
      </c>
      <c r="C517" s="159">
        <v>23</v>
      </c>
      <c r="D517" s="158" t="s">
        <v>849</v>
      </c>
      <c r="E517" s="58">
        <v>74.974999999999994</v>
      </c>
      <c r="F517" s="160">
        <v>17.2095682109073</v>
      </c>
      <c r="G517" s="161">
        <v>6.2698414850325096E-2</v>
      </c>
      <c r="H517" s="161">
        <v>0.181611346111723</v>
      </c>
      <c r="I517" s="161">
        <v>0.24430976096204901</v>
      </c>
      <c r="J517" s="161">
        <v>1.1249843710184799</v>
      </c>
      <c r="K517" s="161">
        <v>2.9084295724674902E-4</v>
      </c>
      <c r="L517" s="161">
        <v>2.6745485127261199E-3</v>
      </c>
      <c r="M517" s="161">
        <v>4.3163785811584099E-4</v>
      </c>
      <c r="N517" s="161">
        <v>2.1053072428508499E-3</v>
      </c>
      <c r="O517" s="161">
        <v>1.41519846480504</v>
      </c>
      <c r="P517" s="161">
        <v>0.99651104820801195</v>
      </c>
      <c r="Q517" s="161">
        <v>-8.2538167842424598E-2</v>
      </c>
      <c r="R517" s="161">
        <v>0.418075501166351</v>
      </c>
      <c r="S517" s="161">
        <v>6.42295819829161E-3</v>
      </c>
      <c r="T517" s="161">
        <v>0</v>
      </c>
      <c r="U517" s="161">
        <v>0</v>
      </c>
      <c r="V517" s="161">
        <v>0</v>
      </c>
      <c r="W517" s="161"/>
      <c r="X517" s="58"/>
      <c r="Y517" s="160"/>
      <c r="Z517" s="160"/>
      <c r="AA517" s="160"/>
      <c r="AB517" s="160"/>
      <c r="AC517" s="160"/>
      <c r="AD517" s="162"/>
      <c r="AE517" s="161"/>
    </row>
    <row r="518" spans="1:31" ht="21.2" customHeight="1">
      <c r="A518" s="8" t="s">
        <v>485</v>
      </c>
      <c r="B518" s="158" t="s">
        <v>868</v>
      </c>
      <c r="C518" s="159">
        <v>30</v>
      </c>
      <c r="D518" s="158" t="s">
        <v>849</v>
      </c>
      <c r="E518" s="58">
        <v>78.676071428571404</v>
      </c>
      <c r="F518" s="160">
        <v>16.7621423012504</v>
      </c>
      <c r="G518" s="161">
        <v>5.787297730688E-2</v>
      </c>
      <c r="H518" s="161">
        <v>0.18546690364802201</v>
      </c>
      <c r="I518" s="161">
        <v>0.243339880954902</v>
      </c>
      <c r="J518" s="161">
        <v>1.2114111636570799</v>
      </c>
      <c r="K518" s="161">
        <v>2.1189247908411099E-3</v>
      </c>
      <c r="L518" s="161">
        <v>8.3804005484800093E-3</v>
      </c>
      <c r="M518" s="161">
        <v>1.5607857136254799E-4</v>
      </c>
      <c r="N518" s="161">
        <v>6.3069104838615702E-4</v>
      </c>
      <c r="O518" s="161">
        <v>0.97656958748137301</v>
      </c>
      <c r="P518" s="161">
        <v>1.3554265000386501</v>
      </c>
      <c r="Q518" s="161">
        <v>9.2659777584607993E-3</v>
      </c>
      <c r="R518" s="161">
        <v>0.472720140195799</v>
      </c>
      <c r="S518" s="161">
        <v>8.5060533588029903E-3</v>
      </c>
      <c r="T518" s="161">
        <v>0</v>
      </c>
      <c r="U518" s="161">
        <v>0</v>
      </c>
      <c r="V518" s="161">
        <v>0</v>
      </c>
      <c r="W518" s="161"/>
      <c r="X518" s="58"/>
      <c r="Y518" s="160"/>
      <c r="Z518" s="160"/>
      <c r="AA518" s="160"/>
      <c r="AB518" s="160"/>
      <c r="AC518" s="160"/>
      <c r="AD518" s="162"/>
      <c r="AE518" s="161"/>
    </row>
    <row r="519" spans="1:31" ht="21.2" customHeight="1">
      <c r="A519" s="8" t="s">
        <v>493</v>
      </c>
      <c r="B519" s="158" t="s">
        <v>888</v>
      </c>
      <c r="C519" s="159">
        <v>33</v>
      </c>
      <c r="D519" s="158" t="s">
        <v>849</v>
      </c>
      <c r="E519" s="58">
        <v>75.064285714285703</v>
      </c>
      <c r="F519" s="160">
        <v>16.643245714830201</v>
      </c>
      <c r="G519" s="161">
        <v>5.6366366780360097E-2</v>
      </c>
      <c r="H519" s="161">
        <v>0.18666981508209299</v>
      </c>
      <c r="I519" s="161">
        <v>0.24303618186245199</v>
      </c>
      <c r="J519" s="161">
        <v>1.1732959838539401</v>
      </c>
      <c r="K519" s="161">
        <v>2.9804107865896799E-4</v>
      </c>
      <c r="L519" s="161">
        <v>2.0174612892702999E-3</v>
      </c>
      <c r="M519" s="161">
        <v>-2.29303129188502E-4</v>
      </c>
      <c r="N519" s="161">
        <v>-1.25211267483312E-3</v>
      </c>
      <c r="O519" s="161">
        <v>1.3861091339398499</v>
      </c>
      <c r="P519" s="161">
        <v>3.5987668074636998</v>
      </c>
      <c r="Q519" s="161">
        <v>-1.0560054326009699E-2</v>
      </c>
      <c r="R519" s="161">
        <v>0.95651466102517202</v>
      </c>
      <c r="S519" s="161">
        <v>8.2309637602471196E-3</v>
      </c>
      <c r="T519" s="161">
        <v>0</v>
      </c>
      <c r="U519" s="161">
        <v>0</v>
      </c>
      <c r="V519" s="161">
        <v>0</v>
      </c>
      <c r="W519" s="161"/>
      <c r="X519" s="58"/>
      <c r="Y519" s="160"/>
      <c r="Z519" s="160"/>
      <c r="AA519" s="160"/>
      <c r="AB519" s="160"/>
      <c r="AC519" s="160"/>
      <c r="AD519" s="162"/>
      <c r="AE519" s="161"/>
    </row>
    <row r="520" spans="1:31" ht="21.2" customHeight="1">
      <c r="A520" s="8" t="s">
        <v>739</v>
      </c>
      <c r="B520" s="158" t="s">
        <v>879</v>
      </c>
      <c r="C520" s="159">
        <v>27</v>
      </c>
      <c r="D520" s="158" t="s">
        <v>880</v>
      </c>
      <c r="E520" s="58">
        <v>60.83</v>
      </c>
      <c r="F520" s="160">
        <v>10.75</v>
      </c>
      <c r="G520" s="161">
        <v>0.10317819633928201</v>
      </c>
      <c r="H520" s="161">
        <v>0.139824257192776</v>
      </c>
      <c r="I520" s="161">
        <v>0.24300245353205699</v>
      </c>
      <c r="J520" s="161">
        <v>1.1248747885827901</v>
      </c>
      <c r="K520" s="161">
        <v>2.8124864455893399E-2</v>
      </c>
      <c r="L520" s="161">
        <v>5.5162181106402301E-2</v>
      </c>
      <c r="M520" s="161">
        <v>0</v>
      </c>
      <c r="N520" s="161">
        <v>0</v>
      </c>
      <c r="O520" s="161">
        <v>0.48716996416032399</v>
      </c>
      <c r="P520" s="161">
        <v>1.1209802713986901</v>
      </c>
      <c r="Q520" s="161">
        <v>-1.72429486504848E-4</v>
      </c>
      <c r="R520" s="161">
        <v>0.24122271662856201</v>
      </c>
      <c r="S520" s="161">
        <v>1.5516546756474099E-2</v>
      </c>
      <c r="T520" s="161">
        <v>6.7426159618524495E-2</v>
      </c>
      <c r="U520" s="161">
        <v>9.6978824733628996E-2</v>
      </c>
      <c r="V520" s="161">
        <v>0.41012235659533602</v>
      </c>
      <c r="W520" s="161"/>
      <c r="X520" s="58"/>
      <c r="Y520" s="160"/>
      <c r="Z520" s="160"/>
      <c r="AA520" s="160"/>
      <c r="AB520" s="160"/>
      <c r="AC520" s="160"/>
      <c r="AD520" s="162"/>
      <c r="AE520" s="161"/>
    </row>
    <row r="521" spans="1:31" ht="21.2" customHeight="1">
      <c r="A521" s="8" t="s">
        <v>603</v>
      </c>
      <c r="B521" s="158" t="s">
        <v>881</v>
      </c>
      <c r="C521" s="159">
        <v>24</v>
      </c>
      <c r="D521" s="158" t="s">
        <v>849</v>
      </c>
      <c r="E521" s="58">
        <v>51.017499999999998</v>
      </c>
      <c r="F521" s="160">
        <v>16.195173332137699</v>
      </c>
      <c r="G521" s="161">
        <v>5.82308495397812E-2</v>
      </c>
      <c r="H521" s="161">
        <v>0.18444275775739799</v>
      </c>
      <c r="I521" s="161">
        <v>0.24267360729717899</v>
      </c>
      <c r="J521" s="161">
        <v>1.11683591484303</v>
      </c>
      <c r="K521" s="161">
        <v>2.7652396316236601E-3</v>
      </c>
      <c r="L521" s="161">
        <v>1.7530975169797298E-2</v>
      </c>
      <c r="M521" s="161">
        <v>5.3320478004571803E-4</v>
      </c>
      <c r="N521" s="161">
        <v>2.3099843041737302E-3</v>
      </c>
      <c r="O521" s="161">
        <v>1.1436989756876701</v>
      </c>
      <c r="P521" s="161">
        <v>1.1222411253487301</v>
      </c>
      <c r="Q521" s="161">
        <v>-7.2510317306805502E-2</v>
      </c>
      <c r="R521" s="161">
        <v>0.35126015016822598</v>
      </c>
      <c r="S521" s="161">
        <v>6.8235813205543196E-3</v>
      </c>
      <c r="T521" s="161">
        <v>0</v>
      </c>
      <c r="U521" s="161">
        <v>0</v>
      </c>
      <c r="V521" s="161">
        <v>0</v>
      </c>
      <c r="W521" s="161"/>
      <c r="X521" s="58"/>
      <c r="Y521" s="160"/>
      <c r="Z521" s="160"/>
      <c r="AA521" s="160"/>
      <c r="AB521" s="160"/>
      <c r="AC521" s="160"/>
      <c r="AD521" s="162"/>
      <c r="AE521" s="161"/>
    </row>
    <row r="522" spans="1:31" ht="21.2" customHeight="1">
      <c r="A522" s="8" t="s">
        <v>772</v>
      </c>
      <c r="B522" s="158" t="s">
        <v>883</v>
      </c>
      <c r="C522" s="163">
        <v>23</v>
      </c>
      <c r="D522" s="158" t="s">
        <v>860</v>
      </c>
      <c r="E522" s="58">
        <v>62.106071428571397</v>
      </c>
      <c r="F522" s="160">
        <v>10.404411525343001</v>
      </c>
      <c r="G522" s="161">
        <v>0.13255992494525601</v>
      </c>
      <c r="H522" s="161">
        <v>0.10985636699725</v>
      </c>
      <c r="I522" s="161">
        <v>0.242416291942506</v>
      </c>
      <c r="J522" s="161">
        <v>1.0730920164360001</v>
      </c>
      <c r="K522" s="161">
        <v>2.4572726754233899E-3</v>
      </c>
      <c r="L522" s="161">
        <v>6.8829767503527798E-3</v>
      </c>
      <c r="M522" s="161">
        <v>7.5036042426719401E-4</v>
      </c>
      <c r="N522" s="161">
        <v>1.51868501715267E-3</v>
      </c>
      <c r="O522" s="161">
        <v>0.54525020088137099</v>
      </c>
      <c r="P522" s="161">
        <v>1.3794551860625099</v>
      </c>
      <c r="Q522" s="161">
        <v>-1.0482179664621101E-2</v>
      </c>
      <c r="R522" s="161">
        <v>0.16887995789268201</v>
      </c>
      <c r="S522" s="161">
        <v>1.9626962432015199E-2</v>
      </c>
      <c r="T522" s="161">
        <v>0.96997032771625102</v>
      </c>
      <c r="U522" s="161">
        <v>0.83308102275395102</v>
      </c>
      <c r="V522" s="161">
        <v>0.53796045656897196</v>
      </c>
      <c r="W522" s="161"/>
      <c r="X522" s="58"/>
      <c r="Y522" s="160"/>
      <c r="Z522" s="160"/>
      <c r="AA522" s="160"/>
      <c r="AB522" s="160"/>
      <c r="AC522" s="160"/>
      <c r="AD522" s="162"/>
      <c r="AE522" s="161"/>
    </row>
    <row r="523" spans="1:31" ht="21.2" customHeight="1">
      <c r="A523" s="8" t="s">
        <v>529</v>
      </c>
      <c r="B523" s="158" t="s">
        <v>871</v>
      </c>
      <c r="C523" s="159">
        <v>21</v>
      </c>
      <c r="D523" s="158" t="s">
        <v>849</v>
      </c>
      <c r="E523" s="58">
        <v>72.290000000000006</v>
      </c>
      <c r="F523" s="160">
        <v>15.7607254043516</v>
      </c>
      <c r="G523" s="161">
        <v>5.9214626455060197E-2</v>
      </c>
      <c r="H523" s="161">
        <v>0.182866621178565</v>
      </c>
      <c r="I523" s="161">
        <v>0.24208124763362401</v>
      </c>
      <c r="J523" s="161">
        <v>0.93442031148365201</v>
      </c>
      <c r="K523" s="161">
        <v>3.2214427711442701E-4</v>
      </c>
      <c r="L523" s="161">
        <v>2.6518767742045599E-3</v>
      </c>
      <c r="M523" s="161">
        <v>5.11924689683959E-4</v>
      </c>
      <c r="N523" s="161">
        <v>2.4728302345840502E-3</v>
      </c>
      <c r="O523" s="161">
        <v>1.4392235511714599</v>
      </c>
      <c r="P523" s="161">
        <v>1.6170817177469901</v>
      </c>
      <c r="Q523" s="161">
        <v>4.4294267036145099E-2</v>
      </c>
      <c r="R523" s="161">
        <v>0.27289426952425699</v>
      </c>
      <c r="S523" s="161">
        <v>1.00900617721198E-2</v>
      </c>
      <c r="T523" s="161">
        <v>0</v>
      </c>
      <c r="U523" s="161">
        <v>0</v>
      </c>
      <c r="V523" s="161">
        <v>0</v>
      </c>
      <c r="W523" s="161"/>
      <c r="X523" s="58"/>
      <c r="Y523" s="160"/>
      <c r="Z523" s="160"/>
      <c r="AA523" s="160"/>
      <c r="AB523" s="160"/>
      <c r="AC523" s="160"/>
      <c r="AD523" s="162"/>
      <c r="AE523" s="161"/>
    </row>
    <row r="524" spans="1:31" ht="21.2" customHeight="1">
      <c r="A524" s="8" t="s">
        <v>570</v>
      </c>
      <c r="B524" s="158" t="s">
        <v>895</v>
      </c>
      <c r="C524" s="159">
        <v>26</v>
      </c>
      <c r="D524" s="158" t="s">
        <v>849</v>
      </c>
      <c r="E524" s="58">
        <v>60</v>
      </c>
      <c r="F524" s="160">
        <v>15.832389442261601</v>
      </c>
      <c r="G524" s="161">
        <v>6.1284800924293503E-2</v>
      </c>
      <c r="H524" s="161">
        <v>0.179650933928616</v>
      </c>
      <c r="I524" s="161">
        <v>0.24093573485291001</v>
      </c>
      <c r="J524" s="161">
        <v>1.2381156655591801</v>
      </c>
      <c r="K524" s="161">
        <v>1.8481546284240401E-4</v>
      </c>
      <c r="L524" s="161">
        <v>1.5703785319127E-3</v>
      </c>
      <c r="M524" s="161">
        <v>0</v>
      </c>
      <c r="N524" s="161">
        <v>0</v>
      </c>
      <c r="O524" s="161">
        <v>0.98685676421724</v>
      </c>
      <c r="P524" s="161">
        <v>0.83843746154773002</v>
      </c>
      <c r="Q524" s="161">
        <v>5.67597324141394E-3</v>
      </c>
      <c r="R524" s="161">
        <v>0.35858515684120101</v>
      </c>
      <c r="S524" s="161">
        <v>0</v>
      </c>
      <c r="T524" s="161">
        <v>0</v>
      </c>
      <c r="U524" s="161">
        <v>0</v>
      </c>
      <c r="V524" s="161">
        <v>0</v>
      </c>
      <c r="W524" s="161"/>
      <c r="X524" s="58"/>
      <c r="Y524" s="160"/>
      <c r="Z524" s="160"/>
      <c r="AA524" s="160"/>
      <c r="AB524" s="160"/>
      <c r="AC524" s="160"/>
      <c r="AD524" s="162"/>
      <c r="AE524" s="161"/>
    </row>
    <row r="525" spans="1:31" ht="21.2" customHeight="1">
      <c r="A525" s="8" t="s">
        <v>757</v>
      </c>
      <c r="B525" s="158" t="s">
        <v>868</v>
      </c>
      <c r="C525" s="159">
        <v>30</v>
      </c>
      <c r="D525" s="158" t="s">
        <v>860</v>
      </c>
      <c r="E525" s="58">
        <v>70</v>
      </c>
      <c r="F525" s="160">
        <v>12.553484848484899</v>
      </c>
      <c r="G525" s="161">
        <v>8.3233789207331502E-2</v>
      </c>
      <c r="H525" s="161">
        <v>0.15694210248448201</v>
      </c>
      <c r="I525" s="161">
        <v>0.240175891691813</v>
      </c>
      <c r="J525" s="161">
        <v>1.0968022766946699</v>
      </c>
      <c r="K525" s="161">
        <v>5.3896678383623202E-4</v>
      </c>
      <c r="L525" s="161">
        <v>1.59453742804451E-3</v>
      </c>
      <c r="M525" s="161">
        <v>7.7136955229588798E-3</v>
      </c>
      <c r="N525" s="161">
        <v>1.0916841119489099E-2</v>
      </c>
      <c r="O525" s="161">
        <v>0.47210317086971099</v>
      </c>
      <c r="P525" s="161">
        <v>1.1369090382742599</v>
      </c>
      <c r="Q525" s="161">
        <v>-2.7866294515745899E-3</v>
      </c>
      <c r="R525" s="161">
        <v>0.42430968758857401</v>
      </c>
      <c r="S525" s="161">
        <v>1.22335342883552E-2</v>
      </c>
      <c r="T525" s="161">
        <v>5.0201423171717696</v>
      </c>
      <c r="U525" s="161">
        <v>3.9653894141383699</v>
      </c>
      <c r="V525" s="161">
        <v>0.55869173547949902</v>
      </c>
      <c r="W525" s="161"/>
      <c r="X525" s="58"/>
      <c r="Y525" s="160"/>
      <c r="Z525" s="160"/>
      <c r="AA525" s="160"/>
      <c r="AB525" s="160"/>
      <c r="AC525" s="160"/>
      <c r="AD525" s="162"/>
      <c r="AE525" s="161"/>
    </row>
    <row r="526" spans="1:31" ht="21.2" customHeight="1">
      <c r="A526" s="8" t="s">
        <v>455</v>
      </c>
      <c r="B526" s="158" t="s">
        <v>888</v>
      </c>
      <c r="C526" s="159">
        <v>25</v>
      </c>
      <c r="D526" s="158" t="s">
        <v>849</v>
      </c>
      <c r="E526" s="58">
        <v>76.9546428571429</v>
      </c>
      <c r="F526" s="160">
        <v>17.832198404279101</v>
      </c>
      <c r="G526" s="161">
        <v>3.8521456312399498E-2</v>
      </c>
      <c r="H526" s="161">
        <v>0.20097540544812201</v>
      </c>
      <c r="I526" s="161">
        <v>0.23949686176052201</v>
      </c>
      <c r="J526" s="161">
        <v>1.2975660324240099</v>
      </c>
      <c r="K526" s="161">
        <v>1.55046243148934E-3</v>
      </c>
      <c r="L526" s="161">
        <v>6.45723854290094E-3</v>
      </c>
      <c r="M526" s="161">
        <v>4.5172763116404401E-4</v>
      </c>
      <c r="N526" s="161">
        <v>2.4789338655792398E-3</v>
      </c>
      <c r="O526" s="161">
        <v>1.5161147884422199</v>
      </c>
      <c r="P526" s="161">
        <v>1.34118006178257</v>
      </c>
      <c r="Q526" s="161">
        <v>-1.3112127340824E-2</v>
      </c>
      <c r="R526" s="161">
        <v>0.51325169619747002</v>
      </c>
      <c r="S526" s="161">
        <v>5.62514011475688E-3</v>
      </c>
      <c r="T526" s="161">
        <v>0</v>
      </c>
      <c r="U526" s="161">
        <v>0</v>
      </c>
      <c r="V526" s="161">
        <v>0</v>
      </c>
      <c r="W526" s="161"/>
      <c r="X526" s="58"/>
      <c r="Y526" s="160"/>
      <c r="Z526" s="160"/>
      <c r="AA526" s="160"/>
      <c r="AB526" s="160"/>
      <c r="AC526" s="160"/>
      <c r="AD526" s="162"/>
      <c r="AE526" s="161"/>
    </row>
    <row r="527" spans="1:31" ht="21.2" customHeight="1">
      <c r="A527" s="8" t="s">
        <v>719</v>
      </c>
      <c r="B527" s="158" t="s">
        <v>874</v>
      </c>
      <c r="C527" s="159">
        <v>30</v>
      </c>
      <c r="D527" s="158" t="s">
        <v>847</v>
      </c>
      <c r="E527" s="58">
        <v>76.102500000000006</v>
      </c>
      <c r="F527" s="160">
        <v>13.102413782124</v>
      </c>
      <c r="G527" s="161">
        <v>0.11018757256039199</v>
      </c>
      <c r="H527" s="161">
        <v>0.12904876862222001</v>
      </c>
      <c r="I527" s="161">
        <v>0.239236341182611</v>
      </c>
      <c r="J527" s="161">
        <v>1.31112101580351</v>
      </c>
      <c r="K527" s="161">
        <v>2.7025607208968402E-3</v>
      </c>
      <c r="L527" s="161">
        <v>9.9627843530957702E-3</v>
      </c>
      <c r="M527" s="161">
        <v>-4.6955886941259901E-4</v>
      </c>
      <c r="N527" s="161">
        <v>-1.31021715362426E-3</v>
      </c>
      <c r="O527" s="161">
        <v>0.46370672467191498</v>
      </c>
      <c r="P527" s="161">
        <v>0.83873974965222597</v>
      </c>
      <c r="Q527" s="161">
        <v>9.8981166753289301E-3</v>
      </c>
      <c r="R527" s="161">
        <v>0.231537161185979</v>
      </c>
      <c r="S527" s="161">
        <v>1.76873117290141E-2</v>
      </c>
      <c r="T527" s="161">
        <v>7.8251428625282393E-2</v>
      </c>
      <c r="U527" s="161">
        <v>0.131111314072338</v>
      </c>
      <c r="V527" s="161">
        <v>0.37376004735618101</v>
      </c>
      <c r="W527" s="161"/>
      <c r="X527" s="58"/>
      <c r="Y527" s="160"/>
      <c r="Z527" s="160"/>
      <c r="AA527" s="160"/>
      <c r="AB527" s="160"/>
      <c r="AC527" s="160"/>
      <c r="AD527" s="162"/>
      <c r="AE527" s="161"/>
    </row>
    <row r="528" spans="1:31" ht="21.2" customHeight="1">
      <c r="A528" s="8" t="s">
        <v>457</v>
      </c>
      <c r="B528" s="158" t="s">
        <v>882</v>
      </c>
      <c r="C528" s="159">
        <v>32</v>
      </c>
      <c r="D528" s="158" t="s">
        <v>849</v>
      </c>
      <c r="E528" s="58">
        <v>74.141071428571394</v>
      </c>
      <c r="F528" s="160">
        <v>18.116557673989799</v>
      </c>
      <c r="G528" s="161">
        <v>4.8600267596599502E-2</v>
      </c>
      <c r="H528" s="161">
        <v>0.19019087992461001</v>
      </c>
      <c r="I528" s="161">
        <v>0.23879114752121</v>
      </c>
      <c r="J528" s="161">
        <v>1.25091687366787</v>
      </c>
      <c r="K528" s="161">
        <v>5.4656835807419604E-4</v>
      </c>
      <c r="L528" s="161">
        <v>6.72226089478E-3</v>
      </c>
      <c r="M528" s="161">
        <v>-4.0948166302925E-4</v>
      </c>
      <c r="N528" s="161">
        <v>2.57008858645583E-3</v>
      </c>
      <c r="O528" s="161">
        <v>1.94756062478401</v>
      </c>
      <c r="P528" s="161">
        <v>0.58841247090394999</v>
      </c>
      <c r="Q528" s="161">
        <v>-2.4734686898226499E-2</v>
      </c>
      <c r="R528" s="161">
        <v>0.30385762319606102</v>
      </c>
      <c r="S528" s="161">
        <v>5.9781190092081798E-3</v>
      </c>
      <c r="T528" s="161">
        <v>0</v>
      </c>
      <c r="U528" s="161">
        <v>0</v>
      </c>
      <c r="V528" s="161">
        <v>0</v>
      </c>
      <c r="W528" s="161"/>
      <c r="X528" s="58"/>
      <c r="Y528" s="160"/>
      <c r="Z528" s="160"/>
      <c r="AA528" s="160"/>
      <c r="AB528" s="160"/>
      <c r="AC528" s="160"/>
      <c r="AD528" s="162"/>
      <c r="AE528" s="161"/>
    </row>
    <row r="529" spans="1:31" ht="21.2" customHeight="1">
      <c r="A529" s="8" t="s">
        <v>604</v>
      </c>
      <c r="B529" s="158" t="s">
        <v>891</v>
      </c>
      <c r="C529" s="159">
        <v>22</v>
      </c>
      <c r="D529" s="158" t="s">
        <v>849</v>
      </c>
      <c r="E529" s="58">
        <v>55.055</v>
      </c>
      <c r="F529" s="160">
        <v>14.4955031132376</v>
      </c>
      <c r="G529" s="161">
        <v>7.4913165112673305E-2</v>
      </c>
      <c r="H529" s="161">
        <v>0.163154349678335</v>
      </c>
      <c r="I529" s="161">
        <v>0.23806751479100899</v>
      </c>
      <c r="J529" s="161">
        <v>0.98974287563302898</v>
      </c>
      <c r="K529" s="161">
        <v>2.7522008955863401E-3</v>
      </c>
      <c r="L529" s="161">
        <v>1.8683761599766702E-2</v>
      </c>
      <c r="M529" s="161">
        <v>4.0245029843547899E-5</v>
      </c>
      <c r="N529" s="161">
        <v>1.8808163974673301E-4</v>
      </c>
      <c r="O529" s="161">
        <v>0.95793902485062099</v>
      </c>
      <c r="P529" s="161">
        <v>1.3428351035717601</v>
      </c>
      <c r="Q529" s="161">
        <v>9.4045603231958704E-3</v>
      </c>
      <c r="R529" s="161">
        <v>0.29036499500925</v>
      </c>
      <c r="S529" s="161">
        <v>1.15757214126223E-2</v>
      </c>
      <c r="T529" s="161">
        <v>0</v>
      </c>
      <c r="U529" s="161">
        <v>0</v>
      </c>
      <c r="V529" s="161">
        <v>0</v>
      </c>
      <c r="W529" s="161"/>
      <c r="X529" s="58"/>
      <c r="Y529" s="160"/>
      <c r="Z529" s="160"/>
      <c r="AA529" s="160"/>
      <c r="AB529" s="160"/>
      <c r="AC529" s="160"/>
      <c r="AD529" s="162"/>
      <c r="AE529" s="161"/>
    </row>
    <row r="530" spans="1:31" ht="21.2" customHeight="1">
      <c r="A530" s="8" t="s">
        <v>809</v>
      </c>
      <c r="B530" s="158" t="s">
        <v>868</v>
      </c>
      <c r="C530" s="159">
        <v>22</v>
      </c>
      <c r="D530" s="158" t="s">
        <v>847</v>
      </c>
      <c r="E530" s="58">
        <v>50</v>
      </c>
      <c r="F530" s="160">
        <v>8.3803449690663001</v>
      </c>
      <c r="G530" s="161">
        <v>0.13277099219213001</v>
      </c>
      <c r="H530" s="161">
        <v>0.104780584099878</v>
      </c>
      <c r="I530" s="161">
        <v>0.23755157629200899</v>
      </c>
      <c r="J530" s="161">
        <v>0.87399058171671296</v>
      </c>
      <c r="K530" s="161">
        <v>7.5526325144275702E-5</v>
      </c>
      <c r="L530" s="161">
        <v>1.8513764455529801E-4</v>
      </c>
      <c r="M530" s="161">
        <v>0</v>
      </c>
      <c r="N530" s="161">
        <v>0</v>
      </c>
      <c r="O530" s="161">
        <v>0.33936597361452098</v>
      </c>
      <c r="P530" s="161">
        <v>1.16779253727355</v>
      </c>
      <c r="Q530" s="161">
        <v>6.4956033164355097E-3</v>
      </c>
      <c r="R530" s="161">
        <v>0.17162745708579</v>
      </c>
      <c r="S530" s="161">
        <v>1.9514412367258899E-2</v>
      </c>
      <c r="T530" s="161">
        <v>0</v>
      </c>
      <c r="U530" s="161">
        <v>0.36160998408540002</v>
      </c>
      <c r="V530" s="161">
        <v>0</v>
      </c>
      <c r="W530" s="161"/>
      <c r="X530" s="58"/>
      <c r="Y530" s="160"/>
      <c r="Z530" s="160"/>
      <c r="AA530" s="160"/>
      <c r="AB530" s="160"/>
      <c r="AC530" s="160"/>
      <c r="AD530" s="162"/>
      <c r="AE530" s="161"/>
    </row>
    <row r="531" spans="1:31" ht="21.2" customHeight="1">
      <c r="A531" s="8" t="s">
        <v>584</v>
      </c>
      <c r="B531" s="158" t="s">
        <v>878</v>
      </c>
      <c r="C531" s="159">
        <v>22</v>
      </c>
      <c r="D531" s="158" t="s">
        <v>849</v>
      </c>
      <c r="E531" s="58">
        <v>56.110714285714302</v>
      </c>
      <c r="F531" s="160">
        <v>16.5161842348652</v>
      </c>
      <c r="G531" s="161">
        <v>3.3329346408901797E-2</v>
      </c>
      <c r="H531" s="161">
        <v>0.20396873955555</v>
      </c>
      <c r="I531" s="161">
        <v>0.23729808596445201</v>
      </c>
      <c r="J531" s="161">
        <v>1.07151848673064</v>
      </c>
      <c r="K531" s="161">
        <v>1.5196271757931699E-3</v>
      </c>
      <c r="L531" s="161">
        <v>2.3017212315765201E-2</v>
      </c>
      <c r="M531" s="161">
        <v>2.6277314530993802E-4</v>
      </c>
      <c r="N531" s="161">
        <v>1.15326338478908E-3</v>
      </c>
      <c r="O531" s="161">
        <v>1.2644957160467001</v>
      </c>
      <c r="P531" s="161">
        <v>0.98475788261132902</v>
      </c>
      <c r="Q531" s="161">
        <v>-4.49625171539383E-2</v>
      </c>
      <c r="R531" s="161">
        <v>0.551920609515548</v>
      </c>
      <c r="S531" s="161">
        <v>4.2060501268605397E-3</v>
      </c>
      <c r="T531" s="161">
        <v>0</v>
      </c>
      <c r="U531" s="161">
        <v>0</v>
      </c>
      <c r="V531" s="161">
        <v>0</v>
      </c>
      <c r="W531" s="161"/>
      <c r="X531" s="58"/>
      <c r="Y531" s="160"/>
      <c r="Z531" s="160"/>
      <c r="AA531" s="160"/>
      <c r="AB531" s="160"/>
      <c r="AC531" s="160"/>
      <c r="AD531" s="162"/>
      <c r="AE531" s="161"/>
    </row>
    <row r="532" spans="1:31" ht="21.2" customHeight="1">
      <c r="A532" s="8" t="s">
        <v>536</v>
      </c>
      <c r="B532" s="158" t="s">
        <v>863</v>
      </c>
      <c r="C532" s="159">
        <v>25</v>
      </c>
      <c r="D532" s="158" t="s">
        <v>849</v>
      </c>
      <c r="E532" s="58">
        <v>69.683571428571398</v>
      </c>
      <c r="F532" s="160">
        <v>15.8757315118324</v>
      </c>
      <c r="G532" s="161">
        <v>6.2861232765771005E-2</v>
      </c>
      <c r="H532" s="161">
        <v>0.173256801322829</v>
      </c>
      <c r="I532" s="161">
        <v>0.23611803408859999</v>
      </c>
      <c r="J532" s="161">
        <v>1.0994278130220401</v>
      </c>
      <c r="K532" s="161">
        <v>2.75100833916518E-4</v>
      </c>
      <c r="L532" s="161">
        <v>1.72008198136806E-3</v>
      </c>
      <c r="M532" s="161">
        <v>2.7343967506501701E-4</v>
      </c>
      <c r="N532" s="161">
        <v>1.2149791716366701E-3</v>
      </c>
      <c r="O532" s="161">
        <v>1.0730980935756</v>
      </c>
      <c r="P532" s="161">
        <v>1.40890793537944</v>
      </c>
      <c r="Q532" s="161">
        <v>5.3664138637773903E-2</v>
      </c>
      <c r="R532" s="161">
        <v>0.38037773153388499</v>
      </c>
      <c r="S532" s="161">
        <v>9.0175872256381094E-3</v>
      </c>
      <c r="T532" s="161">
        <v>0</v>
      </c>
      <c r="U532" s="161">
        <v>0</v>
      </c>
      <c r="V532" s="161">
        <v>0</v>
      </c>
      <c r="W532" s="161"/>
      <c r="X532" s="58"/>
      <c r="Y532" s="160"/>
      <c r="Z532" s="160"/>
      <c r="AA532" s="160"/>
      <c r="AB532" s="160"/>
      <c r="AC532" s="160"/>
      <c r="AD532" s="162"/>
      <c r="AE532" s="161"/>
    </row>
    <row r="533" spans="1:31" ht="21.2" customHeight="1">
      <c r="A533" s="8" t="s">
        <v>517</v>
      </c>
      <c r="B533" s="158" t="s">
        <v>876</v>
      </c>
      <c r="C533" s="159">
        <v>32</v>
      </c>
      <c r="D533" s="158" t="s">
        <v>849</v>
      </c>
      <c r="E533" s="58">
        <v>80.357500000000002</v>
      </c>
      <c r="F533" s="160">
        <v>17.669817243627499</v>
      </c>
      <c r="G533" s="161">
        <v>2.48666749453367E-2</v>
      </c>
      <c r="H533" s="161">
        <v>0.21124610582116801</v>
      </c>
      <c r="I533" s="161">
        <v>0.23611278076650499</v>
      </c>
      <c r="J533" s="161">
        <v>0.86506258581326101</v>
      </c>
      <c r="K533" s="161">
        <v>7.9896191370701201E-4</v>
      </c>
      <c r="L533" s="161">
        <v>1.2668396902670701E-2</v>
      </c>
      <c r="M533" s="161">
        <v>-1.19178291422385E-5</v>
      </c>
      <c r="N533" s="161">
        <v>-1.81355712800977E-4</v>
      </c>
      <c r="O533" s="161">
        <v>1.0584766894911899</v>
      </c>
      <c r="P533" s="161">
        <v>0.66795086940172899</v>
      </c>
      <c r="Q533" s="161">
        <v>-6.3983816881861597E-2</v>
      </c>
      <c r="R533" s="161">
        <v>0.245828469420141</v>
      </c>
      <c r="S533" s="161">
        <v>2.8614762133622302E-3</v>
      </c>
      <c r="T533" s="161">
        <v>0</v>
      </c>
      <c r="U533" s="161">
        <v>0</v>
      </c>
      <c r="V533" s="161">
        <v>0</v>
      </c>
      <c r="W533" s="161"/>
      <c r="X533" s="58"/>
      <c r="Y533" s="160"/>
      <c r="Z533" s="160"/>
      <c r="AA533" s="160"/>
      <c r="AB533" s="160"/>
      <c r="AC533" s="160"/>
      <c r="AD533" s="162"/>
      <c r="AE533" s="161"/>
    </row>
    <row r="534" spans="1:31" ht="21.2" customHeight="1">
      <c r="A534" s="8" t="s">
        <v>464</v>
      </c>
      <c r="B534" s="158" t="s">
        <v>859</v>
      </c>
      <c r="C534" s="159">
        <v>29</v>
      </c>
      <c r="D534" s="158" t="s">
        <v>849</v>
      </c>
      <c r="E534" s="58">
        <v>79.465714285714299</v>
      </c>
      <c r="F534" s="160">
        <v>16.731350464938998</v>
      </c>
      <c r="G534" s="161">
        <v>4.7244257193654597E-2</v>
      </c>
      <c r="H534" s="161">
        <v>0.18884118056657401</v>
      </c>
      <c r="I534" s="161">
        <v>0.236085437760229</v>
      </c>
      <c r="J534" s="161">
        <v>1.2855149605957299</v>
      </c>
      <c r="K534" s="161">
        <v>2.5681914448314798E-4</v>
      </c>
      <c r="L534" s="161">
        <v>1.66429089368382E-3</v>
      </c>
      <c r="M534" s="161">
        <v>1.5630755417009101E-4</v>
      </c>
      <c r="N534" s="161">
        <v>1.14957532141228E-2</v>
      </c>
      <c r="O534" s="161">
        <v>1.1348945363207801</v>
      </c>
      <c r="P534" s="161">
        <v>1.2571584648374501</v>
      </c>
      <c r="Q534" s="161">
        <v>6.3045452213760497E-2</v>
      </c>
      <c r="R534" s="161">
        <v>0.49208851457149599</v>
      </c>
      <c r="S534" s="161">
        <v>7.4782587172242E-3</v>
      </c>
      <c r="T534" s="161">
        <v>0</v>
      </c>
      <c r="U534" s="161">
        <v>0</v>
      </c>
      <c r="V534" s="161">
        <v>0</v>
      </c>
      <c r="W534" s="161"/>
      <c r="X534" s="58"/>
      <c r="Y534" s="160"/>
      <c r="Z534" s="160"/>
      <c r="AA534" s="160"/>
      <c r="AB534" s="160"/>
      <c r="AC534" s="160"/>
      <c r="AD534" s="162"/>
      <c r="AE534" s="161"/>
    </row>
    <row r="535" spans="1:31" ht="21.2" customHeight="1">
      <c r="A535" s="8" t="s">
        <v>424</v>
      </c>
      <c r="B535" s="158" t="s">
        <v>886</v>
      </c>
      <c r="C535" s="159">
        <v>32</v>
      </c>
      <c r="D535" s="158" t="s">
        <v>849</v>
      </c>
      <c r="E535" s="58">
        <v>78.046071428571395</v>
      </c>
      <c r="F535" s="160">
        <v>20.097319954268301</v>
      </c>
      <c r="G535" s="161">
        <v>3.2432689550276797E-2</v>
      </c>
      <c r="H535" s="161">
        <v>0.20364787876732701</v>
      </c>
      <c r="I535" s="161">
        <v>0.23608056831760399</v>
      </c>
      <c r="J535" s="161">
        <v>1.17777008620498</v>
      </c>
      <c r="K535" s="161">
        <v>2.9393135689073901E-4</v>
      </c>
      <c r="L535" s="161">
        <v>1.94224179677966E-3</v>
      </c>
      <c r="M535" s="161">
        <v>-3.6218813710739401E-4</v>
      </c>
      <c r="N535" s="161">
        <v>1.1580050530367999E-2</v>
      </c>
      <c r="O535" s="161">
        <v>2.3138854910534401</v>
      </c>
      <c r="P535" s="161">
        <v>2.2539858904688499</v>
      </c>
      <c r="Q535" s="161">
        <v>6.7378576727265105E-2</v>
      </c>
      <c r="R535" s="161">
        <v>0.524836616719905</v>
      </c>
      <c r="S535" s="161">
        <v>5.3003863905981604E-3</v>
      </c>
      <c r="T535" s="161">
        <v>0</v>
      </c>
      <c r="U535" s="161">
        <v>0</v>
      </c>
      <c r="V535" s="161">
        <v>0</v>
      </c>
      <c r="W535" s="161"/>
      <c r="X535" s="58"/>
      <c r="Y535" s="160"/>
      <c r="Z535" s="160"/>
      <c r="AA535" s="160"/>
      <c r="AB535" s="160"/>
      <c r="AC535" s="160"/>
      <c r="AD535" s="162"/>
      <c r="AE535" s="161"/>
    </row>
    <row r="536" spans="1:31" ht="21.2" customHeight="1">
      <c r="A536" s="8" t="s">
        <v>765</v>
      </c>
      <c r="B536" s="158" t="s">
        <v>888</v>
      </c>
      <c r="C536" s="159">
        <v>27</v>
      </c>
      <c r="D536" s="158" t="s">
        <v>847</v>
      </c>
      <c r="E536" s="58">
        <v>69.172499999999999</v>
      </c>
      <c r="F536" s="160">
        <v>12.2373452416932</v>
      </c>
      <c r="G536" s="161">
        <v>7.0124373085878697E-2</v>
      </c>
      <c r="H536" s="161">
        <v>0.16572455560690699</v>
      </c>
      <c r="I536" s="161">
        <v>0.23584892869278701</v>
      </c>
      <c r="J536" s="161">
        <v>0.94699816317071694</v>
      </c>
      <c r="K536" s="161">
        <v>8.1150003252373397E-4</v>
      </c>
      <c r="L536" s="161">
        <v>2.0419992236275402E-3</v>
      </c>
      <c r="M536" s="161">
        <v>2.0953185948259299E-3</v>
      </c>
      <c r="N536" s="161">
        <v>2.1806389831913801E-2</v>
      </c>
      <c r="O536" s="161">
        <v>0.37090551703213298</v>
      </c>
      <c r="P536" s="161">
        <v>2.59341997917323</v>
      </c>
      <c r="Q536" s="161">
        <v>-2.8378936604677E-2</v>
      </c>
      <c r="R536" s="161">
        <v>0.60804069399798399</v>
      </c>
      <c r="S536" s="161">
        <v>1.0239992508813399E-2</v>
      </c>
      <c r="T536" s="161">
        <v>0</v>
      </c>
      <c r="U536" s="161">
        <v>7.1179906208527002E-2</v>
      </c>
      <c r="V536" s="161">
        <v>0</v>
      </c>
      <c r="W536" s="161"/>
      <c r="X536" s="58"/>
      <c r="Y536" s="160"/>
      <c r="Z536" s="160"/>
      <c r="AA536" s="160"/>
      <c r="AB536" s="160"/>
      <c r="AC536" s="160"/>
      <c r="AD536" s="162"/>
      <c r="AE536" s="161"/>
    </row>
    <row r="537" spans="1:31" ht="21.2" customHeight="1">
      <c r="A537" s="8" t="s">
        <v>495</v>
      </c>
      <c r="B537" s="158" t="s">
        <v>869</v>
      </c>
      <c r="C537" s="159">
        <v>23</v>
      </c>
      <c r="D537" s="158" t="s">
        <v>849</v>
      </c>
      <c r="E537" s="58">
        <v>66.387500000000003</v>
      </c>
      <c r="F537" s="160">
        <v>15.4451657787094</v>
      </c>
      <c r="G537" s="161">
        <v>7.08074172311072E-2</v>
      </c>
      <c r="H537" s="161">
        <v>0.164441923610079</v>
      </c>
      <c r="I537" s="161">
        <v>0.23524934084118701</v>
      </c>
      <c r="J537" s="161">
        <v>1.5150159490241599</v>
      </c>
      <c r="K537" s="161">
        <v>1.8739619396347999E-2</v>
      </c>
      <c r="L537" s="161">
        <v>6.1194349556760501E-2</v>
      </c>
      <c r="M537" s="161">
        <v>3.2152961233693201E-5</v>
      </c>
      <c r="N537" s="161">
        <v>1.3722686801046199E-4</v>
      </c>
      <c r="O537" s="161">
        <v>1.07589272236265</v>
      </c>
      <c r="P537" s="161">
        <v>0.94949287037194796</v>
      </c>
      <c r="Q537" s="161">
        <v>5.26188604243715E-2</v>
      </c>
      <c r="R537" s="161">
        <v>0.346327311582737</v>
      </c>
      <c r="S537" s="161">
        <v>1.1328684799340299E-2</v>
      </c>
      <c r="T537" s="161">
        <v>0</v>
      </c>
      <c r="U537" s="161">
        <v>0</v>
      </c>
      <c r="V537" s="161">
        <v>0</v>
      </c>
      <c r="W537" s="161"/>
      <c r="X537" s="58"/>
      <c r="Y537" s="160"/>
      <c r="Z537" s="160"/>
      <c r="AA537" s="160"/>
      <c r="AB537" s="160"/>
      <c r="AC537" s="160"/>
      <c r="AD537" s="162"/>
      <c r="AE537" s="161"/>
    </row>
    <row r="538" spans="1:31" ht="21.2" customHeight="1">
      <c r="A538" s="8" t="s">
        <v>814</v>
      </c>
      <c r="B538" s="158" t="s">
        <v>862</v>
      </c>
      <c r="C538" s="159">
        <v>25</v>
      </c>
      <c r="D538" s="158" t="s">
        <v>846</v>
      </c>
      <c r="E538" s="58">
        <v>58.833928571428601</v>
      </c>
      <c r="F538" s="160">
        <v>9.8003265705411593</v>
      </c>
      <c r="G538" s="161">
        <v>9.1253245168252894E-2</v>
      </c>
      <c r="H538" s="161">
        <v>0.14277669618642999</v>
      </c>
      <c r="I538" s="161">
        <v>0.234029941354683</v>
      </c>
      <c r="J538" s="161">
        <v>0.76831051524784899</v>
      </c>
      <c r="K538" s="161">
        <v>2.8650378269144002E-3</v>
      </c>
      <c r="L538" s="161">
        <v>8.7214946966047008E-3</v>
      </c>
      <c r="M538" s="161">
        <v>5.95220627654372E-5</v>
      </c>
      <c r="N538" s="161">
        <v>1.14189827603302E-4</v>
      </c>
      <c r="O538" s="161">
        <v>0.29985368735173801</v>
      </c>
      <c r="P538" s="161">
        <v>0.91303516121831296</v>
      </c>
      <c r="Q538" s="161">
        <v>-6.3819867861454301E-3</v>
      </c>
      <c r="R538" s="161">
        <v>0.24470294574422599</v>
      </c>
      <c r="S538" s="161">
        <v>1.42811660166299E-2</v>
      </c>
      <c r="T538" s="161">
        <v>1.8451529728831699</v>
      </c>
      <c r="U538" s="161">
        <v>3.1900658536740498</v>
      </c>
      <c r="V538" s="161">
        <v>0.36644941092754402</v>
      </c>
      <c r="W538" s="161"/>
      <c r="X538" s="58"/>
      <c r="Y538" s="160"/>
      <c r="Z538" s="160"/>
      <c r="AA538" s="160"/>
      <c r="AB538" s="160"/>
      <c r="AC538" s="160"/>
      <c r="AD538" s="162"/>
      <c r="AE538" s="161"/>
    </row>
    <row r="539" spans="1:31" ht="21.2" customHeight="1">
      <c r="A539" s="8" t="s">
        <v>552</v>
      </c>
      <c r="B539" s="158" t="s">
        <v>892</v>
      </c>
      <c r="C539" s="159">
        <v>26</v>
      </c>
      <c r="D539" s="158" t="s">
        <v>849</v>
      </c>
      <c r="E539" s="58">
        <v>68.969285714285704</v>
      </c>
      <c r="F539" s="160">
        <v>16.274512713414701</v>
      </c>
      <c r="G539" s="161">
        <v>4.3449480380185403E-2</v>
      </c>
      <c r="H539" s="161">
        <v>0.189248849597557</v>
      </c>
      <c r="I539" s="161">
        <v>0.23269832997774301</v>
      </c>
      <c r="J539" s="161">
        <v>1.0090108392142101</v>
      </c>
      <c r="K539" s="161">
        <v>3.0895906885044502E-4</v>
      </c>
      <c r="L539" s="161">
        <v>1.94040408608439E-3</v>
      </c>
      <c r="M539" s="161">
        <v>4.9423853787614296E-4</v>
      </c>
      <c r="N539" s="161">
        <v>2.7006092266305998E-3</v>
      </c>
      <c r="O539" s="161">
        <v>1.1207454667524701</v>
      </c>
      <c r="P539" s="161">
        <v>2.1664481434570901</v>
      </c>
      <c r="Q539" s="161">
        <v>-2.7216533830676198E-3</v>
      </c>
      <c r="R539" s="161">
        <v>0.56938049416013703</v>
      </c>
      <c r="S539" s="161">
        <v>6.1073013761938702E-3</v>
      </c>
      <c r="T539" s="161">
        <v>0</v>
      </c>
      <c r="U539" s="161">
        <v>0</v>
      </c>
      <c r="V539" s="161">
        <v>0</v>
      </c>
      <c r="W539" s="161"/>
      <c r="X539" s="58"/>
      <c r="Y539" s="160"/>
      <c r="Z539" s="160"/>
      <c r="AA539" s="160"/>
      <c r="AB539" s="160"/>
      <c r="AC539" s="160"/>
      <c r="AD539" s="162"/>
      <c r="AE539" s="161"/>
    </row>
    <row r="540" spans="1:31" ht="21.2" customHeight="1">
      <c r="A540" s="8" t="s">
        <v>798</v>
      </c>
      <c r="B540" s="158" t="s">
        <v>863</v>
      </c>
      <c r="C540" s="159">
        <v>25</v>
      </c>
      <c r="D540" s="158" t="s">
        <v>846</v>
      </c>
      <c r="E540" s="58">
        <v>60</v>
      </c>
      <c r="F540" s="160">
        <v>10.877065152404199</v>
      </c>
      <c r="G540" s="161">
        <v>7.7193586553307006E-2</v>
      </c>
      <c r="H540" s="161">
        <v>0.15493330820432699</v>
      </c>
      <c r="I540" s="161">
        <v>0.23212689475763401</v>
      </c>
      <c r="J540" s="161">
        <v>1.14569756562543</v>
      </c>
      <c r="K540" s="161">
        <v>1.0128786603317E-3</v>
      </c>
      <c r="L540" s="161">
        <v>2.2447761273130099E-3</v>
      </c>
      <c r="M540" s="161">
        <v>1.32253454880809E-2</v>
      </c>
      <c r="N540" s="161">
        <v>1.4961052994372301E-2</v>
      </c>
      <c r="O540" s="161">
        <v>0.24079399945164001</v>
      </c>
      <c r="P540" s="161">
        <v>0.62509666187144097</v>
      </c>
      <c r="Q540" s="161">
        <v>2.2809709600070099E-2</v>
      </c>
      <c r="R540" s="161">
        <v>0.13095198041682801</v>
      </c>
      <c r="S540" s="161">
        <v>1.1073596068312E-2</v>
      </c>
      <c r="T540" s="161">
        <v>0.39420390272938399</v>
      </c>
      <c r="U540" s="161">
        <v>0.55734757407656099</v>
      </c>
      <c r="V540" s="161">
        <v>0.414274910331284</v>
      </c>
      <c r="W540" s="161"/>
      <c r="X540" s="58"/>
      <c r="Y540" s="160"/>
      <c r="Z540" s="160"/>
      <c r="AA540" s="160"/>
      <c r="AB540" s="160"/>
      <c r="AC540" s="160"/>
      <c r="AD540" s="162"/>
      <c r="AE540" s="161"/>
    </row>
    <row r="541" spans="1:31" ht="21.2" customHeight="1">
      <c r="A541" s="8" t="s">
        <v>505</v>
      </c>
      <c r="B541" s="158" t="s">
        <v>892</v>
      </c>
      <c r="C541" s="159">
        <v>31</v>
      </c>
      <c r="D541" s="158" t="s">
        <v>849</v>
      </c>
      <c r="E541" s="58">
        <v>79.0085714285714</v>
      </c>
      <c r="F541" s="160">
        <v>17.851580830566199</v>
      </c>
      <c r="G541" s="161">
        <v>2.99411677821751E-2</v>
      </c>
      <c r="H541" s="161">
        <v>0.20147047646928401</v>
      </c>
      <c r="I541" s="161">
        <v>0.23141164425145999</v>
      </c>
      <c r="J541" s="161">
        <v>0.94582409802898204</v>
      </c>
      <c r="K541" s="161">
        <v>2.8082880558651801E-4</v>
      </c>
      <c r="L541" s="161">
        <v>1.8350452199112201E-3</v>
      </c>
      <c r="M541" s="161">
        <v>-3.9818573601617201E-4</v>
      </c>
      <c r="N541" s="161">
        <v>9.9430048203542898E-3</v>
      </c>
      <c r="O541" s="161">
        <v>1.4498586512945</v>
      </c>
      <c r="P541" s="161">
        <v>1.24372431608749</v>
      </c>
      <c r="Q541" s="161">
        <v>-2.16240953651274E-2</v>
      </c>
      <c r="R541" s="161">
        <v>0.252828906307071</v>
      </c>
      <c r="S541" s="161">
        <v>4.2085597710466603E-3</v>
      </c>
      <c r="T541" s="161">
        <v>0</v>
      </c>
      <c r="U541" s="161">
        <v>0</v>
      </c>
      <c r="V541" s="161">
        <v>0</v>
      </c>
      <c r="W541" s="161"/>
      <c r="X541" s="58"/>
      <c r="Y541" s="160"/>
      <c r="Z541" s="160"/>
      <c r="AA541" s="160"/>
      <c r="AB541" s="160"/>
      <c r="AC541" s="160"/>
      <c r="AD541" s="162"/>
      <c r="AE541" s="161"/>
    </row>
    <row r="542" spans="1:31" ht="21.2" customHeight="1">
      <c r="A542" s="8" t="s">
        <v>782</v>
      </c>
      <c r="B542" s="158" t="s">
        <v>889</v>
      </c>
      <c r="C542" s="159">
        <v>23</v>
      </c>
      <c r="D542" s="158" t="s">
        <v>846</v>
      </c>
      <c r="E542" s="58">
        <v>72</v>
      </c>
      <c r="F542" s="160">
        <v>11.5508804716291</v>
      </c>
      <c r="G542" s="161">
        <v>0.11090960257417</v>
      </c>
      <c r="H542" s="161">
        <v>0.120494477782776</v>
      </c>
      <c r="I542" s="161">
        <v>0.23140408035694501</v>
      </c>
      <c r="J542" s="161">
        <v>0.97361872853020603</v>
      </c>
      <c r="K542" s="161">
        <v>5.9060275287518404E-3</v>
      </c>
      <c r="L542" s="161">
        <v>1.6545537405311499E-2</v>
      </c>
      <c r="M542" s="161">
        <v>1.4211081117711201E-3</v>
      </c>
      <c r="N542" s="161">
        <v>3.0574539695637998E-3</v>
      </c>
      <c r="O542" s="161">
        <v>0.45543295711403198</v>
      </c>
      <c r="P542" s="161">
        <v>1.66562036337695</v>
      </c>
      <c r="Q542" s="161">
        <v>-4.6415034919541201E-2</v>
      </c>
      <c r="R542" s="161">
        <v>0.31752919032197402</v>
      </c>
      <c r="S542" s="161">
        <v>1.46773176153513E-2</v>
      </c>
      <c r="T542" s="161">
        <v>3.1764765914646298</v>
      </c>
      <c r="U542" s="161">
        <v>3.8922468859343202</v>
      </c>
      <c r="V542" s="161">
        <v>0.44937061148606</v>
      </c>
      <c r="W542" s="161"/>
      <c r="X542" s="58"/>
      <c r="Y542" s="160"/>
      <c r="Z542" s="160"/>
      <c r="AA542" s="160"/>
      <c r="AB542" s="160"/>
      <c r="AC542" s="160"/>
      <c r="AD542" s="162"/>
      <c r="AE542" s="161"/>
    </row>
    <row r="543" spans="1:31" ht="21.2" customHeight="1">
      <c r="A543" s="8" t="s">
        <v>755</v>
      </c>
      <c r="B543" s="158" t="s">
        <v>867</v>
      </c>
      <c r="C543" s="159">
        <v>24</v>
      </c>
      <c r="D543" s="158" t="s">
        <v>860</v>
      </c>
      <c r="E543" s="58">
        <v>67.19</v>
      </c>
      <c r="F543" s="160">
        <v>10.907855957292099</v>
      </c>
      <c r="G543" s="161">
        <v>8.9255212379785398E-2</v>
      </c>
      <c r="H543" s="161">
        <v>0.14198523230546201</v>
      </c>
      <c r="I543" s="161">
        <v>0.23124044468524799</v>
      </c>
      <c r="J543" s="161">
        <v>1.1087431954348199</v>
      </c>
      <c r="K543" s="161">
        <v>8.0130675716866197E-4</v>
      </c>
      <c r="L543" s="161">
        <v>2.3968451269046E-3</v>
      </c>
      <c r="M543" s="161">
        <v>3.0306078619826999E-2</v>
      </c>
      <c r="N543" s="161">
        <v>4.1891537386788497E-2</v>
      </c>
      <c r="O543" s="161">
        <v>0.59083827892544605</v>
      </c>
      <c r="P543" s="161">
        <v>1.50273609949983</v>
      </c>
      <c r="Q543" s="161">
        <v>7.0979742950423802E-3</v>
      </c>
      <c r="R543" s="161">
        <v>0.35327590074823001</v>
      </c>
      <c r="S543" s="161">
        <v>1.4332282071728999E-2</v>
      </c>
      <c r="T543" s="161">
        <v>2.6984613314919601</v>
      </c>
      <c r="U543" s="161">
        <v>3.3327275173257198</v>
      </c>
      <c r="V543" s="161">
        <v>0.44741781415465998</v>
      </c>
      <c r="W543" s="161"/>
      <c r="X543" s="58"/>
      <c r="Y543" s="160"/>
      <c r="Z543" s="160"/>
      <c r="AA543" s="160"/>
      <c r="AB543" s="160"/>
      <c r="AC543" s="160"/>
      <c r="AD543" s="162"/>
      <c r="AE543" s="161"/>
    </row>
    <row r="544" spans="1:31" ht="21.2" customHeight="1">
      <c r="A544" s="8" t="s">
        <v>758</v>
      </c>
      <c r="B544" s="158" t="s">
        <v>870</v>
      </c>
      <c r="C544" s="159">
        <v>26</v>
      </c>
      <c r="D544" s="158" t="s">
        <v>847</v>
      </c>
      <c r="E544" s="58">
        <v>66</v>
      </c>
      <c r="F544" s="160">
        <v>10.2532127375004</v>
      </c>
      <c r="G544" s="161">
        <v>9.7863899866582102E-2</v>
      </c>
      <c r="H544" s="161">
        <v>0.132109679742516</v>
      </c>
      <c r="I544" s="161">
        <v>0.22997357960909801</v>
      </c>
      <c r="J544" s="161">
        <v>1.3598543735320601</v>
      </c>
      <c r="K544" s="161">
        <v>7.2545413577228496E-4</v>
      </c>
      <c r="L544" s="161">
        <v>1.79918947657528E-3</v>
      </c>
      <c r="M544" s="161">
        <v>3.17998595784568E-4</v>
      </c>
      <c r="N544" s="161">
        <v>6.0198463162812303E-4</v>
      </c>
      <c r="O544" s="161">
        <v>0.48287164455905701</v>
      </c>
      <c r="P544" s="161">
        <v>1.88835302918848</v>
      </c>
      <c r="Q544" s="161">
        <v>4.5562238924902999E-2</v>
      </c>
      <c r="R544" s="161">
        <v>0.73349221064667003</v>
      </c>
      <c r="S544" s="161">
        <v>1.6429422886686001E-2</v>
      </c>
      <c r="T544" s="161">
        <v>4.2884153053850703E-2</v>
      </c>
      <c r="U544" s="161">
        <v>2.1968737183944001E-2</v>
      </c>
      <c r="V544" s="161">
        <v>0.66125276601564398</v>
      </c>
      <c r="W544" s="161"/>
      <c r="X544" s="58"/>
      <c r="Y544" s="160"/>
      <c r="Z544" s="160"/>
      <c r="AA544" s="160"/>
      <c r="AB544" s="160"/>
      <c r="AC544" s="160"/>
      <c r="AD544" s="162"/>
      <c r="AE544" s="161"/>
    </row>
    <row r="545" spans="1:31" ht="21.2" customHeight="1">
      <c r="A545" s="8" t="s">
        <v>432</v>
      </c>
      <c r="B545" s="158" t="s">
        <v>889</v>
      </c>
      <c r="C545" s="159">
        <v>32</v>
      </c>
      <c r="D545" s="158" t="s">
        <v>849</v>
      </c>
      <c r="E545" s="58">
        <v>77.668571428571397</v>
      </c>
      <c r="F545" s="160">
        <v>19.156299634700002</v>
      </c>
      <c r="G545" s="161">
        <v>5.6888387160522302E-2</v>
      </c>
      <c r="H545" s="161">
        <v>0.17194002617833701</v>
      </c>
      <c r="I545" s="161">
        <v>0.228828413338859</v>
      </c>
      <c r="J545" s="161">
        <v>1.4337718369589301</v>
      </c>
      <c r="K545" s="161">
        <v>1.7170365855928499E-3</v>
      </c>
      <c r="L545" s="161">
        <v>3.6323313242071801E-3</v>
      </c>
      <c r="M545" s="161">
        <v>-3.8919790984403299E-4</v>
      </c>
      <c r="N545" s="161">
        <v>-1.3551815138296999E-3</v>
      </c>
      <c r="O545" s="161">
        <v>1.77494426142745</v>
      </c>
      <c r="P545" s="161">
        <v>1.7559739427507199</v>
      </c>
      <c r="Q545" s="161">
        <v>-6.9569695166200096E-2</v>
      </c>
      <c r="R545" s="161">
        <v>0.63882854279210699</v>
      </c>
      <c r="S545" s="161">
        <v>7.5283736268163502E-3</v>
      </c>
      <c r="T545" s="161">
        <v>0</v>
      </c>
      <c r="U545" s="161">
        <v>0</v>
      </c>
      <c r="V545" s="161">
        <v>0</v>
      </c>
      <c r="W545" s="161"/>
      <c r="X545" s="58"/>
      <c r="Y545" s="160"/>
      <c r="Z545" s="160"/>
      <c r="AA545" s="160"/>
      <c r="AB545" s="160"/>
      <c r="AC545" s="160"/>
      <c r="AD545" s="162"/>
      <c r="AE545" s="161"/>
    </row>
    <row r="546" spans="1:31" ht="21.2" customHeight="1">
      <c r="A546" s="8" t="s">
        <v>698</v>
      </c>
      <c r="B546" s="158" t="s">
        <v>871</v>
      </c>
      <c r="C546" s="159">
        <v>30</v>
      </c>
      <c r="D546" s="158" t="s">
        <v>864</v>
      </c>
      <c r="E546" s="58">
        <v>79.048928571428604</v>
      </c>
      <c r="F546" s="160">
        <v>12.199277330761699</v>
      </c>
      <c r="G546" s="161">
        <v>0.10328909433083799</v>
      </c>
      <c r="H546" s="161">
        <v>0.125524678310896</v>
      </c>
      <c r="I546" s="161">
        <v>0.228813772641734</v>
      </c>
      <c r="J546" s="161">
        <v>1.33710912182974</v>
      </c>
      <c r="K546" s="161">
        <v>5.7648148670420905E-4</v>
      </c>
      <c r="L546" s="161">
        <v>1.49115512331413E-3</v>
      </c>
      <c r="M546" s="161">
        <v>1.0404594790607499E-2</v>
      </c>
      <c r="N546" s="161">
        <v>1.20437063275417E-2</v>
      </c>
      <c r="O546" s="161">
        <v>0.43061064349150102</v>
      </c>
      <c r="P546" s="161">
        <v>1.16804583251953</v>
      </c>
      <c r="Q546" s="161">
        <v>4.9084128917561101E-2</v>
      </c>
      <c r="R546" s="161">
        <v>0.21632618742915199</v>
      </c>
      <c r="S546" s="161">
        <v>1.7600268794660399E-2</v>
      </c>
      <c r="T546" s="161">
        <v>7.0933310857398402E-2</v>
      </c>
      <c r="U546" s="161">
        <v>0.20983144034343801</v>
      </c>
      <c r="V546" s="161">
        <v>0.25264322018349999</v>
      </c>
      <c r="W546" s="161"/>
      <c r="X546" s="58"/>
      <c r="Y546" s="160"/>
      <c r="Z546" s="160"/>
      <c r="AA546" s="160"/>
      <c r="AB546" s="160"/>
      <c r="AC546" s="160"/>
      <c r="AD546" s="162"/>
      <c r="AE546" s="161"/>
    </row>
    <row r="547" spans="1:31" ht="21.2" customHeight="1">
      <c r="A547" s="8" t="s">
        <v>451</v>
      </c>
      <c r="B547" s="158" t="s">
        <v>891</v>
      </c>
      <c r="C547" s="159">
        <v>23</v>
      </c>
      <c r="D547" s="158" t="s">
        <v>849</v>
      </c>
      <c r="E547" s="58">
        <v>80.259642857142893</v>
      </c>
      <c r="F547" s="160">
        <v>18.520226288671601</v>
      </c>
      <c r="G547" s="161">
        <v>3.4939120462157303E-2</v>
      </c>
      <c r="H547" s="161">
        <v>0.192615025846051</v>
      </c>
      <c r="I547" s="161">
        <v>0.227554146308209</v>
      </c>
      <c r="J547" s="161">
        <v>1.2515662583626599</v>
      </c>
      <c r="K547" s="161">
        <v>1.4311395798692001E-4</v>
      </c>
      <c r="L547" s="161">
        <v>1.0973910330301299E-3</v>
      </c>
      <c r="M547" s="161">
        <v>6.2107520568330699E-4</v>
      </c>
      <c r="N547" s="161">
        <v>4.29988610499802E-3</v>
      </c>
      <c r="O547" s="161">
        <v>1.5854942276338799</v>
      </c>
      <c r="P547" s="161">
        <v>2.3066671035956601</v>
      </c>
      <c r="Q547" s="161">
        <v>-8.0568109003523996E-3</v>
      </c>
      <c r="R547" s="161">
        <v>0.50661179486791996</v>
      </c>
      <c r="S547" s="161">
        <v>5.3988577877289896E-3</v>
      </c>
      <c r="T547" s="161">
        <v>0</v>
      </c>
      <c r="U547" s="161">
        <v>0</v>
      </c>
      <c r="V547" s="161">
        <v>0</v>
      </c>
      <c r="W547" s="161"/>
      <c r="X547" s="58"/>
      <c r="Y547" s="160"/>
      <c r="Z547" s="160"/>
      <c r="AA547" s="160"/>
      <c r="AB547" s="160"/>
      <c r="AC547" s="160"/>
      <c r="AD547" s="162"/>
      <c r="AE547" s="161"/>
    </row>
    <row r="548" spans="1:31" ht="21.2" customHeight="1">
      <c r="A548" s="8" t="s">
        <v>790</v>
      </c>
      <c r="B548" s="158" t="s">
        <v>873</v>
      </c>
      <c r="C548" s="159">
        <v>29</v>
      </c>
      <c r="D548" s="158" t="s">
        <v>846</v>
      </c>
      <c r="E548" s="58">
        <v>61.134285714285703</v>
      </c>
      <c r="F548" s="160">
        <v>10.7086024399318</v>
      </c>
      <c r="G548" s="161">
        <v>0.120173603846609</v>
      </c>
      <c r="H548" s="161">
        <v>0.102054763700429</v>
      </c>
      <c r="I548" s="161">
        <v>0.22222836754703801</v>
      </c>
      <c r="J548" s="161">
        <v>1.2638611688991099</v>
      </c>
      <c r="K548" s="161">
        <v>1.08234253734476E-2</v>
      </c>
      <c r="L548" s="161">
        <v>1.52014108398649E-2</v>
      </c>
      <c r="M548" s="161">
        <v>6.0913912928846998E-3</v>
      </c>
      <c r="N548" s="161">
        <v>6.6475170362465903E-3</v>
      </c>
      <c r="O548" s="161">
        <v>0.55646504911790096</v>
      </c>
      <c r="P548" s="161">
        <v>1.31777356148852</v>
      </c>
      <c r="Q548" s="161">
        <v>-4.9508084852297098E-3</v>
      </c>
      <c r="R548" s="161">
        <v>0.35255995289284098</v>
      </c>
      <c r="S548" s="161">
        <v>1.7011733174061801E-2</v>
      </c>
      <c r="T548" s="161">
        <v>3.1854400411016099</v>
      </c>
      <c r="U548" s="161">
        <v>3.5628101897244302</v>
      </c>
      <c r="V548" s="161">
        <v>0.47203940757124102</v>
      </c>
      <c r="W548" s="161"/>
      <c r="X548" s="58"/>
      <c r="Y548" s="160"/>
      <c r="Z548" s="160"/>
      <c r="AA548" s="160"/>
      <c r="AB548" s="160"/>
      <c r="AC548" s="160"/>
      <c r="AD548" s="162"/>
      <c r="AE548" s="161"/>
    </row>
    <row r="549" spans="1:31" ht="21.2" customHeight="1">
      <c r="A549" s="8" t="s">
        <v>540</v>
      </c>
      <c r="B549" s="158" t="s">
        <v>882</v>
      </c>
      <c r="C549" s="159">
        <v>30</v>
      </c>
      <c r="D549" s="158" t="s">
        <v>849</v>
      </c>
      <c r="E549" s="58">
        <v>62.4</v>
      </c>
      <c r="F549" s="160">
        <v>19.066660898265699</v>
      </c>
      <c r="G549" s="161">
        <v>5.13647205633255E-2</v>
      </c>
      <c r="H549" s="161">
        <v>0.17062242917998499</v>
      </c>
      <c r="I549" s="161">
        <v>0.22198714974331099</v>
      </c>
      <c r="J549" s="161">
        <v>1.1084037500606401</v>
      </c>
      <c r="K549" s="161">
        <v>2.9234463663417798E-4</v>
      </c>
      <c r="L549" s="161">
        <v>1.9152810548963501E-3</v>
      </c>
      <c r="M549" s="161">
        <v>-6.9919942352539906E-5</v>
      </c>
      <c r="N549" s="161">
        <v>9.8157226644458792E-3</v>
      </c>
      <c r="O549" s="161">
        <v>1.95495467702991</v>
      </c>
      <c r="P549" s="161">
        <v>1.67025058106178</v>
      </c>
      <c r="Q549" s="161">
        <v>-7.7570101865286498E-2</v>
      </c>
      <c r="R549" s="161">
        <v>0.59090647239966099</v>
      </c>
      <c r="S549" s="161">
        <v>6.3181629975997801E-3</v>
      </c>
      <c r="T549" s="161">
        <v>0</v>
      </c>
      <c r="U549" s="161">
        <v>0</v>
      </c>
      <c r="V549" s="161">
        <v>0</v>
      </c>
      <c r="W549" s="161"/>
      <c r="X549" s="58"/>
      <c r="Y549" s="160"/>
      <c r="Z549" s="160"/>
      <c r="AA549" s="160"/>
      <c r="AB549" s="160"/>
      <c r="AC549" s="160"/>
      <c r="AD549" s="162"/>
      <c r="AE549" s="161"/>
    </row>
    <row r="550" spans="1:31" ht="21.2" customHeight="1">
      <c r="A550" s="8" t="s">
        <v>736</v>
      </c>
      <c r="B550" s="158" t="s">
        <v>871</v>
      </c>
      <c r="C550" s="159">
        <v>35</v>
      </c>
      <c r="D550" s="158" t="s">
        <v>860</v>
      </c>
      <c r="E550" s="58">
        <v>72</v>
      </c>
      <c r="F550" s="160">
        <v>12.9197530240193</v>
      </c>
      <c r="G550" s="161">
        <v>0.120500881445897</v>
      </c>
      <c r="H550" s="161">
        <v>0.100912779667733</v>
      </c>
      <c r="I550" s="161">
        <v>0.22141366111363001</v>
      </c>
      <c r="J550" s="161">
        <v>1.2098326780108799</v>
      </c>
      <c r="K550" s="161">
        <v>3.0188374020133301E-3</v>
      </c>
      <c r="L550" s="161">
        <v>8.32185538464323E-3</v>
      </c>
      <c r="M550" s="161">
        <v>2.2296552337952701E-3</v>
      </c>
      <c r="N550" s="161">
        <v>-1.5963032086319801E-3</v>
      </c>
      <c r="O550" s="161">
        <v>1.0103191257669999</v>
      </c>
      <c r="P550" s="161">
        <v>0.44171696236186297</v>
      </c>
      <c r="Q550" s="161">
        <v>4.8003779680317403E-2</v>
      </c>
      <c r="R550" s="161">
        <v>0.23531504573786799</v>
      </c>
      <c r="S550" s="161">
        <v>2.05331251782318E-2</v>
      </c>
      <c r="T550" s="161">
        <v>3.5628468684826</v>
      </c>
      <c r="U550" s="161">
        <v>3.50266426836945</v>
      </c>
      <c r="V550" s="161">
        <v>0.50425889924645695</v>
      </c>
      <c r="W550" s="161"/>
      <c r="X550" s="58"/>
      <c r="Y550" s="160"/>
      <c r="Z550" s="160"/>
      <c r="AA550" s="160"/>
      <c r="AB550" s="160"/>
      <c r="AC550" s="160"/>
      <c r="AD550" s="162"/>
      <c r="AE550" s="161"/>
    </row>
    <row r="551" spans="1:31" ht="21.2" customHeight="1">
      <c r="A551" s="8" t="s">
        <v>740</v>
      </c>
      <c r="B551" s="158" t="s">
        <v>891</v>
      </c>
      <c r="C551" s="159">
        <v>32</v>
      </c>
      <c r="D551" s="158" t="s">
        <v>846</v>
      </c>
      <c r="E551" s="58">
        <v>80.752499999999998</v>
      </c>
      <c r="F551" s="160">
        <v>13.682718181534</v>
      </c>
      <c r="G551" s="161">
        <v>8.7106042564946806E-2</v>
      </c>
      <c r="H551" s="161">
        <v>0.13350933301461201</v>
      </c>
      <c r="I551" s="161">
        <v>0.22061537557955899</v>
      </c>
      <c r="J551" s="161">
        <v>1.2923071037659899</v>
      </c>
      <c r="K551" s="161">
        <v>6.3251678956171198E-4</v>
      </c>
      <c r="L551" s="161">
        <v>1.6737490972718299E-3</v>
      </c>
      <c r="M551" s="161">
        <v>3.37341990174917E-3</v>
      </c>
      <c r="N551" s="161">
        <v>8.3420726623213409E-3</v>
      </c>
      <c r="O551" s="161">
        <v>0.63560293831439096</v>
      </c>
      <c r="P551" s="161">
        <v>1.97972987937637</v>
      </c>
      <c r="Q551" s="161">
        <v>-2.3333663502754599E-2</v>
      </c>
      <c r="R551" s="161">
        <v>0.50816774154907796</v>
      </c>
      <c r="S551" s="161">
        <v>1.34597874828982E-2</v>
      </c>
      <c r="T551" s="161">
        <v>6.0699545738811196</v>
      </c>
      <c r="U551" s="161">
        <v>5.1537870436770499</v>
      </c>
      <c r="V551" s="161">
        <v>0.54081381955420504</v>
      </c>
      <c r="W551" s="161"/>
      <c r="X551" s="58"/>
      <c r="Y551" s="160"/>
      <c r="Z551" s="160"/>
      <c r="AA551" s="160"/>
      <c r="AB551" s="160"/>
      <c r="AC551" s="160"/>
      <c r="AD551" s="162"/>
      <c r="AE551" s="161"/>
    </row>
    <row r="552" spans="1:31" ht="21.2" customHeight="1">
      <c r="A552" s="8" t="s">
        <v>759</v>
      </c>
      <c r="B552" s="158" t="s">
        <v>870</v>
      </c>
      <c r="C552" s="159">
        <v>35</v>
      </c>
      <c r="D552" s="158" t="s">
        <v>847</v>
      </c>
      <c r="E552" s="58">
        <v>81.142499999999998</v>
      </c>
      <c r="F552" s="160">
        <v>11.1225685322018</v>
      </c>
      <c r="G552" s="161">
        <v>8.4568818448512897E-2</v>
      </c>
      <c r="H552" s="161">
        <v>0.13578287451005</v>
      </c>
      <c r="I552" s="161">
        <v>0.22035169295856299</v>
      </c>
      <c r="J552" s="161">
        <v>0.93938329197577097</v>
      </c>
      <c r="K552" s="161">
        <v>9.3181052103819505E-4</v>
      </c>
      <c r="L552" s="161">
        <v>1.64430182882152E-3</v>
      </c>
      <c r="M552" s="161">
        <v>2.7173745941095699E-5</v>
      </c>
      <c r="N552" s="161">
        <v>4.53745201693583E-5</v>
      </c>
      <c r="O552" s="161">
        <v>0.231899243509922</v>
      </c>
      <c r="P552" s="161">
        <v>2.0651198615782</v>
      </c>
      <c r="Q552" s="161">
        <v>7.4154836956113303E-3</v>
      </c>
      <c r="R552" s="161">
        <v>0.55715939470665998</v>
      </c>
      <c r="S552" s="161">
        <v>1.41974403555568E-2</v>
      </c>
      <c r="T552" s="161">
        <v>0.21385957825721699</v>
      </c>
      <c r="U552" s="161">
        <v>0.26186259028187098</v>
      </c>
      <c r="V552" s="161">
        <v>0.44954721978579598</v>
      </c>
      <c r="W552" s="161"/>
      <c r="X552" s="58"/>
      <c r="Y552" s="160"/>
      <c r="Z552" s="160"/>
      <c r="AA552" s="160"/>
      <c r="AB552" s="160"/>
      <c r="AC552" s="160"/>
      <c r="AD552" s="162"/>
      <c r="AE552" s="161"/>
    </row>
    <row r="553" spans="1:31" ht="21.2" customHeight="1">
      <c r="A553" s="8" t="s">
        <v>720</v>
      </c>
      <c r="B553" s="158" t="s">
        <v>867</v>
      </c>
      <c r="C553" s="159">
        <v>26</v>
      </c>
      <c r="D553" s="158" t="s">
        <v>864</v>
      </c>
      <c r="E553" s="58">
        <v>68.052499999999995</v>
      </c>
      <c r="F553" s="160">
        <v>10.7938116821131</v>
      </c>
      <c r="G553" s="161">
        <v>0.123543226705724</v>
      </c>
      <c r="H553" s="161">
        <v>9.6429072734830104E-2</v>
      </c>
      <c r="I553" s="161">
        <v>0.21997229944055499</v>
      </c>
      <c r="J553" s="161">
        <v>1.3886976080578199</v>
      </c>
      <c r="K553" s="161">
        <v>8.1752540967251698E-4</v>
      </c>
      <c r="L553" s="161">
        <v>2.0370502206747002E-3</v>
      </c>
      <c r="M553" s="161">
        <v>1.06826210765231E-2</v>
      </c>
      <c r="N553" s="161">
        <v>1.2596082927016999E-2</v>
      </c>
      <c r="O553" s="161">
        <v>0.33865291886358201</v>
      </c>
      <c r="P553" s="161">
        <v>2.4998282553949598</v>
      </c>
      <c r="Q553" s="161">
        <v>2.2116758200463299E-2</v>
      </c>
      <c r="R553" s="161">
        <v>0.82575276924902796</v>
      </c>
      <c r="S553" s="161">
        <v>1.98381285079887E-2</v>
      </c>
      <c r="T553" s="161">
        <v>8.50246307574615E-2</v>
      </c>
      <c r="U553" s="161">
        <v>0.21256157689365399</v>
      </c>
      <c r="V553" s="161">
        <v>0.28571428571428598</v>
      </c>
      <c r="W553" s="161"/>
      <c r="X553" s="58"/>
      <c r="Y553" s="160"/>
      <c r="Z553" s="160"/>
      <c r="AA553" s="160"/>
      <c r="AB553" s="160"/>
      <c r="AC553" s="160"/>
      <c r="AD553" s="162"/>
      <c r="AE553" s="161"/>
    </row>
    <row r="554" spans="1:31" ht="21.2" customHeight="1">
      <c r="A554" s="8" t="s">
        <v>589</v>
      </c>
      <c r="B554" s="158" t="s">
        <v>873</v>
      </c>
      <c r="C554" s="159">
        <v>28</v>
      </c>
      <c r="D554" s="158" t="s">
        <v>849</v>
      </c>
      <c r="E554" s="58">
        <v>58.938214285714302</v>
      </c>
      <c r="F554" s="160">
        <v>15.3284470019055</v>
      </c>
      <c r="G554" s="161">
        <v>4.0375938458971999E-2</v>
      </c>
      <c r="H554" s="161">
        <v>0.179435003243404</v>
      </c>
      <c r="I554" s="161">
        <v>0.219810941702376</v>
      </c>
      <c r="J554" s="161">
        <v>1.0495480698420601</v>
      </c>
      <c r="K554" s="161">
        <v>3.1072486915369999E-3</v>
      </c>
      <c r="L554" s="161">
        <v>2.9789926316456501E-2</v>
      </c>
      <c r="M554" s="161">
        <v>1.03484055637105E-4</v>
      </c>
      <c r="N554" s="161">
        <v>4.1247479033281202E-4</v>
      </c>
      <c r="O554" s="161">
        <v>0.96163355686699004</v>
      </c>
      <c r="P554" s="161">
        <v>0.87260099751305698</v>
      </c>
      <c r="Q554" s="161">
        <v>5.5683885343002096E-3</v>
      </c>
      <c r="R554" s="161">
        <v>0.35494278174942401</v>
      </c>
      <c r="S554" s="161">
        <v>5.7156036744400096E-3</v>
      </c>
      <c r="T554" s="161">
        <v>0</v>
      </c>
      <c r="U554" s="161">
        <v>0</v>
      </c>
      <c r="V554" s="161">
        <v>0</v>
      </c>
      <c r="W554" s="161"/>
      <c r="X554" s="58"/>
      <c r="Y554" s="160"/>
      <c r="Z554" s="160"/>
      <c r="AA554" s="160"/>
      <c r="AB554" s="160"/>
      <c r="AC554" s="160"/>
      <c r="AD554" s="162"/>
      <c r="AE554" s="161"/>
    </row>
    <row r="555" spans="1:31" ht="21.2" customHeight="1">
      <c r="A555" s="8" t="s">
        <v>752</v>
      </c>
      <c r="B555" s="158" t="s">
        <v>869</v>
      </c>
      <c r="C555" s="159">
        <v>29</v>
      </c>
      <c r="D555" s="158" t="s">
        <v>846</v>
      </c>
      <c r="E555" s="58">
        <v>81.018571428571406</v>
      </c>
      <c r="F555" s="160">
        <v>13.127798144138501</v>
      </c>
      <c r="G555" s="161">
        <v>9.2357428101995001E-2</v>
      </c>
      <c r="H555" s="161">
        <v>0.12712574784122299</v>
      </c>
      <c r="I555" s="161">
        <v>0.21948317594321801</v>
      </c>
      <c r="J555" s="161">
        <v>1.06410659385309</v>
      </c>
      <c r="K555" s="161">
        <v>8.3989047534180697E-4</v>
      </c>
      <c r="L555" s="161">
        <v>1.67819713824161E-3</v>
      </c>
      <c r="M555" s="161">
        <v>1.29320045581861E-2</v>
      </c>
      <c r="N555" s="161">
        <v>2.39487969881934E-2</v>
      </c>
      <c r="O555" s="161">
        <v>0.75697360151411197</v>
      </c>
      <c r="P555" s="161">
        <v>1.1775430389064301</v>
      </c>
      <c r="Q555" s="161">
        <v>3.7869792607836301E-2</v>
      </c>
      <c r="R555" s="161">
        <v>0.45720497266865101</v>
      </c>
      <c r="S555" s="161">
        <v>1.47765337694817E-2</v>
      </c>
      <c r="T555" s="161">
        <v>3.9884483804698498</v>
      </c>
      <c r="U555" s="161">
        <v>3.1834977266182798</v>
      </c>
      <c r="V555" s="161">
        <v>0.55611800770895603</v>
      </c>
      <c r="W555" s="161"/>
      <c r="X555" s="58"/>
      <c r="Y555" s="160"/>
      <c r="Z555" s="160"/>
      <c r="AA555" s="160"/>
      <c r="AB555" s="160"/>
      <c r="AC555" s="160"/>
      <c r="AD555" s="162"/>
      <c r="AE555" s="161"/>
    </row>
    <row r="556" spans="1:31" ht="21.2" customHeight="1">
      <c r="A556" s="8" t="s">
        <v>778</v>
      </c>
      <c r="B556" s="158" t="s">
        <v>859</v>
      </c>
      <c r="C556" s="159">
        <v>21</v>
      </c>
      <c r="D556" s="158" t="s">
        <v>847</v>
      </c>
      <c r="E556" s="58">
        <v>69.165000000000006</v>
      </c>
      <c r="F556" s="160">
        <v>9.3911753311887303</v>
      </c>
      <c r="G556" s="161">
        <v>8.4564733094993697E-2</v>
      </c>
      <c r="H556" s="161">
        <v>0.13428797570207901</v>
      </c>
      <c r="I556" s="161">
        <v>0.218852708797073</v>
      </c>
      <c r="J556" s="161">
        <v>0.87742731199012303</v>
      </c>
      <c r="K556" s="161">
        <v>5.9191852020153996E-3</v>
      </c>
      <c r="L556" s="161">
        <v>1.4561061399623799E-2</v>
      </c>
      <c r="M556" s="161">
        <v>4.1955333599891202E-5</v>
      </c>
      <c r="N556" s="161">
        <v>8.1409493540724503E-5</v>
      </c>
      <c r="O556" s="161">
        <v>0.32433750431816</v>
      </c>
      <c r="P556" s="161">
        <v>1.5344384289981301</v>
      </c>
      <c r="Q556" s="161">
        <v>6.08228627604252E-2</v>
      </c>
      <c r="R556" s="161">
        <v>0.368767217898957</v>
      </c>
      <c r="S556" s="161">
        <v>1.3385689393848901E-2</v>
      </c>
      <c r="T556" s="161">
        <v>0.42263650871668401</v>
      </c>
      <c r="U556" s="161">
        <v>0.768430015848518</v>
      </c>
      <c r="V556" s="161">
        <v>0.35483870967741898</v>
      </c>
      <c r="W556" s="161"/>
      <c r="X556" s="58"/>
      <c r="Y556" s="160"/>
      <c r="Z556" s="160"/>
      <c r="AA556" s="160"/>
      <c r="AB556" s="160"/>
      <c r="AC556" s="160"/>
      <c r="AD556" s="162"/>
      <c r="AE556" s="161"/>
    </row>
    <row r="557" spans="1:31" ht="21.2" customHeight="1">
      <c r="A557" s="8" t="s">
        <v>784</v>
      </c>
      <c r="B557" s="158" t="s">
        <v>870</v>
      </c>
      <c r="C557" s="159">
        <v>31</v>
      </c>
      <c r="D557" s="158" t="s">
        <v>846</v>
      </c>
      <c r="E557" s="58">
        <v>68.2</v>
      </c>
      <c r="F557" s="160">
        <v>12.319388809884501</v>
      </c>
      <c r="G557" s="161">
        <v>8.0884883872492902E-2</v>
      </c>
      <c r="H557" s="161">
        <v>0.13794318934590699</v>
      </c>
      <c r="I557" s="161">
        <v>0.2188280732184</v>
      </c>
      <c r="J557" s="161">
        <v>1.13144826279333</v>
      </c>
      <c r="K557" s="161">
        <v>7.9287538928286198E-4</v>
      </c>
      <c r="L557" s="161">
        <v>2.06298525265517E-3</v>
      </c>
      <c r="M557" s="161">
        <v>7.6798962844330503E-3</v>
      </c>
      <c r="N557" s="161">
        <v>7.6921528980520596E-3</v>
      </c>
      <c r="O557" s="161">
        <v>0.69147370331185898</v>
      </c>
      <c r="P557" s="161">
        <v>2.5486748540406698</v>
      </c>
      <c r="Q557" s="161">
        <v>2.2747524772279301E-2</v>
      </c>
      <c r="R557" s="161">
        <v>0.42245424409538701</v>
      </c>
      <c r="S557" s="161">
        <v>1.3578980237792901E-2</v>
      </c>
      <c r="T557" s="161">
        <v>3.5783160777815102</v>
      </c>
      <c r="U557" s="161">
        <v>2.9126649104351299</v>
      </c>
      <c r="V557" s="161">
        <v>0.55127508219133303</v>
      </c>
      <c r="W557" s="161"/>
      <c r="X557" s="58"/>
      <c r="Y557" s="160"/>
      <c r="Z557" s="160"/>
      <c r="AA557" s="160"/>
      <c r="AB557" s="160"/>
      <c r="AC557" s="160"/>
      <c r="AD557" s="162"/>
      <c r="AE557" s="161"/>
    </row>
    <row r="558" spans="1:31" ht="21.2" customHeight="1">
      <c r="A558" s="8" t="s">
        <v>806</v>
      </c>
      <c r="B558" s="158" t="s">
        <v>863</v>
      </c>
      <c r="C558" s="159">
        <v>23</v>
      </c>
      <c r="D558" s="158" t="s">
        <v>847</v>
      </c>
      <c r="E558" s="58">
        <v>52.357500000000002</v>
      </c>
      <c r="F558" s="160">
        <v>9.6011754183604392</v>
      </c>
      <c r="G558" s="161">
        <v>6.3955897551591506E-2</v>
      </c>
      <c r="H558" s="161">
        <v>0.15436138992912701</v>
      </c>
      <c r="I558" s="161">
        <v>0.21831728748071799</v>
      </c>
      <c r="J558" s="161">
        <v>0.92148793784813998</v>
      </c>
      <c r="K558" s="161">
        <v>1.7079452464105599E-3</v>
      </c>
      <c r="L558" s="161">
        <v>4.1908561885665701E-3</v>
      </c>
      <c r="M558" s="161">
        <v>0</v>
      </c>
      <c r="N558" s="161">
        <v>0</v>
      </c>
      <c r="O558" s="161">
        <v>0.41091594430454897</v>
      </c>
      <c r="P558" s="161">
        <v>1.2786819860824301</v>
      </c>
      <c r="Q558" s="161">
        <v>1.9968423062606998E-2</v>
      </c>
      <c r="R558" s="161">
        <v>0.24969597875226601</v>
      </c>
      <c r="S558" s="161">
        <v>9.1746193860755606E-3</v>
      </c>
      <c r="T558" s="161">
        <v>2.0404556227081199E-3</v>
      </c>
      <c r="U558" s="161">
        <v>1.7884123492559401E-2</v>
      </c>
      <c r="V558" s="161">
        <v>0.10240896989109299</v>
      </c>
      <c r="W558" s="161"/>
      <c r="X558" s="58"/>
      <c r="Y558" s="160"/>
      <c r="Z558" s="160"/>
      <c r="AA558" s="160"/>
      <c r="AB558" s="160"/>
      <c r="AC558" s="160"/>
      <c r="AD558" s="162"/>
      <c r="AE558" s="161"/>
    </row>
    <row r="559" spans="1:31" ht="21.2" customHeight="1">
      <c r="A559" s="8" t="s">
        <v>767</v>
      </c>
      <c r="B559" s="158" t="s">
        <v>859</v>
      </c>
      <c r="C559" s="159">
        <v>36</v>
      </c>
      <c r="D559" s="158" t="s">
        <v>846</v>
      </c>
      <c r="E559" s="58">
        <v>78.808928571428595</v>
      </c>
      <c r="F559" s="160">
        <v>10.6621497980183</v>
      </c>
      <c r="G559" s="161">
        <v>0.1131815041742</v>
      </c>
      <c r="H559" s="161">
        <v>0.10497523273239601</v>
      </c>
      <c r="I559" s="161">
        <v>0.21815673690659501</v>
      </c>
      <c r="J559" s="161">
        <v>1.0528059421543201</v>
      </c>
      <c r="K559" s="161">
        <v>5.9704533728921103E-4</v>
      </c>
      <c r="L559" s="161">
        <v>1.5892035387914301E-3</v>
      </c>
      <c r="M559" s="161">
        <v>6.2249112740597199E-3</v>
      </c>
      <c r="N559" s="161">
        <v>1.0573405316698901E-2</v>
      </c>
      <c r="O559" s="161">
        <v>0.48033296993305102</v>
      </c>
      <c r="P559" s="161">
        <v>0.74326213609958403</v>
      </c>
      <c r="Q559" s="161">
        <v>7.5894996034011494E-2</v>
      </c>
      <c r="R559" s="161">
        <v>0.25746266496625098</v>
      </c>
      <c r="S559" s="161">
        <v>1.79154170368232E-2</v>
      </c>
      <c r="T559" s="161">
        <v>2.8584667887711199</v>
      </c>
      <c r="U559" s="161">
        <v>2.58527774688815</v>
      </c>
      <c r="V559" s="161">
        <v>0.52509201525654403</v>
      </c>
      <c r="W559" s="161"/>
      <c r="X559" s="58"/>
      <c r="Y559" s="160"/>
      <c r="Z559" s="160"/>
      <c r="AA559" s="160"/>
      <c r="AB559" s="160"/>
      <c r="AC559" s="160"/>
      <c r="AD559" s="162"/>
      <c r="AE559" s="161"/>
    </row>
    <row r="560" spans="1:31" ht="21.2" customHeight="1">
      <c r="A560" s="8" t="s">
        <v>475</v>
      </c>
      <c r="B560" s="158" t="s">
        <v>894</v>
      </c>
      <c r="C560" s="159">
        <v>32</v>
      </c>
      <c r="D560" s="158" t="s">
        <v>849</v>
      </c>
      <c r="E560" s="58">
        <v>75.437142857142902</v>
      </c>
      <c r="F560" s="160">
        <v>18.754761174302502</v>
      </c>
      <c r="G560" s="161">
        <v>3.4589741924956702E-2</v>
      </c>
      <c r="H560" s="161">
        <v>0.18312845500334299</v>
      </c>
      <c r="I560" s="161">
        <v>0.2177181969283</v>
      </c>
      <c r="J560" s="161">
        <v>1.0363393786228901</v>
      </c>
      <c r="K560" s="161">
        <v>2.2961075542365599E-4</v>
      </c>
      <c r="L560" s="161">
        <v>1.5664379896721801E-3</v>
      </c>
      <c r="M560" s="161">
        <v>-4.8698127178439999E-4</v>
      </c>
      <c r="N560" s="161">
        <v>1.24345117387906E-2</v>
      </c>
      <c r="O560" s="161">
        <v>2.2694440531199001</v>
      </c>
      <c r="P560" s="161">
        <v>1.34725888574067</v>
      </c>
      <c r="Q560" s="161">
        <v>-0.127055981294074</v>
      </c>
      <c r="R560" s="161">
        <v>0.39676070534563801</v>
      </c>
      <c r="S560" s="161">
        <v>3.5434463056850198E-3</v>
      </c>
      <c r="T560" s="161">
        <v>0</v>
      </c>
      <c r="U560" s="161">
        <v>0</v>
      </c>
      <c r="V560" s="161">
        <v>0</v>
      </c>
      <c r="W560" s="161"/>
      <c r="X560" s="58"/>
      <c r="Y560" s="160"/>
      <c r="Z560" s="160"/>
      <c r="AA560" s="160"/>
      <c r="AB560" s="160"/>
      <c r="AC560" s="160"/>
      <c r="AD560" s="162"/>
      <c r="AE560" s="161"/>
    </row>
    <row r="561" spans="1:31" ht="21.2" customHeight="1">
      <c r="A561" s="8" t="s">
        <v>795</v>
      </c>
      <c r="B561" s="158" t="s">
        <v>877</v>
      </c>
      <c r="C561" s="159">
        <v>23</v>
      </c>
      <c r="D561" s="158" t="s">
        <v>846</v>
      </c>
      <c r="E561" s="58">
        <v>68.577500000000001</v>
      </c>
      <c r="F561" s="160">
        <v>10.069278592017699</v>
      </c>
      <c r="G561" s="161">
        <v>7.0327005526569605E-2</v>
      </c>
      <c r="H561" s="161">
        <v>0.1471544229475</v>
      </c>
      <c r="I561" s="161">
        <v>0.21748142847407001</v>
      </c>
      <c r="J561" s="161">
        <v>0.82450531516096803</v>
      </c>
      <c r="K561" s="161">
        <v>1.0647814892116899E-3</v>
      </c>
      <c r="L561" s="161">
        <v>2.7689403675595198E-3</v>
      </c>
      <c r="M561" s="161">
        <v>7.6844695521853801E-3</v>
      </c>
      <c r="N561" s="161">
        <v>1.94270674435357E-2</v>
      </c>
      <c r="O561" s="161">
        <v>0.44543665047530601</v>
      </c>
      <c r="P561" s="161">
        <v>1.1951204642451301</v>
      </c>
      <c r="Q561" s="161">
        <v>6.5849658474958798E-3</v>
      </c>
      <c r="R561" s="161">
        <v>0.23067467936061101</v>
      </c>
      <c r="S561" s="161">
        <v>1.09712482594332E-2</v>
      </c>
      <c r="T561" s="161">
        <v>2.9118062541879799</v>
      </c>
      <c r="U561" s="161">
        <v>2.98161715841657</v>
      </c>
      <c r="V561" s="161">
        <v>0.49407721969549201</v>
      </c>
      <c r="W561" s="161"/>
      <c r="X561" s="58"/>
      <c r="Y561" s="160"/>
      <c r="Z561" s="160"/>
      <c r="AA561" s="160"/>
      <c r="AB561" s="160"/>
      <c r="AC561" s="160"/>
      <c r="AD561" s="162"/>
      <c r="AE561" s="161"/>
    </row>
    <row r="562" spans="1:31" ht="21.2" customHeight="1">
      <c r="A562" s="8" t="s">
        <v>762</v>
      </c>
      <c r="B562" s="158" t="s">
        <v>863</v>
      </c>
      <c r="C562" s="159">
        <v>27</v>
      </c>
      <c r="D562" s="158" t="s">
        <v>846</v>
      </c>
      <c r="E562" s="58">
        <v>75</v>
      </c>
      <c r="F562" s="160">
        <v>11.308871135670699</v>
      </c>
      <c r="G562" s="161">
        <v>0.10592085274136499</v>
      </c>
      <c r="H562" s="161">
        <v>0.11153491084297899</v>
      </c>
      <c r="I562" s="161">
        <v>0.21745576358434399</v>
      </c>
      <c r="J562" s="161">
        <v>1.2506834805057201</v>
      </c>
      <c r="K562" s="161">
        <v>1.247734204978E-3</v>
      </c>
      <c r="L562" s="161">
        <v>2.19154196506317E-3</v>
      </c>
      <c r="M562" s="161">
        <v>8.1116697146449996E-3</v>
      </c>
      <c r="N562" s="161">
        <v>1.63170726771249E-2</v>
      </c>
      <c r="O562" s="161">
        <v>0.46916766532112197</v>
      </c>
      <c r="P562" s="161">
        <v>1.4832539388472801</v>
      </c>
      <c r="Q562" s="161">
        <v>2.0527290191722902E-2</v>
      </c>
      <c r="R562" s="161">
        <v>0.19876483450889099</v>
      </c>
      <c r="S562" s="161">
        <v>1.5194587929387901E-2</v>
      </c>
      <c r="T562" s="161">
        <v>2.8581018606333699</v>
      </c>
      <c r="U562" s="161">
        <v>3.1457057279951801</v>
      </c>
      <c r="V562" s="161">
        <v>0.47604821081320498</v>
      </c>
      <c r="W562" s="161"/>
      <c r="X562" s="58"/>
      <c r="Y562" s="160"/>
      <c r="Z562" s="160"/>
      <c r="AA562" s="160"/>
      <c r="AB562" s="160"/>
      <c r="AC562" s="160"/>
      <c r="AD562" s="162"/>
      <c r="AE562" s="161"/>
    </row>
    <row r="563" spans="1:31" ht="21.2" customHeight="1">
      <c r="A563" s="8" t="s">
        <v>518</v>
      </c>
      <c r="B563" s="158" t="s">
        <v>867</v>
      </c>
      <c r="C563" s="159">
        <v>38</v>
      </c>
      <c r="D563" s="158" t="s">
        <v>849</v>
      </c>
      <c r="E563" s="58">
        <v>74.265000000000001</v>
      </c>
      <c r="F563" s="160">
        <v>16.496454607824901</v>
      </c>
      <c r="G563" s="161">
        <v>2.6825487423134502E-2</v>
      </c>
      <c r="H563" s="161">
        <v>0.19040551153399299</v>
      </c>
      <c r="I563" s="161">
        <v>0.217230998957127</v>
      </c>
      <c r="J563" s="161">
        <v>1.1113443659301101</v>
      </c>
      <c r="K563" s="161">
        <v>3.2907258270458301E-4</v>
      </c>
      <c r="L563" s="161">
        <v>1.57125903015644E-2</v>
      </c>
      <c r="M563" s="161">
        <v>-3.91754093476876E-4</v>
      </c>
      <c r="N563" s="161">
        <v>-2.1202605945025601E-3</v>
      </c>
      <c r="O563" s="161">
        <v>1.2685720733166199</v>
      </c>
      <c r="P563" s="161">
        <v>0.88265943169213301</v>
      </c>
      <c r="Q563" s="161">
        <v>3.1025303666776201E-2</v>
      </c>
      <c r="R563" s="161">
        <v>0.34411613947977698</v>
      </c>
      <c r="S563" s="161">
        <v>4.3075406153765096E-3</v>
      </c>
      <c r="T563" s="161">
        <v>0</v>
      </c>
      <c r="U563" s="161">
        <v>0</v>
      </c>
      <c r="V563" s="161">
        <v>0</v>
      </c>
      <c r="W563" s="161"/>
      <c r="X563" s="58"/>
      <c r="Y563" s="160"/>
      <c r="Z563" s="160"/>
      <c r="AA563" s="160"/>
      <c r="AB563" s="160"/>
      <c r="AC563" s="160"/>
      <c r="AD563" s="162"/>
      <c r="AE563" s="161"/>
    </row>
    <row r="564" spans="1:31" ht="21.2" customHeight="1">
      <c r="A564" s="8" t="s">
        <v>507</v>
      </c>
      <c r="B564" s="158" t="s">
        <v>863</v>
      </c>
      <c r="C564" s="159">
        <v>32</v>
      </c>
      <c r="D564" s="158" t="s">
        <v>849</v>
      </c>
      <c r="E564" s="58">
        <v>77.921071428571395</v>
      </c>
      <c r="F564" s="160">
        <v>18.268588651059499</v>
      </c>
      <c r="G564" s="161">
        <v>4.7696120490994399E-2</v>
      </c>
      <c r="H564" s="161">
        <v>0.16883968389663501</v>
      </c>
      <c r="I564" s="161">
        <v>0.21653580438762901</v>
      </c>
      <c r="J564" s="161">
        <v>1.1017661611217699</v>
      </c>
      <c r="K564" s="161">
        <v>2.8102063176095598E-4</v>
      </c>
      <c r="L564" s="161">
        <v>1.8994786165108799E-3</v>
      </c>
      <c r="M564" s="161">
        <v>-4.48148266098077E-4</v>
      </c>
      <c r="N564" s="161">
        <v>-1.5283398658345101E-3</v>
      </c>
      <c r="O564" s="161">
        <v>1.43692445708772</v>
      </c>
      <c r="P564" s="161">
        <v>1.35602520778268</v>
      </c>
      <c r="Q564" s="161">
        <v>1.7134834677148401E-2</v>
      </c>
      <c r="R564" s="161">
        <v>0.49017893294075598</v>
      </c>
      <c r="S564" s="161">
        <v>6.8421172784617398E-3</v>
      </c>
      <c r="T564" s="161">
        <v>0</v>
      </c>
      <c r="U564" s="161">
        <v>0</v>
      </c>
      <c r="V564" s="161">
        <v>0</v>
      </c>
      <c r="W564" s="161"/>
      <c r="X564" s="58"/>
      <c r="Y564" s="160"/>
      <c r="Z564" s="160"/>
      <c r="AA564" s="160"/>
      <c r="AB564" s="160"/>
      <c r="AC564" s="160"/>
      <c r="AD564" s="162"/>
      <c r="AE564" s="161"/>
    </row>
    <row r="565" spans="1:31" ht="21.2" customHeight="1">
      <c r="A565" s="8" t="s">
        <v>494</v>
      </c>
      <c r="B565" s="158" t="s">
        <v>869</v>
      </c>
      <c r="C565" s="159">
        <v>38</v>
      </c>
      <c r="D565" s="158" t="s">
        <v>849</v>
      </c>
      <c r="E565" s="58">
        <v>82.03</v>
      </c>
      <c r="F565" s="160">
        <v>18.530679583151599</v>
      </c>
      <c r="G565" s="161">
        <v>2.8841437901163499E-2</v>
      </c>
      <c r="H565" s="161">
        <v>0.18725220302371601</v>
      </c>
      <c r="I565" s="161">
        <v>0.21609364092487901</v>
      </c>
      <c r="J565" s="161">
        <v>1.03759844537952</v>
      </c>
      <c r="K565" s="161">
        <v>3.91660884298301E-3</v>
      </c>
      <c r="L565" s="161">
        <v>2.1796035065073799E-2</v>
      </c>
      <c r="M565" s="161">
        <v>-8.3810545866876704E-4</v>
      </c>
      <c r="N565" s="161">
        <v>2.1906603446500699E-3</v>
      </c>
      <c r="O565" s="161">
        <v>1.2179850825129099</v>
      </c>
      <c r="P565" s="161">
        <v>0.91177205387224503</v>
      </c>
      <c r="Q565" s="161">
        <v>5.8948998851329301E-2</v>
      </c>
      <c r="R565" s="161">
        <v>0.32941219442219599</v>
      </c>
      <c r="S565" s="161">
        <v>4.6144256056622297E-3</v>
      </c>
      <c r="T565" s="161">
        <v>0</v>
      </c>
      <c r="U565" s="161">
        <v>0</v>
      </c>
      <c r="V565" s="161">
        <v>0</v>
      </c>
      <c r="W565" s="161"/>
      <c r="X565" s="58"/>
      <c r="Y565" s="160"/>
      <c r="Z565" s="160"/>
      <c r="AA565" s="160"/>
      <c r="AB565" s="160"/>
      <c r="AC565" s="160"/>
      <c r="AD565" s="162"/>
      <c r="AE565" s="161"/>
    </row>
    <row r="566" spans="1:31" ht="21.2" customHeight="1">
      <c r="A566" s="8" t="s">
        <v>465</v>
      </c>
      <c r="B566" s="158" t="s">
        <v>873</v>
      </c>
      <c r="C566" s="159">
        <v>34</v>
      </c>
      <c r="D566" s="158" t="s">
        <v>849</v>
      </c>
      <c r="E566" s="58">
        <v>80.0646428571429</v>
      </c>
      <c r="F566" s="160">
        <v>18.937944448555701</v>
      </c>
      <c r="G566" s="161">
        <v>2.86123833681627E-2</v>
      </c>
      <c r="H566" s="161">
        <v>0.18708305942832901</v>
      </c>
      <c r="I566" s="161">
        <v>0.215695442796491</v>
      </c>
      <c r="J566" s="161">
        <v>1.26319370525493</v>
      </c>
      <c r="K566" s="161">
        <v>2.6422659226865599E-4</v>
      </c>
      <c r="L566" s="161">
        <v>1.84252905667744E-3</v>
      </c>
      <c r="M566" s="161">
        <v>-7.3819455625622301E-4</v>
      </c>
      <c r="N566" s="161">
        <v>2.6059120461746198E-4</v>
      </c>
      <c r="O566" s="161">
        <v>1.5331854620710399</v>
      </c>
      <c r="P566" s="161">
        <v>1.4834860921889099</v>
      </c>
      <c r="Q566" s="161">
        <v>1.3363633639136599E-2</v>
      </c>
      <c r="R566" s="161">
        <v>0.80063054171008696</v>
      </c>
      <c r="S566" s="161">
        <v>4.0503589453341196E-3</v>
      </c>
      <c r="T566" s="161">
        <v>0</v>
      </c>
      <c r="U566" s="161">
        <v>0</v>
      </c>
      <c r="V566" s="161">
        <v>0</v>
      </c>
      <c r="W566" s="161"/>
      <c r="X566" s="58"/>
      <c r="Y566" s="160"/>
      <c r="Z566" s="160"/>
      <c r="AA566" s="160"/>
      <c r="AB566" s="160"/>
      <c r="AC566" s="160"/>
      <c r="AD566" s="162"/>
      <c r="AE566" s="161"/>
    </row>
    <row r="567" spans="1:31" ht="21.2" customHeight="1">
      <c r="A567" s="8" t="s">
        <v>639</v>
      </c>
      <c r="B567" s="158" t="s">
        <v>871</v>
      </c>
      <c r="C567" s="159">
        <v>22</v>
      </c>
      <c r="D567" s="158" t="s">
        <v>849</v>
      </c>
      <c r="E567" s="58">
        <v>52.2</v>
      </c>
      <c r="F567" s="160">
        <v>14.9489150752668</v>
      </c>
      <c r="G567" s="161">
        <v>4.5583735950305598E-2</v>
      </c>
      <c r="H567" s="161">
        <v>0.168741505274146</v>
      </c>
      <c r="I567" s="161">
        <v>0.21432524122445201</v>
      </c>
      <c r="J567" s="161">
        <v>0.93947994564576598</v>
      </c>
      <c r="K567" s="161">
        <v>1.1535064521790001E-3</v>
      </c>
      <c r="L567" s="161">
        <v>8.9059664543932708E-3</v>
      </c>
      <c r="M567" s="161">
        <v>1.1253778653709701E-4</v>
      </c>
      <c r="N567" s="161">
        <v>4.81221827132552E-4</v>
      </c>
      <c r="O567" s="161">
        <v>1.0387179481280999</v>
      </c>
      <c r="P567" s="161">
        <v>0.88051566333201103</v>
      </c>
      <c r="Q567" s="161">
        <v>3.5112301144204799E-2</v>
      </c>
      <c r="R567" s="161">
        <v>0.28031412930224597</v>
      </c>
      <c r="S567" s="161">
        <v>7.7673834840729303E-3</v>
      </c>
      <c r="T567" s="161">
        <v>0</v>
      </c>
      <c r="U567" s="161">
        <v>0</v>
      </c>
      <c r="V567" s="161">
        <v>0</v>
      </c>
      <c r="W567" s="161"/>
      <c r="X567" s="58"/>
      <c r="Y567" s="160"/>
      <c r="Z567" s="160"/>
      <c r="AA567" s="160"/>
      <c r="AB567" s="160"/>
      <c r="AC567" s="160"/>
      <c r="AD567" s="162"/>
      <c r="AE567" s="161"/>
    </row>
    <row r="568" spans="1:31" ht="21.2" customHeight="1">
      <c r="A568" s="8" t="s">
        <v>734</v>
      </c>
      <c r="B568" s="158" t="s">
        <v>872</v>
      </c>
      <c r="C568" s="159">
        <v>29</v>
      </c>
      <c r="D568" s="158" t="s">
        <v>860</v>
      </c>
      <c r="E568" s="58">
        <v>75.5</v>
      </c>
      <c r="F568" s="160">
        <v>12.589980673544099</v>
      </c>
      <c r="G568" s="161">
        <v>0.113424019379554</v>
      </c>
      <c r="H568" s="161">
        <v>9.9322756492366507E-2</v>
      </c>
      <c r="I568" s="161">
        <v>0.21274677587192101</v>
      </c>
      <c r="J568" s="161">
        <v>1.35501702476465</v>
      </c>
      <c r="K568" s="161">
        <v>1.1482090862360199E-3</v>
      </c>
      <c r="L568" s="161">
        <v>2.8532916890212801E-3</v>
      </c>
      <c r="M568" s="161">
        <v>1.2845406095745701E-3</v>
      </c>
      <c r="N568" s="161">
        <v>1.89613089907407E-3</v>
      </c>
      <c r="O568" s="161">
        <v>0.55584713483567105</v>
      </c>
      <c r="P568" s="161">
        <v>1.2549363253488399</v>
      </c>
      <c r="Q568" s="161">
        <v>-2.7412440461160599E-2</v>
      </c>
      <c r="R568" s="161">
        <v>0.231553414709356</v>
      </c>
      <c r="S568" s="161">
        <v>1.4520435946237999E-2</v>
      </c>
      <c r="T568" s="161">
        <v>1.30739867626534</v>
      </c>
      <c r="U568" s="161">
        <v>1.46434770828002</v>
      </c>
      <c r="V568" s="161">
        <v>0.471687699695434</v>
      </c>
      <c r="W568" s="161"/>
      <c r="X568" s="58"/>
      <c r="Y568" s="160"/>
      <c r="Z568" s="160"/>
      <c r="AA568" s="160"/>
      <c r="AB568" s="160"/>
      <c r="AC568" s="160"/>
      <c r="AD568" s="162"/>
      <c r="AE568" s="161"/>
    </row>
    <row r="569" spans="1:31" ht="21.2" customHeight="1">
      <c r="A569" s="8" t="s">
        <v>500</v>
      </c>
      <c r="B569" s="158" t="s">
        <v>867</v>
      </c>
      <c r="C569" s="159">
        <v>27</v>
      </c>
      <c r="D569" s="158" t="s">
        <v>849</v>
      </c>
      <c r="E569" s="58">
        <v>75.697500000000005</v>
      </c>
      <c r="F569" s="160">
        <v>18.9596385290324</v>
      </c>
      <c r="G569" s="161">
        <v>4.9883734894435698E-2</v>
      </c>
      <c r="H569" s="161">
        <v>0.162380260102613</v>
      </c>
      <c r="I569" s="161">
        <v>0.21226399499704901</v>
      </c>
      <c r="J569" s="161">
        <v>1.05622740185224</v>
      </c>
      <c r="K569" s="161">
        <v>2.6480286498990199E-4</v>
      </c>
      <c r="L569" s="161">
        <v>2.2553214769574399E-3</v>
      </c>
      <c r="M569" s="161">
        <v>4.1650334958824402E-4</v>
      </c>
      <c r="N569" s="161">
        <v>1.3352729812419001E-2</v>
      </c>
      <c r="O569" s="161">
        <v>1.8400069067097899</v>
      </c>
      <c r="P569" s="161">
        <v>1.53726119096368</v>
      </c>
      <c r="Q569" s="161">
        <v>2.6744246929186699E-2</v>
      </c>
      <c r="R569" s="161">
        <v>0.81096883237300399</v>
      </c>
      <c r="S569" s="161">
        <v>8.0101513428287394E-3</v>
      </c>
      <c r="T569" s="161">
        <v>0</v>
      </c>
      <c r="U569" s="161">
        <v>0</v>
      </c>
      <c r="V569" s="161">
        <v>0</v>
      </c>
      <c r="W569" s="161"/>
      <c r="X569" s="58"/>
      <c r="Y569" s="160"/>
      <c r="Z569" s="160"/>
      <c r="AA569" s="160"/>
      <c r="AB569" s="160"/>
      <c r="AC569" s="160"/>
      <c r="AD569" s="162"/>
      <c r="AE569" s="161"/>
    </row>
    <row r="570" spans="1:31" ht="21.2" customHeight="1">
      <c r="A570" s="8" t="s">
        <v>791</v>
      </c>
      <c r="B570" s="158" t="s">
        <v>876</v>
      </c>
      <c r="C570" s="159">
        <v>29</v>
      </c>
      <c r="D570" s="158" t="s">
        <v>847</v>
      </c>
      <c r="E570" s="58">
        <v>63.236428571428597</v>
      </c>
      <c r="F570" s="160">
        <v>10.283349398339499</v>
      </c>
      <c r="G570" s="161">
        <v>8.7426260475734097E-2</v>
      </c>
      <c r="H570" s="161">
        <v>0.123536601215932</v>
      </c>
      <c r="I570" s="161">
        <v>0.210962861691666</v>
      </c>
      <c r="J570" s="161">
        <v>0.87711226750287097</v>
      </c>
      <c r="K570" s="161">
        <v>7.7043738342493298E-4</v>
      </c>
      <c r="L570" s="161">
        <v>1.9677766979866499E-3</v>
      </c>
      <c r="M570" s="161">
        <v>1.6320847253880699E-3</v>
      </c>
      <c r="N570" s="161">
        <v>2.9829849333572098E-3</v>
      </c>
      <c r="O570" s="161">
        <v>0.57725448711473903</v>
      </c>
      <c r="P570" s="161">
        <v>1.4891105591940701</v>
      </c>
      <c r="Q570" s="161">
        <v>-4.8260621206396501E-2</v>
      </c>
      <c r="R570" s="161">
        <v>0.29637450874135202</v>
      </c>
      <c r="S570" s="161">
        <v>1.0060378612116699E-2</v>
      </c>
      <c r="T570" s="161">
        <v>1.31607294714185</v>
      </c>
      <c r="U570" s="161">
        <v>1.4912150527268899</v>
      </c>
      <c r="V570" s="161">
        <v>0.46880581800064403</v>
      </c>
      <c r="W570" s="161"/>
      <c r="X570" s="58"/>
      <c r="Y570" s="160"/>
      <c r="Z570" s="160"/>
      <c r="AA570" s="160"/>
      <c r="AB570" s="160"/>
      <c r="AC570" s="160"/>
      <c r="AD570" s="162"/>
      <c r="AE570" s="161"/>
    </row>
    <row r="571" spans="1:31" ht="21.2" customHeight="1">
      <c r="A571" s="8" t="s">
        <v>533</v>
      </c>
      <c r="B571" s="158" t="s">
        <v>894</v>
      </c>
      <c r="C571" s="159">
        <v>26</v>
      </c>
      <c r="D571" s="158" t="s">
        <v>849</v>
      </c>
      <c r="E571" s="58">
        <v>71.405000000000001</v>
      </c>
      <c r="F571" s="160">
        <v>16.746874710415401</v>
      </c>
      <c r="G571" s="161">
        <v>4.3255335497701199E-2</v>
      </c>
      <c r="H571" s="161">
        <v>0.16767286516011801</v>
      </c>
      <c r="I571" s="161">
        <v>0.21092820065782</v>
      </c>
      <c r="J571" s="161">
        <v>1.20545148186989</v>
      </c>
      <c r="K571" s="161">
        <v>3.53135247438527E-4</v>
      </c>
      <c r="L571" s="161">
        <v>2.2105185735326102E-3</v>
      </c>
      <c r="M571" s="161">
        <v>4.9789214066072796E-4</v>
      </c>
      <c r="N571" s="161">
        <v>2.7215987729454099E-3</v>
      </c>
      <c r="O571" s="161">
        <v>1.14278557769256</v>
      </c>
      <c r="P571" s="161">
        <v>1.2315362896592199</v>
      </c>
      <c r="Q571" s="161">
        <v>-8.0207973032350402E-2</v>
      </c>
      <c r="R571" s="161">
        <v>0.38628616905469498</v>
      </c>
      <c r="S571" s="161">
        <v>4.4311680353968904E-3</v>
      </c>
      <c r="T571" s="161">
        <v>0</v>
      </c>
      <c r="U571" s="161">
        <v>0</v>
      </c>
      <c r="V571" s="161">
        <v>0</v>
      </c>
      <c r="W571" s="161"/>
      <c r="X571" s="58"/>
      <c r="Y571" s="160"/>
      <c r="Z571" s="160"/>
      <c r="AA571" s="160"/>
      <c r="AB571" s="160"/>
      <c r="AC571" s="160"/>
      <c r="AD571" s="162"/>
      <c r="AE571" s="161"/>
    </row>
    <row r="572" spans="1:31" ht="21.2" customHeight="1">
      <c r="A572" s="8" t="s">
        <v>563</v>
      </c>
      <c r="B572" s="158" t="s">
        <v>893</v>
      </c>
      <c r="C572" s="159">
        <v>28</v>
      </c>
      <c r="D572" s="158" t="s">
        <v>849</v>
      </c>
      <c r="E572" s="58">
        <v>63.027142857142898</v>
      </c>
      <c r="F572" s="160">
        <v>19.1182654321371</v>
      </c>
      <c r="G572" s="161">
        <v>5.1571112850673999E-2</v>
      </c>
      <c r="H572" s="161">
        <v>0.157370948671646</v>
      </c>
      <c r="I572" s="161">
        <v>0.208942061522321</v>
      </c>
      <c r="J572" s="161">
        <v>1.081625416027</v>
      </c>
      <c r="K572" s="161">
        <v>2.0568480736931098E-3</v>
      </c>
      <c r="L572" s="161">
        <v>1.28651004758883E-2</v>
      </c>
      <c r="M572" s="161">
        <v>6.3712930994590602E-4</v>
      </c>
      <c r="N572" s="161">
        <v>2.87408021624448E-3</v>
      </c>
      <c r="O572" s="161">
        <v>1.57111448956911</v>
      </c>
      <c r="P572" s="161">
        <v>2.7218761002907899</v>
      </c>
      <c r="Q572" s="161">
        <v>-6.7347312658496304E-3</v>
      </c>
      <c r="R572" s="161">
        <v>1.1305023470476401</v>
      </c>
      <c r="S572" s="161">
        <v>6.4028504224278504E-3</v>
      </c>
      <c r="T572" s="161">
        <v>0</v>
      </c>
      <c r="U572" s="161">
        <v>2.0005876144939799E-2</v>
      </c>
      <c r="V572" s="161">
        <v>0</v>
      </c>
      <c r="W572" s="161"/>
      <c r="X572" s="58"/>
      <c r="Y572" s="160"/>
      <c r="Z572" s="160"/>
      <c r="AA572" s="160"/>
      <c r="AB572" s="160"/>
      <c r="AC572" s="160"/>
      <c r="AD572" s="162"/>
      <c r="AE572" s="161"/>
    </row>
    <row r="573" spans="1:31" ht="21.2" customHeight="1">
      <c r="A573" s="8" t="s">
        <v>764</v>
      </c>
      <c r="B573" s="158" t="s">
        <v>887</v>
      </c>
      <c r="C573" s="159">
        <v>24</v>
      </c>
      <c r="D573" s="158" t="s">
        <v>848</v>
      </c>
      <c r="E573" s="58">
        <v>62.534999999999997</v>
      </c>
      <c r="F573" s="160">
        <v>10.8540220796423</v>
      </c>
      <c r="G573" s="161">
        <v>0.11258408462489</v>
      </c>
      <c r="H573" s="161">
        <v>9.6164354072989996E-2</v>
      </c>
      <c r="I573" s="161">
        <v>0.20874843869788001</v>
      </c>
      <c r="J573" s="161">
        <v>1.04001423910895</v>
      </c>
      <c r="K573" s="161">
        <v>8.0681355530175605E-4</v>
      </c>
      <c r="L573" s="161">
        <v>1.9745328563143399E-3</v>
      </c>
      <c r="M573" s="161">
        <v>3.47437320500922E-4</v>
      </c>
      <c r="N573" s="161">
        <v>6.6744567005296604E-4</v>
      </c>
      <c r="O573" s="161">
        <v>0.37370120961679998</v>
      </c>
      <c r="P573" s="161">
        <v>0.84413832794267696</v>
      </c>
      <c r="Q573" s="161">
        <v>-0.12637698238012901</v>
      </c>
      <c r="R573" s="161">
        <v>0.24378953082514601</v>
      </c>
      <c r="S573" s="161">
        <v>1.07926509942091E-2</v>
      </c>
      <c r="T573" s="161">
        <v>4.3921609812982702E-2</v>
      </c>
      <c r="U573" s="161">
        <v>8.2888901255246505E-2</v>
      </c>
      <c r="V573" s="161">
        <v>0.34635622428294699</v>
      </c>
      <c r="W573" s="161"/>
      <c r="X573" s="58"/>
      <c r="Y573" s="160"/>
      <c r="Z573" s="160"/>
      <c r="AA573" s="160"/>
      <c r="AB573" s="160"/>
      <c r="AC573" s="160"/>
      <c r="AD573" s="162"/>
      <c r="AE573" s="161"/>
    </row>
    <row r="574" spans="1:31" ht="21.2" customHeight="1">
      <c r="A574" s="8" t="s">
        <v>483</v>
      </c>
      <c r="B574" s="158" t="s">
        <v>872</v>
      </c>
      <c r="C574" s="159">
        <v>35</v>
      </c>
      <c r="D574" s="158" t="s">
        <v>849</v>
      </c>
      <c r="E574" s="58">
        <v>70.355714285714299</v>
      </c>
      <c r="F574" s="160">
        <v>17.123563546869001</v>
      </c>
      <c r="G574" s="161">
        <v>4.5215161826278702E-2</v>
      </c>
      <c r="H574" s="161">
        <v>0.16317749779521701</v>
      </c>
      <c r="I574" s="161">
        <v>0.208392659621496</v>
      </c>
      <c r="J574" s="161">
        <v>1.5518504159442701</v>
      </c>
      <c r="K574" s="161">
        <v>2.4987975771142903E-4</v>
      </c>
      <c r="L574" s="161">
        <v>2.4297328855573501E-3</v>
      </c>
      <c r="M574" s="161">
        <v>2.9642300688724498E-3</v>
      </c>
      <c r="N574" s="161">
        <v>1.1332827520065701E-2</v>
      </c>
      <c r="O574" s="161">
        <v>1.55201410803983</v>
      </c>
      <c r="P574" s="161">
        <v>1.81387065451259</v>
      </c>
      <c r="Q574" s="161">
        <v>-1.25550529906356E-2</v>
      </c>
      <c r="R574" s="161">
        <v>0.28944680949273499</v>
      </c>
      <c r="S574" s="161">
        <v>5.7884023568257901E-3</v>
      </c>
      <c r="T574" s="161">
        <v>0</v>
      </c>
      <c r="U574" s="161">
        <v>0</v>
      </c>
      <c r="V574" s="161">
        <v>0</v>
      </c>
      <c r="W574" s="161"/>
      <c r="X574" s="58"/>
      <c r="Y574" s="160"/>
      <c r="Z574" s="160"/>
      <c r="AA574" s="160"/>
      <c r="AB574" s="160"/>
      <c r="AC574" s="160"/>
      <c r="AD574" s="162"/>
      <c r="AE574" s="161"/>
    </row>
    <row r="575" spans="1:31" ht="21.2" customHeight="1">
      <c r="A575" s="8" t="s">
        <v>452</v>
      </c>
      <c r="B575" s="158" t="s">
        <v>879</v>
      </c>
      <c r="C575" s="159">
        <v>33</v>
      </c>
      <c r="D575" s="158" t="s">
        <v>849</v>
      </c>
      <c r="E575" s="58">
        <v>72.789285714285697</v>
      </c>
      <c r="F575" s="160">
        <v>17.3739744120479</v>
      </c>
      <c r="G575" s="161">
        <v>6.0235928469972701E-2</v>
      </c>
      <c r="H575" s="161">
        <v>0.147820945997513</v>
      </c>
      <c r="I575" s="161">
        <v>0.208056874467487</v>
      </c>
      <c r="J575" s="161">
        <v>1.5863605831065699</v>
      </c>
      <c r="K575" s="161">
        <v>3.19034998933439E-4</v>
      </c>
      <c r="L575" s="161">
        <v>3.33712857061829E-3</v>
      </c>
      <c r="M575" s="161">
        <v>-7.0212118593271995E-4</v>
      </c>
      <c r="N575" s="161">
        <v>1.39537012061318E-2</v>
      </c>
      <c r="O575" s="161">
        <v>1.7457777760409801</v>
      </c>
      <c r="P575" s="161">
        <v>1.4233726327460601</v>
      </c>
      <c r="Q575" s="161">
        <v>-7.2118335211090196E-3</v>
      </c>
      <c r="R575" s="161">
        <v>0.59852500129081998</v>
      </c>
      <c r="S575" s="161">
        <v>9.0586348054634298E-3</v>
      </c>
      <c r="T575" s="161">
        <v>0</v>
      </c>
      <c r="U575" s="161">
        <v>2.0913038453121199E-3</v>
      </c>
      <c r="V575" s="161">
        <v>0</v>
      </c>
      <c r="W575" s="161"/>
      <c r="X575" s="58"/>
      <c r="Y575" s="160"/>
      <c r="Z575" s="160"/>
      <c r="AA575" s="160"/>
      <c r="AB575" s="160"/>
      <c r="AC575" s="160"/>
      <c r="AD575" s="162"/>
      <c r="AE575" s="161"/>
    </row>
    <row r="576" spans="1:31" ht="21.2" customHeight="1">
      <c r="A576" s="8" t="s">
        <v>799</v>
      </c>
      <c r="B576" s="158" t="s">
        <v>867</v>
      </c>
      <c r="C576" s="159">
        <v>28</v>
      </c>
      <c r="D576" s="158" t="s">
        <v>860</v>
      </c>
      <c r="E576" s="58">
        <v>53.274999999999999</v>
      </c>
      <c r="F576" s="160">
        <v>10.9014661127914</v>
      </c>
      <c r="G576" s="161">
        <v>7.5343096483286201E-2</v>
      </c>
      <c r="H576" s="161">
        <v>0.132446246834659</v>
      </c>
      <c r="I576" s="161">
        <v>0.20778934331794499</v>
      </c>
      <c r="J576" s="161">
        <v>1.0925633028163899</v>
      </c>
      <c r="K576" s="161">
        <v>1.3573146785742899E-3</v>
      </c>
      <c r="L576" s="161">
        <v>4.2299092480317796E-3</v>
      </c>
      <c r="M576" s="161">
        <v>0</v>
      </c>
      <c r="N576" s="161">
        <v>0</v>
      </c>
      <c r="O576" s="161">
        <v>0.39493755048638501</v>
      </c>
      <c r="P576" s="161">
        <v>1.04553980554084</v>
      </c>
      <c r="Q576" s="161">
        <v>1.7738804062906201E-2</v>
      </c>
      <c r="R576" s="161">
        <v>0.27341146208435901</v>
      </c>
      <c r="S576" s="161">
        <v>1.20983243685667E-2</v>
      </c>
      <c r="T576" s="161">
        <v>0.220397436459076</v>
      </c>
      <c r="U576" s="161">
        <v>0.58444095779848404</v>
      </c>
      <c r="V576" s="161">
        <v>0.27384060953303002</v>
      </c>
      <c r="W576" s="161"/>
      <c r="X576" s="58"/>
      <c r="Y576" s="160"/>
      <c r="Z576" s="160"/>
      <c r="AA576" s="160"/>
      <c r="AB576" s="160"/>
      <c r="AC576" s="160"/>
      <c r="AD576" s="162"/>
      <c r="AE576" s="161"/>
    </row>
    <row r="577" spans="1:31" ht="21.2" customHeight="1">
      <c r="A577" s="8" t="s">
        <v>620</v>
      </c>
      <c r="B577" s="158" t="s">
        <v>882</v>
      </c>
      <c r="C577" s="159">
        <v>23</v>
      </c>
      <c r="D577" s="158" t="s">
        <v>849</v>
      </c>
      <c r="E577" s="58">
        <v>53.817500000000003</v>
      </c>
      <c r="F577" s="160">
        <v>16.532377158536601</v>
      </c>
      <c r="G577" s="161">
        <v>2.8107319431096098E-2</v>
      </c>
      <c r="H577" s="161">
        <v>0.177602256210279</v>
      </c>
      <c r="I577" s="161">
        <v>0.20570957564137601</v>
      </c>
      <c r="J577" s="161">
        <v>0.97382668005655604</v>
      </c>
      <c r="K577" s="161">
        <v>2.5074959050283303E-4</v>
      </c>
      <c r="L577" s="161">
        <v>1.54155877760606E-3</v>
      </c>
      <c r="M577" s="161">
        <v>9.8509968604787793E-4</v>
      </c>
      <c r="N577" s="161">
        <v>4.4596562149780503E-3</v>
      </c>
      <c r="O577" s="161">
        <v>1.3552786163467301</v>
      </c>
      <c r="P577" s="161">
        <v>1.1861396148046199</v>
      </c>
      <c r="Q577" s="161">
        <v>-4.4584334674711699E-2</v>
      </c>
      <c r="R577" s="161">
        <v>0.29552026678251803</v>
      </c>
      <c r="S577" s="161">
        <v>3.4573657491688199E-3</v>
      </c>
      <c r="T577" s="161">
        <v>0</v>
      </c>
      <c r="U577" s="161">
        <v>0</v>
      </c>
      <c r="V577" s="161">
        <v>0</v>
      </c>
      <c r="W577" s="161"/>
      <c r="X577" s="58"/>
      <c r="Y577" s="160"/>
      <c r="Z577" s="160"/>
      <c r="AA577" s="160"/>
      <c r="AB577" s="160"/>
      <c r="AC577" s="160"/>
      <c r="AD577" s="162"/>
      <c r="AE577" s="161"/>
    </row>
    <row r="578" spans="1:31" ht="21.2" customHeight="1">
      <c r="A578" s="8" t="s">
        <v>534</v>
      </c>
      <c r="B578" s="158" t="s">
        <v>877</v>
      </c>
      <c r="C578" s="159">
        <v>24</v>
      </c>
      <c r="D578" s="158" t="s">
        <v>849</v>
      </c>
      <c r="E578" s="58">
        <v>74.144999999999996</v>
      </c>
      <c r="F578" s="160">
        <v>16.6680274090347</v>
      </c>
      <c r="G578" s="161">
        <v>3.9908044761638402E-2</v>
      </c>
      <c r="H578" s="161">
        <v>0.16495769865755899</v>
      </c>
      <c r="I578" s="161">
        <v>0.204865743419198</v>
      </c>
      <c r="J578" s="161">
        <v>0.95479277759752801</v>
      </c>
      <c r="K578" s="161">
        <v>3.5763339379433898E-4</v>
      </c>
      <c r="L578" s="161">
        <v>2.2019653824684902E-3</v>
      </c>
      <c r="M578" s="161">
        <v>7.5243654026024896E-4</v>
      </c>
      <c r="N578" s="161">
        <v>1.260671025858E-2</v>
      </c>
      <c r="O578" s="161">
        <v>1.4582103153424</v>
      </c>
      <c r="P578" s="161">
        <v>1.5185760141869999</v>
      </c>
      <c r="Q578" s="161">
        <v>3.4289054001822701E-2</v>
      </c>
      <c r="R578" s="161">
        <v>0.421664827454312</v>
      </c>
      <c r="S578" s="161">
        <v>6.2257885623054404E-3</v>
      </c>
      <c r="T578" s="161">
        <v>0</v>
      </c>
      <c r="U578" s="161">
        <v>0</v>
      </c>
      <c r="V578" s="161">
        <v>0</v>
      </c>
      <c r="W578" s="161"/>
      <c r="X578" s="58"/>
      <c r="Y578" s="160"/>
      <c r="Z578" s="160"/>
      <c r="AA578" s="160"/>
      <c r="AB578" s="160"/>
      <c r="AC578" s="160"/>
      <c r="AD578" s="162"/>
      <c r="AE578" s="161"/>
    </row>
    <row r="579" spans="1:31" ht="21.2" customHeight="1">
      <c r="A579" s="8" t="s">
        <v>496</v>
      </c>
      <c r="B579" s="158" t="s">
        <v>874</v>
      </c>
      <c r="C579" s="159">
        <v>33</v>
      </c>
      <c r="D579" s="158" t="s">
        <v>849</v>
      </c>
      <c r="E579" s="58">
        <v>73.515000000000001</v>
      </c>
      <c r="F579" s="160">
        <v>17.514088328693202</v>
      </c>
      <c r="G579" s="161">
        <v>3.7038604397658999E-2</v>
      </c>
      <c r="H579" s="161">
        <v>0.16611536286419301</v>
      </c>
      <c r="I579" s="161">
        <v>0.203153967261851</v>
      </c>
      <c r="J579" s="161">
        <v>1.4403881005546999</v>
      </c>
      <c r="K579" s="161">
        <v>1.20586661945311E-4</v>
      </c>
      <c r="L579" s="161">
        <v>8.3831907654217301E-4</v>
      </c>
      <c r="M579" s="161">
        <v>-2.33086168579229E-4</v>
      </c>
      <c r="N579" s="161">
        <v>3.00499713816226E-3</v>
      </c>
      <c r="O579" s="161">
        <v>1.4359398945928299</v>
      </c>
      <c r="P579" s="161">
        <v>1.5476416377780999</v>
      </c>
      <c r="Q579" s="161">
        <v>4.2200279329860004E-3</v>
      </c>
      <c r="R579" s="161">
        <v>0.58018319106688798</v>
      </c>
      <c r="S579" s="161">
        <v>5.9454376457016003E-3</v>
      </c>
      <c r="T579" s="161">
        <v>0</v>
      </c>
      <c r="U579" s="161">
        <v>0</v>
      </c>
      <c r="V579" s="161">
        <v>0</v>
      </c>
      <c r="W579" s="161"/>
      <c r="X579" s="58"/>
      <c r="Y579" s="160"/>
      <c r="Z579" s="160"/>
      <c r="AA579" s="160"/>
      <c r="AB579" s="160"/>
      <c r="AC579" s="160"/>
      <c r="AD579" s="162"/>
      <c r="AE579" s="161"/>
    </row>
    <row r="580" spans="1:31" ht="21.2" customHeight="1">
      <c r="A580" s="8" t="s">
        <v>569</v>
      </c>
      <c r="B580" s="158" t="s">
        <v>872</v>
      </c>
      <c r="C580" s="159">
        <v>24</v>
      </c>
      <c r="D580" s="158" t="s">
        <v>849</v>
      </c>
      <c r="E580" s="58">
        <v>70.2</v>
      </c>
      <c r="F580" s="160">
        <v>17.0340037185215</v>
      </c>
      <c r="G580" s="161">
        <v>4.6524547732717803E-2</v>
      </c>
      <c r="H580" s="161">
        <v>0.155287929176262</v>
      </c>
      <c r="I580" s="161">
        <v>0.20181247690897999</v>
      </c>
      <c r="J580" s="161">
        <v>1.0357889334524699</v>
      </c>
      <c r="K580" s="161">
        <v>1.5871783435809399E-4</v>
      </c>
      <c r="L580" s="161">
        <v>2.28752447955837E-3</v>
      </c>
      <c r="M580" s="161">
        <v>6.7055169916641001E-4</v>
      </c>
      <c r="N580" s="161">
        <v>3.8295192390652199E-3</v>
      </c>
      <c r="O580" s="161">
        <v>0.94587417539591001</v>
      </c>
      <c r="P580" s="161">
        <v>0.98583985599589097</v>
      </c>
      <c r="Q580" s="161">
        <v>-4.3145652737785499E-2</v>
      </c>
      <c r="R580" s="161">
        <v>0.31771881389566597</v>
      </c>
      <c r="S580" s="161">
        <v>5.9560287051721103E-3</v>
      </c>
      <c r="T580" s="161">
        <v>0</v>
      </c>
      <c r="U580" s="161">
        <v>0</v>
      </c>
      <c r="V580" s="161">
        <v>0</v>
      </c>
      <c r="W580" s="161"/>
      <c r="X580" s="58"/>
      <c r="Y580" s="160"/>
      <c r="Z580" s="160"/>
      <c r="AA580" s="160"/>
      <c r="AB580" s="160"/>
      <c r="AC580" s="160"/>
      <c r="AD580" s="162"/>
      <c r="AE580" s="161"/>
    </row>
    <row r="581" spans="1:31" ht="21.2" customHeight="1">
      <c r="A581" s="8" t="s">
        <v>556</v>
      </c>
      <c r="B581" s="158" t="s">
        <v>884</v>
      </c>
      <c r="C581" s="159">
        <v>25</v>
      </c>
      <c r="D581" s="158" t="s">
        <v>849</v>
      </c>
      <c r="E581" s="58">
        <v>63.376428571428598</v>
      </c>
      <c r="F581" s="160">
        <v>12.7205882352941</v>
      </c>
      <c r="G581" s="161">
        <v>4.5491632166337899E-2</v>
      </c>
      <c r="H581" s="161">
        <v>0.15576208381547399</v>
      </c>
      <c r="I581" s="161">
        <v>0.20125371598181199</v>
      </c>
      <c r="J581" s="161">
        <v>1.3920123315498401</v>
      </c>
      <c r="K581" s="161">
        <v>1.6096395562979E-2</v>
      </c>
      <c r="L581" s="161">
        <v>4.4697398680583297E-2</v>
      </c>
      <c r="M581" s="161">
        <v>6.6975469116718997E-5</v>
      </c>
      <c r="N581" s="161">
        <v>2.85876576214883E-4</v>
      </c>
      <c r="O581" s="161">
        <v>0.80790121191374098</v>
      </c>
      <c r="P581" s="161">
        <v>0.99710164901324505</v>
      </c>
      <c r="Q581" s="161">
        <v>-1.0187471004378299E-3</v>
      </c>
      <c r="R581" s="161">
        <v>0.23934809966273801</v>
      </c>
      <c r="S581" s="161">
        <v>8.1622174453181793E-3</v>
      </c>
      <c r="T581" s="161">
        <v>0</v>
      </c>
      <c r="U581" s="161">
        <v>5.5804128019533404E-3</v>
      </c>
      <c r="V581" s="161">
        <v>0</v>
      </c>
      <c r="W581" s="161"/>
      <c r="X581" s="58"/>
      <c r="Y581" s="160"/>
      <c r="Z581" s="160"/>
      <c r="AA581" s="160"/>
      <c r="AB581" s="160"/>
      <c r="AC581" s="160"/>
      <c r="AD581" s="162"/>
      <c r="AE581" s="161"/>
    </row>
    <row r="582" spans="1:31" ht="21.2" customHeight="1">
      <c r="A582" s="8" t="s">
        <v>470</v>
      </c>
      <c r="B582" s="158" t="s">
        <v>881</v>
      </c>
      <c r="C582" s="159">
        <v>30</v>
      </c>
      <c r="D582" s="158" t="s">
        <v>849</v>
      </c>
      <c r="E582" s="58">
        <v>77.358928571428606</v>
      </c>
      <c r="F582" s="160">
        <v>19.753508452743901</v>
      </c>
      <c r="G582" s="161">
        <v>7.05177665546384E-2</v>
      </c>
      <c r="H582" s="161">
        <v>0.1305520575444</v>
      </c>
      <c r="I582" s="161">
        <v>0.20106982409903901</v>
      </c>
      <c r="J582" s="161">
        <v>1.15543970921968</v>
      </c>
      <c r="K582" s="161">
        <v>7.3087354373734599E-4</v>
      </c>
      <c r="L582" s="161">
        <v>2.2336952133462399E-3</v>
      </c>
      <c r="M582" s="161">
        <v>1.37138330507127E-2</v>
      </c>
      <c r="N582" s="161">
        <v>1.4489701529055101E-2</v>
      </c>
      <c r="O582" s="161">
        <v>2.0482533482445899</v>
      </c>
      <c r="P582" s="161">
        <v>1.9502514227505101</v>
      </c>
      <c r="Q582" s="161">
        <v>-9.8964863303872094E-2</v>
      </c>
      <c r="R582" s="161">
        <v>0.68060643599277304</v>
      </c>
      <c r="S582" s="161">
        <v>8.2633813250605898E-3</v>
      </c>
      <c r="T582" s="161">
        <v>0</v>
      </c>
      <c r="U582" s="161">
        <v>0</v>
      </c>
      <c r="V582" s="161">
        <v>0</v>
      </c>
      <c r="W582" s="161"/>
      <c r="X582" s="58"/>
      <c r="Y582" s="160"/>
      <c r="Z582" s="160"/>
      <c r="AA582" s="160"/>
      <c r="AB582" s="160"/>
      <c r="AC582" s="160"/>
      <c r="AD582" s="162"/>
      <c r="AE582" s="161"/>
    </row>
    <row r="583" spans="1:31" ht="21.2" customHeight="1">
      <c r="A583" s="8" t="s">
        <v>497</v>
      </c>
      <c r="B583" s="158" t="s">
        <v>870</v>
      </c>
      <c r="C583" s="159">
        <v>26</v>
      </c>
      <c r="D583" s="158" t="s">
        <v>849</v>
      </c>
      <c r="E583" s="58">
        <v>76.128571428571405</v>
      </c>
      <c r="F583" s="160">
        <v>18.579255510391199</v>
      </c>
      <c r="G583" s="161">
        <v>5.9822964125602E-2</v>
      </c>
      <c r="H583" s="161">
        <v>0.140934570037174</v>
      </c>
      <c r="I583" s="161">
        <v>0.200757534162777</v>
      </c>
      <c r="J583" s="161">
        <v>1.31334456711324</v>
      </c>
      <c r="K583" s="161">
        <v>1.2969812111550001E-4</v>
      </c>
      <c r="L583" s="161">
        <v>1.0867015532807201E-3</v>
      </c>
      <c r="M583" s="161">
        <v>4.2070968743014303E-3</v>
      </c>
      <c r="N583" s="161">
        <v>7.4449904510155403E-3</v>
      </c>
      <c r="O583" s="161">
        <v>1.44794882134502</v>
      </c>
      <c r="P583" s="161">
        <v>1.62947704147021</v>
      </c>
      <c r="Q583" s="161">
        <v>6.20822000588774E-2</v>
      </c>
      <c r="R583" s="161">
        <v>0.44668697530920098</v>
      </c>
      <c r="S583" s="161">
        <v>1.00430983978207E-2</v>
      </c>
      <c r="T583" s="161">
        <v>0</v>
      </c>
      <c r="U583" s="161">
        <v>0</v>
      </c>
      <c r="V583" s="161">
        <v>0</v>
      </c>
      <c r="W583" s="161"/>
      <c r="X583" s="58"/>
      <c r="Y583" s="160"/>
      <c r="Z583" s="160"/>
      <c r="AA583" s="160"/>
      <c r="AB583" s="160"/>
      <c r="AC583" s="160"/>
      <c r="AD583" s="162"/>
      <c r="AE583" s="161"/>
    </row>
    <row r="584" spans="1:31" ht="21.2" customHeight="1">
      <c r="A584" s="8" t="s">
        <v>520</v>
      </c>
      <c r="B584" s="158" t="s">
        <v>878</v>
      </c>
      <c r="C584" s="159">
        <v>29</v>
      </c>
      <c r="D584" s="158" t="s">
        <v>849</v>
      </c>
      <c r="E584" s="58">
        <v>72.807857142857102</v>
      </c>
      <c r="F584" s="160">
        <v>18.2475032158777</v>
      </c>
      <c r="G584" s="161">
        <v>4.63465357929954E-2</v>
      </c>
      <c r="H584" s="161">
        <v>0.15427197926286201</v>
      </c>
      <c r="I584" s="161">
        <v>0.20061851505585701</v>
      </c>
      <c r="J584" s="161">
        <v>1.28040611004462</v>
      </c>
      <c r="K584" s="161">
        <v>2.5924853493327E-4</v>
      </c>
      <c r="L584" s="161">
        <v>1.6829470908163999E-3</v>
      </c>
      <c r="M584" s="161">
        <v>1.8134705134080601E-4</v>
      </c>
      <c r="N584" s="161">
        <v>1.7570952444359599E-3</v>
      </c>
      <c r="O584" s="161">
        <v>1.32252890428884</v>
      </c>
      <c r="P584" s="161">
        <v>1.1137037078958401</v>
      </c>
      <c r="Q584" s="161">
        <v>-6.1079449046098397E-2</v>
      </c>
      <c r="R584" s="161">
        <v>0.50761008645847205</v>
      </c>
      <c r="S584" s="161">
        <v>5.8487751412853901E-3</v>
      </c>
      <c r="T584" s="161">
        <v>0</v>
      </c>
      <c r="U584" s="161">
        <v>0</v>
      </c>
      <c r="V584" s="161">
        <v>0</v>
      </c>
      <c r="W584" s="161"/>
      <c r="X584" s="58"/>
      <c r="Y584" s="160"/>
      <c r="Z584" s="160"/>
      <c r="AA584" s="160"/>
      <c r="AB584" s="160"/>
      <c r="AC584" s="160"/>
      <c r="AD584" s="162"/>
      <c r="AE584" s="161"/>
    </row>
    <row r="585" spans="1:31" ht="21.2" customHeight="1">
      <c r="A585" s="8" t="s">
        <v>774</v>
      </c>
      <c r="B585" s="158" t="s">
        <v>871</v>
      </c>
      <c r="C585" s="159">
        <v>31</v>
      </c>
      <c r="D585" s="158" t="s">
        <v>865</v>
      </c>
      <c r="E585" s="58">
        <v>62</v>
      </c>
      <c r="F585" s="160">
        <v>10.0809893441686</v>
      </c>
      <c r="G585" s="161">
        <v>8.3114548016070197E-2</v>
      </c>
      <c r="H585" s="161">
        <v>0.116766968822516</v>
      </c>
      <c r="I585" s="161">
        <v>0.19988151683858499</v>
      </c>
      <c r="J585" s="161">
        <v>0.91247044434743396</v>
      </c>
      <c r="K585" s="161">
        <v>5.1710468292989504E-4</v>
      </c>
      <c r="L585" s="161">
        <v>1.5460651726377801E-3</v>
      </c>
      <c r="M585" s="161">
        <v>1.187603968695E-3</v>
      </c>
      <c r="N585" s="161">
        <v>1.39045077727129E-3</v>
      </c>
      <c r="O585" s="161">
        <v>0.48643429522312298</v>
      </c>
      <c r="P585" s="161">
        <v>1.63958104036085</v>
      </c>
      <c r="Q585" s="161">
        <v>4.3868338307196997E-2</v>
      </c>
      <c r="R585" s="161">
        <v>0.228386215677607</v>
      </c>
      <c r="S585" s="161">
        <v>1.41625637760365E-2</v>
      </c>
      <c r="T585" s="161">
        <v>4.9543322983922097E-2</v>
      </c>
      <c r="U585" s="161">
        <v>6.1519613386452898E-2</v>
      </c>
      <c r="V585" s="161">
        <v>0.44608331638832199</v>
      </c>
      <c r="W585" s="161"/>
      <c r="X585" s="58"/>
      <c r="Y585" s="160"/>
      <c r="Z585" s="160"/>
      <c r="AA585" s="160"/>
      <c r="AB585" s="160"/>
      <c r="AC585" s="160"/>
      <c r="AD585" s="162"/>
      <c r="AE585" s="161"/>
    </row>
    <row r="586" spans="1:31" ht="21.2" customHeight="1">
      <c r="A586" s="8" t="s">
        <v>550</v>
      </c>
      <c r="B586" s="158" t="s">
        <v>887</v>
      </c>
      <c r="C586" s="159">
        <v>28</v>
      </c>
      <c r="D586" s="158" t="s">
        <v>849</v>
      </c>
      <c r="E586" s="58">
        <v>68.523571428571401</v>
      </c>
      <c r="F586" s="160">
        <v>17.351981267632201</v>
      </c>
      <c r="G586" s="161">
        <v>4.3692251945424899E-2</v>
      </c>
      <c r="H586" s="161">
        <v>0.15530658121056101</v>
      </c>
      <c r="I586" s="161">
        <v>0.19899883315598499</v>
      </c>
      <c r="J586" s="161">
        <v>1.1335791121446901</v>
      </c>
      <c r="K586" s="161">
        <v>1.9875637909506799E-4</v>
      </c>
      <c r="L586" s="161">
        <v>1.26984531815767E-3</v>
      </c>
      <c r="M586" s="161">
        <v>2.6280153349278202E-4</v>
      </c>
      <c r="N586" s="161">
        <v>1.26203310153787E-3</v>
      </c>
      <c r="O586" s="161">
        <v>1.3940881170939401</v>
      </c>
      <c r="P586" s="161">
        <v>2.40496096257626</v>
      </c>
      <c r="Q586" s="161">
        <v>-8.87025757170639E-2</v>
      </c>
      <c r="R586" s="161">
        <v>0.59885005550451498</v>
      </c>
      <c r="S586" s="161">
        <v>4.1884714697389396E-3</v>
      </c>
      <c r="T586" s="161">
        <v>0</v>
      </c>
      <c r="U586" s="161">
        <v>0</v>
      </c>
      <c r="V586" s="161">
        <v>0</v>
      </c>
      <c r="W586" s="161"/>
      <c r="X586" s="58"/>
      <c r="Y586" s="160"/>
      <c r="Z586" s="160"/>
      <c r="AA586" s="160"/>
      <c r="AB586" s="160"/>
      <c r="AC586" s="160"/>
      <c r="AD586" s="162"/>
      <c r="AE586" s="161"/>
    </row>
    <row r="587" spans="1:31" ht="21.2" customHeight="1">
      <c r="A587" s="8" t="s">
        <v>751</v>
      </c>
      <c r="B587" s="158" t="s">
        <v>891</v>
      </c>
      <c r="C587" s="159">
        <v>35</v>
      </c>
      <c r="D587" s="158" t="s">
        <v>848</v>
      </c>
      <c r="E587" s="58">
        <v>72.1314285714286</v>
      </c>
      <c r="F587" s="160">
        <v>12.320296846431701</v>
      </c>
      <c r="G587" s="161">
        <v>8.5793026995421504E-2</v>
      </c>
      <c r="H587" s="161">
        <v>0.112188885482879</v>
      </c>
      <c r="I587" s="161">
        <v>0.19798191247829999</v>
      </c>
      <c r="J587" s="161">
        <v>0.97388061155127104</v>
      </c>
      <c r="K587" s="161">
        <v>6.7376113923263902E-4</v>
      </c>
      <c r="L587" s="161">
        <v>1.8277917965759899E-3</v>
      </c>
      <c r="M587" s="161">
        <v>7.19975204067007E-3</v>
      </c>
      <c r="N587" s="161">
        <v>4.0182310522832399E-3</v>
      </c>
      <c r="O587" s="161">
        <v>0.54170507817706703</v>
      </c>
      <c r="P587" s="161">
        <v>3.3215347462415501</v>
      </c>
      <c r="Q587" s="161">
        <v>-1.00039165456973E-2</v>
      </c>
      <c r="R587" s="161">
        <v>0.27047964809341102</v>
      </c>
      <c r="S587" s="161">
        <v>1.32568978783754E-2</v>
      </c>
      <c r="T587" s="161">
        <v>4.1756889688515902E-2</v>
      </c>
      <c r="U587" s="161">
        <v>7.0805390741758498E-2</v>
      </c>
      <c r="V587" s="161">
        <v>0.37096698404561701</v>
      </c>
      <c r="W587" s="161"/>
      <c r="X587" s="58"/>
      <c r="Y587" s="160"/>
      <c r="Z587" s="160"/>
      <c r="AA587" s="160"/>
      <c r="AB587" s="160"/>
      <c r="AC587" s="160"/>
      <c r="AD587" s="162"/>
      <c r="AE587" s="161"/>
    </row>
    <row r="588" spans="1:31" ht="21.2" customHeight="1">
      <c r="A588" s="8" t="s">
        <v>801</v>
      </c>
      <c r="B588" s="158" t="s">
        <v>887</v>
      </c>
      <c r="C588" s="159">
        <v>31</v>
      </c>
      <c r="D588" s="158" t="s">
        <v>846</v>
      </c>
      <c r="E588" s="58">
        <v>64.3</v>
      </c>
      <c r="F588" s="160">
        <v>10.545349719204401</v>
      </c>
      <c r="G588" s="161">
        <v>9.5104271169165699E-2</v>
      </c>
      <c r="H588" s="161">
        <v>0.102450293963216</v>
      </c>
      <c r="I588" s="161">
        <v>0.19755456513238201</v>
      </c>
      <c r="J588" s="161">
        <v>1.0487723814574601</v>
      </c>
      <c r="K588" s="161">
        <v>2.3791389788655202E-3</v>
      </c>
      <c r="L588" s="161">
        <v>7.1086527909677601E-3</v>
      </c>
      <c r="M588" s="161">
        <v>7.7882387906196004E-4</v>
      </c>
      <c r="N588" s="161">
        <v>1.06598358512743E-3</v>
      </c>
      <c r="O588" s="161">
        <v>0.40375879353230099</v>
      </c>
      <c r="P588" s="161">
        <v>1.74426807946644</v>
      </c>
      <c r="Q588" s="161">
        <v>-0.113453067643713</v>
      </c>
      <c r="R588" s="161">
        <v>0.92399543487741498</v>
      </c>
      <c r="S588" s="161">
        <v>9.1169831882304004E-3</v>
      </c>
      <c r="T588" s="161">
        <v>3.3227948832927101</v>
      </c>
      <c r="U588" s="161">
        <v>3.3766741059362402</v>
      </c>
      <c r="V588" s="161">
        <v>0.49597884379119</v>
      </c>
      <c r="W588" s="161"/>
      <c r="X588" s="58"/>
      <c r="Y588" s="160"/>
      <c r="Z588" s="160"/>
      <c r="AA588" s="160"/>
      <c r="AB588" s="160"/>
      <c r="AC588" s="160"/>
      <c r="AD588" s="162"/>
      <c r="AE588" s="161"/>
    </row>
    <row r="589" spans="1:31" ht="21.2" customHeight="1">
      <c r="A589" s="8" t="s">
        <v>586</v>
      </c>
      <c r="B589" s="158" t="s">
        <v>868</v>
      </c>
      <c r="C589" s="159">
        <v>23</v>
      </c>
      <c r="D589" s="158" t="s">
        <v>849</v>
      </c>
      <c r="E589" s="58">
        <v>72</v>
      </c>
      <c r="F589" s="160">
        <v>14.6392454892567</v>
      </c>
      <c r="G589" s="161">
        <v>4.4679692819138001E-2</v>
      </c>
      <c r="H589" s="161">
        <v>0.152537468229584</v>
      </c>
      <c r="I589" s="161">
        <v>0.197217161048722</v>
      </c>
      <c r="J589" s="161">
        <v>0.755826693851401</v>
      </c>
      <c r="K589" s="161">
        <v>3.3743417807606801E-4</v>
      </c>
      <c r="L589" s="161">
        <v>2.0655544547020701E-3</v>
      </c>
      <c r="M589" s="161">
        <v>1.10943273461027E-3</v>
      </c>
      <c r="N589" s="161">
        <v>5.1100433742838399E-3</v>
      </c>
      <c r="O589" s="161">
        <v>1.0397478368658799</v>
      </c>
      <c r="P589" s="161">
        <v>1.4834967721002399</v>
      </c>
      <c r="Q589" s="161">
        <v>1.8540516556561499E-4</v>
      </c>
      <c r="R589" s="161">
        <v>0.48118094964945901</v>
      </c>
      <c r="S589" s="161">
        <v>6.5669310420864496E-3</v>
      </c>
      <c r="T589" s="161">
        <v>0</v>
      </c>
      <c r="U589" s="161">
        <v>0</v>
      </c>
      <c r="V589" s="161">
        <v>0</v>
      </c>
      <c r="W589" s="161"/>
      <c r="X589" s="58"/>
      <c r="Y589" s="160"/>
      <c r="Z589" s="160"/>
      <c r="AA589" s="160"/>
      <c r="AB589" s="160"/>
      <c r="AC589" s="160"/>
      <c r="AD589" s="162"/>
      <c r="AE589" s="161"/>
    </row>
    <row r="590" spans="1:31" ht="21.2" customHeight="1">
      <c r="A590" s="8" t="s">
        <v>521</v>
      </c>
      <c r="B590" s="158" t="s">
        <v>893</v>
      </c>
      <c r="C590" s="159">
        <v>36</v>
      </c>
      <c r="D590" s="158" t="s">
        <v>849</v>
      </c>
      <c r="E590" s="58">
        <v>78.8</v>
      </c>
      <c r="F590" s="160">
        <v>19.120010454026499</v>
      </c>
      <c r="G590" s="161">
        <v>2.04350437434784E-2</v>
      </c>
      <c r="H590" s="161">
        <v>0.17510064453249799</v>
      </c>
      <c r="I590" s="161">
        <v>0.19553568827597601</v>
      </c>
      <c r="J590" s="161">
        <v>1.0009650570089701</v>
      </c>
      <c r="K590" s="161">
        <v>7.4394996895767998E-4</v>
      </c>
      <c r="L590" s="161">
        <v>2.44803949657063E-3</v>
      </c>
      <c r="M590" s="161">
        <v>-1.00522320498682E-3</v>
      </c>
      <c r="N590" s="161">
        <v>-4.6738742412977203E-3</v>
      </c>
      <c r="O590" s="161">
        <v>1.5687735510054299</v>
      </c>
      <c r="P590" s="161">
        <v>0.89656184486769896</v>
      </c>
      <c r="Q590" s="161">
        <v>-7.9318765689101994E-3</v>
      </c>
      <c r="R590" s="161">
        <v>0.22091033080938</v>
      </c>
      <c r="S590" s="161">
        <v>2.537128272646E-3</v>
      </c>
      <c r="T590" s="161">
        <v>0</v>
      </c>
      <c r="U590" s="161">
        <v>0</v>
      </c>
      <c r="V590" s="161">
        <v>0</v>
      </c>
      <c r="W590" s="161"/>
      <c r="X590" s="58"/>
      <c r="Y590" s="160"/>
      <c r="Z590" s="160"/>
      <c r="AA590" s="160"/>
      <c r="AB590" s="160"/>
      <c r="AC590" s="160"/>
      <c r="AD590" s="162"/>
      <c r="AE590" s="161"/>
    </row>
    <row r="591" spans="1:31" ht="21.2" customHeight="1">
      <c r="A591" s="8" t="s">
        <v>624</v>
      </c>
      <c r="B591" s="158" t="s">
        <v>887</v>
      </c>
      <c r="C591" s="159">
        <v>26</v>
      </c>
      <c r="D591" s="158" t="s">
        <v>849</v>
      </c>
      <c r="E591" s="58">
        <v>60.1703571428571</v>
      </c>
      <c r="F591" s="160">
        <v>16.5139484230831</v>
      </c>
      <c r="G591" s="161">
        <v>2.1474121721164599E-2</v>
      </c>
      <c r="H591" s="161">
        <v>0.17356395992248499</v>
      </c>
      <c r="I591" s="161">
        <v>0.19503808164365</v>
      </c>
      <c r="J591" s="161">
        <v>0.87788839534506602</v>
      </c>
      <c r="K591" s="161">
        <v>3.28054477561372E-4</v>
      </c>
      <c r="L591" s="161">
        <v>2.0619849385226201E-3</v>
      </c>
      <c r="M591" s="161">
        <v>5.5501723248260499E-4</v>
      </c>
      <c r="N591" s="161">
        <v>2.4565585651995701E-3</v>
      </c>
      <c r="O591" s="161">
        <v>0.985031696675428</v>
      </c>
      <c r="P591" s="161">
        <v>1.07126748598827</v>
      </c>
      <c r="Q591" s="161">
        <v>-0.110371170385016</v>
      </c>
      <c r="R591" s="161">
        <v>0.30639334789252798</v>
      </c>
      <c r="S591" s="161">
        <v>2.0585742817547199E-3</v>
      </c>
      <c r="T591" s="161">
        <v>0</v>
      </c>
      <c r="U591" s="161">
        <v>0</v>
      </c>
      <c r="V591" s="161">
        <v>0</v>
      </c>
      <c r="W591" s="161"/>
      <c r="X591" s="58"/>
      <c r="Y591" s="160"/>
      <c r="Z591" s="160"/>
      <c r="AA591" s="160"/>
      <c r="AB591" s="160"/>
      <c r="AC591" s="160"/>
      <c r="AD591" s="162"/>
      <c r="AE591" s="161"/>
    </row>
    <row r="592" spans="1:31" ht="21.2" customHeight="1">
      <c r="A592" s="8" t="s">
        <v>804</v>
      </c>
      <c r="B592" s="158" t="s">
        <v>879</v>
      </c>
      <c r="C592" s="159">
        <v>24</v>
      </c>
      <c r="D592" s="158" t="s">
        <v>846</v>
      </c>
      <c r="E592" s="58">
        <v>63.337499999999999</v>
      </c>
      <c r="F592" s="160">
        <v>8.7474233384146292</v>
      </c>
      <c r="G592" s="161">
        <v>0.104838965777064</v>
      </c>
      <c r="H592" s="161">
        <v>8.9379928560797697E-2</v>
      </c>
      <c r="I592" s="161">
        <v>0.19421889433786199</v>
      </c>
      <c r="J592" s="161">
        <v>1.0328944498297701</v>
      </c>
      <c r="K592" s="161">
        <v>7.1691158455718996E-4</v>
      </c>
      <c r="L592" s="161">
        <v>1.7743975587934E-3</v>
      </c>
      <c r="M592" s="161">
        <v>2.2715576685256099E-3</v>
      </c>
      <c r="N592" s="161">
        <v>4.6523315385342398E-3</v>
      </c>
      <c r="O592" s="161">
        <v>0.51803621085791096</v>
      </c>
      <c r="P592" s="161">
        <v>2.0779107581227101</v>
      </c>
      <c r="Q592" s="161">
        <v>9.9523030430975594E-3</v>
      </c>
      <c r="R592" s="161">
        <v>0.60774511242893003</v>
      </c>
      <c r="S592" s="161">
        <v>1.5766303076582101E-2</v>
      </c>
      <c r="T592" s="161">
        <v>5.0470311361948799</v>
      </c>
      <c r="U592" s="161">
        <v>3.7872565596155701</v>
      </c>
      <c r="V592" s="161">
        <v>0.571300291543411</v>
      </c>
      <c r="W592" s="161"/>
      <c r="X592" s="58"/>
      <c r="Y592" s="160"/>
      <c r="Z592" s="160"/>
      <c r="AA592" s="160"/>
      <c r="AB592" s="160"/>
      <c r="AC592" s="160"/>
      <c r="AD592" s="162"/>
      <c r="AE592" s="161"/>
    </row>
    <row r="593" spans="1:31" ht="21.2" customHeight="1">
      <c r="A593" s="8" t="s">
        <v>539</v>
      </c>
      <c r="B593" s="158" t="s">
        <v>870</v>
      </c>
      <c r="C593" s="159">
        <v>31</v>
      </c>
      <c r="D593" s="158" t="s">
        <v>849</v>
      </c>
      <c r="E593" s="58">
        <v>76.234999999999999</v>
      </c>
      <c r="F593" s="160">
        <v>17.565507904034</v>
      </c>
      <c r="G593" s="161">
        <v>5.7268093246414402E-2</v>
      </c>
      <c r="H593" s="161">
        <v>0.13609062122538501</v>
      </c>
      <c r="I593" s="161">
        <v>0.1933587144718</v>
      </c>
      <c r="J593" s="161">
        <v>0.84235489314751799</v>
      </c>
      <c r="K593" s="161">
        <v>2.3073710704716701E-4</v>
      </c>
      <c r="L593" s="161">
        <v>1.53732807691418E-3</v>
      </c>
      <c r="M593" s="161">
        <v>1.38929549243598E-2</v>
      </c>
      <c r="N593" s="161">
        <v>1.8145175793765001E-2</v>
      </c>
      <c r="O593" s="161">
        <v>1.49800946439073</v>
      </c>
      <c r="P593" s="161">
        <v>1.6991845428913199</v>
      </c>
      <c r="Q593" s="161">
        <v>2.3204746479600202E-2</v>
      </c>
      <c r="R593" s="161">
        <v>0.44415486255637798</v>
      </c>
      <c r="S593" s="161">
        <v>9.6141858554810201E-3</v>
      </c>
      <c r="T593" s="161">
        <v>0</v>
      </c>
      <c r="U593" s="161">
        <v>0</v>
      </c>
      <c r="V593" s="161">
        <v>0</v>
      </c>
      <c r="W593" s="161"/>
      <c r="X593" s="58"/>
      <c r="Y593" s="160"/>
      <c r="Z593" s="160"/>
      <c r="AA593" s="160"/>
      <c r="AB593" s="160"/>
      <c r="AC593" s="160"/>
      <c r="AD593" s="162"/>
      <c r="AE593" s="161"/>
    </row>
    <row r="594" spans="1:31" ht="21.2" customHeight="1">
      <c r="A594" s="8" t="s">
        <v>487</v>
      </c>
      <c r="B594" s="158" t="s">
        <v>873</v>
      </c>
      <c r="C594" s="159">
        <v>33</v>
      </c>
      <c r="D594" s="158" t="s">
        <v>849</v>
      </c>
      <c r="E594" s="58">
        <v>81.173571428571407</v>
      </c>
      <c r="F594" s="160">
        <v>17.543180197851001</v>
      </c>
      <c r="G594" s="161">
        <v>2.25227543520094E-2</v>
      </c>
      <c r="H594" s="161">
        <v>0.16983784897884599</v>
      </c>
      <c r="I594" s="161">
        <v>0.192360603330856</v>
      </c>
      <c r="J594" s="161">
        <v>1.1873484148062801</v>
      </c>
      <c r="K594" s="161">
        <v>5.3983473481604904E-4</v>
      </c>
      <c r="L594" s="161">
        <v>8.5257950000747398E-3</v>
      </c>
      <c r="M594" s="161">
        <v>1.0376282987299599E-3</v>
      </c>
      <c r="N594" s="161">
        <v>3.9979199044666196E-3</v>
      </c>
      <c r="O594" s="161">
        <v>1.4516823069604901</v>
      </c>
      <c r="P594" s="161">
        <v>1.1688011794372599</v>
      </c>
      <c r="Q594" s="161">
        <v>-2.5616418968455401E-2</v>
      </c>
      <c r="R594" s="161">
        <v>0.62777416797072205</v>
      </c>
      <c r="S594" s="161">
        <v>3.1883131995474301E-3</v>
      </c>
      <c r="T594" s="161">
        <v>0</v>
      </c>
      <c r="U594" s="161">
        <v>0</v>
      </c>
      <c r="V594" s="161">
        <v>0</v>
      </c>
      <c r="W594" s="161"/>
      <c r="X594" s="58"/>
      <c r="Y594" s="161"/>
      <c r="Z594" s="161"/>
      <c r="AA594" s="161"/>
      <c r="AB594" s="161"/>
      <c r="AC594" s="160"/>
      <c r="AD594" s="162"/>
      <c r="AE594" s="161"/>
    </row>
    <row r="595" spans="1:31" ht="21.2" customHeight="1">
      <c r="A595" s="8" t="s">
        <v>565</v>
      </c>
      <c r="B595" s="158" t="s">
        <v>889</v>
      </c>
      <c r="C595" s="159">
        <v>28</v>
      </c>
      <c r="D595" s="158" t="s">
        <v>849</v>
      </c>
      <c r="E595" s="58">
        <v>76.923571428571407</v>
      </c>
      <c r="F595" s="160">
        <v>15.7099611391567</v>
      </c>
      <c r="G595" s="161">
        <v>3.9549665656807301E-2</v>
      </c>
      <c r="H595" s="161">
        <v>0.15268797254529801</v>
      </c>
      <c r="I595" s="161">
        <v>0.19223763820210499</v>
      </c>
      <c r="J595" s="161">
        <v>0.810355149067989</v>
      </c>
      <c r="K595" s="161">
        <v>2.97139598151851E-4</v>
      </c>
      <c r="L595" s="161">
        <v>1.91208655749029E-3</v>
      </c>
      <c r="M595" s="161">
        <v>6.4828121616765605E-5</v>
      </c>
      <c r="N595" s="161">
        <v>3.4695410241973498E-4</v>
      </c>
      <c r="O595" s="161">
        <v>1.2208870237112599</v>
      </c>
      <c r="P595" s="161">
        <v>0.92643333458127697</v>
      </c>
      <c r="Q595" s="161">
        <v>-4.3467487169279902E-2</v>
      </c>
      <c r="R595" s="161">
        <v>0.18570558182763799</v>
      </c>
      <c r="S595" s="161">
        <v>5.2338390090048504E-3</v>
      </c>
      <c r="T595" s="161">
        <v>0</v>
      </c>
      <c r="U595" s="161">
        <v>0</v>
      </c>
      <c r="V595" s="161">
        <v>0</v>
      </c>
      <c r="W595" s="161"/>
      <c r="X595" s="58"/>
      <c r="Y595" s="161"/>
      <c r="Z595" s="161"/>
      <c r="AA595" s="161"/>
      <c r="AB595" s="161"/>
      <c r="AC595" s="160"/>
      <c r="AD595" s="162"/>
      <c r="AE595" s="161"/>
    </row>
    <row r="596" spans="1:31" ht="21.2" customHeight="1">
      <c r="A596" s="8" t="s">
        <v>542</v>
      </c>
      <c r="B596" s="158" t="s">
        <v>894</v>
      </c>
      <c r="C596" s="159">
        <v>22</v>
      </c>
      <c r="D596" s="158" t="s">
        <v>849</v>
      </c>
      <c r="E596" s="58">
        <v>69.165000000000006</v>
      </c>
      <c r="F596" s="160">
        <v>14.5802203248371</v>
      </c>
      <c r="G596" s="161">
        <v>5.5774395762514001E-2</v>
      </c>
      <c r="H596" s="161">
        <v>0.136084709729141</v>
      </c>
      <c r="I596" s="161">
        <v>0.191859105491656</v>
      </c>
      <c r="J596" s="161">
        <v>1.2926266044399499</v>
      </c>
      <c r="K596" s="161">
        <v>1.18466447886787E-2</v>
      </c>
      <c r="L596" s="161">
        <v>2.6420543880068401E-2</v>
      </c>
      <c r="M596" s="161">
        <v>2.1182322671897699E-4</v>
      </c>
      <c r="N596" s="161">
        <v>9.8438902167576796E-4</v>
      </c>
      <c r="O596" s="161">
        <v>0.97389489880647995</v>
      </c>
      <c r="P596" s="161">
        <v>2.3950143356587699</v>
      </c>
      <c r="Q596" s="161">
        <v>-0.107328735401343</v>
      </c>
      <c r="R596" s="161">
        <v>1.0596114745262799</v>
      </c>
      <c r="S596" s="161">
        <v>5.7136470415207396E-3</v>
      </c>
      <c r="T596" s="161">
        <v>0</v>
      </c>
      <c r="U596" s="161">
        <v>0</v>
      </c>
      <c r="V596" s="161">
        <v>0</v>
      </c>
      <c r="W596" s="161"/>
      <c r="X596" s="58"/>
      <c r="Y596" s="161"/>
      <c r="Z596" s="161"/>
      <c r="AA596" s="161"/>
      <c r="AB596" s="161"/>
      <c r="AC596" s="160"/>
      <c r="AD596" s="162"/>
      <c r="AE596" s="161"/>
    </row>
    <row r="597" spans="1:31" ht="21.2" customHeight="1">
      <c r="A597" s="8" t="s">
        <v>777</v>
      </c>
      <c r="B597" s="158" t="s">
        <v>875</v>
      </c>
      <c r="C597" s="159">
        <v>26</v>
      </c>
      <c r="D597" s="158" t="s">
        <v>848</v>
      </c>
      <c r="E597" s="58">
        <v>58.26</v>
      </c>
      <c r="F597" s="160">
        <v>9.9943924948465099</v>
      </c>
      <c r="G597" s="161">
        <v>7.0254739606571998E-2</v>
      </c>
      <c r="H597" s="161">
        <v>0.121559288828788</v>
      </c>
      <c r="I597" s="161">
        <v>0.19181402843536</v>
      </c>
      <c r="J597" s="161">
        <v>0.94731189792459403</v>
      </c>
      <c r="K597" s="161">
        <v>2.7542386801829901E-4</v>
      </c>
      <c r="L597" s="161">
        <v>5.7935703951219903E-4</v>
      </c>
      <c r="M597" s="161">
        <v>1.7108447778882701E-3</v>
      </c>
      <c r="N597" s="161">
        <v>3.48895182939955E-3</v>
      </c>
      <c r="O597" s="161">
        <v>0.65900749582964302</v>
      </c>
      <c r="P597" s="161">
        <v>2.0841298026945898</v>
      </c>
      <c r="Q597" s="161">
        <v>-7.2840943742238706E-2</v>
      </c>
      <c r="R597" s="161">
        <v>0.85262320556367299</v>
      </c>
      <c r="S597" s="161">
        <v>7.5282790658827304E-3</v>
      </c>
      <c r="T597" s="161">
        <v>3.7455551096748203E-2</v>
      </c>
      <c r="U597" s="161">
        <v>0.15935020866376801</v>
      </c>
      <c r="V597" s="161">
        <v>0.190317352207202</v>
      </c>
      <c r="W597" s="161"/>
      <c r="X597" s="58"/>
      <c r="Y597" s="161"/>
      <c r="Z597" s="161"/>
      <c r="AA597" s="161"/>
      <c r="AB597" s="161"/>
      <c r="AC597" s="160"/>
      <c r="AD597" s="162"/>
      <c r="AE597" s="161"/>
    </row>
    <row r="598" spans="1:31" ht="21.2" customHeight="1">
      <c r="A598" s="8" t="s">
        <v>761</v>
      </c>
      <c r="B598" s="158" t="s">
        <v>895</v>
      </c>
      <c r="C598" s="159">
        <v>29</v>
      </c>
      <c r="D598" s="158" t="s">
        <v>847</v>
      </c>
      <c r="E598" s="58">
        <v>77.744285714285695</v>
      </c>
      <c r="F598" s="160">
        <v>10.085870754751401</v>
      </c>
      <c r="G598" s="161">
        <v>0.100978498686474</v>
      </c>
      <c r="H598" s="161">
        <v>8.9580767510068895E-2</v>
      </c>
      <c r="I598" s="161">
        <v>0.19055926619654301</v>
      </c>
      <c r="J598" s="161">
        <v>1.0883234137367901</v>
      </c>
      <c r="K598" s="161">
        <v>5.9597824217392397E-4</v>
      </c>
      <c r="L598" s="161">
        <v>1.5244787706691499E-3</v>
      </c>
      <c r="M598" s="161">
        <v>0</v>
      </c>
      <c r="N598" s="161">
        <v>0</v>
      </c>
      <c r="O598" s="161">
        <v>0.46657127233610701</v>
      </c>
      <c r="P598" s="161">
        <v>2.1460212217353201</v>
      </c>
      <c r="Q598" s="161">
        <v>-5.03828951300829E-3</v>
      </c>
      <c r="R598" s="161">
        <v>0.28219472441674098</v>
      </c>
      <c r="S598" s="161">
        <v>0</v>
      </c>
      <c r="T598" s="161">
        <v>8.0330905079898901E-2</v>
      </c>
      <c r="U598" s="161">
        <v>8.7643773029495095E-2</v>
      </c>
      <c r="V598" s="161">
        <v>0.478232231096065</v>
      </c>
      <c r="W598" s="161"/>
      <c r="X598" s="58"/>
      <c r="Y598" s="161"/>
      <c r="Z598" s="161"/>
      <c r="AA598" s="161"/>
      <c r="AB598" s="161"/>
      <c r="AC598" s="160"/>
      <c r="AD598" s="162"/>
      <c r="AE598" s="161"/>
    </row>
    <row r="599" spans="1:31" ht="21.2" customHeight="1">
      <c r="A599" s="8" t="s">
        <v>763</v>
      </c>
      <c r="B599" s="158" t="s">
        <v>888</v>
      </c>
      <c r="C599" s="159">
        <v>28</v>
      </c>
      <c r="D599" s="158" t="s">
        <v>848</v>
      </c>
      <c r="E599" s="58">
        <v>61.5710714285714</v>
      </c>
      <c r="F599" s="160">
        <v>10.2932065625</v>
      </c>
      <c r="G599" s="161">
        <v>9.2003543743875205E-2</v>
      </c>
      <c r="H599" s="161">
        <v>9.8534923786788201E-2</v>
      </c>
      <c r="I599" s="161">
        <v>0.190538467530663</v>
      </c>
      <c r="J599" s="161">
        <v>1.09819096443427</v>
      </c>
      <c r="K599" s="161">
        <v>7.9218392608019497E-4</v>
      </c>
      <c r="L599" s="161">
        <v>2.4646552428101501E-3</v>
      </c>
      <c r="M599" s="161">
        <v>7.3854275209392101E-3</v>
      </c>
      <c r="N599" s="161">
        <v>1.8958148856193201E-2</v>
      </c>
      <c r="O599" s="161">
        <v>0.54462400261987598</v>
      </c>
      <c r="P599" s="161">
        <v>2.0326631242434501</v>
      </c>
      <c r="Q599" s="161">
        <v>-1.12537153143503E-2</v>
      </c>
      <c r="R599" s="161">
        <v>0.66562342806138897</v>
      </c>
      <c r="S599" s="161">
        <v>1.34349236544018E-2</v>
      </c>
      <c r="T599" s="161">
        <v>2.3503983830687298</v>
      </c>
      <c r="U599" s="161">
        <v>1.8491484236664799</v>
      </c>
      <c r="V599" s="161">
        <v>0.55967905377293903</v>
      </c>
      <c r="W599" s="161"/>
      <c r="X599" s="58"/>
      <c r="Y599" s="161"/>
      <c r="Z599" s="161"/>
      <c r="AA599" s="161"/>
      <c r="AB599" s="161"/>
      <c r="AC599" s="160"/>
      <c r="AD599" s="162"/>
      <c r="AE599" s="161"/>
    </row>
    <row r="600" spans="1:31" ht="21.2" customHeight="1">
      <c r="A600" s="8" t="s">
        <v>744</v>
      </c>
      <c r="B600" s="158" t="s">
        <v>861</v>
      </c>
      <c r="C600" s="159">
        <v>36</v>
      </c>
      <c r="D600" s="158" t="s">
        <v>847</v>
      </c>
      <c r="E600" s="58">
        <v>80.104642857142906</v>
      </c>
      <c r="F600" s="160">
        <v>12.5882683234694</v>
      </c>
      <c r="G600" s="161">
        <v>7.8094496023234303E-2</v>
      </c>
      <c r="H600" s="161">
        <v>0.11216286990741201</v>
      </c>
      <c r="I600" s="161">
        <v>0.19025736593064599</v>
      </c>
      <c r="J600" s="161">
        <v>1.12270009741324</v>
      </c>
      <c r="K600" s="161">
        <v>2.3408797283747999E-4</v>
      </c>
      <c r="L600" s="161">
        <v>6.4350667852662103E-4</v>
      </c>
      <c r="M600" s="161">
        <v>4.5952762552022202E-3</v>
      </c>
      <c r="N600" s="161">
        <v>1.8968589677069301E-2</v>
      </c>
      <c r="O600" s="161">
        <v>0.58684406311809501</v>
      </c>
      <c r="P600" s="161">
        <v>1.01515743352725</v>
      </c>
      <c r="Q600" s="161">
        <v>2.9474281465648702E-2</v>
      </c>
      <c r="R600" s="161">
        <v>0.366271042793059</v>
      </c>
      <c r="S600" s="161">
        <v>1.23557259003337E-2</v>
      </c>
      <c r="T600" s="161">
        <v>0.28902857002332899</v>
      </c>
      <c r="U600" s="161">
        <v>0.435663245794638</v>
      </c>
      <c r="V600" s="161">
        <v>0.39882963173400798</v>
      </c>
      <c r="W600" s="161"/>
      <c r="X600" s="58"/>
      <c r="Y600" s="161"/>
      <c r="Z600" s="161"/>
      <c r="AA600" s="161"/>
      <c r="AB600" s="161"/>
      <c r="AC600" s="160"/>
      <c r="AD600" s="162"/>
      <c r="AE600" s="161"/>
    </row>
    <row r="601" spans="1:31" ht="21.2" customHeight="1">
      <c r="A601" s="8" t="s">
        <v>594</v>
      </c>
      <c r="B601" s="158" t="s">
        <v>892</v>
      </c>
      <c r="C601" s="159">
        <v>30</v>
      </c>
      <c r="D601" s="158" t="s">
        <v>849</v>
      </c>
      <c r="E601" s="58">
        <v>63.634999999999998</v>
      </c>
      <c r="F601" s="160">
        <v>16.288789119687198</v>
      </c>
      <c r="G601" s="161">
        <v>3.0867291772832001E-2</v>
      </c>
      <c r="H601" s="161">
        <v>0.157762303350444</v>
      </c>
      <c r="I601" s="161">
        <v>0.18862959512327601</v>
      </c>
      <c r="J601" s="161">
        <v>0.93528826261016595</v>
      </c>
      <c r="K601" s="161">
        <v>3.1332058333782901E-4</v>
      </c>
      <c r="L601" s="161">
        <v>2.058240235392E-3</v>
      </c>
      <c r="M601" s="161">
        <v>1.53475502756301E-4</v>
      </c>
      <c r="N601" s="161">
        <v>5.7394132137625004E-3</v>
      </c>
      <c r="O601" s="161">
        <v>1.21527558495095</v>
      </c>
      <c r="P601" s="161">
        <v>1.35704976556998</v>
      </c>
      <c r="Q601" s="161">
        <v>4.0340960769034801E-3</v>
      </c>
      <c r="R601" s="161">
        <v>0.34778097788613299</v>
      </c>
      <c r="S601" s="161">
        <v>4.3387366632251997E-3</v>
      </c>
      <c r="T601" s="161">
        <v>0</v>
      </c>
      <c r="U601" s="161">
        <v>0</v>
      </c>
      <c r="V601" s="161">
        <v>0</v>
      </c>
      <c r="W601" s="161"/>
      <c r="X601" s="58"/>
      <c r="Y601" s="161"/>
      <c r="Z601" s="161"/>
      <c r="AA601" s="161"/>
      <c r="AB601" s="161"/>
      <c r="AC601" s="160"/>
      <c r="AD601" s="162"/>
      <c r="AE601" s="161"/>
    </row>
    <row r="602" spans="1:31" ht="21.2" customHeight="1">
      <c r="A602" s="8" t="s">
        <v>805</v>
      </c>
      <c r="B602" s="158" t="s">
        <v>861</v>
      </c>
      <c r="C602" s="159">
        <v>27</v>
      </c>
      <c r="D602" s="158" t="s">
        <v>847</v>
      </c>
      <c r="E602" s="58">
        <v>52.97</v>
      </c>
      <c r="F602" s="160">
        <v>10.207489294185599</v>
      </c>
      <c r="G602" s="161">
        <v>6.8109817168101203E-2</v>
      </c>
      <c r="H602" s="161">
        <v>0.11748926411701199</v>
      </c>
      <c r="I602" s="161">
        <v>0.18559908128511299</v>
      </c>
      <c r="J602" s="161">
        <v>1.16203316504825</v>
      </c>
      <c r="K602" s="161">
        <v>6.4831942335590498E-4</v>
      </c>
      <c r="L602" s="161">
        <v>1.6244287800959E-3</v>
      </c>
      <c r="M602" s="161">
        <v>0</v>
      </c>
      <c r="N602" s="161">
        <v>0</v>
      </c>
      <c r="O602" s="161">
        <v>0.33182921454252801</v>
      </c>
      <c r="P602" s="161">
        <v>1.3015294620175399</v>
      </c>
      <c r="Q602" s="161">
        <v>4.9130200451026097E-2</v>
      </c>
      <c r="R602" s="161">
        <v>0.19453576181961199</v>
      </c>
      <c r="S602" s="161">
        <v>1.07759992688925E-2</v>
      </c>
      <c r="T602" s="161">
        <v>0.107165241933707</v>
      </c>
      <c r="U602" s="161">
        <v>0.17860873655617801</v>
      </c>
      <c r="V602" s="161">
        <v>0.375</v>
      </c>
      <c r="W602" s="161"/>
      <c r="X602" s="58"/>
      <c r="Y602" s="161"/>
      <c r="Z602" s="161"/>
      <c r="AA602" s="161"/>
      <c r="AB602" s="161"/>
      <c r="AC602" s="160"/>
      <c r="AD602" s="162"/>
      <c r="AE602" s="161"/>
    </row>
    <row r="603" spans="1:31" ht="21.2" customHeight="1">
      <c r="A603" s="8" t="s">
        <v>661</v>
      </c>
      <c r="B603" s="158" t="s">
        <v>890</v>
      </c>
      <c r="C603" s="159">
        <v>23</v>
      </c>
      <c r="D603" s="158" t="s">
        <v>849</v>
      </c>
      <c r="E603" s="58">
        <v>52.152857142857101</v>
      </c>
      <c r="F603" s="160">
        <v>14.098943690605299</v>
      </c>
      <c r="G603" s="161">
        <v>2.54363153376156E-2</v>
      </c>
      <c r="H603" s="161">
        <v>0.160071740791384</v>
      </c>
      <c r="I603" s="161">
        <v>0.18550805612900001</v>
      </c>
      <c r="J603" s="161">
        <v>0.77445972478399305</v>
      </c>
      <c r="K603" s="161">
        <v>3.2405658912743198E-4</v>
      </c>
      <c r="L603" s="161">
        <v>1.9826034178691099E-3</v>
      </c>
      <c r="M603" s="161">
        <v>7.01823159482423E-5</v>
      </c>
      <c r="N603" s="161">
        <v>2.9833260922112201E-4</v>
      </c>
      <c r="O603" s="161">
        <v>1.0733713062473</v>
      </c>
      <c r="P603" s="161">
        <v>1.13441101213295</v>
      </c>
      <c r="Q603" s="161">
        <v>-6.7813836906248995E-2</v>
      </c>
      <c r="R603" s="161">
        <v>0.302806946095309</v>
      </c>
      <c r="S603" s="161">
        <v>2.9899280267190499E-3</v>
      </c>
      <c r="T603" s="161">
        <v>0</v>
      </c>
      <c r="U603" s="161">
        <v>0</v>
      </c>
      <c r="V603" s="161">
        <v>0</v>
      </c>
      <c r="W603" s="161"/>
      <c r="X603" s="58"/>
      <c r="Y603" s="161"/>
      <c r="Z603" s="161"/>
      <c r="AA603" s="161"/>
      <c r="AB603" s="161"/>
      <c r="AC603" s="160"/>
      <c r="AD603" s="162"/>
      <c r="AE603" s="161"/>
    </row>
    <row r="604" spans="1:31" ht="21.2" customHeight="1">
      <c r="A604" s="8" t="s">
        <v>612</v>
      </c>
      <c r="B604" s="158" t="s">
        <v>887</v>
      </c>
      <c r="C604" s="159">
        <v>24</v>
      </c>
      <c r="D604" s="158" t="s">
        <v>849</v>
      </c>
      <c r="E604" s="58">
        <v>57.387857142857101</v>
      </c>
      <c r="F604" s="160">
        <v>16.499399728061999</v>
      </c>
      <c r="G604" s="161">
        <v>2.2605185687989901E-2</v>
      </c>
      <c r="H604" s="161">
        <v>0.161252922618915</v>
      </c>
      <c r="I604" s="161">
        <v>0.18385810830690499</v>
      </c>
      <c r="J604" s="161">
        <v>1.1030112539564301</v>
      </c>
      <c r="K604" s="161">
        <v>3.01944713972039E-4</v>
      </c>
      <c r="L604" s="161">
        <v>2.4961760678373201E-3</v>
      </c>
      <c r="M604" s="161">
        <v>3.4357284311165498E-4</v>
      </c>
      <c r="N604" s="161">
        <v>1.5440603329838899E-3</v>
      </c>
      <c r="O604" s="161">
        <v>1.1161982147324001</v>
      </c>
      <c r="P604" s="161">
        <v>1.0386360900931699</v>
      </c>
      <c r="Q604" s="161">
        <v>-0.132927461975026</v>
      </c>
      <c r="R604" s="161">
        <v>0.257315309528726</v>
      </c>
      <c r="S604" s="161">
        <v>2.16700149583868E-3</v>
      </c>
      <c r="T604" s="161">
        <v>0</v>
      </c>
      <c r="U604" s="161">
        <v>0</v>
      </c>
      <c r="V604" s="161">
        <v>0</v>
      </c>
      <c r="W604" s="161"/>
      <c r="X604" s="58"/>
      <c r="Y604" s="161"/>
      <c r="Z604" s="161"/>
      <c r="AA604" s="161"/>
      <c r="AB604" s="161"/>
      <c r="AC604" s="160"/>
      <c r="AD604" s="162"/>
      <c r="AE604" s="161"/>
    </row>
    <row r="605" spans="1:31" ht="21.2" customHeight="1">
      <c r="A605" s="8" t="s">
        <v>554</v>
      </c>
      <c r="B605" s="158" t="s">
        <v>893</v>
      </c>
      <c r="C605" s="159">
        <v>30</v>
      </c>
      <c r="D605" s="158" t="s">
        <v>849</v>
      </c>
      <c r="E605" s="58">
        <v>55.7</v>
      </c>
      <c r="F605" s="160">
        <v>14.064141216473899</v>
      </c>
      <c r="G605" s="161">
        <v>2.6760277949866199E-2</v>
      </c>
      <c r="H605" s="161">
        <v>0.15708232595718899</v>
      </c>
      <c r="I605" s="161">
        <v>0.18384260390705501</v>
      </c>
      <c r="J605" s="161">
        <v>1.7221842325555099</v>
      </c>
      <c r="K605" s="161">
        <v>1.0630734727350301E-2</v>
      </c>
      <c r="L605" s="161">
        <v>8.67027119961154E-2</v>
      </c>
      <c r="M605" s="161">
        <v>2.6008469979082601E-5</v>
      </c>
      <c r="N605" s="161">
        <v>9.3529301214882401E-5</v>
      </c>
      <c r="O605" s="161">
        <v>0.94648741871782804</v>
      </c>
      <c r="P605" s="161">
        <v>1.3989944975218001</v>
      </c>
      <c r="Q605" s="161">
        <v>-1.48213977823015E-3</v>
      </c>
      <c r="R605" s="161">
        <v>0.39675199218020202</v>
      </c>
      <c r="S605" s="161">
        <v>3.3224424974445401E-3</v>
      </c>
      <c r="T605" s="161">
        <v>0</v>
      </c>
      <c r="U605" s="161">
        <v>0</v>
      </c>
      <c r="V605" s="161">
        <v>0</v>
      </c>
      <c r="W605" s="161"/>
      <c r="X605" s="58"/>
      <c r="Y605" s="161"/>
      <c r="Z605" s="161"/>
      <c r="AA605" s="161"/>
      <c r="AB605" s="161"/>
      <c r="AC605" s="160"/>
      <c r="AD605" s="162"/>
      <c r="AE605" s="161"/>
    </row>
    <row r="606" spans="1:31" ht="21.2" customHeight="1">
      <c r="A606" s="8" t="s">
        <v>783</v>
      </c>
      <c r="B606" s="158" t="s">
        <v>868</v>
      </c>
      <c r="C606" s="159">
        <v>28</v>
      </c>
      <c r="D606" s="158" t="s">
        <v>865</v>
      </c>
      <c r="E606" s="58">
        <v>52</v>
      </c>
      <c r="F606" s="160">
        <v>11.682841037407201</v>
      </c>
      <c r="G606" s="161">
        <v>9.1357759997529306E-2</v>
      </c>
      <c r="H606" s="161">
        <v>9.1479729136363194E-2</v>
      </c>
      <c r="I606" s="161">
        <v>0.182837489133893</v>
      </c>
      <c r="J606" s="161">
        <v>1.1361658456450301</v>
      </c>
      <c r="K606" s="161">
        <v>7.5679180929346605E-4</v>
      </c>
      <c r="L606" s="161">
        <v>1.91864740946798E-3</v>
      </c>
      <c r="M606" s="161">
        <v>1.02804546508785E-3</v>
      </c>
      <c r="N606" s="161">
        <v>6.29624631678049E-3</v>
      </c>
      <c r="O606" s="161">
        <v>0.81673048298436501</v>
      </c>
      <c r="P606" s="161">
        <v>2.40035529122938</v>
      </c>
      <c r="Q606" s="161">
        <v>-5.2660554112687902E-3</v>
      </c>
      <c r="R606" s="161">
        <v>0.27406829690510998</v>
      </c>
      <c r="S606" s="161">
        <v>1.34275791127705E-2</v>
      </c>
      <c r="T606" s="161">
        <v>2.5739026241679999</v>
      </c>
      <c r="U606" s="161">
        <v>2.6293409118204498</v>
      </c>
      <c r="V606" s="161">
        <v>0.49467271834683402</v>
      </c>
      <c r="W606" s="161"/>
      <c r="X606" s="58"/>
      <c r="Y606" s="161"/>
      <c r="Z606" s="161"/>
      <c r="AA606" s="161"/>
      <c r="AB606" s="161"/>
      <c r="AC606" s="160"/>
      <c r="AD606" s="162"/>
      <c r="AE606" s="161"/>
    </row>
    <row r="607" spans="1:31" ht="21.2" customHeight="1">
      <c r="A607" s="8" t="s">
        <v>671</v>
      </c>
      <c r="B607" s="158" t="s">
        <v>870</v>
      </c>
      <c r="C607" s="159">
        <v>26</v>
      </c>
      <c r="D607" s="158" t="s">
        <v>849</v>
      </c>
      <c r="E607" s="58">
        <v>52.2</v>
      </c>
      <c r="F607" s="160">
        <v>14.465141706992499</v>
      </c>
      <c r="G607" s="161">
        <v>2.57876996188704E-2</v>
      </c>
      <c r="H607" s="161">
        <v>0.15668197858559499</v>
      </c>
      <c r="I607" s="161">
        <v>0.182469678204466</v>
      </c>
      <c r="J607" s="161">
        <v>0.71068681586026194</v>
      </c>
      <c r="K607" s="161">
        <v>6.7551040026900703E-5</v>
      </c>
      <c r="L607" s="161">
        <v>6.3920988987134898E-4</v>
      </c>
      <c r="M607" s="161">
        <v>6.1292910740219002E-4</v>
      </c>
      <c r="N607" s="161">
        <v>2.7229924124881101E-3</v>
      </c>
      <c r="O607" s="161">
        <v>0.87469109190507599</v>
      </c>
      <c r="P607" s="161">
        <v>1.2467601409689</v>
      </c>
      <c r="Q607" s="161">
        <v>2.71285810906291E-2</v>
      </c>
      <c r="R607" s="161">
        <v>0.36294068007092101</v>
      </c>
      <c r="S607" s="161">
        <v>4.3292472800578203E-3</v>
      </c>
      <c r="T607" s="161">
        <v>0</v>
      </c>
      <c r="U607" s="161">
        <v>0</v>
      </c>
      <c r="V607" s="161">
        <v>0</v>
      </c>
      <c r="W607" s="161"/>
      <c r="X607" s="58"/>
      <c r="Y607" s="161"/>
      <c r="Z607" s="161"/>
      <c r="AA607" s="161"/>
      <c r="AB607" s="161"/>
      <c r="AC607" s="160"/>
      <c r="AD607" s="162"/>
      <c r="AE607" s="161"/>
    </row>
    <row r="608" spans="1:31" ht="21.2" customHeight="1">
      <c r="A608" s="8" t="s">
        <v>509</v>
      </c>
      <c r="B608" s="158" t="s">
        <v>890</v>
      </c>
      <c r="C608" s="159">
        <v>30</v>
      </c>
      <c r="D608" s="158" t="s">
        <v>849</v>
      </c>
      <c r="E608" s="58">
        <v>71.88</v>
      </c>
      <c r="F608" s="160">
        <v>16.444215701023602</v>
      </c>
      <c r="G608" s="161">
        <v>4.7414724990919602E-2</v>
      </c>
      <c r="H608" s="161">
        <v>0.13360040293084099</v>
      </c>
      <c r="I608" s="161">
        <v>0.181015127921761</v>
      </c>
      <c r="J608" s="161">
        <v>1.2592746651372799</v>
      </c>
      <c r="K608" s="161">
        <v>1.2098819301340801E-4</v>
      </c>
      <c r="L608" s="161">
        <v>7.9584502733891596E-4</v>
      </c>
      <c r="M608" s="161">
        <v>2.21641285928267E-4</v>
      </c>
      <c r="N608" s="161">
        <v>6.7648573385682897E-3</v>
      </c>
      <c r="O608" s="161">
        <v>2.07116623685656</v>
      </c>
      <c r="P608" s="161">
        <v>1.8414118981258401</v>
      </c>
      <c r="Q608" s="161">
        <v>-6.66507844330268E-2</v>
      </c>
      <c r="R608" s="161">
        <v>0.71993902981094404</v>
      </c>
      <c r="S608" s="161">
        <v>5.5733943084075701E-3</v>
      </c>
      <c r="T608" s="161">
        <v>0</v>
      </c>
      <c r="U608" s="161">
        <v>0</v>
      </c>
      <c r="V608" s="161">
        <v>0</v>
      </c>
      <c r="W608" s="161"/>
      <c r="X608" s="58"/>
      <c r="Y608" s="161"/>
      <c r="Z608" s="161"/>
      <c r="AA608" s="161"/>
      <c r="AB608" s="161"/>
      <c r="AC608" s="160"/>
      <c r="AD608" s="162"/>
      <c r="AE608" s="161"/>
    </row>
    <row r="609" spans="1:31" ht="21.2" customHeight="1">
      <c r="A609" s="8" t="s">
        <v>779</v>
      </c>
      <c r="B609" s="158" t="s">
        <v>879</v>
      </c>
      <c r="C609" s="159">
        <v>24</v>
      </c>
      <c r="D609" s="158" t="s">
        <v>847</v>
      </c>
      <c r="E609" s="58">
        <v>67.5</v>
      </c>
      <c r="F609" s="160">
        <v>10.4975796680987</v>
      </c>
      <c r="G609" s="161">
        <v>8.1088117069898505E-2</v>
      </c>
      <c r="H609" s="161">
        <v>9.8450494845649605E-2</v>
      </c>
      <c r="I609" s="161">
        <v>0.17953861191554901</v>
      </c>
      <c r="J609" s="161">
        <v>1.06367706853266</v>
      </c>
      <c r="K609" s="161">
        <v>9.3351488768430105E-4</v>
      </c>
      <c r="L609" s="161">
        <v>2.27344099673172E-3</v>
      </c>
      <c r="M609" s="161">
        <v>2.9771233739381599E-3</v>
      </c>
      <c r="N609" s="161">
        <v>2.0182568191043498E-2</v>
      </c>
      <c r="O609" s="161">
        <v>0.51057284870488795</v>
      </c>
      <c r="P609" s="161">
        <v>2.58788943627167</v>
      </c>
      <c r="Q609" s="161">
        <v>-5.7326427132408904E-3</v>
      </c>
      <c r="R609" s="161">
        <v>0.52546853241183999</v>
      </c>
      <c r="S609" s="161">
        <v>1.2194510124718101E-2</v>
      </c>
      <c r="T609" s="161">
        <v>6.1652680192218999E-2</v>
      </c>
      <c r="U609" s="161">
        <v>0.13621365059135701</v>
      </c>
      <c r="V609" s="161">
        <v>0.31158752450741101</v>
      </c>
      <c r="W609" s="161"/>
      <c r="X609" s="58"/>
      <c r="Y609" s="161"/>
      <c r="Z609" s="161"/>
      <c r="AA609" s="161"/>
      <c r="AB609" s="161"/>
      <c r="AC609" s="160"/>
      <c r="AD609" s="162"/>
      <c r="AE609" s="161"/>
    </row>
    <row r="610" spans="1:31" ht="21.2" customHeight="1">
      <c r="A610" s="8" t="s">
        <v>781</v>
      </c>
      <c r="B610" s="158" t="s">
        <v>867</v>
      </c>
      <c r="C610" s="159">
        <v>35</v>
      </c>
      <c r="D610" s="158" t="s">
        <v>847</v>
      </c>
      <c r="E610" s="58">
        <v>81.391071428571394</v>
      </c>
      <c r="F610" s="160">
        <v>10.307501136509099</v>
      </c>
      <c r="G610" s="161">
        <v>6.0479821017469501E-2</v>
      </c>
      <c r="H610" s="161">
        <v>0.118117229534924</v>
      </c>
      <c r="I610" s="161">
        <v>0.178597050552393</v>
      </c>
      <c r="J610" s="161">
        <v>0.85607299766676104</v>
      </c>
      <c r="K610" s="161">
        <v>1.00661545949353E-3</v>
      </c>
      <c r="L610" s="161">
        <v>2.4503045039071E-3</v>
      </c>
      <c r="M610" s="161">
        <v>5.3343297691991499E-6</v>
      </c>
      <c r="N610" s="161">
        <v>9.0157251604726001E-6</v>
      </c>
      <c r="O610" s="161">
        <v>0.17904408582252601</v>
      </c>
      <c r="P610" s="161">
        <v>1.9332058333084301</v>
      </c>
      <c r="Q610" s="161">
        <v>1.8260639813796602E-2</v>
      </c>
      <c r="R610" s="161">
        <v>0.85256268578668404</v>
      </c>
      <c r="S610" s="161">
        <v>9.7116328711618505E-3</v>
      </c>
      <c r="T610" s="161">
        <v>5.5308299584896699E-2</v>
      </c>
      <c r="U610" s="161">
        <v>0.12721395769483501</v>
      </c>
      <c r="V610" s="161">
        <v>0.30302221991552297</v>
      </c>
      <c r="W610" s="161"/>
      <c r="X610" s="58"/>
      <c r="Y610" s="161"/>
      <c r="Z610" s="161"/>
      <c r="AA610" s="161"/>
      <c r="AB610" s="161"/>
      <c r="AC610" s="160"/>
      <c r="AD610" s="162"/>
      <c r="AE610" s="161"/>
    </row>
    <row r="611" spans="1:31" ht="21.2" customHeight="1">
      <c r="A611" s="8" t="s">
        <v>820</v>
      </c>
      <c r="B611" s="158" t="s">
        <v>859</v>
      </c>
      <c r="C611" s="159">
        <v>26</v>
      </c>
      <c r="D611" s="158" t="s">
        <v>846</v>
      </c>
      <c r="E611" s="58">
        <v>58.976428571428599</v>
      </c>
      <c r="F611" s="160">
        <v>9.8493333717385507</v>
      </c>
      <c r="G611" s="161">
        <v>7.5329014871312105E-2</v>
      </c>
      <c r="H611" s="161">
        <v>0.10308886103261999</v>
      </c>
      <c r="I611" s="161">
        <v>0.17841787590393199</v>
      </c>
      <c r="J611" s="161">
        <v>0.86822285647222297</v>
      </c>
      <c r="K611" s="161">
        <v>2.7295230675407102E-3</v>
      </c>
      <c r="L611" s="161">
        <v>7.7446553750330997E-3</v>
      </c>
      <c r="M611" s="161">
        <v>1.19302045371371E-3</v>
      </c>
      <c r="N611" s="161">
        <v>2.2673724164262599E-3</v>
      </c>
      <c r="O611" s="161">
        <v>0.35288277115522598</v>
      </c>
      <c r="P611" s="161">
        <v>1.8311982098811099</v>
      </c>
      <c r="Q611" s="161">
        <v>5.3585507194402401E-2</v>
      </c>
      <c r="R611" s="161">
        <v>0.39897533112941302</v>
      </c>
      <c r="S611" s="161">
        <v>1.1923774350228599E-2</v>
      </c>
      <c r="T611" s="161">
        <v>2.1091040614133298</v>
      </c>
      <c r="U611" s="161">
        <v>2.2586765350148701</v>
      </c>
      <c r="V611" s="161">
        <v>0.48287774874453998</v>
      </c>
      <c r="W611" s="161"/>
      <c r="X611" s="58"/>
      <c r="Y611" s="161"/>
      <c r="Z611" s="161"/>
      <c r="AA611" s="161"/>
      <c r="AB611" s="161"/>
      <c r="AC611" s="160"/>
      <c r="AD611" s="162"/>
      <c r="AE611" s="161"/>
    </row>
    <row r="612" spans="1:31" ht="21.2" customHeight="1">
      <c r="A612" s="8" t="s">
        <v>625</v>
      </c>
      <c r="B612" s="158" t="s">
        <v>894</v>
      </c>
      <c r="C612" s="159">
        <v>33</v>
      </c>
      <c r="D612" s="158" t="s">
        <v>849</v>
      </c>
      <c r="E612" s="58">
        <v>64.965000000000003</v>
      </c>
      <c r="F612" s="160">
        <v>12.762144040071499</v>
      </c>
      <c r="G612" s="161">
        <v>3.0491925828298499E-2</v>
      </c>
      <c r="H612" s="161">
        <v>0.14745197319286699</v>
      </c>
      <c r="I612" s="161">
        <v>0.177943899021166</v>
      </c>
      <c r="J612" s="161">
        <v>0.767631124641318</v>
      </c>
      <c r="K612" s="161">
        <v>2.7981137112338298E-4</v>
      </c>
      <c r="L612" s="161">
        <v>1.6280414367434999E-2</v>
      </c>
      <c r="M612" s="161">
        <v>4.3357904287113301E-5</v>
      </c>
      <c r="N612" s="161">
        <v>1.6239941729712801E-4</v>
      </c>
      <c r="O612" s="161">
        <v>0.93245649020861299</v>
      </c>
      <c r="P612" s="161">
        <v>0.81220478840128696</v>
      </c>
      <c r="Q612" s="161">
        <v>-0.10308943203108201</v>
      </c>
      <c r="R612" s="161">
        <v>0.60867224617627802</v>
      </c>
      <c r="S612" s="161">
        <v>3.1236573595696598E-3</v>
      </c>
      <c r="T612" s="161">
        <v>0</v>
      </c>
      <c r="U612" s="161">
        <v>0</v>
      </c>
      <c r="V612" s="161">
        <v>0</v>
      </c>
      <c r="W612" s="161"/>
      <c r="X612" s="58"/>
      <c r="Y612" s="161"/>
      <c r="Z612" s="161"/>
      <c r="AA612" s="161"/>
      <c r="AB612" s="161"/>
      <c r="AC612" s="160"/>
      <c r="AD612" s="162"/>
      <c r="AE612" s="161"/>
    </row>
    <row r="613" spans="1:31" ht="21.2" customHeight="1">
      <c r="A613" s="8" t="s">
        <v>583</v>
      </c>
      <c r="B613" s="158" t="s">
        <v>867</v>
      </c>
      <c r="C613" s="159">
        <v>31</v>
      </c>
      <c r="D613" s="158" t="s">
        <v>849</v>
      </c>
      <c r="E613" s="58">
        <v>75.62</v>
      </c>
      <c r="F613" s="160">
        <v>15.115095029586801</v>
      </c>
      <c r="G613" s="161">
        <v>2.96358179520377E-2</v>
      </c>
      <c r="H613" s="161">
        <v>0.147432146127978</v>
      </c>
      <c r="I613" s="161">
        <v>0.17706796408001599</v>
      </c>
      <c r="J613" s="161">
        <v>0.70363306824467897</v>
      </c>
      <c r="K613" s="161">
        <v>2.2460676726042099E-4</v>
      </c>
      <c r="L613" s="161">
        <v>1.49436532903384E-3</v>
      </c>
      <c r="M613" s="161">
        <v>4.3663786432395902E-5</v>
      </c>
      <c r="N613" s="161">
        <v>1.4230086756413399E-4</v>
      </c>
      <c r="O613" s="161">
        <v>1.35537730451106</v>
      </c>
      <c r="P613" s="161">
        <v>0.83907061183090004</v>
      </c>
      <c r="Q613" s="161">
        <v>1.5134105302935999E-2</v>
      </c>
      <c r="R613" s="161">
        <v>0.39457811213553401</v>
      </c>
      <c r="S613" s="161">
        <v>4.75881341817535E-3</v>
      </c>
      <c r="T613" s="161">
        <v>0</v>
      </c>
      <c r="U613" s="161">
        <v>0</v>
      </c>
      <c r="V613" s="161">
        <v>0</v>
      </c>
      <c r="W613" s="161"/>
      <c r="X613" s="58"/>
      <c r="Y613" s="161"/>
      <c r="Z613" s="161"/>
      <c r="AA613" s="161"/>
      <c r="AB613" s="161"/>
      <c r="AC613" s="160"/>
      <c r="AD613" s="162"/>
      <c r="AE613" s="161"/>
    </row>
    <row r="614" spans="1:31" ht="21.2" customHeight="1">
      <c r="A614" s="8" t="s">
        <v>635</v>
      </c>
      <c r="B614" s="158" t="s">
        <v>861</v>
      </c>
      <c r="C614" s="159">
        <v>34</v>
      </c>
      <c r="D614" s="158" t="s">
        <v>849</v>
      </c>
      <c r="E614" s="58">
        <v>64.974642857142896</v>
      </c>
      <c r="F614" s="160">
        <v>11.2119842054359</v>
      </c>
      <c r="G614" s="161">
        <v>4.8089300391568501E-2</v>
      </c>
      <c r="H614" s="161">
        <v>0.128003090795066</v>
      </c>
      <c r="I614" s="161">
        <v>0.176092391186634</v>
      </c>
      <c r="J614" s="161">
        <v>0.916522891901843</v>
      </c>
      <c r="K614" s="161">
        <v>1.4890564117250001E-4</v>
      </c>
      <c r="L614" s="161">
        <v>1.87507640455901E-3</v>
      </c>
      <c r="M614" s="161">
        <v>1.8494083160148299E-5</v>
      </c>
      <c r="N614" s="161">
        <v>5.7063025222715503E-5</v>
      </c>
      <c r="O614" s="161">
        <v>0.56445439951475596</v>
      </c>
      <c r="P614" s="161">
        <v>0.63601118128205203</v>
      </c>
      <c r="Q614" s="161">
        <v>4.7668561495111103E-2</v>
      </c>
      <c r="R614" s="161">
        <v>0.241423242243782</v>
      </c>
      <c r="S614" s="161">
        <v>7.6084518709264E-3</v>
      </c>
      <c r="T614" s="161">
        <v>0</v>
      </c>
      <c r="U614" s="161">
        <v>0</v>
      </c>
      <c r="V614" s="161">
        <v>0</v>
      </c>
      <c r="W614" s="161"/>
      <c r="X614" s="58"/>
      <c r="Y614" s="161"/>
      <c r="Z614" s="161"/>
      <c r="AA614" s="161"/>
      <c r="AB614" s="161"/>
      <c r="AC614" s="160"/>
      <c r="AD614" s="162"/>
      <c r="AE614" s="161"/>
    </row>
    <row r="615" spans="1:31" ht="21.2" customHeight="1">
      <c r="A615" s="8" t="s">
        <v>769</v>
      </c>
      <c r="B615" s="158" t="s">
        <v>862</v>
      </c>
      <c r="C615" s="159">
        <v>30</v>
      </c>
      <c r="D615" s="158" t="s">
        <v>848</v>
      </c>
      <c r="E615" s="58">
        <v>67.719285714285704</v>
      </c>
      <c r="F615" s="160">
        <v>9.2804326208398908</v>
      </c>
      <c r="G615" s="161">
        <v>8.2416709401816807E-2</v>
      </c>
      <c r="H615" s="161">
        <v>9.3511665875832706E-2</v>
      </c>
      <c r="I615" s="161">
        <v>0.17592837527765001</v>
      </c>
      <c r="J615" s="161">
        <v>1.0026624492771401</v>
      </c>
      <c r="K615" s="161">
        <v>6.73966412764657E-4</v>
      </c>
      <c r="L615" s="161">
        <v>1.7376180023766299E-3</v>
      </c>
      <c r="M615" s="161">
        <v>3.5656799744155997E-4</v>
      </c>
      <c r="N615" s="161">
        <v>3.39717859072001E-4</v>
      </c>
      <c r="O615" s="161">
        <v>0.38788442441646198</v>
      </c>
      <c r="P615" s="161">
        <v>2.5816927914955601</v>
      </c>
      <c r="Q615" s="161">
        <v>4.8306679359440699E-3</v>
      </c>
      <c r="R615" s="161">
        <v>0.384399602013835</v>
      </c>
      <c r="S615" s="161">
        <v>1.2898244959305499E-2</v>
      </c>
      <c r="T615" s="161">
        <v>2.76546708579915E-2</v>
      </c>
      <c r="U615" s="161">
        <v>4.9485569797401298E-2</v>
      </c>
      <c r="V615" s="161">
        <v>0.35849863343741201</v>
      </c>
      <c r="W615" s="161"/>
      <c r="X615" s="58"/>
      <c r="Y615" s="161"/>
      <c r="Z615" s="161"/>
      <c r="AA615" s="161"/>
      <c r="AB615" s="161"/>
      <c r="AC615" s="160"/>
      <c r="AD615" s="162"/>
      <c r="AE615" s="161"/>
    </row>
    <row r="616" spans="1:31" ht="21.2" customHeight="1">
      <c r="A616" s="8" t="s">
        <v>819</v>
      </c>
      <c r="B616" s="158" t="s">
        <v>877</v>
      </c>
      <c r="C616" s="159">
        <v>23</v>
      </c>
      <c r="D616" s="158" t="s">
        <v>846</v>
      </c>
      <c r="E616" s="58">
        <v>57.025714285714301</v>
      </c>
      <c r="F616" s="160">
        <v>9.5327868117046695</v>
      </c>
      <c r="G616" s="161">
        <v>4.6039871531431201E-2</v>
      </c>
      <c r="H616" s="161">
        <v>0.126860748162274</v>
      </c>
      <c r="I616" s="161">
        <v>0.17290061969370599</v>
      </c>
      <c r="J616" s="161">
        <v>0.94630125621567396</v>
      </c>
      <c r="K616" s="161">
        <v>8.7132810801427904E-4</v>
      </c>
      <c r="L616" s="161">
        <v>2.1127883108459501E-3</v>
      </c>
      <c r="M616" s="161">
        <v>2.75443437550343E-3</v>
      </c>
      <c r="N616" s="161">
        <v>1.564550222088E-2</v>
      </c>
      <c r="O616" s="161">
        <v>0.36759168299082901</v>
      </c>
      <c r="P616" s="161">
        <v>0.78452003526553704</v>
      </c>
      <c r="Q616" s="161">
        <v>1.3383292940174299E-2</v>
      </c>
      <c r="R616" s="161">
        <v>0.18411429793911999</v>
      </c>
      <c r="S616" s="161">
        <v>7.1823740627334097E-3</v>
      </c>
      <c r="T616" s="161">
        <v>2.1244597152003402</v>
      </c>
      <c r="U616" s="161">
        <v>2.1952477576035001</v>
      </c>
      <c r="V616" s="161">
        <v>0.49180638470905402</v>
      </c>
      <c r="W616" s="161"/>
      <c r="X616" s="58"/>
      <c r="Y616" s="161"/>
      <c r="Z616" s="161"/>
      <c r="AA616" s="161"/>
      <c r="AB616" s="161"/>
      <c r="AC616" s="160"/>
      <c r="AD616" s="162"/>
      <c r="AE616" s="161"/>
    </row>
    <row r="617" spans="1:31" ht="21.2" customHeight="1">
      <c r="A617" s="8" t="s">
        <v>615</v>
      </c>
      <c r="B617" s="158" t="s">
        <v>881</v>
      </c>
      <c r="C617" s="159">
        <v>31</v>
      </c>
      <c r="D617" s="158" t="s">
        <v>849</v>
      </c>
      <c r="E617" s="58">
        <v>59.847499999999997</v>
      </c>
      <c r="F617" s="160">
        <v>16.7671081221037</v>
      </c>
      <c r="G617" s="161">
        <v>4.3951856725173502E-2</v>
      </c>
      <c r="H617" s="161">
        <v>0.12848067272295899</v>
      </c>
      <c r="I617" s="161">
        <v>0.172432529448132</v>
      </c>
      <c r="J617" s="161">
        <v>0.89820269065585601</v>
      </c>
      <c r="K617" s="161">
        <v>2.44087632771977E-4</v>
      </c>
      <c r="L617" s="161">
        <v>1.63143805034657E-3</v>
      </c>
      <c r="M617" s="161">
        <v>2.8190514516183502E-4</v>
      </c>
      <c r="N617" s="161">
        <v>1.1558756264316999E-3</v>
      </c>
      <c r="O617" s="161">
        <v>1.4757004241684499</v>
      </c>
      <c r="P617" s="161">
        <v>2.3911265719218302</v>
      </c>
      <c r="Q617" s="161">
        <v>-0.102961782646577</v>
      </c>
      <c r="R617" s="161">
        <v>0.72802968810164803</v>
      </c>
      <c r="S617" s="161">
        <v>5.15034678222729E-3</v>
      </c>
      <c r="T617" s="161">
        <v>0</v>
      </c>
      <c r="U617" s="161">
        <v>0</v>
      </c>
      <c r="V617" s="161">
        <v>0</v>
      </c>
      <c r="W617" s="161"/>
      <c r="X617" s="58"/>
      <c r="Y617" s="161"/>
      <c r="Z617" s="161"/>
      <c r="AA617" s="161"/>
      <c r="AB617" s="161"/>
      <c r="AC617" s="160"/>
      <c r="AD617" s="162"/>
      <c r="AE617" s="161"/>
    </row>
    <row r="618" spans="1:31" ht="21.2" customHeight="1">
      <c r="A618" s="8" t="s">
        <v>585</v>
      </c>
      <c r="B618" s="158" t="s">
        <v>881</v>
      </c>
      <c r="C618" s="159">
        <v>31</v>
      </c>
      <c r="D618" s="158" t="s">
        <v>849</v>
      </c>
      <c r="E618" s="58">
        <v>72.7435714285714</v>
      </c>
      <c r="F618" s="160">
        <v>16.421431372040701</v>
      </c>
      <c r="G618" s="161">
        <v>3.1471926189784602E-2</v>
      </c>
      <c r="H618" s="161">
        <v>0.13968821698820899</v>
      </c>
      <c r="I618" s="161">
        <v>0.171160143177993</v>
      </c>
      <c r="J618" s="161">
        <v>0.74438979376782999</v>
      </c>
      <c r="K618" s="161">
        <v>2.0133095760597401E-4</v>
      </c>
      <c r="L618" s="161">
        <v>1.34274772783498E-3</v>
      </c>
      <c r="M618" s="161">
        <v>-1.5894001013171599E-4</v>
      </c>
      <c r="N618" s="161">
        <v>6.33887221599852E-3</v>
      </c>
      <c r="O618" s="161">
        <v>1.45802623203766</v>
      </c>
      <c r="P618" s="161">
        <v>1.7941865837028299</v>
      </c>
      <c r="Q618" s="161">
        <v>-9.6884781381851706E-2</v>
      </c>
      <c r="R618" s="161">
        <v>0.39411223157558201</v>
      </c>
      <c r="S618" s="161">
        <v>3.6879291538373998E-3</v>
      </c>
      <c r="T618" s="161">
        <v>0</v>
      </c>
      <c r="U618" s="161">
        <v>0</v>
      </c>
      <c r="V618" s="161">
        <v>0</v>
      </c>
      <c r="W618" s="161"/>
      <c r="X618" s="58"/>
      <c r="Y618" s="161"/>
      <c r="Z618" s="161"/>
      <c r="AA618" s="161"/>
      <c r="AB618" s="161"/>
      <c r="AC618" s="160"/>
      <c r="AD618" s="162"/>
      <c r="AE618" s="161"/>
    </row>
    <row r="619" spans="1:31" ht="21.2" customHeight="1">
      <c r="A619" s="8" t="s">
        <v>596</v>
      </c>
      <c r="B619" s="158" t="s">
        <v>877</v>
      </c>
      <c r="C619" s="159">
        <v>25</v>
      </c>
      <c r="D619" s="158" t="s">
        <v>849</v>
      </c>
      <c r="E619" s="58">
        <v>64.765357142857098</v>
      </c>
      <c r="F619" s="160">
        <v>13.583729425746199</v>
      </c>
      <c r="G619" s="161">
        <v>3.06597859843026E-2</v>
      </c>
      <c r="H619" s="161">
        <v>0.140025738618235</v>
      </c>
      <c r="I619" s="161">
        <v>0.170685524602538</v>
      </c>
      <c r="J619" s="161">
        <v>1.0099453283547499</v>
      </c>
      <c r="K619" s="161">
        <v>0</v>
      </c>
      <c r="L619" s="161">
        <v>0</v>
      </c>
      <c r="M619" s="161">
        <v>5.8636137858054005E-4</v>
      </c>
      <c r="N619" s="161">
        <v>6.8425495474302702E-3</v>
      </c>
      <c r="O619" s="161">
        <v>1.1613190994133</v>
      </c>
      <c r="P619" s="161">
        <v>1.69113858551394</v>
      </c>
      <c r="Q619" s="161">
        <v>8.1891022692364094E-3</v>
      </c>
      <c r="R619" s="161">
        <v>0.63359888284240695</v>
      </c>
      <c r="S619" s="161">
        <v>4.7830292374355498E-3</v>
      </c>
      <c r="T619" s="161">
        <v>0</v>
      </c>
      <c r="U619" s="161">
        <v>0</v>
      </c>
      <c r="V619" s="161">
        <v>0</v>
      </c>
      <c r="W619" s="161"/>
      <c r="X619" s="58"/>
      <c r="Y619" s="161"/>
      <c r="Z619" s="161"/>
      <c r="AA619" s="161"/>
      <c r="AB619" s="161"/>
      <c r="AC619" s="160"/>
      <c r="AD619" s="162"/>
      <c r="AE619" s="161"/>
    </row>
    <row r="620" spans="1:31" ht="21.2" customHeight="1">
      <c r="A620" s="8" t="s">
        <v>579</v>
      </c>
      <c r="B620" s="158" t="s">
        <v>876</v>
      </c>
      <c r="C620" s="159">
        <v>33</v>
      </c>
      <c r="D620" s="158" t="s">
        <v>849</v>
      </c>
      <c r="E620" s="58">
        <v>68.349999999999994</v>
      </c>
      <c r="F620" s="160">
        <v>17.720280807926802</v>
      </c>
      <c r="G620" s="161">
        <v>4.1171549850210203E-2</v>
      </c>
      <c r="H620" s="161">
        <v>0.12849759573572</v>
      </c>
      <c r="I620" s="161">
        <v>0.16966914558592899</v>
      </c>
      <c r="J620" s="161">
        <v>1.0205354278630501</v>
      </c>
      <c r="K620" s="161">
        <v>3.1538595702682899E-4</v>
      </c>
      <c r="L620" s="161">
        <v>2.1867632242923399E-3</v>
      </c>
      <c r="M620" s="161">
        <v>-3.50317700490127E-4</v>
      </c>
      <c r="N620" s="161">
        <v>1.44623956930726E-2</v>
      </c>
      <c r="O620" s="161">
        <v>1.23347754454709</v>
      </c>
      <c r="P620" s="161">
        <v>1.3874775364573</v>
      </c>
      <c r="Q620" s="161">
        <v>-4.6323192387880699E-2</v>
      </c>
      <c r="R620" s="161">
        <v>0.34736686096677899</v>
      </c>
      <c r="S620" s="161">
        <v>4.7377227081068698E-3</v>
      </c>
      <c r="T620" s="161">
        <v>0</v>
      </c>
      <c r="U620" s="161">
        <v>0</v>
      </c>
      <c r="V620" s="161">
        <v>0</v>
      </c>
      <c r="W620" s="161"/>
      <c r="X620" s="58"/>
      <c r="Y620" s="161"/>
      <c r="Z620" s="161"/>
      <c r="AA620" s="161"/>
      <c r="AB620" s="161"/>
      <c r="AC620" s="160"/>
      <c r="AD620" s="162"/>
      <c r="AE620" s="161"/>
    </row>
    <row r="621" spans="1:31" ht="21.2" customHeight="1">
      <c r="A621" s="8" t="s">
        <v>796</v>
      </c>
      <c r="B621" s="158" t="s">
        <v>890</v>
      </c>
      <c r="C621" s="159">
        <v>26</v>
      </c>
      <c r="D621" s="158" t="s">
        <v>865</v>
      </c>
      <c r="E621" s="58">
        <v>54.549642857142899</v>
      </c>
      <c r="F621" s="160">
        <v>9.4527941134146296</v>
      </c>
      <c r="G621" s="161">
        <v>7.6749478316829503E-2</v>
      </c>
      <c r="H621" s="161">
        <v>9.2478215629096097E-2</v>
      </c>
      <c r="I621" s="161">
        <v>0.16922769394592599</v>
      </c>
      <c r="J621" s="161">
        <v>0.83174374598314504</v>
      </c>
      <c r="K621" s="161">
        <v>2.26523998432177E-3</v>
      </c>
      <c r="L621" s="161">
        <v>5.6230037972241197E-3</v>
      </c>
      <c r="M621" s="161">
        <v>8.4263060412455401E-4</v>
      </c>
      <c r="N621" s="161">
        <v>1.6029686090062E-3</v>
      </c>
      <c r="O621" s="161">
        <v>0.34052236728560098</v>
      </c>
      <c r="P621" s="161">
        <v>1.1351311092515599</v>
      </c>
      <c r="Q621" s="161">
        <v>-7.6502048890397897E-2</v>
      </c>
      <c r="R621" s="161">
        <v>0.169126509420084</v>
      </c>
      <c r="S621" s="161">
        <v>9.0215667328279806E-3</v>
      </c>
      <c r="T621" s="161">
        <v>1.5555991423531801</v>
      </c>
      <c r="U621" s="161">
        <v>1.5336979662175101</v>
      </c>
      <c r="V621" s="161">
        <v>0.50354468595378998</v>
      </c>
      <c r="W621" s="161"/>
      <c r="X621" s="58"/>
      <c r="Y621" s="161"/>
      <c r="Z621" s="161"/>
      <c r="AA621" s="161"/>
      <c r="AB621" s="161"/>
      <c r="AC621" s="160"/>
      <c r="AD621" s="162"/>
      <c r="AE621" s="161"/>
    </row>
    <row r="622" spans="1:31" ht="21.2" customHeight="1">
      <c r="A622" s="8" t="s">
        <v>640</v>
      </c>
      <c r="B622" s="158" t="s">
        <v>879</v>
      </c>
      <c r="C622" s="159">
        <v>23</v>
      </c>
      <c r="D622" s="158" t="s">
        <v>849</v>
      </c>
      <c r="E622" s="58">
        <v>53.2046428571429</v>
      </c>
      <c r="F622" s="160">
        <v>16.016842105263098</v>
      </c>
      <c r="G622" s="161">
        <v>3.0628656356993401E-2</v>
      </c>
      <c r="H622" s="161">
        <v>0.13839169344895</v>
      </c>
      <c r="I622" s="161">
        <v>0.16902034980594399</v>
      </c>
      <c r="J622" s="161">
        <v>1.13333773497729</v>
      </c>
      <c r="K622" s="161">
        <v>2.8274125088337E-4</v>
      </c>
      <c r="L622" s="161">
        <v>1.7241664665568199E-3</v>
      </c>
      <c r="M622" s="161">
        <v>4.3814983704793897E-4</v>
      </c>
      <c r="N622" s="161">
        <v>1.8661099681136701E-3</v>
      </c>
      <c r="O622" s="161">
        <v>1.1644490926097499</v>
      </c>
      <c r="P622" s="161">
        <v>1.2268048799806801</v>
      </c>
      <c r="Q622" s="161">
        <v>-3.2660437005573501E-3</v>
      </c>
      <c r="R622" s="161">
        <v>0.45385185647513998</v>
      </c>
      <c r="S622" s="161">
        <v>4.6061183012784303E-3</v>
      </c>
      <c r="T622" s="161">
        <v>0</v>
      </c>
      <c r="U622" s="161">
        <v>0</v>
      </c>
      <c r="V622" s="161">
        <v>0</v>
      </c>
      <c r="W622" s="161"/>
      <c r="X622" s="58"/>
      <c r="Y622" s="161"/>
      <c r="Z622" s="161"/>
      <c r="AA622" s="161"/>
      <c r="AB622" s="161"/>
      <c r="AC622" s="160"/>
      <c r="AD622" s="162"/>
      <c r="AE622" s="161"/>
    </row>
    <row r="623" spans="1:31" ht="21.2" customHeight="1">
      <c r="A623" s="8" t="s">
        <v>525</v>
      </c>
      <c r="B623" s="158" t="s">
        <v>875</v>
      </c>
      <c r="C623" s="159">
        <v>31</v>
      </c>
      <c r="D623" s="158" t="s">
        <v>849</v>
      </c>
      <c r="E623" s="58">
        <v>75.55</v>
      </c>
      <c r="F623" s="160">
        <v>17.460989196708201</v>
      </c>
      <c r="G623" s="161">
        <v>3.6582232722548201E-2</v>
      </c>
      <c r="H623" s="161">
        <v>0.13231117477141599</v>
      </c>
      <c r="I623" s="161">
        <v>0.168893407493965</v>
      </c>
      <c r="J623" s="161">
        <v>1.29141677979366</v>
      </c>
      <c r="K623" s="161">
        <v>2.7013738814656599E-4</v>
      </c>
      <c r="L623" s="161">
        <v>1.81077449724035E-3</v>
      </c>
      <c r="M623" s="161">
        <v>-2.2008711669048401E-4</v>
      </c>
      <c r="N623" s="161">
        <v>-4.2801122563294999E-4</v>
      </c>
      <c r="O623" s="161">
        <v>1.46483349919478</v>
      </c>
      <c r="P623" s="161">
        <v>1.49159880486912</v>
      </c>
      <c r="Q623" s="161">
        <v>-8.5235859128393696E-2</v>
      </c>
      <c r="R623" s="161">
        <v>0.73381383112740095</v>
      </c>
      <c r="S623" s="161">
        <v>3.9200381117439499E-3</v>
      </c>
      <c r="T623" s="161">
        <v>0</v>
      </c>
      <c r="U623" s="161">
        <v>0</v>
      </c>
      <c r="V623" s="161">
        <v>0</v>
      </c>
      <c r="W623" s="161"/>
      <c r="X623" s="58"/>
      <c r="Y623" s="161"/>
      <c r="Z623" s="161"/>
      <c r="AA623" s="161"/>
      <c r="AB623" s="161"/>
      <c r="AC623" s="160"/>
      <c r="AD623" s="162"/>
      <c r="AE623" s="161"/>
    </row>
    <row r="624" spans="1:31" ht="21.2" customHeight="1">
      <c r="A624" s="8" t="s">
        <v>575</v>
      </c>
      <c r="B624" s="158" t="s">
        <v>890</v>
      </c>
      <c r="C624" s="159">
        <v>36</v>
      </c>
      <c r="D624" s="158" t="s">
        <v>849</v>
      </c>
      <c r="E624" s="58">
        <v>77</v>
      </c>
      <c r="F624" s="160">
        <v>16.3655242850154</v>
      </c>
      <c r="G624" s="161">
        <v>3.2073188091721702E-2</v>
      </c>
      <c r="H624" s="161">
        <v>0.13643013514836499</v>
      </c>
      <c r="I624" s="161">
        <v>0.16850332324008699</v>
      </c>
      <c r="J624" s="161">
        <v>0.83022279498747598</v>
      </c>
      <c r="K624" s="161">
        <v>2.4852697950508799E-4</v>
      </c>
      <c r="L624" s="161">
        <v>1.80197418050039E-3</v>
      </c>
      <c r="M624" s="161">
        <v>-6.6069891136276296E-4</v>
      </c>
      <c r="N624" s="161">
        <v>-3.41882907551843E-3</v>
      </c>
      <c r="O624" s="161">
        <v>1.2894108908000901</v>
      </c>
      <c r="P624" s="161">
        <v>1.58158388525301</v>
      </c>
      <c r="Q624" s="161">
        <v>-6.5744689267719494E-2</v>
      </c>
      <c r="R624" s="161">
        <v>0.37001204400075399</v>
      </c>
      <c r="S624" s="161">
        <v>3.77006349814579E-3</v>
      </c>
      <c r="T624" s="161">
        <v>0</v>
      </c>
      <c r="U624" s="161">
        <v>0</v>
      </c>
      <c r="V624" s="161">
        <v>0</v>
      </c>
      <c r="W624" s="161"/>
      <c r="X624" s="58"/>
      <c r="Y624" s="161"/>
      <c r="Z624" s="161"/>
      <c r="AA624" s="161"/>
      <c r="AB624" s="161"/>
      <c r="AC624" s="160"/>
      <c r="AD624" s="162"/>
      <c r="AE624" s="161"/>
    </row>
    <row r="625" spans="1:31" ht="21.2" customHeight="1">
      <c r="A625" s="8" t="s">
        <v>560</v>
      </c>
      <c r="B625" s="158" t="s">
        <v>888</v>
      </c>
      <c r="C625" s="159">
        <v>26</v>
      </c>
      <c r="D625" s="158" t="s">
        <v>849</v>
      </c>
      <c r="E625" s="58">
        <v>74.971071428571406</v>
      </c>
      <c r="F625" s="160">
        <v>16.180768574226501</v>
      </c>
      <c r="G625" s="161">
        <v>3.7938793096010198E-2</v>
      </c>
      <c r="H625" s="161">
        <v>0.12989886504310399</v>
      </c>
      <c r="I625" s="161">
        <v>0.167837658139113</v>
      </c>
      <c r="J625" s="161">
        <v>1.11167184470369</v>
      </c>
      <c r="K625" s="161">
        <v>2.75566502659023E-4</v>
      </c>
      <c r="L625" s="161">
        <v>1.7151169009983699E-3</v>
      </c>
      <c r="M625" s="161">
        <v>3.5944824069306298E-4</v>
      </c>
      <c r="N625" s="161">
        <v>8.4861239496247798E-3</v>
      </c>
      <c r="O625" s="161">
        <v>1.04549305315973</v>
      </c>
      <c r="P625" s="161">
        <v>2.8652248290688398</v>
      </c>
      <c r="Q625" s="161">
        <v>-3.6746271915734999E-2</v>
      </c>
      <c r="R625" s="161">
        <v>0.80951362939485005</v>
      </c>
      <c r="S625" s="161">
        <v>5.5400560461452402E-3</v>
      </c>
      <c r="T625" s="161">
        <v>0</v>
      </c>
      <c r="U625" s="161">
        <v>0</v>
      </c>
      <c r="V625" s="161">
        <v>0</v>
      </c>
      <c r="W625" s="161"/>
      <c r="X625" s="58"/>
      <c r="Y625" s="161"/>
      <c r="Z625" s="161"/>
      <c r="AA625" s="161"/>
      <c r="AB625" s="161"/>
      <c r="AC625" s="160"/>
      <c r="AD625" s="162"/>
      <c r="AE625" s="161"/>
    </row>
    <row r="626" spans="1:31" ht="21.2" customHeight="1">
      <c r="A626" s="8" t="s">
        <v>587</v>
      </c>
      <c r="B626" s="158" t="s">
        <v>885</v>
      </c>
      <c r="C626" s="159">
        <v>31</v>
      </c>
      <c r="D626" s="158" t="s">
        <v>849</v>
      </c>
      <c r="E626" s="58">
        <v>69.713928571428596</v>
      </c>
      <c r="F626" s="160">
        <v>14.7104584833884</v>
      </c>
      <c r="G626" s="161">
        <v>3.1371111953047398E-2</v>
      </c>
      <c r="H626" s="161">
        <v>0.136409830636401</v>
      </c>
      <c r="I626" s="161">
        <v>0.16778094258944901</v>
      </c>
      <c r="J626" s="161">
        <v>1.00377051413912</v>
      </c>
      <c r="K626" s="161">
        <v>1.3007561224736999E-4</v>
      </c>
      <c r="L626" s="161">
        <v>1.58869984423001E-3</v>
      </c>
      <c r="M626" s="161">
        <v>8.3518123286460599E-5</v>
      </c>
      <c r="N626" s="161">
        <v>3.1087823644935001E-4</v>
      </c>
      <c r="O626" s="161">
        <v>1.10538478426057</v>
      </c>
      <c r="P626" s="161">
        <v>0.92264604194450195</v>
      </c>
      <c r="Q626" s="161">
        <v>4.38190002625317E-3</v>
      </c>
      <c r="R626" s="161">
        <v>0.254567298102296</v>
      </c>
      <c r="S626" s="161">
        <v>5.2420579098103404E-3</v>
      </c>
      <c r="T626" s="161">
        <v>6.1594157206220203E-4</v>
      </c>
      <c r="U626" s="161">
        <v>2.0359563874640901E-3</v>
      </c>
      <c r="V626" s="161">
        <v>0.232264431536509</v>
      </c>
      <c r="W626" s="161"/>
      <c r="X626" s="58"/>
      <c r="Y626" s="161"/>
      <c r="Z626" s="161"/>
      <c r="AA626" s="161"/>
      <c r="AB626" s="161"/>
      <c r="AC626" s="160"/>
      <c r="AD626" s="162"/>
      <c r="AE626" s="161"/>
    </row>
    <row r="627" spans="1:31" ht="21.2" customHeight="1">
      <c r="A627" s="8" t="s">
        <v>749</v>
      </c>
      <c r="B627" s="158" t="s">
        <v>879</v>
      </c>
      <c r="C627" s="159">
        <v>27</v>
      </c>
      <c r="D627" s="158" t="s">
        <v>848</v>
      </c>
      <c r="E627" s="58">
        <v>73.231071428571397</v>
      </c>
      <c r="F627" s="160">
        <v>10.558119996872399</v>
      </c>
      <c r="G627" s="161">
        <v>6.48303482666511E-2</v>
      </c>
      <c r="H627" s="161">
        <v>0.101024194892464</v>
      </c>
      <c r="I627" s="161">
        <v>0.16585454315911499</v>
      </c>
      <c r="J627" s="161">
        <v>1.1975842222017901</v>
      </c>
      <c r="K627" s="161">
        <v>5.6421598358039505E-4</v>
      </c>
      <c r="L627" s="161">
        <v>1.42567783714978E-3</v>
      </c>
      <c r="M627" s="161">
        <v>1.6093174353579799E-4</v>
      </c>
      <c r="N627" s="161">
        <v>3.0184896518134898E-4</v>
      </c>
      <c r="O627" s="161">
        <v>0.45565206296875099</v>
      </c>
      <c r="P627" s="161">
        <v>2.2873291460254102</v>
      </c>
      <c r="Q627" s="161">
        <v>-2.2511978099025898E-3</v>
      </c>
      <c r="R627" s="161">
        <v>0.99708145540958704</v>
      </c>
      <c r="S627" s="161">
        <v>9.7495707989519002E-3</v>
      </c>
      <c r="T627" s="161">
        <v>0.22816997234440201</v>
      </c>
      <c r="U627" s="161">
        <v>0.23772850023400499</v>
      </c>
      <c r="V627" s="161">
        <v>0.489741833841284</v>
      </c>
      <c r="W627" s="161"/>
      <c r="X627" s="58"/>
      <c r="Y627" s="161"/>
      <c r="Z627" s="161"/>
      <c r="AA627" s="161"/>
      <c r="AB627" s="161"/>
      <c r="AC627" s="160"/>
      <c r="AD627" s="162"/>
      <c r="AE627" s="161"/>
    </row>
    <row r="628" spans="1:31" ht="21.2" customHeight="1">
      <c r="A628" s="8" t="s">
        <v>813</v>
      </c>
      <c r="B628" s="158" t="s">
        <v>861</v>
      </c>
      <c r="C628" s="159">
        <v>24</v>
      </c>
      <c r="D628" s="158" t="s">
        <v>847</v>
      </c>
      <c r="E628" s="58">
        <v>55.61</v>
      </c>
      <c r="F628" s="160">
        <v>9.4200220422236605</v>
      </c>
      <c r="G628" s="161">
        <v>0.106014442590967</v>
      </c>
      <c r="H628" s="161">
        <v>5.9650741040965002E-2</v>
      </c>
      <c r="I628" s="161">
        <v>0.165665183631932</v>
      </c>
      <c r="J628" s="161">
        <v>0.92612701624409099</v>
      </c>
      <c r="K628" s="161">
        <v>7.9743927854815703E-4</v>
      </c>
      <c r="L628" s="161">
        <v>1.9425945694209799E-3</v>
      </c>
      <c r="M628" s="161">
        <v>9.7582605705104402E-5</v>
      </c>
      <c r="N628" s="161">
        <v>1.8517722858569401E-4</v>
      </c>
      <c r="O628" s="161">
        <v>0.33964073310482001</v>
      </c>
      <c r="P628" s="161">
        <v>0.89556393285432701</v>
      </c>
      <c r="Q628" s="161">
        <v>4.2216839919496499E-2</v>
      </c>
      <c r="R628" s="161">
        <v>0.19538814412580099</v>
      </c>
      <c r="S628" s="161">
        <v>1.6773082109921501E-2</v>
      </c>
      <c r="T628" s="161">
        <v>2.3881604984421698</v>
      </c>
      <c r="U628" s="161">
        <v>2.31381247180799</v>
      </c>
      <c r="V628" s="161">
        <v>0.50790604572852605</v>
      </c>
      <c r="W628" s="161"/>
      <c r="X628" s="58"/>
      <c r="Y628" s="161"/>
      <c r="Z628" s="161"/>
      <c r="AA628" s="161"/>
      <c r="AB628" s="161"/>
      <c r="AC628" s="160"/>
      <c r="AD628" s="162"/>
      <c r="AE628" s="161"/>
    </row>
    <row r="629" spans="1:31" ht="21.2" customHeight="1">
      <c r="A629" s="8" t="s">
        <v>647</v>
      </c>
      <c r="B629" s="158" t="s">
        <v>859</v>
      </c>
      <c r="C629" s="159">
        <v>22</v>
      </c>
      <c r="D629" s="158" t="s">
        <v>849</v>
      </c>
      <c r="E629" s="58">
        <v>62.827500000000001</v>
      </c>
      <c r="F629" s="160">
        <v>12.1194539803154</v>
      </c>
      <c r="G629" s="161">
        <v>3.1100890511262799E-2</v>
      </c>
      <c r="H629" s="161">
        <v>0.13375206147586299</v>
      </c>
      <c r="I629" s="161">
        <v>0.16485295198712699</v>
      </c>
      <c r="J629" s="161">
        <v>0.787683299677852</v>
      </c>
      <c r="K629" s="161">
        <v>5.8595032357062603E-4</v>
      </c>
      <c r="L629" s="161">
        <v>3.5833208886809301E-3</v>
      </c>
      <c r="M629" s="161">
        <v>3.8755132257628201E-4</v>
      </c>
      <c r="N629" s="161">
        <v>1.81780624239367E-3</v>
      </c>
      <c r="O629" s="161">
        <v>0.77476818783183499</v>
      </c>
      <c r="P629" s="161">
        <v>0.83767726189972402</v>
      </c>
      <c r="Q629" s="161">
        <v>6.7532136406538296E-2</v>
      </c>
      <c r="R629" s="161">
        <v>0.19453317438814599</v>
      </c>
      <c r="S629" s="161">
        <v>4.9229370804992597E-3</v>
      </c>
      <c r="T629" s="161">
        <v>0</v>
      </c>
      <c r="U629" s="161">
        <v>0</v>
      </c>
      <c r="V629" s="161">
        <v>0</v>
      </c>
      <c r="W629" s="161"/>
      <c r="X629" s="58"/>
      <c r="Y629" s="161"/>
      <c r="Z629" s="161"/>
      <c r="AA629" s="161"/>
      <c r="AB629" s="161"/>
      <c r="AC629" s="160"/>
      <c r="AD629" s="162"/>
      <c r="AE629" s="161"/>
    </row>
    <row r="630" spans="1:31" ht="21.2" customHeight="1">
      <c r="A630" s="8" t="s">
        <v>595</v>
      </c>
      <c r="B630" s="158" t="s">
        <v>863</v>
      </c>
      <c r="C630" s="159">
        <v>27</v>
      </c>
      <c r="D630" s="158" t="s">
        <v>849</v>
      </c>
      <c r="E630" s="58">
        <v>67</v>
      </c>
      <c r="F630" s="160">
        <v>17.4989933523267</v>
      </c>
      <c r="G630" s="161">
        <v>3.4255017760219997E-2</v>
      </c>
      <c r="H630" s="161">
        <v>0.128467324292459</v>
      </c>
      <c r="I630" s="161">
        <v>0.16272234205267799</v>
      </c>
      <c r="J630" s="161">
        <v>0.89538912431169004</v>
      </c>
      <c r="K630" s="161">
        <v>2.21916184564716E-4</v>
      </c>
      <c r="L630" s="161">
        <v>1.3947441113489299E-3</v>
      </c>
      <c r="M630" s="161">
        <v>4.2650408936464297E-3</v>
      </c>
      <c r="N630" s="161">
        <v>6.1163712999085396E-3</v>
      </c>
      <c r="O630" s="161">
        <v>1.3648792081069501</v>
      </c>
      <c r="P630" s="161">
        <v>1.78694878510174</v>
      </c>
      <c r="Q630" s="161">
        <v>-9.8187241579656102E-3</v>
      </c>
      <c r="R630" s="161">
        <v>0.71695683816433997</v>
      </c>
      <c r="S630" s="161">
        <v>4.9139604328085401E-3</v>
      </c>
      <c r="T630" s="161">
        <v>0</v>
      </c>
      <c r="U630" s="161">
        <v>0</v>
      </c>
      <c r="V630" s="161">
        <v>0</v>
      </c>
      <c r="W630" s="161"/>
      <c r="X630" s="58"/>
      <c r="Y630" s="161"/>
      <c r="Z630" s="161"/>
      <c r="AA630" s="161"/>
      <c r="AB630" s="161"/>
      <c r="AC630" s="160"/>
      <c r="AD630" s="162"/>
      <c r="AE630" s="161"/>
    </row>
    <row r="631" spans="1:31" ht="21.2" customHeight="1">
      <c r="A631" s="8" t="s">
        <v>590</v>
      </c>
      <c r="B631" s="158" t="s">
        <v>886</v>
      </c>
      <c r="C631" s="159">
        <v>30</v>
      </c>
      <c r="D631" s="158" t="s">
        <v>849</v>
      </c>
      <c r="E631" s="58">
        <v>67.041785714285695</v>
      </c>
      <c r="F631" s="160">
        <v>12.422328199314</v>
      </c>
      <c r="G631" s="161">
        <v>4.1217590498726302E-2</v>
      </c>
      <c r="H631" s="161">
        <v>0.12029863189301</v>
      </c>
      <c r="I631" s="161">
        <v>0.16151622239173699</v>
      </c>
      <c r="J631" s="161">
        <v>1.11744137759983</v>
      </c>
      <c r="K631" s="161">
        <v>1.00210389657758E-3</v>
      </c>
      <c r="L631" s="161">
        <v>1.0033171445940301E-2</v>
      </c>
      <c r="M631" s="161">
        <v>7.0855884718745E-5</v>
      </c>
      <c r="N631" s="161">
        <v>2.8370903638050602E-4</v>
      </c>
      <c r="O631" s="161">
        <v>0.885284783604537</v>
      </c>
      <c r="P631" s="161">
        <v>0.81194164074226005</v>
      </c>
      <c r="Q631" s="161">
        <v>5.2260660511412198E-2</v>
      </c>
      <c r="R631" s="161">
        <v>0.29198292348216798</v>
      </c>
      <c r="S631" s="161">
        <v>6.7360788994704898E-3</v>
      </c>
      <c r="T631" s="161">
        <v>0</v>
      </c>
      <c r="U631" s="161">
        <v>0</v>
      </c>
      <c r="V631" s="161">
        <v>0</v>
      </c>
      <c r="W631" s="161"/>
      <c r="X631" s="58"/>
      <c r="Y631" s="161"/>
      <c r="Z631" s="161"/>
      <c r="AA631" s="161"/>
      <c r="AB631" s="161"/>
      <c r="AC631" s="160"/>
      <c r="AD631" s="162"/>
      <c r="AE631" s="161"/>
    </row>
    <row r="632" spans="1:31" ht="21.2" customHeight="1">
      <c r="A632" s="8" t="s">
        <v>822</v>
      </c>
      <c r="B632" s="158" t="s">
        <v>870</v>
      </c>
      <c r="C632" s="159">
        <v>33</v>
      </c>
      <c r="D632" s="158" t="s">
        <v>846</v>
      </c>
      <c r="E632" s="58">
        <v>61.537500000000001</v>
      </c>
      <c r="F632" s="160">
        <v>10.7685301689509</v>
      </c>
      <c r="G632" s="161">
        <v>4.0557364244880399E-2</v>
      </c>
      <c r="H632" s="161">
        <v>0.120004571618488</v>
      </c>
      <c r="I632" s="161">
        <v>0.160561935863368</v>
      </c>
      <c r="J632" s="161">
        <v>0.77723501284110696</v>
      </c>
      <c r="K632" s="161">
        <v>2.7823983725530703E-4</v>
      </c>
      <c r="L632" s="161">
        <v>7.5552024422483402E-4</v>
      </c>
      <c r="M632" s="161">
        <v>1.04925876434534E-3</v>
      </c>
      <c r="N632" s="161">
        <v>9.2847685558055195E-4</v>
      </c>
      <c r="O632" s="161">
        <v>0.41640414251151497</v>
      </c>
      <c r="P632" s="161">
        <v>1.0433188703915499</v>
      </c>
      <c r="Q632" s="161">
        <v>1.24430470484074E-2</v>
      </c>
      <c r="R632" s="161">
        <v>0.19039838552279501</v>
      </c>
      <c r="S632" s="161">
        <v>6.8087833129162898E-3</v>
      </c>
      <c r="T632" s="161">
        <v>2.8088550842094002</v>
      </c>
      <c r="U632" s="161">
        <v>2.6405200995073899</v>
      </c>
      <c r="V632" s="161">
        <v>0.51544534731293801</v>
      </c>
      <c r="W632" s="161"/>
      <c r="X632" s="58"/>
      <c r="Y632" s="161"/>
      <c r="Z632" s="161"/>
      <c r="AA632" s="161"/>
      <c r="AB632" s="161"/>
      <c r="AC632" s="160"/>
      <c r="AD632" s="162"/>
      <c r="AE632" s="161"/>
    </row>
    <row r="633" spans="1:31" ht="21.2" customHeight="1">
      <c r="A633" s="8" t="s">
        <v>591</v>
      </c>
      <c r="B633" s="158" t="s">
        <v>884</v>
      </c>
      <c r="C633" s="159">
        <v>27</v>
      </c>
      <c r="D633" s="158" t="s">
        <v>849</v>
      </c>
      <c r="E633" s="58">
        <v>68</v>
      </c>
      <c r="F633" s="160">
        <v>13.629156639835401</v>
      </c>
      <c r="G633" s="161">
        <v>4.6365414892773203E-2</v>
      </c>
      <c r="H633" s="161">
        <v>0.112495347806364</v>
      </c>
      <c r="I633" s="161">
        <v>0.15886076269913699</v>
      </c>
      <c r="J633" s="161">
        <v>1.11528428318503</v>
      </c>
      <c r="K633" s="161">
        <v>1.3976432057710901E-4</v>
      </c>
      <c r="L633" s="161">
        <v>8.7920700846680702E-4</v>
      </c>
      <c r="M633" s="161">
        <v>3.07889989594672E-3</v>
      </c>
      <c r="N633" s="161">
        <v>6.5434721309803202E-3</v>
      </c>
      <c r="O633" s="161">
        <v>0.82880599015710898</v>
      </c>
      <c r="P633" s="161">
        <v>1.1177706971294199</v>
      </c>
      <c r="Q633" s="161">
        <v>8.9276000128851604E-2</v>
      </c>
      <c r="R633" s="161">
        <v>0.42769720696047597</v>
      </c>
      <c r="S633" s="161">
        <v>8.3189936319155201E-3</v>
      </c>
      <c r="T633" s="161">
        <v>0</v>
      </c>
      <c r="U633" s="161">
        <v>0</v>
      </c>
      <c r="V633" s="161">
        <v>0</v>
      </c>
      <c r="W633" s="161"/>
      <c r="X633" s="58"/>
      <c r="Y633" s="161"/>
      <c r="Z633" s="161"/>
      <c r="AA633" s="161"/>
      <c r="AB633" s="161"/>
      <c r="AC633" s="160"/>
      <c r="AD633" s="162"/>
      <c r="AE633" s="161"/>
    </row>
    <row r="634" spans="1:31" ht="21.2" customHeight="1">
      <c r="A634" s="8" t="s">
        <v>786</v>
      </c>
      <c r="B634" s="158" t="s">
        <v>866</v>
      </c>
      <c r="C634" s="159">
        <v>36</v>
      </c>
      <c r="D634" s="158" t="s">
        <v>848</v>
      </c>
      <c r="E634" s="58">
        <v>75.862857142857095</v>
      </c>
      <c r="F634" s="160">
        <v>9.3171298949856904</v>
      </c>
      <c r="G634" s="161">
        <v>5.2976070233506499E-2</v>
      </c>
      <c r="H634" s="161">
        <v>0.104822924599325</v>
      </c>
      <c r="I634" s="161">
        <v>0.157798994832832</v>
      </c>
      <c r="J634" s="161">
        <v>0.68528286147164896</v>
      </c>
      <c r="K634" s="161">
        <v>3.33491315367165E-4</v>
      </c>
      <c r="L634" s="161">
        <v>9.0589682757520401E-4</v>
      </c>
      <c r="M634" s="161">
        <v>2.91092589408624E-5</v>
      </c>
      <c r="N634" s="161">
        <v>4.8464726050759298E-5</v>
      </c>
      <c r="O634" s="161">
        <v>0.30616257421537102</v>
      </c>
      <c r="P634" s="161">
        <v>2.6906590591152102</v>
      </c>
      <c r="Q634" s="161">
        <v>3.3795550195091097E-2</v>
      </c>
      <c r="R634" s="161">
        <v>0.48828024521851199</v>
      </c>
      <c r="S634" s="161">
        <v>8.5105916021867897E-3</v>
      </c>
      <c r="T634" s="161">
        <v>7.4395483746010696E-2</v>
      </c>
      <c r="U634" s="161">
        <v>0.12831649780471599</v>
      </c>
      <c r="V634" s="161">
        <v>0.36700092010789198</v>
      </c>
      <c r="W634" s="161"/>
      <c r="X634" s="58"/>
      <c r="Y634" s="161"/>
      <c r="Z634" s="161"/>
      <c r="AA634" s="161"/>
      <c r="AB634" s="161"/>
      <c r="AC634" s="160"/>
      <c r="AD634" s="162"/>
      <c r="AE634" s="161"/>
    </row>
    <row r="635" spans="1:31" ht="21.2" customHeight="1">
      <c r="A635" s="8" t="s">
        <v>532</v>
      </c>
      <c r="B635" s="158" t="s">
        <v>869</v>
      </c>
      <c r="C635" s="159">
        <v>31</v>
      </c>
      <c r="D635" s="158" t="s">
        <v>849</v>
      </c>
      <c r="E635" s="58">
        <v>81.901428571428596</v>
      </c>
      <c r="F635" s="160">
        <v>18.300264117446801</v>
      </c>
      <c r="G635" s="161">
        <v>5.1072267190043298E-2</v>
      </c>
      <c r="H635" s="161">
        <v>0.105444967123483</v>
      </c>
      <c r="I635" s="161">
        <v>0.15651723431352599</v>
      </c>
      <c r="J635" s="161">
        <v>0.99485858588051301</v>
      </c>
      <c r="K635" s="161">
        <v>3.4500165488440701E-4</v>
      </c>
      <c r="L635" s="161">
        <v>2.32083742927884E-3</v>
      </c>
      <c r="M635" s="161">
        <v>-4.1768207559795899E-4</v>
      </c>
      <c r="N635" s="161">
        <v>5.3722086135259001E-3</v>
      </c>
      <c r="O635" s="161">
        <v>1.5200010256304499</v>
      </c>
      <c r="P635" s="161">
        <v>2.5473194326647799</v>
      </c>
      <c r="Q635" s="161">
        <v>4.3452992404366099E-2</v>
      </c>
      <c r="R635" s="161">
        <v>0.58872071928136704</v>
      </c>
      <c r="S635" s="161">
        <v>8.1712006963235006E-3</v>
      </c>
      <c r="T635" s="161">
        <v>0</v>
      </c>
      <c r="U635" s="161">
        <v>0</v>
      </c>
      <c r="V635" s="161">
        <v>0</v>
      </c>
      <c r="W635" s="161"/>
      <c r="X635" s="58"/>
      <c r="Y635" s="161"/>
      <c r="Z635" s="161"/>
      <c r="AA635" s="161"/>
      <c r="AB635" s="161"/>
      <c r="AC635" s="160"/>
      <c r="AD635" s="162"/>
      <c r="AE635" s="161"/>
    </row>
    <row r="636" spans="1:31" ht="21.2" customHeight="1">
      <c r="A636" s="8" t="s">
        <v>760</v>
      </c>
      <c r="B636" s="158" t="s">
        <v>883</v>
      </c>
      <c r="C636" s="159">
        <v>36</v>
      </c>
      <c r="D636" s="158" t="s">
        <v>848</v>
      </c>
      <c r="E636" s="58">
        <v>65</v>
      </c>
      <c r="F636" s="160">
        <v>10.7458775203646</v>
      </c>
      <c r="G636" s="161">
        <v>6.6807108911067101E-2</v>
      </c>
      <c r="H636" s="161">
        <v>8.9574975479394803E-2</v>
      </c>
      <c r="I636" s="161">
        <v>0.156382084390462</v>
      </c>
      <c r="J636" s="161">
        <v>1.34912953562355</v>
      </c>
      <c r="K636" s="161">
        <v>2.6428937550212099E-3</v>
      </c>
      <c r="L636" s="161">
        <v>5.6136648820834904E-3</v>
      </c>
      <c r="M636" s="161">
        <v>7.6223866406270697E-3</v>
      </c>
      <c r="N636" s="161">
        <v>5.2777403746717697E-3</v>
      </c>
      <c r="O636" s="161">
        <v>0.36370388770356199</v>
      </c>
      <c r="P636" s="161">
        <v>1.65291487868755</v>
      </c>
      <c r="Q636" s="161">
        <v>-1.1403538744345699E-2</v>
      </c>
      <c r="R636" s="161">
        <v>0.17228018778708301</v>
      </c>
      <c r="S636" s="161">
        <v>9.8915310741958303E-3</v>
      </c>
      <c r="T636" s="161">
        <v>1.2757210749380601</v>
      </c>
      <c r="U636" s="161">
        <v>1.5799814297502099</v>
      </c>
      <c r="V636" s="161">
        <v>0.446727582037583</v>
      </c>
      <c r="W636" s="161"/>
      <c r="X636" s="58"/>
      <c r="Y636" s="161"/>
      <c r="Z636" s="161"/>
      <c r="AA636" s="161"/>
      <c r="AB636" s="161"/>
      <c r="AC636" s="160"/>
      <c r="AD636" s="162"/>
      <c r="AE636" s="161"/>
    </row>
    <row r="637" spans="1:31" ht="21.2" customHeight="1">
      <c r="A637" s="8" t="s">
        <v>775</v>
      </c>
      <c r="B637" s="158" t="s">
        <v>891</v>
      </c>
      <c r="C637" s="159">
        <v>34</v>
      </c>
      <c r="D637" s="158" t="s">
        <v>847</v>
      </c>
      <c r="E637" s="58">
        <v>80.047142857142902</v>
      </c>
      <c r="F637" s="160">
        <v>10.628550945429801</v>
      </c>
      <c r="G637" s="161">
        <v>5.8775663229746603E-2</v>
      </c>
      <c r="H637" s="161">
        <v>9.6436048930049395E-2</v>
      </c>
      <c r="I637" s="161">
        <v>0.15521171215979601</v>
      </c>
      <c r="J637" s="161">
        <v>0.99486216752893897</v>
      </c>
      <c r="K637" s="161">
        <v>8.0546081214789898E-4</v>
      </c>
      <c r="L637" s="161">
        <v>2.0663606997184101E-3</v>
      </c>
      <c r="M637" s="161">
        <v>3.7126534757060898E-4</v>
      </c>
      <c r="N637" s="161">
        <v>6.1677580397853703E-4</v>
      </c>
      <c r="O637" s="161">
        <v>0.45210763444487101</v>
      </c>
      <c r="P637" s="161">
        <v>3.0978202753951498</v>
      </c>
      <c r="Q637" s="161">
        <v>-1.3159475324886E-2</v>
      </c>
      <c r="R637" s="161">
        <v>0.55721166668248201</v>
      </c>
      <c r="S637" s="161">
        <v>9.0821246488029094E-3</v>
      </c>
      <c r="T637" s="161">
        <v>0.103710167114899</v>
      </c>
      <c r="U637" s="161">
        <v>0.19363666151572601</v>
      </c>
      <c r="V637" s="161">
        <v>0.348785179894189</v>
      </c>
      <c r="W637" s="161"/>
      <c r="X637" s="58"/>
      <c r="Y637" s="161"/>
      <c r="Z637" s="161"/>
      <c r="AA637" s="161"/>
      <c r="AB637" s="161"/>
      <c r="AC637" s="160"/>
      <c r="AD637" s="162"/>
      <c r="AE637" s="161"/>
    </row>
    <row r="638" spans="1:31" ht="21.2" customHeight="1">
      <c r="A638" s="8" t="s">
        <v>797</v>
      </c>
      <c r="B638" s="158" t="s">
        <v>892</v>
      </c>
      <c r="C638" s="159">
        <v>38</v>
      </c>
      <c r="D638" s="158" t="s">
        <v>860</v>
      </c>
      <c r="E638" s="58">
        <v>70</v>
      </c>
      <c r="F638" s="160">
        <v>11.2828767123288</v>
      </c>
      <c r="G638" s="161">
        <v>6.0869239925162598E-2</v>
      </c>
      <c r="H638" s="161">
        <v>9.2719907282030098E-2</v>
      </c>
      <c r="I638" s="161">
        <v>0.15358914720719299</v>
      </c>
      <c r="J638" s="161">
        <v>0.79772447801171997</v>
      </c>
      <c r="K638" s="161">
        <v>2.1988837824526801E-4</v>
      </c>
      <c r="L638" s="161">
        <v>6.1951691341292903E-4</v>
      </c>
      <c r="M638" s="161">
        <v>4.4504093880870201E-4</v>
      </c>
      <c r="N638" s="161">
        <v>-2.3692952490865E-4</v>
      </c>
      <c r="O638" s="161">
        <v>0.58308361827392996</v>
      </c>
      <c r="P638" s="161">
        <v>0.98035998189669005</v>
      </c>
      <c r="Q638" s="161">
        <v>-5.2691271763161702E-3</v>
      </c>
      <c r="R638" s="161">
        <v>0.28606124333579402</v>
      </c>
      <c r="S638" s="161">
        <v>8.5558397824327097E-3</v>
      </c>
      <c r="T638" s="161">
        <v>4.6053007884734498</v>
      </c>
      <c r="U638" s="161">
        <v>4.0130065475818304</v>
      </c>
      <c r="V638" s="161">
        <v>0.53436256203197297</v>
      </c>
      <c r="W638" s="161"/>
      <c r="X638" s="58"/>
      <c r="Y638" s="161"/>
      <c r="Z638" s="161"/>
      <c r="AA638" s="161"/>
      <c r="AB638" s="161"/>
      <c r="AC638" s="160"/>
      <c r="AD638" s="162"/>
      <c r="AE638" s="161"/>
    </row>
    <row r="639" spans="1:31" ht="21.2" customHeight="1">
      <c r="A639" s="8" t="s">
        <v>593</v>
      </c>
      <c r="B639" s="158" t="s">
        <v>872</v>
      </c>
      <c r="C639" s="159">
        <v>29</v>
      </c>
      <c r="D639" s="158" t="s">
        <v>849</v>
      </c>
      <c r="E639" s="58">
        <v>80</v>
      </c>
      <c r="F639" s="160">
        <v>13.9163198204672</v>
      </c>
      <c r="G639" s="161">
        <v>2.4050245423308799E-2</v>
      </c>
      <c r="H639" s="161">
        <v>0.12661454066249</v>
      </c>
      <c r="I639" s="161">
        <v>0.150664786085799</v>
      </c>
      <c r="J639" s="161">
        <v>0.64479712721818505</v>
      </c>
      <c r="K639" s="161">
        <v>1.7283989117382599E-4</v>
      </c>
      <c r="L639" s="161">
        <v>1.1154148438126299E-3</v>
      </c>
      <c r="M639" s="161">
        <v>3.41031690050501E-3</v>
      </c>
      <c r="N639" s="161">
        <v>9.1411031262881998E-3</v>
      </c>
      <c r="O639" s="161">
        <v>1.1789903261108801</v>
      </c>
      <c r="P639" s="161">
        <v>1.5103743619897001</v>
      </c>
      <c r="Q639" s="161">
        <v>-3.2962920310006E-2</v>
      </c>
      <c r="R639" s="161">
        <v>0.44949830881761299</v>
      </c>
      <c r="S639" s="161">
        <v>3.0788897278613801E-3</v>
      </c>
      <c r="T639" s="161">
        <v>0</v>
      </c>
      <c r="U639" s="161">
        <v>0</v>
      </c>
      <c r="V639" s="161">
        <v>0</v>
      </c>
      <c r="W639" s="161"/>
      <c r="X639" s="58"/>
      <c r="Y639" s="161"/>
      <c r="Z639" s="161"/>
      <c r="AA639" s="161"/>
      <c r="AB639" s="161"/>
      <c r="AC639" s="160"/>
      <c r="AD639" s="162"/>
      <c r="AE639" s="161"/>
    </row>
    <row r="640" spans="1:31" ht="21.2" customHeight="1">
      <c r="A640" s="8" t="s">
        <v>824</v>
      </c>
      <c r="B640" s="158" t="s">
        <v>891</v>
      </c>
      <c r="C640" s="159">
        <v>29</v>
      </c>
      <c r="D640" s="158" t="s">
        <v>847</v>
      </c>
      <c r="E640" s="58">
        <v>56.997142857142897</v>
      </c>
      <c r="F640" s="160">
        <v>7.8000427177591503</v>
      </c>
      <c r="G640" s="161">
        <v>4.5041518984747099E-2</v>
      </c>
      <c r="H640" s="161">
        <v>0.103163510477208</v>
      </c>
      <c r="I640" s="161">
        <v>0.14820502946195499</v>
      </c>
      <c r="J640" s="161">
        <v>0.43197499189689298</v>
      </c>
      <c r="K640" s="161">
        <v>3.1432296657842902E-4</v>
      </c>
      <c r="L640" s="161">
        <v>8.0348061839682103E-4</v>
      </c>
      <c r="M640" s="161">
        <v>0</v>
      </c>
      <c r="N640" s="161">
        <v>0</v>
      </c>
      <c r="O640" s="161">
        <v>0.32865157441362902</v>
      </c>
      <c r="P640" s="161">
        <v>1.7203077161932601</v>
      </c>
      <c r="Q640" s="161">
        <v>-7.0831733649582901E-3</v>
      </c>
      <c r="R640" s="161">
        <v>0.59186086593680998</v>
      </c>
      <c r="S640" s="161">
        <v>6.9598991710545701E-3</v>
      </c>
      <c r="T640" s="161">
        <v>2.2584926771724599E-2</v>
      </c>
      <c r="U640" s="161">
        <v>5.1372242462093903E-2</v>
      </c>
      <c r="V640" s="161">
        <v>0.30537846439635202</v>
      </c>
      <c r="W640" s="161"/>
      <c r="X640" s="58"/>
      <c r="Y640" s="161"/>
      <c r="Z640" s="161"/>
      <c r="AA640" s="161"/>
      <c r="AB640" s="161"/>
      <c r="AC640" s="160"/>
      <c r="AD640" s="162"/>
      <c r="AE640" s="161"/>
    </row>
    <row r="641" spans="1:31" ht="21.2" customHeight="1">
      <c r="A641" s="8" t="s">
        <v>651</v>
      </c>
      <c r="B641" s="158" t="s">
        <v>859</v>
      </c>
      <c r="C641" s="159">
        <v>27</v>
      </c>
      <c r="D641" s="158" t="s">
        <v>849</v>
      </c>
      <c r="E641" s="58">
        <v>62.94</v>
      </c>
      <c r="F641" s="160">
        <v>13.422103152379799</v>
      </c>
      <c r="G641" s="161">
        <v>1.90413893125226E-2</v>
      </c>
      <c r="H641" s="161">
        <v>0.12735199304999401</v>
      </c>
      <c r="I641" s="161">
        <v>0.146393382362517</v>
      </c>
      <c r="J641" s="161">
        <v>0.60879551457117198</v>
      </c>
      <c r="K641" s="161">
        <v>1.68785721793091E-4</v>
      </c>
      <c r="L641" s="161">
        <v>1.0610560593153099E-3</v>
      </c>
      <c r="M641" s="161">
        <v>7.5675919428921099E-4</v>
      </c>
      <c r="N641" s="161">
        <v>1.9138233161009901E-2</v>
      </c>
      <c r="O641" s="161">
        <v>1.2296635219016601</v>
      </c>
      <c r="P641" s="161">
        <v>1.2311157998637401</v>
      </c>
      <c r="Q641" s="161">
        <v>7.0720344234057195E-2</v>
      </c>
      <c r="R641" s="161">
        <v>0.57909440828835002</v>
      </c>
      <c r="S641" s="161">
        <v>3.0140475069963999E-3</v>
      </c>
      <c r="T641" s="161">
        <v>0</v>
      </c>
      <c r="U641" s="161">
        <v>0</v>
      </c>
      <c r="V641" s="161">
        <v>0</v>
      </c>
      <c r="W641" s="161"/>
      <c r="X641" s="58"/>
      <c r="Y641" s="161"/>
      <c r="Z641" s="161"/>
      <c r="AA641" s="161"/>
      <c r="AB641" s="161"/>
      <c r="AC641" s="160"/>
      <c r="AD641" s="162"/>
      <c r="AE641" s="161"/>
    </row>
    <row r="642" spans="1:31" ht="21.2" customHeight="1">
      <c r="A642" s="8" t="s">
        <v>818</v>
      </c>
      <c r="B642" s="158" t="s">
        <v>885</v>
      </c>
      <c r="C642" s="159">
        <v>30</v>
      </c>
      <c r="D642" s="158" t="s">
        <v>846</v>
      </c>
      <c r="E642" s="58">
        <v>67.312142857142902</v>
      </c>
      <c r="F642" s="160">
        <v>8.7664395912549296</v>
      </c>
      <c r="G642" s="161">
        <v>6.6447087992405895E-2</v>
      </c>
      <c r="H642" s="161">
        <v>7.9778056891236807E-2</v>
      </c>
      <c r="I642" s="161">
        <v>0.14622514488364299</v>
      </c>
      <c r="J642" s="161">
        <v>0.82479270941719596</v>
      </c>
      <c r="K642" s="161">
        <v>7.7018339512515603E-4</v>
      </c>
      <c r="L642" s="161">
        <v>1.9925822234692801E-3</v>
      </c>
      <c r="M642" s="161">
        <v>5.9055513475977895E-4</v>
      </c>
      <c r="N642" s="161">
        <v>6.5392522746623896E-4</v>
      </c>
      <c r="O642" s="161">
        <v>0.42775098933070499</v>
      </c>
      <c r="P642" s="161">
        <v>1.2226984429076</v>
      </c>
      <c r="Q642" s="161">
        <v>1.07662293792791E-2</v>
      </c>
      <c r="R642" s="161">
        <v>0.27681353840535</v>
      </c>
      <c r="S642" s="161">
        <v>1.11031921251557E-2</v>
      </c>
      <c r="T642" s="161">
        <v>2.3510067958187801</v>
      </c>
      <c r="U642" s="161">
        <v>2.9314093975098801</v>
      </c>
      <c r="V642" s="161">
        <v>0.44506277237070901</v>
      </c>
      <c r="W642" s="161"/>
      <c r="X642" s="58"/>
      <c r="Y642" s="161"/>
      <c r="Z642" s="161"/>
      <c r="AA642" s="161"/>
      <c r="AB642" s="161"/>
      <c r="AC642" s="160"/>
      <c r="AD642" s="162"/>
      <c r="AE642" s="161"/>
    </row>
    <row r="643" spans="1:31" ht="21.2" customHeight="1">
      <c r="A643" s="8" t="s">
        <v>588</v>
      </c>
      <c r="B643" s="158" t="s">
        <v>893</v>
      </c>
      <c r="C643" s="159">
        <v>30</v>
      </c>
      <c r="D643" s="158" t="s">
        <v>849</v>
      </c>
      <c r="E643" s="58">
        <v>66.617142857142895</v>
      </c>
      <c r="F643" s="160">
        <v>16.6649331566183</v>
      </c>
      <c r="G643" s="161">
        <v>4.0078199476839098E-2</v>
      </c>
      <c r="H643" s="161">
        <v>0.10555221033366199</v>
      </c>
      <c r="I643" s="161">
        <v>0.14563040981050099</v>
      </c>
      <c r="J643" s="161">
        <v>1.0068395962513399</v>
      </c>
      <c r="K643" s="161">
        <v>1.54687101374251E-3</v>
      </c>
      <c r="L643" s="161">
        <v>1.0431819708299799E-2</v>
      </c>
      <c r="M643" s="161">
        <v>2.55779424026893E-4</v>
      </c>
      <c r="N643" s="161">
        <v>9.6233548507342298E-4</v>
      </c>
      <c r="O643" s="161">
        <v>1.55237065987894</v>
      </c>
      <c r="P643" s="161">
        <v>2.0490402693370702</v>
      </c>
      <c r="Q643" s="161">
        <v>-1.0186786911233999E-2</v>
      </c>
      <c r="R643" s="161">
        <v>0.51135461516395897</v>
      </c>
      <c r="S643" s="161">
        <v>4.9759390919770097E-3</v>
      </c>
      <c r="T643" s="161">
        <v>0</v>
      </c>
      <c r="U643" s="161">
        <v>0</v>
      </c>
      <c r="V643" s="161">
        <v>0</v>
      </c>
      <c r="W643" s="161"/>
      <c r="X643" s="58"/>
      <c r="Y643" s="161"/>
      <c r="Z643" s="161"/>
      <c r="AA643" s="161"/>
      <c r="AB643" s="161"/>
      <c r="AC643" s="160"/>
      <c r="AD643" s="162"/>
      <c r="AE643" s="161"/>
    </row>
    <row r="644" spans="1:31" ht="21.2" customHeight="1">
      <c r="A644" s="8" t="s">
        <v>794</v>
      </c>
      <c r="B644" s="158" t="s">
        <v>893</v>
      </c>
      <c r="C644" s="159">
        <v>25</v>
      </c>
      <c r="D644" s="158" t="s">
        <v>864</v>
      </c>
      <c r="E644" s="58">
        <v>63.057857142857102</v>
      </c>
      <c r="F644" s="160">
        <v>7.0133333333333301</v>
      </c>
      <c r="G644" s="161">
        <v>5.8918620019326101E-2</v>
      </c>
      <c r="H644" s="161">
        <v>8.1479512663992906E-2</v>
      </c>
      <c r="I644" s="161">
        <v>0.14039813268331999</v>
      </c>
      <c r="J644" s="161">
        <v>0.79953415812077799</v>
      </c>
      <c r="K644" s="161">
        <v>7.1477415043138496E-4</v>
      </c>
      <c r="L644" s="161">
        <v>1.7667479990785401E-3</v>
      </c>
      <c r="M644" s="161">
        <v>6.0520118311055597E-5</v>
      </c>
      <c r="N644" s="161">
        <v>1.15186910478355E-4</v>
      </c>
      <c r="O644" s="161">
        <v>0.27055801270329399</v>
      </c>
      <c r="P644" s="161">
        <v>1.4894698158170101</v>
      </c>
      <c r="Q644" s="161">
        <v>-5.6946759346839602E-3</v>
      </c>
      <c r="R644" s="161">
        <v>0.79386786399522802</v>
      </c>
      <c r="S644" s="161">
        <v>7.3150857180829098E-3</v>
      </c>
      <c r="T644" s="161">
        <v>1.8803059729299301E-3</v>
      </c>
      <c r="U644" s="161">
        <v>5.9770116971454299E-3</v>
      </c>
      <c r="V644" s="161">
        <v>0.239306344974581</v>
      </c>
      <c r="W644" s="161"/>
      <c r="X644" s="58"/>
      <c r="Y644" s="161"/>
      <c r="Z644" s="161"/>
      <c r="AA644" s="161"/>
      <c r="AB644" s="161"/>
      <c r="AC644" s="160"/>
      <c r="AD644" s="162"/>
      <c r="AE644" s="161"/>
    </row>
    <row r="645" spans="1:31" ht="21.2" customHeight="1">
      <c r="A645" s="8" t="s">
        <v>654</v>
      </c>
      <c r="B645" s="158" t="s">
        <v>883</v>
      </c>
      <c r="C645" s="159">
        <v>22</v>
      </c>
      <c r="D645" s="158" t="s">
        <v>849</v>
      </c>
      <c r="E645" s="58">
        <v>64.232142857142904</v>
      </c>
      <c r="F645" s="160">
        <v>14.1809713689024</v>
      </c>
      <c r="G645" s="161">
        <v>1.7842052596420601E-2</v>
      </c>
      <c r="H645" s="161">
        <v>0.122272679711418</v>
      </c>
      <c r="I645" s="161">
        <v>0.140114732307839</v>
      </c>
      <c r="J645" s="161">
        <v>0.78001802764742001</v>
      </c>
      <c r="K645" s="161">
        <v>1.8642339972172001E-4</v>
      </c>
      <c r="L645" s="161">
        <v>1.1132822234649401E-3</v>
      </c>
      <c r="M645" s="161">
        <v>3.53216767551227E-4</v>
      </c>
      <c r="N645" s="161">
        <v>1.6496364045897401E-3</v>
      </c>
      <c r="O645" s="161">
        <v>0.87973328521917105</v>
      </c>
      <c r="P645" s="161">
        <v>1.05689655512259</v>
      </c>
      <c r="Q645" s="161">
        <v>-9.4447780002322995E-3</v>
      </c>
      <c r="R645" s="161">
        <v>0.24676381680068199</v>
      </c>
      <c r="S645" s="161">
        <v>2.6417131434300898E-3</v>
      </c>
      <c r="T645" s="161">
        <v>0</v>
      </c>
      <c r="U645" s="161">
        <v>0</v>
      </c>
      <c r="V645" s="161">
        <v>0</v>
      </c>
      <c r="W645" s="161"/>
      <c r="X645" s="58"/>
      <c r="Y645" s="161"/>
      <c r="Z645" s="161"/>
      <c r="AA645" s="161"/>
      <c r="AB645" s="161"/>
      <c r="AC645" s="160"/>
      <c r="AD645" s="162"/>
      <c r="AE645" s="161"/>
    </row>
    <row r="646" spans="1:31" ht="21.2" customHeight="1">
      <c r="A646" s="8" t="s">
        <v>789</v>
      </c>
      <c r="B646" s="158" t="s">
        <v>890</v>
      </c>
      <c r="C646" s="159">
        <v>32</v>
      </c>
      <c r="D646" s="158" t="s">
        <v>847</v>
      </c>
      <c r="E646" s="58">
        <v>80.512500000000003</v>
      </c>
      <c r="F646" s="160">
        <v>9.5094357328506103</v>
      </c>
      <c r="G646" s="161">
        <v>6.8854548181724595E-2</v>
      </c>
      <c r="H646" s="161">
        <v>6.9080247014389501E-2</v>
      </c>
      <c r="I646" s="161">
        <v>0.13793479519611501</v>
      </c>
      <c r="J646" s="161">
        <v>0.91902425033907298</v>
      </c>
      <c r="K646" s="161">
        <v>6.7348884352417897E-4</v>
      </c>
      <c r="L646" s="161">
        <v>1.7925450626174401E-3</v>
      </c>
      <c r="M646" s="161">
        <v>1.60009864956715E-3</v>
      </c>
      <c r="N646" s="161">
        <v>1.5287717845839501E-3</v>
      </c>
      <c r="O646" s="161">
        <v>0.35192883155958898</v>
      </c>
      <c r="P646" s="161">
        <v>3.1374410601324798</v>
      </c>
      <c r="Q646" s="161">
        <v>-8.6773017535244898E-2</v>
      </c>
      <c r="R646" s="161">
        <v>0.81757269380377695</v>
      </c>
      <c r="S646" s="161">
        <v>8.0935520983722101E-3</v>
      </c>
      <c r="T646" s="161">
        <v>2.8090992494820399E-2</v>
      </c>
      <c r="U646" s="161">
        <v>8.0085919678536996E-2</v>
      </c>
      <c r="V646" s="161">
        <v>0.25967641274326198</v>
      </c>
      <c r="W646" s="161"/>
      <c r="X646" s="58"/>
      <c r="Y646" s="161"/>
      <c r="Z646" s="161"/>
      <c r="AA646" s="161"/>
      <c r="AB646" s="161"/>
      <c r="AC646" s="160"/>
      <c r="AD646" s="162"/>
      <c r="AE646" s="161"/>
    </row>
    <row r="647" spans="1:31" ht="21.2" customHeight="1">
      <c r="A647" s="8" t="s">
        <v>629</v>
      </c>
      <c r="B647" s="158" t="s">
        <v>868</v>
      </c>
      <c r="C647" s="159">
        <v>34</v>
      </c>
      <c r="D647" s="158" t="s">
        <v>849</v>
      </c>
      <c r="E647" s="58">
        <v>60</v>
      </c>
      <c r="F647" s="160">
        <v>15.516924059044699</v>
      </c>
      <c r="G647" s="161">
        <v>4.2573409270566701E-2</v>
      </c>
      <c r="H647" s="161">
        <v>9.3409728363529301E-2</v>
      </c>
      <c r="I647" s="161">
        <v>0.135983137634096</v>
      </c>
      <c r="J647" s="161">
        <v>1.08199542282268</v>
      </c>
      <c r="K647" s="161">
        <v>2.7855199787686999E-4</v>
      </c>
      <c r="L647" s="161">
        <v>1.9768905397164098E-3</v>
      </c>
      <c r="M647" s="161">
        <v>-2.2082489146665399E-4</v>
      </c>
      <c r="N647" s="161">
        <v>6.8233180795664898E-3</v>
      </c>
      <c r="O647" s="161">
        <v>1.19863072378925</v>
      </c>
      <c r="P647" s="161">
        <v>1.63355352075695</v>
      </c>
      <c r="Q647" s="161">
        <v>-2.0033580670458799E-3</v>
      </c>
      <c r="R647" s="161">
        <v>0.91592072856226503</v>
      </c>
      <c r="S647" s="161">
        <v>6.2573537387119599E-3</v>
      </c>
      <c r="T647" s="161">
        <v>0</v>
      </c>
      <c r="U647" s="161">
        <v>0</v>
      </c>
      <c r="V647" s="161">
        <v>0</v>
      </c>
      <c r="W647" s="161"/>
      <c r="X647" s="58"/>
      <c r="Y647" s="161"/>
      <c r="Z647" s="161"/>
      <c r="AA647" s="161"/>
      <c r="AB647" s="161"/>
      <c r="AC647" s="160"/>
      <c r="AD647" s="162"/>
      <c r="AE647" s="161"/>
    </row>
    <row r="648" spans="1:31" ht="21.2" customHeight="1">
      <c r="A648" s="8" t="s">
        <v>674</v>
      </c>
      <c r="B648" s="158" t="s">
        <v>869</v>
      </c>
      <c r="C648" s="159">
        <v>32</v>
      </c>
      <c r="D648" s="158" t="s">
        <v>849</v>
      </c>
      <c r="E648" s="58">
        <v>63.79</v>
      </c>
      <c r="F648" s="160">
        <v>11.6366267744312</v>
      </c>
      <c r="G648" s="161">
        <v>2.1426583036754401E-2</v>
      </c>
      <c r="H648" s="161">
        <v>0.108707071345384</v>
      </c>
      <c r="I648" s="161">
        <v>0.130133654382139</v>
      </c>
      <c r="J648" s="161">
        <v>0.6056417624496</v>
      </c>
      <c r="K648" s="161">
        <v>1.10469263946848E-4</v>
      </c>
      <c r="L648" s="161">
        <v>7.4338909506641699E-4</v>
      </c>
      <c r="M648" s="161">
        <v>2.33676832123415E-5</v>
      </c>
      <c r="N648" s="161">
        <v>8.3071756479719094E-5</v>
      </c>
      <c r="O648" s="161">
        <v>0.92938882144375101</v>
      </c>
      <c r="P648" s="161">
        <v>1.1092076525074599</v>
      </c>
      <c r="Q648" s="161">
        <v>5.2947469254623902E-2</v>
      </c>
      <c r="R648" s="161">
        <v>0.26513784341027902</v>
      </c>
      <c r="S648" s="161">
        <v>3.4281013916667002E-3</v>
      </c>
      <c r="T648" s="161">
        <v>0</v>
      </c>
      <c r="U648" s="161">
        <v>0</v>
      </c>
      <c r="V648" s="161">
        <v>0</v>
      </c>
      <c r="W648" s="161"/>
      <c r="X648" s="58"/>
      <c r="Y648" s="161"/>
      <c r="Z648" s="161"/>
      <c r="AA648" s="161"/>
      <c r="AB648" s="161"/>
      <c r="AC648" s="160"/>
      <c r="AD648" s="162"/>
      <c r="AE648" s="161"/>
    </row>
    <row r="649" spans="1:31" ht="21.2" customHeight="1">
      <c r="A649" s="8" t="s">
        <v>627</v>
      </c>
      <c r="B649" s="158" t="s">
        <v>874</v>
      </c>
      <c r="C649" s="159">
        <v>33</v>
      </c>
      <c r="D649" s="158" t="s">
        <v>849</v>
      </c>
      <c r="E649" s="58">
        <v>69.556785714285695</v>
      </c>
      <c r="F649" s="160">
        <v>14.8011747938944</v>
      </c>
      <c r="G649" s="161">
        <v>2.9768563191821799E-2</v>
      </c>
      <c r="H649" s="161">
        <v>9.78408544822707E-2</v>
      </c>
      <c r="I649" s="161">
        <v>0.12760941767409301</v>
      </c>
      <c r="J649" s="161">
        <v>0.88626544604927804</v>
      </c>
      <c r="K649" s="161">
        <v>1.0888462084073001E-5</v>
      </c>
      <c r="L649" s="161">
        <v>7.5661367821102196E-5</v>
      </c>
      <c r="M649" s="161">
        <v>-2.9662536243484501E-4</v>
      </c>
      <c r="N649" s="161">
        <v>-9.4970153648585201E-4</v>
      </c>
      <c r="O649" s="161">
        <v>1.1443303067450701</v>
      </c>
      <c r="P649" s="161">
        <v>1.7357387459292599</v>
      </c>
      <c r="Q649" s="161">
        <v>2.3203796723899901E-2</v>
      </c>
      <c r="R649" s="161">
        <v>0.33099872057978802</v>
      </c>
      <c r="S649" s="161">
        <v>4.7784504610084797E-3</v>
      </c>
      <c r="T649" s="161">
        <v>0</v>
      </c>
      <c r="U649" s="161">
        <v>0</v>
      </c>
      <c r="V649" s="161">
        <v>0</v>
      </c>
      <c r="W649" s="161"/>
      <c r="X649" s="58"/>
      <c r="Y649" s="161"/>
      <c r="Z649" s="161"/>
      <c r="AA649" s="161"/>
      <c r="AB649" s="161"/>
      <c r="AC649" s="160"/>
      <c r="AD649" s="162"/>
      <c r="AE649" s="161"/>
    </row>
    <row r="650" spans="1:31" ht="21.2" customHeight="1">
      <c r="A650" s="8" t="s">
        <v>821</v>
      </c>
      <c r="B650" s="158" t="s">
        <v>893</v>
      </c>
      <c r="C650" s="159">
        <v>32</v>
      </c>
      <c r="D650" s="158" t="s">
        <v>846</v>
      </c>
      <c r="E650" s="58">
        <v>66.974642857142896</v>
      </c>
      <c r="F650" s="160">
        <v>9.1511688311688406</v>
      </c>
      <c r="G650" s="161">
        <v>4.3929200682098199E-2</v>
      </c>
      <c r="H650" s="161">
        <v>8.2617066145884099E-2</v>
      </c>
      <c r="I650" s="161">
        <v>0.12654626682798301</v>
      </c>
      <c r="J650" s="161">
        <v>0.818273063697463</v>
      </c>
      <c r="K650" s="161">
        <v>8.1263200507408404E-4</v>
      </c>
      <c r="L650" s="161">
        <v>2.2032853395787398E-3</v>
      </c>
      <c r="M650" s="161">
        <v>2.4108662385827202E-3</v>
      </c>
      <c r="N650" s="161">
        <v>1.85949792741652E-3</v>
      </c>
      <c r="O650" s="161">
        <v>0.44256530269502398</v>
      </c>
      <c r="P650" s="161">
        <v>1.4754292664566</v>
      </c>
      <c r="Q650" s="161">
        <v>-7.1661163253992702E-3</v>
      </c>
      <c r="R650" s="161">
        <v>0.29670940911966598</v>
      </c>
      <c r="S650" s="161">
        <v>5.4540630519012302E-3</v>
      </c>
      <c r="T650" s="161">
        <v>2.2457067827879</v>
      </c>
      <c r="U650" s="161">
        <v>2.1418751395269902</v>
      </c>
      <c r="V650" s="161">
        <v>0.51183244496619396</v>
      </c>
      <c r="W650" s="161"/>
      <c r="X650" s="58"/>
      <c r="Y650" s="161"/>
      <c r="Z650" s="161"/>
      <c r="AA650" s="161"/>
      <c r="AB650" s="161"/>
      <c r="AC650" s="160"/>
      <c r="AD650" s="162"/>
      <c r="AE650" s="161"/>
    </row>
    <row r="651" spans="1:31" ht="21.2" customHeight="1">
      <c r="A651" s="8" t="s">
        <v>608</v>
      </c>
      <c r="B651" s="158" t="s">
        <v>862</v>
      </c>
      <c r="C651" s="159">
        <v>33</v>
      </c>
      <c r="D651" s="158" t="s">
        <v>849</v>
      </c>
      <c r="E651" s="58">
        <v>69.354285714285695</v>
      </c>
      <c r="F651" s="160">
        <v>14.8542998791191</v>
      </c>
      <c r="G651" s="161">
        <v>2.8813693156257401E-2</v>
      </c>
      <c r="H651" s="161">
        <v>9.6338433512044894E-2</v>
      </c>
      <c r="I651" s="161">
        <v>0.125152126668302</v>
      </c>
      <c r="J651" s="161">
        <v>1.1007374174985001</v>
      </c>
      <c r="K651" s="161">
        <v>7.7770189951614899E-5</v>
      </c>
      <c r="L651" s="161">
        <v>5.4186517799782003E-4</v>
      </c>
      <c r="M651" s="161">
        <v>8.4378898587331603E-5</v>
      </c>
      <c r="N651" s="161">
        <v>2.10635297881794E-4</v>
      </c>
      <c r="O651" s="161">
        <v>0.987233605847749</v>
      </c>
      <c r="P651" s="161">
        <v>2.0411716102274</v>
      </c>
      <c r="Q651" s="161">
        <v>-7.9295265966235103E-3</v>
      </c>
      <c r="R651" s="161">
        <v>0.57797240516561599</v>
      </c>
      <c r="S651" s="161">
        <v>4.5093534455463297E-3</v>
      </c>
      <c r="T651" s="161">
        <v>6.2249817503592904E-3</v>
      </c>
      <c r="U651" s="161">
        <v>9.0062572017273503E-3</v>
      </c>
      <c r="V651" s="161">
        <v>0.40869831862932499</v>
      </c>
      <c r="W651" s="161"/>
      <c r="X651" s="58"/>
      <c r="Y651" s="161"/>
      <c r="Z651" s="161"/>
      <c r="AA651" s="161"/>
      <c r="AB651" s="161"/>
      <c r="AC651" s="160"/>
      <c r="AD651" s="162"/>
      <c r="AE651" s="161"/>
    </row>
    <row r="652" spans="1:31" ht="21.2" customHeight="1">
      <c r="A652" s="8" t="s">
        <v>811</v>
      </c>
      <c r="B652" s="158" t="s">
        <v>862</v>
      </c>
      <c r="C652" s="159">
        <v>34</v>
      </c>
      <c r="D652" s="158" t="s">
        <v>846</v>
      </c>
      <c r="E652" s="58">
        <v>72.400000000000006</v>
      </c>
      <c r="F652" s="160">
        <v>11.5499818994991</v>
      </c>
      <c r="G652" s="161">
        <v>5.7012153744180401E-2</v>
      </c>
      <c r="H652" s="161">
        <v>5.94036509954095E-2</v>
      </c>
      <c r="I652" s="161">
        <v>0.11641580473959</v>
      </c>
      <c r="J652" s="161">
        <v>0.99209749333150898</v>
      </c>
      <c r="K652" s="161">
        <v>7.1729746178950105E-4</v>
      </c>
      <c r="L652" s="161">
        <v>2.0315289403375E-3</v>
      </c>
      <c r="M652" s="161">
        <v>9.1695400181601005E-3</v>
      </c>
      <c r="N652" s="161">
        <v>1.3283516563170899E-2</v>
      </c>
      <c r="O652" s="161">
        <v>0.69856084674618701</v>
      </c>
      <c r="P652" s="161">
        <v>1.61657665318237</v>
      </c>
      <c r="Q652" s="161">
        <v>-1.5761261076221798E-2</v>
      </c>
      <c r="R652" s="161">
        <v>0.28435586401844298</v>
      </c>
      <c r="S652" s="161">
        <v>8.9224227706646998E-3</v>
      </c>
      <c r="T652" s="161">
        <v>5.1267279938683199</v>
      </c>
      <c r="U652" s="161">
        <v>3.52147951325728</v>
      </c>
      <c r="V652" s="161">
        <v>0.59280816165016903</v>
      </c>
      <c r="W652" s="161"/>
      <c r="X652" s="58"/>
      <c r="Y652" s="161"/>
      <c r="Z652" s="161"/>
      <c r="AA652" s="161"/>
      <c r="AB652" s="161"/>
      <c r="AC652" s="160"/>
      <c r="AD652" s="162"/>
      <c r="AE652" s="161"/>
    </row>
    <row r="653" spans="1:31" ht="21.2" customHeight="1">
      <c r="A653" s="8" t="s">
        <v>692</v>
      </c>
      <c r="B653" s="158" t="s">
        <v>883</v>
      </c>
      <c r="C653" s="159">
        <v>27</v>
      </c>
      <c r="D653" s="158" t="s">
        <v>849</v>
      </c>
      <c r="E653" s="58">
        <v>56.342500000000001</v>
      </c>
      <c r="F653" s="160">
        <v>12.1771539165153</v>
      </c>
      <c r="G653" s="161">
        <v>1.68555523123174E-2</v>
      </c>
      <c r="H653" s="161">
        <v>9.9242036544788997E-2</v>
      </c>
      <c r="I653" s="161">
        <v>0.116097588857106</v>
      </c>
      <c r="J653" s="161">
        <v>0.707062115115765</v>
      </c>
      <c r="K653" s="161">
        <v>5.5365719088696102E-5</v>
      </c>
      <c r="L653" s="161">
        <v>3.4671950522442599E-4</v>
      </c>
      <c r="M653" s="161">
        <v>5.2780730992922197E-4</v>
      </c>
      <c r="N653" s="161">
        <v>2.2379504059134099E-3</v>
      </c>
      <c r="O653" s="161">
        <v>0.81438644846553399</v>
      </c>
      <c r="P653" s="161">
        <v>1.99230732458838</v>
      </c>
      <c r="Q653" s="161">
        <v>-4.9380541398909099E-4</v>
      </c>
      <c r="R653" s="161">
        <v>0.53054729367833997</v>
      </c>
      <c r="S653" s="161">
        <v>2.4956508699091702E-3</v>
      </c>
      <c r="T653" s="161">
        <v>0</v>
      </c>
      <c r="U653" s="161">
        <v>0</v>
      </c>
      <c r="V653" s="161">
        <v>0</v>
      </c>
      <c r="W653" s="161"/>
      <c r="X653" s="58"/>
      <c r="Y653" s="161"/>
      <c r="Z653" s="161"/>
      <c r="AA653" s="161"/>
      <c r="AB653" s="161"/>
      <c r="AC653" s="160"/>
      <c r="AD653" s="162"/>
      <c r="AE653" s="161"/>
    </row>
    <row r="654" spans="1:31" ht="21.2" customHeight="1">
      <c r="A654" s="8" t="s">
        <v>598</v>
      </c>
      <c r="B654" s="158" t="s">
        <v>878</v>
      </c>
      <c r="C654" s="159">
        <v>29</v>
      </c>
      <c r="D654" s="158" t="s">
        <v>849</v>
      </c>
      <c r="E654" s="58">
        <v>71.027142857142906</v>
      </c>
      <c r="F654" s="160">
        <v>15.4397341795776</v>
      </c>
      <c r="G654" s="161">
        <v>3.0211894957573201E-2</v>
      </c>
      <c r="H654" s="161">
        <v>8.5515267970203798E-2</v>
      </c>
      <c r="I654" s="161">
        <v>0.115727162927777</v>
      </c>
      <c r="J654" s="161">
        <v>0.93665688759325405</v>
      </c>
      <c r="K654" s="161">
        <v>1.6518290083026999E-4</v>
      </c>
      <c r="L654" s="161">
        <v>1.06777789176011E-3</v>
      </c>
      <c r="M654" s="161">
        <v>1.11225286082953E-4</v>
      </c>
      <c r="N654" s="161">
        <v>1.5432456659610701E-3</v>
      </c>
      <c r="O654" s="161">
        <v>1.52729116556454</v>
      </c>
      <c r="P654" s="161">
        <v>2.0055221753001802</v>
      </c>
      <c r="Q654" s="161">
        <v>-6.7260571671697703E-2</v>
      </c>
      <c r="R654" s="161">
        <v>0.81375340448449596</v>
      </c>
      <c r="S654" s="161">
        <v>3.8126383596006602E-3</v>
      </c>
      <c r="T654" s="161">
        <v>0</v>
      </c>
      <c r="U654" s="161">
        <v>0</v>
      </c>
      <c r="V654" s="161">
        <v>0</v>
      </c>
      <c r="W654" s="161"/>
      <c r="X654" s="58"/>
      <c r="Y654" s="161"/>
      <c r="Z654" s="161"/>
      <c r="AA654" s="161"/>
      <c r="AB654" s="161"/>
      <c r="AC654" s="160"/>
      <c r="AD654" s="162"/>
      <c r="AE654" s="161"/>
    </row>
    <row r="655" spans="1:31" ht="21.2" customHeight="1">
      <c r="A655" s="8" t="s">
        <v>614</v>
      </c>
      <c r="B655" s="158" t="s">
        <v>862</v>
      </c>
      <c r="C655" s="159">
        <v>27</v>
      </c>
      <c r="D655" s="158" t="s">
        <v>849</v>
      </c>
      <c r="E655" s="58">
        <v>64.979642857142906</v>
      </c>
      <c r="F655" s="160">
        <v>14.360922533766599</v>
      </c>
      <c r="G655" s="161">
        <v>4.0165064294709903E-2</v>
      </c>
      <c r="H655" s="161">
        <v>7.1107368193044404E-2</v>
      </c>
      <c r="I655" s="161">
        <v>0.11127243248775399</v>
      </c>
      <c r="J655" s="161">
        <v>1.20362277606004</v>
      </c>
      <c r="K655" s="161">
        <v>1.5397040282450199E-4</v>
      </c>
      <c r="L655" s="161">
        <v>9.6076854618545903E-4</v>
      </c>
      <c r="M655" s="161">
        <v>2.5662010234001699E-4</v>
      </c>
      <c r="N655" s="161">
        <v>1.1420571914902201E-3</v>
      </c>
      <c r="O655" s="161">
        <v>1.1649661400698701</v>
      </c>
      <c r="P655" s="161">
        <v>1.3190380883189801</v>
      </c>
      <c r="Q655" s="161">
        <v>-1.0008199364584301E-2</v>
      </c>
      <c r="R655" s="161">
        <v>0.26006758006585501</v>
      </c>
      <c r="S655" s="161">
        <v>6.2858471521068E-3</v>
      </c>
      <c r="T655" s="161">
        <v>0</v>
      </c>
      <c r="U655" s="161">
        <v>0</v>
      </c>
      <c r="V655" s="161">
        <v>0</v>
      </c>
      <c r="W655" s="161"/>
      <c r="X655" s="58"/>
      <c r="Y655" s="161"/>
      <c r="Z655" s="161"/>
      <c r="AA655" s="161"/>
      <c r="AB655" s="161"/>
      <c r="AC655" s="160"/>
      <c r="AD655" s="162"/>
      <c r="AE655" s="161"/>
    </row>
    <row r="656" spans="1:31" ht="21.2" customHeight="1">
      <c r="A656" s="8" t="s">
        <v>631</v>
      </c>
      <c r="B656" s="158" t="s">
        <v>873</v>
      </c>
      <c r="C656" s="159">
        <v>35</v>
      </c>
      <c r="D656" s="158" t="s">
        <v>849</v>
      </c>
      <c r="E656" s="58">
        <v>64.679285714285697</v>
      </c>
      <c r="F656" s="160">
        <v>12.3715106346037</v>
      </c>
      <c r="G656" s="161">
        <v>2.5371611675409599E-2</v>
      </c>
      <c r="H656" s="161">
        <v>7.7601819765585903E-2</v>
      </c>
      <c r="I656" s="161">
        <v>0.10297343144099499</v>
      </c>
      <c r="J656" s="161">
        <v>1.19231284209556</v>
      </c>
      <c r="K656" s="161">
        <v>2.77263447966957E-5</v>
      </c>
      <c r="L656" s="161">
        <v>2.0077859135692801E-4</v>
      </c>
      <c r="M656" s="161">
        <v>-5.2200880695022296E-6</v>
      </c>
      <c r="N656" s="161">
        <v>-1.23589358395685E-4</v>
      </c>
      <c r="O656" s="161">
        <v>1.04287273442798</v>
      </c>
      <c r="P656" s="161">
        <v>1.63357230498627</v>
      </c>
      <c r="Q656" s="161">
        <v>-8.7270043247608797E-3</v>
      </c>
      <c r="R656" s="161">
        <v>0.46692058132471298</v>
      </c>
      <c r="S656" s="161">
        <v>3.5915964421679601E-3</v>
      </c>
      <c r="T656" s="161">
        <v>0</v>
      </c>
      <c r="U656" s="161">
        <v>0</v>
      </c>
      <c r="V656" s="161">
        <v>0</v>
      </c>
      <c r="W656" s="161"/>
      <c r="X656" s="58"/>
      <c r="Y656" s="161"/>
      <c r="Z656" s="161"/>
      <c r="AA656" s="161"/>
      <c r="AB656" s="161"/>
      <c r="AC656" s="160"/>
      <c r="AD656" s="162"/>
      <c r="AE656" s="161"/>
    </row>
    <row r="657" spans="1:31" ht="21.2" customHeight="1">
      <c r="A657" s="8" t="s">
        <v>663</v>
      </c>
      <c r="B657" s="158" t="s">
        <v>876</v>
      </c>
      <c r="C657" s="159">
        <v>34</v>
      </c>
      <c r="D657" s="158" t="s">
        <v>849</v>
      </c>
      <c r="E657" s="58">
        <v>71.527142857142906</v>
      </c>
      <c r="F657" s="160">
        <v>12.795894607701699</v>
      </c>
      <c r="G657" s="161">
        <v>2.0247322718986601E-2</v>
      </c>
      <c r="H657" s="161">
        <v>7.0576592598436599E-2</v>
      </c>
      <c r="I657" s="161">
        <v>9.0823915317423204E-2</v>
      </c>
      <c r="J657" s="161">
        <v>0.68181454666564401</v>
      </c>
      <c r="K657" s="161">
        <v>1.6769772401486999E-4</v>
      </c>
      <c r="L657" s="161">
        <v>1.2137721820905799E-3</v>
      </c>
      <c r="M657" s="161">
        <v>-4.8464736883514298E-4</v>
      </c>
      <c r="N657" s="161">
        <v>-2.0160622373089302E-3</v>
      </c>
      <c r="O657" s="161">
        <v>1.15511647283257</v>
      </c>
      <c r="P657" s="161">
        <v>1.44240190169252</v>
      </c>
      <c r="Q657" s="161">
        <v>-4.4837835429699498E-2</v>
      </c>
      <c r="R657" s="161">
        <v>0.53887683402100395</v>
      </c>
      <c r="S657" s="161">
        <v>2.3299147341576498E-3</v>
      </c>
      <c r="T657" s="161">
        <v>0</v>
      </c>
      <c r="U657" s="161">
        <v>0</v>
      </c>
      <c r="V657" s="161">
        <v>0</v>
      </c>
      <c r="W657" s="161"/>
      <c r="X657" s="58"/>
      <c r="Y657" s="161"/>
      <c r="Z657" s="161"/>
      <c r="AA657" s="161"/>
      <c r="AB657" s="161"/>
      <c r="AC657" s="160"/>
      <c r="AD657" s="162"/>
      <c r="AE657" s="161"/>
    </row>
    <row r="658" spans="1:31" ht="21.2" customHeight="1">
      <c r="A658" s="8" t="s">
        <v>633</v>
      </c>
      <c r="B658" s="158" t="s">
        <v>861</v>
      </c>
      <c r="C658" s="159">
        <v>36</v>
      </c>
      <c r="D658" s="158" t="s">
        <v>849</v>
      </c>
      <c r="E658" s="58">
        <v>74.811071428571395</v>
      </c>
      <c r="F658" s="160">
        <v>15.446275029848101</v>
      </c>
      <c r="G658" s="161">
        <v>1.3571223891629401E-2</v>
      </c>
      <c r="H658" s="161">
        <v>7.3724549646373302E-2</v>
      </c>
      <c r="I658" s="161">
        <v>8.7295773538002705E-2</v>
      </c>
      <c r="J658" s="161">
        <v>0.85112897491849504</v>
      </c>
      <c r="K658" s="161">
        <v>3.0119866560855598E-4</v>
      </c>
      <c r="L658" s="161">
        <v>2.3826926986915201E-3</v>
      </c>
      <c r="M658" s="161">
        <v>-8.9989945435833005E-4</v>
      </c>
      <c r="N658" s="161">
        <v>1.6549072760924401E-2</v>
      </c>
      <c r="O658" s="161">
        <v>1.17899673055495</v>
      </c>
      <c r="P658" s="161">
        <v>1.19860297575898</v>
      </c>
      <c r="Q658" s="161">
        <v>2.0207328735063299E-2</v>
      </c>
      <c r="R658" s="161">
        <v>0.34036258490493498</v>
      </c>
      <c r="S658" s="161">
        <v>2.1471720937560599E-3</v>
      </c>
      <c r="T658" s="161">
        <v>0</v>
      </c>
      <c r="U658" s="161">
        <v>8.1755280697101695E-3</v>
      </c>
      <c r="V658" s="161">
        <v>0</v>
      </c>
      <c r="W658" s="161"/>
      <c r="X658" s="58"/>
      <c r="Y658" s="161"/>
      <c r="Z658" s="161"/>
      <c r="AA658" s="161"/>
      <c r="AB658" s="161"/>
      <c r="AC658" s="160"/>
      <c r="AD658" s="162"/>
      <c r="AE658" s="161"/>
    </row>
    <row r="659" spans="1:31" ht="21.2" customHeight="1">
      <c r="A659" s="23"/>
      <c r="B659" s="164"/>
      <c r="C659" s="163"/>
      <c r="D659" s="165"/>
      <c r="E659" s="58"/>
      <c r="F659" s="160"/>
      <c r="G659" s="161"/>
      <c r="H659" s="161"/>
      <c r="I659" s="161"/>
      <c r="J659" s="161"/>
      <c r="K659" s="161"/>
      <c r="L659" s="161"/>
      <c r="M659" s="161"/>
      <c r="N659" s="161"/>
      <c r="O659" s="161"/>
      <c r="P659" s="161"/>
      <c r="Q659" s="161"/>
      <c r="R659" s="161"/>
      <c r="S659" s="161"/>
      <c r="T659" s="161"/>
      <c r="U659" s="161"/>
      <c r="V659" s="161"/>
      <c r="W659" s="161"/>
      <c r="X659" s="58"/>
      <c r="Y659" s="161"/>
      <c r="Z659" s="161"/>
      <c r="AA659" s="161"/>
      <c r="AB659" s="161"/>
      <c r="AC659" s="160"/>
      <c r="AD659" s="162"/>
      <c r="AE659" s="161"/>
    </row>
    <row r="660" spans="1:31" ht="21.2" customHeight="1">
      <c r="A660" s="23"/>
      <c r="B660" s="164"/>
      <c r="C660" s="163"/>
      <c r="D660" s="165"/>
      <c r="E660" s="58"/>
      <c r="F660" s="160"/>
      <c r="G660" s="161"/>
      <c r="H660" s="161"/>
      <c r="I660" s="161"/>
      <c r="J660" s="161"/>
      <c r="K660" s="161"/>
      <c r="L660" s="161"/>
      <c r="M660" s="161"/>
      <c r="N660" s="161"/>
      <c r="O660" s="161"/>
      <c r="P660" s="161"/>
      <c r="Q660" s="161"/>
      <c r="R660" s="161"/>
      <c r="S660" s="161"/>
      <c r="T660" s="161"/>
      <c r="U660" s="161"/>
      <c r="V660" s="161"/>
      <c r="W660" s="161"/>
      <c r="X660" s="58"/>
      <c r="Y660" s="161"/>
      <c r="Z660" s="161"/>
      <c r="AA660" s="161"/>
      <c r="AB660" s="161"/>
      <c r="AC660" s="160"/>
      <c r="AD660" s="162"/>
      <c r="AE660" s="161"/>
    </row>
    <row r="661" spans="1:31" ht="21.2" customHeight="1">
      <c r="A661" s="23"/>
      <c r="B661" s="164"/>
      <c r="C661" s="164"/>
      <c r="D661" s="165"/>
      <c r="E661" s="58"/>
      <c r="F661" s="160"/>
      <c r="G661" s="161"/>
      <c r="H661" s="161"/>
      <c r="I661" s="161"/>
      <c r="J661" s="161"/>
      <c r="K661" s="161"/>
      <c r="L661" s="161"/>
      <c r="M661" s="161"/>
      <c r="N661" s="161"/>
      <c r="O661" s="161"/>
      <c r="P661" s="161"/>
      <c r="Q661" s="161"/>
      <c r="R661" s="161"/>
      <c r="S661" s="161"/>
      <c r="T661" s="161"/>
      <c r="U661" s="161"/>
      <c r="V661" s="161"/>
      <c r="W661" s="161"/>
      <c r="X661" s="58"/>
      <c r="Y661" s="161"/>
      <c r="Z661" s="161"/>
      <c r="AA661" s="161"/>
      <c r="AB661" s="161"/>
      <c r="AC661" s="160"/>
      <c r="AD661" s="162"/>
      <c r="AE661" s="161"/>
    </row>
    <row r="662" spans="1:31" ht="21.2" customHeight="1">
      <c r="A662" s="8" t="s">
        <v>234</v>
      </c>
      <c r="B662" s="158" t="s">
        <v>887</v>
      </c>
      <c r="C662" s="159">
        <v>30</v>
      </c>
      <c r="D662" s="158" t="s">
        <v>79</v>
      </c>
      <c r="E662" s="58"/>
      <c r="F662" s="160"/>
      <c r="G662" s="161"/>
      <c r="H662" s="161"/>
      <c r="I662" s="161"/>
      <c r="J662" s="161"/>
      <c r="K662" s="161"/>
      <c r="L662" s="161"/>
      <c r="M662" s="161"/>
      <c r="N662" s="161"/>
      <c r="O662" s="161"/>
      <c r="P662" s="161"/>
      <c r="Q662" s="161"/>
      <c r="R662" s="161"/>
      <c r="S662" s="161"/>
      <c r="T662" s="161"/>
      <c r="U662" s="161"/>
      <c r="V662" s="161"/>
      <c r="W662" s="161"/>
      <c r="X662" s="58">
        <v>54</v>
      </c>
      <c r="Y662" s="161">
        <v>0.39002330952319297</v>
      </c>
      <c r="Z662" s="161">
        <v>0.48497669047680703</v>
      </c>
      <c r="AA662" s="161">
        <v>0.125</v>
      </c>
      <c r="AB662" s="161">
        <v>3.11037775036981E-2</v>
      </c>
      <c r="AC662" s="160">
        <v>31.0191057700419</v>
      </c>
      <c r="AD662" s="162">
        <v>0.90814673784506394</v>
      </c>
      <c r="AE662" s="161">
        <v>3.1373851112081401</v>
      </c>
    </row>
    <row r="663" spans="1:31" ht="21.2" customHeight="1">
      <c r="A663" s="8" t="s">
        <v>808</v>
      </c>
      <c r="B663" s="158" t="s">
        <v>887</v>
      </c>
      <c r="C663" s="159">
        <v>23</v>
      </c>
      <c r="D663" s="158" t="s">
        <v>79</v>
      </c>
      <c r="E663" s="58"/>
      <c r="F663" s="160"/>
      <c r="G663" s="161"/>
      <c r="H663" s="161"/>
      <c r="I663" s="161"/>
      <c r="J663" s="161"/>
      <c r="K663" s="161"/>
      <c r="L663" s="161"/>
      <c r="M663" s="161"/>
      <c r="N663" s="161"/>
      <c r="O663" s="161"/>
      <c r="P663" s="161"/>
      <c r="Q663" s="161"/>
      <c r="R663" s="161"/>
      <c r="S663" s="161"/>
      <c r="T663" s="161"/>
      <c r="U663" s="161"/>
      <c r="V663" s="161"/>
      <c r="W663" s="161"/>
      <c r="X663" s="58">
        <v>18</v>
      </c>
      <c r="Y663" s="161">
        <v>0.35700794815967202</v>
      </c>
      <c r="Z663" s="161">
        <v>0.51799205184032804</v>
      </c>
      <c r="AA663" s="161">
        <v>0.125</v>
      </c>
      <c r="AB663" s="161">
        <v>1.7271012799318201E-2</v>
      </c>
      <c r="AC663" s="160">
        <v>30.8380486404034</v>
      </c>
      <c r="AD663" s="162">
        <v>0.90284592605301095</v>
      </c>
      <c r="AE663" s="161">
        <v>3.3184422408466201</v>
      </c>
    </row>
    <row r="664" spans="1:31" ht="21.2" customHeight="1">
      <c r="A664" s="8" t="s">
        <v>408</v>
      </c>
      <c r="B664" s="158" t="s">
        <v>878</v>
      </c>
      <c r="C664" s="159">
        <v>27</v>
      </c>
      <c r="D664" s="158" t="s">
        <v>79</v>
      </c>
      <c r="E664" s="58"/>
      <c r="F664" s="160"/>
      <c r="G664" s="161"/>
      <c r="H664" s="161"/>
      <c r="I664" s="161"/>
      <c r="J664" s="161"/>
      <c r="K664" s="161"/>
      <c r="L664" s="161"/>
      <c r="M664" s="161"/>
      <c r="N664" s="161"/>
      <c r="O664" s="161"/>
      <c r="P664" s="161"/>
      <c r="Q664" s="161"/>
      <c r="R664" s="161"/>
      <c r="S664" s="161"/>
      <c r="T664" s="161"/>
      <c r="U664" s="161"/>
      <c r="V664" s="161"/>
      <c r="W664" s="161"/>
      <c r="X664" s="58">
        <v>42</v>
      </c>
      <c r="Y664" s="161">
        <v>0.43850123157912002</v>
      </c>
      <c r="Z664" s="161">
        <v>0.43649876842087998</v>
      </c>
      <c r="AA664" s="161">
        <v>0.125</v>
      </c>
      <c r="AB664" s="161">
        <v>4.97127280300882E-2</v>
      </c>
      <c r="AC664" s="160">
        <v>28.060299820910799</v>
      </c>
      <c r="AD664" s="162">
        <v>0.90651282666271005</v>
      </c>
      <c r="AE664" s="161">
        <v>2.8938124603391602</v>
      </c>
    </row>
    <row r="665" spans="1:31" ht="21.2" customHeight="1">
      <c r="A665" s="8" t="s">
        <v>559</v>
      </c>
      <c r="B665" s="158" t="s">
        <v>878</v>
      </c>
      <c r="C665" s="159">
        <v>26</v>
      </c>
      <c r="D665" s="158" t="s">
        <v>79</v>
      </c>
      <c r="E665" s="58"/>
      <c r="F665" s="160"/>
      <c r="G665" s="161"/>
      <c r="H665" s="161"/>
      <c r="I665" s="161"/>
      <c r="J665" s="161"/>
      <c r="K665" s="161"/>
      <c r="L665" s="161"/>
      <c r="M665" s="161"/>
      <c r="N665" s="161"/>
      <c r="O665" s="161"/>
      <c r="P665" s="161"/>
      <c r="Q665" s="161"/>
      <c r="R665" s="161"/>
      <c r="S665" s="161"/>
      <c r="T665" s="161"/>
      <c r="U665" s="161"/>
      <c r="V665" s="161"/>
      <c r="W665" s="161"/>
      <c r="X665" s="58">
        <v>35</v>
      </c>
      <c r="Y665" s="161">
        <v>0.43705478359713301</v>
      </c>
      <c r="Z665" s="161">
        <v>0.43794521640286699</v>
      </c>
      <c r="AA665" s="161">
        <v>0.125</v>
      </c>
      <c r="AB665" s="161">
        <v>5.0641961818065198E-2</v>
      </c>
      <c r="AC665" s="160">
        <v>28.0724625668268</v>
      </c>
      <c r="AD665" s="162">
        <v>0.906905754936841</v>
      </c>
      <c r="AE665" s="161">
        <v>2.8816497144232298</v>
      </c>
    </row>
    <row r="666" spans="1:31" ht="21.2" customHeight="1">
      <c r="A666" s="8" t="s">
        <v>265</v>
      </c>
      <c r="B666" s="158" t="s">
        <v>870</v>
      </c>
      <c r="C666" s="159">
        <v>30</v>
      </c>
      <c r="D666" s="158" t="s">
        <v>79</v>
      </c>
      <c r="E666" s="58"/>
      <c r="F666" s="160"/>
      <c r="G666" s="161"/>
      <c r="H666" s="161"/>
      <c r="I666" s="161"/>
      <c r="J666" s="161"/>
      <c r="K666" s="161"/>
      <c r="L666" s="161"/>
      <c r="M666" s="161"/>
      <c r="N666" s="161"/>
      <c r="O666" s="161"/>
      <c r="P666" s="161"/>
      <c r="Q666" s="161"/>
      <c r="R666" s="161"/>
      <c r="S666" s="161"/>
      <c r="T666" s="161"/>
      <c r="U666" s="161"/>
      <c r="V666" s="161"/>
      <c r="W666" s="161"/>
      <c r="X666" s="58">
        <v>44</v>
      </c>
      <c r="Y666" s="161">
        <v>0.58999462737865505</v>
      </c>
      <c r="Z666" s="161">
        <v>0.28500537262134501</v>
      </c>
      <c r="AA666" s="161">
        <v>0.125</v>
      </c>
      <c r="AB666" s="161">
        <v>7.3576875369327999E-2</v>
      </c>
      <c r="AC666" s="160">
        <v>28.6133709703773</v>
      </c>
      <c r="AD666" s="162">
        <v>0.91724734884558701</v>
      </c>
      <c r="AE666" s="161">
        <v>2.5814545108726699</v>
      </c>
    </row>
    <row r="667" spans="1:31" ht="21.2" customHeight="1">
      <c r="A667" s="8" t="s">
        <v>422</v>
      </c>
      <c r="B667" s="158" t="s">
        <v>870</v>
      </c>
      <c r="C667" s="159">
        <v>24</v>
      </c>
      <c r="D667" s="158" t="s">
        <v>79</v>
      </c>
      <c r="E667" s="58"/>
      <c r="F667" s="160"/>
      <c r="G667" s="161"/>
      <c r="H667" s="161"/>
      <c r="I667" s="161"/>
      <c r="J667" s="161"/>
      <c r="K667" s="161"/>
      <c r="L667" s="161"/>
      <c r="M667" s="161"/>
      <c r="N667" s="161"/>
      <c r="O667" s="161"/>
      <c r="P667" s="161"/>
      <c r="Q667" s="161"/>
      <c r="R667" s="161"/>
      <c r="S667" s="161"/>
      <c r="T667" s="161"/>
      <c r="U667" s="161"/>
      <c r="V667" s="161"/>
      <c r="W667" s="161"/>
      <c r="X667" s="58">
        <v>36</v>
      </c>
      <c r="Y667" s="161">
        <v>0.57017339327890704</v>
      </c>
      <c r="Z667" s="161">
        <v>0.30482660672109302</v>
      </c>
      <c r="AA667" s="161">
        <v>0.125</v>
      </c>
      <c r="AB667" s="161">
        <v>6.0554476250037799E-2</v>
      </c>
      <c r="AC667" s="160">
        <v>28.4429207201248</v>
      </c>
      <c r="AD667" s="162">
        <v>0.91178329358568699</v>
      </c>
      <c r="AE667" s="161">
        <v>2.7519047611251599</v>
      </c>
    </row>
    <row r="668" spans="1:31" ht="21.2" customHeight="1">
      <c r="A668" s="8" t="s">
        <v>305</v>
      </c>
      <c r="B668" s="158" t="s">
        <v>872</v>
      </c>
      <c r="C668" s="159">
        <v>21</v>
      </c>
      <c r="D668" s="158" t="s">
        <v>79</v>
      </c>
      <c r="E668" s="58"/>
      <c r="F668" s="160"/>
      <c r="G668" s="161"/>
      <c r="H668" s="161"/>
      <c r="I668" s="161"/>
      <c r="J668" s="161"/>
      <c r="K668" s="161"/>
      <c r="L668" s="161"/>
      <c r="M668" s="161"/>
      <c r="N668" s="161"/>
      <c r="O668" s="161"/>
      <c r="P668" s="161"/>
      <c r="Q668" s="161"/>
      <c r="R668" s="161"/>
      <c r="S668" s="161"/>
      <c r="T668" s="161"/>
      <c r="U668" s="161"/>
      <c r="V668" s="161"/>
      <c r="W668" s="161"/>
      <c r="X668" s="58">
        <v>48</v>
      </c>
      <c r="Y668" s="161">
        <v>0.48283446081782899</v>
      </c>
      <c r="Z668" s="161">
        <v>0.39216553918217101</v>
      </c>
      <c r="AA668" s="161">
        <v>0.125</v>
      </c>
      <c r="AB668" s="161">
        <v>4.6364325232120002E-2</v>
      </c>
      <c r="AC668" s="160">
        <v>28.3321464591573</v>
      </c>
      <c r="AD668" s="162">
        <v>0.90605501089565699</v>
      </c>
      <c r="AE668" s="161">
        <v>2.93763972209267</v>
      </c>
    </row>
    <row r="669" spans="1:31" ht="21.2" customHeight="1">
      <c r="A669" s="8" t="s">
        <v>780</v>
      </c>
      <c r="B669" s="158" t="s">
        <v>872</v>
      </c>
      <c r="C669" s="159">
        <v>28</v>
      </c>
      <c r="D669" s="158" t="s">
        <v>79</v>
      </c>
      <c r="E669" s="58"/>
      <c r="F669" s="160"/>
      <c r="G669" s="161"/>
      <c r="H669" s="161"/>
      <c r="I669" s="161"/>
      <c r="J669" s="161"/>
      <c r="K669" s="161"/>
      <c r="L669" s="161"/>
      <c r="M669" s="161"/>
      <c r="N669" s="161"/>
      <c r="O669" s="161"/>
      <c r="P669" s="161"/>
      <c r="Q669" s="161"/>
      <c r="R669" s="161"/>
      <c r="S669" s="161"/>
      <c r="T669" s="161"/>
      <c r="U669" s="161"/>
      <c r="V669" s="161"/>
      <c r="W669" s="161"/>
      <c r="X669" s="58">
        <v>22</v>
      </c>
      <c r="Y669" s="161">
        <v>0.46192654475095801</v>
      </c>
      <c r="Z669" s="161">
        <v>0.41307345524904199</v>
      </c>
      <c r="AA669" s="161">
        <v>0.125</v>
      </c>
      <c r="AB669" s="161">
        <v>3.5749990752617498E-2</v>
      </c>
      <c r="AC669" s="160">
        <v>28.1932153795827</v>
      </c>
      <c r="AD669" s="162">
        <v>0.90161202945762098</v>
      </c>
      <c r="AE669" s="161">
        <v>3.0765708016673101</v>
      </c>
    </row>
    <row r="670" spans="1:31" ht="21.2" customHeight="1">
      <c r="A670" s="8" t="s">
        <v>827</v>
      </c>
      <c r="B670" s="158" t="s">
        <v>872</v>
      </c>
      <c r="C670" s="159">
        <v>24</v>
      </c>
      <c r="D670" s="158" t="s">
        <v>79</v>
      </c>
      <c r="E670" s="58"/>
      <c r="F670" s="160"/>
      <c r="G670" s="161"/>
      <c r="H670" s="161"/>
      <c r="I670" s="161"/>
      <c r="J670" s="161"/>
      <c r="K670" s="161"/>
      <c r="L670" s="161"/>
      <c r="M670" s="161"/>
      <c r="N670" s="161"/>
      <c r="O670" s="161"/>
      <c r="P670" s="161"/>
      <c r="Q670" s="161"/>
      <c r="R670" s="161"/>
      <c r="S670" s="161"/>
      <c r="T670" s="161"/>
      <c r="U670" s="161"/>
      <c r="V670" s="161"/>
      <c r="W670" s="161"/>
      <c r="X670" s="58">
        <v>12</v>
      </c>
      <c r="Y670" s="161">
        <v>0.44623231895476201</v>
      </c>
      <c r="Z670" s="161">
        <v>0.42876768104523799</v>
      </c>
      <c r="AA670" s="161">
        <v>0.125</v>
      </c>
      <c r="AB670" s="161">
        <v>3.2482984745181798E-2</v>
      </c>
      <c r="AC670" s="160">
        <v>28.1504535208466</v>
      </c>
      <c r="AD670" s="162">
        <v>0.90024451582998699</v>
      </c>
      <c r="AE670" s="161">
        <v>3.11933266040338</v>
      </c>
    </row>
    <row r="671" spans="1:31" ht="21.2" customHeight="1">
      <c r="A671" s="8" t="s">
        <v>373</v>
      </c>
      <c r="B671" s="158" t="s">
        <v>884</v>
      </c>
      <c r="C671" s="159">
        <v>33</v>
      </c>
      <c r="D671" s="158" t="s">
        <v>79</v>
      </c>
      <c r="E671" s="58"/>
      <c r="F671" s="160"/>
      <c r="G671" s="161"/>
      <c r="H671" s="161"/>
      <c r="I671" s="161"/>
      <c r="J671" s="161"/>
      <c r="K671" s="161"/>
      <c r="L671" s="161"/>
      <c r="M671" s="161"/>
      <c r="N671" s="161"/>
      <c r="O671" s="161"/>
      <c r="P671" s="161"/>
      <c r="Q671" s="161"/>
      <c r="R671" s="161"/>
      <c r="S671" s="161"/>
      <c r="T671" s="161"/>
      <c r="U671" s="161"/>
      <c r="V671" s="161"/>
      <c r="W671" s="161"/>
      <c r="X671" s="58">
        <v>41</v>
      </c>
      <c r="Y671" s="161">
        <v>0.63398538747980604</v>
      </c>
      <c r="Z671" s="161">
        <v>0.24101461252019399</v>
      </c>
      <c r="AA671" s="161">
        <v>0.125</v>
      </c>
      <c r="AB671" s="161">
        <v>6.2928208663418597E-2</v>
      </c>
      <c r="AC671" s="160">
        <v>27.031047316111501</v>
      </c>
      <c r="AD671" s="162">
        <v>0.90854914860787805</v>
      </c>
      <c r="AE671" s="161">
        <v>2.7208349651385002</v>
      </c>
    </row>
    <row r="672" spans="1:31" ht="21.2" customHeight="1">
      <c r="A672" s="8" t="s">
        <v>785</v>
      </c>
      <c r="B672" s="158" t="s">
        <v>884</v>
      </c>
      <c r="C672" s="159">
        <v>34</v>
      </c>
      <c r="D672" s="158" t="s">
        <v>79</v>
      </c>
      <c r="E672" s="58"/>
      <c r="F672" s="160"/>
      <c r="G672" s="161"/>
      <c r="H672" s="161"/>
      <c r="I672" s="161"/>
      <c r="J672" s="161"/>
      <c r="K672" s="161"/>
      <c r="L672" s="161"/>
      <c r="M672" s="161"/>
      <c r="N672" s="161"/>
      <c r="O672" s="161"/>
      <c r="P672" s="161"/>
      <c r="Q672" s="161"/>
      <c r="R672" s="161"/>
      <c r="S672" s="161"/>
      <c r="T672" s="161"/>
      <c r="U672" s="161"/>
      <c r="V672" s="161"/>
      <c r="W672" s="161"/>
      <c r="X672" s="58">
        <v>21</v>
      </c>
      <c r="Y672" s="161">
        <v>0.60790777895914205</v>
      </c>
      <c r="Z672" s="161">
        <v>0.267092221040858</v>
      </c>
      <c r="AA672" s="161">
        <v>0.125</v>
      </c>
      <c r="AB672" s="161">
        <v>4.7794655684115499E-2</v>
      </c>
      <c r="AC672" s="160">
        <v>26.8329641619321</v>
      </c>
      <c r="AD672" s="162">
        <v>0.901891312565545</v>
      </c>
      <c r="AE672" s="161">
        <v>2.9189181193178602</v>
      </c>
    </row>
    <row r="673" spans="1:31" ht="21.2" customHeight="1">
      <c r="A673" s="8" t="s">
        <v>776</v>
      </c>
      <c r="B673" s="158" t="s">
        <v>884</v>
      </c>
      <c r="C673" s="159">
        <v>24</v>
      </c>
      <c r="D673" s="158" t="s">
        <v>79</v>
      </c>
      <c r="E673" s="58"/>
      <c r="F673" s="160"/>
      <c r="G673" s="161"/>
      <c r="H673" s="161"/>
      <c r="I673" s="161"/>
      <c r="J673" s="161"/>
      <c r="K673" s="161"/>
      <c r="L673" s="161"/>
      <c r="M673" s="161"/>
      <c r="N673" s="161"/>
      <c r="O673" s="161"/>
      <c r="P673" s="161"/>
      <c r="Q673" s="161"/>
      <c r="R673" s="161"/>
      <c r="S673" s="161"/>
      <c r="T673" s="161"/>
      <c r="U673" s="161"/>
      <c r="V673" s="161"/>
      <c r="W673" s="161"/>
      <c r="X673" s="58">
        <v>20</v>
      </c>
      <c r="Y673" s="161">
        <v>0.59807714681725799</v>
      </c>
      <c r="Z673" s="161">
        <v>0.27692285318274201</v>
      </c>
      <c r="AA673" s="161">
        <v>0.125</v>
      </c>
      <c r="AB673" s="161">
        <v>5.1226517789342403E-2</v>
      </c>
      <c r="AC673" s="160">
        <v>26.877883822995301</v>
      </c>
      <c r="AD673" s="162">
        <v>0.90340112161354202</v>
      </c>
      <c r="AE673" s="161">
        <v>2.8739984582546798</v>
      </c>
    </row>
    <row r="674" spans="1:31" ht="21.2" customHeight="1">
      <c r="A674" s="8" t="s">
        <v>287</v>
      </c>
      <c r="B674" s="158" t="s">
        <v>875</v>
      </c>
      <c r="C674" s="159">
        <v>29</v>
      </c>
      <c r="D674" s="158" t="s">
        <v>79</v>
      </c>
      <c r="E674" s="58"/>
      <c r="F674" s="160"/>
      <c r="G674" s="161"/>
      <c r="H674" s="161"/>
      <c r="I674" s="161"/>
      <c r="J674" s="161"/>
      <c r="K674" s="161"/>
      <c r="L674" s="161"/>
      <c r="M674" s="161"/>
      <c r="N674" s="161"/>
      <c r="O674" s="161"/>
      <c r="P674" s="161"/>
      <c r="Q674" s="161"/>
      <c r="R674" s="161"/>
      <c r="S674" s="161"/>
      <c r="T674" s="161"/>
      <c r="U674" s="161"/>
      <c r="V674" s="161"/>
      <c r="W674" s="161"/>
      <c r="X674" s="58">
        <v>48</v>
      </c>
      <c r="Y674" s="161">
        <v>0.39432384974319501</v>
      </c>
      <c r="Z674" s="161">
        <v>0.48067615025680499</v>
      </c>
      <c r="AA674" s="161">
        <v>0.125</v>
      </c>
      <c r="AB674" s="161">
        <v>3.0443433834913401E-2</v>
      </c>
      <c r="AC674" s="160">
        <v>30.1661299283038</v>
      </c>
      <c r="AD674" s="162">
        <v>0.90555915571772105</v>
      </c>
      <c r="AE674" s="161">
        <v>3.1460283529461601</v>
      </c>
    </row>
    <row r="675" spans="1:31" ht="21.2" customHeight="1">
      <c r="A675" s="8" t="s">
        <v>737</v>
      </c>
      <c r="B675" s="158" t="s">
        <v>875</v>
      </c>
      <c r="C675" s="159">
        <v>24</v>
      </c>
      <c r="D675" s="158" t="s">
        <v>79</v>
      </c>
      <c r="E675" s="58"/>
      <c r="F675" s="160"/>
      <c r="G675" s="161"/>
      <c r="H675" s="161"/>
      <c r="I675" s="161"/>
      <c r="J675" s="161"/>
      <c r="K675" s="161"/>
      <c r="L675" s="161"/>
      <c r="M675" s="161"/>
      <c r="N675" s="161"/>
      <c r="O675" s="161"/>
      <c r="P675" s="161"/>
      <c r="Q675" s="161"/>
      <c r="R675" s="161"/>
      <c r="S675" s="161"/>
      <c r="T675" s="161"/>
      <c r="U675" s="161"/>
      <c r="V675" s="161"/>
      <c r="W675" s="161"/>
      <c r="X675" s="58">
        <v>25</v>
      </c>
      <c r="Y675" s="161">
        <v>0.38268255592538297</v>
      </c>
      <c r="Z675" s="161">
        <v>0.49231744407461703</v>
      </c>
      <c r="AA675" s="161">
        <v>0.125</v>
      </c>
      <c r="AB675" s="161">
        <v>2.4019434146088901E-2</v>
      </c>
      <c r="AC675" s="160">
        <v>30.0820461627433</v>
      </c>
      <c r="AD675" s="162">
        <v>0.90303503930200801</v>
      </c>
      <c r="AE675" s="161">
        <v>3.2301121185066899</v>
      </c>
    </row>
    <row r="676" spans="1:31" ht="21.2" customHeight="1">
      <c r="A676" s="8" t="s">
        <v>233</v>
      </c>
      <c r="B676" s="158" t="s">
        <v>885</v>
      </c>
      <c r="C676" s="159">
        <v>33</v>
      </c>
      <c r="D676" s="158" t="s">
        <v>79</v>
      </c>
      <c r="E676" s="58"/>
      <c r="F676" s="160"/>
      <c r="G676" s="161"/>
      <c r="H676" s="161"/>
      <c r="I676" s="161"/>
      <c r="J676" s="161"/>
      <c r="K676" s="161"/>
      <c r="L676" s="161"/>
      <c r="M676" s="161"/>
      <c r="N676" s="161"/>
      <c r="O676" s="161"/>
      <c r="P676" s="161"/>
      <c r="Q676" s="161"/>
      <c r="R676" s="161"/>
      <c r="S676" s="161"/>
      <c r="T676" s="161"/>
      <c r="U676" s="161"/>
      <c r="V676" s="161"/>
      <c r="W676" s="161"/>
      <c r="X676" s="58">
        <v>56</v>
      </c>
      <c r="Y676" s="161">
        <v>0.55158195942766297</v>
      </c>
      <c r="Z676" s="161">
        <v>0.32341804057233697</v>
      </c>
      <c r="AA676" s="161">
        <v>0.125</v>
      </c>
      <c r="AB676" s="161">
        <v>6.2668748304583799E-2</v>
      </c>
      <c r="AC676" s="160">
        <v>26.974792238116301</v>
      </c>
      <c r="AD676" s="162">
        <v>0.90827203247274402</v>
      </c>
      <c r="AE676" s="161">
        <v>2.7242310431337202</v>
      </c>
    </row>
    <row r="677" spans="1:31" ht="21.2" customHeight="1">
      <c r="A677" s="8" t="s">
        <v>816</v>
      </c>
      <c r="B677" s="158" t="s">
        <v>885</v>
      </c>
      <c r="C677" s="159">
        <v>26</v>
      </c>
      <c r="D677" s="158" t="s">
        <v>79</v>
      </c>
      <c r="E677" s="58"/>
      <c r="F677" s="160"/>
      <c r="G677" s="161"/>
      <c r="H677" s="161"/>
      <c r="I677" s="161"/>
      <c r="J677" s="161"/>
      <c r="K677" s="161"/>
      <c r="L677" s="161"/>
      <c r="M677" s="161"/>
      <c r="N677" s="161"/>
      <c r="O677" s="161"/>
      <c r="P677" s="161"/>
      <c r="Q677" s="161"/>
      <c r="R677" s="161"/>
      <c r="S677" s="161"/>
      <c r="T677" s="161"/>
      <c r="U677" s="161"/>
      <c r="V677" s="161"/>
      <c r="W677" s="161"/>
      <c r="X677" s="58">
        <v>18</v>
      </c>
      <c r="Y677" s="161">
        <v>0.50222120166329998</v>
      </c>
      <c r="Z677" s="161">
        <v>0.37277879833670002</v>
      </c>
      <c r="AA677" s="161">
        <v>0.125</v>
      </c>
      <c r="AB677" s="161">
        <v>4.7282591892292801E-2</v>
      </c>
      <c r="AC677" s="160">
        <v>26.773402756279999</v>
      </c>
      <c r="AD677" s="162">
        <v>0.90149101883707305</v>
      </c>
      <c r="AE677" s="161">
        <v>2.92562052496999</v>
      </c>
    </row>
    <row r="678" spans="1:31" ht="21.2" customHeight="1">
      <c r="A678" s="8" t="s">
        <v>830</v>
      </c>
      <c r="B678" s="158" t="s">
        <v>885</v>
      </c>
      <c r="C678" s="159">
        <v>22</v>
      </c>
      <c r="D678" s="158" t="s">
        <v>79</v>
      </c>
      <c r="E678" s="58"/>
      <c r="F678" s="160"/>
      <c r="G678" s="161"/>
      <c r="H678" s="161"/>
      <c r="I678" s="161"/>
      <c r="J678" s="161"/>
      <c r="K678" s="161"/>
      <c r="L678" s="161"/>
      <c r="M678" s="161"/>
      <c r="N678" s="161"/>
      <c r="O678" s="161"/>
      <c r="P678" s="161"/>
      <c r="Q678" s="161"/>
      <c r="R678" s="161"/>
      <c r="S678" s="161"/>
      <c r="T678" s="161"/>
      <c r="U678" s="161"/>
      <c r="V678" s="161"/>
      <c r="W678" s="161"/>
      <c r="X678" s="58">
        <v>8</v>
      </c>
      <c r="Y678" s="161">
        <v>0.52833799653384395</v>
      </c>
      <c r="Z678" s="161">
        <v>0.346662003466156</v>
      </c>
      <c r="AA678" s="161">
        <v>0.125</v>
      </c>
      <c r="AB678" s="161">
        <v>5.4967594679196499E-2</v>
      </c>
      <c r="AC678" s="160">
        <v>26.873991797993401</v>
      </c>
      <c r="AD678" s="162">
        <v>0.90487796664208398</v>
      </c>
      <c r="AE678" s="161">
        <v>2.8250314832565899</v>
      </c>
    </row>
    <row r="679" spans="1:31" ht="21.2" customHeight="1">
      <c r="A679" s="8" t="s">
        <v>597</v>
      </c>
      <c r="B679" s="158" t="s">
        <v>881</v>
      </c>
      <c r="C679" s="159">
        <v>31</v>
      </c>
      <c r="D679" s="158" t="s">
        <v>79</v>
      </c>
      <c r="E679" s="58"/>
      <c r="F679" s="160"/>
      <c r="G679" s="161"/>
      <c r="H679" s="161"/>
      <c r="I679" s="161"/>
      <c r="J679" s="161"/>
      <c r="K679" s="161"/>
      <c r="L679" s="161"/>
      <c r="M679" s="161"/>
      <c r="N679" s="161"/>
      <c r="O679" s="161"/>
      <c r="P679" s="161"/>
      <c r="Q679" s="161"/>
      <c r="R679" s="161"/>
      <c r="S679" s="161"/>
      <c r="T679" s="161"/>
      <c r="U679" s="161"/>
      <c r="V679" s="161"/>
      <c r="W679" s="161"/>
      <c r="X679" s="58">
        <v>38</v>
      </c>
      <c r="Y679" s="161">
        <v>0.365427949292772</v>
      </c>
      <c r="Z679" s="161">
        <v>0.509572050707228</v>
      </c>
      <c r="AA679" s="161">
        <v>0.125</v>
      </c>
      <c r="AB679" s="161">
        <v>3.8227819689807797E-2</v>
      </c>
      <c r="AC679" s="160">
        <v>28.240860895514501</v>
      </c>
      <c r="AD679" s="162">
        <v>0.90269654639788999</v>
      </c>
      <c r="AE679" s="161">
        <v>3.0441384857355001</v>
      </c>
    </row>
    <row r="680" spans="1:31" ht="21.2" customHeight="1">
      <c r="A680" s="8" t="s">
        <v>573</v>
      </c>
      <c r="B680" s="158" t="s">
        <v>881</v>
      </c>
      <c r="C680" s="159">
        <v>24</v>
      </c>
      <c r="D680" s="158" t="s">
        <v>79</v>
      </c>
      <c r="E680" s="58"/>
      <c r="F680" s="160"/>
      <c r="G680" s="161"/>
      <c r="H680" s="161"/>
      <c r="I680" s="161"/>
      <c r="J680" s="161"/>
      <c r="K680" s="161"/>
      <c r="L680" s="161"/>
      <c r="M680" s="161"/>
      <c r="N680" s="161"/>
      <c r="O680" s="161"/>
      <c r="P680" s="161"/>
      <c r="Q680" s="161"/>
      <c r="R680" s="161"/>
      <c r="S680" s="161"/>
      <c r="T680" s="161"/>
      <c r="U680" s="161"/>
      <c r="V680" s="161"/>
      <c r="W680" s="161"/>
      <c r="X680" s="58">
        <v>37</v>
      </c>
      <c r="Y680" s="161">
        <v>0.35864382052876598</v>
      </c>
      <c r="Z680" s="161">
        <v>0.51635617947123402</v>
      </c>
      <c r="AA680" s="161">
        <v>0.125</v>
      </c>
      <c r="AB680" s="161">
        <v>4.0871120546951099E-2</v>
      </c>
      <c r="AC680" s="160">
        <v>28.275459074272899</v>
      </c>
      <c r="AD680" s="162">
        <v>0.90380244952855004</v>
      </c>
      <c r="AE680" s="161">
        <v>3.0095403069770801</v>
      </c>
    </row>
    <row r="681" spans="1:31" ht="21.2" customHeight="1">
      <c r="A681" s="8" t="s">
        <v>181</v>
      </c>
      <c r="B681" s="158" t="s">
        <v>861</v>
      </c>
      <c r="C681" s="159">
        <v>27</v>
      </c>
      <c r="D681" s="158" t="s">
        <v>79</v>
      </c>
      <c r="E681" s="58"/>
      <c r="F681" s="160"/>
      <c r="G681" s="161"/>
      <c r="H681" s="161"/>
      <c r="I681" s="161"/>
      <c r="J681" s="161"/>
      <c r="K681" s="161"/>
      <c r="L681" s="161"/>
      <c r="M681" s="161"/>
      <c r="N681" s="161"/>
      <c r="O681" s="161"/>
      <c r="P681" s="161"/>
      <c r="Q681" s="161"/>
      <c r="R681" s="161"/>
      <c r="S681" s="161"/>
      <c r="T681" s="161"/>
      <c r="U681" s="161"/>
      <c r="V681" s="161"/>
      <c r="W681" s="161"/>
      <c r="X681" s="58">
        <v>56</v>
      </c>
      <c r="Y681" s="161">
        <v>0.58936893615368002</v>
      </c>
      <c r="Z681" s="161">
        <v>0.28563106384631998</v>
      </c>
      <c r="AA681" s="161">
        <v>0.125</v>
      </c>
      <c r="AB681" s="161">
        <v>7.0965839714492204E-2</v>
      </c>
      <c r="AC681" s="160">
        <v>27.7865828110208</v>
      </c>
      <c r="AD681" s="162">
        <v>0.91396579075886797</v>
      </c>
      <c r="AE681" s="161">
        <v>2.6156303702291601</v>
      </c>
    </row>
    <row r="682" spans="1:31" ht="21.2" customHeight="1">
      <c r="A682" s="8" t="s">
        <v>747</v>
      </c>
      <c r="B682" s="158" t="s">
        <v>861</v>
      </c>
      <c r="C682" s="159">
        <v>33</v>
      </c>
      <c r="D682" s="158" t="s">
        <v>79</v>
      </c>
      <c r="E682" s="58"/>
      <c r="F682" s="160"/>
      <c r="G682" s="161"/>
      <c r="H682" s="161"/>
      <c r="I682" s="161"/>
      <c r="J682" s="161"/>
      <c r="K682" s="161"/>
      <c r="L682" s="161"/>
      <c r="M682" s="161"/>
      <c r="N682" s="161"/>
      <c r="O682" s="161"/>
      <c r="P682" s="161"/>
      <c r="Q682" s="161"/>
      <c r="R682" s="161"/>
      <c r="S682" s="161"/>
      <c r="T682" s="161"/>
      <c r="U682" s="161"/>
      <c r="V682" s="161"/>
      <c r="W682" s="161"/>
      <c r="X682" s="58">
        <v>24</v>
      </c>
      <c r="Y682" s="161">
        <v>0.55196704842230404</v>
      </c>
      <c r="Z682" s="161">
        <v>0.32303295157769601</v>
      </c>
      <c r="AA682" s="161">
        <v>0.125</v>
      </c>
      <c r="AB682" s="161">
        <v>4.5535770131519097E-2</v>
      </c>
      <c r="AC682" s="160">
        <v>27.453728497107601</v>
      </c>
      <c r="AD682" s="162">
        <v>0.90301743275845303</v>
      </c>
      <c r="AE682" s="161">
        <v>2.9484846841424202</v>
      </c>
    </row>
    <row r="683" spans="1:31" ht="21.2" customHeight="1">
      <c r="A683" s="8" t="s">
        <v>134</v>
      </c>
      <c r="B683" s="158" t="s">
        <v>869</v>
      </c>
      <c r="C683" s="159">
        <v>24</v>
      </c>
      <c r="D683" s="158" t="s">
        <v>79</v>
      </c>
      <c r="E683" s="58"/>
      <c r="F683" s="160"/>
      <c r="G683" s="161"/>
      <c r="H683" s="161"/>
      <c r="I683" s="161"/>
      <c r="J683" s="161"/>
      <c r="K683" s="161"/>
      <c r="L683" s="161"/>
      <c r="M683" s="161"/>
      <c r="N683" s="161"/>
      <c r="O683" s="161"/>
      <c r="P683" s="161"/>
      <c r="Q683" s="161"/>
      <c r="R683" s="161"/>
      <c r="S683" s="161"/>
      <c r="T683" s="161"/>
      <c r="U683" s="161"/>
      <c r="V683" s="161"/>
      <c r="W683" s="161"/>
      <c r="X683" s="58">
        <v>62</v>
      </c>
      <c r="Y683" s="161">
        <v>0.59899915182249297</v>
      </c>
      <c r="Z683" s="161">
        <v>0.27600084817750697</v>
      </c>
      <c r="AA683" s="161">
        <v>0.125</v>
      </c>
      <c r="AB683" s="161">
        <v>8.4744271064602597E-2</v>
      </c>
      <c r="AC683" s="160">
        <v>26.989043371100799</v>
      </c>
      <c r="AD683" s="162">
        <v>0.91723568238316699</v>
      </c>
      <c r="AE683" s="161">
        <v>2.4352844101491802</v>
      </c>
    </row>
    <row r="684" spans="1:31" ht="21.2" customHeight="1">
      <c r="A684" s="8" t="s">
        <v>807</v>
      </c>
      <c r="B684" s="158" t="s">
        <v>869</v>
      </c>
      <c r="C684" s="159">
        <v>31</v>
      </c>
      <c r="D684" s="158" t="s">
        <v>79</v>
      </c>
      <c r="E684" s="58"/>
      <c r="F684" s="160"/>
      <c r="G684" s="161"/>
      <c r="H684" s="161"/>
      <c r="I684" s="161"/>
      <c r="J684" s="161"/>
      <c r="K684" s="161"/>
      <c r="L684" s="161"/>
      <c r="M684" s="161"/>
      <c r="N684" s="161"/>
      <c r="O684" s="161"/>
      <c r="P684" s="161"/>
      <c r="Q684" s="161"/>
      <c r="R684" s="161"/>
      <c r="S684" s="161"/>
      <c r="T684" s="161"/>
      <c r="U684" s="161"/>
      <c r="V684" s="161"/>
      <c r="W684" s="161"/>
      <c r="X684" s="58">
        <v>18</v>
      </c>
      <c r="Y684" s="161">
        <v>0.557279702026654</v>
      </c>
      <c r="Z684" s="161">
        <v>0.317720297973346</v>
      </c>
      <c r="AA684" s="161">
        <v>0.125</v>
      </c>
      <c r="AB684" s="161">
        <v>5.4820309158568399E-2</v>
      </c>
      <c r="AC684" s="160">
        <v>26.597368477042799</v>
      </c>
      <c r="AD684" s="162">
        <v>0.903924421817764</v>
      </c>
      <c r="AE684" s="161">
        <v>2.8269593042072199</v>
      </c>
    </row>
    <row r="685" spans="1:31" ht="21.2" customHeight="1">
      <c r="A685" s="8" t="s">
        <v>371</v>
      </c>
      <c r="B685" s="158" t="s">
        <v>889</v>
      </c>
      <c r="C685" s="159">
        <v>28</v>
      </c>
      <c r="D685" s="158" t="s">
        <v>79</v>
      </c>
      <c r="E685" s="58"/>
      <c r="F685" s="160"/>
      <c r="G685" s="161"/>
      <c r="H685" s="161"/>
      <c r="I685" s="161"/>
      <c r="J685" s="161"/>
      <c r="K685" s="161"/>
      <c r="L685" s="161"/>
      <c r="M685" s="161"/>
      <c r="N685" s="161"/>
      <c r="O685" s="161"/>
      <c r="P685" s="161"/>
      <c r="Q685" s="161"/>
      <c r="R685" s="161"/>
      <c r="S685" s="161"/>
      <c r="T685" s="161"/>
      <c r="U685" s="161"/>
      <c r="V685" s="161"/>
      <c r="W685" s="161"/>
      <c r="X685" s="58">
        <v>44</v>
      </c>
      <c r="Y685" s="161">
        <v>0.46195607497546698</v>
      </c>
      <c r="Z685" s="161">
        <v>0.41304392502453302</v>
      </c>
      <c r="AA685" s="161">
        <v>0.125</v>
      </c>
      <c r="AB685" s="161">
        <v>5.8564252002145101E-2</v>
      </c>
      <c r="AC685" s="160">
        <v>27.438317264524201</v>
      </c>
      <c r="AD685" s="162">
        <v>0.90806427711346804</v>
      </c>
      <c r="AE685" s="161">
        <v>2.7779548167258499</v>
      </c>
    </row>
    <row r="686" spans="1:31" ht="21.2" customHeight="1">
      <c r="A686" s="8" t="s">
        <v>810</v>
      </c>
      <c r="B686" s="158" t="s">
        <v>889</v>
      </c>
      <c r="C686" s="159">
        <v>35</v>
      </c>
      <c r="D686" s="158" t="s">
        <v>79</v>
      </c>
      <c r="E686" s="58"/>
      <c r="F686" s="160"/>
      <c r="G686" s="161"/>
      <c r="H686" s="161"/>
      <c r="I686" s="161"/>
      <c r="J686" s="161"/>
      <c r="K686" s="161"/>
      <c r="L686" s="161"/>
      <c r="M686" s="161"/>
      <c r="N686" s="161"/>
      <c r="O686" s="161"/>
      <c r="P686" s="161"/>
      <c r="Q686" s="161"/>
      <c r="R686" s="161"/>
      <c r="S686" s="161"/>
      <c r="T686" s="161"/>
      <c r="U686" s="161"/>
      <c r="V686" s="161"/>
      <c r="W686" s="161"/>
      <c r="X686" s="58">
        <v>20</v>
      </c>
      <c r="Y686" s="161">
        <v>0.44945856556985703</v>
      </c>
      <c r="Z686" s="161">
        <v>0.42554143443014297</v>
      </c>
      <c r="AA686" s="161">
        <v>0.125</v>
      </c>
      <c r="AB686" s="161">
        <v>3.8688691128378402E-2</v>
      </c>
      <c r="AC686" s="160">
        <v>27.178165944186901</v>
      </c>
      <c r="AD686" s="162">
        <v>0.89945463395041603</v>
      </c>
      <c r="AE686" s="161">
        <v>3.0381061370631102</v>
      </c>
    </row>
    <row r="687" spans="1:31" ht="21.2" customHeight="1">
      <c r="A687" s="8" t="s">
        <v>817</v>
      </c>
      <c r="B687" s="158" t="s">
        <v>889</v>
      </c>
      <c r="C687" s="159">
        <v>30</v>
      </c>
      <c r="D687" s="158" t="s">
        <v>79</v>
      </c>
      <c r="E687" s="58"/>
      <c r="F687" s="160"/>
      <c r="G687" s="161"/>
      <c r="H687" s="161"/>
      <c r="I687" s="161"/>
      <c r="J687" s="161"/>
      <c r="K687" s="161"/>
      <c r="L687" s="161"/>
      <c r="M687" s="161"/>
      <c r="N687" s="161"/>
      <c r="O687" s="161"/>
      <c r="P687" s="161"/>
      <c r="Q687" s="161"/>
      <c r="R687" s="161"/>
      <c r="S687" s="161"/>
      <c r="T687" s="161"/>
      <c r="U687" s="161"/>
      <c r="V687" s="161"/>
      <c r="W687" s="161"/>
      <c r="X687" s="58">
        <v>18</v>
      </c>
      <c r="Y687" s="161">
        <v>0.44551426521416199</v>
      </c>
      <c r="Z687" s="161">
        <v>0.42948573478583801</v>
      </c>
      <c r="AA687" s="161">
        <v>0.125</v>
      </c>
      <c r="AB687" s="161">
        <v>4.2947363557457402E-2</v>
      </c>
      <c r="AC687" s="160">
        <v>27.233907729907799</v>
      </c>
      <c r="AD687" s="162">
        <v>0.90129939446789598</v>
      </c>
      <c r="AE687" s="161">
        <v>2.9823643513421798</v>
      </c>
    </row>
    <row r="688" spans="1:31" ht="21.2" customHeight="1">
      <c r="A688" s="8" t="s">
        <v>255</v>
      </c>
      <c r="B688" s="158" t="s">
        <v>859</v>
      </c>
      <c r="C688" s="159">
        <v>24</v>
      </c>
      <c r="D688" s="158" t="s">
        <v>79</v>
      </c>
      <c r="E688" s="58"/>
      <c r="F688" s="160"/>
      <c r="G688" s="161"/>
      <c r="H688" s="161"/>
      <c r="I688" s="161"/>
      <c r="J688" s="161"/>
      <c r="K688" s="161"/>
      <c r="L688" s="161"/>
      <c r="M688" s="161"/>
      <c r="N688" s="161"/>
      <c r="O688" s="161"/>
      <c r="P688" s="161"/>
      <c r="Q688" s="161"/>
      <c r="R688" s="161"/>
      <c r="S688" s="161"/>
      <c r="T688" s="161"/>
      <c r="U688" s="161"/>
      <c r="V688" s="161"/>
      <c r="W688" s="161"/>
      <c r="X688" s="58">
        <v>48</v>
      </c>
      <c r="Y688" s="161">
        <v>0.62054767369297403</v>
      </c>
      <c r="Z688" s="161">
        <v>0.25445232630702602</v>
      </c>
      <c r="AA688" s="161">
        <v>0.125</v>
      </c>
      <c r="AB688" s="161">
        <v>6.5002019022230906E-2</v>
      </c>
      <c r="AC688" s="160">
        <v>28.001877430755599</v>
      </c>
      <c r="AD688" s="162">
        <v>0.91224495908291203</v>
      </c>
      <c r="AE688" s="161">
        <v>2.69369085049436</v>
      </c>
    </row>
    <row r="689" spans="1:31" ht="21.2" customHeight="1">
      <c r="A689" s="8" t="s">
        <v>599</v>
      </c>
      <c r="B689" s="158" t="s">
        <v>859</v>
      </c>
      <c r="C689" s="159">
        <v>31</v>
      </c>
      <c r="D689" s="158" t="s">
        <v>79</v>
      </c>
      <c r="E689" s="58"/>
      <c r="F689" s="160"/>
      <c r="G689" s="161"/>
      <c r="H689" s="161"/>
      <c r="I689" s="161"/>
      <c r="J689" s="161"/>
      <c r="K689" s="161"/>
      <c r="L689" s="161"/>
      <c r="M689" s="161"/>
      <c r="N689" s="161"/>
      <c r="O689" s="161"/>
      <c r="P689" s="161"/>
      <c r="Q689" s="161"/>
      <c r="R689" s="161"/>
      <c r="S689" s="161"/>
      <c r="T689" s="161"/>
      <c r="U689" s="161"/>
      <c r="V689" s="161"/>
      <c r="W689" s="161"/>
      <c r="X689" s="58">
        <v>32</v>
      </c>
      <c r="Y689" s="161">
        <v>0.58421409145529801</v>
      </c>
      <c r="Z689" s="161">
        <v>0.29078590854470199</v>
      </c>
      <c r="AA689" s="161">
        <v>0.125</v>
      </c>
      <c r="AB689" s="161">
        <v>4.6091073814036598E-2</v>
      </c>
      <c r="AC689" s="160">
        <v>27.754351969915401</v>
      </c>
      <c r="AD689" s="162">
        <v>0.90418107642166701</v>
      </c>
      <c r="AE689" s="161">
        <v>2.9412163113346002</v>
      </c>
    </row>
    <row r="690" spans="1:31" ht="21.2" customHeight="1">
      <c r="A690" s="8" t="s">
        <v>250</v>
      </c>
      <c r="B690" s="158" t="s">
        <v>863</v>
      </c>
      <c r="C690" s="159">
        <v>34</v>
      </c>
      <c r="D690" s="158" t="s">
        <v>79</v>
      </c>
      <c r="E690" s="58"/>
      <c r="F690" s="160"/>
      <c r="G690" s="161"/>
      <c r="H690" s="161"/>
      <c r="I690" s="161"/>
      <c r="J690" s="161"/>
      <c r="K690" s="161"/>
      <c r="L690" s="161"/>
      <c r="M690" s="161"/>
      <c r="N690" s="161"/>
      <c r="O690" s="161"/>
      <c r="P690" s="161"/>
      <c r="Q690" s="161"/>
      <c r="R690" s="161"/>
      <c r="S690" s="161"/>
      <c r="T690" s="161"/>
      <c r="U690" s="161"/>
      <c r="V690" s="161"/>
      <c r="W690" s="161"/>
      <c r="X690" s="58">
        <v>52</v>
      </c>
      <c r="Y690" s="161">
        <v>0.58240070317060499</v>
      </c>
      <c r="Z690" s="161">
        <v>0.29259929682939501</v>
      </c>
      <c r="AA690" s="161">
        <v>0.125</v>
      </c>
      <c r="AB690" s="161">
        <v>4.6969529994721301E-2</v>
      </c>
      <c r="AC690" s="160">
        <v>28.6675327874636</v>
      </c>
      <c r="AD690" s="162">
        <v>0.90727933276458494</v>
      </c>
      <c r="AE690" s="161">
        <v>2.9297181937863699</v>
      </c>
    </row>
    <row r="691" spans="1:31" ht="21.2" customHeight="1">
      <c r="A691" s="8" t="s">
        <v>788</v>
      </c>
      <c r="B691" s="158" t="s">
        <v>863</v>
      </c>
      <c r="C691" s="159">
        <v>29</v>
      </c>
      <c r="D691" s="158" t="s">
        <v>79</v>
      </c>
      <c r="E691" s="58"/>
      <c r="F691" s="160"/>
      <c r="G691" s="161"/>
      <c r="H691" s="161"/>
      <c r="I691" s="161"/>
      <c r="J691" s="161"/>
      <c r="K691" s="161"/>
      <c r="L691" s="161"/>
      <c r="M691" s="161"/>
      <c r="N691" s="161"/>
      <c r="O691" s="161"/>
      <c r="P691" s="161"/>
      <c r="Q691" s="161"/>
      <c r="R691" s="161"/>
      <c r="S691" s="161"/>
      <c r="T691" s="161"/>
      <c r="U691" s="161"/>
      <c r="V691" s="161"/>
      <c r="W691" s="161"/>
      <c r="X691" s="58">
        <v>20</v>
      </c>
      <c r="Y691" s="161">
        <v>0.54775642130086599</v>
      </c>
      <c r="Z691" s="161">
        <v>0.32724357869913401</v>
      </c>
      <c r="AA691" s="161">
        <v>0.125</v>
      </c>
      <c r="AB691" s="161">
        <v>3.7089134363449301E-2</v>
      </c>
      <c r="AC691" s="160">
        <v>28.538208237316098</v>
      </c>
      <c r="AD691" s="162">
        <v>0.903186427650014</v>
      </c>
      <c r="AE691" s="161">
        <v>3.0590427439339098</v>
      </c>
    </row>
    <row r="692" spans="1:31" ht="21.2" customHeight="1">
      <c r="A692" s="8" t="s">
        <v>828</v>
      </c>
      <c r="B692" s="158" t="s">
        <v>863</v>
      </c>
      <c r="C692" s="159">
        <v>22</v>
      </c>
      <c r="D692" s="158" t="s">
        <v>79</v>
      </c>
      <c r="E692" s="58"/>
      <c r="F692" s="160"/>
      <c r="G692" s="161"/>
      <c r="H692" s="161"/>
      <c r="I692" s="161"/>
      <c r="J692" s="161"/>
      <c r="K692" s="161"/>
      <c r="L692" s="161"/>
      <c r="M692" s="161"/>
      <c r="N692" s="161"/>
      <c r="O692" s="161"/>
      <c r="P692" s="161"/>
      <c r="Q692" s="161"/>
      <c r="R692" s="161"/>
      <c r="S692" s="161"/>
      <c r="T692" s="161"/>
      <c r="U692" s="161"/>
      <c r="V692" s="161"/>
      <c r="W692" s="161"/>
      <c r="X692" s="58">
        <v>10</v>
      </c>
      <c r="Y692" s="161">
        <v>0.539492371837476</v>
      </c>
      <c r="Z692" s="161">
        <v>0.335507628162524</v>
      </c>
      <c r="AA692" s="161">
        <v>0.125</v>
      </c>
      <c r="AB692" s="161">
        <v>3.4702881748520598E-2</v>
      </c>
      <c r="AC692" s="160">
        <v>28.5069745643458</v>
      </c>
      <c r="AD692" s="162">
        <v>0.90219793428428396</v>
      </c>
      <c r="AE692" s="161">
        <v>3.0902764169041799</v>
      </c>
    </row>
    <row r="693" spans="1:31" ht="21.2" customHeight="1">
      <c r="A693" s="8" t="s">
        <v>418</v>
      </c>
      <c r="B693" s="158" t="s">
        <v>883</v>
      </c>
      <c r="C693" s="159">
        <v>31</v>
      </c>
      <c r="D693" s="158" t="s">
        <v>79</v>
      </c>
      <c r="E693" s="58"/>
      <c r="F693" s="160"/>
      <c r="G693" s="161"/>
      <c r="H693" s="161"/>
      <c r="I693" s="161"/>
      <c r="J693" s="161"/>
      <c r="K693" s="161"/>
      <c r="L693" s="161"/>
      <c r="M693" s="161"/>
      <c r="N693" s="161"/>
      <c r="O693" s="161"/>
      <c r="P693" s="161"/>
      <c r="Q693" s="161"/>
      <c r="R693" s="161"/>
      <c r="S693" s="161"/>
      <c r="T693" s="161"/>
      <c r="U693" s="161"/>
      <c r="V693" s="161"/>
      <c r="W693" s="161"/>
      <c r="X693" s="58">
        <v>42</v>
      </c>
      <c r="Y693" s="161">
        <v>0.53508093738073204</v>
      </c>
      <c r="Z693" s="161">
        <v>0.33991906261926802</v>
      </c>
      <c r="AA693" s="161">
        <v>0.125</v>
      </c>
      <c r="AB693" s="161">
        <v>5.1459208150755498E-2</v>
      </c>
      <c r="AC693" s="160">
        <v>27.2141379083541</v>
      </c>
      <c r="AD693" s="162">
        <v>0.90457224133663205</v>
      </c>
      <c r="AE693" s="161">
        <v>2.8709527728958699</v>
      </c>
    </row>
    <row r="694" spans="1:31" ht="21.2" customHeight="1">
      <c r="A694" s="8" t="s">
        <v>642</v>
      </c>
      <c r="B694" s="158" t="s">
        <v>883</v>
      </c>
      <c r="C694" s="159">
        <v>36</v>
      </c>
      <c r="D694" s="158" t="s">
        <v>79</v>
      </c>
      <c r="E694" s="58"/>
      <c r="F694" s="160"/>
      <c r="G694" s="161"/>
      <c r="H694" s="161"/>
      <c r="I694" s="161"/>
      <c r="J694" s="161"/>
      <c r="K694" s="161"/>
      <c r="L694" s="161"/>
      <c r="M694" s="161"/>
      <c r="N694" s="161"/>
      <c r="O694" s="161"/>
      <c r="P694" s="161"/>
      <c r="Q694" s="161"/>
      <c r="R694" s="161"/>
      <c r="S694" s="161"/>
      <c r="T694" s="161"/>
      <c r="U694" s="161"/>
      <c r="V694" s="161"/>
      <c r="W694" s="161"/>
      <c r="X694" s="58">
        <v>34</v>
      </c>
      <c r="Y694" s="161">
        <v>0.52400853598499098</v>
      </c>
      <c r="Z694" s="161">
        <v>0.35099146401500902</v>
      </c>
      <c r="AA694" s="161">
        <v>0.125</v>
      </c>
      <c r="AB694" s="161">
        <v>4.1294682334457301E-2</v>
      </c>
      <c r="AC694" s="160">
        <v>27.081094376727201</v>
      </c>
      <c r="AD694" s="162">
        <v>0.90015000000000001</v>
      </c>
      <c r="AE694" s="161">
        <v>3.00399630452281</v>
      </c>
    </row>
    <row r="695" spans="1:31" ht="21.2" customHeight="1">
      <c r="A695" s="8" t="s">
        <v>199</v>
      </c>
      <c r="B695" s="158" t="s">
        <v>867</v>
      </c>
      <c r="C695" s="159">
        <v>25</v>
      </c>
      <c r="D695" s="158" t="s">
        <v>79</v>
      </c>
      <c r="E695" s="58"/>
      <c r="F695" s="160"/>
      <c r="G695" s="161"/>
      <c r="H695" s="161"/>
      <c r="I695" s="161"/>
      <c r="J695" s="161"/>
      <c r="K695" s="161"/>
      <c r="L695" s="161"/>
      <c r="M695" s="161"/>
      <c r="N695" s="161"/>
      <c r="O695" s="161"/>
      <c r="P695" s="161"/>
      <c r="Q695" s="161"/>
      <c r="R695" s="161"/>
      <c r="S695" s="161"/>
      <c r="T695" s="161"/>
      <c r="U695" s="161"/>
      <c r="V695" s="161"/>
      <c r="W695" s="161"/>
      <c r="X695" s="58">
        <v>52</v>
      </c>
      <c r="Y695" s="161">
        <v>0.54874118315642795</v>
      </c>
      <c r="Z695" s="161">
        <v>0.326258816843572</v>
      </c>
      <c r="AA695" s="161">
        <v>0.125</v>
      </c>
      <c r="AB695" s="161">
        <v>6.2373315685226902E-2</v>
      </c>
      <c r="AC695" s="160">
        <v>29.3133802190148</v>
      </c>
      <c r="AD695" s="162">
        <v>0.91485730006577304</v>
      </c>
      <c r="AE695" s="161">
        <v>2.7280979622352501</v>
      </c>
    </row>
    <row r="696" spans="1:31" ht="21.2" customHeight="1">
      <c r="A696" s="8" t="s">
        <v>679</v>
      </c>
      <c r="B696" s="158" t="s">
        <v>867</v>
      </c>
      <c r="C696" s="159">
        <v>38</v>
      </c>
      <c r="D696" s="158" t="s">
        <v>79</v>
      </c>
      <c r="E696" s="58"/>
      <c r="F696" s="160"/>
      <c r="G696" s="161"/>
      <c r="H696" s="161"/>
      <c r="I696" s="161"/>
      <c r="J696" s="161"/>
      <c r="K696" s="161"/>
      <c r="L696" s="161"/>
      <c r="M696" s="161"/>
      <c r="N696" s="161"/>
      <c r="O696" s="161"/>
      <c r="P696" s="161"/>
      <c r="Q696" s="161"/>
      <c r="R696" s="161"/>
      <c r="S696" s="161"/>
      <c r="T696" s="161"/>
      <c r="U696" s="161"/>
      <c r="V696" s="161"/>
      <c r="W696" s="161"/>
      <c r="X696" s="58">
        <v>28</v>
      </c>
      <c r="Y696" s="161">
        <v>0.51359436711311002</v>
      </c>
      <c r="Z696" s="161">
        <v>0.36140563288688998</v>
      </c>
      <c r="AA696" s="161">
        <v>0.125</v>
      </c>
      <c r="AB696" s="161">
        <v>3.7172482095425299E-2</v>
      </c>
      <c r="AC696" s="160">
        <v>28.9835263762163</v>
      </c>
      <c r="AD696" s="162">
        <v>0.90456271125396603</v>
      </c>
      <c r="AE696" s="161">
        <v>3.0579518050336998</v>
      </c>
    </row>
    <row r="697" spans="1:31" ht="21.2" customHeight="1">
      <c r="A697" s="8" t="s">
        <v>601</v>
      </c>
      <c r="B697" s="158" t="s">
        <v>894</v>
      </c>
      <c r="C697" s="159">
        <v>33</v>
      </c>
      <c r="D697" s="158" t="s">
        <v>79</v>
      </c>
      <c r="E697" s="58"/>
      <c r="F697" s="160"/>
      <c r="G697" s="161"/>
      <c r="H697" s="161"/>
      <c r="I697" s="161"/>
      <c r="J697" s="161"/>
      <c r="K697" s="161"/>
      <c r="L697" s="161"/>
      <c r="M697" s="161"/>
      <c r="N697" s="161"/>
      <c r="O697" s="161"/>
      <c r="P697" s="161"/>
      <c r="Q697" s="161"/>
      <c r="R697" s="161"/>
      <c r="S697" s="161"/>
      <c r="T697" s="161"/>
      <c r="U697" s="161"/>
      <c r="V697" s="161"/>
      <c r="W697" s="161"/>
      <c r="X697" s="58">
        <v>36</v>
      </c>
      <c r="Y697" s="161">
        <v>0.36744647047704299</v>
      </c>
      <c r="Z697" s="161">
        <v>0.50755352952295696</v>
      </c>
      <c r="AA697" s="161">
        <v>0.125</v>
      </c>
      <c r="AB697" s="161">
        <v>3.44303857410602E-2</v>
      </c>
      <c r="AC697" s="160">
        <v>28.464993862677499</v>
      </c>
      <c r="AD697" s="162">
        <v>0.90196587027555397</v>
      </c>
      <c r="AE697" s="161">
        <v>3.0938431185725102</v>
      </c>
    </row>
    <row r="698" spans="1:31" ht="21.2" customHeight="1">
      <c r="A698" s="8" t="s">
        <v>653</v>
      </c>
      <c r="B698" s="158" t="s">
        <v>894</v>
      </c>
      <c r="C698" s="159">
        <v>26</v>
      </c>
      <c r="D698" s="158" t="s">
        <v>79</v>
      </c>
      <c r="E698" s="58"/>
      <c r="F698" s="160"/>
      <c r="G698" s="161"/>
      <c r="H698" s="161"/>
      <c r="I698" s="161"/>
      <c r="J698" s="161"/>
      <c r="K698" s="161"/>
      <c r="L698" s="161"/>
      <c r="M698" s="161"/>
      <c r="N698" s="161"/>
      <c r="O698" s="161"/>
      <c r="P698" s="161"/>
      <c r="Q698" s="161"/>
      <c r="R698" s="161"/>
      <c r="S698" s="161"/>
      <c r="T698" s="161"/>
      <c r="U698" s="161"/>
      <c r="V698" s="161"/>
      <c r="W698" s="161"/>
      <c r="X698" s="58">
        <v>32</v>
      </c>
      <c r="Y698" s="161">
        <v>0.36656308592824599</v>
      </c>
      <c r="Z698" s="161">
        <v>0.50843691407175395</v>
      </c>
      <c r="AA698" s="161">
        <v>0.125</v>
      </c>
      <c r="AB698" s="161">
        <v>4.0439225376298002E-2</v>
      </c>
      <c r="AC698" s="160">
        <v>28.543643596123001</v>
      </c>
      <c r="AD698" s="162">
        <v>0.90445803224883103</v>
      </c>
      <c r="AE698" s="161">
        <v>3.0151933851269899</v>
      </c>
    </row>
    <row r="699" spans="1:31" ht="21.2" customHeight="1">
      <c r="A699" s="8" t="s">
        <v>826</v>
      </c>
      <c r="B699" s="158" t="s">
        <v>894</v>
      </c>
      <c r="C699" s="159">
        <v>32</v>
      </c>
      <c r="D699" s="158" t="s">
        <v>79</v>
      </c>
      <c r="E699" s="58"/>
      <c r="F699" s="160"/>
      <c r="G699" s="161"/>
      <c r="H699" s="161"/>
      <c r="I699" s="161"/>
      <c r="J699" s="161"/>
      <c r="K699" s="161"/>
      <c r="L699" s="161"/>
      <c r="M699" s="161"/>
      <c r="N699" s="161"/>
      <c r="O699" s="161"/>
      <c r="P699" s="161"/>
      <c r="Q699" s="161"/>
      <c r="R699" s="161"/>
      <c r="S699" s="161"/>
      <c r="T699" s="161"/>
      <c r="U699" s="161"/>
      <c r="V699" s="161"/>
      <c r="W699" s="161"/>
      <c r="X699" s="58">
        <v>14</v>
      </c>
      <c r="Y699" s="161">
        <v>0.358064084737374</v>
      </c>
      <c r="Z699" s="161">
        <v>0.51693591526262594</v>
      </c>
      <c r="AA699" s="161">
        <v>0.125</v>
      </c>
      <c r="AB699" s="161">
        <v>3.0129349863750501E-2</v>
      </c>
      <c r="AC699" s="160">
        <v>28.408697581560901</v>
      </c>
      <c r="AD699" s="162">
        <v>0.90018201869857495</v>
      </c>
      <c r="AE699" s="161">
        <v>3.15013939968913</v>
      </c>
    </row>
    <row r="700" spans="1:31" ht="21.2" customHeight="1">
      <c r="A700" s="8" t="s">
        <v>292</v>
      </c>
      <c r="B700" s="158" t="s">
        <v>868</v>
      </c>
      <c r="C700" s="159">
        <v>27</v>
      </c>
      <c r="D700" s="158" t="s">
        <v>79</v>
      </c>
      <c r="E700" s="58"/>
      <c r="F700" s="160"/>
      <c r="G700" s="161"/>
      <c r="H700" s="161"/>
      <c r="I700" s="161"/>
      <c r="J700" s="161"/>
      <c r="K700" s="161"/>
      <c r="L700" s="161"/>
      <c r="M700" s="161"/>
      <c r="N700" s="161"/>
      <c r="O700" s="161"/>
      <c r="P700" s="161"/>
      <c r="Q700" s="161"/>
      <c r="R700" s="161"/>
      <c r="S700" s="161"/>
      <c r="T700" s="161"/>
      <c r="U700" s="161"/>
      <c r="V700" s="161"/>
      <c r="W700" s="161"/>
      <c r="X700" s="58">
        <v>46</v>
      </c>
      <c r="Y700" s="161">
        <v>0.58934042902867301</v>
      </c>
      <c r="Z700" s="161">
        <v>0.28565957097132699</v>
      </c>
      <c r="AA700" s="161">
        <v>0.125</v>
      </c>
      <c r="AB700" s="161">
        <v>6.5915684878636999E-2</v>
      </c>
      <c r="AC700" s="160">
        <v>27.242023207933698</v>
      </c>
      <c r="AD700" s="162">
        <v>0.91038117154632703</v>
      </c>
      <c r="AE700" s="161">
        <v>2.6817318733162701</v>
      </c>
    </row>
    <row r="701" spans="1:31" ht="21.2" customHeight="1">
      <c r="A701" s="8" t="s">
        <v>574</v>
      </c>
      <c r="B701" s="158" t="s">
        <v>868</v>
      </c>
      <c r="C701" s="159">
        <v>23</v>
      </c>
      <c r="D701" s="158" t="s">
        <v>79</v>
      </c>
      <c r="E701" s="58"/>
      <c r="F701" s="160"/>
      <c r="G701" s="161"/>
      <c r="H701" s="161"/>
      <c r="I701" s="161"/>
      <c r="J701" s="161"/>
      <c r="K701" s="161"/>
      <c r="L701" s="161"/>
      <c r="M701" s="161"/>
      <c r="N701" s="161"/>
      <c r="O701" s="161"/>
      <c r="P701" s="161"/>
      <c r="Q701" s="161"/>
      <c r="R701" s="161"/>
      <c r="S701" s="161"/>
      <c r="T701" s="161"/>
      <c r="U701" s="161"/>
      <c r="V701" s="161"/>
      <c r="W701" s="161"/>
      <c r="X701" s="58">
        <v>32</v>
      </c>
      <c r="Y701" s="161">
        <v>0.56348132253937999</v>
      </c>
      <c r="Z701" s="161">
        <v>0.31151867746062001</v>
      </c>
      <c r="AA701" s="161">
        <v>0.125</v>
      </c>
      <c r="AB701" s="161">
        <v>5.50654776532086E-2</v>
      </c>
      <c r="AC701" s="160">
        <v>27.100004788752699</v>
      </c>
      <c r="AD701" s="162">
        <v>0.90563516227057295</v>
      </c>
      <c r="AE701" s="161">
        <v>2.8237502924972699</v>
      </c>
    </row>
    <row r="702" spans="1:31" ht="21.2" customHeight="1">
      <c r="A702" s="8" t="s">
        <v>150</v>
      </c>
      <c r="B702" s="158" t="s">
        <v>888</v>
      </c>
      <c r="C702" s="159">
        <v>28</v>
      </c>
      <c r="D702" s="158" t="s">
        <v>79</v>
      </c>
      <c r="E702" s="58"/>
      <c r="F702" s="160"/>
      <c r="G702" s="161"/>
      <c r="H702" s="161"/>
      <c r="I702" s="161"/>
      <c r="J702" s="161"/>
      <c r="K702" s="161"/>
      <c r="L702" s="161"/>
      <c r="M702" s="161"/>
      <c r="N702" s="161"/>
      <c r="O702" s="161"/>
      <c r="P702" s="161"/>
      <c r="Q702" s="161"/>
      <c r="R702" s="161"/>
      <c r="S702" s="161"/>
      <c r="T702" s="161"/>
      <c r="U702" s="161"/>
      <c r="V702" s="161"/>
      <c r="W702" s="161"/>
      <c r="X702" s="58">
        <v>60</v>
      </c>
      <c r="Y702" s="161">
        <v>0.49722524285983699</v>
      </c>
      <c r="Z702" s="161">
        <v>0.37777475714016301</v>
      </c>
      <c r="AA702" s="161">
        <v>0.125</v>
      </c>
      <c r="AB702" s="161">
        <v>7.2993592516652203E-2</v>
      </c>
      <c r="AC702" s="160">
        <v>29.057223778064799</v>
      </c>
      <c r="AD702" s="162">
        <v>0.91818670589207296</v>
      </c>
      <c r="AE702" s="161">
        <v>2.5890891031851799</v>
      </c>
    </row>
    <row r="703" spans="1:31" ht="21.2" customHeight="1">
      <c r="A703" s="8" t="s">
        <v>823</v>
      </c>
      <c r="B703" s="158" t="s">
        <v>888</v>
      </c>
      <c r="C703" s="159">
        <v>28</v>
      </c>
      <c r="D703" s="158" t="s">
        <v>79</v>
      </c>
      <c r="E703" s="58"/>
      <c r="F703" s="160"/>
      <c r="G703" s="161"/>
      <c r="H703" s="161"/>
      <c r="I703" s="161"/>
      <c r="J703" s="161"/>
      <c r="K703" s="161"/>
      <c r="L703" s="161"/>
      <c r="M703" s="161"/>
      <c r="N703" s="161"/>
      <c r="O703" s="161"/>
      <c r="P703" s="161"/>
      <c r="Q703" s="161"/>
      <c r="R703" s="161"/>
      <c r="S703" s="161"/>
      <c r="T703" s="161"/>
      <c r="U703" s="161"/>
      <c r="V703" s="161"/>
      <c r="W703" s="161"/>
      <c r="X703" s="58">
        <v>16</v>
      </c>
      <c r="Y703" s="161">
        <v>0.41625122958545602</v>
      </c>
      <c r="Z703" s="161">
        <v>0.45874877041454398</v>
      </c>
      <c r="AA703" s="161">
        <v>0.125</v>
      </c>
      <c r="AB703" s="161">
        <v>3.3363665117185602E-2</v>
      </c>
      <c r="AC703" s="160">
        <v>28.538507450846701</v>
      </c>
      <c r="AD703" s="162">
        <v>0.90179565492937197</v>
      </c>
      <c r="AE703" s="161">
        <v>3.1078054304033298</v>
      </c>
    </row>
    <row r="704" spans="1:31" ht="21.2" customHeight="1">
      <c r="A704" s="8" t="s">
        <v>129</v>
      </c>
      <c r="B704" s="158" t="s">
        <v>891</v>
      </c>
      <c r="C704" s="159">
        <v>28</v>
      </c>
      <c r="D704" s="158" t="s">
        <v>79</v>
      </c>
      <c r="E704" s="58"/>
      <c r="F704" s="160"/>
      <c r="G704" s="161"/>
      <c r="H704" s="161"/>
      <c r="I704" s="161"/>
      <c r="J704" s="161"/>
      <c r="K704" s="161"/>
      <c r="L704" s="161"/>
      <c r="M704" s="161"/>
      <c r="N704" s="161"/>
      <c r="O704" s="161"/>
      <c r="P704" s="161"/>
      <c r="Q704" s="161"/>
      <c r="R704" s="161"/>
      <c r="S704" s="161"/>
      <c r="T704" s="161"/>
      <c r="U704" s="161"/>
      <c r="V704" s="161"/>
      <c r="W704" s="161"/>
      <c r="X704" s="58">
        <v>60</v>
      </c>
      <c r="Y704" s="161">
        <v>0.52382671178673201</v>
      </c>
      <c r="Z704" s="161">
        <v>0.35117328821326799</v>
      </c>
      <c r="AA704" s="161">
        <v>0.125</v>
      </c>
      <c r="AB704" s="161">
        <v>8.4003809209679703E-2</v>
      </c>
      <c r="AC704" s="160">
        <v>28.251123262004999</v>
      </c>
      <c r="AD704" s="162">
        <v>0.92034895792628701</v>
      </c>
      <c r="AE704" s="161">
        <v>2.44497631924503</v>
      </c>
    </row>
    <row r="705" spans="1:31" ht="21.2" customHeight="1">
      <c r="A705" s="8" t="s">
        <v>793</v>
      </c>
      <c r="B705" s="158" t="s">
        <v>891</v>
      </c>
      <c r="C705" s="159">
        <v>35</v>
      </c>
      <c r="D705" s="158" t="s">
        <v>79</v>
      </c>
      <c r="E705" s="58"/>
      <c r="F705" s="160"/>
      <c r="G705" s="161"/>
      <c r="H705" s="161"/>
      <c r="I705" s="161"/>
      <c r="J705" s="161"/>
      <c r="K705" s="161"/>
      <c r="L705" s="161"/>
      <c r="M705" s="161"/>
      <c r="N705" s="161"/>
      <c r="O705" s="161"/>
      <c r="P705" s="161"/>
      <c r="Q705" s="161"/>
      <c r="R705" s="161"/>
      <c r="S705" s="161"/>
      <c r="T705" s="161"/>
      <c r="U705" s="161"/>
      <c r="V705" s="161"/>
      <c r="W705" s="161"/>
      <c r="X705" s="58">
        <v>20</v>
      </c>
      <c r="Y705" s="161">
        <v>0.45593705179378002</v>
      </c>
      <c r="Z705" s="161">
        <v>0.41906294820621998</v>
      </c>
      <c r="AA705" s="161">
        <v>0.125</v>
      </c>
      <c r="AB705" s="161">
        <v>4.4211330452676501E-2</v>
      </c>
      <c r="AC705" s="160">
        <v>27.730279299216999</v>
      </c>
      <c r="AD705" s="162">
        <v>0.90338120078797801</v>
      </c>
      <c r="AE705" s="161">
        <v>2.9658202820330302</v>
      </c>
    </row>
    <row r="706" spans="1:31" ht="21.2" customHeight="1">
      <c r="A706" s="8" t="s">
        <v>130</v>
      </c>
      <c r="B706" s="158" t="s">
        <v>871</v>
      </c>
      <c r="C706" s="159">
        <v>27</v>
      </c>
      <c r="D706" s="158" t="s">
        <v>79</v>
      </c>
      <c r="E706" s="58"/>
      <c r="F706" s="160"/>
      <c r="G706" s="161"/>
      <c r="H706" s="161"/>
      <c r="I706" s="161"/>
      <c r="J706" s="161"/>
      <c r="K706" s="161"/>
      <c r="L706" s="161"/>
      <c r="M706" s="161"/>
      <c r="N706" s="161"/>
      <c r="O706" s="161"/>
      <c r="P706" s="161"/>
      <c r="Q706" s="161"/>
      <c r="R706" s="161"/>
      <c r="S706" s="161"/>
      <c r="T706" s="161"/>
      <c r="U706" s="161"/>
      <c r="V706" s="161"/>
      <c r="W706" s="161"/>
      <c r="X706" s="58">
        <v>56</v>
      </c>
      <c r="Y706" s="161">
        <v>0.61525914207914101</v>
      </c>
      <c r="Z706" s="161">
        <v>0.25974085792085899</v>
      </c>
      <c r="AA706" s="161">
        <v>0.125</v>
      </c>
      <c r="AB706" s="161">
        <v>8.3247149902355003E-2</v>
      </c>
      <c r="AC706" s="160">
        <v>28.163486444369799</v>
      </c>
      <c r="AD706" s="162">
        <v>0.91982327919589901</v>
      </c>
      <c r="AE706" s="161">
        <v>2.4548802368801699</v>
      </c>
    </row>
    <row r="707" spans="1:31" ht="21.2" customHeight="1">
      <c r="A707" s="8" t="s">
        <v>771</v>
      </c>
      <c r="B707" s="158" t="s">
        <v>871</v>
      </c>
      <c r="C707" s="159">
        <v>37</v>
      </c>
      <c r="D707" s="158" t="s">
        <v>79</v>
      </c>
      <c r="E707" s="58"/>
      <c r="F707" s="160"/>
      <c r="G707" s="161"/>
      <c r="H707" s="161"/>
      <c r="I707" s="161"/>
      <c r="J707" s="161"/>
      <c r="K707" s="161"/>
      <c r="L707" s="161"/>
      <c r="M707" s="161"/>
      <c r="N707" s="161"/>
      <c r="O707" s="161"/>
      <c r="P707" s="161"/>
      <c r="Q707" s="161"/>
      <c r="R707" s="161"/>
      <c r="S707" s="161"/>
      <c r="T707" s="161"/>
      <c r="U707" s="161"/>
      <c r="V707" s="161"/>
      <c r="W707" s="161"/>
      <c r="X707" s="58">
        <v>24</v>
      </c>
      <c r="Y707" s="161">
        <v>0.54527966806712902</v>
      </c>
      <c r="Z707" s="161">
        <v>0.32972033193287098</v>
      </c>
      <c r="AA707" s="161">
        <v>0.125</v>
      </c>
      <c r="AB707" s="161">
        <v>3.10827937478888E-2</v>
      </c>
      <c r="AC707" s="160">
        <v>27.480706913552201</v>
      </c>
      <c r="AD707" s="162">
        <v>0.89752360730531</v>
      </c>
      <c r="AE707" s="161">
        <v>3.13765976769779</v>
      </c>
    </row>
    <row r="708" spans="1:31" ht="21.2" customHeight="1">
      <c r="A708" s="8" t="s">
        <v>361</v>
      </c>
      <c r="B708" s="158" t="s">
        <v>879</v>
      </c>
      <c r="C708" s="159">
        <v>29</v>
      </c>
      <c r="D708" s="158" t="s">
        <v>79</v>
      </c>
      <c r="E708" s="58"/>
      <c r="F708" s="160"/>
      <c r="G708" s="161"/>
      <c r="H708" s="161"/>
      <c r="I708" s="161"/>
      <c r="J708" s="161"/>
      <c r="K708" s="161"/>
      <c r="L708" s="161"/>
      <c r="M708" s="161"/>
      <c r="N708" s="161"/>
      <c r="O708" s="161"/>
      <c r="P708" s="161"/>
      <c r="Q708" s="161"/>
      <c r="R708" s="161"/>
      <c r="S708" s="161"/>
      <c r="T708" s="161"/>
      <c r="U708" s="161"/>
      <c r="V708" s="161"/>
      <c r="W708" s="161"/>
      <c r="X708" s="58">
        <v>44</v>
      </c>
      <c r="Y708" s="161">
        <v>0.52327927369967198</v>
      </c>
      <c r="Z708" s="161">
        <v>0.35172072630032802</v>
      </c>
      <c r="AA708" s="161">
        <v>0.125</v>
      </c>
      <c r="AB708" s="161">
        <v>5.2796840707482397E-2</v>
      </c>
      <c r="AC708" s="160">
        <v>27.8344367878924</v>
      </c>
      <c r="AD708" s="162">
        <v>0.90701722066746304</v>
      </c>
      <c r="AE708" s="161">
        <v>2.8534444933575598</v>
      </c>
    </row>
    <row r="709" spans="1:31" ht="21.2" customHeight="1">
      <c r="A709" s="8" t="s">
        <v>543</v>
      </c>
      <c r="B709" s="158" t="s">
        <v>879</v>
      </c>
      <c r="C709" s="159">
        <v>30</v>
      </c>
      <c r="D709" s="158" t="s">
        <v>79</v>
      </c>
      <c r="E709" s="58"/>
      <c r="F709" s="160"/>
      <c r="G709" s="161"/>
      <c r="H709" s="161"/>
      <c r="I709" s="161"/>
      <c r="J709" s="161"/>
      <c r="K709" s="161"/>
      <c r="L709" s="161"/>
      <c r="M709" s="161"/>
      <c r="N709" s="161"/>
      <c r="O709" s="161"/>
      <c r="P709" s="161"/>
      <c r="Q709" s="161"/>
      <c r="R709" s="161"/>
      <c r="S709" s="161"/>
      <c r="T709" s="161"/>
      <c r="U709" s="161"/>
      <c r="V709" s="161"/>
      <c r="W709" s="161"/>
      <c r="X709" s="58">
        <v>34</v>
      </c>
      <c r="Y709" s="161">
        <v>0.52683952893216701</v>
      </c>
      <c r="Z709" s="161">
        <v>0.34816047106783299</v>
      </c>
      <c r="AA709" s="161">
        <v>0.125</v>
      </c>
      <c r="AB709" s="161">
        <v>5.4700495009503497E-2</v>
      </c>
      <c r="AC709" s="160">
        <v>27.859353729018402</v>
      </c>
      <c r="AD709" s="162">
        <v>0.90782916792760704</v>
      </c>
      <c r="AE709" s="161">
        <v>2.82852755223163</v>
      </c>
    </row>
    <row r="710" spans="1:31" ht="21.2" customHeight="1">
      <c r="A710" s="8" t="s">
        <v>310</v>
      </c>
      <c r="B710" s="158" t="s">
        <v>890</v>
      </c>
      <c r="C710" s="159">
        <v>25</v>
      </c>
      <c r="D710" s="158" t="s">
        <v>79</v>
      </c>
      <c r="E710" s="58"/>
      <c r="F710" s="160"/>
      <c r="G710" s="161"/>
      <c r="H710" s="161"/>
      <c r="I710" s="161"/>
      <c r="J710" s="161"/>
      <c r="K710" s="161"/>
      <c r="L710" s="161"/>
      <c r="M710" s="161"/>
      <c r="N710" s="161"/>
      <c r="O710" s="161"/>
      <c r="P710" s="161"/>
      <c r="Q710" s="161"/>
      <c r="R710" s="161"/>
      <c r="S710" s="161"/>
      <c r="T710" s="161"/>
      <c r="U710" s="161"/>
      <c r="V710" s="161"/>
      <c r="W710" s="161"/>
      <c r="X710" s="58">
        <v>48</v>
      </c>
      <c r="Y710" s="161">
        <v>0.39585487785180901</v>
      </c>
      <c r="Z710" s="161">
        <v>0.47914512214819099</v>
      </c>
      <c r="AA710" s="161">
        <v>0.125</v>
      </c>
      <c r="AB710" s="161">
        <v>5.4370348565704503E-2</v>
      </c>
      <c r="AC710" s="160">
        <v>28.821070640487001</v>
      </c>
      <c r="AD710" s="162">
        <v>0.910505590233745</v>
      </c>
      <c r="AE710" s="161">
        <v>2.8328488407630301</v>
      </c>
    </row>
    <row r="711" spans="1:31" ht="21.2" customHeight="1">
      <c r="A711" s="8" t="s">
        <v>773</v>
      </c>
      <c r="B711" s="158" t="s">
        <v>890</v>
      </c>
      <c r="C711" s="159">
        <v>28</v>
      </c>
      <c r="D711" s="158" t="s">
        <v>79</v>
      </c>
      <c r="E711" s="58"/>
      <c r="F711" s="160"/>
      <c r="G711" s="161"/>
      <c r="H711" s="161"/>
      <c r="I711" s="161"/>
      <c r="J711" s="161"/>
      <c r="K711" s="161"/>
      <c r="L711" s="161"/>
      <c r="M711" s="161"/>
      <c r="N711" s="161"/>
      <c r="O711" s="161"/>
      <c r="P711" s="161"/>
      <c r="Q711" s="161"/>
      <c r="R711" s="161"/>
      <c r="S711" s="161"/>
      <c r="T711" s="161"/>
      <c r="U711" s="161"/>
      <c r="V711" s="161"/>
      <c r="W711" s="161"/>
      <c r="X711" s="58">
        <v>24</v>
      </c>
      <c r="Y711" s="161">
        <v>0.35837048780685199</v>
      </c>
      <c r="Z711" s="161">
        <v>0.51662951219314801</v>
      </c>
      <c r="AA711" s="161">
        <v>0.125</v>
      </c>
      <c r="AB711" s="161">
        <v>3.0861839286276799E-2</v>
      </c>
      <c r="AC711" s="160">
        <v>28.513367639447299</v>
      </c>
      <c r="AD711" s="162">
        <v>0.90078474030165701</v>
      </c>
      <c r="AE711" s="161">
        <v>3.1405518418026599</v>
      </c>
    </row>
    <row r="712" spans="1:31" ht="21.2" customHeight="1">
      <c r="A712" s="8" t="s">
        <v>829</v>
      </c>
      <c r="B712" s="158" t="s">
        <v>890</v>
      </c>
      <c r="C712" s="159">
        <v>26</v>
      </c>
      <c r="D712" s="158" t="s">
        <v>79</v>
      </c>
      <c r="E712" s="58"/>
      <c r="F712" s="160"/>
      <c r="G712" s="161"/>
      <c r="H712" s="161"/>
      <c r="I712" s="161"/>
      <c r="J712" s="161"/>
      <c r="K712" s="161"/>
      <c r="L712" s="161"/>
      <c r="M712" s="161"/>
      <c r="N712" s="161"/>
      <c r="O712" s="161"/>
      <c r="P712" s="161"/>
      <c r="Q712" s="161"/>
      <c r="R712" s="161"/>
      <c r="S712" s="161"/>
      <c r="T712" s="161"/>
      <c r="U712" s="161"/>
      <c r="V712" s="161"/>
      <c r="W712" s="161"/>
      <c r="X712" s="58">
        <v>10</v>
      </c>
      <c r="Y712" s="161">
        <v>0.34446584467287</v>
      </c>
      <c r="Z712" s="161">
        <v>0.53053415532713</v>
      </c>
      <c r="AA712" s="161">
        <v>0.125</v>
      </c>
      <c r="AB712" s="161">
        <v>2.37023690623504E-2</v>
      </c>
      <c r="AC712" s="160">
        <v>28.4196572962022</v>
      </c>
      <c r="AD712" s="162">
        <v>0.89782427459059</v>
      </c>
      <c r="AE712" s="161">
        <v>3.2342621850477702</v>
      </c>
    </row>
    <row r="713" spans="1:31" ht="21.2" customHeight="1">
      <c r="A713" s="8" t="s">
        <v>200</v>
      </c>
      <c r="B713" s="158" t="s">
        <v>874</v>
      </c>
      <c r="C713" s="159">
        <v>28</v>
      </c>
      <c r="D713" s="158" t="s">
        <v>79</v>
      </c>
      <c r="E713" s="58"/>
      <c r="F713" s="160"/>
      <c r="G713" s="161"/>
      <c r="H713" s="161"/>
      <c r="I713" s="161"/>
      <c r="J713" s="161"/>
      <c r="K713" s="161"/>
      <c r="L713" s="161"/>
      <c r="M713" s="161"/>
      <c r="N713" s="161"/>
      <c r="O713" s="161"/>
      <c r="P713" s="161"/>
      <c r="Q713" s="161"/>
      <c r="R713" s="161"/>
      <c r="S713" s="161"/>
      <c r="T713" s="161"/>
      <c r="U713" s="161"/>
      <c r="V713" s="161"/>
      <c r="W713" s="161"/>
      <c r="X713" s="58">
        <v>54</v>
      </c>
      <c r="Y713" s="161">
        <v>0.54265636046622101</v>
      </c>
      <c r="Z713" s="161">
        <v>0.33234363953377899</v>
      </c>
      <c r="AA713" s="161">
        <v>0.125</v>
      </c>
      <c r="AB713" s="161">
        <v>7.0299165375526801E-2</v>
      </c>
      <c r="AC713" s="160">
        <v>28.055918207107698</v>
      </c>
      <c r="AD713" s="162">
        <v>0.91446111544280995</v>
      </c>
      <c r="AE713" s="161">
        <v>2.6243564741423202</v>
      </c>
    </row>
    <row r="714" spans="1:31" ht="21.2" customHeight="1">
      <c r="A714" s="8" t="s">
        <v>745</v>
      </c>
      <c r="B714" s="158" t="s">
        <v>874</v>
      </c>
      <c r="C714" s="159">
        <v>27</v>
      </c>
      <c r="D714" s="158" t="s">
        <v>79</v>
      </c>
      <c r="E714" s="58"/>
      <c r="F714" s="160"/>
      <c r="G714" s="161"/>
      <c r="H714" s="161"/>
      <c r="I714" s="161"/>
      <c r="J714" s="161"/>
      <c r="K714" s="161"/>
      <c r="L714" s="161"/>
      <c r="M714" s="161"/>
      <c r="N714" s="161"/>
      <c r="O714" s="161"/>
      <c r="P714" s="161"/>
      <c r="Q714" s="161"/>
      <c r="R714" s="161"/>
      <c r="S714" s="161"/>
      <c r="T714" s="161"/>
      <c r="U714" s="161"/>
      <c r="V714" s="161"/>
      <c r="W714" s="161"/>
      <c r="X714" s="58">
        <v>24</v>
      </c>
      <c r="Y714" s="161">
        <v>0.50914868378150901</v>
      </c>
      <c r="Z714" s="161">
        <v>0.36585131621849099</v>
      </c>
      <c r="AA714" s="161">
        <v>0.125</v>
      </c>
      <c r="AB714" s="161">
        <v>4.6092861171153403E-2</v>
      </c>
      <c r="AC714" s="160">
        <v>27.739081764642101</v>
      </c>
      <c r="AD714" s="162">
        <v>0.90413407483586095</v>
      </c>
      <c r="AE714" s="161">
        <v>2.9411929166079398</v>
      </c>
    </row>
    <row r="715" spans="1:31" ht="21.2" customHeight="1">
      <c r="A715" s="8" t="s">
        <v>355</v>
      </c>
      <c r="B715" s="158" t="s">
        <v>892</v>
      </c>
      <c r="C715" s="159">
        <v>31</v>
      </c>
      <c r="D715" s="158" t="s">
        <v>79</v>
      </c>
      <c r="E715" s="58"/>
      <c r="F715" s="160"/>
      <c r="G715" s="161"/>
      <c r="H715" s="161"/>
      <c r="I715" s="161"/>
      <c r="J715" s="161"/>
      <c r="K715" s="161"/>
      <c r="L715" s="161"/>
      <c r="M715" s="161"/>
      <c r="N715" s="161"/>
      <c r="O715" s="161"/>
      <c r="P715" s="161"/>
      <c r="Q715" s="161"/>
      <c r="R715" s="161"/>
      <c r="S715" s="161"/>
      <c r="T715" s="161"/>
      <c r="U715" s="161"/>
      <c r="V715" s="161"/>
      <c r="W715" s="161"/>
      <c r="X715" s="58">
        <v>47</v>
      </c>
      <c r="Y715" s="161">
        <v>0.49573394667614001</v>
      </c>
      <c r="Z715" s="161">
        <v>0.37926605332385999</v>
      </c>
      <c r="AA715" s="161">
        <v>0.125</v>
      </c>
      <c r="AB715" s="161">
        <v>5.3407911638740403E-2</v>
      </c>
      <c r="AC715" s="160">
        <v>26.475278298511</v>
      </c>
      <c r="AD715" s="162">
        <v>0.90295443809519105</v>
      </c>
      <c r="AE715" s="161">
        <v>2.8454461827389999</v>
      </c>
    </row>
    <row r="716" spans="1:31" ht="21.2" customHeight="1">
      <c r="A716" s="8" t="s">
        <v>812</v>
      </c>
      <c r="B716" s="158" t="s">
        <v>892</v>
      </c>
      <c r="C716" s="159">
        <v>27</v>
      </c>
      <c r="D716" s="158" t="s">
        <v>79</v>
      </c>
      <c r="E716" s="58"/>
      <c r="F716" s="160"/>
      <c r="G716" s="161"/>
      <c r="H716" s="161"/>
      <c r="I716" s="161"/>
      <c r="J716" s="161"/>
      <c r="K716" s="161"/>
      <c r="L716" s="161"/>
      <c r="M716" s="161"/>
      <c r="N716" s="161"/>
      <c r="O716" s="161"/>
      <c r="P716" s="161"/>
      <c r="Q716" s="161"/>
      <c r="R716" s="161"/>
      <c r="S716" s="161"/>
      <c r="T716" s="161"/>
      <c r="U716" s="161"/>
      <c r="V716" s="161"/>
      <c r="W716" s="161"/>
      <c r="X716" s="58">
        <v>20</v>
      </c>
      <c r="Y716" s="161">
        <v>0.47141295641202402</v>
      </c>
      <c r="Z716" s="161">
        <v>0.40358704358797598</v>
      </c>
      <c r="AA716" s="161">
        <v>0.125</v>
      </c>
      <c r="AB716" s="161">
        <v>4.6538289513819303E-2</v>
      </c>
      <c r="AC716" s="160">
        <v>26.385361778551299</v>
      </c>
      <c r="AD716" s="162">
        <v>0.89988778399470304</v>
      </c>
      <c r="AE716" s="161">
        <v>2.9353627026987001</v>
      </c>
    </row>
    <row r="717" spans="1:31" ht="21.2" customHeight="1">
      <c r="A717" s="8" t="s">
        <v>825</v>
      </c>
      <c r="B717" s="158" t="s">
        <v>892</v>
      </c>
      <c r="C717" s="159">
        <v>29</v>
      </c>
      <c r="D717" s="158" t="s">
        <v>79</v>
      </c>
      <c r="E717" s="58"/>
      <c r="F717" s="160"/>
      <c r="G717" s="161"/>
      <c r="H717" s="161"/>
      <c r="I717" s="161"/>
      <c r="J717" s="161"/>
      <c r="K717" s="161"/>
      <c r="L717" s="161"/>
      <c r="M717" s="161"/>
      <c r="N717" s="161"/>
      <c r="O717" s="161"/>
      <c r="P717" s="161"/>
      <c r="Q717" s="161"/>
      <c r="R717" s="161"/>
      <c r="S717" s="161"/>
      <c r="T717" s="161"/>
      <c r="U717" s="161"/>
      <c r="V717" s="161"/>
      <c r="W717" s="161"/>
      <c r="X717" s="58">
        <v>15</v>
      </c>
      <c r="Y717" s="161">
        <v>0.47752682063488899</v>
      </c>
      <c r="Z717" s="161">
        <v>0.39747317936511101</v>
      </c>
      <c r="AA717" s="161">
        <v>0.125</v>
      </c>
      <c r="AB717" s="161">
        <v>4.8580384412442897E-2</v>
      </c>
      <c r="AC717" s="160">
        <v>26.412090769371002</v>
      </c>
      <c r="AD717" s="162">
        <v>0.900799391442765</v>
      </c>
      <c r="AE717" s="161">
        <v>2.9086337118790202</v>
      </c>
    </row>
    <row r="718" spans="1:31" ht="21.2" customHeight="1">
      <c r="A718" s="8" t="s">
        <v>447</v>
      </c>
      <c r="B718" s="158" t="s">
        <v>893</v>
      </c>
      <c r="C718" s="159">
        <v>27</v>
      </c>
      <c r="D718" s="158" t="s">
        <v>79</v>
      </c>
      <c r="E718" s="58"/>
      <c r="F718" s="160"/>
      <c r="G718" s="161"/>
      <c r="H718" s="161"/>
      <c r="I718" s="161"/>
      <c r="J718" s="161"/>
      <c r="K718" s="161"/>
      <c r="L718" s="161"/>
      <c r="M718" s="161"/>
      <c r="N718" s="161"/>
      <c r="O718" s="161"/>
      <c r="P718" s="161"/>
      <c r="Q718" s="161"/>
      <c r="R718" s="161"/>
      <c r="S718" s="161"/>
      <c r="T718" s="161"/>
      <c r="U718" s="161"/>
      <c r="V718" s="161"/>
      <c r="W718" s="161"/>
      <c r="X718" s="58">
        <v>44</v>
      </c>
      <c r="Y718" s="161">
        <v>0.34490615506446698</v>
      </c>
      <c r="Z718" s="161">
        <v>0.53009384493553302</v>
      </c>
      <c r="AA718" s="161">
        <v>0.125</v>
      </c>
      <c r="AB718" s="161">
        <v>3.3998870508737102E-2</v>
      </c>
      <c r="AC718" s="160">
        <v>29.5052532575424</v>
      </c>
      <c r="AD718" s="162">
        <v>0.90493741714522402</v>
      </c>
      <c r="AE718" s="161">
        <v>3.0994912237076302</v>
      </c>
    </row>
    <row r="719" spans="1:31" ht="21.2" customHeight="1">
      <c r="A719" s="8" t="s">
        <v>687</v>
      </c>
      <c r="B719" s="158" t="s">
        <v>893</v>
      </c>
      <c r="C719" s="159">
        <v>26</v>
      </c>
      <c r="D719" s="158" t="s">
        <v>79</v>
      </c>
      <c r="E719" s="58"/>
      <c r="F719" s="160"/>
      <c r="G719" s="161"/>
      <c r="H719" s="161"/>
      <c r="I719" s="161"/>
      <c r="J719" s="161"/>
      <c r="K719" s="161"/>
      <c r="L719" s="161"/>
      <c r="M719" s="161"/>
      <c r="N719" s="161"/>
      <c r="O719" s="161"/>
      <c r="P719" s="161"/>
      <c r="Q719" s="161"/>
      <c r="R719" s="161"/>
      <c r="S719" s="161"/>
      <c r="T719" s="161"/>
      <c r="U719" s="161"/>
      <c r="V719" s="161"/>
      <c r="W719" s="161"/>
      <c r="X719" s="58">
        <v>30</v>
      </c>
      <c r="Y719" s="161">
        <v>0.33962527969843198</v>
      </c>
      <c r="Z719" s="161">
        <v>0.53537472030156796</v>
      </c>
      <c r="AA719" s="161">
        <v>0.125</v>
      </c>
      <c r="AB719" s="161">
        <v>3.0657451513100301E-2</v>
      </c>
      <c r="AC719" s="160">
        <v>29.461517406814099</v>
      </c>
      <c r="AD719" s="162">
        <v>0.90359602185370802</v>
      </c>
      <c r="AE719" s="161">
        <v>3.1432270744358601</v>
      </c>
    </row>
    <row r="720" spans="1:31" ht="21.2" customHeight="1">
      <c r="A720" s="8" t="s">
        <v>241</v>
      </c>
      <c r="B720" s="158" t="s">
        <v>876</v>
      </c>
      <c r="C720" s="159">
        <v>30</v>
      </c>
      <c r="D720" s="158" t="s">
        <v>79</v>
      </c>
      <c r="E720" s="58"/>
      <c r="F720" s="160"/>
      <c r="G720" s="161"/>
      <c r="H720" s="161"/>
      <c r="I720" s="161"/>
      <c r="J720" s="161"/>
      <c r="K720" s="161"/>
      <c r="L720" s="161"/>
      <c r="M720" s="161"/>
      <c r="N720" s="161"/>
      <c r="O720" s="161"/>
      <c r="P720" s="161"/>
      <c r="Q720" s="161"/>
      <c r="R720" s="161"/>
      <c r="S720" s="161"/>
      <c r="T720" s="161"/>
      <c r="U720" s="161"/>
      <c r="V720" s="161"/>
      <c r="W720" s="161"/>
      <c r="X720" s="58">
        <v>60</v>
      </c>
      <c r="Y720" s="161">
        <v>0.43413388078390902</v>
      </c>
      <c r="Z720" s="161">
        <v>0.44086611921609098</v>
      </c>
      <c r="AA720" s="161">
        <v>0.125</v>
      </c>
      <c r="AB720" s="161">
        <v>4.6800444131020198E-2</v>
      </c>
      <c r="AC720" s="160">
        <v>28.5242165217084</v>
      </c>
      <c r="AD720" s="162">
        <v>0.90679305773199104</v>
      </c>
      <c r="AE720" s="161">
        <v>2.9319313595416201</v>
      </c>
    </row>
    <row r="721" spans="1:31" ht="21.2" customHeight="1">
      <c r="A721" s="8" t="s">
        <v>803</v>
      </c>
      <c r="B721" s="158" t="s">
        <v>876</v>
      </c>
      <c r="C721" s="159">
        <v>23</v>
      </c>
      <c r="D721" s="158" t="s">
        <v>79</v>
      </c>
      <c r="E721" s="58"/>
      <c r="F721" s="160"/>
      <c r="G721" s="161"/>
      <c r="H721" s="161"/>
      <c r="I721" s="161"/>
      <c r="J721" s="161"/>
      <c r="K721" s="161"/>
      <c r="L721" s="161"/>
      <c r="M721" s="161"/>
      <c r="N721" s="161"/>
      <c r="O721" s="161"/>
      <c r="P721" s="161"/>
      <c r="Q721" s="161"/>
      <c r="R721" s="161"/>
      <c r="S721" s="161"/>
      <c r="T721" s="161"/>
      <c r="U721" s="161"/>
      <c r="V721" s="161"/>
      <c r="W721" s="161"/>
      <c r="X721" s="58">
        <v>20</v>
      </c>
      <c r="Y721" s="161">
        <v>0.39989284179156198</v>
      </c>
      <c r="Z721" s="161">
        <v>0.47510715820843802</v>
      </c>
      <c r="AA721" s="161">
        <v>0.125</v>
      </c>
      <c r="AB721" s="161">
        <v>3.2844710243999001E-2</v>
      </c>
      <c r="AC721" s="160">
        <v>28.3415498477945</v>
      </c>
      <c r="AD721" s="162">
        <v>0.90098603156325996</v>
      </c>
      <c r="AE721" s="161">
        <v>3.1145980334555099</v>
      </c>
    </row>
    <row r="722" spans="1:31" ht="21.2" customHeight="1">
      <c r="A722" s="8" t="s">
        <v>282</v>
      </c>
      <c r="B722" s="158" t="s">
        <v>862</v>
      </c>
      <c r="C722" s="159">
        <v>29</v>
      </c>
      <c r="D722" s="158" t="s">
        <v>79</v>
      </c>
      <c r="E722" s="58"/>
      <c r="F722" s="160"/>
      <c r="G722" s="161"/>
      <c r="H722" s="161"/>
      <c r="I722" s="161"/>
      <c r="J722" s="161"/>
      <c r="K722" s="161"/>
      <c r="L722" s="161"/>
      <c r="M722" s="161"/>
      <c r="N722" s="161"/>
      <c r="O722" s="161"/>
      <c r="P722" s="161"/>
      <c r="Q722" s="161"/>
      <c r="R722" s="161"/>
      <c r="S722" s="161"/>
      <c r="T722" s="161"/>
      <c r="U722" s="161"/>
      <c r="V722" s="161"/>
      <c r="W722" s="161"/>
      <c r="X722" s="58">
        <v>42</v>
      </c>
      <c r="Y722" s="161">
        <v>0.56918089703191699</v>
      </c>
      <c r="Z722" s="161">
        <v>0.30581910296808301</v>
      </c>
      <c r="AA722" s="161">
        <v>0.125</v>
      </c>
      <c r="AB722" s="161">
        <v>7.0946885591795697E-2</v>
      </c>
      <c r="AC722" s="160">
        <v>28.8176228204096</v>
      </c>
      <c r="AD722" s="162">
        <v>0.91678055723303298</v>
      </c>
      <c r="AE722" s="161">
        <v>2.6158784608403698</v>
      </c>
    </row>
    <row r="723" spans="1:31" ht="21.2" customHeight="1">
      <c r="A723" s="8" t="s">
        <v>607</v>
      </c>
      <c r="B723" s="158" t="s">
        <v>862</v>
      </c>
      <c r="C723" s="159">
        <v>27</v>
      </c>
      <c r="D723" s="158" t="s">
        <v>79</v>
      </c>
      <c r="E723" s="58"/>
      <c r="F723" s="160"/>
      <c r="G723" s="161"/>
      <c r="H723" s="161"/>
      <c r="I723" s="161"/>
      <c r="J723" s="161"/>
      <c r="K723" s="161"/>
      <c r="L723" s="161"/>
      <c r="M723" s="161"/>
      <c r="N723" s="161"/>
      <c r="O723" s="161"/>
      <c r="P723" s="161"/>
      <c r="Q723" s="161"/>
      <c r="R723" s="161"/>
      <c r="S723" s="161"/>
      <c r="T723" s="161"/>
      <c r="U723" s="161"/>
      <c r="V723" s="161"/>
      <c r="W723" s="161"/>
      <c r="X723" s="58">
        <v>36</v>
      </c>
      <c r="Y723" s="161">
        <v>0.48438848029485199</v>
      </c>
      <c r="Z723" s="161">
        <v>0.39061151970514801</v>
      </c>
      <c r="AA723" s="161">
        <v>0.125</v>
      </c>
      <c r="AB723" s="161">
        <v>2.7600714615440301E-2</v>
      </c>
      <c r="AC723" s="160">
        <v>28.250264561556801</v>
      </c>
      <c r="AD723" s="162">
        <v>0.89873108021879899</v>
      </c>
      <c r="AE723" s="161">
        <v>3.1832367196931899</v>
      </c>
    </row>
    <row r="724" spans="1:31" ht="21.2" customHeight="1">
      <c r="A724" s="8" t="s">
        <v>238</v>
      </c>
      <c r="B724" s="158" t="s">
        <v>866</v>
      </c>
      <c r="C724" s="159">
        <v>26</v>
      </c>
      <c r="D724" s="158" t="s">
        <v>79</v>
      </c>
      <c r="E724" s="58"/>
      <c r="F724" s="160"/>
      <c r="G724" s="161"/>
      <c r="H724" s="161"/>
      <c r="I724" s="161"/>
      <c r="J724" s="161"/>
      <c r="K724" s="161"/>
      <c r="L724" s="161"/>
      <c r="M724" s="161"/>
      <c r="N724" s="161"/>
      <c r="O724" s="161"/>
      <c r="P724" s="161"/>
      <c r="Q724" s="161"/>
      <c r="R724" s="161"/>
      <c r="S724" s="161"/>
      <c r="T724" s="161"/>
      <c r="U724" s="161"/>
      <c r="V724" s="161"/>
      <c r="W724" s="161"/>
      <c r="X724" s="58">
        <v>50</v>
      </c>
      <c r="Y724" s="161">
        <v>0.60572961922860702</v>
      </c>
      <c r="Z724" s="161">
        <v>0.26927038077139298</v>
      </c>
      <c r="AA724" s="161">
        <v>0.125</v>
      </c>
      <c r="AB724" s="161">
        <v>5.7977343238271598E-2</v>
      </c>
      <c r="AC724" s="160">
        <v>28.516923012641001</v>
      </c>
      <c r="AD724" s="162">
        <v>0.911009295112711</v>
      </c>
      <c r="AE724" s="161">
        <v>2.7856368686090098</v>
      </c>
    </row>
    <row r="725" spans="1:31" ht="21.2" customHeight="1">
      <c r="A725" s="8" t="s">
        <v>727</v>
      </c>
      <c r="B725" s="158" t="s">
        <v>866</v>
      </c>
      <c r="C725" s="159">
        <v>25</v>
      </c>
      <c r="D725" s="158" t="s">
        <v>79</v>
      </c>
      <c r="E725" s="58"/>
      <c r="F725" s="160"/>
      <c r="G725" s="161"/>
      <c r="H725" s="161"/>
      <c r="I725" s="161"/>
      <c r="J725" s="161"/>
      <c r="K725" s="161"/>
      <c r="L725" s="161"/>
      <c r="M725" s="161"/>
      <c r="N725" s="161"/>
      <c r="O725" s="161"/>
      <c r="P725" s="161"/>
      <c r="Q725" s="161"/>
      <c r="R725" s="161"/>
      <c r="S725" s="161"/>
      <c r="T725" s="161"/>
      <c r="U725" s="161"/>
      <c r="V725" s="161"/>
      <c r="W725" s="161"/>
      <c r="X725" s="58">
        <v>24</v>
      </c>
      <c r="Y725" s="161">
        <v>0.57080277380392597</v>
      </c>
      <c r="Z725" s="161">
        <v>0.30419722619607398</v>
      </c>
      <c r="AA725" s="161">
        <v>0.125</v>
      </c>
      <c r="AB725" s="161">
        <v>4.2724297798615203E-2</v>
      </c>
      <c r="AC725" s="160">
        <v>28.317275821022498</v>
      </c>
      <c r="AD725" s="162">
        <v>0.90463131221367898</v>
      </c>
      <c r="AE725" s="161">
        <v>2.9852840602275501</v>
      </c>
    </row>
    <row r="726" spans="1:31" ht="21.2" customHeight="1">
      <c r="A726" s="8" t="s">
        <v>831</v>
      </c>
      <c r="B726" s="158" t="s">
        <v>866</v>
      </c>
      <c r="C726" s="159">
        <v>29</v>
      </c>
      <c r="D726" s="158" t="s">
        <v>79</v>
      </c>
      <c r="E726" s="58"/>
      <c r="F726" s="160"/>
      <c r="G726" s="161"/>
      <c r="H726" s="161"/>
      <c r="I726" s="161"/>
      <c r="J726" s="161"/>
      <c r="K726" s="161"/>
      <c r="L726" s="161"/>
      <c r="M726" s="161"/>
      <c r="N726" s="161"/>
      <c r="O726" s="161"/>
      <c r="P726" s="161"/>
      <c r="Q726" s="161"/>
      <c r="R726" s="161"/>
      <c r="S726" s="161"/>
      <c r="T726" s="161"/>
      <c r="U726" s="161"/>
      <c r="V726" s="161"/>
      <c r="W726" s="161"/>
      <c r="X726" s="58">
        <v>8</v>
      </c>
      <c r="Y726" s="161">
        <v>0.55340695764376702</v>
      </c>
      <c r="Z726" s="161">
        <v>0.32159304235623298</v>
      </c>
      <c r="AA726" s="161">
        <v>0.125</v>
      </c>
      <c r="AB726" s="161">
        <v>3.4774891854262399E-2</v>
      </c>
      <c r="AC726" s="160">
        <v>28.213226004996901</v>
      </c>
      <c r="AD726" s="162">
        <v>0.90130730879605803</v>
      </c>
      <c r="AE726" s="161">
        <v>3.08933387625311</v>
      </c>
    </row>
    <row r="727" spans="1:31" ht="21.2" customHeight="1">
      <c r="A727" s="8" t="s">
        <v>178</v>
      </c>
      <c r="B727" s="158" t="s">
        <v>873</v>
      </c>
      <c r="C727" s="159">
        <v>27</v>
      </c>
      <c r="D727" s="158" t="s">
        <v>79</v>
      </c>
      <c r="E727" s="58"/>
      <c r="F727" s="160"/>
      <c r="G727" s="161"/>
      <c r="H727" s="161"/>
      <c r="I727" s="161"/>
      <c r="J727" s="161"/>
      <c r="K727" s="161"/>
      <c r="L727" s="161"/>
      <c r="M727" s="161"/>
      <c r="N727" s="161"/>
      <c r="O727" s="161"/>
      <c r="P727" s="161"/>
      <c r="Q727" s="161"/>
      <c r="R727" s="161"/>
      <c r="S727" s="161"/>
      <c r="T727" s="161"/>
      <c r="U727" s="161"/>
      <c r="V727" s="161"/>
      <c r="W727" s="161"/>
      <c r="X727" s="58">
        <v>56</v>
      </c>
      <c r="Y727" s="161">
        <v>0.51438469550072796</v>
      </c>
      <c r="Z727" s="161">
        <v>0.36061530449927198</v>
      </c>
      <c r="AA727" s="161">
        <v>0.125</v>
      </c>
      <c r="AB727" s="161">
        <v>6.6515146133590705E-2</v>
      </c>
      <c r="AC727" s="160">
        <v>27.991175959438401</v>
      </c>
      <c r="AD727" s="162">
        <v>0.91280351668472703</v>
      </c>
      <c r="AE727" s="161">
        <v>2.67388552181164</v>
      </c>
    </row>
    <row r="728" spans="1:31" ht="21.2" customHeight="1">
      <c r="A728" s="8" t="s">
        <v>832</v>
      </c>
      <c r="B728" s="158" t="s">
        <v>873</v>
      </c>
      <c r="C728" s="159">
        <v>28</v>
      </c>
      <c r="D728" s="158" t="s">
        <v>79</v>
      </c>
      <c r="E728" s="58"/>
      <c r="F728" s="160"/>
      <c r="G728" s="161"/>
      <c r="H728" s="161"/>
      <c r="I728" s="161"/>
      <c r="J728" s="161"/>
      <c r="K728" s="161"/>
      <c r="L728" s="161"/>
      <c r="M728" s="161"/>
      <c r="N728" s="161"/>
      <c r="O728" s="161"/>
      <c r="P728" s="161"/>
      <c r="Q728" s="161"/>
      <c r="R728" s="161"/>
      <c r="S728" s="161"/>
      <c r="T728" s="161"/>
      <c r="U728" s="161"/>
      <c r="V728" s="161"/>
      <c r="W728" s="161"/>
      <c r="X728" s="58">
        <v>8</v>
      </c>
      <c r="Y728" s="161">
        <v>0.45286328355987299</v>
      </c>
      <c r="Z728" s="161">
        <v>0.42213671644012701</v>
      </c>
      <c r="AA728" s="161">
        <v>0.125</v>
      </c>
      <c r="AB728" s="161">
        <v>3.3075709569809202E-2</v>
      </c>
      <c r="AC728" s="160">
        <v>27.553486999179398</v>
      </c>
      <c r="AD728" s="162">
        <v>0.89853030348648999</v>
      </c>
      <c r="AE728" s="161">
        <v>3.11157448207056</v>
      </c>
    </row>
    <row r="729" spans="1:31" ht="21.2" customHeight="1">
      <c r="A729" s="8" t="s">
        <v>249</v>
      </c>
      <c r="B729" s="158" t="s">
        <v>886</v>
      </c>
      <c r="C729" s="159">
        <v>27</v>
      </c>
      <c r="D729" s="158" t="s">
        <v>79</v>
      </c>
      <c r="E729" s="58"/>
      <c r="F729" s="160"/>
      <c r="G729" s="161"/>
      <c r="H729" s="161"/>
      <c r="I729" s="161"/>
      <c r="J729" s="161"/>
      <c r="K729" s="161"/>
      <c r="L729" s="161"/>
      <c r="M729" s="161"/>
      <c r="N729" s="161"/>
      <c r="O729" s="161"/>
      <c r="P729" s="161"/>
      <c r="Q729" s="161"/>
      <c r="R729" s="161"/>
      <c r="S729" s="161"/>
      <c r="T729" s="161"/>
      <c r="U729" s="161"/>
      <c r="V729" s="161"/>
      <c r="W729" s="161"/>
      <c r="X729" s="58">
        <v>48</v>
      </c>
      <c r="Y729" s="161">
        <v>0.58270503237492199</v>
      </c>
      <c r="Z729" s="161">
        <v>0.29229496762507801</v>
      </c>
      <c r="AA729" s="161">
        <v>0.125</v>
      </c>
      <c r="AB729" s="161">
        <v>6.00805796868445E-2</v>
      </c>
      <c r="AC729" s="160">
        <v>28.138070085528099</v>
      </c>
      <c r="AD729" s="162">
        <v>0.91072981181760404</v>
      </c>
      <c r="AE729" s="161">
        <v>2.7581075957219299</v>
      </c>
    </row>
    <row r="730" spans="1:31" ht="21.2" customHeight="1">
      <c r="A730" s="8" t="s">
        <v>551</v>
      </c>
      <c r="B730" s="158" t="s">
        <v>886</v>
      </c>
      <c r="C730" s="159">
        <v>26</v>
      </c>
      <c r="D730" s="158" t="s">
        <v>79</v>
      </c>
      <c r="E730" s="58"/>
      <c r="F730" s="160"/>
      <c r="G730" s="161"/>
      <c r="H730" s="161"/>
      <c r="I730" s="161"/>
      <c r="J730" s="161"/>
      <c r="K730" s="161"/>
      <c r="L730" s="161"/>
      <c r="M730" s="161"/>
      <c r="N730" s="161"/>
      <c r="O730" s="161"/>
      <c r="P730" s="161"/>
      <c r="Q730" s="161"/>
      <c r="R730" s="161"/>
      <c r="S730" s="161"/>
      <c r="T730" s="161"/>
      <c r="U730" s="161"/>
      <c r="V730" s="161"/>
      <c r="W730" s="161"/>
      <c r="X730" s="58">
        <v>32</v>
      </c>
      <c r="Y730" s="161">
        <v>0.56840061320754598</v>
      </c>
      <c r="Z730" s="161">
        <v>0.30659938679245402</v>
      </c>
      <c r="AA730" s="161">
        <v>0.125</v>
      </c>
      <c r="AB730" s="161">
        <v>5.7540491581803702E-2</v>
      </c>
      <c r="AC730" s="160">
        <v>28.104822859022299</v>
      </c>
      <c r="AD730" s="162">
        <v>0.90965371668218697</v>
      </c>
      <c r="AE730" s="161">
        <v>2.7913548222276998</v>
      </c>
    </row>
    <row r="731" spans="1:31" ht="21.2" customHeight="1">
      <c r="A731" s="8" t="s">
        <v>142</v>
      </c>
      <c r="B731" s="158" t="s">
        <v>877</v>
      </c>
      <c r="C731" s="159">
        <v>30</v>
      </c>
      <c r="D731" s="158" t="s">
        <v>79</v>
      </c>
      <c r="E731" s="58"/>
      <c r="F731" s="160"/>
      <c r="G731" s="161"/>
      <c r="H731" s="161"/>
      <c r="I731" s="161"/>
      <c r="J731" s="161"/>
      <c r="K731" s="161"/>
      <c r="L731" s="161"/>
      <c r="M731" s="161"/>
      <c r="N731" s="161"/>
      <c r="O731" s="161"/>
      <c r="P731" s="161"/>
      <c r="Q731" s="161"/>
      <c r="R731" s="161"/>
      <c r="S731" s="161"/>
      <c r="T731" s="161"/>
      <c r="U731" s="161"/>
      <c r="V731" s="161"/>
      <c r="W731" s="161"/>
      <c r="X731" s="58">
        <v>62</v>
      </c>
      <c r="Y731" s="161">
        <v>0.54089740580788004</v>
      </c>
      <c r="Z731" s="161">
        <v>0.33410259419212002</v>
      </c>
      <c r="AA731" s="161">
        <v>0.125</v>
      </c>
      <c r="AB731" s="161">
        <v>7.9778404248772805E-2</v>
      </c>
      <c r="AC731" s="160">
        <v>27.267530914349098</v>
      </c>
      <c r="AD731" s="162">
        <v>0.91600717801875298</v>
      </c>
      <c r="AE731" s="161">
        <v>2.5002826669008802</v>
      </c>
    </row>
    <row r="732" spans="1:31" ht="21.2" customHeight="1">
      <c r="A732" s="8" t="s">
        <v>815</v>
      </c>
      <c r="B732" s="158" t="s">
        <v>877</v>
      </c>
      <c r="C732" s="159">
        <v>30</v>
      </c>
      <c r="D732" s="158" t="s">
        <v>79</v>
      </c>
      <c r="E732" s="58"/>
      <c r="F732" s="160"/>
      <c r="G732" s="161"/>
      <c r="H732" s="161"/>
      <c r="I732" s="161"/>
      <c r="J732" s="161"/>
      <c r="K732" s="161"/>
      <c r="L732" s="161"/>
      <c r="M732" s="161"/>
      <c r="N732" s="161"/>
      <c r="O732" s="161"/>
      <c r="P732" s="161"/>
      <c r="Q732" s="161"/>
      <c r="R732" s="161"/>
      <c r="S732" s="161"/>
      <c r="T732" s="161"/>
      <c r="U732" s="161"/>
      <c r="V732" s="161"/>
      <c r="W732" s="161"/>
      <c r="X732" s="58">
        <v>18</v>
      </c>
      <c r="Y732" s="161">
        <v>0.48158046977778701</v>
      </c>
      <c r="Z732" s="161">
        <v>0.39341953022221299</v>
      </c>
      <c r="AA732" s="161">
        <v>0.125</v>
      </c>
      <c r="AB732" s="161">
        <v>4.8176437957596303E-2</v>
      </c>
      <c r="AC732" s="160">
        <v>26.853892612108599</v>
      </c>
      <c r="AD732" s="162">
        <v>0.90211168982270096</v>
      </c>
      <c r="AE732" s="161">
        <v>2.9139209691414099</v>
      </c>
    </row>
    <row r="733" spans="1:31" ht="21.2" customHeight="1">
      <c r="A733" s="8" t="s">
        <v>252</v>
      </c>
      <c r="B733" s="158" t="s">
        <v>882</v>
      </c>
      <c r="C733" s="159">
        <v>33</v>
      </c>
      <c r="D733" s="158" t="s">
        <v>79</v>
      </c>
      <c r="E733" s="58"/>
      <c r="F733" s="160"/>
      <c r="G733" s="161"/>
      <c r="H733" s="161"/>
      <c r="I733" s="161"/>
      <c r="J733" s="161"/>
      <c r="K733" s="161"/>
      <c r="L733" s="161"/>
      <c r="M733" s="161"/>
      <c r="N733" s="161"/>
      <c r="O733" s="161"/>
      <c r="P733" s="161"/>
      <c r="Q733" s="161"/>
      <c r="R733" s="161"/>
      <c r="S733" s="161"/>
      <c r="T733" s="161"/>
      <c r="U733" s="161"/>
      <c r="V733" s="161"/>
      <c r="W733" s="161"/>
      <c r="X733" s="58">
        <v>52</v>
      </c>
      <c r="Y733" s="161">
        <v>0.45812320981483101</v>
      </c>
      <c r="Z733" s="161">
        <v>0.41687679018516899</v>
      </c>
      <c r="AA733" s="161">
        <v>0.125</v>
      </c>
      <c r="AB733" s="161">
        <v>5.5386908190427402E-2</v>
      </c>
      <c r="AC733" s="160">
        <v>29.393461494737299</v>
      </c>
      <c r="AD733" s="162">
        <v>0.91247189999302702</v>
      </c>
      <c r="AE733" s="161">
        <v>2.8195430865127298</v>
      </c>
    </row>
    <row r="734" spans="1:31" ht="21.2" customHeight="1">
      <c r="A734" s="8" t="s">
        <v>754</v>
      </c>
      <c r="B734" s="158" t="s">
        <v>882</v>
      </c>
      <c r="C734" s="159">
        <v>29</v>
      </c>
      <c r="D734" s="158" t="s">
        <v>79</v>
      </c>
      <c r="E734" s="58"/>
      <c r="F734" s="160"/>
      <c r="G734" s="161"/>
      <c r="H734" s="161"/>
      <c r="I734" s="161"/>
      <c r="J734" s="161"/>
      <c r="K734" s="161"/>
      <c r="L734" s="161"/>
      <c r="M734" s="161"/>
      <c r="N734" s="161"/>
      <c r="O734" s="161"/>
      <c r="P734" s="161"/>
      <c r="Q734" s="161"/>
      <c r="R734" s="161"/>
      <c r="S734" s="161"/>
      <c r="T734" s="161"/>
      <c r="U734" s="161"/>
      <c r="V734" s="161"/>
      <c r="W734" s="161"/>
      <c r="X734" s="58">
        <v>24</v>
      </c>
      <c r="Y734" s="161">
        <v>0.408041966593023</v>
      </c>
      <c r="Z734" s="161">
        <v>0.466958033406977</v>
      </c>
      <c r="AA734" s="161">
        <v>0.125</v>
      </c>
      <c r="AB734" s="161">
        <v>3.2224727616038298E-2</v>
      </c>
      <c r="AC734" s="160">
        <v>29.090291591931098</v>
      </c>
      <c r="AD734" s="162">
        <v>0.90306048659812099</v>
      </c>
      <c r="AE734" s="161">
        <v>3.1227129893188699</v>
      </c>
    </row>
  </sheetData>
  <mergeCells count="2">
    <mergeCell ref="F1:V1"/>
    <mergeCell ref="X1:AE1"/>
  </mergeCells>
  <pageMargins left="1" right="1" top="1" bottom="1" header="0.25" footer="0.25"/>
  <pageSetup orientation="portrait"/>
  <headerFooter>
    <oddFooter>&amp;C&amp;"Helvetica,Regular"&amp;12&amp;K000000&amp;P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E731"/>
  <sheetViews>
    <sheetView showGridLines="0" workbookViewId="0">
      <pane ySplit="1" topLeftCell="A2" activePane="bottomLeft" state="frozen"/>
      <selection pane="bottomLeft"/>
    </sheetView>
  </sheetViews>
  <sheetFormatPr defaultColWidth="8" defaultRowHeight="16.350000000000001" customHeight="1"/>
  <cols>
    <col min="1" max="1" width="28.28515625" style="1" customWidth="1"/>
    <col min="2" max="3" width="8.28515625" style="1" customWidth="1"/>
    <col min="4" max="21" width="7.140625" style="1" customWidth="1"/>
    <col min="22" max="22" width="2.28515625" style="1" customWidth="1"/>
    <col min="23" max="30" width="7.140625" style="1" customWidth="1"/>
    <col min="31" max="31" width="2.28515625" style="1" customWidth="1"/>
    <col min="32" max="32" width="8" style="1" customWidth="1"/>
    <col min="33" max="16384" width="8" style="1"/>
  </cols>
  <sheetData>
    <row r="1" spans="1:31" ht="28.35" customHeight="1">
      <c r="A1" s="25" t="s">
        <v>64</v>
      </c>
      <c r="B1" s="26" t="s">
        <v>67</v>
      </c>
      <c r="C1" s="27" t="s">
        <v>70</v>
      </c>
      <c r="D1" s="30" t="s">
        <v>77</v>
      </c>
      <c r="E1" s="30" t="s">
        <v>78</v>
      </c>
      <c r="F1" s="30" t="s">
        <v>79</v>
      </c>
      <c r="G1" s="30" t="s">
        <v>80</v>
      </c>
      <c r="H1" s="30" t="s">
        <v>81</v>
      </c>
      <c r="I1" s="30" t="s">
        <v>82</v>
      </c>
      <c r="J1" s="30" t="s">
        <v>83</v>
      </c>
      <c r="K1" s="30" t="s">
        <v>84</v>
      </c>
      <c r="L1" s="30" t="s">
        <v>85</v>
      </c>
      <c r="M1" s="30" t="s">
        <v>86</v>
      </c>
      <c r="N1" s="30" t="s">
        <v>87</v>
      </c>
      <c r="O1" s="30" t="s">
        <v>88</v>
      </c>
      <c r="P1" s="30" t="s">
        <v>89</v>
      </c>
      <c r="Q1" s="30" t="s">
        <v>90</v>
      </c>
      <c r="R1" s="30" t="s">
        <v>91</v>
      </c>
      <c r="S1" s="30" t="s">
        <v>92</v>
      </c>
      <c r="T1" s="30" t="s">
        <v>93</v>
      </c>
      <c r="U1" s="30" t="s">
        <v>94</v>
      </c>
      <c r="V1" s="28"/>
      <c r="W1" s="30" t="s">
        <v>77</v>
      </c>
      <c r="X1" s="30" t="s">
        <v>95</v>
      </c>
      <c r="Y1" s="30" t="s">
        <v>96</v>
      </c>
      <c r="Z1" s="30" t="s">
        <v>97</v>
      </c>
      <c r="AA1" s="30" t="s">
        <v>98</v>
      </c>
      <c r="AB1" s="30" t="s">
        <v>99</v>
      </c>
      <c r="AC1" s="30" t="s">
        <v>101</v>
      </c>
      <c r="AD1" s="30" t="s">
        <v>102</v>
      </c>
      <c r="AE1" s="28"/>
    </row>
    <row r="2" spans="1:31" ht="21.2" customHeight="1">
      <c r="A2" s="8" t="s">
        <v>103</v>
      </c>
      <c r="B2" s="34" t="str">
        <f>VLOOKUP(A2,'Player Data'!A1:B734,2,FALSE)</f>
        <v>EDM</v>
      </c>
      <c r="C2" s="36">
        <f>((E2)*Settings!$C$12)+(F2*Settings!$C$2)+(G2*Settings!$C$3)+(H2*Settings!$C$4)+(I2*Settings!$C$5)+(K2*Settings!$C$9)+(N2*Settings!$C$6)+(J2*Settings!$C$8)+(O2*Settings!$C$7)+(P2*Settings!$C$14)+(Q2*Settings!$C$15)+(R2*Settings!$C$16)+(S2*Settings!$C$17)+(T2*Settings!$C$18)+(U2*Settings!$C$19)+(L2*Settings!$C$10)+(Settings!$C$11*M2)</f>
        <v>21.26693059622556</v>
      </c>
      <c r="D2" s="40">
        <f>IF(Settings!$E$12="YES",VLOOKUP(A2,'Player Data'!A1:E734,5,FALSE),82)</f>
        <v>82</v>
      </c>
      <c r="E2" s="38">
        <f>(VLOOKUP($A2,'The List'!$B1:$AH730,17,FALSE)-AVERAGE('The List'!R2:R730))/STDEV('The List'!R2:R730)</f>
        <v>1.5642656148044618</v>
      </c>
      <c r="F2" s="38">
        <f>(VLOOKUP($A2,'The List'!$B1:$AH730,18,FALSE)-AVERAGE('The List'!S2:S730))/STDEV('The List'!S2:S730)</f>
        <v>3.836579344142661</v>
      </c>
      <c r="G2" s="38">
        <f>(VLOOKUP($A2,'The List'!$B1:$AH730,19,FALSE)-AVERAGE('The List'!T2:T730))/STDEV('The List'!T2:T730)</f>
        <v>4.5498554816701899</v>
      </c>
      <c r="H2" s="38">
        <f>(VLOOKUP($A2,'The List'!$B1:$AH730,20,FALSE)-AVERAGE('The List'!U2:U730))/STDEV('The List'!U2:U730)</f>
        <v>4.5795878096444467</v>
      </c>
      <c r="I2" s="38">
        <f>(VLOOKUP($A2,'The List'!$B1:$AH730,21,FALSE)-AVERAGE('The List'!V2:V730))/STDEV('The List'!V2:V730)</f>
        <v>3.192096390540363</v>
      </c>
      <c r="J2" s="38">
        <f>(VLOOKUP($A2,'The List'!$B1:$AH730,22,FALSE)-AVERAGE('The List'!W2:W730))/STDEV('The List'!W2:W730)</f>
        <v>3.5005695280556619</v>
      </c>
      <c r="K2" s="38">
        <f>(VLOOKUP($A2,'The List'!$B1:$AH730,23,FALSE)-AVERAGE('The List'!X2:X730))/STDEV('The List'!X2:X730)</f>
        <v>5.1088115702279007</v>
      </c>
      <c r="L2" s="38">
        <f>(VLOOKUP($A2,'The List'!$B1:$AH730,24,FALSE)-AVERAGE('The List'!Y2:Y730))/STDEV('The List'!Y2:Y730)</f>
        <v>2.6935834961601621</v>
      </c>
      <c r="M2" s="38">
        <f>(VLOOKUP($A2,'The List'!$B1:$AH730,25,FALSE)-AVERAGE('The List'!Z2:Z730))/STDEV('The List'!Z2:Z730)</f>
        <v>3.6323317530498027</v>
      </c>
      <c r="N2" s="38">
        <f>(VLOOKUP($A2,'The List'!$B1:$AH730,26,FALSE)-AVERAGE('The List'!AA2:AA730))/STDEV('The List'!AA2:AA730)</f>
        <v>-0.6828438520270157</v>
      </c>
      <c r="O2" s="38">
        <f>(VLOOKUP($A2,'The List'!$B1:$AH730,27,FALSE)-AVERAGE('The List'!AB2:AB730))/STDEV('The List'!AB2:AB730)</f>
        <v>-0.35608805427525703</v>
      </c>
      <c r="P2" s="38">
        <f>(VLOOKUP($A2,'The List'!$B1:$AH730,28,FALSE)-AVERAGE('The List'!AC2:AC730))/STDEV('The List'!AC2:AC730)</f>
        <v>2.4141168460221079</v>
      </c>
      <c r="Q2" s="38">
        <f>(VLOOKUP($A2,'The List'!$B1:$AH730,29,FALSE)-AVERAGE('The List'!AD2:AD730))/STDEV('The List'!AD2:AD730)</f>
        <v>0.11728197269731662</v>
      </c>
      <c r="R2" s="38">
        <f>(VLOOKUP($A2,'The List'!$B1:$AH730,30,FALSE)-AVERAGE('The List'!AE2:AE730))/STDEV('The List'!AE2:AE730)</f>
        <v>4.1153579929720854</v>
      </c>
      <c r="S2" s="38">
        <f>(VLOOKUP($A2,'The List'!$B1:$AH730,31,FALSE)-AVERAGE('The List'!AF2:AF730))/STDEV('The List'!AF2:AF730)</f>
        <v>1.9040092318273774</v>
      </c>
      <c r="T2" s="38">
        <f>(VLOOKUP($A2,'The List'!$B1:$AH730,32,FALSE)-AVERAGE('The List'!AG2:AG730))/STDEV('The List'!AG2:AG730)</f>
        <v>1.7734660224357306</v>
      </c>
      <c r="U2" s="38">
        <f>(VLOOKUP($A2,'The List'!$B1:$AH730,33,FALSE)-AVERAGE('The List'!AH2:AH730))/STDEV('The List'!AH2:AH730)</f>
        <v>1.1168373296650511</v>
      </c>
      <c r="V2" s="38"/>
      <c r="W2" s="42"/>
      <c r="X2" s="40"/>
      <c r="Y2" s="40"/>
      <c r="Z2" s="40"/>
      <c r="AA2" s="40"/>
      <c r="AB2" s="40"/>
      <c r="AC2" s="43"/>
      <c r="AD2" s="44"/>
      <c r="AE2" s="38"/>
    </row>
    <row r="3" spans="1:31" ht="21.2" customHeight="1">
      <c r="A3" s="8" t="s">
        <v>105</v>
      </c>
      <c r="B3" s="34" t="str">
        <f>VLOOKUP(A3,'Player Data'!A1:B734,2,FALSE)</f>
        <v>EDM</v>
      </c>
      <c r="C3" s="36">
        <f>((E3)*Settings!$C$12)+(F3*Settings!$C$2)+(G3*Settings!$C$3)+(H3*Settings!$C$4)+(I3*Settings!$C$5)+(K3*Settings!$C$9)+(N3*Settings!$C$6)+(J3*Settings!$C$8)+(O3*Settings!$C$7)+(P3*Settings!$C$14)+(Q3*Settings!$C$15)+(R3*Settings!$C$16)+(S3*Settings!$C$17)+(T3*Settings!$C$18)+(U3*Settings!$C$19)+(L3*Settings!$C$10)+(Settings!$C$11*M3)</f>
        <v>16.883257255265598</v>
      </c>
      <c r="D3" s="40">
        <f>IF(Settings!$E$12="YES",VLOOKUP(A3,'Player Data'!A1:E734,5,FALSE),82)</f>
        <v>82</v>
      </c>
      <c r="E3" s="38">
        <f>(VLOOKUP($A3,'The List'!$B1:$AH730,17,FALSE)-AVERAGE('The List'!R2:R730))/STDEV('The List'!R2:R730)</f>
        <v>1.3971819552240232</v>
      </c>
      <c r="F3" s="38">
        <f>(VLOOKUP($A3,'The List'!$B1:$AH730,18,FALSE)-AVERAGE('The List'!S2:S730))/STDEV('The List'!S2:S730)</f>
        <v>3.5954252122756389</v>
      </c>
      <c r="G3" s="38">
        <f>(VLOOKUP($A3,'The List'!$B1:$AH730,19,FALSE)-AVERAGE('The List'!T2:T730))/STDEV('The List'!T2:T730)</f>
        <v>3.2406077928496351</v>
      </c>
      <c r="H3" s="38">
        <f>(VLOOKUP($A3,'The List'!$B1:$AH730,20,FALSE)-AVERAGE('The List'!U2:U730))/STDEV('The List'!U2:U730)</f>
        <v>3.6628975269644908</v>
      </c>
      <c r="I3" s="38">
        <f>(VLOOKUP($A3,'The List'!$B1:$AH730,21,FALSE)-AVERAGE('The List'!V2:V730))/STDEV('The List'!V2:V730)</f>
        <v>1.9017882991948782</v>
      </c>
      <c r="J3" s="38">
        <f>(VLOOKUP($A3,'The List'!$B1:$AH730,22,FALSE)-AVERAGE('The List'!W2:W730))/STDEV('The List'!W2:W730)</f>
        <v>6.4850098654853152</v>
      </c>
      <c r="K3" s="38">
        <f>(VLOOKUP($A3,'The List'!$B1:$AH730,23,FALSE)-AVERAGE('The List'!X2:X730))/STDEV('The List'!X2:X730)</f>
        <v>4.4825384239809534</v>
      </c>
      <c r="L3" s="38">
        <f>(VLOOKUP($A3,'The List'!$B1:$AH730,24,FALSE)-AVERAGE('The List'!Y2:Y730))/STDEV('The List'!Y2:Y730)</f>
        <v>0.5970962970878404</v>
      </c>
      <c r="M3" s="38">
        <f>(VLOOKUP($A3,'The List'!$B1:$AH730,25,FALSE)-AVERAGE('The List'!Z2:Z730))/STDEV('The List'!Z2:Z730)</f>
        <v>0.38397793605930092</v>
      </c>
      <c r="N3" s="38">
        <f>(VLOOKUP($A3,'The List'!$B1:$AH730,26,FALSE)-AVERAGE('The List'!AA2:AA730))/STDEV('The List'!AA2:AA730)</f>
        <v>-0.71435778420879892</v>
      </c>
      <c r="O3" s="38">
        <f>(VLOOKUP($A3,'The List'!$B1:$AH730,27,FALSE)-AVERAGE('The List'!AB2:AB730))/STDEV('The List'!AB2:AB730)</f>
        <v>-0.7700316502316622</v>
      </c>
      <c r="P3" s="38">
        <f>(VLOOKUP($A3,'The List'!$B1:$AH730,28,FALSE)-AVERAGE('The List'!AC2:AC730))/STDEV('The List'!AC2:AC730)</f>
        <v>1.516401557826792</v>
      </c>
      <c r="Q3" s="38">
        <f>(VLOOKUP($A3,'The List'!$B1:$AH730,29,FALSE)-AVERAGE('The List'!AD2:AD730))/STDEV('The List'!AD2:AD730)</f>
        <v>-0.10449030527075866</v>
      </c>
      <c r="R3" s="38">
        <f>(VLOOKUP($A3,'The List'!$B1:$AH730,30,FALSE)-AVERAGE('The List'!AE2:AE730))/STDEV('The List'!AE2:AE730)</f>
        <v>3.8667747243357518</v>
      </c>
      <c r="S3" s="38">
        <f>(VLOOKUP($A3,'The List'!$B1:$AH730,31,FALSE)-AVERAGE('The List'!AF2:AF730))/STDEV('The List'!AF2:AF730)</f>
        <v>3.3245873068553253</v>
      </c>
      <c r="T3" s="38">
        <f>(VLOOKUP($A3,'The List'!$B1:$AH730,32,FALSE)-AVERAGE('The List'!AG2:AG730))/STDEV('The List'!AG2:AG730)</f>
        <v>2.8029345099867697</v>
      </c>
      <c r="U3" s="38">
        <f>(VLOOKUP($A3,'The List'!$B1:$AH730,33,FALSE)-AVERAGE('The List'!AH2:AH730))/STDEV('The List'!AH2:AH730)</f>
        <v>1.2241835884156165</v>
      </c>
      <c r="V3" s="38"/>
      <c r="W3" s="40"/>
      <c r="X3" s="40"/>
      <c r="Y3" s="40"/>
      <c r="Z3" s="40"/>
      <c r="AA3" s="40"/>
      <c r="AB3" s="40"/>
      <c r="AC3" s="43"/>
      <c r="AD3" s="44"/>
      <c r="AE3" s="38"/>
    </row>
    <row r="4" spans="1:31" ht="21.2" customHeight="1">
      <c r="A4" s="8" t="s">
        <v>106</v>
      </c>
      <c r="B4" s="34" t="str">
        <f>VLOOKUP(A4,'Player Data'!A1:B734,2,FALSE)</f>
        <v>COL</v>
      </c>
      <c r="C4" s="36">
        <f>((E4)*Settings!$C$12)+(F4*Settings!$C$2)+(G4*Settings!$C$3)+(H4*Settings!$C$4)+(I4*Settings!$C$5)+(K4*Settings!$C$9)+(N4*Settings!$C$6)+(J4*Settings!$C$8)+(O4*Settings!$C$7)+(P4*Settings!$C$14)+(Q4*Settings!$C$15)+(R4*Settings!$C$16)+(S4*Settings!$C$17)+(T4*Settings!$C$18)+(U4*Settings!$C$19)+(L4*Settings!$C$10)+(Settings!$C$11*M4)</f>
        <v>17.302036611371435</v>
      </c>
      <c r="D4" s="40">
        <f>IF(Settings!$E$12="YES",VLOOKUP(A4,'Player Data'!A1:E734,5,FALSE),82)</f>
        <v>82</v>
      </c>
      <c r="E4" s="38">
        <f>(VLOOKUP($A4,'The List'!$B1:$AH730,17,FALSE)-AVERAGE('The List'!R2:R730))/STDEV('The List'!R2:R730)</f>
        <v>1.5405526925906912</v>
      </c>
      <c r="F4" s="38">
        <f>(VLOOKUP($A4,'The List'!$B1:$AH730,18,FALSE)-AVERAGE('The List'!S2:S730))/STDEV('The List'!S2:S730)</f>
        <v>2.8594959133210471</v>
      </c>
      <c r="G4" s="38">
        <f>(VLOOKUP($A4,'The List'!$B1:$AH730,19,FALSE)-AVERAGE('The List'!T2:T730))/STDEV('The List'!T2:T730)</f>
        <v>3.6979353437464582</v>
      </c>
      <c r="H4" s="38">
        <f>(VLOOKUP($A4,'The List'!$B1:$AH730,20,FALSE)-AVERAGE('The List'!U2:U730))/STDEV('The List'!U2:U730)</f>
        <v>3.6018295427860876</v>
      </c>
      <c r="I4" s="38">
        <f>(VLOOKUP($A4,'The List'!$B1:$AH730,21,FALSE)-AVERAGE('The List'!V2:V730))/STDEV('The List'!V2:V730)</f>
        <v>4.2779208141375822</v>
      </c>
      <c r="J4" s="38">
        <f>(VLOOKUP($A4,'The List'!$B1:$AH730,22,FALSE)-AVERAGE('The List'!W2:W730))/STDEV('The List'!W2:W730)</f>
        <v>2.4388092122163219</v>
      </c>
      <c r="K4" s="38">
        <f>(VLOOKUP($A4,'The List'!$B1:$AH730,23,FALSE)-AVERAGE('The List'!X2:X730))/STDEV('The List'!X2:X730)</f>
        <v>2.8648549973802608</v>
      </c>
      <c r="L4" s="38">
        <f>(VLOOKUP($A4,'The List'!$B1:$AH730,24,FALSE)-AVERAGE('The List'!Y2:Y730))/STDEV('The List'!Y2:Y730)</f>
        <v>-0.46682236127003301</v>
      </c>
      <c r="M4" s="38">
        <f>(VLOOKUP($A4,'The List'!$B1:$AH730,25,FALSE)-AVERAGE('The List'!Z2:Z730))/STDEV('The List'!Z2:Z730)</f>
        <v>-0.6367412351551176</v>
      </c>
      <c r="N4" s="38">
        <f>(VLOOKUP($A4,'The List'!$B1:$AH730,26,FALSE)-AVERAGE('The List'!AA2:AA730))/STDEV('The List'!AA2:AA730)</f>
        <v>-0.44923631591338631</v>
      </c>
      <c r="O4" s="38">
        <f>(VLOOKUP($A4,'The List'!$B1:$AH730,27,FALSE)-AVERAGE('The List'!AB2:AB730))/STDEV('The List'!AB2:AB730)</f>
        <v>-0.6464184668307128</v>
      </c>
      <c r="P4" s="38">
        <f>(VLOOKUP($A4,'The List'!$B1:$AH730,28,FALSE)-AVERAGE('The List'!AC2:AC730))/STDEV('The List'!AC2:AC730)</f>
        <v>2.1115836063773008</v>
      </c>
      <c r="Q4" s="38">
        <f>(VLOOKUP($A4,'The List'!$B1:$AH730,29,FALSE)-AVERAGE('The List'!AD2:AD730))/STDEV('The List'!AD2:AD730)</f>
        <v>0.65827004148037638</v>
      </c>
      <c r="R4" s="38">
        <f>(VLOOKUP($A4,'The List'!$B1:$AH730,30,FALSE)-AVERAGE('The List'!AE2:AE730))/STDEV('The List'!AE2:AE730)</f>
        <v>3.1061303220673349</v>
      </c>
      <c r="S4" s="38">
        <f>(VLOOKUP($A4,'The List'!$B1:$AH730,31,FALSE)-AVERAGE('The List'!AF2:AF730))/STDEV('The List'!AF2:AF730)</f>
        <v>2.1439129795226539</v>
      </c>
      <c r="T4" s="38">
        <f>(VLOOKUP($A4,'The List'!$B1:$AH730,32,FALSE)-AVERAGE('The List'!AG2:AG730))/STDEV('The List'!AG2:AG730)</f>
        <v>2.8037721198222498</v>
      </c>
      <c r="U4" s="38">
        <f>(VLOOKUP($A4,'The List'!$B1:$AH730,33,FALSE)-AVERAGE('The List'!AH2:AH730))/STDEV('The List'!AH2:AH730)</f>
        <v>0.81708175049622822</v>
      </c>
      <c r="V4" s="38"/>
      <c r="W4" s="42"/>
      <c r="X4" s="40"/>
      <c r="Y4" s="40"/>
      <c r="Z4" s="40"/>
      <c r="AA4" s="40"/>
      <c r="AB4" s="40"/>
      <c r="AC4" s="43"/>
      <c r="AD4" s="44"/>
      <c r="AE4" s="38"/>
    </row>
    <row r="5" spans="1:31" ht="21.2" customHeight="1">
      <c r="A5" s="8" t="s">
        <v>110</v>
      </c>
      <c r="B5" s="34" t="str">
        <f>VLOOKUP(A5,'Player Data'!A1:B734,2,FALSE)</f>
        <v>TBL</v>
      </c>
      <c r="C5" s="36">
        <f>((E5)*Settings!$C$12)+(F5*Settings!$C$2)+(G5*Settings!$C$3)+(H5*Settings!$C$4)+(I5*Settings!$C$5)+(K5*Settings!$C$9)+(N5*Settings!$C$6)+(J5*Settings!$C$8)+(O5*Settings!$C$7)+(P5*Settings!$C$14)+(Q5*Settings!$C$15)+(R5*Settings!$C$16)+(S5*Settings!$C$17)+(T5*Settings!$C$18)+(U5*Settings!$C$19)+(L5*Settings!$C$10)+(Settings!$C$11*M5)</f>
        <v>14.394723954666029</v>
      </c>
      <c r="D5" s="40">
        <f>IF(Settings!$E$12="YES",VLOOKUP(A5,'Player Data'!A1:E734,5,FALSE),82)</f>
        <v>82</v>
      </c>
      <c r="E5" s="38">
        <f>(VLOOKUP($A5,'The List'!$B1:$AH730,17,FALSE)-AVERAGE('The List'!R2:R730))/STDEV('The List'!R2:R730)</f>
        <v>0.9820256457890133</v>
      </c>
      <c r="F5" s="38">
        <f>(VLOOKUP($A5,'The List'!$B1:$AH730,18,FALSE)-AVERAGE('The List'!S2:S730))/STDEV('The List'!S2:S730)</f>
        <v>1.7708058412974785</v>
      </c>
      <c r="G5" s="38">
        <f>(VLOOKUP($A5,'The List'!$B1:$AH730,19,FALSE)-AVERAGE('The List'!T2:T730))/STDEV('The List'!T2:T730)</f>
        <v>3.6988147991509441</v>
      </c>
      <c r="H5" s="38">
        <f>(VLOOKUP($A5,'The List'!$B1:$AH730,20,FALSE)-AVERAGE('The List'!U2:U730))/STDEV('The List'!U2:U730)</f>
        <v>3.096267244783971</v>
      </c>
      <c r="I5" s="38">
        <f>(VLOOKUP($A5,'The List'!$B1:$AH730,21,FALSE)-AVERAGE('The List'!V2:V730))/STDEV('The List'!V2:V730)</f>
        <v>2.1116735015243711</v>
      </c>
      <c r="J5" s="38">
        <f>(VLOOKUP($A5,'The List'!$B1:$AH730,22,FALSE)-AVERAGE('The List'!W2:W730))/STDEV('The List'!W2:W730)</f>
        <v>1.7438927874599681</v>
      </c>
      <c r="K5" s="38">
        <f>(VLOOKUP($A5,'The List'!$B1:$AH730,23,FALSE)-AVERAGE('The List'!X2:X730))/STDEV('The List'!X2:X730)</f>
        <v>3.7171625679092641</v>
      </c>
      <c r="L5" s="38">
        <f>(VLOOKUP($A5,'The List'!$B1:$AH730,24,FALSE)-AVERAGE('The List'!Y2:Y730))/STDEV('The List'!Y2:Y730)</f>
        <v>-0.5183443071905256</v>
      </c>
      <c r="M5" s="38">
        <f>(VLOOKUP($A5,'The List'!$B1:$AH730,25,FALSE)-AVERAGE('The List'!Z2:Z730))/STDEV('The List'!Z2:Z730)</f>
        <v>-0.69626318386058272</v>
      </c>
      <c r="N5" s="38">
        <f>(VLOOKUP($A5,'The List'!$B1:$AH730,26,FALSE)-AVERAGE('The List'!AA2:AA730))/STDEV('The List'!AA2:AA730)</f>
        <v>-0.93212308230710439</v>
      </c>
      <c r="O5" s="38">
        <f>(VLOOKUP($A5,'The List'!$B1:$AH730,27,FALSE)-AVERAGE('The List'!AB2:AB730))/STDEV('The List'!AB2:AB730)</f>
        <v>-0.81268822948868502</v>
      </c>
      <c r="P5" s="38">
        <f>(VLOOKUP($A5,'The List'!$B1:$AH730,28,FALSE)-AVERAGE('The List'!AC2:AC730))/STDEV('The List'!AC2:AC730)</f>
        <v>0.28249802840664878</v>
      </c>
      <c r="Q5" s="38">
        <f>(VLOOKUP($A5,'The List'!$B1:$AH730,29,FALSE)-AVERAGE('The List'!AD2:AD730))/STDEV('The List'!AD2:AD730)</f>
        <v>0.21670333199186381</v>
      </c>
      <c r="R5" s="38">
        <f>(VLOOKUP($A5,'The List'!$B1:$AH730,30,FALSE)-AVERAGE('The List'!AE2:AE730))/STDEV('The List'!AE2:AE730)</f>
        <v>1.9493560679402286</v>
      </c>
      <c r="S5" s="38">
        <f>(VLOOKUP($A5,'The List'!$B1:$AH730,31,FALSE)-AVERAGE('The List'!AF2:AF730))/STDEV('The List'!AF2:AF730)</f>
        <v>-0.55984879843586566</v>
      </c>
      <c r="T5" s="38">
        <f>(VLOOKUP($A5,'The List'!$B1:$AH730,32,FALSE)-AVERAGE('The List'!AG2:AG730))/STDEV('The List'!AG2:AG730)</f>
        <v>-0.61510119871956948</v>
      </c>
      <c r="U5" s="38">
        <f>(VLOOKUP($A5,'The List'!$B1:$AH730,33,FALSE)-AVERAGE('The List'!AH2:AH730))/STDEV('The List'!AH2:AH730)</f>
        <v>3.2800218954524269</v>
      </c>
      <c r="V5" s="38"/>
      <c r="W5" s="42"/>
      <c r="X5" s="40"/>
      <c r="Y5" s="40"/>
      <c r="Z5" s="40"/>
      <c r="AA5" s="40"/>
      <c r="AB5" s="40"/>
      <c r="AC5" s="43"/>
      <c r="AD5" s="44"/>
      <c r="AE5" s="38"/>
    </row>
    <row r="6" spans="1:31" ht="21.2" customHeight="1">
      <c r="A6" s="8" t="s">
        <v>107</v>
      </c>
      <c r="B6" s="34" t="str">
        <f>VLOOKUP(A6,'Player Data'!A1:B734,2,FALSE)</f>
        <v>FLA</v>
      </c>
      <c r="C6" s="36">
        <f>((E6)*Settings!$C$12)+(F6*Settings!$C$2)+(G6*Settings!$C$3)+(H6*Settings!$C$4)+(I6*Settings!$C$5)+(K6*Settings!$C$9)+(N6*Settings!$C$6)+(J6*Settings!$C$8)+(O6*Settings!$C$7)+(P6*Settings!$C$14)+(Q6*Settings!$C$15)+(R6*Settings!$C$16)+(S6*Settings!$C$17)+(T6*Settings!$C$18)+(U6*Settings!$C$19)+(L6*Settings!$C$10)+(Settings!$C$11*M6)</f>
        <v>14.152386882929994</v>
      </c>
      <c r="D6" s="40">
        <f>IF(Settings!$E$12="YES",VLOOKUP(A6,'Player Data'!A1:E734,5,FALSE),82)</f>
        <v>82</v>
      </c>
      <c r="E6" s="38">
        <f>(VLOOKUP($A6,'The List'!$B1:$AH730,17,FALSE)-AVERAGE('The List'!R2:R730))/STDEV('The List'!R2:R730)</f>
        <v>0.98166026398066775</v>
      </c>
      <c r="F6" s="38">
        <f>(VLOOKUP($A6,'The List'!$B1:$AH730,18,FALSE)-AVERAGE('The List'!S2:S730))/STDEV('The List'!S2:S730)</f>
        <v>2.5889802726813409</v>
      </c>
      <c r="G6" s="38">
        <f>(VLOOKUP($A6,'The List'!$B1:$AH730,19,FALSE)-AVERAGE('The List'!T2:T730))/STDEV('The List'!T2:T730)</f>
        <v>3.0417614292252284</v>
      </c>
      <c r="H6" s="38">
        <f>(VLOOKUP($A6,'The List'!$B1:$AH730,20,FALSE)-AVERAGE('The List'!U2:U730))/STDEV('The List'!U2:U730)</f>
        <v>3.0728294083290555</v>
      </c>
      <c r="I6" s="38">
        <f>(VLOOKUP($A6,'The List'!$B1:$AH730,21,FALSE)-AVERAGE('The List'!V2:V730))/STDEV('The List'!V2:V730)</f>
        <v>2.7651998732110585</v>
      </c>
      <c r="J6" s="38">
        <f>(VLOOKUP($A6,'The List'!$B1:$AH730,22,FALSE)-AVERAGE('The List'!W2:W730))/STDEV('The List'!W2:W730)</f>
        <v>2.7431938344525402</v>
      </c>
      <c r="K6" s="38">
        <f>(VLOOKUP($A6,'The List'!$B1:$AH730,23,FALSE)-AVERAGE('The List'!X2:X730))/STDEV('The List'!X2:X730)</f>
        <v>2.683615899483311</v>
      </c>
      <c r="L6" s="38">
        <f>(VLOOKUP($A6,'The List'!$B1:$AH730,24,FALSE)-AVERAGE('The List'!Y2:Y730))/STDEV('The List'!Y2:Y730)</f>
        <v>-0.35206219652717174</v>
      </c>
      <c r="M6" s="38">
        <f>(VLOOKUP($A6,'The List'!$B1:$AH730,25,FALSE)-AVERAGE('The List'!Z2:Z730))/STDEV('The List'!Z2:Z730)</f>
        <v>-1.204139892062373E-2</v>
      </c>
      <c r="N6" s="38">
        <f>(VLOOKUP($A6,'The List'!$B1:$AH730,26,FALSE)-AVERAGE('The List'!AA2:AA730))/STDEV('The List'!AA2:AA730)</f>
        <v>-0.86393019475270638</v>
      </c>
      <c r="O6" s="38">
        <f>(VLOOKUP($A6,'The List'!$B1:$AH730,27,FALSE)-AVERAGE('The List'!AB2:AB730))/STDEV('The List'!AB2:AB730)</f>
        <v>-0.33525491965990273</v>
      </c>
      <c r="P6" s="38">
        <f>(VLOOKUP($A6,'The List'!$B1:$AH730,28,FALSE)-AVERAGE('The List'!AC2:AC730))/STDEV('The List'!AC2:AC730)</f>
        <v>2.4974592131689466</v>
      </c>
      <c r="Q6" s="38">
        <f>(VLOOKUP($A6,'The List'!$B1:$AH730,29,FALSE)-AVERAGE('The List'!AD2:AD730))/STDEV('The List'!AD2:AD730)</f>
        <v>2.5353419984719476</v>
      </c>
      <c r="R6" s="38">
        <f>(VLOOKUP($A6,'The List'!$B1:$AH730,30,FALSE)-AVERAGE('The List'!AE2:AE730))/STDEV('The List'!AE2:AE730)</f>
        <v>2.4468061557087264</v>
      </c>
      <c r="S6" s="38">
        <f>(VLOOKUP($A6,'The List'!$B1:$AH730,31,FALSE)-AVERAGE('The List'!AF2:AF730))/STDEV('The List'!AF2:AF730)</f>
        <v>-0.50456247148477695</v>
      </c>
      <c r="T6" s="38">
        <f>(VLOOKUP($A6,'The List'!$B1:$AH730,32,FALSE)-AVERAGE('The List'!AG2:AG730))/STDEV('The List'!AG2:AG730)</f>
        <v>-0.53248122368185169</v>
      </c>
      <c r="U6" s="38">
        <f>(VLOOKUP($A6,'The List'!$B1:$AH730,33,FALSE)-AVERAGE('The List'!AH2:AH730))/STDEV('The List'!AH2:AH730)</f>
        <v>0.79972248268970114</v>
      </c>
      <c r="V6" s="38"/>
      <c r="W6" s="42"/>
      <c r="X6" s="40"/>
      <c r="Y6" s="40"/>
      <c r="Z6" s="40"/>
      <c r="AA6" s="40"/>
      <c r="AB6" s="40"/>
      <c r="AC6" s="43"/>
      <c r="AD6" s="44"/>
      <c r="AE6" s="38"/>
    </row>
    <row r="7" spans="1:31" ht="21.2" customHeight="1">
      <c r="A7" s="8" t="s">
        <v>111</v>
      </c>
      <c r="B7" s="34" t="str">
        <f>VLOOKUP(A7,'Player Data'!A1:B734,2,FALSE)</f>
        <v>COL</v>
      </c>
      <c r="C7" s="36">
        <f>((E7)*Settings!$C$12)+(F7*Settings!$C$2)+(G7*Settings!$C$3)+(H7*Settings!$C$4)+(I7*Settings!$C$5)+(K7*Settings!$C$9)+(N7*Settings!$C$6)+(J7*Settings!$C$8)+(O7*Settings!$C$7)+(P7*Settings!$C$14)+(Q7*Settings!$C$15)+(R7*Settings!$C$16)+(S7*Settings!$C$17)+(T7*Settings!$C$18)+(U7*Settings!$C$19)+(L7*Settings!$C$10)+(Settings!$C$11*M7)</f>
        <v>13.949350066699878</v>
      </c>
      <c r="D7" s="40">
        <f>IF(Settings!$E$12="YES",VLOOKUP(A7,'Player Data'!A1:E734,5,FALSE),82)</f>
        <v>82</v>
      </c>
      <c r="E7" s="38">
        <f>(VLOOKUP($A7,'The List'!$B1:$AH730,17,FALSE)-AVERAGE('The List'!R2:R730))/STDEV('The List'!R2:R730)</f>
        <v>1.5110538799388473</v>
      </c>
      <c r="F7" s="38">
        <f>(VLOOKUP($A7,'The List'!$B1:$AH730,18,FALSE)-AVERAGE('The List'!S2:S730))/STDEV('The List'!S2:S730)</f>
        <v>3.3222944303746695</v>
      </c>
      <c r="G7" s="38">
        <f>(VLOOKUP($A7,'The List'!$B1:$AH730,19,FALSE)-AVERAGE('The List'!T2:T730))/STDEV('The List'!T2:T730)</f>
        <v>2.2976652358057263</v>
      </c>
      <c r="H7" s="38">
        <f>(VLOOKUP($A7,'The List'!$B1:$AH730,20,FALSE)-AVERAGE('The List'!U2:U730))/STDEV('The List'!U2:U730)</f>
        <v>2.9564510720124781</v>
      </c>
      <c r="I7" s="38">
        <f>(VLOOKUP($A7,'The List'!$B1:$AH730,21,FALSE)-AVERAGE('The List'!V2:V730))/STDEV('The List'!V2:V730)</f>
        <v>2.6068983449845633</v>
      </c>
      <c r="J7" s="38">
        <f>(VLOOKUP($A7,'The List'!$B1:$AH730,22,FALSE)-AVERAGE('The List'!W2:W730))/STDEV('The List'!W2:W730)</f>
        <v>2.8382739791061153</v>
      </c>
      <c r="K7" s="38">
        <f>(VLOOKUP($A7,'The List'!$B1:$AH730,23,FALSE)-AVERAGE('The List'!X2:X730))/STDEV('The List'!X2:X730)</f>
        <v>2.7660409835224429</v>
      </c>
      <c r="L7" s="38">
        <f>(VLOOKUP($A7,'The List'!$B1:$AH730,24,FALSE)-AVERAGE('The List'!Y2:Y730))/STDEV('The List'!Y2:Y730)</f>
        <v>-0.49856859893117178</v>
      </c>
      <c r="M7" s="38">
        <f>(VLOOKUP($A7,'The List'!$B1:$AH730,25,FALSE)-AVERAGE('The List'!Z2:Z730))/STDEV('The List'!Z2:Z730)</f>
        <v>-0.67213441754817993</v>
      </c>
      <c r="N7" s="38">
        <f>(VLOOKUP($A7,'The List'!$B1:$AH730,26,FALSE)-AVERAGE('The List'!AA2:AA730))/STDEV('The List'!AA2:AA730)</f>
        <v>-0.54078404917462419</v>
      </c>
      <c r="O7" s="38">
        <f>(VLOOKUP($A7,'The List'!$B1:$AH730,27,FALSE)-AVERAGE('The List'!AB2:AB730))/STDEV('The List'!AB2:AB730)</f>
        <v>-0.5714987329505713</v>
      </c>
      <c r="P7" s="38">
        <f>(VLOOKUP($A7,'The List'!$B1:$AH730,28,FALSE)-AVERAGE('The List'!AC2:AC730))/STDEV('The List'!AC2:AC730)</f>
        <v>1.9176224927774652</v>
      </c>
      <c r="Q7" s="38">
        <f>(VLOOKUP($A7,'The List'!$B1:$AH730,29,FALSE)-AVERAGE('The List'!AD2:AD730))/STDEV('The List'!AD2:AD730)</f>
        <v>1.6947432143397856</v>
      </c>
      <c r="R7" s="38">
        <f>(VLOOKUP($A7,'The List'!$B1:$AH730,30,FALSE)-AVERAGE('The List'!AE2:AE730))/STDEV('The List'!AE2:AE730)</f>
        <v>3.5829624653525736</v>
      </c>
      <c r="S7" s="38">
        <f>(VLOOKUP($A7,'The List'!$B1:$AH730,31,FALSE)-AVERAGE('The List'!AF2:AF730))/STDEV('The List'!AF2:AF730)</f>
        <v>0.36740985024704925</v>
      </c>
      <c r="T7" s="38">
        <f>(VLOOKUP($A7,'The List'!$B1:$AH730,32,FALSE)-AVERAGE('The List'!AG2:AG730))/STDEV('The List'!AG2:AG730)</f>
        <v>0.43871189640869762</v>
      </c>
      <c r="U7" s="38">
        <f>(VLOOKUP($A7,'The List'!$B1:$AH730,33,FALSE)-AVERAGE('The List'!AH2:AH730))/STDEV('The List'!AH2:AH730)</f>
        <v>0.94441938503232503</v>
      </c>
      <c r="V7" s="38"/>
      <c r="W7" s="40"/>
      <c r="X7" s="38"/>
      <c r="Y7" s="38"/>
      <c r="Z7" s="38"/>
      <c r="AA7" s="38"/>
      <c r="AB7" s="38"/>
      <c r="AC7" s="38"/>
      <c r="AD7" s="38"/>
      <c r="AE7" s="38"/>
    </row>
    <row r="8" spans="1:31" ht="21.2" customHeight="1">
      <c r="A8" s="8" t="s">
        <v>108</v>
      </c>
      <c r="B8" s="34" t="str">
        <f>VLOOKUP(A8,'Player Data'!A1:B734,2,FALSE)</f>
        <v>TOR</v>
      </c>
      <c r="C8" s="36">
        <f>((E8)*Settings!$C$12)+(F8*Settings!$C$2)+(G8*Settings!$C$3)+(H8*Settings!$C$4)+(I8*Settings!$C$5)+(K8*Settings!$C$9)+(N8*Settings!$C$6)+(J8*Settings!$C$8)+(O8*Settings!$C$7)+(P8*Settings!$C$14)+(Q8*Settings!$C$15)+(R8*Settings!$C$16)+(S8*Settings!$C$17)+(T8*Settings!$C$18)+(U8*Settings!$C$19)+(L8*Settings!$C$10)+(Settings!$C$11*M8)</f>
        <v>15.483290898810141</v>
      </c>
      <c r="D8" s="40">
        <f>IF(Settings!$E$12="YES",VLOOKUP(A8,'Player Data'!A1:E734,5,FALSE),82)</f>
        <v>82</v>
      </c>
      <c r="E8" s="38">
        <f>(VLOOKUP($A8,'The List'!$B1:$AH730,17,FALSE)-AVERAGE('The List'!R2:R730))/STDEV('The List'!R2:R730)</f>
        <v>1.0391961906901925</v>
      </c>
      <c r="F8" s="38">
        <f>(VLOOKUP($A8,'The List'!$B1:$AH730,18,FALSE)-AVERAGE('The List'!S2:S730))/STDEV('The List'!S2:S730)</f>
        <v>4.0043560728900101</v>
      </c>
      <c r="G8" s="38">
        <f>(VLOOKUP($A8,'The List'!$B1:$AH730,19,FALSE)-AVERAGE('The List'!T2:T730))/STDEV('The List'!T2:T730)</f>
        <v>2.0777874673884833</v>
      </c>
      <c r="H8" s="38">
        <f>(VLOOKUP($A8,'The List'!$B1:$AH730,20,FALSE)-AVERAGE('The List'!U2:U730))/STDEV('The List'!U2:U730)</f>
        <v>3.1383996623274952</v>
      </c>
      <c r="I8" s="38">
        <f>(VLOOKUP($A8,'The List'!$B1:$AH730,21,FALSE)-AVERAGE('The List'!V2:V730))/STDEV('The List'!V2:V730)</f>
        <v>3.7150850741599104</v>
      </c>
      <c r="J8" s="38">
        <f>(VLOOKUP($A8,'The List'!$B1:$AH730,22,FALSE)-AVERAGE('The List'!W2:W730))/STDEV('The List'!W2:W730)</f>
        <v>3.694593666926687</v>
      </c>
      <c r="K8" s="38">
        <f>(VLOOKUP($A8,'The List'!$B1:$AH730,23,FALSE)-AVERAGE('The List'!X2:X730))/STDEV('The List'!X2:X730)</f>
        <v>2.5476626220442427</v>
      </c>
      <c r="L8" s="38">
        <f>(VLOOKUP($A8,'The List'!$B1:$AH730,24,FALSE)-AVERAGE('The List'!Y2:Y730))/STDEV('The List'!Y2:Y730)</f>
        <v>-0.49345858557675892</v>
      </c>
      <c r="M8" s="38">
        <f>(VLOOKUP($A8,'The List'!$B1:$AH730,25,FALSE)-AVERAGE('The List'!Z2:Z730))/STDEV('The List'!Z2:Z730)</f>
        <v>-0.66578915417662032</v>
      </c>
      <c r="N8" s="38">
        <f>(VLOOKUP($A8,'The List'!$B1:$AH730,26,FALSE)-AVERAGE('The List'!AA2:AA730))/STDEV('The List'!AA2:AA730)</f>
        <v>0.48391381877960388</v>
      </c>
      <c r="O8" s="38">
        <f>(VLOOKUP($A8,'The List'!$B1:$AH730,27,FALSE)-AVERAGE('The List'!AB2:AB730))/STDEV('The List'!AB2:AB730)</f>
        <v>-0.42090163134802777</v>
      </c>
      <c r="P8" s="38">
        <f>(VLOOKUP($A8,'The List'!$B1:$AH730,28,FALSE)-AVERAGE('The List'!AC2:AC730))/STDEV('The List'!AC2:AC730)</f>
        <v>2.8502442186292312</v>
      </c>
      <c r="Q8" s="38">
        <f>(VLOOKUP($A8,'The List'!$B1:$AH730,29,FALSE)-AVERAGE('The List'!AD2:AD730))/STDEV('The List'!AD2:AD730)</f>
        <v>-0.74592176970937196</v>
      </c>
      <c r="R8" s="38">
        <f>(VLOOKUP($A8,'The List'!$B1:$AH730,30,FALSE)-AVERAGE('The List'!AE2:AE730))/STDEV('The List'!AE2:AE730)</f>
        <v>4.370916459738071</v>
      </c>
      <c r="S8" s="38">
        <f>(VLOOKUP($A8,'The List'!$B1:$AH730,31,FALSE)-AVERAGE('The List'!AF2:AF730))/STDEV('The List'!AF2:AF730)</f>
        <v>2.4808555270788979</v>
      </c>
      <c r="T8" s="38">
        <f>(VLOOKUP($A8,'The List'!$B1:$AH730,32,FALSE)-AVERAGE('The List'!AG2:AG730))/STDEV('The List'!AG2:AG730)</f>
        <v>2.1432725567996167</v>
      </c>
      <c r="U8" s="38">
        <f>(VLOOKUP($A8,'The List'!$B1:$AH730,33,FALSE)-AVERAGE('The List'!AH2:AH730))/STDEV('The List'!AH2:AH730)</f>
        <v>1.1907606198699441</v>
      </c>
      <c r="V8" s="38"/>
      <c r="W8" s="42"/>
      <c r="X8" s="40"/>
      <c r="Y8" s="40"/>
      <c r="Z8" s="40"/>
      <c r="AA8" s="40"/>
      <c r="AB8" s="40"/>
      <c r="AC8" s="43"/>
      <c r="AD8" s="44"/>
      <c r="AE8" s="38"/>
    </row>
    <row r="9" spans="1:31" ht="21.2" customHeight="1">
      <c r="A9" s="8" t="s">
        <v>118</v>
      </c>
      <c r="B9" s="34" t="str">
        <f>VLOOKUP(A9,'Player Data'!A1:B734,2,FALSE)</f>
        <v>TOR</v>
      </c>
      <c r="C9" s="36">
        <f>((E9)*Settings!$C$12)+(F9*Settings!$C$2)+(G9*Settings!$C$3)+(H9*Settings!$C$4)+(I9*Settings!$C$5)+(K9*Settings!$C$9)+(N9*Settings!$C$6)+(J9*Settings!$C$8)+(O9*Settings!$C$7)+(P9*Settings!$C$14)+(Q9*Settings!$C$15)+(R9*Settings!$C$16)+(S9*Settings!$C$17)+(T9*Settings!$C$18)+(U9*Settings!$C$19)+(L9*Settings!$C$10)+(Settings!$C$11*M9)</f>
        <v>11.769975097882236</v>
      </c>
      <c r="D9" s="40">
        <f>IF(Settings!$E$12="YES",VLOOKUP(A9,'Player Data'!A1:E734,5,FALSE),82)</f>
        <v>82</v>
      </c>
      <c r="E9" s="38">
        <f>(VLOOKUP($A9,'The List'!$B1:$AH730,17,FALSE)-AVERAGE('The List'!R2:R730))/STDEV('The List'!R2:R730)</f>
        <v>1.3006397866726429</v>
      </c>
      <c r="F9" s="38">
        <f>(VLOOKUP($A9,'The List'!$B1:$AH730,18,FALSE)-AVERAGE('The List'!S2:S730))/STDEV('The List'!S2:S730)</f>
        <v>1.8665536266599827</v>
      </c>
      <c r="G9" s="38">
        <f>(VLOOKUP($A9,'The List'!$B1:$AH730,19,FALSE)-AVERAGE('The List'!T2:T730))/STDEV('The List'!T2:T730)</f>
        <v>3.2409439863582099</v>
      </c>
      <c r="H9" s="38">
        <f>(VLOOKUP($A9,'The List'!$B1:$AH730,20,FALSE)-AVERAGE('The List'!U2:U730))/STDEV('The List'!U2:U730)</f>
        <v>2.8593981911865605</v>
      </c>
      <c r="I9" s="38">
        <f>(VLOOKUP($A9,'The List'!$B1:$AH730,21,FALSE)-AVERAGE('The List'!V2:V730))/STDEV('The List'!V2:V730)</f>
        <v>1.2618945506009003</v>
      </c>
      <c r="J9" s="38">
        <f>(VLOOKUP($A9,'The List'!$B1:$AH730,22,FALSE)-AVERAGE('The List'!W2:W730))/STDEV('The List'!W2:W730)</f>
        <v>1.3035955714837373</v>
      </c>
      <c r="K9" s="38">
        <f>(VLOOKUP($A9,'The List'!$B1:$AH730,23,FALSE)-AVERAGE('The List'!X2:X730))/STDEV('The List'!X2:X730)</f>
        <v>2.5411847430765824</v>
      </c>
      <c r="L9" s="38">
        <f>(VLOOKUP($A9,'The List'!$B1:$AH730,24,FALSE)-AVERAGE('The List'!Y2:Y730))/STDEV('The List'!Y2:Y730)</f>
        <v>4.03201146262455</v>
      </c>
      <c r="M9" s="38">
        <f>(VLOOKUP($A9,'The List'!$B1:$AH730,25,FALSE)-AVERAGE('The List'!Z2:Z730))/STDEV('The List'!Z2:Z730)</f>
        <v>3.6101716269498065</v>
      </c>
      <c r="N9" s="38">
        <f>(VLOOKUP($A9,'The List'!$B1:$AH730,26,FALSE)-AVERAGE('The List'!AA2:AA730))/STDEV('The List'!AA2:AA730)</f>
        <v>-0.49798357393102394</v>
      </c>
      <c r="O9" s="38">
        <f>(VLOOKUP($A9,'The List'!$B1:$AH730,27,FALSE)-AVERAGE('The List'!AB2:AB730))/STDEV('The List'!AB2:AB730)</f>
        <v>-0.74196279833537371</v>
      </c>
      <c r="P9" s="38">
        <f>(VLOOKUP($A9,'The List'!$B1:$AH730,28,FALSE)-AVERAGE('The List'!AC2:AC730))/STDEV('The List'!AC2:AC730)</f>
        <v>2.0769341904357352</v>
      </c>
      <c r="Q9" s="38">
        <f>(VLOOKUP($A9,'The List'!$B1:$AH730,29,FALSE)-AVERAGE('The List'!AD2:AD730))/STDEV('The List'!AD2:AD730)</f>
        <v>-0.42425515702025723</v>
      </c>
      <c r="R9" s="38">
        <f>(VLOOKUP($A9,'The List'!$B1:$AH730,30,FALSE)-AVERAGE('The List'!AE2:AE730))/STDEV('The List'!AE2:AE730)</f>
        <v>2.1343937770265331</v>
      </c>
      <c r="S9" s="38">
        <f>(VLOOKUP($A9,'The List'!$B1:$AH730,31,FALSE)-AVERAGE('The List'!AF2:AF730))/STDEV('The List'!AF2:AF730)</f>
        <v>-0.55815547025245593</v>
      </c>
      <c r="T9" s="38">
        <f>(VLOOKUP($A9,'The List'!$B1:$AH730,32,FALSE)-AVERAGE('The List'!AG2:AG730))/STDEV('The List'!AG2:AG730)</f>
        <v>-0.59338298482872276</v>
      </c>
      <c r="U9" s="38">
        <f>(VLOOKUP($A9,'The List'!$B1:$AH730,33,FALSE)-AVERAGE('The List'!AH2:AH730))/STDEV('The List'!AH2:AH730)</f>
        <v>0.32857628871018196</v>
      </c>
      <c r="V9" s="38"/>
      <c r="W9" s="40"/>
      <c r="X9" s="40"/>
      <c r="Y9" s="40"/>
      <c r="Z9" s="40"/>
      <c r="AA9" s="40"/>
      <c r="AB9" s="40"/>
      <c r="AC9" s="43"/>
      <c r="AD9" s="44"/>
      <c r="AE9" s="38"/>
    </row>
    <row r="10" spans="1:31" ht="21.2" customHeight="1">
      <c r="A10" s="8" t="s">
        <v>115</v>
      </c>
      <c r="B10" s="34" t="str">
        <f>VLOOKUP(A10,'Player Data'!A1:B734,2,FALSE)</f>
        <v>MIN</v>
      </c>
      <c r="C10" s="36">
        <f>((E10)*Settings!$C$12)+(F10*Settings!$C$2)+(G10*Settings!$C$3)+(H10*Settings!$C$4)+(I10*Settings!$C$5)+(K10*Settings!$C$9)+(N10*Settings!$C$6)+(J10*Settings!$C$8)+(O10*Settings!$C$7)+(P10*Settings!$C$14)+(Q10*Settings!$C$15)+(R10*Settings!$C$16)+(S10*Settings!$C$17)+(T10*Settings!$C$18)+(U10*Settings!$C$19)+(L10*Settings!$C$10)+(Settings!$C$11*M10)</f>
        <v>13.407467811139265</v>
      </c>
      <c r="D10" s="40">
        <f>IF(Settings!$E$12="YES",VLOOKUP(A10,'Player Data'!A1:E734,5,FALSE),82)</f>
        <v>82</v>
      </c>
      <c r="E10" s="38">
        <f>(VLOOKUP($A10,'The List'!$B1:$AH730,17,FALSE)-AVERAGE('The List'!R2:R730))/STDEV('The List'!R2:R730)</f>
        <v>1.2273826295752159</v>
      </c>
      <c r="F10" s="38">
        <f>(VLOOKUP($A10,'The List'!$B1:$AH730,18,FALSE)-AVERAGE('The List'!S2:S730))/STDEV('The List'!S2:S730)</f>
        <v>3.2870963595019003</v>
      </c>
      <c r="G10" s="38">
        <f>(VLOOKUP($A10,'The List'!$B1:$AH730,19,FALSE)-AVERAGE('The List'!T2:T730))/STDEV('The List'!T2:T730)</f>
        <v>2.017261722666885</v>
      </c>
      <c r="H10" s="38">
        <f>(VLOOKUP($A10,'The List'!$B1:$AH730,20,FALSE)-AVERAGE('The List'!U2:U730))/STDEV('The List'!U2:U730)</f>
        <v>2.7677694455421391</v>
      </c>
      <c r="I10" s="38">
        <f>(VLOOKUP($A10,'The List'!$B1:$AH730,21,FALSE)-AVERAGE('The List'!V2:V730))/STDEV('The List'!V2:V730)</f>
        <v>2.7642740359830915</v>
      </c>
      <c r="J10" s="38">
        <f>(VLOOKUP($A10,'The List'!$B1:$AH730,22,FALSE)-AVERAGE('The List'!W2:W730))/STDEV('The List'!W2:W730)</f>
        <v>3.7920050243643524</v>
      </c>
      <c r="K10" s="38">
        <f>(VLOOKUP($A10,'The List'!$B1:$AH730,23,FALSE)-AVERAGE('The List'!X2:X730))/STDEV('The List'!X2:X730)</f>
        <v>2.5710662474452506</v>
      </c>
      <c r="L10" s="38">
        <f>(VLOOKUP($A10,'The List'!$B1:$AH730,24,FALSE)-AVERAGE('The List'!Y2:Y730))/STDEV('The List'!Y2:Y730)</f>
        <v>-0.50068003913630876</v>
      </c>
      <c r="M10" s="38">
        <f>(VLOOKUP($A10,'The List'!$B1:$AH730,25,FALSE)-AVERAGE('The List'!Z2:Z730))/STDEV('The List'!Z2:Z730)</f>
        <v>-0.67465830217294609</v>
      </c>
      <c r="N10" s="38">
        <f>(VLOOKUP($A10,'The List'!$B1:$AH730,26,FALSE)-AVERAGE('The List'!AA2:AA730))/STDEV('The List'!AA2:AA730)</f>
        <v>-0.74460474203780735</v>
      </c>
      <c r="O10" s="38">
        <f>(VLOOKUP($A10,'The List'!$B1:$AH730,27,FALSE)-AVERAGE('The List'!AB2:AB730))/STDEV('The List'!AB2:AB730)</f>
        <v>-0.46699435765347824</v>
      </c>
      <c r="P10" s="38">
        <f>(VLOOKUP($A10,'The List'!$B1:$AH730,28,FALSE)-AVERAGE('The List'!AC2:AC730))/STDEV('The List'!AC2:AC730)</f>
        <v>0.94669905350268213</v>
      </c>
      <c r="Q10" s="38">
        <f>(VLOOKUP($A10,'The List'!$B1:$AH730,29,FALSE)-AVERAGE('The List'!AD2:AD730))/STDEV('The List'!AD2:AD730)</f>
        <v>0.29748489790332727</v>
      </c>
      <c r="R10" s="38">
        <f>(VLOOKUP($A10,'The List'!$B1:$AH730,30,FALSE)-AVERAGE('The List'!AE2:AE730))/STDEV('The List'!AE2:AE730)</f>
        <v>3.6183112761239262</v>
      </c>
      <c r="S10" s="38">
        <f>(VLOOKUP($A10,'The List'!$B1:$AH730,31,FALSE)-AVERAGE('The List'!AF2:AF730))/STDEV('The List'!AF2:AF730)</f>
        <v>-0.54887044542756813</v>
      </c>
      <c r="T10" s="38">
        <f>(VLOOKUP($A10,'The List'!$B1:$AH730,32,FALSE)-AVERAGE('The List'!AG2:AG730))/STDEV('The List'!AG2:AG730)</f>
        <v>-0.58464587005577162</v>
      </c>
      <c r="U10" s="38">
        <f>(VLOOKUP($A10,'The List'!$B1:$AH730,33,FALSE)-AVERAGE('The List'!AH2:AH730))/STDEV('The List'!AH2:AH730)</f>
        <v>0.62086755704671359</v>
      </c>
      <c r="V10" s="38"/>
      <c r="W10" s="42"/>
      <c r="X10" s="40"/>
      <c r="Y10" s="40"/>
      <c r="Z10" s="40"/>
      <c r="AA10" s="40"/>
      <c r="AB10" s="40"/>
      <c r="AC10" s="43"/>
      <c r="AD10" s="44"/>
      <c r="AE10" s="38"/>
    </row>
    <row r="11" spans="1:31" ht="21.2" customHeight="1">
      <c r="A11" s="8" t="s">
        <v>114</v>
      </c>
      <c r="B11" s="34" t="str">
        <f>VLOOKUP(A11,'Player Data'!A1:B734,2,FALSE)</f>
        <v>NJD</v>
      </c>
      <c r="C11" s="36">
        <f>((E11)*Settings!$C$12)+(F11*Settings!$C$2)+(G11*Settings!$C$3)+(H11*Settings!$C$4)+(I11*Settings!$C$5)+(K11*Settings!$C$9)+(N11*Settings!$C$6)+(J11*Settings!$C$8)+(O11*Settings!$C$7)+(P11*Settings!$C$14)+(Q11*Settings!$C$15)+(R11*Settings!$C$16)+(S11*Settings!$C$17)+(T11*Settings!$C$18)+(U11*Settings!$C$19)+(L11*Settings!$C$10)+(Settings!$C$11*M11)</f>
        <v>14.198780832601393</v>
      </c>
      <c r="D11" s="40">
        <f>IF(Settings!$E$12="YES",VLOOKUP(A11,'Player Data'!A1:E734,5,FALSE),82)</f>
        <v>82</v>
      </c>
      <c r="E11" s="38">
        <f>(VLOOKUP($A11,'The List'!$B1:$AH730,17,FALSE)-AVERAGE('The List'!R2:R730))/STDEV('The List'!R2:R730)</f>
        <v>1.0451815290414284</v>
      </c>
      <c r="F11" s="38">
        <f>(VLOOKUP($A11,'The List'!$B1:$AH730,18,FALSE)-AVERAGE('The List'!S2:S730))/STDEV('The List'!S2:S730)</f>
        <v>2.9804753986616275</v>
      </c>
      <c r="G11" s="38">
        <f>(VLOOKUP($A11,'The List'!$B1:$AH730,19,FALSE)-AVERAGE('The List'!T2:T730))/STDEV('The List'!T2:T730)</f>
        <v>2.6024525943901962</v>
      </c>
      <c r="H11" s="38">
        <f>(VLOOKUP($A11,'The List'!$B1:$AH730,20,FALSE)-AVERAGE('The List'!U2:U730))/STDEV('The List'!U2:U730)</f>
        <v>2.9848524113572683</v>
      </c>
      <c r="I11" s="38">
        <f>(VLOOKUP($A11,'The List'!$B1:$AH730,21,FALSE)-AVERAGE('The List'!V2:V730))/STDEV('The List'!V2:V730)</f>
        <v>3.2027683569900445</v>
      </c>
      <c r="J11" s="38">
        <f>(VLOOKUP($A11,'The List'!$B1:$AH730,22,FALSE)-AVERAGE('The List'!W2:W730))/STDEV('The List'!W2:W730)</f>
        <v>2.123726927529118</v>
      </c>
      <c r="K11" s="38">
        <f>(VLOOKUP($A11,'The List'!$B1:$AH730,23,FALSE)-AVERAGE('The List'!X2:X730))/STDEV('The List'!X2:X730)</f>
        <v>2.428232071202256</v>
      </c>
      <c r="L11" s="38">
        <f>(VLOOKUP($A11,'The List'!$B1:$AH730,24,FALSE)-AVERAGE('The List'!Y2:Y730))/STDEV('The List'!Y2:Y730)</f>
        <v>-0.46570714780844008</v>
      </c>
      <c r="M11" s="38">
        <f>(VLOOKUP($A11,'The List'!$B1:$AH730,25,FALSE)-AVERAGE('The List'!Z2:Z730))/STDEV('The List'!Z2:Z730)</f>
        <v>-0.62841889533133899</v>
      </c>
      <c r="N11" s="38">
        <f>(VLOOKUP($A11,'The List'!$B1:$AH730,26,FALSE)-AVERAGE('The List'!AA2:AA730))/STDEV('The List'!AA2:AA730)</f>
        <v>-0.81893446905617084</v>
      </c>
      <c r="O11" s="38">
        <f>(VLOOKUP($A11,'The List'!$B1:$AH730,27,FALSE)-AVERAGE('The List'!AB2:AB730))/STDEV('The List'!AB2:AB730)</f>
        <v>-1.6374813410242928</v>
      </c>
      <c r="P11" s="38">
        <f>(VLOOKUP($A11,'The List'!$B1:$AH730,28,FALSE)-AVERAGE('The List'!AC2:AC730))/STDEV('The List'!AC2:AC730)</f>
        <v>0.19648221751977751</v>
      </c>
      <c r="Q11" s="38">
        <f>(VLOOKUP($A11,'The List'!$B1:$AH730,29,FALSE)-AVERAGE('The List'!AD2:AD730))/STDEV('The List'!AD2:AD730)</f>
        <v>-1.5272406949911577</v>
      </c>
      <c r="R11" s="38">
        <f>(VLOOKUP($A11,'The List'!$B1:$AH730,30,FALSE)-AVERAGE('The List'!AE2:AE730))/STDEV('The List'!AE2:AE730)</f>
        <v>2.9124215402727347</v>
      </c>
      <c r="S11" s="38">
        <f>(VLOOKUP($A11,'The List'!$B1:$AH730,31,FALSE)-AVERAGE('The List'!AF2:AF730))/STDEV('The List'!AF2:AF730)</f>
        <v>0.35505506320988034</v>
      </c>
      <c r="T11" s="38">
        <f>(VLOOKUP($A11,'The List'!$B1:$AH730,32,FALSE)-AVERAGE('The List'!AG2:AG730))/STDEV('The List'!AG2:AG730)</f>
        <v>1.1772845548203914</v>
      </c>
      <c r="U11" s="38">
        <f>(VLOOKUP($A11,'The List'!$B1:$AH730,33,FALSE)-AVERAGE('The List'!AH2:AH730))/STDEV('The List'!AH2:AH730)</f>
        <v>0.35059084816304298</v>
      </c>
      <c r="V11" s="38"/>
      <c r="W11" s="42"/>
      <c r="X11" s="40"/>
      <c r="Y11" s="40"/>
      <c r="Z11" s="40"/>
      <c r="AA11" s="40"/>
      <c r="AB11" s="40"/>
      <c r="AC11" s="43"/>
      <c r="AD11" s="44"/>
      <c r="AE11" s="38"/>
    </row>
    <row r="12" spans="1:31" ht="21.2" customHeight="1">
      <c r="A12" s="8" t="s">
        <v>117</v>
      </c>
      <c r="B12" s="34" t="str">
        <f>VLOOKUP(A12,'Player Data'!A1:B734,2,FALSE)</f>
        <v>DAL</v>
      </c>
      <c r="C12" s="36">
        <f>((E12)*Settings!$C$12)+(F12*Settings!$C$2)+(G12*Settings!$C$3)+(H12*Settings!$C$4)+(I12*Settings!$C$5)+(K12*Settings!$C$9)+(N12*Settings!$C$6)+(J12*Settings!$C$8)+(O12*Settings!$C$7)+(P12*Settings!$C$14)+(Q12*Settings!$C$15)+(R12*Settings!$C$16)+(S12*Settings!$C$17)+(T12*Settings!$C$18)+(U12*Settings!$C$19)+(L12*Settings!$C$10)+(Settings!$C$11*M12)</f>
        <v>12.964649656239818</v>
      </c>
      <c r="D12" s="40">
        <f>IF(Settings!$E$12="YES",VLOOKUP(A12,'Player Data'!A1:E734,5,FALSE),82)</f>
        <v>82</v>
      </c>
      <c r="E12" s="38">
        <f>(VLOOKUP($A12,'The List'!$B1:$AH730,17,FALSE)-AVERAGE('The List'!R2:R730))/STDEV('The List'!R2:R730)</f>
        <v>0.6342396842472372</v>
      </c>
      <c r="F12" s="38">
        <f>(VLOOKUP($A12,'The List'!$B1:$AH730,18,FALSE)-AVERAGE('The List'!S2:S730))/STDEV('The List'!S2:S730)</f>
        <v>2.8625650348570022</v>
      </c>
      <c r="G12" s="38">
        <f>(VLOOKUP($A12,'The List'!$B1:$AH730,19,FALSE)-AVERAGE('The List'!T2:T730))/STDEV('The List'!T2:T730)</f>
        <v>2.312077488259987</v>
      </c>
      <c r="H12" s="38">
        <f>(VLOOKUP($A12,'The List'!$B1:$AH730,20,FALSE)-AVERAGE('The List'!U2:U730))/STDEV('The List'!U2:U730)</f>
        <v>2.751592126492385</v>
      </c>
      <c r="I12" s="38">
        <f>(VLOOKUP($A12,'The List'!$B1:$AH730,21,FALSE)-AVERAGE('The List'!V2:V730))/STDEV('The List'!V2:V730)</f>
        <v>2.4491246249690328</v>
      </c>
      <c r="J12" s="38">
        <f>(VLOOKUP($A12,'The List'!$B1:$AH730,22,FALSE)-AVERAGE('The List'!W2:W730))/STDEV('The List'!W2:W730)</f>
        <v>2.6490823234991314</v>
      </c>
      <c r="K12" s="38">
        <f>(VLOOKUP($A12,'The List'!$B1:$AH730,23,FALSE)-AVERAGE('The List'!X2:X730))/STDEV('The List'!X2:X730)</f>
        <v>2.5892903816614106</v>
      </c>
      <c r="L12" s="38">
        <f>(VLOOKUP($A12,'The List'!$B1:$AH730,24,FALSE)-AVERAGE('The List'!Y2:Y730))/STDEV('The List'!Y2:Y730)</f>
        <v>-0.51746108131286206</v>
      </c>
      <c r="M12" s="38">
        <f>(VLOOKUP($A12,'The List'!$B1:$AH730,25,FALSE)-AVERAGE('The List'!Z2:Z730))/STDEV('The List'!Z2:Z730)</f>
        <v>-0.69442206973983467</v>
      </c>
      <c r="N12" s="38">
        <f>(VLOOKUP($A12,'The List'!$B1:$AH730,26,FALSE)-AVERAGE('The List'!AA2:AA730))/STDEV('The List'!AA2:AA730)</f>
        <v>-1.0187445750490762</v>
      </c>
      <c r="O12" s="38">
        <f>(VLOOKUP($A12,'The List'!$B1:$AH730,27,FALSE)-AVERAGE('The List'!AB2:AB730))/STDEV('The List'!AB2:AB730)</f>
        <v>-0.82848357751131518</v>
      </c>
      <c r="P12" s="38">
        <f>(VLOOKUP($A12,'The List'!$B1:$AH730,28,FALSE)-AVERAGE('The List'!AC2:AC730))/STDEV('The List'!AC2:AC730)</f>
        <v>2.4878820789182132</v>
      </c>
      <c r="Q12" s="38">
        <f>(VLOOKUP($A12,'The List'!$B1:$AH730,29,FALSE)-AVERAGE('The List'!AD2:AD730))/STDEV('The List'!AD2:AD730)</f>
        <v>-0.5862143806017831</v>
      </c>
      <c r="R12" s="38">
        <f>(VLOOKUP($A12,'The List'!$B1:$AH730,30,FALSE)-AVERAGE('The List'!AE2:AE730))/STDEV('The List'!AE2:AE730)</f>
        <v>3.1582953182688556</v>
      </c>
      <c r="S12" s="38">
        <f>(VLOOKUP($A12,'The List'!$B1:$AH730,31,FALSE)-AVERAGE('The List'!AF2:AF730))/STDEV('The List'!AF2:AF730)</f>
        <v>-0.56810251189252825</v>
      </c>
      <c r="T12" s="38">
        <f>(VLOOKUP($A12,'The List'!$B1:$AH730,32,FALSE)-AVERAGE('The List'!AG2:AG730))/STDEV('The List'!AG2:AG730)</f>
        <v>-0.60685961545541001</v>
      </c>
      <c r="U12" s="38">
        <f>(VLOOKUP($A12,'The List'!$B1:$AH730,33,FALSE)-AVERAGE('The List'!AH2:AH730))/STDEV('The List'!AH2:AH730)</f>
        <v>-0.71963895384059717</v>
      </c>
      <c r="V12" s="38"/>
      <c r="W12" s="42"/>
      <c r="X12" s="40"/>
      <c r="Y12" s="40"/>
      <c r="Z12" s="40"/>
      <c r="AA12" s="40"/>
      <c r="AB12" s="40"/>
      <c r="AC12" s="43"/>
      <c r="AD12" s="44"/>
      <c r="AE12" s="38"/>
    </row>
    <row r="13" spans="1:31" ht="21.2" customHeight="1">
      <c r="A13" s="8" t="s">
        <v>109</v>
      </c>
      <c r="B13" s="34" t="str">
        <f>VLOOKUP(A13,'Player Data'!A1:B734,2,FALSE)</f>
        <v>BOS</v>
      </c>
      <c r="C13" s="36">
        <f>((E13)*Settings!$C$12)+(F13*Settings!$C$2)+(G13*Settings!$C$3)+(H13*Settings!$C$4)+(I13*Settings!$C$5)+(K13*Settings!$C$9)+(N13*Settings!$C$6)+(J13*Settings!$C$8)+(O13*Settings!$C$7)+(P13*Settings!$C$14)+(Q13*Settings!$C$15)+(R13*Settings!$C$16)+(S13*Settings!$C$17)+(T13*Settings!$C$18)+(U13*Settings!$C$19)+(L13*Settings!$C$10)+(Settings!$C$11*M13)</f>
        <v>14.307865123333888</v>
      </c>
      <c r="D13" s="40">
        <f>IF(Settings!$E$12="YES",VLOOKUP(A13,'Player Data'!A1:E734,5,FALSE),82)</f>
        <v>82</v>
      </c>
      <c r="E13" s="38">
        <f>(VLOOKUP($A13,'The List'!$B1:$AH730,17,FALSE)-AVERAGE('The List'!R2:R730))/STDEV('The List'!R2:R730)</f>
        <v>0.79638278926684614</v>
      </c>
      <c r="F13" s="38">
        <f>(VLOOKUP($A13,'The List'!$B1:$AH730,18,FALSE)-AVERAGE('The List'!S2:S730))/STDEV('The List'!S2:S730)</f>
        <v>3.488741292885599</v>
      </c>
      <c r="G13" s="38">
        <f>(VLOOKUP($A13,'The List'!$B1:$AH730,19,FALSE)-AVERAGE('The List'!T2:T730))/STDEV('The List'!T2:T730)</f>
        <v>1.7738685400340712</v>
      </c>
      <c r="H13" s="38">
        <f>(VLOOKUP($A13,'The List'!$B1:$AH730,20,FALSE)-AVERAGE('The List'!U2:U730))/STDEV('The List'!U2:U730)</f>
        <v>2.7119340710221009</v>
      </c>
      <c r="I13" s="38">
        <f>(VLOOKUP($A13,'The List'!$B1:$AH730,21,FALSE)-AVERAGE('The List'!V2:V730))/STDEV('The List'!V2:V730)</f>
        <v>3.9150643384603314</v>
      </c>
      <c r="J13" s="38">
        <f>(VLOOKUP($A13,'The List'!$B1:$AH730,22,FALSE)-AVERAGE('The List'!W2:W730))/STDEV('The List'!W2:W730)</f>
        <v>3.3959954214346073</v>
      </c>
      <c r="K13" s="38">
        <f>(VLOOKUP($A13,'The List'!$B1:$AH730,23,FALSE)-AVERAGE('The List'!X2:X730))/STDEV('The List'!X2:X730)</f>
        <v>2.4182568809317853</v>
      </c>
      <c r="L13" s="38">
        <f>(VLOOKUP($A13,'The List'!$B1:$AH730,24,FALSE)-AVERAGE('The List'!Y2:Y730))/STDEV('The List'!Y2:Y730)</f>
        <v>-0.47465295420928011</v>
      </c>
      <c r="M13" s="38">
        <f>(VLOOKUP($A13,'The List'!$B1:$AH730,25,FALSE)-AVERAGE('The List'!Z2:Z730))/STDEV('The List'!Z2:Z730)</f>
        <v>-0.64444643482373076</v>
      </c>
      <c r="N13" s="38">
        <f>(VLOOKUP($A13,'The List'!$B1:$AH730,26,FALSE)-AVERAGE('The List'!AA2:AA730))/STDEV('The List'!AA2:AA730)</f>
        <v>-0.85118444321927611</v>
      </c>
      <c r="O13" s="38">
        <f>(VLOOKUP($A13,'The List'!$B1:$AH730,27,FALSE)-AVERAGE('The List'!AB2:AB730))/STDEV('The List'!AB2:AB730)</f>
        <v>-0.30543747735887244</v>
      </c>
      <c r="P13" s="38">
        <f>(VLOOKUP($A13,'The List'!$B1:$AH730,28,FALSE)-AVERAGE('The List'!AC2:AC730))/STDEV('The List'!AC2:AC730)</f>
        <v>1.5298351520721254</v>
      </c>
      <c r="Q13" s="38">
        <f>(VLOOKUP($A13,'The List'!$B1:$AH730,29,FALSE)-AVERAGE('The List'!AD2:AD730))/STDEV('The List'!AD2:AD730)</f>
        <v>4.6944499003182268E-2</v>
      </c>
      <c r="R13" s="38">
        <f>(VLOOKUP($A13,'The List'!$B1:$AH730,30,FALSE)-AVERAGE('The List'!AE2:AE730))/STDEV('The List'!AE2:AE730)</f>
        <v>4.0602730833994585</v>
      </c>
      <c r="S13" s="38">
        <f>(VLOOKUP($A13,'The List'!$B1:$AH730,31,FALSE)-AVERAGE('The List'!AF2:AF730))/STDEV('The List'!AF2:AF730)</f>
        <v>-0.53598219016596249</v>
      </c>
      <c r="T13" s="38">
        <f>(VLOOKUP($A13,'The List'!$B1:$AH730,32,FALSE)-AVERAGE('The List'!AG2:AG730))/STDEV('The List'!AG2:AG730)</f>
        <v>-0.55558065448901794</v>
      </c>
      <c r="U13" s="38">
        <f>(VLOOKUP($A13,'The List'!$B1:$AH730,33,FALSE)-AVERAGE('The List'!AH2:AH730))/STDEV('The List'!AH2:AH730)</f>
        <v>0.43034157682155261</v>
      </c>
      <c r="V13" s="38"/>
      <c r="W13" s="42"/>
      <c r="X13" s="40"/>
      <c r="Y13" s="40"/>
      <c r="Z13" s="40"/>
      <c r="AA13" s="40"/>
      <c r="AB13" s="40"/>
      <c r="AC13" s="43"/>
      <c r="AD13" s="44"/>
      <c r="AE13" s="38"/>
    </row>
    <row r="14" spans="1:31" ht="21.2" customHeight="1">
      <c r="A14" s="8" t="s">
        <v>136</v>
      </c>
      <c r="B14" s="34" t="str">
        <f>VLOOKUP(A14,'Player Data'!A1:B734,2,FALSE)</f>
        <v>NYR</v>
      </c>
      <c r="C14" s="36">
        <f>((E14)*Settings!$C$12)+(F14*Settings!$C$2)+(G14*Settings!$C$3)+(H14*Settings!$C$4)+(I14*Settings!$C$5)+(K14*Settings!$C$9)+(N14*Settings!$C$6)+(J14*Settings!$C$8)+(O14*Settings!$C$7)+(P14*Settings!$C$14)+(Q14*Settings!$C$15)+(R14*Settings!$C$16)+(S14*Settings!$C$17)+(T14*Settings!$C$18)+(U14*Settings!$C$19)+(L14*Settings!$C$10)+(Settings!$C$11*M14)</f>
        <v>10.796490301217734</v>
      </c>
      <c r="D14" s="40">
        <f>IF(Settings!$E$12="YES",VLOOKUP(A14,'Player Data'!A1:E734,5,FALSE),82)</f>
        <v>82</v>
      </c>
      <c r="E14" s="38">
        <f>(VLOOKUP($A14,'The List'!$B1:$AH730,17,FALSE)-AVERAGE('The List'!R2:R730))/STDEV('The List'!R2:R730)</f>
        <v>0.84991477790998271</v>
      </c>
      <c r="F14" s="38">
        <f>(VLOOKUP($A14,'The List'!$B1:$AH730,18,FALSE)-AVERAGE('The List'!S2:S730))/STDEV('The List'!S2:S730)</f>
        <v>1.2750512050082976</v>
      </c>
      <c r="G14" s="38">
        <f>(VLOOKUP($A14,'The List'!$B1:$AH730,19,FALSE)-AVERAGE('The List'!T2:T730))/STDEV('The List'!T2:T730)</f>
        <v>3.1526747451070096</v>
      </c>
      <c r="H14" s="38">
        <f>(VLOOKUP($A14,'The List'!$B1:$AH730,20,FALSE)-AVERAGE('The List'!U2:U730))/STDEV('The List'!U2:U730)</f>
        <v>2.5301796898559226</v>
      </c>
      <c r="I14" s="38">
        <f>(VLOOKUP($A14,'The List'!$B1:$AH730,21,FALSE)-AVERAGE('The List'!V2:V730))/STDEV('The List'!V2:V730)</f>
        <v>1.0603843939874482</v>
      </c>
      <c r="J14" s="38">
        <f>(VLOOKUP($A14,'The List'!$B1:$AH730,22,FALSE)-AVERAGE('The List'!W2:W730))/STDEV('The List'!W2:W730)</f>
        <v>1.3451821818497041</v>
      </c>
      <c r="K14" s="38">
        <f>(VLOOKUP($A14,'The List'!$B1:$AH730,23,FALSE)-AVERAGE('The List'!X2:X730))/STDEV('The List'!X2:X730)</f>
        <v>2.7782002672590553</v>
      </c>
      <c r="L14" s="38">
        <f>(VLOOKUP($A14,'The List'!$B1:$AH730,24,FALSE)-AVERAGE('The List'!Y2:Y730))/STDEV('The List'!Y2:Y730)</f>
        <v>-0.51361541964317725</v>
      </c>
      <c r="M14" s="38">
        <f>(VLOOKUP($A14,'The List'!$B1:$AH730,25,FALSE)-AVERAGE('The List'!Z2:Z730))/STDEV('The List'!Z2:Z730)</f>
        <v>-0.69132906418329765</v>
      </c>
      <c r="N14" s="38">
        <f>(VLOOKUP($A14,'The List'!$B1:$AH730,26,FALSE)-AVERAGE('The List'!AA2:AA730))/STDEV('The List'!AA2:AA730)</f>
        <v>-1.2158272974536417</v>
      </c>
      <c r="O14" s="38">
        <f>(VLOOKUP($A14,'The List'!$B1:$AH730,27,FALSE)-AVERAGE('The List'!AB2:AB730))/STDEV('The List'!AB2:AB730)</f>
        <v>-1.4271894337472186</v>
      </c>
      <c r="P14" s="38">
        <f>(VLOOKUP($A14,'The List'!$B1:$AH730,28,FALSE)-AVERAGE('The List'!AC2:AC730))/STDEV('The List'!AC2:AC730)</f>
        <v>1.2451332613518147</v>
      </c>
      <c r="Q14" s="38">
        <f>(VLOOKUP($A14,'The List'!$B1:$AH730,29,FALSE)-AVERAGE('The List'!AD2:AD730))/STDEV('The List'!AD2:AD730)</f>
        <v>-0.56739521584812946</v>
      </c>
      <c r="R14" s="38">
        <f>(VLOOKUP($A14,'The List'!$B1:$AH730,30,FALSE)-AVERAGE('The List'!AE2:AE730))/STDEV('The List'!AE2:AE730)</f>
        <v>1.6834918268750785</v>
      </c>
      <c r="S14" s="38">
        <f>(VLOOKUP($A14,'The List'!$B1:$AH730,31,FALSE)-AVERAGE('The List'!AF2:AF730))/STDEV('The List'!AF2:AF730)</f>
        <v>-0.54458354351521476</v>
      </c>
      <c r="T14" s="38">
        <f>(VLOOKUP($A14,'The List'!$B1:$AH730,32,FALSE)-AVERAGE('The List'!AG2:AG730))/STDEV('The List'!AG2:AG730)</f>
        <v>-0.5641994441422713</v>
      </c>
      <c r="U14" s="38">
        <f>(VLOOKUP($A14,'The List'!$B1:$AH730,33,FALSE)-AVERAGE('The List'!AH2:AH730))/STDEV('The List'!AH2:AH730)</f>
        <v>0.28182799936437819</v>
      </c>
      <c r="V14" s="38"/>
      <c r="W14" s="42"/>
      <c r="X14" s="40"/>
      <c r="Y14" s="40"/>
      <c r="Z14" s="40"/>
      <c r="AA14" s="40"/>
      <c r="AB14" s="40"/>
      <c r="AC14" s="43"/>
      <c r="AD14" s="44"/>
      <c r="AE14" s="38"/>
    </row>
    <row r="15" spans="1:31" ht="21.2" customHeight="1">
      <c r="A15" s="8" t="s">
        <v>132</v>
      </c>
      <c r="B15" s="34" t="str">
        <f>VLOOKUP(A15,'Player Data'!A1:B734,2,FALSE)</f>
        <v>FLA</v>
      </c>
      <c r="C15" s="36">
        <f>((E15)*Settings!$C$12)+(F15*Settings!$C$2)+(G15*Settings!$C$3)+(H15*Settings!$C$4)+(I15*Settings!$C$5)+(K15*Settings!$C$9)+(N15*Settings!$C$6)+(J15*Settings!$C$8)+(O15*Settings!$C$7)+(P15*Settings!$C$14)+(Q15*Settings!$C$15)+(R15*Settings!$C$16)+(S15*Settings!$C$17)+(T15*Settings!$C$18)+(U15*Settings!$C$19)+(L15*Settings!$C$10)+(Settings!$C$11*M15)</f>
        <v>11.334952203384766</v>
      </c>
      <c r="D15" s="40">
        <f>IF(Settings!$E$12="YES",VLOOKUP(A15,'Player Data'!A1:E734,5,FALSE),82)</f>
        <v>82</v>
      </c>
      <c r="E15" s="38">
        <f>(VLOOKUP($A15,'The List'!$B1:$AH730,17,FALSE)-AVERAGE('The List'!R2:R730))/STDEV('The List'!R2:R730)</f>
        <v>1.1566797027172426</v>
      </c>
      <c r="F15" s="38">
        <f>(VLOOKUP($A15,'The List'!$B1:$AH730,18,FALSE)-AVERAGE('The List'!S2:S730))/STDEV('The List'!S2:S730)</f>
        <v>2.021418204580407</v>
      </c>
      <c r="G15" s="38">
        <f>(VLOOKUP($A15,'The List'!$B1:$AH730,19,FALSE)-AVERAGE('The List'!T2:T730))/STDEV('The List'!T2:T730)</f>
        <v>2.5610906827153186</v>
      </c>
      <c r="H15" s="38">
        <f>(VLOOKUP($A15,'The List'!$B1:$AH730,20,FALSE)-AVERAGE('The List'!U2:U730))/STDEV('The List'!U2:U730)</f>
        <v>2.5135939729245447</v>
      </c>
      <c r="I15" s="38">
        <f>(VLOOKUP($A15,'The List'!$B1:$AH730,21,FALSE)-AVERAGE('The List'!V2:V730))/STDEV('The List'!V2:V730)</f>
        <v>1.8733143839240856</v>
      </c>
      <c r="J15" s="38">
        <f>(VLOOKUP($A15,'The List'!$B1:$AH730,22,FALSE)-AVERAGE('The List'!W2:W730))/STDEV('The List'!W2:W730)</f>
        <v>2.1369704778591463</v>
      </c>
      <c r="K15" s="38">
        <f>(VLOOKUP($A15,'The List'!$B1:$AH730,23,FALSE)-AVERAGE('The List'!X2:X730))/STDEV('The List'!X2:X730)</f>
        <v>2.3655349592404096</v>
      </c>
      <c r="L15" s="38">
        <f>(VLOOKUP($A15,'The List'!$B1:$AH730,24,FALSE)-AVERAGE('The List'!Y2:Y730))/STDEV('The List'!Y2:Y730)</f>
        <v>3.1565809175885997</v>
      </c>
      <c r="M15" s="38">
        <f>(VLOOKUP($A15,'The List'!$B1:$AH730,25,FALSE)-AVERAGE('The List'!Z2:Z730))/STDEV('The List'!Z2:Z730)</f>
        <v>2.584088505611251</v>
      </c>
      <c r="N15" s="38">
        <f>(VLOOKUP($A15,'The List'!$B1:$AH730,26,FALSE)-AVERAGE('The List'!AA2:AA730))/STDEV('The List'!AA2:AA730)</f>
        <v>-0.24882141950636677</v>
      </c>
      <c r="O15" s="38">
        <f>(VLOOKUP($A15,'The List'!$B1:$AH730,27,FALSE)-AVERAGE('The List'!AB2:AB730))/STDEV('The List'!AB2:AB730)</f>
        <v>-0.72072199745498422</v>
      </c>
      <c r="P15" s="38">
        <f>(VLOOKUP($A15,'The List'!$B1:$AH730,28,FALSE)-AVERAGE('The List'!AC2:AC730))/STDEV('The List'!AC2:AC730)</f>
        <v>1.3143374081619714</v>
      </c>
      <c r="Q15" s="38">
        <f>(VLOOKUP($A15,'The List'!$B1:$AH730,29,FALSE)-AVERAGE('The List'!AD2:AD730))/STDEV('The List'!AD2:AD730)</f>
        <v>-0.92760573381362998</v>
      </c>
      <c r="R15" s="38">
        <f>(VLOOKUP($A15,'The List'!$B1:$AH730,30,FALSE)-AVERAGE('The List'!AE2:AE730))/STDEV('The List'!AE2:AE730)</f>
        <v>1.9165978253939169</v>
      </c>
      <c r="S15" s="38">
        <f>(VLOOKUP($A15,'The List'!$B1:$AH730,31,FALSE)-AVERAGE('The List'!AF2:AF730))/STDEV('The List'!AF2:AF730)</f>
        <v>3.5621780087291919</v>
      </c>
      <c r="T15" s="38">
        <f>(VLOOKUP($A15,'The List'!$B1:$AH730,32,FALSE)-AVERAGE('The List'!AG2:AG730))/STDEV('The List'!AG2:AG730)</f>
        <v>2.8494740399289689</v>
      </c>
      <c r="U15" s="38">
        <f>(VLOOKUP($A15,'The List'!$B1:$AH730,33,FALSE)-AVERAGE('The List'!AH2:AH730))/STDEV('The List'!AH2:AH730)</f>
        <v>1.2752617762709335</v>
      </c>
      <c r="V15" s="38"/>
      <c r="W15" s="42"/>
      <c r="X15" s="40"/>
      <c r="Y15" s="40"/>
      <c r="Z15" s="40"/>
      <c r="AA15" s="40"/>
      <c r="AB15" s="40"/>
      <c r="AC15" s="43"/>
      <c r="AD15" s="44"/>
      <c r="AE15" s="38"/>
    </row>
    <row r="16" spans="1:31" ht="21.2" customHeight="1">
      <c r="A16" s="8" t="s">
        <v>116</v>
      </c>
      <c r="B16" s="34" t="str">
        <f>VLOOKUP(A16,'Player Data'!A1:B734,2,FALSE)</f>
        <v>BUF</v>
      </c>
      <c r="C16" s="36">
        <f>((E16)*Settings!$C$12)+(F16*Settings!$C$2)+(G16*Settings!$C$3)+(H16*Settings!$C$4)+(I16*Settings!$C$5)+(K16*Settings!$C$9)+(N16*Settings!$C$6)+(J16*Settings!$C$8)+(O16*Settings!$C$7)+(P16*Settings!$C$14)+(Q16*Settings!$C$15)+(R16*Settings!$C$16)+(S16*Settings!$C$17)+(T16*Settings!$C$18)+(U16*Settings!$C$19)+(L16*Settings!$C$10)+(Settings!$C$11*M16)</f>
        <v>12.847352372708929</v>
      </c>
      <c r="D16" s="40">
        <f>IF(Settings!$E$12="YES",VLOOKUP(A16,'Player Data'!A1:E734,5,FALSE),82)</f>
        <v>82</v>
      </c>
      <c r="E16" s="38">
        <f>(VLOOKUP($A16,'The List'!$B1:$AH730,17,FALSE)-AVERAGE('The List'!R2:R730))/STDEV('The List'!R2:R730)</f>
        <v>0.89332327532814559</v>
      </c>
      <c r="F16" s="38">
        <f>(VLOOKUP($A16,'The List'!$B1:$AH730,18,FALSE)-AVERAGE('The List'!S2:S730))/STDEV('The List'!S2:S730)</f>
        <v>3.2603433447005479</v>
      </c>
      <c r="G16" s="38">
        <f>(VLOOKUP($A16,'The List'!$B1:$AH730,19,FALSE)-AVERAGE('The List'!T2:T730))/STDEV('The List'!T2:T730)</f>
        <v>1.6117139523056316</v>
      </c>
      <c r="H16" s="38">
        <f>(VLOOKUP($A16,'The List'!$B1:$AH730,20,FALSE)-AVERAGE('The List'!U2:U730))/STDEV('The List'!U2:U730)</f>
        <v>2.5061076297651694</v>
      </c>
      <c r="I16" s="38">
        <f>(VLOOKUP($A16,'The List'!$B1:$AH730,21,FALSE)-AVERAGE('The List'!V2:V730))/STDEV('The List'!V2:V730)</f>
        <v>2.9754797396816235</v>
      </c>
      <c r="J16" s="38">
        <f>(VLOOKUP($A16,'The List'!$B1:$AH730,22,FALSE)-AVERAGE('The List'!W2:W730))/STDEV('The List'!W2:W730)</f>
        <v>4.3087287409054653</v>
      </c>
      <c r="K16" s="38">
        <f>(VLOOKUP($A16,'The List'!$B1:$AH730,23,FALSE)-AVERAGE('The List'!X2:X730))/STDEV('The List'!X2:X730)</f>
        <v>2.4937077062559569</v>
      </c>
      <c r="L16" s="38">
        <f>(VLOOKUP($A16,'The List'!$B1:$AH730,24,FALSE)-AVERAGE('The List'!Y2:Y730))/STDEV('The List'!Y2:Y730)</f>
        <v>0.30486990818721282</v>
      </c>
      <c r="M16" s="38">
        <f>(VLOOKUP($A16,'The List'!$B1:$AH730,25,FALSE)-AVERAGE('The List'!Z2:Z730))/STDEV('The List'!Z2:Z730)</f>
        <v>-0.11143103708934952</v>
      </c>
      <c r="N16" s="38">
        <f>(VLOOKUP($A16,'The List'!$B1:$AH730,26,FALSE)-AVERAGE('The List'!AA2:AA730))/STDEV('The List'!AA2:AA730)</f>
        <v>-0.85145660561430259</v>
      </c>
      <c r="O16" s="38">
        <f>(VLOOKUP($A16,'The List'!$B1:$AH730,27,FALSE)-AVERAGE('The List'!AB2:AB730))/STDEV('The List'!AB2:AB730)</f>
        <v>-0.67155917617574445</v>
      </c>
      <c r="P16" s="38">
        <f>(VLOOKUP($A16,'The List'!$B1:$AH730,28,FALSE)-AVERAGE('The List'!AC2:AC730))/STDEV('The List'!AC2:AC730)</f>
        <v>-0.23286170234564754</v>
      </c>
      <c r="Q16" s="38">
        <f>(VLOOKUP($A16,'The List'!$B1:$AH730,29,FALSE)-AVERAGE('The List'!AD2:AD730))/STDEV('The List'!AD2:AD730)</f>
        <v>0.38942245999377534</v>
      </c>
      <c r="R16" s="38">
        <f>(VLOOKUP($A16,'The List'!$B1:$AH730,30,FALSE)-AVERAGE('The List'!AE2:AE730))/STDEV('The List'!AE2:AE730)</f>
        <v>2.6086189331783762</v>
      </c>
      <c r="S16" s="38">
        <f>(VLOOKUP($A16,'The List'!$B1:$AH730,31,FALSE)-AVERAGE('The List'!AF2:AF730))/STDEV('The List'!AF2:AF730)</f>
        <v>1.1103897288574467</v>
      </c>
      <c r="T16" s="38">
        <f>(VLOOKUP($A16,'The List'!$B1:$AH730,32,FALSE)-AVERAGE('The List'!AG2:AG730))/STDEV('The List'!AG2:AG730)</f>
        <v>2.0269865398108391</v>
      </c>
      <c r="U16" s="38">
        <f>(VLOOKUP($A16,'The List'!$B1:$AH730,33,FALSE)-AVERAGE('The List'!AH2:AH730))/STDEV('The List'!AH2:AH730)</f>
        <v>0.57214895874107929</v>
      </c>
      <c r="V16" s="38"/>
      <c r="W16" s="40"/>
      <c r="X16" s="40"/>
      <c r="Y16" s="40"/>
      <c r="Z16" s="40"/>
      <c r="AA16" s="40"/>
      <c r="AB16" s="40"/>
      <c r="AC16" s="43"/>
      <c r="AD16" s="44"/>
      <c r="AE16" s="38"/>
    </row>
    <row r="17" spans="1:31" ht="21.2" customHeight="1">
      <c r="A17" s="8" t="s">
        <v>127</v>
      </c>
      <c r="B17" s="34" t="str">
        <f>VLOOKUP(A17,'Player Data'!A1:B734,2,FALSE)</f>
        <v>VAN</v>
      </c>
      <c r="C17" s="36">
        <f>((E17)*Settings!$C$12)+(F17*Settings!$C$2)+(G17*Settings!$C$3)+(H17*Settings!$C$4)+(I17*Settings!$C$5)+(K17*Settings!$C$9)+(N17*Settings!$C$6)+(J17*Settings!$C$8)+(O17*Settings!$C$7)+(P17*Settings!$C$14)+(Q17*Settings!$C$15)+(R17*Settings!$C$16)+(S17*Settings!$C$17)+(T17*Settings!$C$18)+(U17*Settings!$C$19)+(L17*Settings!$C$10)+(Settings!$C$11*M17)</f>
        <v>10.987775194501642</v>
      </c>
      <c r="D17" s="40">
        <f>IF(Settings!$E$12="YES",VLOOKUP(A17,'Player Data'!A1:E734,5,FALSE),82)</f>
        <v>82</v>
      </c>
      <c r="E17" s="38">
        <f>(VLOOKUP($A17,'The List'!$B1:$AH730,17,FALSE)-AVERAGE('The List'!R2:R730))/STDEV('The List'!R2:R730)</f>
        <v>1.0104603266132146</v>
      </c>
      <c r="F17" s="38">
        <f>(VLOOKUP($A17,'The List'!$B1:$AH730,18,FALSE)-AVERAGE('The List'!S2:S730))/STDEV('The List'!S2:S730)</f>
        <v>2.4644518962444661</v>
      </c>
      <c r="G17" s="38">
        <f>(VLOOKUP($A17,'The List'!$B1:$AH730,19,FALSE)-AVERAGE('The List'!T2:T730))/STDEV('The List'!T2:T730)</f>
        <v>2.2561157552644135</v>
      </c>
      <c r="H17" s="38">
        <f>(VLOOKUP($A17,'The List'!$B1:$AH730,20,FALSE)-AVERAGE('The List'!U2:U730))/STDEV('The List'!U2:U730)</f>
        <v>2.5321293405865446</v>
      </c>
      <c r="I17" s="38">
        <f>(VLOOKUP($A17,'The List'!$B1:$AH730,21,FALSE)-AVERAGE('The List'!V2:V730))/STDEV('The List'!V2:V730)</f>
        <v>1.8570316294357618</v>
      </c>
      <c r="J17" s="38">
        <f>(VLOOKUP($A17,'The List'!$B1:$AH730,22,FALSE)-AVERAGE('The List'!W2:W730))/STDEV('The List'!W2:W730)</f>
        <v>1.7482943641816349</v>
      </c>
      <c r="K17" s="38">
        <f>(VLOOKUP($A17,'The List'!$B1:$AH730,23,FALSE)-AVERAGE('The List'!X2:X730))/STDEV('The List'!X2:X730)</f>
        <v>1.8780465729704561</v>
      </c>
      <c r="L17" s="38">
        <f>(VLOOKUP($A17,'The List'!$B1:$AH730,24,FALSE)-AVERAGE('The List'!Y2:Y730))/STDEV('The List'!Y2:Y730)</f>
        <v>3.34320197871916</v>
      </c>
      <c r="M17" s="38">
        <f>(VLOOKUP($A17,'The List'!$B1:$AH730,25,FALSE)-AVERAGE('The List'!Z2:Z730))/STDEV('The List'!Z2:Z730)</f>
        <v>4.3685376417370936</v>
      </c>
      <c r="N17" s="38">
        <f>(VLOOKUP($A17,'The List'!$B1:$AH730,26,FALSE)-AVERAGE('The List'!AA2:AA730))/STDEV('The List'!AA2:AA730)</f>
        <v>0.20650496459148146</v>
      </c>
      <c r="O17" s="38">
        <f>(VLOOKUP($A17,'The List'!$B1:$AH730,27,FALSE)-AVERAGE('The List'!AB2:AB730))/STDEV('The List'!AB2:AB730)</f>
        <v>-0.60933902503078607</v>
      </c>
      <c r="P17" s="38">
        <f>(VLOOKUP($A17,'The List'!$B1:$AH730,28,FALSE)-AVERAGE('The List'!AC2:AC730))/STDEV('The List'!AC2:AC730)</f>
        <v>0.55016539158298072</v>
      </c>
      <c r="Q17" s="38">
        <f>(VLOOKUP($A17,'The List'!$B1:$AH730,29,FALSE)-AVERAGE('The List'!AD2:AD730))/STDEV('The List'!AD2:AD730)</f>
        <v>-1.0427895641122085</v>
      </c>
      <c r="R17" s="38">
        <f>(VLOOKUP($A17,'The List'!$B1:$AH730,30,FALSE)-AVERAGE('The List'!AE2:AE730))/STDEV('The List'!AE2:AE730)</f>
        <v>2.2832136252334787</v>
      </c>
      <c r="S17" s="38">
        <f>(VLOOKUP($A17,'The List'!$B1:$AH730,31,FALSE)-AVERAGE('The List'!AF2:AF730))/STDEV('The List'!AF2:AF730)</f>
        <v>1.3440993183427368</v>
      </c>
      <c r="T17" s="38">
        <f>(VLOOKUP($A17,'The List'!$B1:$AH730,32,FALSE)-AVERAGE('The List'!AG2:AG730))/STDEV('The List'!AG2:AG730)</f>
        <v>1.9130781151822831</v>
      </c>
      <c r="U17" s="38">
        <f>(VLOOKUP($A17,'The List'!$B1:$AH730,33,FALSE)-AVERAGE('The List'!AH2:AH730))/STDEV('The List'!AH2:AH730)</f>
        <v>0.76405011530529032</v>
      </c>
      <c r="V17" s="38"/>
      <c r="W17" s="42"/>
      <c r="X17" s="40"/>
      <c r="Y17" s="40"/>
      <c r="Z17" s="40"/>
      <c r="AA17" s="40"/>
      <c r="AB17" s="40"/>
      <c r="AC17" s="43"/>
      <c r="AD17" s="44"/>
      <c r="AE17" s="38"/>
    </row>
    <row r="18" spans="1:31" ht="21.2" customHeight="1">
      <c r="A18" s="8" t="s">
        <v>139</v>
      </c>
      <c r="B18" s="34" t="str">
        <f>VLOOKUP(A18,'Player Data'!A1:B734,2,FALSE)</f>
        <v>PIT</v>
      </c>
      <c r="C18" s="36">
        <f>((E18)*Settings!$C$12)+(F18*Settings!$C$2)+(G18*Settings!$C$3)+(H18*Settings!$C$4)+(I18*Settings!$C$5)+(K18*Settings!$C$9)+(N18*Settings!$C$6)+(J18*Settings!$C$8)+(O18*Settings!$C$7)+(P18*Settings!$C$14)+(Q18*Settings!$C$15)+(R18*Settings!$C$16)+(S18*Settings!$C$17)+(T18*Settings!$C$18)+(U18*Settings!$C$19)+(L18*Settings!$C$10)+(Settings!$C$11*M18)</f>
        <v>10.322588449458125</v>
      </c>
      <c r="D18" s="40">
        <f>IF(Settings!$E$12="YES",VLOOKUP(A18,'Player Data'!A1:E734,5,FALSE),82)</f>
        <v>82</v>
      </c>
      <c r="E18" s="38">
        <f>(VLOOKUP($A18,'The List'!$B1:$AH730,17,FALSE)-AVERAGE('The List'!R2:R730))/STDEV('The List'!R2:R730)</f>
        <v>0.95162583919723343</v>
      </c>
      <c r="F18" s="38">
        <f>(VLOOKUP($A18,'The List'!$B1:$AH730,18,FALSE)-AVERAGE('The List'!S2:S730))/STDEV('The List'!S2:S730)</f>
        <v>1.6814850048512837</v>
      </c>
      <c r="G18" s="38">
        <f>(VLOOKUP($A18,'The List'!$B1:$AH730,19,FALSE)-AVERAGE('The List'!T2:T730))/STDEV('The List'!T2:T730)</f>
        <v>2.3750500134866699</v>
      </c>
      <c r="H18" s="38">
        <f>(VLOOKUP($A18,'The List'!$B1:$AH730,20,FALSE)-AVERAGE('The List'!U2:U730))/STDEV('The List'!U2:U730)</f>
        <v>2.2412388538278964</v>
      </c>
      <c r="I18" s="38">
        <f>(VLOOKUP($A18,'The List'!$B1:$AH730,21,FALSE)-AVERAGE('The List'!V2:V730))/STDEV('The List'!V2:V730)</f>
        <v>1.7912214650937273</v>
      </c>
      <c r="J18" s="38">
        <f>(VLOOKUP($A18,'The List'!$B1:$AH730,22,FALSE)-AVERAGE('The List'!W2:W730))/STDEV('The List'!W2:W730)</f>
        <v>1.5985154687236176</v>
      </c>
      <c r="K18" s="38">
        <f>(VLOOKUP($A18,'The List'!$B1:$AH730,23,FALSE)-AVERAGE('The List'!X2:X730))/STDEV('The List'!X2:X730)</f>
        <v>2.2335931121985477</v>
      </c>
      <c r="L18" s="38">
        <f>(VLOOKUP($A18,'The List'!$B1:$AH730,24,FALSE)-AVERAGE('The List'!Y2:Y730))/STDEV('The List'!Y2:Y730)</f>
        <v>-0.4992556206620411</v>
      </c>
      <c r="M18" s="38">
        <f>(VLOOKUP($A18,'The List'!$B1:$AH730,25,FALSE)-AVERAGE('The List'!Z2:Z730))/STDEV('The List'!Z2:Z730)</f>
        <v>-0.68163428749795352</v>
      </c>
      <c r="N18" s="38">
        <f>(VLOOKUP($A18,'The List'!$B1:$AH730,26,FALSE)-AVERAGE('The List'!AA2:AA730))/STDEV('The List'!AA2:AA730)</f>
        <v>-0.4854851479994618</v>
      </c>
      <c r="O18" s="38">
        <f>(VLOOKUP($A18,'The List'!$B1:$AH730,27,FALSE)-AVERAGE('The List'!AB2:AB730))/STDEV('The List'!AB2:AB730)</f>
        <v>-0.68306445816859984</v>
      </c>
      <c r="P18" s="38">
        <f>(VLOOKUP($A18,'The List'!$B1:$AH730,28,FALSE)-AVERAGE('The List'!AC2:AC730))/STDEV('The List'!AC2:AC730)</f>
        <v>1.1395982414387973</v>
      </c>
      <c r="Q18" s="38">
        <f>(VLOOKUP($A18,'The List'!$B1:$AH730,29,FALSE)-AVERAGE('The List'!AD2:AD730))/STDEV('The List'!AD2:AD730)</f>
        <v>0.13551165591918501</v>
      </c>
      <c r="R18" s="38">
        <f>(VLOOKUP($A18,'The List'!$B1:$AH730,30,FALSE)-AVERAGE('The List'!AE2:AE730))/STDEV('The List'!AE2:AE730)</f>
        <v>1.938201419677414</v>
      </c>
      <c r="S18" s="38">
        <f>(VLOOKUP($A18,'The List'!$B1:$AH730,31,FALSE)-AVERAGE('The List'!AF2:AF730))/STDEV('The List'!AF2:AF730)</f>
        <v>3.9516995330995575</v>
      </c>
      <c r="T18" s="38">
        <f>(VLOOKUP($A18,'The List'!$B1:$AH730,32,FALSE)-AVERAGE('The List'!AG2:AG730))/STDEV('The List'!AG2:AG730)</f>
        <v>3.6152029377419015</v>
      </c>
      <c r="U18" s="38">
        <f>(VLOOKUP($A18,'The List'!$B1:$AH730,33,FALSE)-AVERAGE('The List'!AH2:AH730))/STDEV('The List'!AH2:AH730)</f>
        <v>1.1524600347031786</v>
      </c>
      <c r="V18" s="38"/>
      <c r="W18" s="42"/>
      <c r="X18" s="40"/>
      <c r="Y18" s="40"/>
      <c r="Z18" s="40"/>
      <c r="AA18" s="40"/>
      <c r="AB18" s="40"/>
      <c r="AC18" s="43"/>
      <c r="AD18" s="44"/>
      <c r="AE18" s="38"/>
    </row>
    <row r="19" spans="1:31" ht="21.2" customHeight="1">
      <c r="A19" s="8" t="s">
        <v>156</v>
      </c>
      <c r="B19" s="34" t="str">
        <f>VLOOKUP(A19,'Player Data'!A1:B734,2,FALSE)</f>
        <v>CBJ</v>
      </c>
      <c r="C19" s="36">
        <f>((E19)*Settings!$C$12)+(F19*Settings!$C$2)+(G19*Settings!$C$3)+(H19*Settings!$C$4)+(I19*Settings!$C$5)+(K19*Settings!$C$9)+(N19*Settings!$C$6)+(J19*Settings!$C$8)+(O19*Settings!$C$7)+(P19*Settings!$C$14)+(Q19*Settings!$C$15)+(R19*Settings!$C$16)+(S19*Settings!$C$17)+(T19*Settings!$C$18)+(U19*Settings!$C$19)+(L19*Settings!$C$10)+(Settings!$C$11*M19)</f>
        <v>8.6351776949320627</v>
      </c>
      <c r="D19" s="40">
        <f>IF(Settings!$E$12="YES",VLOOKUP(A19,'Player Data'!A1:E734,5,FALSE),82)</f>
        <v>82</v>
      </c>
      <c r="E19" s="38">
        <f>(VLOOKUP($A19,'The List'!$B1:$AH730,17,FALSE)-AVERAGE('The List'!R2:R730))/STDEV('The List'!R2:R730)</f>
        <v>0.8380797613612464</v>
      </c>
      <c r="F19" s="38">
        <f>(VLOOKUP($A19,'The List'!$B1:$AH730,18,FALSE)-AVERAGE('The List'!S2:S730))/STDEV('The List'!S2:S730)</f>
        <v>1.2643602390471211</v>
      </c>
      <c r="G19" s="38">
        <f>(VLOOKUP($A19,'The List'!$B1:$AH730,19,FALSE)-AVERAGE('The List'!T2:T730))/STDEV('The List'!T2:T730)</f>
        <v>2.3454672837131372</v>
      </c>
      <c r="H19" s="38">
        <f>(VLOOKUP($A19,'The List'!$B1:$AH730,20,FALSE)-AVERAGE('The List'!U2:U730))/STDEV('The List'!U2:U730)</f>
        <v>2.0291490085078494</v>
      </c>
      <c r="I19" s="38">
        <f>(VLOOKUP($A19,'The List'!$B1:$AH730,21,FALSE)-AVERAGE('The List'!V2:V730))/STDEV('The List'!V2:V730)</f>
        <v>1.3947123946469175</v>
      </c>
      <c r="J19" s="38">
        <f>(VLOOKUP($A19,'The List'!$B1:$AH730,22,FALSE)-AVERAGE('The List'!W2:W730))/STDEV('The List'!W2:W730)</f>
        <v>0.64346789949151328</v>
      </c>
      <c r="K19" s="38">
        <f>(VLOOKUP($A19,'The List'!$B1:$AH730,23,FALSE)-AVERAGE('The List'!X2:X730))/STDEV('The List'!X2:X730)</f>
        <v>1.6014887690170361</v>
      </c>
      <c r="L19" s="38">
        <f>(VLOOKUP($A19,'The List'!$B1:$AH730,24,FALSE)-AVERAGE('The List'!Y2:Y730))/STDEV('The List'!Y2:Y730)</f>
        <v>-0.51526741825622213</v>
      </c>
      <c r="M19" s="38">
        <f>(VLOOKUP($A19,'The List'!$B1:$AH730,25,FALSE)-AVERAGE('The List'!Z2:Z730))/STDEV('The List'!Z2:Z730)</f>
        <v>-0.69290048786238301</v>
      </c>
      <c r="N19" s="38">
        <f>(VLOOKUP($A19,'The List'!$B1:$AH730,26,FALSE)-AVERAGE('The List'!AA2:AA730))/STDEV('The List'!AA2:AA730)</f>
        <v>-1.1364377976688038</v>
      </c>
      <c r="O19" s="38">
        <f>(VLOOKUP($A19,'The List'!$B1:$AH730,27,FALSE)-AVERAGE('The List'!AB2:AB730))/STDEV('The List'!AB2:AB730)</f>
        <v>-1.7563609677612178</v>
      </c>
      <c r="P19" s="38">
        <f>(VLOOKUP($A19,'The List'!$B1:$AH730,28,FALSE)-AVERAGE('The List'!AC2:AC730))/STDEV('The List'!AC2:AC730)</f>
        <v>-0.65342554038185297</v>
      </c>
      <c r="Q19" s="38">
        <f>(VLOOKUP($A19,'The List'!$B1:$AH730,29,FALSE)-AVERAGE('The List'!AD2:AD730))/STDEV('The List'!AD2:AD730)</f>
        <v>-0.85793181450314371</v>
      </c>
      <c r="R19" s="38">
        <f>(VLOOKUP($A19,'The List'!$B1:$AH730,30,FALSE)-AVERAGE('The List'!AE2:AE730))/STDEV('The List'!AE2:AE730)</f>
        <v>0.58670788641550964</v>
      </c>
      <c r="S19" s="38">
        <f>(VLOOKUP($A19,'The List'!$B1:$AH730,31,FALSE)-AVERAGE('The List'!AF2:AF730))/STDEV('The List'!AF2:AF730)</f>
        <v>-0.56856468137305205</v>
      </c>
      <c r="T19" s="38">
        <f>(VLOOKUP($A19,'The List'!$B1:$AH730,32,FALSE)-AVERAGE('The List'!AG2:AG730))/STDEV('The List'!AG2:AG730)</f>
        <v>-0.61411108928263103</v>
      </c>
      <c r="U19" s="38">
        <f>(VLOOKUP($A19,'The List'!$B1:$AH730,33,FALSE)-AVERAGE('The List'!AH2:AH730))/STDEV('The List'!AH2:AH730)</f>
        <v>0.43037979038940216</v>
      </c>
      <c r="V19" s="38"/>
      <c r="W19" s="40"/>
      <c r="X19" s="38"/>
      <c r="Y19" s="38"/>
      <c r="Z19" s="38"/>
      <c r="AA19" s="38"/>
      <c r="AB19" s="38"/>
      <c r="AC19" s="38"/>
      <c r="AD19" s="38"/>
      <c r="AE19" s="38"/>
    </row>
    <row r="20" spans="1:31" ht="21.2" customHeight="1">
      <c r="A20" s="8" t="s">
        <v>145</v>
      </c>
      <c r="B20" s="34" t="str">
        <f>VLOOKUP(A20,'Player Data'!A1:B734,2,FALSE)</f>
        <v>TBL</v>
      </c>
      <c r="C20" s="36">
        <f>((E20)*Settings!$C$12)+(F20*Settings!$C$2)+(G20*Settings!$C$3)+(H20*Settings!$C$4)+(I20*Settings!$C$5)+(K20*Settings!$C$9)+(N20*Settings!$C$6)+(J20*Settings!$C$8)+(O20*Settings!$C$7)+(P20*Settings!$C$14)+(Q20*Settings!$C$15)+(R20*Settings!$C$16)+(S20*Settings!$C$17)+(T20*Settings!$C$18)+(U20*Settings!$C$19)+(L20*Settings!$C$10)+(Settings!$C$11*M20)</f>
        <v>9.7577666144233852</v>
      </c>
      <c r="D20" s="40">
        <f>IF(Settings!$E$12="YES",VLOOKUP(A20,'Player Data'!A1:E734,5,FALSE),82)</f>
        <v>82</v>
      </c>
      <c r="E20" s="38">
        <f>(VLOOKUP($A20,'The List'!$B1:$AH730,17,FALSE)-AVERAGE('The List'!R2:R730))/STDEV('The List'!R2:R730)</f>
        <v>0.6788460324529848</v>
      </c>
      <c r="F20" s="38">
        <f>(VLOOKUP($A20,'The List'!$B1:$AH730,18,FALSE)-AVERAGE('The List'!S2:S730))/STDEV('The List'!S2:S730)</f>
        <v>1.8390681095509818</v>
      </c>
      <c r="G20" s="38">
        <f>(VLOOKUP($A20,'The List'!$B1:$AH730,19,FALSE)-AVERAGE('The List'!T2:T730))/STDEV('The List'!T2:T730)</f>
        <v>1.906465774424299</v>
      </c>
      <c r="H20" s="38">
        <f>(VLOOKUP($A20,'The List'!$B1:$AH730,20,FALSE)-AVERAGE('The List'!U2:U730))/STDEV('The List'!U2:U730)</f>
        <v>2.0265315565976612</v>
      </c>
      <c r="I20" s="38">
        <f>(VLOOKUP($A20,'The List'!$B1:$AH730,21,FALSE)-AVERAGE('The List'!V2:V730))/STDEV('The List'!V2:V730)</f>
        <v>1.5482883649297998</v>
      </c>
      <c r="J20" s="38">
        <f>(VLOOKUP($A20,'The List'!$B1:$AH730,22,FALSE)-AVERAGE('The List'!W2:W730))/STDEV('The List'!W2:W730)</f>
        <v>2.7870277429881019</v>
      </c>
      <c r="K20" s="38">
        <f>(VLOOKUP($A20,'The List'!$B1:$AH730,23,FALSE)-AVERAGE('The List'!X2:X730))/STDEV('The List'!X2:X730)</f>
        <v>2.4374128089206435</v>
      </c>
      <c r="L20" s="38">
        <f>(VLOOKUP($A20,'The List'!$B1:$AH730,24,FALSE)-AVERAGE('The List'!Y2:Y730))/STDEV('The List'!Y2:Y730)</f>
        <v>-0.47271755837043355</v>
      </c>
      <c r="M20" s="38">
        <f>(VLOOKUP($A20,'The List'!$B1:$AH730,25,FALSE)-AVERAGE('The List'!Z2:Z730))/STDEV('The List'!Z2:Z730)</f>
        <v>-0.55687251272005522</v>
      </c>
      <c r="N20" s="38">
        <f>(VLOOKUP($A20,'The List'!$B1:$AH730,26,FALSE)-AVERAGE('The List'!AA2:AA730))/STDEV('The List'!AA2:AA730)</f>
        <v>-0.50314471948639439</v>
      </c>
      <c r="O20" s="38">
        <f>(VLOOKUP($A20,'The List'!$B1:$AH730,27,FALSE)-AVERAGE('The List'!AB2:AB730))/STDEV('The List'!AB2:AB730)</f>
        <v>-0.16935367845238122</v>
      </c>
      <c r="P20" s="38">
        <f>(VLOOKUP($A20,'The List'!$B1:$AH730,28,FALSE)-AVERAGE('The List'!AC2:AC730))/STDEV('The List'!AC2:AC730)</f>
        <v>0.20226382132371509</v>
      </c>
      <c r="Q20" s="38">
        <f>(VLOOKUP($A20,'The List'!$B1:$AH730,29,FALSE)-AVERAGE('The List'!AD2:AD730))/STDEV('The List'!AD2:AD730)</f>
        <v>0.46647209296767228</v>
      </c>
      <c r="R20" s="38">
        <f>(VLOOKUP($A20,'The List'!$B1:$AH730,30,FALSE)-AVERAGE('The List'!AE2:AE730))/STDEV('The List'!AE2:AE730)</f>
        <v>2.0189260339470536</v>
      </c>
      <c r="S20" s="38">
        <f>(VLOOKUP($A20,'The List'!$B1:$AH730,31,FALSE)-AVERAGE('The List'!AF2:AF730))/STDEV('The List'!AF2:AF730)</f>
        <v>1.8448343336207751</v>
      </c>
      <c r="T20" s="38">
        <f>(VLOOKUP($A20,'The List'!$B1:$AH730,32,FALSE)-AVERAGE('The List'!AG2:AG730))/STDEV('The List'!AG2:AG730)</f>
        <v>1.6191198457090465</v>
      </c>
      <c r="U20" s="38">
        <f>(VLOOKUP($A20,'The List'!$B1:$AH730,33,FALSE)-AVERAGE('The List'!AH2:AH730))/STDEV('The List'!AH2:AH730)</f>
        <v>1.1647819334367095</v>
      </c>
      <c r="V20" s="38"/>
      <c r="W20" s="42"/>
      <c r="X20" s="40"/>
      <c r="Y20" s="40"/>
      <c r="Z20" s="40"/>
      <c r="AA20" s="40"/>
      <c r="AB20" s="40"/>
      <c r="AC20" s="43"/>
      <c r="AD20" s="44"/>
      <c r="AE20" s="38"/>
    </row>
    <row r="21" spans="1:31" ht="21.2" customHeight="1">
      <c r="A21" s="8" t="s">
        <v>163</v>
      </c>
      <c r="B21" s="34" t="str">
        <f>VLOOKUP(A21,'Player Data'!A1:B734,2,FALSE)</f>
        <v>STL</v>
      </c>
      <c r="C21" s="36">
        <f>((E21)*Settings!$C$12)+(F21*Settings!$C$2)+(G21*Settings!$C$3)+(H21*Settings!$C$4)+(I21*Settings!$C$5)+(K21*Settings!$C$9)+(N21*Settings!$C$6)+(J21*Settings!$C$8)+(O21*Settings!$C$7)+(P21*Settings!$C$14)+(Q21*Settings!$C$15)+(R21*Settings!$C$16)+(S21*Settings!$C$17)+(T21*Settings!$C$18)+(U21*Settings!$C$19)+(L21*Settings!$C$10)+(Settings!$C$11*M21)</f>
        <v>8.1517737192623727</v>
      </c>
      <c r="D21" s="40">
        <f>IF(Settings!$E$12="YES",VLOOKUP(A21,'Player Data'!A1:E734,5,FALSE),82)</f>
        <v>82</v>
      </c>
      <c r="E21" s="38">
        <f>(VLOOKUP($A21,'The List'!$B1:$AH730,17,FALSE)-AVERAGE('The List'!R2:R730))/STDEV('The List'!R2:R730)</f>
        <v>1.0313014656370814</v>
      </c>
      <c r="F21" s="38">
        <f>(VLOOKUP($A21,'The List'!$B1:$AH730,18,FALSE)-AVERAGE('The List'!S2:S730))/STDEV('The List'!S2:S730)</f>
        <v>1.7998806450716447</v>
      </c>
      <c r="G21" s="38">
        <f>(VLOOKUP($A21,'The List'!$B1:$AH730,19,FALSE)-AVERAGE('The List'!T2:T730))/STDEV('The List'!T2:T730)</f>
        <v>1.9212615418860233</v>
      </c>
      <c r="H21" s="38">
        <f>(VLOOKUP($A21,'The List'!$B1:$AH730,20,FALSE)-AVERAGE('The List'!U2:U730))/STDEV('The List'!U2:U730)</f>
        <v>2.0174069385862783</v>
      </c>
      <c r="I21" s="38">
        <f>(VLOOKUP($A21,'The List'!$B1:$AH730,21,FALSE)-AVERAGE('The List'!V2:V730))/STDEV('The List'!V2:V730)</f>
        <v>0.76692098521366925</v>
      </c>
      <c r="J21" s="38">
        <f>(VLOOKUP($A21,'The List'!$B1:$AH730,22,FALSE)-AVERAGE('The List'!W2:W730))/STDEV('The List'!W2:W730)</f>
        <v>1.665725189249311</v>
      </c>
      <c r="K21" s="38">
        <f>(VLOOKUP($A21,'The List'!$B1:$AH730,23,FALSE)-AVERAGE('The List'!X2:X730))/STDEV('The List'!X2:X730)</f>
        <v>1.6463036085047564</v>
      </c>
      <c r="L21" s="38">
        <f>(VLOOKUP($A21,'The List'!$B1:$AH730,24,FALSE)-AVERAGE('The List'!Y2:Y730))/STDEV('The List'!Y2:Y730)</f>
        <v>0.61651489345681665</v>
      </c>
      <c r="M21" s="38">
        <f>(VLOOKUP($A21,'The List'!$B1:$AH730,25,FALSE)-AVERAGE('The List'!Z2:Z730))/STDEV('The List'!Z2:Z730)</f>
        <v>2.1249643522797523</v>
      </c>
      <c r="N21" s="38">
        <f>(VLOOKUP($A21,'The List'!$B1:$AH730,26,FALSE)-AVERAGE('The List'!AA2:AA730))/STDEV('The List'!AA2:AA730)</f>
        <v>-0.82787513495560605</v>
      </c>
      <c r="O21" s="38">
        <f>(VLOOKUP($A21,'The List'!$B1:$AH730,27,FALSE)-AVERAGE('The List'!AB2:AB730))/STDEV('The List'!AB2:AB730)</f>
        <v>-0.53057912359747528</v>
      </c>
      <c r="P21" s="38">
        <f>(VLOOKUP($A21,'The List'!$B1:$AH730,28,FALSE)-AVERAGE('The List'!AC2:AC730))/STDEV('The List'!AC2:AC730)</f>
        <v>-0.10469359640912913</v>
      </c>
      <c r="Q21" s="38">
        <f>(VLOOKUP($A21,'The List'!$B1:$AH730,29,FALSE)-AVERAGE('The List'!AD2:AD730))/STDEV('The List'!AD2:AD730)</f>
        <v>0.23306069299511178</v>
      </c>
      <c r="R21" s="38">
        <f>(VLOOKUP($A21,'The List'!$B1:$AH730,30,FALSE)-AVERAGE('The List'!AE2:AE730))/STDEV('The List'!AE2:AE730)</f>
        <v>1.1238109914275816</v>
      </c>
      <c r="S21" s="38">
        <f>(VLOOKUP($A21,'The List'!$B1:$AH730,31,FALSE)-AVERAGE('The List'!AF2:AF730))/STDEV('The List'!AF2:AF730)</f>
        <v>-0.26296485604134562</v>
      </c>
      <c r="T21" s="38">
        <f>(VLOOKUP($A21,'The List'!$B1:$AH730,32,FALSE)-AVERAGE('The List'!AG2:AG730))/STDEV('The List'!AG2:AG730)</f>
        <v>0.14834853400937861</v>
      </c>
      <c r="U21" s="38">
        <f>(VLOOKUP($A21,'The List'!$B1:$AH730,33,FALSE)-AVERAGE('The List'!AH2:AH730))/STDEV('The List'!AH2:AH730)</f>
        <v>0.10243460374926654</v>
      </c>
      <c r="V21" s="38"/>
      <c r="W21" s="42"/>
      <c r="X21" s="40"/>
      <c r="Y21" s="40"/>
      <c r="Z21" s="40"/>
      <c r="AA21" s="40"/>
      <c r="AB21" s="40"/>
      <c r="AC21" s="43"/>
      <c r="AD21" s="44"/>
      <c r="AE21" s="38"/>
    </row>
    <row r="22" spans="1:31" ht="21.2" customHeight="1">
      <c r="A22" s="8" t="s">
        <v>112</v>
      </c>
      <c r="B22" s="34" t="str">
        <f>VLOOKUP(A22,'Player Data'!A1:B734,2,FALSE)</f>
        <v>COL</v>
      </c>
      <c r="C22" s="36">
        <f>((E22)*Settings!$C$12)+(F22*Settings!$C$2)+(G22*Settings!$C$3)+(H22*Settings!$C$4)+(I22*Settings!$C$5)+(K22*Settings!$C$9)+(N22*Settings!$C$6)+(J22*Settings!$C$8)+(O22*Settings!$C$7)+(P22*Settings!$C$14)+(Q22*Settings!$C$15)+(R22*Settings!$C$16)+(S22*Settings!$C$17)+(T22*Settings!$C$18)+(U22*Settings!$C$19)+(L22*Settings!$C$10)+(Settings!$C$11*M22)</f>
        <v>10.908265501872471</v>
      </c>
      <c r="D22" s="40">
        <f>IF(Settings!$E$12="YES",VLOOKUP(A22,'Player Data'!A1:E734,5,FALSE),82)</f>
        <v>82</v>
      </c>
      <c r="E22" s="38">
        <f>(VLOOKUP($A22,'The List'!$B1:$AH730,17,FALSE)-AVERAGE('The List'!R2:R730))/STDEV('The List'!R2:R730)</f>
        <v>2.6223752396292044</v>
      </c>
      <c r="F22" s="38">
        <f>(VLOOKUP($A22,'The List'!$B1:$AH730,18,FALSE)-AVERAGE('The List'!S2:S730))/STDEV('The List'!S2:S730)</f>
        <v>0.93320746297778234</v>
      </c>
      <c r="G22" s="38">
        <f>(VLOOKUP($A22,'The List'!$B1:$AH730,19,FALSE)-AVERAGE('The List'!T2:T730))/STDEV('The List'!T2:T730)</f>
        <v>3.0720465094464773</v>
      </c>
      <c r="H22" s="38">
        <f>(VLOOKUP($A22,'The List'!$B1:$AH730,20,FALSE)-AVERAGE('The List'!U2:U730))/STDEV('The List'!U2:U730)</f>
        <v>2.3217164980778375</v>
      </c>
      <c r="I22" s="38">
        <f>(VLOOKUP($A22,'The List'!$B1:$AH730,21,FALSE)-AVERAGE('The List'!V2:V730))/STDEV('The List'!V2:V730)</f>
        <v>1.5607579702952725</v>
      </c>
      <c r="J22" s="38">
        <f>(VLOOKUP($A22,'The List'!$B1:$AH730,22,FALSE)-AVERAGE('The List'!W2:W730))/STDEV('The List'!W2:W730)</f>
        <v>1.2915772336074087</v>
      </c>
      <c r="K22" s="38">
        <f>(VLOOKUP($A22,'The List'!$B1:$AH730,23,FALSE)-AVERAGE('The List'!X2:X730))/STDEV('The List'!X2:X730)</f>
        <v>3.020537061075101</v>
      </c>
      <c r="L22" s="38">
        <f>(VLOOKUP($A22,'The List'!$B1:$AH730,24,FALSE)-AVERAGE('The List'!Y2:Y730))/STDEV('The List'!Y2:Y730)</f>
        <v>-0.41530109793897113</v>
      </c>
      <c r="M22" s="38">
        <f>(VLOOKUP($A22,'The List'!$B1:$AH730,25,FALSE)-AVERAGE('The List'!Z2:Z730))/STDEV('The List'!Z2:Z730)</f>
        <v>-0.22227652992673994</v>
      </c>
      <c r="N22" s="38">
        <f>(VLOOKUP($A22,'The List'!$B1:$AH730,26,FALSE)-AVERAGE('The List'!AA2:AA730))/STDEV('The List'!AA2:AA730)</f>
        <v>1.2625421614347951</v>
      </c>
      <c r="O22" s="38">
        <f>(VLOOKUP($A22,'The List'!$B1:$AH730,27,FALSE)-AVERAGE('The List'!AB2:AB730))/STDEV('The List'!AB2:AB730)</f>
        <v>-8.0151355893757673E-2</v>
      </c>
      <c r="P22" s="38">
        <f>(VLOOKUP($A22,'The List'!$B1:$AH730,28,FALSE)-AVERAGE('The List'!AC2:AC730))/STDEV('The List'!AC2:AC730)</f>
        <v>2.1907165212037598</v>
      </c>
      <c r="Q22" s="38">
        <f>(VLOOKUP($A22,'The List'!$B1:$AH730,29,FALSE)-AVERAGE('The List'!AD2:AD730))/STDEV('The List'!AD2:AD730)</f>
        <v>9.1857573600385087E-2</v>
      </c>
      <c r="R22" s="38">
        <f>(VLOOKUP($A22,'The List'!$B1:$AH730,30,FALSE)-AVERAGE('The List'!AE2:AE730))/STDEV('The List'!AE2:AE730)</f>
        <v>1.1214302495380557</v>
      </c>
      <c r="S22" s="38">
        <f>(VLOOKUP($A22,'The List'!$B1:$AH730,31,FALSE)-AVERAGE('The List'!AF2:AF730))/STDEV('The List'!AF2:AF730)</f>
        <v>-0.56911587195029545</v>
      </c>
      <c r="T22" s="38">
        <f>(VLOOKUP($A22,'The List'!$B1:$AH730,32,FALSE)-AVERAGE('The List'!AG2:AG730))/STDEV('The List'!AG2:AG730)</f>
        <v>-0.61510119871956948</v>
      </c>
      <c r="U22" s="38">
        <f>(VLOOKUP($A22,'The List'!$B1:$AH730,33,FALSE)-AVERAGE('The List'!AH2:AH730))/STDEV('The List'!AH2:AH730)</f>
        <v>-1.2363238714825984</v>
      </c>
      <c r="V22" s="38"/>
      <c r="W22" s="40"/>
      <c r="X22" s="38"/>
      <c r="Y22" s="38"/>
      <c r="Z22" s="38"/>
      <c r="AA22" s="38"/>
      <c r="AB22" s="38"/>
      <c r="AC22" s="38"/>
      <c r="AD22" s="38"/>
      <c r="AE22" s="38"/>
    </row>
    <row r="23" spans="1:31" ht="21.2" customHeight="1">
      <c r="A23" s="8" t="s">
        <v>128</v>
      </c>
      <c r="B23" s="34" t="str">
        <f>VLOOKUP(A23,'Player Data'!A1:B734,2,FALSE)</f>
        <v>NYR</v>
      </c>
      <c r="C23" s="36">
        <f>((E23)*Settings!$C$12)+(F23*Settings!$C$2)+(G23*Settings!$C$3)+(H23*Settings!$C$4)+(I23*Settings!$C$5)+(K23*Settings!$C$9)+(N23*Settings!$C$6)+(J23*Settings!$C$8)+(O23*Settings!$C$7)+(P23*Settings!$C$14)+(Q23*Settings!$C$15)+(R23*Settings!$C$16)+(S23*Settings!$C$17)+(T23*Settings!$C$18)+(U23*Settings!$C$19)+(L23*Settings!$C$10)+(Settings!$C$11*M23)</f>
        <v>10.395967367905438</v>
      </c>
      <c r="D23" s="40">
        <f>IF(Settings!$E$12="YES",VLOOKUP(A23,'Player Data'!A1:E734,5,FALSE),82)</f>
        <v>82</v>
      </c>
      <c r="E23" s="38">
        <f>(VLOOKUP($A23,'The List'!$B1:$AH730,17,FALSE)-AVERAGE('The List'!R2:R730))/STDEV('The List'!R2:R730)</f>
        <v>1.1422688033638984</v>
      </c>
      <c r="F23" s="38">
        <f>(VLOOKUP($A23,'The List'!$B1:$AH730,18,FALSE)-AVERAGE('The List'!S2:S730))/STDEV('The List'!S2:S730)</f>
        <v>2.0192239491574542</v>
      </c>
      <c r="G23" s="38">
        <f>(VLOOKUP($A23,'The List'!$B1:$AH730,19,FALSE)-AVERAGE('The List'!T2:T730))/STDEV('The List'!T2:T730)</f>
        <v>1.9127515869999916</v>
      </c>
      <c r="H23" s="38">
        <f>(VLOOKUP($A23,'The List'!$B1:$AH730,20,FALSE)-AVERAGE('The List'!U2:U730))/STDEV('The List'!U2:U730)</f>
        <v>2.1141440441705157</v>
      </c>
      <c r="I23" s="38">
        <f>(VLOOKUP($A23,'The List'!$B1:$AH730,21,FALSE)-AVERAGE('The List'!V2:V730))/STDEV('The List'!V2:V730)</f>
        <v>1.8574045478646777</v>
      </c>
      <c r="J23" s="38">
        <f>(VLOOKUP($A23,'The List'!$B1:$AH730,22,FALSE)-AVERAGE('The List'!W2:W730))/STDEV('The List'!W2:W730)</f>
        <v>3.7331664189173166</v>
      </c>
      <c r="K23" s="38">
        <f>(VLOOKUP($A23,'The List'!$B1:$AH730,23,FALSE)-AVERAGE('The List'!X2:X730))/STDEV('The List'!X2:X730)</f>
        <v>2.4924432397127978</v>
      </c>
      <c r="L23" s="38">
        <f>(VLOOKUP($A23,'The List'!$B1:$AH730,24,FALSE)-AVERAGE('The List'!Y2:Y730))/STDEV('The List'!Y2:Y730)</f>
        <v>1.163920169489997</v>
      </c>
      <c r="M23" s="38">
        <f>(VLOOKUP($A23,'The List'!$B1:$AH730,25,FALSE)-AVERAGE('The List'!Z2:Z730))/STDEV('The List'!Z2:Z730)</f>
        <v>2.4406773684755465</v>
      </c>
      <c r="N23" s="38">
        <f>(VLOOKUP($A23,'The List'!$B1:$AH730,26,FALSE)-AVERAGE('The List'!AA2:AA730))/STDEV('The List'!AA2:AA730)</f>
        <v>-0.35421050359787964</v>
      </c>
      <c r="O23" s="38">
        <f>(VLOOKUP($A23,'The List'!$B1:$AH730,27,FALSE)-AVERAGE('The List'!AB2:AB730))/STDEV('The List'!AB2:AB730)</f>
        <v>-0.49893367725745619</v>
      </c>
      <c r="P23" s="38">
        <f>(VLOOKUP($A23,'The List'!$B1:$AH730,28,FALSE)-AVERAGE('The List'!AC2:AC730))/STDEV('The List'!AC2:AC730)</f>
        <v>1.2744469077475236</v>
      </c>
      <c r="Q23" s="38">
        <f>(VLOOKUP($A23,'The List'!$B1:$AH730,29,FALSE)-AVERAGE('The List'!AD2:AD730))/STDEV('The List'!AD2:AD730)</f>
        <v>-0.78686641633931365</v>
      </c>
      <c r="R23" s="38">
        <f>(VLOOKUP($A23,'The List'!$B1:$AH730,30,FALSE)-AVERAGE('The List'!AE2:AE730))/STDEV('The List'!AE2:AE730)</f>
        <v>2.5092717442461381</v>
      </c>
      <c r="S23" s="38">
        <f>(VLOOKUP($A23,'The List'!$B1:$AH730,31,FALSE)-AVERAGE('The List'!AF2:AF730))/STDEV('The List'!AF2:AF730)</f>
        <v>2.8521677992029404</v>
      </c>
      <c r="T23" s="38">
        <f>(VLOOKUP($A23,'The List'!$B1:$AH730,32,FALSE)-AVERAGE('The List'!AG2:AG730))/STDEV('The List'!AG2:AG730)</f>
        <v>2.9872018561688756</v>
      </c>
      <c r="U23" s="38">
        <f>(VLOOKUP($A23,'The List'!$B1:$AH730,33,FALSE)-AVERAGE('The List'!AH2:AH730))/STDEV('The List'!AH2:AH730)</f>
        <v>1.019400827165178</v>
      </c>
      <c r="V23" s="38"/>
      <c r="W23" s="42"/>
      <c r="X23" s="40"/>
      <c r="Y23" s="40"/>
      <c r="Z23" s="40"/>
      <c r="AA23" s="40"/>
      <c r="AB23" s="40"/>
      <c r="AC23" s="43"/>
      <c r="AD23" s="44"/>
      <c r="AE23" s="38"/>
    </row>
    <row r="24" spans="1:31" ht="21.2" customHeight="1">
      <c r="A24" s="8" t="s">
        <v>140</v>
      </c>
      <c r="B24" s="34" t="str">
        <f>VLOOKUP(A24,'Player Data'!A1:B734,2,FALSE)</f>
        <v>TBL</v>
      </c>
      <c r="C24" s="36">
        <f>((E24)*Settings!$C$12)+(F24*Settings!$C$2)+(G24*Settings!$C$3)+(H24*Settings!$C$4)+(I24*Settings!$C$5)+(K24*Settings!$C$9)+(N24*Settings!$C$6)+(J24*Settings!$C$8)+(O24*Settings!$C$7)+(P24*Settings!$C$14)+(Q24*Settings!$C$15)+(R24*Settings!$C$16)+(S24*Settings!$C$17)+(T24*Settings!$C$18)+(U24*Settings!$C$19)+(L24*Settings!$C$10)+(Settings!$C$11*M24)</f>
        <v>10.568697180365518</v>
      </c>
      <c r="D24" s="40">
        <f>IF(Settings!$E$12="YES",VLOOKUP(A24,'Player Data'!A1:E734,5,FALSE),82)</f>
        <v>82</v>
      </c>
      <c r="E24" s="38">
        <f>(VLOOKUP($A24,'The List'!$B1:$AH730,17,FALSE)-AVERAGE('The List'!R2:R730))/STDEV('The List'!R2:R730)</f>
        <v>0.882499621462279</v>
      </c>
      <c r="F24" s="38">
        <f>(VLOOKUP($A24,'The List'!$B1:$AH730,18,FALSE)-AVERAGE('The List'!S2:S730))/STDEV('The List'!S2:S730)</f>
        <v>3.0011668287803257</v>
      </c>
      <c r="G24" s="38">
        <f>(VLOOKUP($A24,'The List'!$B1:$AH730,19,FALSE)-AVERAGE('The List'!T2:T730))/STDEV('The List'!T2:T730)</f>
        <v>1.4617461814939383</v>
      </c>
      <c r="H24" s="38">
        <f>(VLOOKUP($A24,'The List'!$B1:$AH730,20,FALSE)-AVERAGE('The List'!U2:U730))/STDEV('The List'!U2:U730)</f>
        <v>2.2934623378800554</v>
      </c>
      <c r="I24" s="38">
        <f>(VLOOKUP($A24,'The List'!$B1:$AH730,21,FALSE)-AVERAGE('The List'!V2:V730))/STDEV('The List'!V2:V730)</f>
        <v>1.5848467785389111</v>
      </c>
      <c r="J24" s="38">
        <f>(VLOOKUP($A24,'The List'!$B1:$AH730,22,FALSE)-AVERAGE('The List'!W2:W730))/STDEV('The List'!W2:W730)</f>
        <v>3.6681479761523894</v>
      </c>
      <c r="K24" s="38">
        <f>(VLOOKUP($A24,'The List'!$B1:$AH730,23,FALSE)-AVERAGE('The List'!X2:X730))/STDEV('The List'!X2:X730)</f>
        <v>2.2274750536722876</v>
      </c>
      <c r="L24" s="38">
        <f>(VLOOKUP($A24,'The List'!$B1:$AH730,24,FALSE)-AVERAGE('The List'!Y2:Y730))/STDEV('The List'!Y2:Y730)</f>
        <v>-0.4958194007086002</v>
      </c>
      <c r="M24" s="38">
        <f>(VLOOKUP($A24,'The List'!$B1:$AH730,25,FALSE)-AVERAGE('The List'!Z2:Z730))/STDEV('The List'!Z2:Z730)</f>
        <v>-0.66946455139482997</v>
      </c>
      <c r="N24" s="38">
        <f>(VLOOKUP($A24,'The List'!$B1:$AH730,26,FALSE)-AVERAGE('The List'!AA2:AA730))/STDEV('The List'!AA2:AA730)</f>
        <v>-0.69763979042067792</v>
      </c>
      <c r="O24" s="38">
        <f>(VLOOKUP($A24,'The List'!$B1:$AH730,27,FALSE)-AVERAGE('The List'!AB2:AB730))/STDEV('The List'!AB2:AB730)</f>
        <v>-0.94333825191519871</v>
      </c>
      <c r="P24" s="38">
        <f>(VLOOKUP($A24,'The List'!$B1:$AH730,28,FALSE)-AVERAGE('The List'!AC2:AC730))/STDEV('The List'!AC2:AC730)</f>
        <v>0.23233931041733624</v>
      </c>
      <c r="Q24" s="38">
        <f>(VLOOKUP($A24,'The List'!$B1:$AH730,29,FALSE)-AVERAGE('The List'!AD2:AD730))/STDEV('The List'!AD2:AD730)</f>
        <v>-0.796449180782275</v>
      </c>
      <c r="R24" s="38">
        <f>(VLOOKUP($A24,'The List'!$B1:$AH730,30,FALSE)-AVERAGE('The List'!AE2:AE730))/STDEV('The List'!AE2:AE730)</f>
        <v>3.2032870354467717</v>
      </c>
      <c r="S24" s="38">
        <f>(VLOOKUP($A24,'The List'!$B1:$AH730,31,FALSE)-AVERAGE('The List'!AF2:AF730))/STDEV('The List'!AF2:AF730)</f>
        <v>1.4107169472842205</v>
      </c>
      <c r="T24" s="38">
        <f>(VLOOKUP($A24,'The List'!$B1:$AH730,32,FALSE)-AVERAGE('The List'!AG2:AG730))/STDEV('The List'!AG2:AG730)</f>
        <v>1.4212404053590748</v>
      </c>
      <c r="U24" s="38">
        <f>(VLOOKUP($A24,'The List'!$B1:$AH730,33,FALSE)-AVERAGE('The List'!AH2:AH730))/STDEV('The List'!AH2:AH730)</f>
        <v>1.0458375902274115</v>
      </c>
      <c r="V24" s="38"/>
      <c r="W24" s="42"/>
      <c r="X24" s="40"/>
      <c r="Y24" s="40"/>
      <c r="Z24" s="40"/>
      <c r="AA24" s="40"/>
      <c r="AB24" s="40"/>
      <c r="AC24" s="43"/>
      <c r="AD24" s="44"/>
      <c r="AE24" s="38"/>
    </row>
    <row r="25" spans="1:31" ht="21.2" customHeight="1">
      <c r="A25" s="8" t="s">
        <v>133</v>
      </c>
      <c r="B25" s="34" t="str">
        <f>VLOOKUP(A25,'Player Data'!A1:B734,2,FALSE)</f>
        <v>WPG</v>
      </c>
      <c r="C25" s="36">
        <f>((E25)*Settings!$C$12)+(F25*Settings!$C$2)+(G25*Settings!$C$3)+(H25*Settings!$C$4)+(I25*Settings!$C$5)+(K25*Settings!$C$9)+(N25*Settings!$C$6)+(J25*Settings!$C$8)+(O25*Settings!$C$7)+(P25*Settings!$C$14)+(Q25*Settings!$C$15)+(R25*Settings!$C$16)+(S25*Settings!$C$17)+(T25*Settings!$C$18)+(U25*Settings!$C$19)+(L25*Settings!$C$10)+(Settings!$C$11*M25)</f>
        <v>10.06630112250282</v>
      </c>
      <c r="D25" s="40">
        <f>IF(Settings!$E$12="YES",VLOOKUP(A25,'Player Data'!A1:E734,5,FALSE),82)</f>
        <v>82</v>
      </c>
      <c r="E25" s="38">
        <f>(VLOOKUP($A25,'The List'!$B1:$AH730,17,FALSE)-AVERAGE('The List'!R2:R730))/STDEV('The List'!R2:R730)</f>
        <v>1.0339187929870846</v>
      </c>
      <c r="F25" s="38">
        <f>(VLOOKUP($A25,'The List'!$B1:$AH730,18,FALSE)-AVERAGE('The List'!S2:S730))/STDEV('The List'!S2:S730)</f>
        <v>2.2481224540881541</v>
      </c>
      <c r="G25" s="38">
        <f>(VLOOKUP($A25,'The List'!$B1:$AH730,19,FALSE)-AVERAGE('The List'!T2:T730))/STDEV('The List'!T2:T730)</f>
        <v>1.6861468745240378</v>
      </c>
      <c r="H25" s="38">
        <f>(VLOOKUP($A25,'The List'!$B1:$AH730,20,FALSE)-AVERAGE('The List'!U2:U730))/STDEV('The List'!U2:U730)</f>
        <v>2.0812952980014598</v>
      </c>
      <c r="I25" s="38">
        <f>(VLOOKUP($A25,'The List'!$B1:$AH730,21,FALSE)-AVERAGE('The List'!V2:V730))/STDEV('The List'!V2:V730)</f>
        <v>2.2203061198315974</v>
      </c>
      <c r="J25" s="38">
        <f>(VLOOKUP($A25,'The List'!$B1:$AH730,22,FALSE)-AVERAGE('The List'!W2:W730))/STDEV('The List'!W2:W730)</f>
        <v>1.6075505699164532</v>
      </c>
      <c r="K25" s="38">
        <f>(VLOOKUP($A25,'The List'!$B1:$AH730,23,FALSE)-AVERAGE('The List'!X2:X730))/STDEV('The List'!X2:X730)</f>
        <v>1.8304303760575711</v>
      </c>
      <c r="L25" s="38">
        <f>(VLOOKUP($A25,'The List'!$B1:$AH730,24,FALSE)-AVERAGE('The List'!Y2:Y730))/STDEV('The List'!Y2:Y730)</f>
        <v>-8.9050058487604132E-3</v>
      </c>
      <c r="M25" s="38">
        <f>(VLOOKUP($A25,'The List'!$B1:$AH730,25,FALSE)-AVERAGE('The List'!Z2:Z730))/STDEV('The List'!Z2:Z730)</f>
        <v>-0.32595859082994777</v>
      </c>
      <c r="N25" s="38">
        <f>(VLOOKUP($A25,'The List'!$B1:$AH730,26,FALSE)-AVERAGE('The List'!AA2:AA730))/STDEV('The List'!AA2:AA730)</f>
        <v>-0.98451800209424678</v>
      </c>
      <c r="O25" s="38">
        <f>(VLOOKUP($A25,'The List'!$B1:$AH730,27,FALSE)-AVERAGE('The List'!AB2:AB730))/STDEV('The List'!AB2:AB730)</f>
        <v>-1.1789631274557719</v>
      </c>
      <c r="P25" s="38">
        <f>(VLOOKUP($A25,'The List'!$B1:$AH730,28,FALSE)-AVERAGE('The List'!AC2:AC730))/STDEV('The List'!AC2:AC730)</f>
        <v>0.14961408691136127</v>
      </c>
      <c r="Q25" s="38">
        <f>(VLOOKUP($A25,'The List'!$B1:$AH730,29,FALSE)-AVERAGE('The List'!AD2:AD730))/STDEV('The List'!AD2:AD730)</f>
        <v>-1.1011253683165496</v>
      </c>
      <c r="R25" s="38">
        <f>(VLOOKUP($A25,'The List'!$B1:$AH730,30,FALSE)-AVERAGE('The List'!AE2:AE730))/STDEV('The List'!AE2:AE730)</f>
        <v>2.4241060762806566</v>
      </c>
      <c r="S25" s="38">
        <f>(VLOOKUP($A25,'The List'!$B1:$AH730,31,FALSE)-AVERAGE('The List'!AF2:AF730))/STDEV('The List'!AF2:AF730)</f>
        <v>-0.55846079088858647</v>
      </c>
      <c r="T25" s="38">
        <f>(VLOOKUP($A25,'The List'!$B1:$AH730,32,FALSE)-AVERAGE('The List'!AG2:AG730))/STDEV('The List'!AG2:AG730)</f>
        <v>-0.58436023430974426</v>
      </c>
      <c r="U25" s="38">
        <f>(VLOOKUP($A25,'The List'!$B1:$AH730,33,FALSE)-AVERAGE('The List'!AH2:AH730))/STDEV('The List'!AH2:AH730)</f>
        <v>-3.0700776717806546E-2</v>
      </c>
      <c r="V25" s="38"/>
      <c r="W25" s="42"/>
      <c r="X25" s="40"/>
      <c r="Y25" s="40"/>
      <c r="Z25" s="40"/>
      <c r="AA25" s="40"/>
      <c r="AB25" s="40"/>
      <c r="AC25" s="43"/>
      <c r="AD25" s="44"/>
      <c r="AE25" s="38"/>
    </row>
    <row r="26" spans="1:31" ht="21.2" customHeight="1">
      <c r="A26" s="8" t="s">
        <v>153</v>
      </c>
      <c r="B26" s="34" t="str">
        <f>VLOOKUP(A26,'Player Data'!A1:B734,2,FALSE)</f>
        <v>ARI</v>
      </c>
      <c r="C26" s="36">
        <f>((E26)*Settings!$C$12)+(F26*Settings!$C$2)+(G26*Settings!$C$3)+(H26*Settings!$C$4)+(I26*Settings!$C$5)+(K26*Settings!$C$9)+(N26*Settings!$C$6)+(J26*Settings!$C$8)+(O26*Settings!$C$7)+(P26*Settings!$C$14)+(Q26*Settings!$C$15)+(R26*Settings!$C$16)+(S26*Settings!$C$17)+(T26*Settings!$C$18)+(U26*Settings!$C$19)+(L26*Settings!$C$10)+(Settings!$C$11*M26)</f>
        <v>8.4498309474357942</v>
      </c>
      <c r="D26" s="40">
        <f>IF(Settings!$E$12="YES",VLOOKUP(A26,'Player Data'!A1:E734,5,FALSE),82)</f>
        <v>82</v>
      </c>
      <c r="E26" s="38">
        <f>(VLOOKUP($A26,'The List'!$B1:$AH730,17,FALSE)-AVERAGE('The List'!R2:R730))/STDEV('The List'!R2:R730)</f>
        <v>1.1506099489620796</v>
      </c>
      <c r="F26" s="38">
        <f>(VLOOKUP($A26,'The List'!$B1:$AH730,18,FALSE)-AVERAGE('The List'!S2:S730))/STDEV('The List'!S2:S730)</f>
        <v>2.0902106126544506</v>
      </c>
      <c r="G26" s="38">
        <f>(VLOOKUP($A26,'The List'!$B1:$AH730,19,FALSE)-AVERAGE('The List'!T2:T730))/STDEV('The List'!T2:T730)</f>
        <v>1.7449797472707231</v>
      </c>
      <c r="H26" s="38">
        <f>(VLOOKUP($A26,'The List'!$B1:$AH730,20,FALSE)-AVERAGE('The List'!U2:U730))/STDEV('The List'!U2:U730)</f>
        <v>2.0440414411513705</v>
      </c>
      <c r="I26" s="38">
        <f>(VLOOKUP($A26,'The List'!$B1:$AH730,21,FALSE)-AVERAGE('The List'!V2:V730))/STDEV('The List'!V2:V730)</f>
        <v>1.3957800634479316</v>
      </c>
      <c r="J26" s="38">
        <f>(VLOOKUP($A26,'The List'!$B1:$AH730,22,FALSE)-AVERAGE('The List'!W2:W730))/STDEV('The List'!W2:W730)</f>
        <v>1.160874848411348</v>
      </c>
      <c r="K26" s="38">
        <f>(VLOOKUP($A26,'The List'!$B1:$AH730,23,FALSE)-AVERAGE('The List'!X2:X730))/STDEV('The List'!X2:X730)</f>
        <v>1.1748190829113179</v>
      </c>
      <c r="L26" s="38">
        <f>(VLOOKUP($A26,'The List'!$B1:$AH730,24,FALSE)-AVERAGE('The List'!Y2:Y730))/STDEV('The List'!Y2:Y730)</f>
        <v>0.52965471940067377</v>
      </c>
      <c r="M26" s="38">
        <f>(VLOOKUP($A26,'The List'!$B1:$AH730,25,FALSE)-AVERAGE('The List'!Z2:Z730))/STDEV('The List'!Z2:Z730)</f>
        <v>0.2534204732547985</v>
      </c>
      <c r="N26" s="38">
        <f>(VLOOKUP($A26,'The List'!$B1:$AH730,26,FALSE)-AVERAGE('The List'!AA2:AA730))/STDEV('The List'!AA2:AA730)</f>
        <v>-0.72655006401428679</v>
      </c>
      <c r="O26" s="38">
        <f>(VLOOKUP($A26,'The List'!$B1:$AH730,27,FALSE)-AVERAGE('The List'!AB2:AB730))/STDEV('The List'!AB2:AB730)</f>
        <v>-1.5217515020317391</v>
      </c>
      <c r="P26" s="38">
        <f>(VLOOKUP($A26,'The List'!$B1:$AH730,28,FALSE)-AVERAGE('The List'!AC2:AC730))/STDEV('The List'!AC2:AC730)</f>
        <v>-0.67724146736778723</v>
      </c>
      <c r="Q26" s="38">
        <f>(VLOOKUP($A26,'The List'!$B1:$AH730,29,FALSE)-AVERAGE('The List'!AD2:AD730))/STDEV('The List'!AD2:AD730)</f>
        <v>0.27895061205128729</v>
      </c>
      <c r="R26" s="38">
        <f>(VLOOKUP($A26,'The List'!$B1:$AH730,30,FALSE)-AVERAGE('The List'!AE2:AE730))/STDEV('The List'!AE2:AE730)</f>
        <v>1.5920344171902014</v>
      </c>
      <c r="S26" s="38">
        <f>(VLOOKUP($A26,'The List'!$B1:$AH730,31,FALSE)-AVERAGE('The List'!AF2:AF730))/STDEV('The List'!AF2:AF730)</f>
        <v>-0.44542527409168386</v>
      </c>
      <c r="T26" s="38">
        <f>(VLOOKUP($A26,'The List'!$B1:$AH730,32,FALSE)-AVERAGE('The List'!AG2:AG730))/STDEV('The List'!AG2:AG730)</f>
        <v>-0.41477990429952044</v>
      </c>
      <c r="U26" s="38">
        <f>(VLOOKUP($A26,'The List'!$B1:$AH730,33,FALSE)-AVERAGE('The List'!AH2:AH730))/STDEV('The List'!AH2:AH730)</f>
        <v>0.54072199760810291</v>
      </c>
      <c r="V26" s="38"/>
      <c r="W26" s="40"/>
      <c r="X26" s="40"/>
      <c r="Y26" s="40"/>
      <c r="Z26" s="40"/>
      <c r="AA26" s="40"/>
      <c r="AB26" s="40"/>
      <c r="AC26" s="43"/>
      <c r="AD26" s="44"/>
      <c r="AE26" s="38"/>
    </row>
    <row r="27" spans="1:31" ht="21.2" customHeight="1">
      <c r="A27" s="8" t="s">
        <v>135</v>
      </c>
      <c r="B27" s="34" t="str">
        <f>VLOOKUP(A27,'Player Data'!A1:B734,2,FALSE)</f>
        <v>OTT</v>
      </c>
      <c r="C27" s="36">
        <f>((E27)*Settings!$C$12)+(F27*Settings!$C$2)+(G27*Settings!$C$3)+(H27*Settings!$C$4)+(I27*Settings!$C$5)+(K27*Settings!$C$9)+(N27*Settings!$C$6)+(J27*Settings!$C$8)+(O27*Settings!$C$7)+(P27*Settings!$C$14)+(Q27*Settings!$C$15)+(R27*Settings!$C$16)+(S27*Settings!$C$17)+(T27*Settings!$C$18)+(U27*Settings!$C$19)+(L27*Settings!$C$10)+(Settings!$C$11*M27)</f>
        <v>9.837350072092196</v>
      </c>
      <c r="D27" s="40">
        <f>IF(Settings!$E$12="YES",VLOOKUP(A27,'Player Data'!A1:E734,5,FALSE),82)</f>
        <v>82</v>
      </c>
      <c r="E27" s="38">
        <f>(VLOOKUP($A27,'The List'!$B1:$AH730,17,FALSE)-AVERAGE('The List'!R2:R730))/STDEV('The List'!R2:R730)</f>
        <v>1.1461909578889904</v>
      </c>
      <c r="F27" s="38">
        <f>(VLOOKUP($A27,'The List'!$B1:$AH730,18,FALSE)-AVERAGE('The List'!S2:S730))/STDEV('The List'!S2:S730)</f>
        <v>2.2201401660922051</v>
      </c>
      <c r="G27" s="38">
        <f>(VLOOKUP($A27,'The List'!$B1:$AH730,19,FALSE)-AVERAGE('The List'!T2:T730))/STDEV('The List'!T2:T730)</f>
        <v>1.9193238821577292</v>
      </c>
      <c r="H27" s="38">
        <f>(VLOOKUP($A27,'The List'!$B1:$AH730,20,FALSE)-AVERAGE('The List'!U2:U730))/STDEV('The List'!U2:U730)</f>
        <v>2.211583528082576</v>
      </c>
      <c r="I27" s="38">
        <f>(VLOOKUP($A27,'The List'!$B1:$AH730,21,FALSE)-AVERAGE('The List'!V2:V730))/STDEV('The List'!V2:V730)</f>
        <v>1.502393578420359</v>
      </c>
      <c r="J27" s="38">
        <f>(VLOOKUP($A27,'The List'!$B1:$AH730,22,FALSE)-AVERAGE('The List'!W2:W730))/STDEV('The List'!W2:W730)</f>
        <v>1.7711677579407152</v>
      </c>
      <c r="K27" s="38">
        <f>(VLOOKUP($A27,'The List'!$B1:$AH730,23,FALSE)-AVERAGE('The List'!X2:X730))/STDEV('The List'!X2:X730)</f>
        <v>1.9839089173393263</v>
      </c>
      <c r="L27" s="38">
        <f>(VLOOKUP($A27,'The List'!$B1:$AH730,24,FALSE)-AVERAGE('The List'!Y2:Y730))/STDEV('The List'!Y2:Y730)</f>
        <v>3.9336580752125929</v>
      </c>
      <c r="M27" s="38">
        <f>(VLOOKUP($A27,'The List'!$B1:$AH730,25,FALSE)-AVERAGE('The List'!Z2:Z730))/STDEV('The List'!Z2:Z730)</f>
        <v>2.3431031329531788</v>
      </c>
      <c r="N27" s="38">
        <f>(VLOOKUP($A27,'The List'!$B1:$AH730,26,FALSE)-AVERAGE('The List'!AA2:AA730))/STDEV('The List'!AA2:AA730)</f>
        <v>-0.32697845782944862</v>
      </c>
      <c r="O27" s="38">
        <f>(VLOOKUP($A27,'The List'!$B1:$AH730,27,FALSE)-AVERAGE('The List'!AB2:AB730))/STDEV('The List'!AB2:AB730)</f>
        <v>0.31877419821924063</v>
      </c>
      <c r="P27" s="38">
        <f>(VLOOKUP($A27,'The List'!$B1:$AH730,28,FALSE)-AVERAGE('The List'!AC2:AC730))/STDEV('The List'!AC2:AC730)</f>
        <v>0.23853620878105067</v>
      </c>
      <c r="Q27" s="38">
        <f>(VLOOKUP($A27,'The List'!$B1:$AH730,29,FALSE)-AVERAGE('The List'!AD2:AD730))/STDEV('The List'!AD2:AD730)</f>
        <v>0.81077192653834018</v>
      </c>
      <c r="R27" s="38">
        <f>(VLOOKUP($A27,'The List'!$B1:$AH730,30,FALSE)-AVERAGE('The List'!AE2:AE730))/STDEV('The List'!AE2:AE730)</f>
        <v>2.2643455544372868</v>
      </c>
      <c r="S27" s="38">
        <f>(VLOOKUP($A27,'The List'!$B1:$AH730,31,FALSE)-AVERAGE('The List'!AF2:AF730))/STDEV('The List'!AF2:AF730)</f>
        <v>0.28202308533531206</v>
      </c>
      <c r="T27" s="38">
        <f>(VLOOKUP($A27,'The List'!$B1:$AH730,32,FALSE)-AVERAGE('The List'!AG2:AG730))/STDEV('The List'!AG2:AG730)</f>
        <v>0.80986792374997452</v>
      </c>
      <c r="U27" s="38">
        <f>(VLOOKUP($A27,'The List'!$B1:$AH730,33,FALSE)-AVERAGE('The List'!AH2:AH730))/STDEV('The List'!AH2:AH730)</f>
        <v>0.50507726337301773</v>
      </c>
      <c r="V27" s="38"/>
      <c r="W27" s="40"/>
      <c r="X27" s="38"/>
      <c r="Y27" s="38"/>
      <c r="Z27" s="38"/>
      <c r="AA27" s="38"/>
      <c r="AB27" s="38"/>
      <c r="AC27" s="38"/>
      <c r="AD27" s="38"/>
      <c r="AE27" s="38"/>
    </row>
    <row r="28" spans="1:31" ht="21.2" customHeight="1">
      <c r="A28" s="8" t="s">
        <v>120</v>
      </c>
      <c r="B28" s="34" t="str">
        <f>VLOOKUP(A28,'Player Data'!A1:B734,2,FALSE)</f>
        <v>TOR</v>
      </c>
      <c r="C28" s="36">
        <f>((E28)*Settings!$C$12)+(F28*Settings!$C$2)+(G28*Settings!$C$3)+(H28*Settings!$C$4)+(I28*Settings!$C$5)+(K28*Settings!$C$9)+(N28*Settings!$C$6)+(J28*Settings!$C$8)+(O28*Settings!$C$7)+(P28*Settings!$C$14)+(Q28*Settings!$C$15)+(R28*Settings!$C$16)+(S28*Settings!$C$17)+(T28*Settings!$C$18)+(U28*Settings!$C$19)+(L28*Settings!$C$10)+(Settings!$C$11*M28)</f>
        <v>11.115775079553083</v>
      </c>
      <c r="D28" s="40">
        <f>IF(Settings!$E$12="YES",VLOOKUP(A28,'Player Data'!A1:E734,5,FALSE),82)</f>
        <v>82</v>
      </c>
      <c r="E28" s="38">
        <f>(VLOOKUP($A28,'The List'!$B1:$AH730,17,FALSE)-AVERAGE('The List'!R2:R730))/STDEV('The List'!R2:R730)</f>
        <v>0.55504843827044148</v>
      </c>
      <c r="F28" s="38">
        <f>(VLOOKUP($A28,'The List'!$B1:$AH730,18,FALSE)-AVERAGE('The List'!S2:S730))/STDEV('The List'!S2:S730)</f>
        <v>2.2951491611843626</v>
      </c>
      <c r="G28" s="38">
        <f>(VLOOKUP($A28,'The List'!$B1:$AH730,19,FALSE)-AVERAGE('The List'!T2:T730))/STDEV('The List'!T2:T730)</f>
        <v>1.8477104211262316</v>
      </c>
      <c r="H28" s="38">
        <f>(VLOOKUP($A28,'The List'!$B1:$AH730,20,FALSE)-AVERAGE('The List'!U2:U730))/STDEV('The List'!U2:U730)</f>
        <v>2.2024439052719758</v>
      </c>
      <c r="I28" s="38">
        <f>(VLOOKUP($A28,'The List'!$B1:$AH730,21,FALSE)-AVERAGE('The List'!V2:V730))/STDEV('The List'!V2:V730)</f>
        <v>2.3831439439581685</v>
      </c>
      <c r="J28" s="38">
        <f>(VLOOKUP($A28,'The List'!$B1:$AH730,22,FALSE)-AVERAGE('The List'!W2:W730))/STDEV('The List'!W2:W730)</f>
        <v>2.3264051685028417</v>
      </c>
      <c r="K28" s="38">
        <f>(VLOOKUP($A28,'The List'!$B1:$AH730,23,FALSE)-AVERAGE('The List'!X2:X730))/STDEV('The List'!X2:X730)</f>
        <v>2.3873276480123451</v>
      </c>
      <c r="L28" s="38">
        <f>(VLOOKUP($A28,'The List'!$B1:$AH730,24,FALSE)-AVERAGE('The List'!Y2:Y730))/STDEV('The List'!Y2:Y730)</f>
        <v>-0.42475320339742229</v>
      </c>
      <c r="M28" s="38">
        <f>(VLOOKUP($A28,'The List'!$B1:$AH730,25,FALSE)-AVERAGE('The List'!Z2:Z730))/STDEV('The List'!Z2:Z730)</f>
        <v>-0.58242552794309288</v>
      </c>
      <c r="N28" s="38">
        <f>(VLOOKUP($A28,'The List'!$B1:$AH730,26,FALSE)-AVERAGE('The List'!AA2:AA730))/STDEV('The List'!AA2:AA730)</f>
        <v>-0.88492017748610219</v>
      </c>
      <c r="O28" s="38">
        <f>(VLOOKUP($A28,'The List'!$B1:$AH730,27,FALSE)-AVERAGE('The List'!AB2:AB730))/STDEV('The List'!AB2:AB730)</f>
        <v>-1.4990718508760339</v>
      </c>
      <c r="P28" s="38">
        <f>(VLOOKUP($A28,'The List'!$B1:$AH730,28,FALSE)-AVERAGE('The List'!AC2:AC730))/STDEV('The List'!AC2:AC730)</f>
        <v>1.4604020870627306</v>
      </c>
      <c r="Q28" s="38">
        <f>(VLOOKUP($A28,'The List'!$B1:$AH730,29,FALSE)-AVERAGE('The List'!AD2:AD730))/STDEV('The List'!AD2:AD730)</f>
        <v>-0.54232961885496034</v>
      </c>
      <c r="R28" s="38">
        <f>(VLOOKUP($A28,'The List'!$B1:$AH730,30,FALSE)-AVERAGE('The List'!AE2:AE730))/STDEV('The List'!AE2:AE730)</f>
        <v>2.5827811555530529</v>
      </c>
      <c r="S28" s="38">
        <f>(VLOOKUP($A28,'The List'!$B1:$AH730,31,FALSE)-AVERAGE('The List'!AF2:AF730))/STDEV('The List'!AF2:AF730)</f>
        <v>-0.43615141295346049</v>
      </c>
      <c r="T28" s="38">
        <f>(VLOOKUP($A28,'The List'!$B1:$AH730,32,FALSE)-AVERAGE('The List'!AG2:AG730))/STDEV('The List'!AG2:AG730)</f>
        <v>-0.46557603783568108</v>
      </c>
      <c r="U28" s="38">
        <f>(VLOOKUP($A28,'The List'!$B1:$AH730,33,FALSE)-AVERAGE('The List'!AH2:AH730))/STDEV('The List'!AH2:AH730)</f>
        <v>0.94510798434888099</v>
      </c>
      <c r="V28" s="38"/>
      <c r="W28" s="40"/>
      <c r="X28" s="38"/>
      <c r="Y28" s="38"/>
      <c r="Z28" s="38"/>
      <c r="AA28" s="38"/>
      <c r="AB28" s="38"/>
      <c r="AC28" s="38"/>
      <c r="AD28" s="38"/>
      <c r="AE28" s="38"/>
    </row>
    <row r="29" spans="1:31" ht="21.2" customHeight="1">
      <c r="A29" s="8" t="s">
        <v>146</v>
      </c>
      <c r="B29" s="34" t="str">
        <f>VLOOKUP(A29,'Player Data'!A1:B734,2,FALSE)</f>
        <v>VAN</v>
      </c>
      <c r="C29" s="36">
        <f>((E29)*Settings!$C$12)+(F29*Settings!$C$2)+(G29*Settings!$C$3)+(H29*Settings!$C$4)+(I29*Settings!$C$5)+(K29*Settings!$C$9)+(N29*Settings!$C$6)+(J29*Settings!$C$8)+(O29*Settings!$C$7)+(P29*Settings!$C$14)+(Q29*Settings!$C$15)+(R29*Settings!$C$16)+(S29*Settings!$C$17)+(T29*Settings!$C$18)+(U29*Settings!$C$19)+(L29*Settings!$C$10)+(Settings!$C$11*M29)</f>
        <v>8.466166617614391</v>
      </c>
      <c r="D29" s="40">
        <f>IF(Settings!$E$12="YES",VLOOKUP(A29,'Player Data'!A1:E734,5,FALSE),82)</f>
        <v>82</v>
      </c>
      <c r="E29" s="38">
        <f>(VLOOKUP($A29,'The List'!$B1:$AH730,17,FALSE)-AVERAGE('The List'!R2:R730))/STDEV('The List'!R2:R730)</f>
        <v>0.97160440887630828</v>
      </c>
      <c r="F29" s="38">
        <f>(VLOOKUP($A29,'The List'!$B1:$AH730,18,FALSE)-AVERAGE('The List'!S2:S730))/STDEV('The List'!S2:S730)</f>
        <v>1.3303546386564402</v>
      </c>
      <c r="G29" s="38">
        <f>(VLOOKUP($A29,'The List'!$B1:$AH730,19,FALSE)-AVERAGE('The List'!T2:T730))/STDEV('The List'!T2:T730)</f>
        <v>1.9653458415312255</v>
      </c>
      <c r="H29" s="38">
        <f>(VLOOKUP($A29,'The List'!$B1:$AH730,20,FALSE)-AVERAGE('The List'!U2:U730))/STDEV('The List'!U2:U730)</f>
        <v>1.8262284521496135</v>
      </c>
      <c r="I29" s="38">
        <f>(VLOOKUP($A29,'The List'!$B1:$AH730,21,FALSE)-AVERAGE('The List'!V2:V730))/STDEV('The List'!V2:V730)</f>
        <v>1.0942537755534276</v>
      </c>
      <c r="J29" s="38">
        <f>(VLOOKUP($A29,'The List'!$B1:$AH730,22,FALSE)-AVERAGE('The List'!W2:W730))/STDEV('The List'!W2:W730)</f>
        <v>1.6345874227698121</v>
      </c>
      <c r="K29" s="38">
        <f>(VLOOKUP($A29,'The List'!$B1:$AH730,23,FALSE)-AVERAGE('The List'!X2:X730))/STDEV('The List'!X2:X730)</f>
        <v>2.2499839097236851</v>
      </c>
      <c r="L29" s="38">
        <f>(VLOOKUP($A29,'The List'!$B1:$AH730,24,FALSE)-AVERAGE('The List'!Y2:Y730))/STDEV('The List'!Y2:Y730)</f>
        <v>1.9303763089349928</v>
      </c>
      <c r="M29" s="38">
        <f>(VLOOKUP($A29,'The List'!$B1:$AH730,25,FALSE)-AVERAGE('The List'!Z2:Z730))/STDEV('The List'!Z2:Z730)</f>
        <v>1.8969683481313155</v>
      </c>
      <c r="N29" s="38">
        <f>(VLOOKUP($A29,'The List'!$B1:$AH730,26,FALSE)-AVERAGE('The List'!AA2:AA730))/STDEV('The List'!AA2:AA730)</f>
        <v>-0.39851451690434753</v>
      </c>
      <c r="O29" s="38">
        <f>(VLOOKUP($A29,'The List'!$B1:$AH730,27,FALSE)-AVERAGE('The List'!AB2:AB730))/STDEV('The List'!AB2:AB730)</f>
        <v>1.4947774052784961</v>
      </c>
      <c r="P29" s="38">
        <f>(VLOOKUP($A29,'The List'!$B1:$AH730,28,FALSE)-AVERAGE('The List'!AC2:AC730))/STDEV('The List'!AC2:AC730)</f>
        <v>-0.20929228744199335</v>
      </c>
      <c r="Q29" s="38">
        <f>(VLOOKUP($A29,'The List'!$B1:$AH730,29,FALSE)-AVERAGE('The List'!AD2:AD730))/STDEV('The List'!AD2:AD730)</f>
        <v>1.2666506103010275</v>
      </c>
      <c r="R29" s="38">
        <f>(VLOOKUP($A29,'The List'!$B1:$AH730,30,FALSE)-AVERAGE('The List'!AE2:AE730))/STDEV('The List'!AE2:AE730)</f>
        <v>1.2377341689461017</v>
      </c>
      <c r="S29" s="38">
        <f>(VLOOKUP($A29,'The List'!$B1:$AH730,31,FALSE)-AVERAGE('The List'!AF2:AF730))/STDEV('The List'!AF2:AF730)</f>
        <v>1.7545963652815504</v>
      </c>
      <c r="T29" s="38">
        <f>(VLOOKUP($A29,'The List'!$B1:$AH730,32,FALSE)-AVERAGE('The List'!AG2:AG730))/STDEV('The List'!AG2:AG730)</f>
        <v>1.4455287870411164</v>
      </c>
      <c r="U29" s="38">
        <f>(VLOOKUP($A29,'The List'!$B1:$AH730,33,FALSE)-AVERAGE('The List'!AH2:AH730))/STDEV('The List'!AH2:AH730)</f>
        <v>1.2128210641023338</v>
      </c>
      <c r="V29" s="38"/>
      <c r="W29" s="40"/>
      <c r="X29" s="38"/>
      <c r="Y29" s="38"/>
      <c r="Z29" s="38"/>
      <c r="AA29" s="38"/>
      <c r="AB29" s="38"/>
      <c r="AC29" s="38"/>
      <c r="AD29" s="38"/>
      <c r="AE29" s="38"/>
    </row>
    <row r="30" spans="1:31" ht="21.2" customHeight="1">
      <c r="A30" s="8" t="s">
        <v>147</v>
      </c>
      <c r="B30" s="34" t="str">
        <f>VLOOKUP(A30,'Player Data'!A1:B734,2,FALSE)</f>
        <v>EDM</v>
      </c>
      <c r="C30" s="36">
        <f>((E30)*Settings!$C$12)+(F30*Settings!$C$2)+(G30*Settings!$C$3)+(H30*Settings!$C$4)+(I30*Settings!$C$5)+(K30*Settings!$C$9)+(N30*Settings!$C$6)+(J30*Settings!$C$8)+(O30*Settings!$C$7)+(P30*Settings!$C$14)+(Q30*Settings!$C$15)+(R30*Settings!$C$16)+(S30*Settings!$C$17)+(T30*Settings!$C$18)+(U30*Settings!$C$19)+(L30*Settings!$C$10)+(Settings!$C$11*M30)</f>
        <v>9.6760867611712325</v>
      </c>
      <c r="D30" s="40">
        <f>IF(Settings!$E$12="YES",VLOOKUP(A30,'Player Data'!A1:E734,5,FALSE),82)</f>
        <v>82</v>
      </c>
      <c r="E30" s="38">
        <f>(VLOOKUP($A30,'The List'!$B1:$AH730,17,FALSE)-AVERAGE('The List'!R2:R730))/STDEV('The List'!R2:R730)</f>
        <v>0.85436476014241314</v>
      </c>
      <c r="F30" s="38">
        <f>(VLOOKUP($A30,'The List'!$B1:$AH730,18,FALSE)-AVERAGE('The List'!S2:S730))/STDEV('The List'!S2:S730)</f>
        <v>1.2780894099941009</v>
      </c>
      <c r="G30" s="38">
        <f>(VLOOKUP($A30,'The List'!$B1:$AH730,19,FALSE)-AVERAGE('The List'!T2:T730))/STDEV('The List'!T2:T730)</f>
        <v>2.173365297975431</v>
      </c>
      <c r="H30" s="38">
        <f>(VLOOKUP($A30,'The List'!$B1:$AH730,20,FALSE)-AVERAGE('The List'!U2:U730))/STDEV('The List'!U2:U730)</f>
        <v>1.9297678908324025</v>
      </c>
      <c r="I30" s="38">
        <f>(VLOOKUP($A30,'The List'!$B1:$AH730,21,FALSE)-AVERAGE('The List'!V2:V730))/STDEV('The List'!V2:V730)</f>
        <v>0.968949606039753</v>
      </c>
      <c r="J30" s="38">
        <f>(VLOOKUP($A30,'The List'!$B1:$AH730,22,FALSE)-AVERAGE('The List'!W2:W730))/STDEV('The List'!W2:W730)</f>
        <v>2.0389092873940458</v>
      </c>
      <c r="K30" s="38">
        <f>(VLOOKUP($A30,'The List'!$B1:$AH730,23,FALSE)-AVERAGE('The List'!X2:X730))/STDEV('The List'!X2:X730)</f>
        <v>3.3259145563295456</v>
      </c>
      <c r="L30" s="38">
        <f>(VLOOKUP($A30,'The List'!$B1:$AH730,24,FALSE)-AVERAGE('The List'!Y2:Y730))/STDEV('The List'!Y2:Y730)</f>
        <v>1.8838429976486233</v>
      </c>
      <c r="M30" s="38">
        <f>(VLOOKUP($A30,'The List'!$B1:$AH730,25,FALSE)-AVERAGE('The List'!Z2:Z730))/STDEV('The List'!Z2:Z730)</f>
        <v>2.9937181167649385</v>
      </c>
      <c r="N30" s="38">
        <f>(VLOOKUP($A30,'The List'!$B1:$AH730,26,FALSE)-AVERAGE('The List'!AA2:AA730))/STDEV('The List'!AA2:AA730)</f>
        <v>-0.78952602762078117</v>
      </c>
      <c r="O30" s="38">
        <f>(VLOOKUP($A30,'The List'!$B1:$AH730,27,FALSE)-AVERAGE('The List'!AB2:AB730))/STDEV('The List'!AB2:AB730)</f>
        <v>-0.94864317182000457</v>
      </c>
      <c r="P30" s="38">
        <f>(VLOOKUP($A30,'The List'!$B1:$AH730,28,FALSE)-AVERAGE('The List'!AC2:AC730))/STDEV('The List'!AC2:AC730)</f>
        <v>1.3564332923187341</v>
      </c>
      <c r="Q30" s="38">
        <f>(VLOOKUP($A30,'The List'!$B1:$AH730,29,FALSE)-AVERAGE('The List'!AD2:AD730))/STDEV('The List'!AD2:AD730)</f>
        <v>-0.1575515732644823</v>
      </c>
      <c r="R30" s="38">
        <f>(VLOOKUP($A30,'The List'!$B1:$AH730,30,FALSE)-AVERAGE('The List'!AE2:AE730))/STDEV('The List'!AE2:AE730)</f>
        <v>1.4780497051984638</v>
      </c>
      <c r="S30" s="38">
        <f>(VLOOKUP($A30,'The List'!$B1:$AH730,31,FALSE)-AVERAGE('The List'!AF2:AF730))/STDEV('The List'!AF2:AF730)</f>
        <v>0.70761642799512625</v>
      </c>
      <c r="T30" s="38">
        <f>(VLOOKUP($A30,'The List'!$B1:$AH730,32,FALSE)-AVERAGE('The List'!AG2:AG730))/STDEV('The List'!AG2:AG730)</f>
        <v>1.0951317086174166</v>
      </c>
      <c r="U30" s="38">
        <f>(VLOOKUP($A30,'The List'!$B1:$AH730,33,FALSE)-AVERAGE('The List'!AH2:AH730))/STDEV('The List'!AH2:AH730)</f>
        <v>0.74889396637799333</v>
      </c>
      <c r="V30" s="38"/>
      <c r="W30" s="40"/>
      <c r="X30" s="38"/>
      <c r="Y30" s="38"/>
      <c r="Z30" s="38"/>
      <c r="AA30" s="38"/>
      <c r="AB30" s="38"/>
      <c r="AC30" s="38"/>
      <c r="AD30" s="38"/>
      <c r="AE30" s="38"/>
    </row>
    <row r="31" spans="1:31" ht="21.2" customHeight="1">
      <c r="A31" s="8" t="s">
        <v>215</v>
      </c>
      <c r="B31" s="34" t="str">
        <f>VLOOKUP(A31,'Player Data'!A1:B734,2,FALSE)</f>
        <v>STL</v>
      </c>
      <c r="C31" s="36">
        <f>((E31)*Settings!$C$12)+(F31*Settings!$C$2)+(G31*Settings!$C$3)+(H31*Settings!$C$4)+(I31*Settings!$C$5)+(K31*Settings!$C$9)+(N31*Settings!$C$6)+(J31*Settings!$C$8)+(O31*Settings!$C$7)+(P31*Settings!$C$14)+(Q31*Settings!$C$15)+(R31*Settings!$C$16)+(S31*Settings!$C$17)+(T31*Settings!$C$18)+(U31*Settings!$C$19)+(L31*Settings!$C$10)+(Settings!$C$11*M31)</f>
        <v>6.6371557313535909</v>
      </c>
      <c r="D31" s="40">
        <f>IF(Settings!$E$12="YES",VLOOKUP(A31,'Player Data'!A1:E734,5,FALSE),82)</f>
        <v>82</v>
      </c>
      <c r="E31" s="38">
        <f>(VLOOKUP($A31,'The List'!$B1:$AH730,17,FALSE)-AVERAGE('The List'!R2:R730))/STDEV('The List'!R2:R730)</f>
        <v>0.7934323196487193</v>
      </c>
      <c r="F31" s="38">
        <f>(VLOOKUP($A31,'The List'!$B1:$AH730,18,FALSE)-AVERAGE('The List'!S2:S730))/STDEV('The List'!S2:S730)</f>
        <v>0.8913800596557091</v>
      </c>
      <c r="G31" s="38">
        <f>(VLOOKUP($A31,'The List'!$B1:$AH730,19,FALSE)-AVERAGE('The List'!T2:T730))/STDEV('The List'!T2:T730)</f>
        <v>2.4473526448147611</v>
      </c>
      <c r="H31" s="38">
        <f>(VLOOKUP($A31,'The List'!$B1:$AH730,20,FALSE)-AVERAGE('The List'!U2:U730))/STDEV('The List'!U2:U730)</f>
        <v>1.9183731085791624</v>
      </c>
      <c r="I31" s="38">
        <f>(VLOOKUP($A31,'The List'!$B1:$AH730,21,FALSE)-AVERAGE('The List'!V2:V730))/STDEV('The List'!V2:V730)</f>
        <v>-0.18427563141954315</v>
      </c>
      <c r="J31" s="38">
        <f>(VLOOKUP($A31,'The List'!$B1:$AH730,22,FALSE)-AVERAGE('The List'!W2:W730))/STDEV('The List'!W2:W730)</f>
        <v>0.8309161594876141</v>
      </c>
      <c r="K31" s="38">
        <f>(VLOOKUP($A31,'The List'!$B1:$AH730,23,FALSE)-AVERAGE('The List'!X2:X730))/STDEV('The List'!X2:X730)</f>
        <v>1.5643255497235014</v>
      </c>
      <c r="L31" s="38">
        <f>(VLOOKUP($A31,'The List'!$B1:$AH730,24,FALSE)-AVERAGE('The List'!Y2:Y730))/STDEV('The List'!Y2:Y730)</f>
        <v>1.6218822868654217</v>
      </c>
      <c r="M31" s="38">
        <f>(VLOOKUP($A31,'The List'!$B1:$AH730,25,FALSE)-AVERAGE('The List'!Z2:Z730))/STDEV('The List'!Z2:Z730)</f>
        <v>0.84975621236601839</v>
      </c>
      <c r="N31" s="38">
        <f>(VLOOKUP($A31,'The List'!$B1:$AH730,26,FALSE)-AVERAGE('The List'!AA2:AA730))/STDEV('The List'!AA2:AA730)</f>
        <v>-0.78743510327550537</v>
      </c>
      <c r="O31" s="38">
        <f>(VLOOKUP($A31,'The List'!$B1:$AH730,27,FALSE)-AVERAGE('The List'!AB2:AB730))/STDEV('The List'!AB2:AB730)</f>
        <v>-1.5134268669220687</v>
      </c>
      <c r="P31" s="38">
        <f>(VLOOKUP($A31,'The List'!$B1:$AH730,28,FALSE)-AVERAGE('The List'!AC2:AC730))/STDEV('The List'!AC2:AC730)</f>
        <v>-0.73167773157239813</v>
      </c>
      <c r="Q31" s="38">
        <f>(VLOOKUP($A31,'The List'!$B1:$AH730,29,FALSE)-AVERAGE('The List'!AD2:AD730))/STDEV('The List'!AD2:AD730)</f>
        <v>-0.52532403832432173</v>
      </c>
      <c r="R31" s="38">
        <f>(VLOOKUP($A31,'The List'!$B1:$AH730,30,FALSE)-AVERAGE('The List'!AE2:AE730))/STDEV('The List'!AE2:AE730)</f>
        <v>0.44300501372842493</v>
      </c>
      <c r="S31" s="38">
        <f>(VLOOKUP($A31,'The List'!$B1:$AH730,31,FALSE)-AVERAGE('The List'!AF2:AF730))/STDEV('The List'!AF2:AF730)</f>
        <v>2.630233897497837</v>
      </c>
      <c r="T31" s="38">
        <f>(VLOOKUP($A31,'The List'!$B1:$AH730,32,FALSE)-AVERAGE('The List'!AG2:AG730))/STDEV('The List'!AG2:AG730)</f>
        <v>2.6566260778051261</v>
      </c>
      <c r="U31" s="38">
        <f>(VLOOKUP($A31,'The List'!$B1:$AH730,33,FALSE)-AVERAGE('The List'!AH2:AH730))/STDEV('The List'!AH2:AH730)</f>
        <v>1.052353709987172</v>
      </c>
      <c r="V31" s="38"/>
      <c r="W31" s="42"/>
      <c r="X31" s="40"/>
      <c r="Y31" s="40"/>
      <c r="Z31" s="40"/>
      <c r="AA31" s="40"/>
      <c r="AB31" s="40"/>
      <c r="AC31" s="43"/>
      <c r="AD31" s="44"/>
      <c r="AE31" s="38"/>
    </row>
    <row r="32" spans="1:31" ht="21.2" customHeight="1">
      <c r="A32" s="8" t="s">
        <v>176</v>
      </c>
      <c r="B32" s="34" t="str">
        <f>VLOOKUP(A32,'Player Data'!A1:B734,2,FALSE)</f>
        <v>DAL</v>
      </c>
      <c r="C32" s="36">
        <f>((E32)*Settings!$C$12)+(F32*Settings!$C$2)+(G32*Settings!$C$3)+(H32*Settings!$C$4)+(I32*Settings!$C$5)+(K32*Settings!$C$9)+(N32*Settings!$C$6)+(J32*Settings!$C$8)+(O32*Settings!$C$7)+(P32*Settings!$C$14)+(Q32*Settings!$C$15)+(R32*Settings!$C$16)+(S32*Settings!$C$17)+(T32*Settings!$C$18)+(U32*Settings!$C$19)+(L32*Settings!$C$10)+(Settings!$C$11*M32)</f>
        <v>8.6525189060530554</v>
      </c>
      <c r="D32" s="40">
        <f>IF(Settings!$E$12="YES",VLOOKUP(A32,'Player Data'!A1:E734,5,FALSE),82)</f>
        <v>82</v>
      </c>
      <c r="E32" s="38">
        <f>(VLOOKUP($A32,'The List'!$B1:$AH730,17,FALSE)-AVERAGE('The List'!R2:R730))/STDEV('The List'!R2:R730)</f>
        <v>0.52458742899712396</v>
      </c>
      <c r="F32" s="38">
        <f>(VLOOKUP($A32,'The List'!$B1:$AH730,18,FALSE)-AVERAGE('The List'!S2:S730))/STDEV('The List'!S2:S730)</f>
        <v>2.3434894712237586</v>
      </c>
      <c r="G32" s="38">
        <f>(VLOOKUP($A32,'The List'!$B1:$AH730,19,FALSE)-AVERAGE('The List'!T2:T730))/STDEV('The List'!T2:T730)</f>
        <v>1.3475912508730112</v>
      </c>
      <c r="H32" s="38">
        <f>(VLOOKUP($A32,'The List'!$B1:$AH730,20,FALSE)-AVERAGE('The List'!U2:U730))/STDEV('The List'!U2:U730)</f>
        <v>1.9175731127799955</v>
      </c>
      <c r="I32" s="38">
        <f>(VLOOKUP($A32,'The List'!$B1:$AH730,21,FALSE)-AVERAGE('The List'!V2:V730))/STDEV('The List'!V2:V730)</f>
        <v>1.1674555234861532</v>
      </c>
      <c r="J32" s="38">
        <f>(VLOOKUP($A32,'The List'!$B1:$AH730,22,FALSE)-AVERAGE('The List'!W2:W730))/STDEV('The List'!W2:W730)</f>
        <v>2.0859692741503961</v>
      </c>
      <c r="K32" s="38">
        <f>(VLOOKUP($A32,'The List'!$B1:$AH730,23,FALSE)-AVERAGE('The List'!X2:X730))/STDEV('The List'!X2:X730)</f>
        <v>1.8764095476901372</v>
      </c>
      <c r="L32" s="38">
        <f>(VLOOKUP($A32,'The List'!$B1:$AH730,24,FALSE)-AVERAGE('The List'!Y2:Y730))/STDEV('The List'!Y2:Y730)</f>
        <v>4.7694844289316736</v>
      </c>
      <c r="M32" s="38">
        <f>(VLOOKUP($A32,'The List'!$B1:$AH730,25,FALSE)-AVERAGE('The List'!Z2:Z730))/STDEV('The List'!Z2:Z730)</f>
        <v>3.1029870105465509</v>
      </c>
      <c r="N32" s="38">
        <f>(VLOOKUP($A32,'The List'!$B1:$AH730,26,FALSE)-AVERAGE('The List'!AA2:AA730))/STDEV('The List'!AA2:AA730)</f>
        <v>-0.33633951996607375</v>
      </c>
      <c r="O32" s="38">
        <f>(VLOOKUP($A32,'The List'!$B1:$AH730,27,FALSE)-AVERAGE('The List'!AB2:AB730))/STDEV('The List'!AB2:AB730)</f>
        <v>-0.67366444428803574</v>
      </c>
      <c r="P32" s="38">
        <f>(VLOOKUP($A32,'The List'!$B1:$AH730,28,FALSE)-AVERAGE('The List'!AC2:AC730))/STDEV('The List'!AC2:AC730)</f>
        <v>1.9632755874142822</v>
      </c>
      <c r="Q32" s="38">
        <f>(VLOOKUP($A32,'The List'!$B1:$AH730,29,FALSE)-AVERAGE('The List'!AD2:AD730))/STDEV('The List'!AD2:AD730)</f>
        <v>-0.27273019242796337</v>
      </c>
      <c r="R32" s="38">
        <f>(VLOOKUP($A32,'The List'!$B1:$AH730,30,FALSE)-AVERAGE('The List'!AE2:AE730))/STDEV('The List'!AE2:AE730)</f>
        <v>2.6174699553014968</v>
      </c>
      <c r="S32" s="38">
        <f>(VLOOKUP($A32,'The List'!$B1:$AH730,31,FALSE)-AVERAGE('The List'!AF2:AF730))/STDEV('The List'!AF2:AF730)</f>
        <v>0.9508226441540808</v>
      </c>
      <c r="T32" s="38">
        <f>(VLOOKUP($A32,'The List'!$B1:$AH730,32,FALSE)-AVERAGE('The List'!AG2:AG730))/STDEV('The List'!AG2:AG730)</f>
        <v>0.86038707396458503</v>
      </c>
      <c r="U32" s="38">
        <f>(VLOOKUP($A32,'The List'!$B1:$AH730,33,FALSE)-AVERAGE('The List'!AH2:AH730))/STDEV('The List'!AH2:AH730)</f>
        <v>1.1110795985668691</v>
      </c>
      <c r="V32" s="38"/>
      <c r="W32" s="40"/>
      <c r="X32" s="38"/>
      <c r="Y32" s="38"/>
      <c r="Z32" s="38"/>
      <c r="AA32" s="38"/>
      <c r="AB32" s="38"/>
      <c r="AC32" s="38"/>
      <c r="AD32" s="38"/>
      <c r="AE32" s="38"/>
    </row>
    <row r="33" spans="1:31" ht="21.2" customHeight="1">
      <c r="A33" s="8" t="s">
        <v>204</v>
      </c>
      <c r="B33" s="34" t="str">
        <f>VLOOKUP(A33,'Player Data'!A1:B734,2,FALSE)</f>
        <v>CHI</v>
      </c>
      <c r="C33" s="36">
        <f>((E33)*Settings!$C$12)+(F33*Settings!$C$2)+(G33*Settings!$C$3)+(H33*Settings!$C$4)+(I33*Settings!$C$5)+(K33*Settings!$C$9)+(N33*Settings!$C$6)+(J33*Settings!$C$8)+(O33*Settings!$C$7)+(P33*Settings!$C$14)+(Q33*Settings!$C$15)+(R33*Settings!$C$16)+(S33*Settings!$C$17)+(T33*Settings!$C$18)+(U33*Settings!$C$19)+(L33*Settings!$C$10)+(Settings!$C$11*M33)</f>
        <v>7.8748236583444715</v>
      </c>
      <c r="D33" s="40">
        <f>IF(Settings!$E$12="YES",VLOOKUP(A33,'Player Data'!A1:E734,5,FALSE),82)</f>
        <v>82</v>
      </c>
      <c r="E33" s="38">
        <f>(VLOOKUP($A33,'The List'!$B1:$AH730,17,FALSE)-AVERAGE('The List'!R2:R730))/STDEV('The List'!R2:R730)</f>
        <v>0.67906373200133263</v>
      </c>
      <c r="F33" s="38">
        <f>(VLOOKUP($A33,'The List'!$B1:$AH730,18,FALSE)-AVERAGE('The List'!S2:S730))/STDEV('The List'!S2:S730)</f>
        <v>1.7698841372725391</v>
      </c>
      <c r="G33" s="38">
        <f>(VLOOKUP($A33,'The List'!$B1:$AH730,19,FALSE)-AVERAGE('The List'!T2:T730))/STDEV('The List'!T2:T730)</f>
        <v>1.4763849089956811</v>
      </c>
      <c r="H33" s="38">
        <f>(VLOOKUP($A33,'The List'!$B1:$AH730,20,FALSE)-AVERAGE('The List'!U2:U730))/STDEV('The List'!U2:U730)</f>
        <v>1.7300681769531923</v>
      </c>
      <c r="I33" s="38">
        <f>(VLOOKUP($A33,'The List'!$B1:$AH730,21,FALSE)-AVERAGE('The List'!V2:V730))/STDEV('The List'!V2:V730)</f>
        <v>1.2723194363066079</v>
      </c>
      <c r="J33" s="38">
        <f>(VLOOKUP($A33,'The List'!$B1:$AH730,22,FALSE)-AVERAGE('The List'!W2:W730))/STDEV('The List'!W2:W730)</f>
        <v>1.9611663182704622</v>
      </c>
      <c r="K33" s="38">
        <f>(VLOOKUP($A33,'The List'!$B1:$AH730,23,FALSE)-AVERAGE('The List'!X2:X730))/STDEV('The List'!X2:X730)</f>
        <v>1.6261669988164515</v>
      </c>
      <c r="L33" s="38">
        <f>(VLOOKUP($A33,'The List'!$B1:$AH730,24,FALSE)-AVERAGE('The List'!Y2:Y730))/STDEV('The List'!Y2:Y730)</f>
        <v>-0.52515529094994673</v>
      </c>
      <c r="M33" s="38">
        <f>(VLOOKUP($A33,'The List'!$B1:$AH730,25,FALSE)-AVERAGE('The List'!Z2:Z730))/STDEV('The List'!Z2:Z730)</f>
        <v>-0.70378350861314143</v>
      </c>
      <c r="N33" s="38">
        <f>(VLOOKUP($A33,'The List'!$B1:$AH730,26,FALSE)-AVERAGE('The List'!AA2:AA730))/STDEV('The List'!AA2:AA730)</f>
        <v>-0.66911426166278931</v>
      </c>
      <c r="O33" s="38">
        <f>(VLOOKUP($A33,'The List'!$B1:$AH730,27,FALSE)-AVERAGE('The List'!AB2:AB730))/STDEV('The List'!AB2:AB730)</f>
        <v>-1.1071944139301564</v>
      </c>
      <c r="P33" s="38">
        <f>(VLOOKUP($A33,'The List'!$B1:$AH730,28,FALSE)-AVERAGE('The List'!AC2:AC730))/STDEV('The List'!AC2:AC730)</f>
        <v>6.1227943700218945E-2</v>
      </c>
      <c r="Q33" s="38">
        <f>(VLOOKUP($A33,'The List'!$B1:$AH730,29,FALSE)-AVERAGE('The List'!AD2:AD730))/STDEV('The List'!AD2:AD730)</f>
        <v>-0.69453482993397064</v>
      </c>
      <c r="R33" s="38">
        <f>(VLOOKUP($A33,'The List'!$B1:$AH730,30,FALSE)-AVERAGE('The List'!AE2:AE730))/STDEV('The List'!AE2:AE730)</f>
        <v>1.1444521490117929</v>
      </c>
      <c r="S33" s="38">
        <f>(VLOOKUP($A33,'The List'!$B1:$AH730,31,FALSE)-AVERAGE('The List'!AF2:AF730))/STDEV('The List'!AF2:AF730)</f>
        <v>0.69766976122805546</v>
      </c>
      <c r="T33" s="38">
        <f>(VLOOKUP($A33,'The List'!$B1:$AH730,32,FALSE)-AVERAGE('The List'!AG2:AG730))/STDEV('The List'!AG2:AG730)</f>
        <v>1.3001280699680706</v>
      </c>
      <c r="U33" s="38">
        <f>(VLOOKUP($A33,'The List'!$B1:$AH730,33,FALSE)-AVERAGE('The List'!AH2:AH730))/STDEV('The List'!AH2:AH730)</f>
        <v>0.61537789296076184</v>
      </c>
      <c r="V33" s="38"/>
      <c r="W33" s="40"/>
      <c r="X33" s="40"/>
      <c r="Y33" s="40"/>
      <c r="Z33" s="40"/>
      <c r="AA33" s="40"/>
      <c r="AB33" s="40"/>
      <c r="AC33" s="43"/>
      <c r="AD33" s="44"/>
      <c r="AE33" s="38"/>
    </row>
    <row r="34" spans="1:31" ht="21.2" customHeight="1">
      <c r="A34" s="8" t="s">
        <v>152</v>
      </c>
      <c r="B34" s="34" t="str">
        <f>VLOOKUP(A34,'Player Data'!A1:B734,2,FALSE)</f>
        <v>PIT</v>
      </c>
      <c r="C34" s="36">
        <f>((E34)*Settings!$C$12)+(F34*Settings!$C$2)+(G34*Settings!$C$3)+(H34*Settings!$C$4)+(I34*Settings!$C$5)+(K34*Settings!$C$9)+(N34*Settings!$C$6)+(J34*Settings!$C$8)+(O34*Settings!$C$7)+(P34*Settings!$C$14)+(Q34*Settings!$C$15)+(R34*Settings!$C$16)+(S34*Settings!$C$17)+(T34*Settings!$C$18)+(U34*Settings!$C$19)+(L34*Settings!$C$10)+(Settings!$C$11*M34)</f>
        <v>9.0538933501089804</v>
      </c>
      <c r="D34" s="40">
        <f>IF(Settings!$E$12="YES",VLOOKUP(A34,'Player Data'!A1:E734,5,FALSE),82)</f>
        <v>82</v>
      </c>
      <c r="E34" s="38">
        <f>(VLOOKUP($A34,'The List'!$B1:$AH730,17,FALSE)-AVERAGE('The List'!R2:R730))/STDEV('The List'!R2:R730)</f>
        <v>0.93699574698328969</v>
      </c>
      <c r="F34" s="38">
        <f>(VLOOKUP($A34,'The List'!$B1:$AH730,18,FALSE)-AVERAGE('The List'!S2:S730))/STDEV('The List'!S2:S730)</f>
        <v>2.263196183796766</v>
      </c>
      <c r="G34" s="38">
        <f>(VLOOKUP($A34,'The List'!$B1:$AH730,19,FALSE)-AVERAGE('The List'!T2:T730))/STDEV('The List'!T2:T730)</f>
        <v>1.3986626058852818</v>
      </c>
      <c r="H34" s="38">
        <f>(VLOOKUP($A34,'The List'!$B1:$AH730,20,FALSE)-AVERAGE('The List'!U2:U730))/STDEV('The List'!U2:U730)</f>
        <v>1.9116322778652639</v>
      </c>
      <c r="I34" s="38">
        <f>(VLOOKUP($A34,'The List'!$B1:$AH730,21,FALSE)-AVERAGE('The List'!V2:V730))/STDEV('The List'!V2:V730)</f>
        <v>1.8334085948843195</v>
      </c>
      <c r="J34" s="38">
        <f>(VLOOKUP($A34,'The List'!$B1:$AH730,22,FALSE)-AVERAGE('The List'!W2:W730))/STDEV('The List'!W2:W730)</f>
        <v>1.8986657777658715</v>
      </c>
      <c r="K34" s="38">
        <f>(VLOOKUP($A34,'The List'!$B1:$AH730,23,FALSE)-AVERAGE('The List'!X2:X730))/STDEV('The List'!X2:X730)</f>
        <v>1.6469936876773503</v>
      </c>
      <c r="L34" s="38">
        <f>(VLOOKUP($A34,'The List'!$B1:$AH730,24,FALSE)-AVERAGE('The List'!Y2:Y730))/STDEV('The List'!Y2:Y730)</f>
        <v>-0.49726535544146622</v>
      </c>
      <c r="M34" s="38">
        <f>(VLOOKUP($A34,'The List'!$B1:$AH730,25,FALSE)-AVERAGE('The List'!Z2:Z730))/STDEV('The List'!Z2:Z730)</f>
        <v>-0.67170287862324629</v>
      </c>
      <c r="N34" s="38">
        <f>(VLOOKUP($A34,'The List'!$B1:$AH730,26,FALSE)-AVERAGE('The List'!AA2:AA730))/STDEV('The List'!AA2:AA730)</f>
        <v>-0.48575042242486588</v>
      </c>
      <c r="O34" s="38">
        <f>(VLOOKUP($A34,'The List'!$B1:$AH730,27,FALSE)-AVERAGE('The List'!AB2:AB730))/STDEV('The List'!AB2:AB730)</f>
        <v>-0.40946394545127612</v>
      </c>
      <c r="P34" s="38">
        <f>(VLOOKUP($A34,'The List'!$B1:$AH730,28,FALSE)-AVERAGE('The List'!AC2:AC730))/STDEV('The List'!AC2:AC730)</f>
        <v>0.79167812707679419</v>
      </c>
      <c r="Q34" s="38">
        <f>(VLOOKUP($A34,'The List'!$B1:$AH730,29,FALSE)-AVERAGE('The List'!AD2:AD730))/STDEV('The List'!AD2:AD730)</f>
        <v>0.73410004272713303</v>
      </c>
      <c r="R34" s="38">
        <f>(VLOOKUP($A34,'The List'!$B1:$AH730,30,FALSE)-AVERAGE('The List'!AE2:AE730))/STDEV('The List'!AE2:AE730)</f>
        <v>2.5462837031778771</v>
      </c>
      <c r="S34" s="38">
        <f>(VLOOKUP($A34,'The List'!$B1:$AH730,31,FALSE)-AVERAGE('The List'!AF2:AF730))/STDEV('The List'!AF2:AF730)</f>
        <v>-0.52972434157092441</v>
      </c>
      <c r="T34" s="38">
        <f>(VLOOKUP($A34,'The List'!$B1:$AH730,32,FALSE)-AVERAGE('The List'!AG2:AG730))/STDEV('The List'!AG2:AG730)</f>
        <v>-0.56643802645719299</v>
      </c>
      <c r="U34" s="38">
        <f>(VLOOKUP($A34,'The List'!$B1:$AH730,33,FALSE)-AVERAGE('The List'!AH2:AH730))/STDEV('The List'!AH2:AH730)</f>
        <v>0.83935569480873995</v>
      </c>
      <c r="V34" s="38"/>
      <c r="W34" s="40"/>
      <c r="X34" s="38"/>
      <c r="Y34" s="38"/>
      <c r="Z34" s="38"/>
      <c r="AA34" s="38"/>
      <c r="AB34" s="38"/>
      <c r="AC34" s="38"/>
      <c r="AD34" s="38"/>
      <c r="AE34" s="38"/>
    </row>
    <row r="35" spans="1:31" ht="21.2" customHeight="1">
      <c r="A35" s="8" t="s">
        <v>154</v>
      </c>
      <c r="B35" s="34" t="str">
        <f>VLOOKUP(A35,'Player Data'!A1:B734,2,FALSE)</f>
        <v>STL</v>
      </c>
      <c r="C35" s="36">
        <f>((E35)*Settings!$C$12)+(F35*Settings!$C$2)+(G35*Settings!$C$3)+(H35*Settings!$C$4)+(I35*Settings!$C$5)+(K35*Settings!$C$9)+(N35*Settings!$C$6)+(J35*Settings!$C$8)+(O35*Settings!$C$7)+(P35*Settings!$C$14)+(Q35*Settings!$C$15)+(R35*Settings!$C$16)+(S35*Settings!$C$17)+(T35*Settings!$C$18)+(U35*Settings!$C$19)+(L35*Settings!$C$10)+(Settings!$C$11*M35)</f>
        <v>8.3735546652097597</v>
      </c>
      <c r="D35" s="40">
        <f>IF(Settings!$E$12="YES",VLOOKUP(A35,'Player Data'!A1:E734,5,FALSE),82)</f>
        <v>82</v>
      </c>
      <c r="E35" s="38">
        <f>(VLOOKUP($A35,'The List'!$B1:$AH730,17,FALSE)-AVERAGE('The List'!R2:R730))/STDEV('The List'!R2:R730)</f>
        <v>0.43181745240323904</v>
      </c>
      <c r="F35" s="38">
        <f>(VLOOKUP($A35,'The List'!$B1:$AH730,18,FALSE)-AVERAGE('The List'!S2:S730))/STDEV('The List'!S2:S730)</f>
        <v>1.8852366016342961</v>
      </c>
      <c r="G35" s="38">
        <f>(VLOOKUP($A35,'The List'!$B1:$AH730,19,FALSE)-AVERAGE('The List'!T2:T730))/STDEV('The List'!T2:T730)</f>
        <v>1.3736752485517569</v>
      </c>
      <c r="H35" s="38">
        <f>(VLOOKUP($A35,'The List'!$B1:$AH730,20,FALSE)-AVERAGE('The List'!U2:U730))/STDEV('The List'!U2:U730)</f>
        <v>1.7205733110630619</v>
      </c>
      <c r="I35" s="38">
        <f>(VLOOKUP($A35,'The List'!$B1:$AH730,21,FALSE)-AVERAGE('The List'!V2:V730))/STDEV('The List'!V2:V730)</f>
        <v>1.8566303553432528</v>
      </c>
      <c r="J35" s="38">
        <f>(VLOOKUP($A35,'The List'!$B1:$AH730,22,FALSE)-AVERAGE('The List'!W2:W730))/STDEV('The List'!W2:W730)</f>
        <v>1.7459051090496303</v>
      </c>
      <c r="K35" s="38">
        <f>(VLOOKUP($A35,'The List'!$B1:$AH730,23,FALSE)-AVERAGE('The List'!X2:X730))/STDEV('The List'!X2:X730)</f>
        <v>1.5374391486173928</v>
      </c>
      <c r="L35" s="38">
        <f>(VLOOKUP($A35,'The List'!$B1:$AH730,24,FALSE)-AVERAGE('The List'!Y2:Y730))/STDEV('The List'!Y2:Y730)</f>
        <v>-0.4979550476079434</v>
      </c>
      <c r="M35" s="38">
        <f>(VLOOKUP($A35,'The List'!$B1:$AH730,25,FALSE)-AVERAGE('The List'!Z2:Z730))/STDEV('The List'!Z2:Z730)</f>
        <v>-0.67096049103502275</v>
      </c>
      <c r="N35" s="38">
        <f>(VLOOKUP($A35,'The List'!$B1:$AH730,26,FALSE)-AVERAGE('The List'!AA2:AA730))/STDEV('The List'!AA2:AA730)</f>
        <v>-0.75949401012800921</v>
      </c>
      <c r="O35" s="38">
        <f>(VLOOKUP($A35,'The List'!$B1:$AH730,27,FALSE)-AVERAGE('The List'!AB2:AB730))/STDEV('The List'!AB2:AB730)</f>
        <v>-1.5986575902196132</v>
      </c>
      <c r="P35" s="38">
        <f>(VLOOKUP($A35,'The List'!$B1:$AH730,28,FALSE)-AVERAGE('The List'!AC2:AC730))/STDEV('The List'!AC2:AC730)</f>
        <v>-1.2854574937086298</v>
      </c>
      <c r="Q35" s="38">
        <f>(VLOOKUP($A35,'The List'!$B1:$AH730,29,FALSE)-AVERAGE('The List'!AD2:AD730))/STDEV('The List'!AD2:AD730)</f>
        <v>-0.52772376561278678</v>
      </c>
      <c r="R35" s="38">
        <f>(VLOOKUP($A35,'The List'!$B1:$AH730,30,FALSE)-AVERAGE('The List'!AE2:AE730))/STDEV('The List'!AE2:AE730)</f>
        <v>1.1877744564962123</v>
      </c>
      <c r="S35" s="38">
        <f>(VLOOKUP($A35,'The List'!$B1:$AH730,31,FALSE)-AVERAGE('The List'!AF2:AF730))/STDEV('The List'!AF2:AF730)</f>
        <v>-0.53985570908728375</v>
      </c>
      <c r="T35" s="38">
        <f>(VLOOKUP($A35,'The List'!$B1:$AH730,32,FALSE)-AVERAGE('The List'!AG2:AG730))/STDEV('The List'!AG2:AG730)</f>
        <v>-0.56803238662239053</v>
      </c>
      <c r="U35" s="38">
        <f>(VLOOKUP($A35,'The List'!$B1:$AH730,33,FALSE)-AVERAGE('The List'!AH2:AH730))/STDEV('The List'!AH2:AH730)</f>
        <v>0.54800864128268534</v>
      </c>
      <c r="V35" s="38"/>
      <c r="W35" s="42"/>
      <c r="X35" s="40"/>
      <c r="Y35" s="40"/>
      <c r="Z35" s="40"/>
      <c r="AA35" s="40"/>
      <c r="AB35" s="40"/>
      <c r="AC35" s="43"/>
      <c r="AD35" s="44"/>
      <c r="AE35" s="38"/>
    </row>
    <row r="36" spans="1:31" ht="21.2" customHeight="1">
      <c r="A36" s="8" t="s">
        <v>131</v>
      </c>
      <c r="B36" s="34" t="str">
        <f>VLOOKUP(A36,'Player Data'!A1:B734,2,FALSE)</f>
        <v>WSH</v>
      </c>
      <c r="C36" s="36">
        <f>((E36)*Settings!$C$12)+(F36*Settings!$C$2)+(G36*Settings!$C$3)+(H36*Settings!$C$4)+(I36*Settings!$C$5)+(K36*Settings!$C$9)+(N36*Settings!$C$6)+(J36*Settings!$C$8)+(O36*Settings!$C$7)+(P36*Settings!$C$14)+(Q36*Settings!$C$15)+(R36*Settings!$C$16)+(S36*Settings!$C$17)+(T36*Settings!$C$18)+(U36*Settings!$C$19)+(L36*Settings!$C$10)+(Settings!$C$11*M36)</f>
        <v>10.835142614339283</v>
      </c>
      <c r="D36" s="40">
        <f>IF(Settings!$E$12="YES",VLOOKUP(A36,'Player Data'!A1:E734,5,FALSE),82)</f>
        <v>82</v>
      </c>
      <c r="E36" s="38">
        <f>(VLOOKUP($A36,'The List'!$B1:$AH730,17,FALSE)-AVERAGE('The List'!R2:R730))/STDEV('The List'!R2:R730)</f>
        <v>1.0150368439031352</v>
      </c>
      <c r="F36" s="38">
        <f>(VLOOKUP($A36,'The List'!$B1:$AH730,18,FALSE)-AVERAGE('The List'!S2:S730))/STDEV('The List'!S2:S730)</f>
        <v>2.8674259763146441</v>
      </c>
      <c r="G36" s="38">
        <f>(VLOOKUP($A36,'The List'!$B1:$AH730,19,FALSE)-AVERAGE('The List'!T2:T730))/STDEV('The List'!T2:T730)</f>
        <v>0.92258665937354423</v>
      </c>
      <c r="H36" s="38">
        <f>(VLOOKUP($A36,'The List'!$B1:$AH730,20,FALSE)-AVERAGE('The List'!U2:U730))/STDEV('The List'!U2:U730)</f>
        <v>1.8999550740619393</v>
      </c>
      <c r="I36" s="38">
        <f>(VLOOKUP($A36,'The List'!$B1:$AH730,21,FALSE)-AVERAGE('The List'!V2:V730))/STDEV('The List'!V2:V730)</f>
        <v>3.1474140914167235</v>
      </c>
      <c r="J36" s="38">
        <f>(VLOOKUP($A36,'The List'!$B1:$AH730,22,FALSE)-AVERAGE('The List'!W2:W730))/STDEV('The List'!W2:W730)</f>
        <v>3.3345908561503941</v>
      </c>
      <c r="K36" s="38">
        <f>(VLOOKUP($A36,'The List'!$B1:$AH730,23,FALSE)-AVERAGE('The List'!X2:X730))/STDEV('The List'!X2:X730)</f>
        <v>1.9977608131724318</v>
      </c>
      <c r="L36" s="38">
        <f>(VLOOKUP($A36,'The List'!$B1:$AH730,24,FALSE)-AVERAGE('The List'!Y2:Y730))/STDEV('The List'!Y2:Y730)</f>
        <v>-0.51260133494774496</v>
      </c>
      <c r="M36" s="38">
        <f>(VLOOKUP($A36,'The List'!$B1:$AH730,25,FALSE)-AVERAGE('The List'!Z2:Z730))/STDEV('The List'!Z2:Z730)</f>
        <v>-0.69503069142494256</v>
      </c>
      <c r="N36" s="38">
        <f>(VLOOKUP($A36,'The List'!$B1:$AH730,26,FALSE)-AVERAGE('The List'!AA2:AA730))/STDEV('The List'!AA2:AA730)</f>
        <v>-0.89913129530778568</v>
      </c>
      <c r="O36" s="38">
        <f>(VLOOKUP($A36,'The List'!$B1:$AH730,27,FALSE)-AVERAGE('The List'!AB2:AB730))/STDEV('The List'!AB2:AB730)</f>
        <v>1.6216333893465242</v>
      </c>
      <c r="P36" s="38">
        <f>(VLOOKUP($A36,'The List'!$B1:$AH730,28,FALSE)-AVERAGE('The List'!AC2:AC730))/STDEV('The List'!AC2:AC730)</f>
        <v>-0.67177934721234145</v>
      </c>
      <c r="Q36" s="38">
        <f>(VLOOKUP($A36,'The List'!$B1:$AH730,29,FALSE)-AVERAGE('The List'!AD2:AD730))/STDEV('The List'!AD2:AD730)</f>
        <v>-0.13332212431290075</v>
      </c>
      <c r="R36" s="38">
        <f>(VLOOKUP($A36,'The List'!$B1:$AH730,30,FALSE)-AVERAGE('The List'!AE2:AE730))/STDEV('The List'!AE2:AE730)</f>
        <v>2.1427139106217075</v>
      </c>
      <c r="S36" s="38">
        <f>(VLOOKUP($A36,'The List'!$B1:$AH730,31,FALSE)-AVERAGE('The List'!AF2:AF730))/STDEV('The List'!AF2:AF730)</f>
        <v>-0.55386876619237557</v>
      </c>
      <c r="T36" s="38">
        <f>(VLOOKUP($A36,'The List'!$B1:$AH730,32,FALSE)-AVERAGE('The List'!AG2:AG730))/STDEV('The List'!AG2:AG730)</f>
        <v>-0.5811637287346253</v>
      </c>
      <c r="U36" s="38">
        <f>(VLOOKUP($A36,'The List'!$B1:$AH730,33,FALSE)-AVERAGE('The List'!AH2:AH730))/STDEV('The List'!AH2:AH730)</f>
        <v>0.21188718679777635</v>
      </c>
      <c r="V36" s="38"/>
      <c r="W36" s="42"/>
      <c r="X36" s="40"/>
      <c r="Y36" s="40"/>
      <c r="Z36" s="40"/>
      <c r="AA36" s="40"/>
      <c r="AB36" s="40"/>
      <c r="AC36" s="43"/>
      <c r="AD36" s="44"/>
      <c r="AE36" s="38"/>
    </row>
    <row r="37" spans="1:31" ht="21.2" customHeight="1">
      <c r="A37" s="8" t="s">
        <v>148</v>
      </c>
      <c r="B37" s="34" t="str">
        <f>VLOOKUP(A37,'Player Data'!A1:B734,2,FALSE)</f>
        <v>LAK</v>
      </c>
      <c r="C37" s="36">
        <f>((E37)*Settings!$C$12)+(F37*Settings!$C$2)+(G37*Settings!$C$3)+(H37*Settings!$C$4)+(I37*Settings!$C$5)+(K37*Settings!$C$9)+(N37*Settings!$C$6)+(J37*Settings!$C$8)+(O37*Settings!$C$7)+(P37*Settings!$C$14)+(Q37*Settings!$C$15)+(R37*Settings!$C$16)+(S37*Settings!$C$17)+(T37*Settings!$C$18)+(U37*Settings!$C$19)+(L37*Settings!$C$10)+(Settings!$C$11*M37)</f>
        <v>8.9300965081651817</v>
      </c>
      <c r="D37" s="40">
        <f>IF(Settings!$E$12="YES",VLOOKUP(A37,'Player Data'!A1:E734,5,FALSE),82)</f>
        <v>82</v>
      </c>
      <c r="E37" s="38">
        <f>(VLOOKUP($A37,'The List'!$B1:$AH730,17,FALSE)-AVERAGE('The List'!R2:R730))/STDEV('The List'!R2:R730)</f>
        <v>0.28433114852001784</v>
      </c>
      <c r="F37" s="38">
        <f>(VLOOKUP($A37,'The List'!$B1:$AH730,18,FALSE)-AVERAGE('The List'!S2:S730))/STDEV('The List'!S2:S730)</f>
        <v>1.4673787496390842</v>
      </c>
      <c r="G37" s="38">
        <f>(VLOOKUP($A37,'The List'!$B1:$AH730,19,FALSE)-AVERAGE('The List'!T2:T730))/STDEV('The List'!T2:T730)</f>
        <v>1.9514280461546929</v>
      </c>
      <c r="H37" s="38">
        <f>(VLOOKUP($A37,'The List'!$B1:$AH730,20,FALSE)-AVERAGE('The List'!U2:U730))/STDEV('The List'!U2:U730)</f>
        <v>1.8813742463243563</v>
      </c>
      <c r="I37" s="38">
        <f>(VLOOKUP($A37,'The List'!$B1:$AH730,21,FALSE)-AVERAGE('The List'!V2:V730))/STDEV('The List'!V2:V730)</f>
        <v>2.0498812479545099</v>
      </c>
      <c r="J37" s="38">
        <f>(VLOOKUP($A37,'The List'!$B1:$AH730,22,FALSE)-AVERAGE('The List'!W2:W730))/STDEV('The List'!W2:W730)</f>
        <v>1.1375029873361513</v>
      </c>
      <c r="K37" s="38">
        <f>(VLOOKUP($A37,'The List'!$B1:$AH730,23,FALSE)-AVERAGE('The List'!X2:X730))/STDEV('The List'!X2:X730)</f>
        <v>1.5800342180925382</v>
      </c>
      <c r="L37" s="38">
        <f>(VLOOKUP($A37,'The List'!$B1:$AH730,24,FALSE)-AVERAGE('The List'!Y2:Y730))/STDEV('The List'!Y2:Y730)</f>
        <v>-0.49903999037123686</v>
      </c>
      <c r="M37" s="38">
        <f>(VLOOKUP($A37,'The List'!$B1:$AH730,25,FALSE)-AVERAGE('The List'!Z2:Z730))/STDEV('The List'!Z2:Z730)</f>
        <v>-0.68358300099292602</v>
      </c>
      <c r="N37" s="38">
        <f>(VLOOKUP($A37,'The List'!$B1:$AH730,26,FALSE)-AVERAGE('The List'!AA2:AA730))/STDEV('The List'!AA2:AA730)</f>
        <v>-0.99272921531614533</v>
      </c>
      <c r="O37" s="38">
        <f>(VLOOKUP($A37,'The List'!$B1:$AH730,27,FALSE)-AVERAGE('The List'!AB2:AB730))/STDEV('The List'!AB2:AB730)</f>
        <v>-0.71937694212085102</v>
      </c>
      <c r="P37" s="38">
        <f>(VLOOKUP($A37,'The List'!$B1:$AH730,28,FALSE)-AVERAGE('The List'!AC2:AC730))/STDEV('The List'!AC2:AC730)</f>
        <v>0.21105299161764515</v>
      </c>
      <c r="Q37" s="38">
        <f>(VLOOKUP($A37,'The List'!$B1:$AH730,29,FALSE)-AVERAGE('The List'!AD2:AD730))/STDEV('The List'!AD2:AD730)</f>
        <v>1.0496784064580369</v>
      </c>
      <c r="R37" s="38">
        <f>(VLOOKUP($A37,'The List'!$B1:$AH730,30,FALSE)-AVERAGE('The List'!AE2:AE730))/STDEV('The List'!AE2:AE730)</f>
        <v>1.4841801141242559</v>
      </c>
      <c r="S37" s="38">
        <f>(VLOOKUP($A37,'The List'!$B1:$AH730,31,FALSE)-AVERAGE('The List'!AF2:AF730))/STDEV('The List'!AF2:AF730)</f>
        <v>-0.53611683863210935</v>
      </c>
      <c r="T37" s="38">
        <f>(VLOOKUP($A37,'The List'!$B1:$AH730,32,FALSE)-AVERAGE('The List'!AG2:AG730))/STDEV('The List'!AG2:AG730)</f>
        <v>-0.56070226905009612</v>
      </c>
      <c r="U37" s="38">
        <f>(VLOOKUP($A37,'The List'!$B1:$AH730,33,FALSE)-AVERAGE('The List'!AH2:AH730))/STDEV('The List'!AH2:AH730)</f>
        <v>0.52165185921385127</v>
      </c>
      <c r="V37" s="38"/>
      <c r="W37" s="40"/>
      <c r="X37" s="38"/>
      <c r="Y37" s="38"/>
      <c r="Z37" s="38"/>
      <c r="AA37" s="38"/>
      <c r="AB37" s="38"/>
      <c r="AC37" s="38"/>
      <c r="AD37" s="38"/>
      <c r="AE37" s="38"/>
    </row>
    <row r="38" spans="1:31" ht="21.2" customHeight="1">
      <c r="A38" s="8" t="s">
        <v>164</v>
      </c>
      <c r="B38" s="34" t="str">
        <f>VLOOKUP(A38,'Player Data'!A1:B734,2,FALSE)</f>
        <v>CAR</v>
      </c>
      <c r="C38" s="36">
        <f>((E38)*Settings!$C$12)+(F38*Settings!$C$2)+(G38*Settings!$C$3)+(H38*Settings!$C$4)+(I38*Settings!$C$5)+(K38*Settings!$C$9)+(N38*Settings!$C$6)+(J38*Settings!$C$8)+(O38*Settings!$C$7)+(P38*Settings!$C$14)+(Q38*Settings!$C$15)+(R38*Settings!$C$16)+(S38*Settings!$C$17)+(T38*Settings!$C$18)+(U38*Settings!$C$19)+(L38*Settings!$C$10)+(Settings!$C$11*M38)</f>
        <v>8.4957451159382327</v>
      </c>
      <c r="D38" s="40">
        <f>IF(Settings!$E$12="YES",VLOOKUP(A38,'Player Data'!A1:E734,5,FALSE),82)</f>
        <v>82</v>
      </c>
      <c r="E38" s="38">
        <f>(VLOOKUP($A38,'The List'!$B1:$AH730,17,FALSE)-AVERAGE('The List'!R2:R730))/STDEV('The List'!R2:R730)</f>
        <v>0.94267279593387854</v>
      </c>
      <c r="F38" s="38">
        <f>(VLOOKUP($A38,'The List'!$B1:$AH730,18,FALSE)-AVERAGE('The List'!S2:S730))/STDEV('The List'!S2:S730)</f>
        <v>2.3376196620300278</v>
      </c>
      <c r="G38" s="38">
        <f>(VLOOKUP($A38,'The List'!$B1:$AH730,19,FALSE)-AVERAGE('The List'!T2:T730))/STDEV('The List'!T2:T730)</f>
        <v>1.282632721686181</v>
      </c>
      <c r="H38" s="38">
        <f>(VLOOKUP($A38,'The List'!$B1:$AH730,20,FALSE)-AVERAGE('The List'!U2:U730))/STDEV('The List'!U2:U730)</f>
        <v>1.8749248247328627</v>
      </c>
      <c r="I38" s="38">
        <f>(VLOOKUP($A38,'The List'!$B1:$AH730,21,FALSE)-AVERAGE('The List'!V2:V730))/STDEV('The List'!V2:V730)</f>
        <v>1.6288995771426893</v>
      </c>
      <c r="J38" s="38">
        <f>(VLOOKUP($A38,'The List'!$B1:$AH730,22,FALSE)-AVERAGE('The List'!W2:W730))/STDEV('The List'!W2:W730)</f>
        <v>1.818698009126031</v>
      </c>
      <c r="K38" s="38">
        <f>(VLOOKUP($A38,'The List'!$B1:$AH730,23,FALSE)-AVERAGE('The List'!X2:X730))/STDEV('The List'!X2:X730)</f>
        <v>1.371668330346471</v>
      </c>
      <c r="L38" s="38">
        <f>(VLOOKUP($A38,'The List'!$B1:$AH730,24,FALSE)-AVERAGE('The List'!Y2:Y730))/STDEV('The List'!Y2:Y730)</f>
        <v>3.2637804867493956</v>
      </c>
      <c r="M38" s="38">
        <f>(VLOOKUP($A38,'The List'!$B1:$AH730,25,FALSE)-AVERAGE('The List'!Z2:Z730))/STDEV('The List'!Z2:Z730)</f>
        <v>2.9013281148718222</v>
      </c>
      <c r="N38" s="38">
        <f>(VLOOKUP($A38,'The List'!$B1:$AH730,26,FALSE)-AVERAGE('The List'!AA2:AA730))/STDEV('The List'!AA2:AA730)</f>
        <v>-0.92146132434575001</v>
      </c>
      <c r="O38" s="38">
        <f>(VLOOKUP($A38,'The List'!$B1:$AH730,27,FALSE)-AVERAGE('The List'!AB2:AB730))/STDEV('The List'!AB2:AB730)</f>
        <v>-0.56865109115202539</v>
      </c>
      <c r="P38" s="38">
        <f>(VLOOKUP($A38,'The List'!$B1:$AH730,28,FALSE)-AVERAGE('The List'!AC2:AC730))/STDEV('The List'!AC2:AC730)</f>
        <v>1.8974477879377341</v>
      </c>
      <c r="Q38" s="38">
        <f>(VLOOKUP($A38,'The List'!$B1:$AH730,29,FALSE)-AVERAGE('The List'!AD2:AD730))/STDEV('The List'!AD2:AD730)</f>
        <v>0.68772359319421739</v>
      </c>
      <c r="R38" s="38">
        <f>(VLOOKUP($A38,'The List'!$B1:$AH730,30,FALSE)-AVERAGE('The List'!AE2:AE730))/STDEV('The List'!AE2:AE730)</f>
        <v>3.0804696108531653</v>
      </c>
      <c r="S38" s="38">
        <f>(VLOOKUP($A38,'The List'!$B1:$AH730,31,FALSE)-AVERAGE('The List'!AF2:AF730))/STDEV('The List'!AF2:AF730)</f>
        <v>2.2324439281670498</v>
      </c>
      <c r="T38" s="38">
        <f>(VLOOKUP($A38,'The List'!$B1:$AH730,32,FALSE)-AVERAGE('The List'!AG2:AG730))/STDEV('The List'!AG2:AG730)</f>
        <v>2.0937631670674346</v>
      </c>
      <c r="U38" s="38">
        <f>(VLOOKUP($A38,'The List'!$B1:$AH730,33,FALSE)-AVERAGE('The List'!AH2:AH730))/STDEV('The List'!AH2:AH730)</f>
        <v>1.1155501204942277</v>
      </c>
      <c r="V38" s="38"/>
      <c r="W38" s="42"/>
      <c r="X38" s="40"/>
      <c r="Y38" s="40"/>
      <c r="Z38" s="40"/>
      <c r="AA38" s="40"/>
      <c r="AB38" s="40"/>
      <c r="AC38" s="43"/>
      <c r="AD38" s="44"/>
      <c r="AE38" s="38"/>
    </row>
    <row r="39" spans="1:31" ht="21.2" customHeight="1">
      <c r="A39" s="8" t="s">
        <v>158</v>
      </c>
      <c r="B39" s="34" t="str">
        <f>VLOOKUP(A39,'Player Data'!A1:B734,2,FALSE)</f>
        <v>NJD</v>
      </c>
      <c r="C39" s="36">
        <f>((E39)*Settings!$C$12)+(F39*Settings!$C$2)+(G39*Settings!$C$3)+(H39*Settings!$C$4)+(I39*Settings!$C$5)+(K39*Settings!$C$9)+(N39*Settings!$C$6)+(J39*Settings!$C$8)+(O39*Settings!$C$7)+(P39*Settings!$C$14)+(Q39*Settings!$C$15)+(R39*Settings!$C$16)+(S39*Settings!$C$17)+(T39*Settings!$C$18)+(U39*Settings!$C$19)+(L39*Settings!$C$10)+(Settings!$C$11*M39)</f>
        <v>9.0265837039570425</v>
      </c>
      <c r="D39" s="40">
        <f>IF(Settings!$E$12="YES",VLOOKUP(A39,'Player Data'!A1:E734,5,FALSE),82)</f>
        <v>82</v>
      </c>
      <c r="E39" s="38">
        <f>(VLOOKUP($A39,'The List'!$B1:$AH730,17,FALSE)-AVERAGE('The List'!R2:R730))/STDEV('The List'!R2:R730)</f>
        <v>1.0161879561713147</v>
      </c>
      <c r="F39" s="38">
        <f>(VLOOKUP($A39,'The List'!$B1:$AH730,18,FALSE)-AVERAGE('The List'!S2:S730))/STDEV('The List'!S2:S730)</f>
        <v>1.7597548285559659</v>
      </c>
      <c r="G39" s="38">
        <f>(VLOOKUP($A39,'The List'!$B1:$AH730,19,FALSE)-AVERAGE('The List'!T2:T730))/STDEV('The List'!T2:T730)</f>
        <v>1.9750428469396948</v>
      </c>
      <c r="H39" s="38">
        <f>(VLOOKUP($A39,'The List'!$B1:$AH730,20,FALSE)-AVERAGE('The List'!U2:U730))/STDEV('The List'!U2:U730)</f>
        <v>2.0318042523746143</v>
      </c>
      <c r="I39" s="38">
        <f>(VLOOKUP($A39,'The List'!$B1:$AH730,21,FALSE)-AVERAGE('The List'!V2:V730))/STDEV('The List'!V2:V730)</f>
        <v>1.8753342652532086</v>
      </c>
      <c r="J39" s="38">
        <f>(VLOOKUP($A39,'The List'!$B1:$AH730,22,FALSE)-AVERAGE('The List'!W2:W730))/STDEV('The List'!W2:W730)</f>
        <v>1.4702945675830241</v>
      </c>
      <c r="K39" s="38">
        <f>(VLOOKUP($A39,'The List'!$B1:$AH730,23,FALSE)-AVERAGE('The List'!X2:X730))/STDEV('The List'!X2:X730)</f>
        <v>1.3846475108335599</v>
      </c>
      <c r="L39" s="38">
        <f>(VLOOKUP($A39,'The List'!$B1:$AH730,24,FALSE)-AVERAGE('The List'!Y2:Y730))/STDEV('The List'!Y2:Y730)</f>
        <v>3.4748073070337591</v>
      </c>
      <c r="M39" s="38">
        <f>(VLOOKUP($A39,'The List'!$B1:$AH730,25,FALSE)-AVERAGE('The List'!Z2:Z730))/STDEV('The List'!Z2:Z730)</f>
        <v>3.5523775243778135</v>
      </c>
      <c r="N39" s="38">
        <f>(VLOOKUP($A39,'The List'!$B1:$AH730,26,FALSE)-AVERAGE('The List'!AA2:AA730))/STDEV('The List'!AA2:AA730)</f>
        <v>-8.9048750993532155E-2</v>
      </c>
      <c r="O39" s="38">
        <f>(VLOOKUP($A39,'The List'!$B1:$AH730,27,FALSE)-AVERAGE('The List'!AB2:AB730))/STDEV('The List'!AB2:AB730)</f>
        <v>-1.0685372652320806</v>
      </c>
      <c r="P39" s="38">
        <f>(VLOOKUP($A39,'The List'!$B1:$AH730,28,FALSE)-AVERAGE('The List'!AC2:AC730))/STDEV('The List'!AC2:AC730)</f>
        <v>0.39679766944115002</v>
      </c>
      <c r="Q39" s="38">
        <f>(VLOOKUP($A39,'The List'!$B1:$AH730,29,FALSE)-AVERAGE('The List'!AD2:AD730))/STDEV('The List'!AD2:AD730)</f>
        <v>-1.0053617732515312</v>
      </c>
      <c r="R39" s="38">
        <f>(VLOOKUP($A39,'The List'!$B1:$AH730,30,FALSE)-AVERAGE('The List'!AE2:AE730))/STDEV('The List'!AE2:AE730)</f>
        <v>1.744014228146028</v>
      </c>
      <c r="S39" s="38">
        <f>(VLOOKUP($A39,'The List'!$B1:$AH730,31,FALSE)-AVERAGE('The List'!AF2:AF730))/STDEV('The List'!AF2:AF730)</f>
        <v>3.7997439199345582</v>
      </c>
      <c r="T39" s="38">
        <f>(VLOOKUP($A39,'The List'!$B1:$AH730,32,FALSE)-AVERAGE('The List'!AG2:AG730))/STDEV('The List'!AG2:AG730)</f>
        <v>3.3967721505139128</v>
      </c>
      <c r="U39" s="38">
        <f>(VLOOKUP($A39,'The List'!$B1:$AH730,33,FALSE)-AVERAGE('The List'!AH2:AH730))/STDEV('The List'!AH2:AH730)</f>
        <v>1.1736321324787879</v>
      </c>
      <c r="V39" s="38"/>
      <c r="W39" s="42"/>
      <c r="X39" s="40"/>
      <c r="Y39" s="40"/>
      <c r="Z39" s="40"/>
      <c r="AA39" s="40"/>
      <c r="AB39" s="40"/>
      <c r="AC39" s="43"/>
      <c r="AD39" s="44"/>
      <c r="AE39" s="38"/>
    </row>
    <row r="40" spans="1:31" ht="21.2" customHeight="1">
      <c r="A40" s="8" t="s">
        <v>162</v>
      </c>
      <c r="B40" s="34" t="str">
        <f>VLOOKUP(A40,'Player Data'!A1:B734,2,FALSE)</f>
        <v>BUF</v>
      </c>
      <c r="C40" s="36">
        <f>((E40)*Settings!$C$12)+(F40*Settings!$C$2)+(G40*Settings!$C$3)+(H40*Settings!$C$4)+(I40*Settings!$C$5)+(K40*Settings!$C$9)+(N40*Settings!$C$6)+(J40*Settings!$C$8)+(O40*Settings!$C$7)+(P40*Settings!$C$14)+(Q40*Settings!$C$15)+(R40*Settings!$C$16)+(S40*Settings!$C$17)+(T40*Settings!$C$18)+(U40*Settings!$C$19)+(L40*Settings!$C$10)+(Settings!$C$11*M40)</f>
        <v>8.3103855162907294</v>
      </c>
      <c r="D40" s="40">
        <f>IF(Settings!$E$12="YES",VLOOKUP(A40,'Player Data'!A1:E734,5,FALSE),82)</f>
        <v>82</v>
      </c>
      <c r="E40" s="38">
        <f>(VLOOKUP($A40,'The List'!$B1:$AH730,17,FALSE)-AVERAGE('The List'!R2:R730))/STDEV('The List'!R2:R730)</f>
        <v>0.94081797394607947</v>
      </c>
      <c r="F40" s="38">
        <f>(VLOOKUP($A40,'The List'!$B1:$AH730,18,FALSE)-AVERAGE('The List'!S2:S730))/STDEV('The List'!S2:S730)</f>
        <v>1.9319791105979183</v>
      </c>
      <c r="G40" s="38">
        <f>(VLOOKUP($A40,'The List'!$B1:$AH730,19,FALSE)-AVERAGE('The List'!T2:T730))/STDEV('The List'!T2:T730)</f>
        <v>1.5293652036438838</v>
      </c>
      <c r="H40" s="38">
        <f>(VLOOKUP($A40,'The List'!$B1:$AH730,20,FALSE)-AVERAGE('The List'!U2:U730))/STDEV('The List'!U2:U730)</f>
        <v>1.837980249223532</v>
      </c>
      <c r="I40" s="38">
        <f>(VLOOKUP($A40,'The List'!$B1:$AH730,21,FALSE)-AVERAGE('The List'!V2:V730))/STDEV('The List'!V2:V730)</f>
        <v>1.7760517961355045</v>
      </c>
      <c r="J40" s="38">
        <f>(VLOOKUP($A40,'The List'!$B1:$AH730,22,FALSE)-AVERAGE('The List'!W2:W730))/STDEV('The List'!W2:W730)</f>
        <v>1.2988090064594702</v>
      </c>
      <c r="K40" s="38">
        <f>(VLOOKUP($A40,'The List'!$B1:$AH730,23,FALSE)-AVERAGE('The List'!X2:X730))/STDEV('The List'!X2:X730)</f>
        <v>1.2350091566898909</v>
      </c>
      <c r="L40" s="38">
        <f>(VLOOKUP($A40,'The List'!$B1:$AH730,24,FALSE)-AVERAGE('The List'!Y2:Y730))/STDEV('The List'!Y2:Y730)</f>
        <v>1.3545252009719118</v>
      </c>
      <c r="M40" s="38">
        <f>(VLOOKUP($A40,'The List'!$B1:$AH730,25,FALSE)-AVERAGE('The List'!Z2:Z730))/STDEV('The List'!Z2:Z730)</f>
        <v>0.60196997399368324</v>
      </c>
      <c r="N40" s="38">
        <f>(VLOOKUP($A40,'The List'!$B1:$AH730,26,FALSE)-AVERAGE('The List'!AA2:AA730))/STDEV('The List'!AA2:AA730)</f>
        <v>-0.17062584735596803</v>
      </c>
      <c r="O40" s="38">
        <f>(VLOOKUP($A40,'The List'!$B1:$AH730,27,FALSE)-AVERAGE('The List'!AB2:AB730))/STDEV('The List'!AB2:AB730)</f>
        <v>-0.7061304047147906</v>
      </c>
      <c r="P40" s="38">
        <f>(VLOOKUP($A40,'The List'!$B1:$AH730,28,FALSE)-AVERAGE('The List'!AC2:AC730))/STDEV('The List'!AC2:AC730)</f>
        <v>0.30932438152692604</v>
      </c>
      <c r="Q40" s="38">
        <f>(VLOOKUP($A40,'The List'!$B1:$AH730,29,FALSE)-AVERAGE('The List'!AD2:AD730))/STDEV('The List'!AD2:AD730)</f>
        <v>-0.21667610414183283</v>
      </c>
      <c r="R40" s="38">
        <f>(VLOOKUP($A40,'The List'!$B1:$AH730,30,FALSE)-AVERAGE('The List'!AE2:AE730))/STDEV('The List'!AE2:AE730)</f>
        <v>1.5011857768834038</v>
      </c>
      <c r="S40" s="38">
        <f>(VLOOKUP($A40,'The List'!$B1:$AH730,31,FALSE)-AVERAGE('The List'!AF2:AF730))/STDEV('The List'!AF2:AF730)</f>
        <v>-0.41897916553433723</v>
      </c>
      <c r="T40" s="38">
        <f>(VLOOKUP($A40,'The List'!$B1:$AH730,32,FALSE)-AVERAGE('The List'!AG2:AG730))/STDEV('The List'!AG2:AG730)</f>
        <v>-0.38475198846802039</v>
      </c>
      <c r="U40" s="38">
        <f>(VLOOKUP($A40,'The List'!$B1:$AH730,33,FALSE)-AVERAGE('The List'!AH2:AH730))/STDEV('The List'!AH2:AH730)</f>
        <v>0.59934442398412702</v>
      </c>
      <c r="V40" s="38"/>
      <c r="W40" s="42"/>
      <c r="X40" s="40"/>
      <c r="Y40" s="40"/>
      <c r="Z40" s="40"/>
      <c r="AA40" s="40"/>
      <c r="AB40" s="40"/>
      <c r="AC40" s="43"/>
      <c r="AD40" s="44"/>
      <c r="AE40" s="38"/>
    </row>
    <row r="41" spans="1:31" ht="21.2" customHeight="1">
      <c r="A41" s="8" t="s">
        <v>174</v>
      </c>
      <c r="B41" s="34" t="str">
        <f>VLOOKUP(A41,'Player Data'!A1:B734,2,FALSE)</f>
        <v>CBJ</v>
      </c>
      <c r="C41" s="36">
        <f>((E41)*Settings!$C$12)+(F41*Settings!$C$2)+(G41*Settings!$C$3)+(H41*Settings!$C$4)+(I41*Settings!$C$5)+(K41*Settings!$C$9)+(N41*Settings!$C$6)+(J41*Settings!$C$8)+(O41*Settings!$C$7)+(P41*Settings!$C$14)+(Q41*Settings!$C$15)+(R41*Settings!$C$16)+(S41*Settings!$C$17)+(T41*Settings!$C$18)+(U41*Settings!$C$19)+(L41*Settings!$C$10)+(Settings!$C$11*M41)</f>
        <v>8.4488457205773173</v>
      </c>
      <c r="D41" s="40">
        <f>IF(Settings!$E$12="YES",VLOOKUP(A41,'Player Data'!A1:E734,5,FALSE),82)</f>
        <v>82</v>
      </c>
      <c r="E41" s="38">
        <f>(VLOOKUP($A41,'The List'!$B1:$AH730,17,FALSE)-AVERAGE('The List'!R2:R730))/STDEV('The List'!R2:R730)</f>
        <v>0.72675735372131234</v>
      </c>
      <c r="F41" s="38">
        <f>(VLOOKUP($A41,'The List'!$B1:$AH730,18,FALSE)-AVERAGE('The List'!S2:S730))/STDEV('The List'!S2:S730)</f>
        <v>1.9541724367506006</v>
      </c>
      <c r="G41" s="38">
        <f>(VLOOKUP($A41,'The List'!$B1:$AH730,19,FALSE)-AVERAGE('The List'!T2:T730))/STDEV('The List'!T2:T730)</f>
        <v>1.4100238029697749</v>
      </c>
      <c r="H41" s="38">
        <f>(VLOOKUP($A41,'The List'!$B1:$AH730,20,FALSE)-AVERAGE('The List'!U2:U730))/STDEV('The List'!U2:U730)</f>
        <v>1.7749573448372173</v>
      </c>
      <c r="I41" s="38">
        <f>(VLOOKUP($A41,'The List'!$B1:$AH730,21,FALSE)-AVERAGE('The List'!V2:V730))/STDEV('The List'!V2:V730)</f>
        <v>1.8689881753688953</v>
      </c>
      <c r="J41" s="38">
        <f>(VLOOKUP($A41,'The List'!$B1:$AH730,22,FALSE)-AVERAGE('The List'!W2:W730))/STDEV('The List'!W2:W730)</f>
        <v>1.981482490763135</v>
      </c>
      <c r="K41" s="38">
        <f>(VLOOKUP($A41,'The List'!$B1:$AH730,23,FALSE)-AVERAGE('The List'!X2:X730))/STDEV('The List'!X2:X730)</f>
        <v>1.4407039606508283</v>
      </c>
      <c r="L41" s="38">
        <f>(VLOOKUP($A41,'The List'!$B1:$AH730,24,FALSE)-AVERAGE('The List'!Y2:Y730))/STDEV('The List'!Y2:Y730)</f>
        <v>-0.51867011337415714</v>
      </c>
      <c r="M41" s="38">
        <f>(VLOOKUP($A41,'The List'!$B1:$AH730,25,FALSE)-AVERAGE('The List'!Z2:Z730))/STDEV('The List'!Z2:Z730)</f>
        <v>-0.69600448121835579</v>
      </c>
      <c r="N41" s="38">
        <f>(VLOOKUP($A41,'The List'!$B1:$AH730,26,FALSE)-AVERAGE('The List'!AA2:AA730))/STDEV('The List'!AA2:AA730)</f>
        <v>-0.73464064696513942</v>
      </c>
      <c r="O41" s="38">
        <f>(VLOOKUP($A41,'The List'!$B1:$AH730,27,FALSE)-AVERAGE('The List'!AB2:AB730))/STDEV('The List'!AB2:AB730)</f>
        <v>-1.0041131960504333</v>
      </c>
      <c r="P41" s="38">
        <f>(VLOOKUP($A41,'The List'!$B1:$AH730,28,FALSE)-AVERAGE('The List'!AC2:AC730))/STDEV('The List'!AC2:AC730)</f>
        <v>-1.136419343976079</v>
      </c>
      <c r="Q41" s="38">
        <f>(VLOOKUP($A41,'The List'!$B1:$AH730,29,FALSE)-AVERAGE('The List'!AD2:AD730))/STDEV('The List'!AD2:AD730)</f>
        <v>-0.22213137283607329</v>
      </c>
      <c r="R41" s="38">
        <f>(VLOOKUP($A41,'The List'!$B1:$AH730,30,FALSE)-AVERAGE('The List'!AE2:AE730))/STDEV('The List'!AE2:AE730)</f>
        <v>1.0680752885464655</v>
      </c>
      <c r="S41" s="38">
        <f>(VLOOKUP($A41,'The List'!$B1:$AH730,31,FALSE)-AVERAGE('The List'!AF2:AF730))/STDEV('The List'!AF2:AF730)</f>
        <v>-0.40873168796974252</v>
      </c>
      <c r="T41" s="38">
        <f>(VLOOKUP($A41,'The List'!$B1:$AH730,32,FALSE)-AVERAGE('The List'!AG2:AG730))/STDEV('The List'!AG2:AG730)</f>
        <v>-0.28071952856433352</v>
      </c>
      <c r="U41" s="38">
        <f>(VLOOKUP($A41,'The List'!$B1:$AH730,33,FALSE)-AVERAGE('The List'!AH2:AH730))/STDEV('The List'!AH2:AH730)</f>
        <v>0.27698882743288988</v>
      </c>
      <c r="V41" s="38"/>
      <c r="W41" s="40"/>
      <c r="X41" s="38"/>
      <c r="Y41" s="38"/>
      <c r="Z41" s="38"/>
      <c r="AA41" s="38"/>
      <c r="AB41" s="38"/>
      <c r="AC41" s="38"/>
      <c r="AD41" s="38"/>
      <c r="AE41" s="38"/>
    </row>
    <row r="42" spans="1:31" ht="21.2" customHeight="1">
      <c r="A42" s="8" t="s">
        <v>194</v>
      </c>
      <c r="B42" s="34" t="str">
        <f>VLOOKUP(A42,'Player Data'!A1:B734,2,FALSE)</f>
        <v>CGY</v>
      </c>
      <c r="C42" s="36">
        <f>((E42)*Settings!$C$12)+(F42*Settings!$C$2)+(G42*Settings!$C$3)+(H42*Settings!$C$4)+(I42*Settings!$C$5)+(K42*Settings!$C$9)+(N42*Settings!$C$6)+(J42*Settings!$C$8)+(O42*Settings!$C$7)+(P42*Settings!$C$14)+(Q42*Settings!$C$15)+(R42*Settings!$C$16)+(S42*Settings!$C$17)+(T42*Settings!$C$18)+(U42*Settings!$C$19)+(L42*Settings!$C$10)+(Settings!$C$11*M42)</f>
        <v>6.6546690441244012</v>
      </c>
      <c r="D42" s="40">
        <f>IF(Settings!$E$12="YES",VLOOKUP(A42,'Player Data'!A1:E734,5,FALSE),82)</f>
        <v>82</v>
      </c>
      <c r="E42" s="38">
        <f>(VLOOKUP($A42,'The List'!$B1:$AH730,17,FALSE)-AVERAGE('The List'!R2:R730))/STDEV('The List'!R2:R730)</f>
        <v>0.41095741215606552</v>
      </c>
      <c r="F42" s="38">
        <f>(VLOOKUP($A42,'The List'!$B1:$AH730,18,FALSE)-AVERAGE('The List'!S2:S730))/STDEV('The List'!S2:S730)</f>
        <v>0.72278241355157646</v>
      </c>
      <c r="G42" s="38">
        <f>(VLOOKUP($A42,'The List'!$B1:$AH730,19,FALSE)-AVERAGE('The List'!T2:T730))/STDEV('The List'!T2:T730)</f>
        <v>2.2697488085825208</v>
      </c>
      <c r="H42" s="38">
        <f>(VLOOKUP($A42,'The List'!$B1:$AH730,20,FALSE)-AVERAGE('The List'!U2:U730))/STDEV('The List'!U2:U730)</f>
        <v>1.7308520497958697</v>
      </c>
      <c r="I42" s="38">
        <f>(VLOOKUP($A42,'The List'!$B1:$AH730,21,FALSE)-AVERAGE('The List'!V2:V730))/STDEV('The List'!V2:V730)</f>
        <v>0.3549853911223903</v>
      </c>
      <c r="J42" s="38">
        <f>(VLOOKUP($A42,'The List'!$B1:$AH730,22,FALSE)-AVERAGE('The List'!W2:W730))/STDEV('The List'!W2:W730)</f>
        <v>0.58221002210243356</v>
      </c>
      <c r="K42" s="38">
        <f>(VLOOKUP($A42,'The List'!$B1:$AH730,23,FALSE)-AVERAGE('The List'!X2:X730))/STDEV('The List'!X2:X730)</f>
        <v>1.5763003810720442</v>
      </c>
      <c r="L42" s="38">
        <f>(VLOOKUP($A42,'The List'!$B1:$AH730,24,FALSE)-AVERAGE('The List'!Y2:Y730))/STDEV('The List'!Y2:Y730)</f>
        <v>-0.22106685397744086</v>
      </c>
      <c r="M42" s="38">
        <f>(VLOOKUP($A42,'The List'!$B1:$AH730,25,FALSE)-AVERAGE('The List'!Z2:Z730))/STDEV('The List'!Z2:Z730)</f>
        <v>-0.39111240499215894</v>
      </c>
      <c r="N42" s="38">
        <f>(VLOOKUP($A42,'The List'!$B1:$AH730,26,FALSE)-AVERAGE('The List'!AA2:AA730))/STDEV('The List'!AA2:AA730)</f>
        <v>-0.88413376945981181</v>
      </c>
      <c r="O42" s="38">
        <f>(VLOOKUP($A42,'The List'!$B1:$AH730,27,FALSE)-AVERAGE('The List'!AB2:AB730))/STDEV('The List'!AB2:AB730)</f>
        <v>-0.41959743536304844</v>
      </c>
      <c r="P42" s="38">
        <f>(VLOOKUP($A42,'The List'!$B1:$AH730,28,FALSE)-AVERAGE('The List'!AC2:AC730))/STDEV('The List'!AC2:AC730)</f>
        <v>0.76709892329298102</v>
      </c>
      <c r="Q42" s="38">
        <f>(VLOOKUP($A42,'The List'!$B1:$AH730,29,FALSE)-AVERAGE('The List'!AD2:AD730))/STDEV('The List'!AD2:AD730)</f>
        <v>0.15580554449668668</v>
      </c>
      <c r="R42" s="38">
        <f>(VLOOKUP($A42,'The List'!$B1:$AH730,30,FALSE)-AVERAGE('The List'!AE2:AE730))/STDEV('The List'!AE2:AE730)</f>
        <v>1.0256881652042174</v>
      </c>
      <c r="S42" s="38">
        <f>(VLOOKUP($A42,'The List'!$B1:$AH730,31,FALSE)-AVERAGE('The List'!AF2:AF730))/STDEV('The List'!AF2:AF730)</f>
        <v>-0.5243032427507498</v>
      </c>
      <c r="T42" s="38">
        <f>(VLOOKUP($A42,'The List'!$B1:$AH730,32,FALSE)-AVERAGE('The List'!AG2:AG730))/STDEV('The List'!AG2:AG730)</f>
        <v>-0.52855156220329236</v>
      </c>
      <c r="U42" s="38">
        <f>(VLOOKUP($A42,'The List'!$B1:$AH730,33,FALSE)-AVERAGE('The List'!AH2:AH730))/STDEV('The List'!AH2:AH730)</f>
        <v>0.354893701654106</v>
      </c>
      <c r="V42" s="38"/>
      <c r="W42" s="42"/>
      <c r="X42" s="40"/>
      <c r="Y42" s="40"/>
      <c r="Z42" s="40"/>
      <c r="AA42" s="40"/>
      <c r="AB42" s="40"/>
      <c r="AC42" s="43"/>
      <c r="AD42" s="44"/>
      <c r="AE42" s="38"/>
    </row>
    <row r="43" spans="1:31" ht="21.2" customHeight="1">
      <c r="A43" s="8" t="s">
        <v>119</v>
      </c>
      <c r="B43" s="34" t="str">
        <f>VLOOKUP(A43,'Player Data'!A1:B734,2,FALSE)</f>
        <v>PIT</v>
      </c>
      <c r="C43" s="36">
        <f>((E43)*Settings!$C$12)+(F43*Settings!$C$2)+(G43*Settings!$C$3)+(H43*Settings!$C$4)+(I43*Settings!$C$5)+(K43*Settings!$C$9)+(N43*Settings!$C$6)+(J43*Settings!$C$8)+(O43*Settings!$C$7)+(P43*Settings!$C$14)+(Q43*Settings!$C$15)+(R43*Settings!$C$16)+(S43*Settings!$C$17)+(T43*Settings!$C$18)+(U43*Settings!$C$19)+(L43*Settings!$C$10)+(Settings!$C$11*M43)</f>
        <v>8.8342976747292852</v>
      </c>
      <c r="D43" s="40">
        <f>IF(Settings!$E$12="YES",VLOOKUP(A43,'Player Data'!A1:E734,5,FALSE),82)</f>
        <v>82</v>
      </c>
      <c r="E43" s="38">
        <f>(VLOOKUP($A43,'The List'!$B1:$AH730,17,FALSE)-AVERAGE('The List'!R2:R730))/STDEV('The List'!R2:R730)</f>
        <v>2.583694267446548</v>
      </c>
      <c r="F43" s="38">
        <f>(VLOOKUP($A43,'The List'!$B1:$AH730,18,FALSE)-AVERAGE('The List'!S2:S730))/STDEV('The List'!S2:S730)</f>
        <v>0.69763753571558784</v>
      </c>
      <c r="G43" s="38">
        <f>(VLOOKUP($A43,'The List'!$B1:$AH730,19,FALSE)-AVERAGE('The List'!T2:T730))/STDEV('The List'!T2:T730)</f>
        <v>2.8094410061566175</v>
      </c>
      <c r="H43" s="38">
        <f>(VLOOKUP($A43,'The List'!$B1:$AH730,20,FALSE)-AVERAGE('The List'!U2:U730))/STDEV('The List'!U2:U730)</f>
        <v>2.0508249573784605</v>
      </c>
      <c r="I43" s="38">
        <f>(VLOOKUP($A43,'The List'!$B1:$AH730,21,FALSE)-AVERAGE('The List'!V2:V730))/STDEV('The List'!V2:V730)</f>
        <v>1.318403389580731</v>
      </c>
      <c r="J43" s="38">
        <f>(VLOOKUP($A43,'The List'!$B1:$AH730,22,FALSE)-AVERAGE('The List'!W2:W730))/STDEV('The List'!W2:W730)</f>
        <v>0.48180083081468844</v>
      </c>
      <c r="K43" s="38">
        <f>(VLOOKUP($A43,'The List'!$B1:$AH730,23,FALSE)-AVERAGE('The List'!X2:X730))/STDEV('The List'!X2:X730)</f>
        <v>1.9579907858978891</v>
      </c>
      <c r="L43" s="38">
        <f>(VLOOKUP($A43,'The List'!$B1:$AH730,24,FALSE)-AVERAGE('The List'!Y2:Y730))/STDEV('The List'!Y2:Y730)</f>
        <v>-0.5214293010924177</v>
      </c>
      <c r="M43" s="38">
        <f>(VLOOKUP($A43,'The List'!$B1:$AH730,25,FALSE)-AVERAGE('The List'!Z2:Z730))/STDEV('The List'!Z2:Z730)</f>
        <v>-0.60935668860708192</v>
      </c>
      <c r="N43" s="38">
        <f>(VLOOKUP($A43,'The List'!$B1:$AH730,26,FALSE)-AVERAGE('The List'!AA2:AA730))/STDEV('The List'!AA2:AA730)</f>
        <v>0.79574012725930088</v>
      </c>
      <c r="O43" s="38">
        <f>(VLOOKUP($A43,'The List'!$B1:$AH730,27,FALSE)-AVERAGE('The List'!AB2:AB730))/STDEV('The List'!AB2:AB730)</f>
        <v>-1.0567686115936734</v>
      </c>
      <c r="P43" s="38">
        <f>(VLOOKUP($A43,'The List'!$B1:$AH730,28,FALSE)-AVERAGE('The List'!AC2:AC730))/STDEV('The List'!AC2:AC730)</f>
        <v>0.74454594744717706</v>
      </c>
      <c r="Q43" s="38">
        <f>(VLOOKUP($A43,'The List'!$B1:$AH730,29,FALSE)-AVERAGE('The List'!AD2:AD730))/STDEV('The List'!AD2:AD730)</f>
        <v>-0.24684483226039244</v>
      </c>
      <c r="R43" s="38">
        <f>(VLOOKUP($A43,'The List'!$B1:$AH730,30,FALSE)-AVERAGE('The List'!AE2:AE730))/STDEV('The List'!AE2:AE730)</f>
        <v>0.42011950210419774</v>
      </c>
      <c r="S43" s="38">
        <f>(VLOOKUP($A43,'The List'!$B1:$AH730,31,FALSE)-AVERAGE('The List'!AF2:AF730))/STDEV('The List'!AF2:AF730)</f>
        <v>-0.56911587195029545</v>
      </c>
      <c r="T43" s="38">
        <f>(VLOOKUP($A43,'The List'!$B1:$AH730,32,FALSE)-AVERAGE('The List'!AG2:AG730))/STDEV('The List'!AG2:AG730)</f>
        <v>-0.61103706232955357</v>
      </c>
      <c r="U43" s="38">
        <f>(VLOOKUP($A43,'The List'!$B1:$AH730,33,FALSE)-AVERAGE('The List'!AH2:AH730))/STDEV('The List'!AH2:AH730)</f>
        <v>-1.2363238714825984</v>
      </c>
      <c r="V43" s="38"/>
      <c r="W43" s="42"/>
      <c r="X43" s="40"/>
      <c r="Y43" s="40"/>
      <c r="Z43" s="40"/>
      <c r="AA43" s="40"/>
      <c r="AB43" s="40"/>
      <c r="AC43" s="43"/>
      <c r="AD43" s="44"/>
      <c r="AE43" s="38"/>
    </row>
    <row r="44" spans="1:31" ht="21.2" customHeight="1">
      <c r="A44" s="8" t="s">
        <v>223</v>
      </c>
      <c r="B44" s="34" t="str">
        <f>VLOOKUP(A44,'Player Data'!A1:B734,2,FALSE)</f>
        <v>ARI</v>
      </c>
      <c r="C44" s="36">
        <f>((E44)*Settings!$C$12)+(F44*Settings!$C$2)+(G44*Settings!$C$3)+(H44*Settings!$C$4)+(I44*Settings!$C$5)+(K44*Settings!$C$9)+(N44*Settings!$C$6)+(J44*Settings!$C$8)+(O44*Settings!$C$7)+(P44*Settings!$C$14)+(Q44*Settings!$C$15)+(R44*Settings!$C$16)+(S44*Settings!$C$17)+(T44*Settings!$C$18)+(U44*Settings!$C$19)+(L44*Settings!$C$10)+(Settings!$C$11*M44)</f>
        <v>6.2802587190110808</v>
      </c>
      <c r="D44" s="40">
        <f>IF(Settings!$E$12="YES",VLOOKUP(A44,'Player Data'!A1:E734,5,FALSE),82)</f>
        <v>82</v>
      </c>
      <c r="E44" s="38">
        <f>(VLOOKUP($A44,'The List'!$B1:$AH730,17,FALSE)-AVERAGE('The List'!R2:R730))/STDEV('The List'!R2:R730)</f>
        <v>0.89249631481151204</v>
      </c>
      <c r="F44" s="38">
        <f>(VLOOKUP($A44,'The List'!$B1:$AH730,18,FALSE)-AVERAGE('The List'!S2:S730))/STDEV('The List'!S2:S730)</f>
        <v>1.4487330195246426</v>
      </c>
      <c r="G44" s="38">
        <f>(VLOOKUP($A44,'The List'!$B1:$AH730,19,FALSE)-AVERAGE('The List'!T2:T730))/STDEV('The List'!T2:T730)</f>
        <v>1.6651649591918869</v>
      </c>
      <c r="H44" s="38">
        <f>(VLOOKUP($A44,'The List'!$B1:$AH730,20,FALSE)-AVERAGE('The List'!U2:U730))/STDEV('The List'!U2:U730)</f>
        <v>1.6967864196429243</v>
      </c>
      <c r="I44" s="38">
        <f>(VLOOKUP($A44,'The List'!$B1:$AH730,21,FALSE)-AVERAGE('The List'!V2:V730))/STDEV('The List'!V2:V730)</f>
        <v>0.66083622502829864</v>
      </c>
      <c r="J44" s="38">
        <f>(VLOOKUP($A44,'The List'!$B1:$AH730,22,FALSE)-AVERAGE('The List'!W2:W730))/STDEV('The List'!W2:W730)</f>
        <v>1.2544262068445566</v>
      </c>
      <c r="K44" s="38">
        <f>(VLOOKUP($A44,'The List'!$B1:$AH730,23,FALSE)-AVERAGE('The List'!X2:X730))/STDEV('The List'!X2:X730)</f>
        <v>0.80873809562332799</v>
      </c>
      <c r="L44" s="38">
        <f>(VLOOKUP($A44,'The List'!$B1:$AH730,24,FALSE)-AVERAGE('The List'!Y2:Y730))/STDEV('The List'!Y2:Y730)</f>
        <v>-0.34544538254529777</v>
      </c>
      <c r="M44" s="38">
        <f>(VLOOKUP($A44,'The List'!$B1:$AH730,25,FALSE)-AVERAGE('The List'!Z2:Z730))/STDEV('The List'!Z2:Z730)</f>
        <v>8.8915245960827768E-2</v>
      </c>
      <c r="N44" s="38">
        <f>(VLOOKUP($A44,'The List'!$B1:$AH730,26,FALSE)-AVERAGE('The List'!AA2:AA730))/STDEV('The List'!AA2:AA730)</f>
        <v>-0.66329750583499147</v>
      </c>
      <c r="O44" s="38">
        <f>(VLOOKUP($A44,'The List'!$B1:$AH730,27,FALSE)-AVERAGE('The List'!AB2:AB730))/STDEV('The List'!AB2:AB730)</f>
        <v>-1.5432152502536978</v>
      </c>
      <c r="P44" s="38">
        <f>(VLOOKUP($A44,'The List'!$B1:$AH730,28,FALSE)-AVERAGE('The List'!AC2:AC730))/STDEV('The List'!AC2:AC730)</f>
        <v>-0.34851448985826572</v>
      </c>
      <c r="Q44" s="38">
        <f>(VLOOKUP($A44,'The List'!$B1:$AH730,29,FALSE)-AVERAGE('The List'!AD2:AD730))/STDEV('The List'!AD2:AD730)</f>
        <v>-0.4548058015332328</v>
      </c>
      <c r="R44" s="38">
        <f>(VLOOKUP($A44,'The List'!$B1:$AH730,30,FALSE)-AVERAGE('The List'!AE2:AE730))/STDEV('The List'!AE2:AE730)</f>
        <v>1.064859347469753</v>
      </c>
      <c r="S44" s="38">
        <f>(VLOOKUP($A44,'The List'!$B1:$AH730,31,FALSE)-AVERAGE('The List'!AF2:AF730))/STDEV('The List'!AF2:AF730)</f>
        <v>-4.8173071660310519E-2</v>
      </c>
      <c r="T44" s="38">
        <f>(VLOOKUP($A44,'The List'!$B1:$AH730,32,FALSE)-AVERAGE('The List'!AG2:AG730))/STDEV('The List'!AG2:AG730)</f>
        <v>8.994071735261884E-2</v>
      </c>
      <c r="U44" s="38">
        <f>(VLOOKUP($A44,'The List'!$B1:$AH730,33,FALSE)-AVERAGE('The List'!AH2:AH730))/STDEV('The List'!AH2:AH730)</f>
        <v>0.73745111361201177</v>
      </c>
      <c r="V44" s="38"/>
      <c r="W44" s="40"/>
      <c r="X44" s="38"/>
      <c r="Y44" s="38"/>
      <c r="Z44" s="38"/>
      <c r="AA44" s="38"/>
      <c r="AB44" s="38"/>
      <c r="AC44" s="38"/>
      <c r="AD44" s="38"/>
      <c r="AE44" s="38"/>
    </row>
    <row r="45" spans="1:31" ht="21.2" customHeight="1">
      <c r="A45" s="8" t="s">
        <v>179</v>
      </c>
      <c r="B45" s="34" t="str">
        <f>VLOOKUP(A45,'Player Data'!A1:B734,2,FALSE)</f>
        <v>BOS</v>
      </c>
      <c r="C45" s="36">
        <f>((E45)*Settings!$C$12)+(F45*Settings!$C$2)+(G45*Settings!$C$3)+(H45*Settings!$C$4)+(I45*Settings!$C$5)+(K45*Settings!$C$9)+(N45*Settings!$C$6)+(J45*Settings!$C$8)+(O45*Settings!$C$7)+(P45*Settings!$C$14)+(Q45*Settings!$C$15)+(R45*Settings!$C$16)+(S45*Settings!$C$17)+(T45*Settings!$C$18)+(U45*Settings!$C$19)+(L45*Settings!$C$10)+(Settings!$C$11*M45)</f>
        <v>8.1381961935848466</v>
      </c>
      <c r="D45" s="40">
        <f>IF(Settings!$E$12="YES",VLOOKUP(A45,'Player Data'!A1:E734,5,FALSE),82)</f>
        <v>82</v>
      </c>
      <c r="E45" s="38">
        <f>(VLOOKUP($A45,'The List'!$B1:$AH730,17,FALSE)-AVERAGE('The List'!R2:R730))/STDEV('The List'!R2:R730)</f>
        <v>0.59880677402151317</v>
      </c>
      <c r="F45" s="38">
        <f>(VLOOKUP($A45,'The List'!$B1:$AH730,18,FALSE)-AVERAGE('The List'!S2:S730))/STDEV('The List'!S2:S730)</f>
        <v>1.2435787496499884</v>
      </c>
      <c r="G45" s="38">
        <f>(VLOOKUP($A45,'The List'!$B1:$AH730,19,FALSE)-AVERAGE('The List'!T2:T730))/STDEV('The List'!T2:T730)</f>
        <v>1.8177527567087397</v>
      </c>
      <c r="H45" s="38">
        <f>(VLOOKUP($A45,'The List'!$B1:$AH730,20,FALSE)-AVERAGE('The List'!U2:U730))/STDEV('The List'!U2:U730)</f>
        <v>1.6951869167221225</v>
      </c>
      <c r="I45" s="38">
        <f>(VLOOKUP($A45,'The List'!$B1:$AH730,21,FALSE)-AVERAGE('The List'!V2:V730))/STDEV('The List'!V2:V730)</f>
        <v>1.3031409282427748</v>
      </c>
      <c r="J45" s="38">
        <f>(VLOOKUP($A45,'The List'!$B1:$AH730,22,FALSE)-AVERAGE('The List'!W2:W730))/STDEV('The List'!W2:W730)</f>
        <v>1.3168539730183428</v>
      </c>
      <c r="K45" s="38">
        <f>(VLOOKUP($A45,'The List'!$B1:$AH730,23,FALSE)-AVERAGE('The List'!X2:X730))/STDEV('The List'!X2:X730)</f>
        <v>2.0785368422612214</v>
      </c>
      <c r="L45" s="38">
        <f>(VLOOKUP($A45,'The List'!$B1:$AH730,24,FALSE)-AVERAGE('The List'!Y2:Y730))/STDEV('The List'!Y2:Y730)</f>
        <v>1.1560686728251877</v>
      </c>
      <c r="M45" s="38">
        <f>(VLOOKUP($A45,'The List'!$B1:$AH730,25,FALSE)-AVERAGE('The List'!Z2:Z730))/STDEV('The List'!Z2:Z730)</f>
        <v>1.1881923787055568</v>
      </c>
      <c r="N45" s="38">
        <f>(VLOOKUP($A45,'The List'!$B1:$AH730,26,FALSE)-AVERAGE('The List'!AA2:AA730))/STDEV('The List'!AA2:AA730)</f>
        <v>-0.9454506402068289</v>
      </c>
      <c r="O45" s="38">
        <f>(VLOOKUP($A45,'The List'!$B1:$AH730,27,FALSE)-AVERAGE('The List'!AB2:AB730))/STDEV('The List'!AB2:AB730)</f>
        <v>-0.20832930532499958</v>
      </c>
      <c r="P45" s="38">
        <f>(VLOOKUP($A45,'The List'!$B1:$AH730,28,FALSE)-AVERAGE('The List'!AC2:AC730))/STDEV('The List'!AC2:AC730)</f>
        <v>1.6779153349574996</v>
      </c>
      <c r="Q45" s="38">
        <f>(VLOOKUP($A45,'The List'!$B1:$AH730,29,FALSE)-AVERAGE('The List'!AD2:AD730))/STDEV('The List'!AD2:AD730)</f>
        <v>2.5094537158494963</v>
      </c>
      <c r="R45" s="38">
        <f>(VLOOKUP($A45,'The List'!$B1:$AH730,30,FALSE)-AVERAGE('The List'!AE2:AE730))/STDEV('The List'!AE2:AE730)</f>
        <v>1.6057150525032913</v>
      </c>
      <c r="S45" s="38">
        <f>(VLOOKUP($A45,'The List'!$B1:$AH730,31,FALSE)-AVERAGE('The List'!AF2:AF730))/STDEV('The List'!AF2:AF730)</f>
        <v>-0.4677735481518695</v>
      </c>
      <c r="T45" s="38">
        <f>(VLOOKUP($A45,'The List'!$B1:$AH730,32,FALSE)-AVERAGE('The List'!AG2:AG730))/STDEV('The List'!AG2:AG730)</f>
        <v>-0.42241086421543012</v>
      </c>
      <c r="U45" s="38">
        <f>(VLOOKUP($A45,'The List'!$B1:$AH730,33,FALSE)-AVERAGE('The List'!AH2:AH730))/STDEV('The List'!AH2:AH730)</f>
        <v>0.37105723424675169</v>
      </c>
      <c r="V45" s="38"/>
      <c r="W45" s="40"/>
      <c r="X45" s="38"/>
      <c r="Y45" s="38"/>
      <c r="Z45" s="38"/>
      <c r="AA45" s="38"/>
      <c r="AB45" s="38"/>
      <c r="AC45" s="38"/>
      <c r="AD45" s="38"/>
      <c r="AE45" s="38"/>
    </row>
    <row r="46" spans="1:31" ht="21.2" customHeight="1">
      <c r="A46" s="8" t="s">
        <v>195</v>
      </c>
      <c r="B46" s="34" t="str">
        <f>VLOOKUP(A46,'Player Data'!A1:B734,2,FALSE)</f>
        <v>VGK</v>
      </c>
      <c r="C46" s="36">
        <f>((E46)*Settings!$C$12)+(F46*Settings!$C$2)+(G46*Settings!$C$3)+(H46*Settings!$C$4)+(I46*Settings!$C$5)+(K46*Settings!$C$9)+(N46*Settings!$C$6)+(J46*Settings!$C$8)+(O46*Settings!$C$7)+(P46*Settings!$C$14)+(Q46*Settings!$C$15)+(R46*Settings!$C$16)+(S46*Settings!$C$17)+(T46*Settings!$C$18)+(U46*Settings!$C$19)+(L46*Settings!$C$10)+(Settings!$C$11*M46)</f>
        <v>9.0706381514518206</v>
      </c>
      <c r="D46" s="40">
        <f>IF(Settings!$E$12="YES",VLOOKUP(A46,'Player Data'!A1:E734,5,FALSE),82)</f>
        <v>82</v>
      </c>
      <c r="E46" s="38">
        <f>(VLOOKUP($A46,'The List'!$B1:$AH730,17,FALSE)-AVERAGE('The List'!R2:R730))/STDEV('The List'!R2:R730)</f>
        <v>0.75048345317008125</v>
      </c>
      <c r="F46" s="38">
        <f>(VLOOKUP($A46,'The List'!$B1:$AH730,18,FALSE)-AVERAGE('The List'!S2:S730))/STDEV('The List'!S2:S730)</f>
        <v>1.7726310308392046</v>
      </c>
      <c r="G46" s="38">
        <f>(VLOOKUP($A46,'The List'!$B1:$AH730,19,FALSE)-AVERAGE('The List'!T2:T730))/STDEV('The List'!T2:T730)</f>
        <v>1.6932499544369095</v>
      </c>
      <c r="H46" s="38">
        <f>(VLOOKUP($A46,'The List'!$B1:$AH730,20,FALSE)-AVERAGE('The List'!U2:U730))/STDEV('The List'!U2:U730)</f>
        <v>1.8646172353130868</v>
      </c>
      <c r="I46" s="38">
        <f>(VLOOKUP($A46,'The List'!$B1:$AH730,21,FALSE)-AVERAGE('The List'!V2:V730))/STDEV('The List'!V2:V730)</f>
        <v>2.3390554082223156</v>
      </c>
      <c r="J46" s="38">
        <f>(VLOOKUP($A46,'The List'!$B1:$AH730,22,FALSE)-AVERAGE('The List'!W2:W730))/STDEV('The List'!W2:W730)</f>
        <v>0.57810977841129496</v>
      </c>
      <c r="K46" s="38">
        <f>(VLOOKUP($A46,'The List'!$B1:$AH730,23,FALSE)-AVERAGE('The List'!X2:X730))/STDEV('The List'!X2:X730)</f>
        <v>1.4010845226403044</v>
      </c>
      <c r="L46" s="38">
        <f>(VLOOKUP($A46,'The List'!$B1:$AH730,24,FALSE)-AVERAGE('The List'!Y2:Y730))/STDEV('The List'!Y2:Y730)</f>
        <v>-0.27038721238865515</v>
      </c>
      <c r="M46" s="38">
        <f>(VLOOKUP($A46,'The List'!$B1:$AH730,25,FALSE)-AVERAGE('The List'!Z2:Z730))/STDEV('The List'!Z2:Z730)</f>
        <v>-0.38924877548862036</v>
      </c>
      <c r="N46" s="38">
        <f>(VLOOKUP($A46,'The List'!$B1:$AH730,26,FALSE)-AVERAGE('The List'!AA2:AA730))/STDEV('The List'!AA2:AA730)</f>
        <v>5.210964249836722E-2</v>
      </c>
      <c r="O46" s="38">
        <f>(VLOOKUP($A46,'The List'!$B1:$AH730,27,FALSE)-AVERAGE('The List'!AB2:AB730))/STDEV('The List'!AB2:AB730)</f>
        <v>-0.434620155503044</v>
      </c>
      <c r="P46" s="38">
        <f>(VLOOKUP($A46,'The List'!$B1:$AH730,28,FALSE)-AVERAGE('The List'!AC2:AC730))/STDEV('The List'!AC2:AC730)</f>
        <v>1.5189701971592471</v>
      </c>
      <c r="Q46" s="38">
        <f>(VLOOKUP($A46,'The List'!$B1:$AH730,29,FALSE)-AVERAGE('The List'!AD2:AD730))/STDEV('The List'!AD2:AD730)</f>
        <v>-1.0180278390691833</v>
      </c>
      <c r="R46" s="38">
        <f>(VLOOKUP($A46,'The List'!$B1:$AH730,30,FALSE)-AVERAGE('The List'!AE2:AE730))/STDEV('The List'!AE2:AE730)</f>
        <v>2.0929771561587249</v>
      </c>
      <c r="S46" s="38">
        <f>(VLOOKUP($A46,'The List'!$B1:$AH730,31,FALSE)-AVERAGE('The List'!AF2:AF730))/STDEV('The List'!AF2:AF730)</f>
        <v>1.6551293242407024</v>
      </c>
      <c r="T46" s="38">
        <f>(VLOOKUP($A46,'The List'!$B1:$AH730,32,FALSE)-AVERAGE('The List'!AG2:AG730))/STDEV('The List'!AG2:AG730)</f>
        <v>2.0527789216910142</v>
      </c>
      <c r="U46" s="38">
        <f>(VLOOKUP($A46,'The List'!$B1:$AH730,33,FALSE)-AVERAGE('The List'!AH2:AH730))/STDEV('The List'!AH2:AH730)</f>
        <v>0.87248905766296447</v>
      </c>
      <c r="V46" s="38"/>
      <c r="W46" s="42"/>
      <c r="X46" s="40"/>
      <c r="Y46" s="40"/>
      <c r="Z46" s="40"/>
      <c r="AA46" s="40"/>
      <c r="AB46" s="40"/>
      <c r="AC46" s="43"/>
      <c r="AD46" s="44"/>
      <c r="AE46" s="38"/>
    </row>
    <row r="47" spans="1:31" ht="21.2" customHeight="1">
      <c r="A47" s="8" t="s">
        <v>187</v>
      </c>
      <c r="B47" s="34" t="str">
        <f>VLOOKUP(A47,'Player Data'!A1:B734,2,FALSE)</f>
        <v>ANA</v>
      </c>
      <c r="C47" s="36">
        <f>((E47)*Settings!$C$12)+(F47*Settings!$C$2)+(G47*Settings!$C$3)+(H47*Settings!$C$4)+(I47*Settings!$C$5)+(K47*Settings!$C$9)+(N47*Settings!$C$6)+(J47*Settings!$C$8)+(O47*Settings!$C$7)+(P47*Settings!$C$14)+(Q47*Settings!$C$15)+(R47*Settings!$C$16)+(S47*Settings!$C$17)+(T47*Settings!$C$18)+(U47*Settings!$C$19)+(L47*Settings!$C$10)+(Settings!$C$11*M47)</f>
        <v>7.1688647251580715</v>
      </c>
      <c r="D47" s="40">
        <f>IF(Settings!$E$12="YES",VLOOKUP(A47,'Player Data'!A1:E734,5,FALSE),82)</f>
        <v>82</v>
      </c>
      <c r="E47" s="38">
        <f>(VLOOKUP($A47,'The List'!$B1:$AH730,17,FALSE)-AVERAGE('The List'!R2:R730))/STDEV('The List'!R2:R730)</f>
        <v>0.87992799103612795</v>
      </c>
      <c r="F47" s="38">
        <f>(VLOOKUP($A47,'The List'!$B1:$AH730,18,FALSE)-AVERAGE('The List'!S2:S730))/STDEV('The List'!S2:S730)</f>
        <v>1.8798846192379433</v>
      </c>
      <c r="G47" s="38">
        <f>(VLOOKUP($A47,'The List'!$B1:$AH730,19,FALSE)-AVERAGE('The List'!T2:T730))/STDEV('The List'!T2:T730)</f>
        <v>1.3164916993648532</v>
      </c>
      <c r="H47" s="38">
        <f>(VLOOKUP($A47,'The List'!$B1:$AH730,20,FALSE)-AVERAGE('The List'!U2:U730))/STDEV('The List'!U2:U730)</f>
        <v>1.6829437778368384</v>
      </c>
      <c r="I47" s="38">
        <f>(VLOOKUP($A47,'The List'!$B1:$AH730,21,FALSE)-AVERAGE('The List'!V2:V730))/STDEV('The List'!V2:V730)</f>
        <v>1.3422446173745395</v>
      </c>
      <c r="J47" s="38">
        <f>(VLOOKUP($A47,'The List'!$B1:$AH730,22,FALSE)-AVERAGE('The List'!W2:W730))/STDEV('The List'!W2:W730)</f>
        <v>1.3585159221987437</v>
      </c>
      <c r="K47" s="38">
        <f>(VLOOKUP($A47,'The List'!$B1:$AH730,23,FALSE)-AVERAGE('The List'!X2:X730))/STDEV('The List'!X2:X730)</f>
        <v>0.94730001134389641</v>
      </c>
      <c r="L47" s="38">
        <f>(VLOOKUP($A47,'The List'!$B1:$AH730,24,FALSE)-AVERAGE('The List'!Y2:Y730))/STDEV('The List'!Y2:Y730)</f>
        <v>-0.39683381272634527</v>
      </c>
      <c r="M47" s="38">
        <f>(VLOOKUP($A47,'The List'!$B1:$AH730,25,FALSE)-AVERAGE('The List'!Z2:Z730))/STDEV('The List'!Z2:Z730)</f>
        <v>-0.5505764128664461</v>
      </c>
      <c r="N47" s="38">
        <f>(VLOOKUP($A47,'The List'!$B1:$AH730,26,FALSE)-AVERAGE('The List'!AA2:AA730))/STDEV('The List'!AA2:AA730)</f>
        <v>-0.86135263511059923</v>
      </c>
      <c r="O47" s="38">
        <f>(VLOOKUP($A47,'The List'!$B1:$AH730,27,FALSE)-AVERAGE('The List'!AB2:AB730))/STDEV('The List'!AB2:AB730)</f>
        <v>-1.6440637665476201</v>
      </c>
      <c r="P47" s="38">
        <f>(VLOOKUP($A47,'The List'!$B1:$AH730,28,FALSE)-AVERAGE('The List'!AC2:AC730))/STDEV('The List'!AC2:AC730)</f>
        <v>-1.6480447452149993</v>
      </c>
      <c r="Q47" s="38">
        <f>(VLOOKUP($A47,'The List'!$B1:$AH730,29,FALSE)-AVERAGE('The List'!AD2:AD730))/STDEV('The List'!AD2:AD730)</f>
        <v>-0.16688080160662783</v>
      </c>
      <c r="R47" s="38">
        <f>(VLOOKUP($A47,'The List'!$B1:$AH730,30,FALSE)-AVERAGE('The List'!AE2:AE730))/STDEV('The List'!AE2:AE730)</f>
        <v>0.77721598493397459</v>
      </c>
      <c r="S47" s="38">
        <f>(VLOOKUP($A47,'The List'!$B1:$AH730,31,FALSE)-AVERAGE('The List'!AF2:AF730))/STDEV('The List'!AF2:AF730)</f>
        <v>-0.55752061135736797</v>
      </c>
      <c r="T47" s="38">
        <f>(VLOOKUP($A47,'The List'!$B1:$AH730,32,FALSE)-AVERAGE('The List'!AG2:AG730))/STDEV('The List'!AG2:AG730)</f>
        <v>-0.60633481274834922</v>
      </c>
      <c r="U47" s="38">
        <f>(VLOOKUP($A47,'The List'!$B1:$AH730,33,FALSE)-AVERAGE('The List'!AH2:AH730))/STDEV('The List'!AH2:AH730)</f>
        <v>1.3900707722077723</v>
      </c>
      <c r="V47" s="38"/>
      <c r="W47" s="40"/>
      <c r="X47" s="38"/>
      <c r="Y47" s="38"/>
      <c r="Z47" s="38"/>
      <c r="AA47" s="38"/>
      <c r="AB47" s="38"/>
      <c r="AC47" s="38"/>
      <c r="AD47" s="38"/>
      <c r="AE47" s="38"/>
    </row>
    <row r="48" spans="1:31" ht="21.2" customHeight="1">
      <c r="A48" s="8" t="s">
        <v>157</v>
      </c>
      <c r="B48" s="34" t="str">
        <f>VLOOKUP(A48,'Player Data'!A1:B734,2,FALSE)</f>
        <v>EDM</v>
      </c>
      <c r="C48" s="36">
        <f>((E48)*Settings!$C$12)+(F48*Settings!$C$2)+(G48*Settings!$C$3)+(H48*Settings!$C$4)+(I48*Settings!$C$5)+(K48*Settings!$C$9)+(N48*Settings!$C$6)+(J48*Settings!$C$8)+(O48*Settings!$C$7)+(P48*Settings!$C$14)+(Q48*Settings!$C$15)+(R48*Settings!$C$16)+(S48*Settings!$C$17)+(T48*Settings!$C$18)+(U48*Settings!$C$19)+(L48*Settings!$C$10)+(Settings!$C$11*M48)</f>
        <v>8.6077746386592171</v>
      </c>
      <c r="D48" s="40">
        <f>IF(Settings!$E$12="YES",VLOOKUP(A48,'Player Data'!A1:E734,5,FALSE),82)</f>
        <v>82</v>
      </c>
      <c r="E48" s="38">
        <f>(VLOOKUP($A48,'The List'!$B1:$AH730,17,FALSE)-AVERAGE('The List'!R2:R730))/STDEV('The List'!R2:R730)</f>
        <v>0.97482105155507015</v>
      </c>
      <c r="F48" s="38">
        <f>(VLOOKUP($A48,'The List'!$B1:$AH730,18,FALSE)-AVERAGE('The List'!S2:S730))/STDEV('The List'!S2:S730)</f>
        <v>1.9403856457687674</v>
      </c>
      <c r="G48" s="38">
        <f>(VLOOKUP($A48,'The List'!$B1:$AH730,19,FALSE)-AVERAGE('The List'!T2:T730))/STDEV('The List'!T2:T730)</f>
        <v>1.2689078093498665</v>
      </c>
      <c r="H48" s="38">
        <f>(VLOOKUP($A48,'The List'!$B1:$AH730,20,FALSE)-AVERAGE('The List'!U2:U730))/STDEV('The List'!U2:U730)</f>
        <v>1.6818269069705718</v>
      </c>
      <c r="I48" s="38">
        <f>(VLOOKUP($A48,'The List'!$B1:$AH730,21,FALSE)-AVERAGE('The List'!V2:V730))/STDEV('The List'!V2:V730)</f>
        <v>2.1654221366406317</v>
      </c>
      <c r="J48" s="38">
        <f>(VLOOKUP($A48,'The List'!$B1:$AH730,22,FALSE)-AVERAGE('The List'!W2:W730))/STDEV('The List'!W2:W730)</f>
        <v>2.5905798902000075</v>
      </c>
      <c r="K48" s="38">
        <f>(VLOOKUP($A48,'The List'!$B1:$AH730,23,FALSE)-AVERAGE('The List'!X2:X730))/STDEV('The List'!X2:X730)</f>
        <v>1.5512321399293791</v>
      </c>
      <c r="L48" s="38">
        <f>(VLOOKUP($A48,'The List'!$B1:$AH730,24,FALSE)-AVERAGE('The List'!Y2:Y730))/STDEV('The List'!Y2:Y730)</f>
        <v>-0.28252127207611782</v>
      </c>
      <c r="M48" s="38">
        <f>(VLOOKUP($A48,'The List'!$B1:$AH730,25,FALSE)-AVERAGE('The List'!Z2:Z730))/STDEV('The List'!Z2:Z730)</f>
        <v>-0.13927927192574457</v>
      </c>
      <c r="N48" s="38">
        <f>(VLOOKUP($A48,'The List'!$B1:$AH730,26,FALSE)-AVERAGE('The List'!AA2:AA730))/STDEV('The List'!AA2:AA730)</f>
        <v>-0.98269799856492257</v>
      </c>
      <c r="O48" s="38">
        <f>(VLOOKUP($A48,'The List'!$B1:$AH730,27,FALSE)-AVERAGE('The List'!AB2:AB730))/STDEV('The List'!AB2:AB730)</f>
        <v>-0.41227951655476891</v>
      </c>
      <c r="P48" s="38">
        <f>(VLOOKUP($A48,'The List'!$B1:$AH730,28,FALSE)-AVERAGE('The List'!AC2:AC730))/STDEV('The List'!AC2:AC730)</f>
        <v>1.8126802319182049</v>
      </c>
      <c r="Q48" s="38">
        <f>(VLOOKUP($A48,'The List'!$B1:$AH730,29,FALSE)-AVERAGE('The List'!AD2:AD730))/STDEV('The List'!AD2:AD730)</f>
        <v>0.53233218941150517</v>
      </c>
      <c r="R48" s="38">
        <f>(VLOOKUP($A48,'The List'!$B1:$AH730,30,FALSE)-AVERAGE('The List'!AE2:AE730))/STDEV('The List'!AE2:AE730)</f>
        <v>2.160749030396734</v>
      </c>
      <c r="S48" s="38">
        <f>(VLOOKUP($A48,'The List'!$B1:$AH730,31,FALSE)-AVERAGE('The List'!AF2:AF730))/STDEV('The List'!AF2:AF730)</f>
        <v>-0.49763998417734057</v>
      </c>
      <c r="T48" s="38">
        <f>(VLOOKUP($A48,'The List'!$B1:$AH730,32,FALSE)-AVERAGE('The List'!AG2:AG730))/STDEV('The List'!AG2:AG730)</f>
        <v>-0.5296979193944803</v>
      </c>
      <c r="U48" s="38">
        <f>(VLOOKUP($A48,'The List'!$B1:$AH730,33,FALSE)-AVERAGE('The List'!AH2:AH730))/STDEV('The List'!AH2:AH730)</f>
        <v>0.87680883636303808</v>
      </c>
      <c r="V48" s="38"/>
      <c r="W48" s="42"/>
      <c r="X48" s="40"/>
      <c r="Y48" s="40"/>
      <c r="Z48" s="40"/>
      <c r="AA48" s="40"/>
      <c r="AB48" s="40"/>
      <c r="AC48" s="43"/>
      <c r="AD48" s="44"/>
      <c r="AE48" s="38"/>
    </row>
    <row r="49" spans="1:31" ht="21.2" customHeight="1">
      <c r="A49" s="8" t="s">
        <v>113</v>
      </c>
      <c r="B49" s="34" t="str">
        <f>VLOOKUP(A49,'Player Data'!A1:B734,2,FALSE)</f>
        <v>NSH</v>
      </c>
      <c r="C49" s="36">
        <f>((E49)*Settings!$C$12)+(F49*Settings!$C$2)+(G49*Settings!$C$3)+(H49*Settings!$C$4)+(I49*Settings!$C$5)+(K49*Settings!$C$9)+(N49*Settings!$C$6)+(J49*Settings!$C$8)+(O49*Settings!$C$7)+(P49*Settings!$C$14)+(Q49*Settings!$C$15)+(R49*Settings!$C$16)+(S49*Settings!$C$17)+(T49*Settings!$C$18)+(U49*Settings!$C$19)+(L49*Settings!$C$10)+(Settings!$C$11*M49)</f>
        <v>9.2616217428406955</v>
      </c>
      <c r="D49" s="40">
        <f>IF(Settings!$E$12="YES",VLOOKUP(A49,'Player Data'!A1:E734,5,FALSE),82)</f>
        <v>82</v>
      </c>
      <c r="E49" s="38">
        <f>(VLOOKUP($A49,'The List'!$B1:$AH730,17,FALSE)-AVERAGE('The List'!R2:R730))/STDEV('The List'!R2:R730)</f>
        <v>2.3459941813788552</v>
      </c>
      <c r="F49" s="38">
        <f>(VLOOKUP($A49,'The List'!$B1:$AH730,18,FALSE)-AVERAGE('The List'!S2:S730))/STDEV('The List'!S2:S730)</f>
        <v>0.4989824059803723</v>
      </c>
      <c r="G49" s="38">
        <f>(VLOOKUP($A49,'The List'!$B1:$AH730,19,FALSE)-AVERAGE('The List'!T2:T730))/STDEV('The List'!T2:T730)</f>
        <v>2.3051699960982215</v>
      </c>
      <c r="H49" s="38">
        <f>(VLOOKUP($A49,'The List'!$B1:$AH730,20,FALSE)-AVERAGE('The List'!U2:U730))/STDEV('The List'!U2:U730)</f>
        <v>1.6485811535992694</v>
      </c>
      <c r="I49" s="38">
        <f>(VLOOKUP($A49,'The List'!$B1:$AH730,21,FALSE)-AVERAGE('The List'!V2:V730))/STDEV('The List'!V2:V730)</f>
        <v>2.5578809194682348</v>
      </c>
      <c r="J49" s="38">
        <f>(VLOOKUP($A49,'The List'!$B1:$AH730,22,FALSE)-AVERAGE('The List'!W2:W730))/STDEV('The List'!W2:W730)</f>
        <v>1.5181250442291796</v>
      </c>
      <c r="K49" s="38">
        <f>(VLOOKUP($A49,'The List'!$B1:$AH730,23,FALSE)-AVERAGE('The List'!X2:X730))/STDEV('The List'!X2:X730)</f>
        <v>2.2510072676945985</v>
      </c>
      <c r="L49" s="38">
        <f>(VLOOKUP($A49,'The List'!$B1:$AH730,24,FALSE)-AVERAGE('The List'!Y2:Y730))/STDEV('The List'!Y2:Y730)</f>
        <v>-0.52143307853184173</v>
      </c>
      <c r="M49" s="38">
        <f>(VLOOKUP($A49,'The List'!$B1:$AH730,25,FALSE)-AVERAGE('The List'!Z2:Z730))/STDEV('The List'!Z2:Z730)</f>
        <v>-0.55236390021949322</v>
      </c>
      <c r="N49" s="38">
        <f>(VLOOKUP($A49,'The List'!$B1:$AH730,26,FALSE)-AVERAGE('The List'!AA2:AA730))/STDEV('The List'!AA2:AA730)</f>
        <v>2.1823913324586068</v>
      </c>
      <c r="O49" s="38">
        <f>(VLOOKUP($A49,'The List'!$B1:$AH730,27,FALSE)-AVERAGE('The List'!AB2:AB730))/STDEV('The List'!AB2:AB730)</f>
        <v>-0.57488042331791589</v>
      </c>
      <c r="P49" s="38">
        <f>(VLOOKUP($A49,'The List'!$B1:$AH730,28,FALSE)-AVERAGE('The List'!AC2:AC730))/STDEV('The List'!AC2:AC730)</f>
        <v>0.3363589267909155</v>
      </c>
      <c r="Q49" s="38">
        <f>(VLOOKUP($A49,'The List'!$B1:$AH730,29,FALSE)-AVERAGE('The List'!AD2:AD730))/STDEV('The List'!AD2:AD730)</f>
        <v>0.71788989551522175</v>
      </c>
      <c r="R49" s="38">
        <f>(VLOOKUP($A49,'The List'!$B1:$AH730,30,FALSE)-AVERAGE('The List'!AE2:AE730))/STDEV('The List'!AE2:AE730)</f>
        <v>0.52568677840594846</v>
      </c>
      <c r="S49" s="38">
        <f>(VLOOKUP($A49,'The List'!$B1:$AH730,31,FALSE)-AVERAGE('The List'!AF2:AF730))/STDEV('The List'!AF2:AF730)</f>
        <v>-0.56911587195029545</v>
      </c>
      <c r="T49" s="38">
        <f>(VLOOKUP($A49,'The List'!$B1:$AH730,32,FALSE)-AVERAGE('The List'!AG2:AG730))/STDEV('The List'!AG2:AG730)</f>
        <v>-0.61510119871956948</v>
      </c>
      <c r="U49" s="38">
        <f>(VLOOKUP($A49,'The List'!$B1:$AH730,33,FALSE)-AVERAGE('The List'!AH2:AH730))/STDEV('The List'!AH2:AH730)</f>
        <v>-1.2363238714825984</v>
      </c>
      <c r="V49" s="38"/>
      <c r="W49" s="42"/>
      <c r="X49" s="40"/>
      <c r="Y49" s="40"/>
      <c r="Z49" s="40"/>
      <c r="AA49" s="40"/>
      <c r="AB49" s="40"/>
      <c r="AC49" s="43"/>
      <c r="AD49" s="44"/>
      <c r="AE49" s="38"/>
    </row>
    <row r="50" spans="1:31" ht="21.2" customHeight="1">
      <c r="A50" s="8" t="s">
        <v>125</v>
      </c>
      <c r="B50" s="34" t="str">
        <f>VLOOKUP(A50,'Player Data'!A1:B734,2,FALSE)</f>
        <v>VAN</v>
      </c>
      <c r="C50" s="36">
        <f>((E50)*Settings!$C$12)+(F50*Settings!$C$2)+(G50*Settings!$C$3)+(H50*Settings!$C$4)+(I50*Settings!$C$5)+(K50*Settings!$C$9)+(N50*Settings!$C$6)+(J50*Settings!$C$8)+(O50*Settings!$C$7)+(P50*Settings!$C$14)+(Q50*Settings!$C$15)+(R50*Settings!$C$16)+(S50*Settings!$C$17)+(T50*Settings!$C$18)+(U50*Settings!$C$19)+(L50*Settings!$C$10)+(Settings!$C$11*M50)</f>
        <v>7.0361166303533178</v>
      </c>
      <c r="D50" s="40">
        <f>IF(Settings!$E$12="YES",VLOOKUP(A50,'Player Data'!A1:E734,5,FALSE),82)</f>
        <v>82</v>
      </c>
      <c r="E50" s="38">
        <f>(VLOOKUP($A50,'The List'!$B1:$AH730,17,FALSE)-AVERAGE('The List'!R2:R730))/STDEV('The List'!R2:R730)</f>
        <v>2.3412748002827612</v>
      </c>
      <c r="F50" s="38">
        <f>(VLOOKUP($A50,'The List'!$B1:$AH730,18,FALSE)-AVERAGE('The List'!S2:S730))/STDEV('The List'!S2:S730)</f>
        <v>-0.59189266012229524</v>
      </c>
      <c r="G50" s="38">
        <f>(VLOOKUP($A50,'The List'!$B1:$AH730,19,FALSE)-AVERAGE('The List'!T2:T730))/STDEV('The List'!T2:T730)</f>
        <v>3.1284162035574568</v>
      </c>
      <c r="H50" s="38">
        <f>(VLOOKUP($A50,'The List'!$B1:$AH730,20,FALSE)-AVERAGE('The List'!U2:U730))/STDEV('The List'!U2:U730)</f>
        <v>1.6473798295803375</v>
      </c>
      <c r="I50" s="38">
        <f>(VLOOKUP($A50,'The List'!$B1:$AH730,21,FALSE)-AVERAGE('The List'!V2:V730))/STDEV('The List'!V2:V730)</f>
        <v>0.33185556688770457</v>
      </c>
      <c r="J50" s="38">
        <f>(VLOOKUP($A50,'The List'!$B1:$AH730,22,FALSE)-AVERAGE('The List'!W2:W730))/STDEV('The List'!W2:W730)</f>
        <v>-0.39369264223753886</v>
      </c>
      <c r="K50" s="38">
        <f>(VLOOKUP($A50,'The List'!$B1:$AH730,23,FALSE)-AVERAGE('The List'!X2:X730))/STDEV('The List'!X2:X730)</f>
        <v>2.5203576904501137</v>
      </c>
      <c r="L50" s="38">
        <f>(VLOOKUP($A50,'The List'!$B1:$AH730,24,FALSE)-AVERAGE('The List'!Y2:Y730))/STDEV('The List'!Y2:Y730)</f>
        <v>-0.4649288935793231</v>
      </c>
      <c r="M50" s="38">
        <f>(VLOOKUP($A50,'The List'!$B1:$AH730,25,FALSE)-AVERAGE('The List'!Z2:Z730))/STDEV('The List'!Z2:Z730)</f>
        <v>7.2416546153595718E-2</v>
      </c>
      <c r="N50" s="38">
        <f>(VLOOKUP($A50,'The List'!$B1:$AH730,26,FALSE)-AVERAGE('The List'!AA2:AA730))/STDEV('The List'!AA2:AA730)</f>
        <v>0.35477882857145471</v>
      </c>
      <c r="O50" s="38">
        <f>(VLOOKUP($A50,'The List'!$B1:$AH730,27,FALSE)-AVERAGE('The List'!AB2:AB730))/STDEV('The List'!AB2:AB730)</f>
        <v>-1.1752715869758079</v>
      </c>
      <c r="P50" s="38">
        <f>(VLOOKUP($A50,'The List'!$B1:$AH730,28,FALSE)-AVERAGE('The List'!AC2:AC730))/STDEV('The List'!AC2:AC730)</f>
        <v>0.3451750939594041</v>
      </c>
      <c r="Q50" s="38">
        <f>(VLOOKUP($A50,'The List'!$B1:$AH730,29,FALSE)-AVERAGE('The List'!AD2:AD730))/STDEV('The List'!AD2:AD730)</f>
        <v>8.447204652585992E-2</v>
      </c>
      <c r="R50" s="38">
        <f>(VLOOKUP($A50,'The List'!$B1:$AH730,30,FALSE)-AVERAGE('The List'!AE2:AE730))/STDEV('The List'!AE2:AE730)</f>
        <v>-0.53430967238297877</v>
      </c>
      <c r="S50" s="38">
        <f>(VLOOKUP($A50,'The List'!$B1:$AH730,31,FALSE)-AVERAGE('The List'!AF2:AF730))/STDEV('The List'!AF2:AF730)</f>
        <v>-0.56743618071912361</v>
      </c>
      <c r="T50" s="38">
        <f>(VLOOKUP($A50,'The List'!$B1:$AH730,32,FALSE)-AVERAGE('The List'!AG2:AG730))/STDEV('The List'!AG2:AG730)</f>
        <v>-0.61303659367250185</v>
      </c>
      <c r="U50" s="38">
        <f>(VLOOKUP($A50,'The List'!$B1:$AH730,33,FALSE)-AVERAGE('The List'!AH2:AH730))/STDEV('The List'!AH2:AH730)</f>
        <v>0.84501333657122457</v>
      </c>
      <c r="V50" s="38"/>
      <c r="W50" s="42"/>
      <c r="X50" s="40"/>
      <c r="Y50" s="40"/>
      <c r="Z50" s="40"/>
      <c r="AA50" s="40"/>
      <c r="AB50" s="40"/>
      <c r="AC50" s="43"/>
      <c r="AD50" s="44"/>
      <c r="AE50" s="38"/>
    </row>
    <row r="51" spans="1:31" ht="21.2" customHeight="1">
      <c r="A51" s="8" t="s">
        <v>173</v>
      </c>
      <c r="B51" s="34" t="str">
        <f>VLOOKUP(A51,'Player Data'!A1:B734,2,FALSE)</f>
        <v>NJD</v>
      </c>
      <c r="C51" s="36">
        <f>((E51)*Settings!$C$12)+(F51*Settings!$C$2)+(G51*Settings!$C$3)+(H51*Settings!$C$4)+(I51*Settings!$C$5)+(K51*Settings!$C$9)+(N51*Settings!$C$6)+(J51*Settings!$C$8)+(O51*Settings!$C$7)+(P51*Settings!$C$14)+(Q51*Settings!$C$15)+(R51*Settings!$C$16)+(S51*Settings!$C$17)+(T51*Settings!$C$18)+(U51*Settings!$C$19)+(L51*Settings!$C$10)+(Settings!$C$11*M51)</f>
        <v>7.3232050734584915</v>
      </c>
      <c r="D51" s="40">
        <f>IF(Settings!$E$12="YES",VLOOKUP(A51,'Player Data'!A1:E734,5,FALSE),82)</f>
        <v>82</v>
      </c>
      <c r="E51" s="38">
        <f>(VLOOKUP($A51,'The List'!$B1:$AH730,17,FALSE)-AVERAGE('The List'!R2:R730))/STDEV('The List'!R2:R730)</f>
        <v>0.31561612473183026</v>
      </c>
      <c r="F51" s="38">
        <f>(VLOOKUP($A51,'The List'!$B1:$AH730,18,FALSE)-AVERAGE('The List'!S2:S730))/STDEV('The List'!S2:S730)</f>
        <v>1.4938955940675749</v>
      </c>
      <c r="G51" s="38">
        <f>(VLOOKUP($A51,'The List'!$B1:$AH730,19,FALSE)-AVERAGE('The List'!T2:T730))/STDEV('The List'!T2:T730)</f>
        <v>1.5491727987589092</v>
      </c>
      <c r="H51" s="38">
        <f>(VLOOKUP($A51,'The List'!$B1:$AH730,20,FALSE)-AVERAGE('The List'!U2:U730))/STDEV('The List'!U2:U730)</f>
        <v>1.6464995414560097</v>
      </c>
      <c r="I51" s="38">
        <f>(VLOOKUP($A51,'The List'!$B1:$AH730,21,FALSE)-AVERAGE('The List'!V2:V730))/STDEV('The List'!V2:V730)</f>
        <v>1.1603598750917048</v>
      </c>
      <c r="J51" s="38">
        <f>(VLOOKUP($A51,'The List'!$B1:$AH730,22,FALSE)-AVERAGE('The List'!W2:W730))/STDEV('The List'!W2:W730)</f>
        <v>1.1398665765373428</v>
      </c>
      <c r="K51" s="38">
        <f>(VLOOKUP($A51,'The List'!$B1:$AH730,23,FALSE)-AVERAGE('The List'!X2:X730))/STDEV('The List'!X2:X730)</f>
        <v>1.4732772640842933</v>
      </c>
      <c r="L51" s="38">
        <f>(VLOOKUP($A51,'The List'!$B1:$AH730,24,FALSE)-AVERAGE('The List'!Y2:Y730))/STDEV('The List'!Y2:Y730)</f>
        <v>-0.49853832337100129</v>
      </c>
      <c r="M51" s="38">
        <f>(VLOOKUP($A51,'The List'!$B1:$AH730,25,FALSE)-AVERAGE('The List'!Z2:Z730))/STDEV('The List'!Z2:Z730)</f>
        <v>-0.6455391696240429</v>
      </c>
      <c r="N51" s="38">
        <f>(VLOOKUP($A51,'The List'!$B1:$AH730,26,FALSE)-AVERAGE('The List'!AA2:AA730))/STDEV('The List'!AA2:AA730)</f>
        <v>-0.91789063858131859</v>
      </c>
      <c r="O51" s="38">
        <f>(VLOOKUP($A51,'The List'!$B1:$AH730,27,FALSE)-AVERAGE('The List'!AB2:AB730))/STDEV('The List'!AB2:AB730)</f>
        <v>-1.3508965903062933</v>
      </c>
      <c r="P51" s="38">
        <f>(VLOOKUP($A51,'The List'!$B1:$AH730,28,FALSE)-AVERAGE('The List'!AC2:AC730))/STDEV('The List'!AC2:AC730)</f>
        <v>0.37521165469715734</v>
      </c>
      <c r="Q51" s="38">
        <f>(VLOOKUP($A51,'The List'!$B1:$AH730,29,FALSE)-AVERAGE('The List'!AD2:AD730))/STDEV('The List'!AD2:AD730)</f>
        <v>-1.2538233613646943</v>
      </c>
      <c r="R51" s="38">
        <f>(VLOOKUP($A51,'The List'!$B1:$AH730,30,FALSE)-AVERAGE('The List'!AE2:AE730))/STDEV('The List'!AE2:AE730)</f>
        <v>1.4895482338966186</v>
      </c>
      <c r="S51" s="38">
        <f>(VLOOKUP($A51,'The List'!$B1:$AH730,31,FALSE)-AVERAGE('The List'!AF2:AF730))/STDEV('The List'!AF2:AF730)</f>
        <v>-0.56867086961678381</v>
      </c>
      <c r="T51" s="38">
        <f>(VLOOKUP($A51,'The List'!$B1:$AH730,32,FALSE)-AVERAGE('The List'!AG2:AG730))/STDEV('The List'!AG2:AG730)</f>
        <v>-0.60603148025123166</v>
      </c>
      <c r="U51" s="38">
        <f>(VLOOKUP($A51,'The List'!$B1:$AH730,33,FALSE)-AVERAGE('The List'!AH2:AH730))/STDEV('The List'!AH2:AH730)</f>
        <v>-1.014924823883788</v>
      </c>
      <c r="V51" s="38"/>
      <c r="W51" s="42"/>
      <c r="X51" s="40"/>
      <c r="Y51" s="40"/>
      <c r="Z51" s="40"/>
      <c r="AA51" s="40"/>
      <c r="AB51" s="40"/>
      <c r="AC51" s="43"/>
      <c r="AD51" s="44"/>
      <c r="AE51" s="38"/>
    </row>
    <row r="52" spans="1:31" ht="21.2" customHeight="1">
      <c r="A52" s="8" t="s">
        <v>149</v>
      </c>
      <c r="B52" s="34" t="str">
        <f>VLOOKUP(A52,'Player Data'!A1:B734,2,FALSE)</f>
        <v>TOR</v>
      </c>
      <c r="C52" s="36">
        <f>((E52)*Settings!$C$12)+(F52*Settings!$C$2)+(G52*Settings!$C$3)+(H52*Settings!$C$4)+(I52*Settings!$C$5)+(K52*Settings!$C$9)+(N52*Settings!$C$6)+(J52*Settings!$C$8)+(O52*Settings!$C$7)+(P52*Settings!$C$14)+(Q52*Settings!$C$15)+(R52*Settings!$C$16)+(S52*Settings!$C$17)+(T52*Settings!$C$18)+(U52*Settings!$C$19)+(L52*Settings!$C$10)+(Settings!$C$11*M52)</f>
        <v>9.0998103631039911</v>
      </c>
      <c r="D52" s="40">
        <f>IF(Settings!$E$12="YES",VLOOKUP(A52,'Player Data'!A1:E734,5,FALSE),82)</f>
        <v>82</v>
      </c>
      <c r="E52" s="38">
        <f>(VLOOKUP($A52,'The List'!$B1:$AH730,17,FALSE)-AVERAGE('The List'!R2:R730))/STDEV('The List'!R2:R730)</f>
        <v>0.29969188773627659</v>
      </c>
      <c r="F52" s="38">
        <f>(VLOOKUP($A52,'The List'!$B1:$AH730,18,FALSE)-AVERAGE('The List'!S2:S730))/STDEV('The List'!S2:S730)</f>
        <v>1.5735384706359035</v>
      </c>
      <c r="G52" s="38">
        <f>(VLOOKUP($A52,'The List'!$B1:$AH730,19,FALSE)-AVERAGE('The List'!T2:T730))/STDEV('The List'!T2:T730)</f>
        <v>1.4720830950394646</v>
      </c>
      <c r="H52" s="38">
        <f>(VLOOKUP($A52,'The List'!$B1:$AH730,20,FALSE)-AVERAGE('The List'!U2:U730))/STDEV('The List'!U2:U730)</f>
        <v>1.6361487190630588</v>
      </c>
      <c r="I52" s="38">
        <f>(VLOOKUP($A52,'The List'!$B1:$AH730,21,FALSE)-AVERAGE('The List'!V2:V730))/STDEV('The List'!V2:V730)</f>
        <v>1.8857460602921037</v>
      </c>
      <c r="J52" s="38">
        <f>(VLOOKUP($A52,'The List'!$B1:$AH730,22,FALSE)-AVERAGE('The List'!W2:W730))/STDEV('The List'!W2:W730)</f>
        <v>3.0358992726778804</v>
      </c>
      <c r="K52" s="38">
        <f>(VLOOKUP($A52,'The List'!$B1:$AH730,23,FALSE)-AVERAGE('The List'!X2:X730))/STDEV('The List'!X2:X730)</f>
        <v>2.5322940180734608</v>
      </c>
      <c r="L52" s="38">
        <f>(VLOOKUP($A52,'The List'!$B1:$AH730,24,FALSE)-AVERAGE('The List'!Y2:Y730))/STDEV('The List'!Y2:Y730)</f>
        <v>-0.51681579567470048</v>
      </c>
      <c r="M52" s="38">
        <f>(VLOOKUP($A52,'The List'!$B1:$AH730,25,FALSE)-AVERAGE('The List'!Z2:Z730))/STDEV('The List'!Z2:Z730)</f>
        <v>-0.69522998725814622</v>
      </c>
      <c r="N52" s="38">
        <f>(VLOOKUP($A52,'The List'!$B1:$AH730,26,FALSE)-AVERAGE('The List'!AA2:AA730))/STDEV('The List'!AA2:AA730)</f>
        <v>-0.66809840591689973</v>
      </c>
      <c r="O52" s="38">
        <f>(VLOOKUP($A52,'The List'!$B1:$AH730,27,FALSE)-AVERAGE('The List'!AB2:AB730))/STDEV('The List'!AB2:AB730)</f>
        <v>-2.8406826047311883E-2</v>
      </c>
      <c r="P52" s="38">
        <f>(VLOOKUP($A52,'The List'!$B1:$AH730,28,FALSE)-AVERAGE('The List'!AC2:AC730))/STDEV('The List'!AC2:AC730)</f>
        <v>1.1091137969798615</v>
      </c>
      <c r="Q52" s="38">
        <f>(VLOOKUP($A52,'The List'!$B1:$AH730,29,FALSE)-AVERAGE('The List'!AD2:AD730))/STDEV('The List'!AD2:AD730)</f>
        <v>-0.1741597479803744</v>
      </c>
      <c r="R52" s="38">
        <f>(VLOOKUP($A52,'The List'!$B1:$AH730,30,FALSE)-AVERAGE('The List'!AE2:AE730))/STDEV('The List'!AE2:AE730)</f>
        <v>1.8278476581455365</v>
      </c>
      <c r="S52" s="38">
        <f>(VLOOKUP($A52,'The List'!$B1:$AH730,31,FALSE)-AVERAGE('The List'!AF2:AF730))/STDEV('The List'!AF2:AF730)</f>
        <v>2.9453819019775058</v>
      </c>
      <c r="T52" s="38">
        <f>(VLOOKUP($A52,'The List'!$B1:$AH730,32,FALSE)-AVERAGE('The List'!AG2:AG730))/STDEV('The List'!AG2:AG730)</f>
        <v>1.9913366844162907</v>
      </c>
      <c r="U52" s="38">
        <f>(VLOOKUP($A52,'The List'!$B1:$AH730,33,FALSE)-AVERAGE('The List'!AH2:AH730))/STDEV('The List'!AH2:AH730)</f>
        <v>1.4111833720380191</v>
      </c>
      <c r="V52" s="38"/>
      <c r="W52" s="42"/>
      <c r="X52" s="40"/>
      <c r="Y52" s="40"/>
      <c r="Z52" s="40"/>
      <c r="AA52" s="40"/>
      <c r="AB52" s="40"/>
      <c r="AC52" s="43"/>
      <c r="AD52" s="44"/>
      <c r="AE52" s="38"/>
    </row>
    <row r="53" spans="1:31" ht="21.2" customHeight="1">
      <c r="A53" s="8" t="s">
        <v>141</v>
      </c>
      <c r="B53" s="34" t="str">
        <f>VLOOKUP(A53,'Player Data'!A1:B734,2,FALSE)</f>
        <v>MIN</v>
      </c>
      <c r="C53" s="36">
        <f>((E53)*Settings!$C$12)+(F53*Settings!$C$2)+(G53*Settings!$C$3)+(H53*Settings!$C$4)+(I53*Settings!$C$5)+(K53*Settings!$C$9)+(N53*Settings!$C$6)+(J53*Settings!$C$8)+(O53*Settings!$C$7)+(P53*Settings!$C$14)+(Q53*Settings!$C$15)+(R53*Settings!$C$16)+(S53*Settings!$C$17)+(T53*Settings!$C$18)+(U53*Settings!$C$19)+(L53*Settings!$C$10)+(Settings!$C$11*M53)</f>
        <v>9.3029657940042263</v>
      </c>
      <c r="D53" s="40">
        <f>IF(Settings!$E$12="YES",VLOOKUP(A53,'Player Data'!A1:E734,5,FALSE),82)</f>
        <v>82</v>
      </c>
      <c r="E53" s="38">
        <f>(VLOOKUP($A53,'The List'!$B1:$AH730,17,FALSE)-AVERAGE('The List'!R2:R730))/STDEV('The List'!R2:R730)</f>
        <v>0.70192263009874989</v>
      </c>
      <c r="F53" s="38">
        <f>(VLOOKUP($A53,'The List'!$B1:$AH730,18,FALSE)-AVERAGE('The List'!S2:S730))/STDEV('The List'!S2:S730)</f>
        <v>2.0237395620305305</v>
      </c>
      <c r="G53" s="38">
        <f>(VLOOKUP($A53,'The List'!$B1:$AH730,19,FALSE)-AVERAGE('The List'!T2:T730))/STDEV('The List'!T2:T730)</f>
        <v>1.4022816367516782</v>
      </c>
      <c r="H53" s="38">
        <f>(VLOOKUP($A53,'The List'!$B1:$AH730,20,FALSE)-AVERAGE('The List'!U2:U730))/STDEV('The List'!U2:U730)</f>
        <v>1.8025393661928273</v>
      </c>
      <c r="I53" s="38">
        <f>(VLOOKUP($A53,'The List'!$B1:$AH730,21,FALSE)-AVERAGE('The List'!V2:V730))/STDEV('The List'!V2:V730)</f>
        <v>2.0767290678024763</v>
      </c>
      <c r="J53" s="38">
        <f>(VLOOKUP($A53,'The List'!$B1:$AH730,22,FALSE)-AVERAGE('The List'!W2:W730))/STDEV('The List'!W2:W730)</f>
        <v>1.6468308102250024</v>
      </c>
      <c r="K53" s="38">
        <f>(VLOOKUP($A53,'The List'!$B1:$AH730,23,FALSE)-AVERAGE('The List'!X2:X730))/STDEV('The List'!X2:X730)</f>
        <v>1.9976761612267147</v>
      </c>
      <c r="L53" s="38">
        <f>(VLOOKUP($A53,'The List'!$B1:$AH730,24,FALSE)-AVERAGE('The List'!Y2:Y730))/STDEV('The List'!Y2:Y730)</f>
        <v>-0.40176986168729734</v>
      </c>
      <c r="M53" s="38">
        <f>(VLOOKUP($A53,'The List'!$B1:$AH730,25,FALSE)-AVERAGE('The List'!Z2:Z730))/STDEV('The List'!Z2:Z730)</f>
        <v>-0.54529852940033652</v>
      </c>
      <c r="N53" s="38">
        <f>(VLOOKUP($A53,'The List'!$B1:$AH730,26,FALSE)-AVERAGE('The List'!AA2:AA730))/STDEV('The List'!AA2:AA730)</f>
        <v>-0.79137790406553776</v>
      </c>
      <c r="O53" s="38">
        <f>(VLOOKUP($A53,'The List'!$B1:$AH730,27,FALSE)-AVERAGE('The List'!AB2:AB730))/STDEV('The List'!AB2:AB730)</f>
        <v>-0.66973353917648026</v>
      </c>
      <c r="P53" s="38">
        <f>(VLOOKUP($A53,'The List'!$B1:$AH730,28,FALSE)-AVERAGE('The List'!AC2:AC730))/STDEV('The List'!AC2:AC730)</f>
        <v>0.93713574868959115</v>
      </c>
      <c r="Q53" s="38">
        <f>(VLOOKUP($A53,'The List'!$B1:$AH730,29,FALSE)-AVERAGE('The List'!AD2:AD730))/STDEV('The List'!AD2:AD730)</f>
        <v>0.14283214446175144</v>
      </c>
      <c r="R53" s="38">
        <f>(VLOOKUP($A53,'The List'!$B1:$AH730,30,FALSE)-AVERAGE('The List'!AE2:AE730))/STDEV('The List'!AE2:AE730)</f>
        <v>2.2972179255044622</v>
      </c>
      <c r="S53" s="38">
        <f>(VLOOKUP($A53,'The List'!$B1:$AH730,31,FALSE)-AVERAGE('The List'!AF2:AF730))/STDEV('The List'!AF2:AF730)</f>
        <v>-0.24550908962463108</v>
      </c>
      <c r="T53" s="38">
        <f>(VLOOKUP($A53,'The List'!$B1:$AH730,32,FALSE)-AVERAGE('The List'!AG2:AG730))/STDEV('The List'!AG2:AG730)</f>
        <v>-0.27127458426023188</v>
      </c>
      <c r="U53" s="38">
        <f>(VLOOKUP($A53,'The List'!$B1:$AH730,33,FALSE)-AVERAGE('The List'!AH2:AH730))/STDEV('The List'!AH2:AH730)</f>
        <v>1.0091818197365614</v>
      </c>
      <c r="V53" s="38"/>
      <c r="W53" s="40"/>
      <c r="X53" s="38"/>
      <c r="Y53" s="38"/>
      <c r="Z53" s="38"/>
      <c r="AA53" s="38"/>
      <c r="AB53" s="38"/>
      <c r="AC53" s="38"/>
      <c r="AD53" s="38"/>
      <c r="AE53" s="38"/>
    </row>
    <row r="54" spans="1:31" ht="21.2" customHeight="1">
      <c r="A54" s="8" t="s">
        <v>159</v>
      </c>
      <c r="B54" s="34" t="str">
        <f>VLOOKUP(A54,'Player Data'!A1:B734,2,FALSE)</f>
        <v>DET</v>
      </c>
      <c r="C54" s="36">
        <f>((E54)*Settings!$C$12)+(F54*Settings!$C$2)+(G54*Settings!$C$3)+(H54*Settings!$C$4)+(I54*Settings!$C$5)+(K54*Settings!$C$9)+(N54*Settings!$C$6)+(J54*Settings!$C$8)+(O54*Settings!$C$7)+(P54*Settings!$C$14)+(Q54*Settings!$C$15)+(R54*Settings!$C$16)+(S54*Settings!$C$17)+(T54*Settings!$C$18)+(U54*Settings!$C$19)+(L54*Settings!$C$10)+(Settings!$C$11*M54)</f>
        <v>9.577719019407807</v>
      </c>
      <c r="D54" s="40">
        <f>IF(Settings!$E$12="YES",VLOOKUP(A54,'Player Data'!A1:E734,5,FALSE),82)</f>
        <v>82</v>
      </c>
      <c r="E54" s="38">
        <f>(VLOOKUP($A54,'The List'!$B1:$AH730,17,FALSE)-AVERAGE('The List'!R2:R730))/STDEV('The List'!R2:R730)</f>
        <v>0.8951469566304634</v>
      </c>
      <c r="F54" s="38">
        <f>(VLOOKUP($A54,'The List'!$B1:$AH730,18,FALSE)-AVERAGE('The List'!S2:S730))/STDEV('The List'!S2:S730)</f>
        <v>1.9564006023195906</v>
      </c>
      <c r="G54" s="38">
        <f>(VLOOKUP($A54,'The List'!$B1:$AH730,19,FALSE)-AVERAGE('The List'!T2:T730))/STDEV('The List'!T2:T730)</f>
        <v>1.6999987208436387</v>
      </c>
      <c r="H54" s="38">
        <f>(VLOOKUP($A54,'The List'!$B1:$AH730,20,FALSE)-AVERAGE('The List'!U2:U730))/STDEV('The List'!U2:U730)</f>
        <v>1.9541941530623683</v>
      </c>
      <c r="I54" s="38">
        <f>(VLOOKUP($A54,'The List'!$B1:$AH730,21,FALSE)-AVERAGE('The List'!V2:V730))/STDEV('The List'!V2:V730)</f>
        <v>1.9398629231995017</v>
      </c>
      <c r="J54" s="38">
        <f>(VLOOKUP($A54,'The List'!$B1:$AH730,22,FALSE)-AVERAGE('The List'!W2:W730))/STDEV('The List'!W2:W730)</f>
        <v>2.7612941337930947</v>
      </c>
      <c r="K54" s="38">
        <f>(VLOOKUP($A54,'The List'!$B1:$AH730,23,FALSE)-AVERAGE('The List'!X2:X730))/STDEV('The List'!X2:X730)</f>
        <v>2.0272626199827082</v>
      </c>
      <c r="L54" s="38">
        <f>(VLOOKUP($A54,'The List'!$B1:$AH730,24,FALSE)-AVERAGE('The List'!Y2:Y730))/STDEV('The List'!Y2:Y730)</f>
        <v>0.94768233451699424</v>
      </c>
      <c r="M54" s="38">
        <f>(VLOOKUP($A54,'The List'!$B1:$AH730,25,FALSE)-AVERAGE('The List'!Z2:Z730))/STDEV('The List'!Z2:Z730)</f>
        <v>0.79370511918776154</v>
      </c>
      <c r="N54" s="38">
        <f>(VLOOKUP($A54,'The List'!$B1:$AH730,26,FALSE)-AVERAGE('The List'!AA2:AA730))/STDEV('The List'!AA2:AA730)</f>
        <v>-0.82669103265010113</v>
      </c>
      <c r="O54" s="38">
        <f>(VLOOKUP($A54,'The List'!$B1:$AH730,27,FALSE)-AVERAGE('The List'!AB2:AB730))/STDEV('The List'!AB2:AB730)</f>
        <v>-0.77777740807278384</v>
      </c>
      <c r="P54" s="38">
        <f>(VLOOKUP($A54,'The List'!$B1:$AH730,28,FALSE)-AVERAGE('The List'!AC2:AC730))/STDEV('The List'!AC2:AC730)</f>
        <v>-0.82482508436747037</v>
      </c>
      <c r="Q54" s="38">
        <f>(VLOOKUP($A54,'The List'!$B1:$AH730,29,FALSE)-AVERAGE('The List'!AD2:AD730))/STDEV('The List'!AD2:AD730)</f>
        <v>0.59429009014507406</v>
      </c>
      <c r="R54" s="38">
        <f>(VLOOKUP($A54,'The List'!$B1:$AH730,30,FALSE)-AVERAGE('The List'!AE2:AE730))/STDEV('The List'!AE2:AE730)</f>
        <v>1.6150559213582489</v>
      </c>
      <c r="S54" s="38">
        <f>(VLOOKUP($A54,'The List'!$B1:$AH730,31,FALSE)-AVERAGE('The List'!AF2:AF730))/STDEV('The List'!AF2:AF730)</f>
        <v>2.8993496018307003</v>
      </c>
      <c r="T54" s="38">
        <f>(VLOOKUP($A54,'The List'!$B1:$AH730,32,FALSE)-AVERAGE('The List'!AG2:AG730))/STDEV('The List'!AG2:AG730)</f>
        <v>2.6355621702265872</v>
      </c>
      <c r="U54" s="38">
        <f>(VLOOKUP($A54,'The List'!$B1:$AH730,33,FALSE)-AVERAGE('The List'!AH2:AH730))/STDEV('The List'!AH2:AH730)</f>
        <v>1.1506985020040814</v>
      </c>
      <c r="V54" s="38"/>
      <c r="W54" s="40"/>
      <c r="X54" s="38"/>
      <c r="Y54" s="38"/>
      <c r="Z54" s="38"/>
      <c r="AA54" s="38"/>
      <c r="AB54" s="38"/>
      <c r="AC54" s="38"/>
      <c r="AD54" s="38"/>
      <c r="AE54" s="38"/>
    </row>
    <row r="55" spans="1:31" ht="21.2" customHeight="1">
      <c r="A55" s="8" t="s">
        <v>198</v>
      </c>
      <c r="B55" s="34" t="str">
        <f>VLOOKUP(A55,'Player Data'!A1:B734,2,FALSE)</f>
        <v>WPG</v>
      </c>
      <c r="C55" s="36">
        <f>((E55)*Settings!$C$12)+(F55*Settings!$C$2)+(G55*Settings!$C$3)+(H55*Settings!$C$4)+(I55*Settings!$C$5)+(K55*Settings!$C$9)+(N55*Settings!$C$6)+(J55*Settings!$C$8)+(O55*Settings!$C$7)+(P55*Settings!$C$14)+(Q55*Settings!$C$15)+(R55*Settings!$C$16)+(S55*Settings!$C$17)+(T55*Settings!$C$18)+(U55*Settings!$C$19)+(L55*Settings!$C$10)+(Settings!$C$11*M55)</f>
        <v>7.8859465772544128</v>
      </c>
      <c r="D55" s="40">
        <f>IF(Settings!$E$12="YES",VLOOKUP(A55,'Player Data'!A1:E734,5,FALSE),82)</f>
        <v>82</v>
      </c>
      <c r="E55" s="38">
        <f>(VLOOKUP($A55,'The List'!$B1:$AH730,17,FALSE)-AVERAGE('The List'!R2:R730))/STDEV('The List'!R2:R730)</f>
        <v>1.03879345612837</v>
      </c>
      <c r="F55" s="38">
        <f>(VLOOKUP($A55,'The List'!$B1:$AH730,18,FALSE)-AVERAGE('The List'!S2:S730))/STDEV('The List'!S2:S730)</f>
        <v>2.3122462425710442</v>
      </c>
      <c r="G55" s="38">
        <f>(VLOOKUP($A55,'The List'!$B1:$AH730,19,FALSE)-AVERAGE('The List'!T2:T730))/STDEV('The List'!T2:T730)</f>
        <v>1.1474970215947904</v>
      </c>
      <c r="H55" s="38">
        <f>(VLOOKUP($A55,'The List'!$B1:$AH730,20,FALSE)-AVERAGE('The List'!U2:U730))/STDEV('The List'!U2:U730)</f>
        <v>1.7800832002797231</v>
      </c>
      <c r="I55" s="38">
        <f>(VLOOKUP($A55,'The List'!$B1:$AH730,21,FALSE)-AVERAGE('The List'!V2:V730))/STDEV('The List'!V2:V730)</f>
        <v>1.091573837855742</v>
      </c>
      <c r="J55" s="38">
        <f>(VLOOKUP($A55,'The List'!$B1:$AH730,22,FALSE)-AVERAGE('The List'!W2:W730))/STDEV('The List'!W2:W730)</f>
        <v>1.9953104471159657</v>
      </c>
      <c r="K55" s="38">
        <f>(VLOOKUP($A55,'The List'!$B1:$AH730,23,FALSE)-AVERAGE('The List'!X2:X730))/STDEV('The List'!X2:X730)</f>
        <v>1.5545462749531136</v>
      </c>
      <c r="L55" s="38">
        <f>(VLOOKUP($A55,'The List'!$B1:$AH730,24,FALSE)-AVERAGE('The List'!Y2:Y730))/STDEV('The List'!Y2:Y730)</f>
        <v>-0.46574015044168948</v>
      </c>
      <c r="M55" s="38">
        <f>(VLOOKUP($A55,'The List'!$B1:$AH730,25,FALSE)-AVERAGE('The List'!Z2:Z730))/STDEV('The List'!Z2:Z730)</f>
        <v>-0.63881991480166589</v>
      </c>
      <c r="N55" s="38">
        <f>(VLOOKUP($A55,'The List'!$B1:$AH730,26,FALSE)-AVERAGE('The List'!AA2:AA730))/STDEV('The List'!AA2:AA730)</f>
        <v>-0.53411673222051326</v>
      </c>
      <c r="O55" s="38">
        <f>(VLOOKUP($A55,'The List'!$B1:$AH730,27,FALSE)-AVERAGE('The List'!AB2:AB730))/STDEV('The List'!AB2:AB730)</f>
        <v>-1.029047376989128</v>
      </c>
      <c r="P55" s="38">
        <f>(VLOOKUP($A55,'The List'!$B1:$AH730,28,FALSE)-AVERAGE('The List'!AC2:AC730))/STDEV('The List'!AC2:AC730)</f>
        <v>0.15933509170363372</v>
      </c>
      <c r="Q55" s="38">
        <f>(VLOOKUP($A55,'The List'!$B1:$AH730,29,FALSE)-AVERAGE('The List'!AD2:AD730))/STDEV('The List'!AD2:AD730)</f>
        <v>-0.5758801311898194</v>
      </c>
      <c r="R55" s="38">
        <f>(VLOOKUP($A55,'The List'!$B1:$AH730,30,FALSE)-AVERAGE('The List'!AE2:AE730))/STDEV('The List'!AE2:AE730)</f>
        <v>2.4892507353533806</v>
      </c>
      <c r="S55" s="38">
        <f>(VLOOKUP($A55,'The List'!$B1:$AH730,31,FALSE)-AVERAGE('The List'!AF2:AF730))/STDEV('The List'!AF2:AF730)</f>
        <v>2.1178349209655352</v>
      </c>
      <c r="T55" s="38">
        <f>(VLOOKUP($A55,'The List'!$B1:$AH730,32,FALSE)-AVERAGE('The List'!AG2:AG730))/STDEV('The List'!AG2:AG730)</f>
        <v>2.2906690559126313</v>
      </c>
      <c r="U55" s="38">
        <f>(VLOOKUP($A55,'The List'!$B1:$AH730,33,FALSE)-AVERAGE('The List'!AH2:AH730))/STDEV('The List'!AH2:AH730)</f>
        <v>0.98921817827584979</v>
      </c>
      <c r="V55" s="38"/>
      <c r="W55" s="42"/>
      <c r="X55" s="40"/>
      <c r="Y55" s="40"/>
      <c r="Z55" s="40"/>
      <c r="AA55" s="40"/>
      <c r="AB55" s="40"/>
      <c r="AC55" s="43"/>
      <c r="AD55" s="44"/>
      <c r="AE55" s="38"/>
    </row>
    <row r="56" spans="1:31" ht="21.2" customHeight="1">
      <c r="A56" s="8" t="s">
        <v>170</v>
      </c>
      <c r="B56" s="34" t="str">
        <f>VLOOKUP(A56,'Player Data'!A1:B734,2,FALSE)</f>
        <v>PHI</v>
      </c>
      <c r="C56" s="36">
        <f>((E56)*Settings!$C$12)+(F56*Settings!$C$2)+(G56*Settings!$C$3)+(H56*Settings!$C$4)+(I56*Settings!$C$5)+(K56*Settings!$C$9)+(N56*Settings!$C$6)+(J56*Settings!$C$8)+(O56*Settings!$C$7)+(P56*Settings!$C$14)+(Q56*Settings!$C$15)+(R56*Settings!$C$16)+(S56*Settings!$C$17)+(T56*Settings!$C$18)+(U56*Settings!$C$19)+(L56*Settings!$C$10)+(Settings!$C$11*M56)</f>
        <v>7.3121074765195431</v>
      </c>
      <c r="D56" s="40">
        <f>IF(Settings!$E$12="YES",VLOOKUP(A56,'Player Data'!A1:E734,5,FALSE),82)</f>
        <v>82</v>
      </c>
      <c r="E56" s="38">
        <f>(VLOOKUP($A56,'The List'!$B1:$AH730,17,FALSE)-AVERAGE('The List'!R2:R730))/STDEV('The List'!R2:R730)</f>
        <v>0.95973278009396468</v>
      </c>
      <c r="F56" s="38">
        <f>(VLOOKUP($A56,'The List'!$B1:$AH730,18,FALSE)-AVERAGE('The List'!S2:S730))/STDEV('The List'!S2:S730)</f>
        <v>1.6573099508365843</v>
      </c>
      <c r="G56" s="38">
        <f>(VLOOKUP($A56,'The List'!$B1:$AH730,19,FALSE)-AVERAGE('The List'!T2:T730))/STDEV('The List'!T2:T730)</f>
        <v>1.3536264888924461</v>
      </c>
      <c r="H56" s="38">
        <f>(VLOOKUP($A56,'The List'!$B1:$AH730,20,FALSE)-AVERAGE('The List'!U2:U730))/STDEV('The List'!U2:U730)</f>
        <v>1.6022955847367415</v>
      </c>
      <c r="I56" s="38">
        <f>(VLOOKUP($A56,'The List'!$B1:$AH730,21,FALSE)-AVERAGE('The List'!V2:V730))/STDEV('The List'!V2:V730)</f>
        <v>1.801314739916976</v>
      </c>
      <c r="J56" s="38">
        <f>(VLOOKUP($A56,'The List'!$B1:$AH730,22,FALSE)-AVERAGE('The List'!W2:W730))/STDEV('The List'!W2:W730)</f>
        <v>0.6272820355492561</v>
      </c>
      <c r="K56" s="38">
        <f>(VLOOKUP($A56,'The List'!$B1:$AH730,23,FALSE)-AVERAGE('The List'!X2:X730))/STDEV('The List'!X2:X730)</f>
        <v>0.89756071213679534</v>
      </c>
      <c r="L56" s="38">
        <f>(VLOOKUP($A56,'The List'!$B1:$AH730,24,FALSE)-AVERAGE('The List'!Y2:Y730))/STDEV('The List'!Y2:Y730)</f>
        <v>4.731783348504953</v>
      </c>
      <c r="M56" s="38">
        <f>(VLOOKUP($A56,'The List'!$B1:$AH730,25,FALSE)-AVERAGE('The List'!Z2:Z730))/STDEV('The List'!Z2:Z730)</f>
        <v>5.7341227810555599</v>
      </c>
      <c r="N56" s="38">
        <f>(VLOOKUP($A56,'The List'!$B1:$AH730,26,FALSE)-AVERAGE('The List'!AA2:AA730))/STDEV('The List'!AA2:AA730)</f>
        <v>-0.41083151732435463</v>
      </c>
      <c r="O56" s="38">
        <f>(VLOOKUP($A56,'The List'!$B1:$AH730,27,FALSE)-AVERAGE('The List'!AB2:AB730))/STDEV('The List'!AB2:AB730)</f>
        <v>-0.34566041053991131</v>
      </c>
      <c r="P56" s="38">
        <f>(VLOOKUP($A56,'The List'!$B1:$AH730,28,FALSE)-AVERAGE('The List'!AC2:AC730))/STDEV('The List'!AC2:AC730)</f>
        <v>-1.4393296308505001</v>
      </c>
      <c r="Q56" s="38">
        <f>(VLOOKUP($A56,'The List'!$B1:$AH730,29,FALSE)-AVERAGE('The List'!AD2:AD730))/STDEV('The List'!AD2:AD730)</f>
        <v>1.7717575836437496</v>
      </c>
      <c r="R56" s="38">
        <f>(VLOOKUP($A56,'The List'!$B1:$AH730,30,FALSE)-AVERAGE('The List'!AE2:AE730))/STDEV('The List'!AE2:AE730)</f>
        <v>1.0657238521215597</v>
      </c>
      <c r="S56" s="38">
        <f>(VLOOKUP($A56,'The List'!$B1:$AH730,31,FALSE)-AVERAGE('The List'!AF2:AF730))/STDEV('The List'!AF2:AF730)</f>
        <v>-0.43027739800182119</v>
      </c>
      <c r="T56" s="38">
        <f>(VLOOKUP($A56,'The List'!$B1:$AH730,32,FALSE)-AVERAGE('The List'!AG2:AG730))/STDEV('The List'!AG2:AG730)</f>
        <v>-0.41800710017294818</v>
      </c>
      <c r="U56" s="38">
        <f>(VLOOKUP($A56,'The List'!$B1:$AH730,33,FALSE)-AVERAGE('The List'!AH2:AH730))/STDEV('The List'!AH2:AH730)</f>
        <v>0.68455807785523337</v>
      </c>
      <c r="V56" s="38"/>
      <c r="W56" s="40"/>
      <c r="X56" s="38"/>
      <c r="Y56" s="38"/>
      <c r="Z56" s="38"/>
      <c r="AA56" s="38"/>
      <c r="AB56" s="38"/>
      <c r="AC56" s="38"/>
      <c r="AD56" s="38"/>
      <c r="AE56" s="38"/>
    </row>
    <row r="57" spans="1:31" ht="21.2" customHeight="1">
      <c r="A57" s="8" t="s">
        <v>144</v>
      </c>
      <c r="B57" s="34" t="str">
        <f>VLOOKUP(A57,'Player Data'!A1:B734,2,FALSE)</f>
        <v>OTT</v>
      </c>
      <c r="C57" s="36">
        <f>((E57)*Settings!$C$12)+(F57*Settings!$C$2)+(G57*Settings!$C$3)+(H57*Settings!$C$4)+(I57*Settings!$C$5)+(K57*Settings!$C$9)+(N57*Settings!$C$6)+(J57*Settings!$C$8)+(O57*Settings!$C$7)+(P57*Settings!$C$14)+(Q57*Settings!$C$15)+(R57*Settings!$C$16)+(S57*Settings!$C$17)+(T57*Settings!$C$18)+(U57*Settings!$C$19)+(L57*Settings!$C$10)+(Settings!$C$11*M57)</f>
        <v>9.0165551983056726</v>
      </c>
      <c r="D57" s="40">
        <f>IF(Settings!$E$12="YES",VLOOKUP(A57,'Player Data'!A1:E734,5,FALSE),82)</f>
        <v>82</v>
      </c>
      <c r="E57" s="38">
        <f>(VLOOKUP($A57,'The List'!$B1:$AH730,17,FALSE)-AVERAGE('The List'!R2:R730))/STDEV('The List'!R2:R730)</f>
        <v>0.44141892208645928</v>
      </c>
      <c r="F57" s="38">
        <f>(VLOOKUP($A57,'The List'!$B1:$AH730,18,FALSE)-AVERAGE('The List'!S2:S730))/STDEV('The List'!S2:S730)</f>
        <v>1.6974983401498875</v>
      </c>
      <c r="G57" s="38">
        <f>(VLOOKUP($A57,'The List'!$B1:$AH730,19,FALSE)-AVERAGE('The List'!T2:T730))/STDEV('The List'!T2:T730)</f>
        <v>1.310738737544594</v>
      </c>
      <c r="H57" s="38">
        <f>(VLOOKUP($A57,'The List'!$B1:$AH730,20,FALSE)-AVERAGE('The List'!U2:U730))/STDEV('The List'!U2:U730)</f>
        <v>1.5946218766381937</v>
      </c>
      <c r="I57" s="38">
        <f>(VLOOKUP($A57,'The List'!$B1:$AH730,21,FALSE)-AVERAGE('The List'!V2:V730))/STDEV('The List'!V2:V730)</f>
        <v>3.0704990181443232</v>
      </c>
      <c r="J57" s="38">
        <f>(VLOOKUP($A57,'The List'!$B1:$AH730,22,FALSE)-AVERAGE('The List'!W2:W730))/STDEV('The List'!W2:W730)</f>
        <v>1.6248691484023352</v>
      </c>
      <c r="K57" s="38">
        <f>(VLOOKUP($A57,'The List'!$B1:$AH730,23,FALSE)-AVERAGE('The List'!X2:X730))/STDEV('The List'!X2:X730)</f>
        <v>1.3431972258286748</v>
      </c>
      <c r="L57" s="38">
        <f>(VLOOKUP($A57,'The List'!$B1:$AH730,24,FALSE)-AVERAGE('The List'!Y2:Y730))/STDEV('The List'!Y2:Y730)</f>
        <v>-0.48262775946463804</v>
      </c>
      <c r="M57" s="38">
        <f>(VLOOKUP($A57,'The List'!$B1:$AH730,25,FALSE)-AVERAGE('The List'!Z2:Z730))/STDEV('The List'!Z2:Z730)</f>
        <v>-0.65128021602428499</v>
      </c>
      <c r="N57" s="38">
        <f>(VLOOKUP($A57,'The List'!$B1:$AH730,26,FALSE)-AVERAGE('The List'!AA2:AA730))/STDEV('The List'!AA2:AA730)</f>
        <v>-1.1650916380112426</v>
      </c>
      <c r="O57" s="38">
        <f>(VLOOKUP($A57,'The List'!$B1:$AH730,27,FALSE)-AVERAGE('The List'!AB2:AB730))/STDEV('The List'!AB2:AB730)</f>
        <v>2.7922674671485326</v>
      </c>
      <c r="P57" s="38">
        <f>(VLOOKUP($A57,'The List'!$B1:$AH730,28,FALSE)-AVERAGE('The List'!AC2:AC730))/STDEV('The List'!AC2:AC730)</f>
        <v>0.51871967905282357</v>
      </c>
      <c r="Q57" s="38">
        <f>(VLOOKUP($A57,'The List'!$B1:$AH730,29,FALSE)-AVERAGE('The List'!AD2:AD730))/STDEV('The List'!AD2:AD730)</f>
        <v>3.5078347175417925</v>
      </c>
      <c r="R57" s="38">
        <f>(VLOOKUP($A57,'The List'!$B1:$AH730,30,FALSE)-AVERAGE('The List'!AE2:AE730))/STDEV('The List'!AE2:AE730)</f>
        <v>1.7525022443800695</v>
      </c>
      <c r="S57" s="38">
        <f>(VLOOKUP($A57,'The List'!$B1:$AH730,31,FALSE)-AVERAGE('The List'!AF2:AF730))/STDEV('The List'!AF2:AF730)</f>
        <v>0.94031340881478975</v>
      </c>
      <c r="T57" s="38">
        <f>(VLOOKUP($A57,'The List'!$B1:$AH730,32,FALSE)-AVERAGE('The List'!AG2:AG730))/STDEV('The List'!AG2:AG730)</f>
        <v>1.0465684533713715</v>
      </c>
      <c r="U57" s="38">
        <f>(VLOOKUP($A57,'The List'!$B1:$AH730,33,FALSE)-AVERAGE('The List'!AH2:AH730))/STDEV('The List'!AH2:AH730)</f>
        <v>0.96912797020456187</v>
      </c>
      <c r="V57" s="38"/>
      <c r="W57" s="42"/>
      <c r="X57" s="40"/>
      <c r="Y57" s="40"/>
      <c r="Z57" s="40"/>
      <c r="AA57" s="40"/>
      <c r="AB57" s="40"/>
      <c r="AC57" s="43"/>
      <c r="AD57" s="44"/>
      <c r="AE57" s="38"/>
    </row>
    <row r="58" spans="1:31" ht="21.2" customHeight="1">
      <c r="A58" s="8" t="s">
        <v>244</v>
      </c>
      <c r="B58" s="34" t="str">
        <f>VLOOKUP(A58,'Player Data'!A1:B734,2,FALSE)</f>
        <v>VGK</v>
      </c>
      <c r="C58" s="36">
        <f>((E58)*Settings!$C$12)+(F58*Settings!$C$2)+(G58*Settings!$C$3)+(H58*Settings!$C$4)+(I58*Settings!$C$5)+(K58*Settings!$C$9)+(N58*Settings!$C$6)+(J58*Settings!$C$8)+(O58*Settings!$C$7)+(P58*Settings!$C$14)+(Q58*Settings!$C$15)+(R58*Settings!$C$16)+(S58*Settings!$C$17)+(T58*Settings!$C$18)+(U58*Settings!$C$19)+(L58*Settings!$C$10)+(Settings!$C$11*M58)</f>
        <v>6.6284226913136504</v>
      </c>
      <c r="D58" s="40">
        <f>IF(Settings!$E$12="YES",VLOOKUP(A58,'Player Data'!A1:E734,5,FALSE),82)</f>
        <v>82</v>
      </c>
      <c r="E58" s="38">
        <f>(VLOOKUP($A58,'The List'!$B1:$AH730,17,FALSE)-AVERAGE('The List'!R2:R730))/STDEV('The List'!R2:R730)</f>
        <v>0.86734383594898068</v>
      </c>
      <c r="F58" s="38">
        <f>(VLOOKUP($A58,'The List'!$B1:$AH730,18,FALSE)-AVERAGE('The List'!S2:S730))/STDEV('The List'!S2:S730)</f>
        <v>1.3763171469298792</v>
      </c>
      <c r="G58" s="38">
        <f>(VLOOKUP($A58,'The List'!$B1:$AH730,19,FALSE)-AVERAGE('The List'!T2:T730))/STDEV('The List'!T2:T730)</f>
        <v>1.5486956847138988</v>
      </c>
      <c r="H58" s="38">
        <f>(VLOOKUP($A58,'The List'!$B1:$AH730,20,FALSE)-AVERAGE('The List'!U2:U730))/STDEV('The List'!U2:U730)</f>
        <v>1.5915472757367002</v>
      </c>
      <c r="I58" s="38">
        <f>(VLOOKUP($A58,'The List'!$B1:$AH730,21,FALSE)-AVERAGE('The List'!V2:V730))/STDEV('The List'!V2:V730)</f>
        <v>0.98974648556865541</v>
      </c>
      <c r="J58" s="38">
        <f>(VLOOKUP($A58,'The List'!$B1:$AH730,22,FALSE)-AVERAGE('The List'!W2:W730))/STDEV('The List'!W2:W730)</f>
        <v>1.1316669186820796</v>
      </c>
      <c r="K58" s="38">
        <f>(VLOOKUP($A58,'The List'!$B1:$AH730,23,FALSE)-AVERAGE('The List'!X2:X730))/STDEV('The List'!X2:X730)</f>
        <v>1.1221160983645169</v>
      </c>
      <c r="L58" s="38">
        <f>(VLOOKUP($A58,'The List'!$B1:$AH730,24,FALSE)-AVERAGE('The List'!Y2:Y730))/STDEV('The List'!Y2:Y730)</f>
        <v>3.0069833095344483</v>
      </c>
      <c r="M58" s="38">
        <f>(VLOOKUP($A58,'The List'!$B1:$AH730,25,FALSE)-AVERAGE('The List'!Z2:Z730))/STDEV('The List'!Z2:Z730)</f>
        <v>2.0288363897272221</v>
      </c>
      <c r="N58" s="38">
        <f>(VLOOKUP($A58,'The List'!$B1:$AH730,26,FALSE)-AVERAGE('The List'!AA2:AA730))/STDEV('The List'!AA2:AA730)</f>
        <v>-0.43630379750477338</v>
      </c>
      <c r="O58" s="38">
        <f>(VLOOKUP($A58,'The List'!$B1:$AH730,27,FALSE)-AVERAGE('The List'!AB2:AB730))/STDEV('The List'!AB2:AB730)</f>
        <v>-0.7984739363858363</v>
      </c>
      <c r="P58" s="38">
        <f>(VLOOKUP($A58,'The List'!$B1:$AH730,28,FALSE)-AVERAGE('The List'!AC2:AC730))/STDEV('The List'!AC2:AC730)</f>
        <v>1.8617542536457528</v>
      </c>
      <c r="Q58" s="38">
        <f>(VLOOKUP($A58,'The List'!$B1:$AH730,29,FALSE)-AVERAGE('The List'!AD2:AD730))/STDEV('The List'!AD2:AD730)</f>
        <v>-0.30036352882244044</v>
      </c>
      <c r="R58" s="38">
        <f>(VLOOKUP($A58,'The List'!$B1:$AH730,30,FALSE)-AVERAGE('The List'!AE2:AE730))/STDEV('The List'!AE2:AE730)</f>
        <v>1.6711936638428921</v>
      </c>
      <c r="S58" s="38">
        <f>(VLOOKUP($A58,'The List'!$B1:$AH730,31,FALSE)-AVERAGE('The List'!AF2:AF730))/STDEV('The List'!AF2:AF730)</f>
        <v>-0.54515804643694765</v>
      </c>
      <c r="T58" s="38">
        <f>(VLOOKUP($A58,'The List'!$B1:$AH730,32,FALSE)-AVERAGE('The List'!AG2:AG730))/STDEV('The List'!AG2:AG730)</f>
        <v>-0.53874527703140374</v>
      </c>
      <c r="U58" s="38">
        <f>(VLOOKUP($A58,'The List'!$B1:$AH730,33,FALSE)-AVERAGE('The List'!AH2:AH730))/STDEV('The List'!AH2:AH730)</f>
        <v>-0.11661856174998256</v>
      </c>
      <c r="V58" s="38"/>
      <c r="W58" s="40"/>
      <c r="X58" s="40"/>
      <c r="Y58" s="40"/>
      <c r="Z58" s="40"/>
      <c r="AA58" s="40"/>
      <c r="AB58" s="40"/>
      <c r="AC58" s="43"/>
      <c r="AD58" s="44"/>
      <c r="AE58" s="38"/>
    </row>
    <row r="59" spans="1:31" ht="21.2" customHeight="1">
      <c r="A59" s="8" t="s">
        <v>205</v>
      </c>
      <c r="B59" s="34" t="str">
        <f>VLOOKUP(A59,'Player Data'!A1:B734,2,FALSE)</f>
        <v>NSH</v>
      </c>
      <c r="C59" s="36">
        <f>((E59)*Settings!$C$12)+(F59*Settings!$C$2)+(G59*Settings!$C$3)+(H59*Settings!$C$4)+(I59*Settings!$C$5)+(K59*Settings!$C$9)+(N59*Settings!$C$6)+(J59*Settings!$C$8)+(O59*Settings!$C$7)+(P59*Settings!$C$14)+(Q59*Settings!$C$15)+(R59*Settings!$C$16)+(S59*Settings!$C$17)+(T59*Settings!$C$18)+(U59*Settings!$C$19)+(L59*Settings!$C$10)+(Settings!$C$11*M59)</f>
        <v>8.4953956584473396</v>
      </c>
      <c r="D59" s="40">
        <f>IF(Settings!$E$12="YES",VLOOKUP(A59,'Player Data'!A1:E734,5,FALSE),82)</f>
        <v>82</v>
      </c>
      <c r="E59" s="38">
        <f>(VLOOKUP($A59,'The List'!$B1:$AH730,17,FALSE)-AVERAGE('The List'!R2:R730))/STDEV('The List'!R2:R730)</f>
        <v>0.24392960500289321</v>
      </c>
      <c r="F59" s="38">
        <f>(VLOOKUP($A59,'The List'!$B1:$AH730,18,FALSE)-AVERAGE('The List'!S2:S730))/STDEV('The List'!S2:S730)</f>
        <v>2.0475011459910539</v>
      </c>
      <c r="G59" s="38">
        <f>(VLOOKUP($A59,'The List'!$B1:$AH730,19,FALSE)-AVERAGE('The List'!T2:T730))/STDEV('The List'!T2:T730)</f>
        <v>1.3053823321799922</v>
      </c>
      <c r="H59" s="38">
        <f>(VLOOKUP($A59,'The List'!$B1:$AH730,20,FALSE)-AVERAGE('The List'!U2:U730))/STDEV('The List'!U2:U730)</f>
        <v>1.7540370535888639</v>
      </c>
      <c r="I59" s="38">
        <f>(VLOOKUP($A59,'The List'!$B1:$AH730,21,FALSE)-AVERAGE('The List'!V2:V730))/STDEV('The List'!V2:V730)</f>
        <v>1.8784173413992429</v>
      </c>
      <c r="J59" s="38">
        <f>(VLOOKUP($A59,'The List'!$B1:$AH730,22,FALSE)-AVERAGE('The List'!W2:W730))/STDEV('The List'!W2:W730)</f>
        <v>1.3016886399410867</v>
      </c>
      <c r="K59" s="38">
        <f>(VLOOKUP($A59,'The List'!$B1:$AH730,23,FALSE)-AVERAGE('The List'!X2:X730))/STDEV('The List'!X2:X730)</f>
        <v>1.5100577852881862</v>
      </c>
      <c r="L59" s="38">
        <f>(VLOOKUP($A59,'The List'!$B1:$AH730,24,FALSE)-AVERAGE('The List'!Y2:Y730))/STDEV('The List'!Y2:Y730)</f>
        <v>-0.50760296700836205</v>
      </c>
      <c r="M59" s="38">
        <f>(VLOOKUP($A59,'The List'!$B1:$AH730,25,FALSE)-AVERAGE('The List'!Z2:Z730))/STDEV('The List'!Z2:Z730)</f>
        <v>-0.68400939549125694</v>
      </c>
      <c r="N59" s="38">
        <f>(VLOOKUP($A59,'The List'!$B1:$AH730,26,FALSE)-AVERAGE('The List'!AA2:AA730))/STDEV('The List'!AA2:AA730)</f>
        <v>-0.61189879271311409</v>
      </c>
      <c r="O59" s="38">
        <f>(VLOOKUP($A59,'The List'!$B1:$AH730,27,FALSE)-AVERAGE('The List'!AB2:AB730))/STDEV('The List'!AB2:AB730)</f>
        <v>0.49229821702429444</v>
      </c>
      <c r="P59" s="38">
        <f>(VLOOKUP($A59,'The List'!$B1:$AH730,28,FALSE)-AVERAGE('The List'!AC2:AC730))/STDEV('The List'!AC2:AC730)</f>
        <v>-1.6212188983413933E-2</v>
      </c>
      <c r="Q59" s="38">
        <f>(VLOOKUP($A59,'The List'!$B1:$AH730,29,FALSE)-AVERAGE('The List'!AD2:AD730))/STDEV('The List'!AD2:AD730)</f>
        <v>-0.24586929734662044</v>
      </c>
      <c r="R59" s="38">
        <f>(VLOOKUP($A59,'The List'!$B1:$AH730,30,FALSE)-AVERAGE('The List'!AE2:AE730))/STDEV('The List'!AE2:AE730)</f>
        <v>1.9982462343625789</v>
      </c>
      <c r="S59" s="38">
        <f>(VLOOKUP($A59,'The List'!$B1:$AH730,31,FALSE)-AVERAGE('The List'!AF2:AF730))/STDEV('The List'!AF2:AF730)</f>
        <v>-0.5614543034540036</v>
      </c>
      <c r="T59" s="38">
        <f>(VLOOKUP($A59,'The List'!$B1:$AH730,32,FALSE)-AVERAGE('The List'!AG2:AG730))/STDEV('The List'!AG2:AG730)</f>
        <v>-0.6074429349468361</v>
      </c>
      <c r="U59" s="38">
        <f>(VLOOKUP($A59,'The List'!$B1:$AH730,33,FALSE)-AVERAGE('The List'!AH2:AH730))/STDEV('The List'!AH2:AH730)</f>
        <v>1.0780892531499553</v>
      </c>
      <c r="V59" s="38"/>
      <c r="W59" s="40"/>
      <c r="X59" s="38"/>
      <c r="Y59" s="38"/>
      <c r="Z59" s="38"/>
      <c r="AA59" s="38"/>
      <c r="AB59" s="38"/>
      <c r="AC59" s="38"/>
      <c r="AD59" s="38"/>
      <c r="AE59" s="38"/>
    </row>
    <row r="60" spans="1:31" ht="21.2" customHeight="1">
      <c r="A60" s="8" t="s">
        <v>160</v>
      </c>
      <c r="B60" s="34" t="str">
        <f>VLOOKUP(A60,'Player Data'!A1:B734,2,FALSE)</f>
        <v>CAR</v>
      </c>
      <c r="C60" s="36">
        <f>((E60)*Settings!$C$12)+(F60*Settings!$C$2)+(G60*Settings!$C$3)+(H60*Settings!$C$4)+(I60*Settings!$C$5)+(K60*Settings!$C$9)+(N60*Settings!$C$6)+(J60*Settings!$C$8)+(O60*Settings!$C$7)+(P60*Settings!$C$14)+(Q60*Settings!$C$15)+(R60*Settings!$C$16)+(S60*Settings!$C$17)+(T60*Settings!$C$18)+(U60*Settings!$C$19)+(L60*Settings!$C$10)+(Settings!$C$11*M60)</f>
        <v>8.4864292448964616</v>
      </c>
      <c r="D60" s="40">
        <f>IF(Settings!$E$12="YES",VLOOKUP(A60,'Player Data'!A1:E734,5,FALSE),82)</f>
        <v>82</v>
      </c>
      <c r="E60" s="38">
        <f>(VLOOKUP($A60,'The List'!$B1:$AH730,17,FALSE)-AVERAGE('The List'!R2:R730))/STDEV('The List'!R2:R730)</f>
        <v>0.40203448054687529</v>
      </c>
      <c r="F60" s="38">
        <f>(VLOOKUP($A60,'The List'!$B1:$AH730,18,FALSE)-AVERAGE('The List'!S2:S730))/STDEV('The List'!S2:S730)</f>
        <v>1.744955949217968</v>
      </c>
      <c r="G60" s="38">
        <f>(VLOOKUP($A60,'The List'!$B1:$AH730,19,FALSE)-AVERAGE('The List'!T2:T730))/STDEV('The List'!T2:T730)</f>
        <v>1.5230530496828925</v>
      </c>
      <c r="H60" s="38">
        <f>(VLOOKUP($A60,'The List'!$B1:$AH730,20,FALSE)-AVERAGE('The List'!U2:U730))/STDEV('The List'!U2:U730)</f>
        <v>1.7471591404873381</v>
      </c>
      <c r="I60" s="38">
        <f>(VLOOKUP($A60,'The List'!$B1:$AH730,21,FALSE)-AVERAGE('The List'!V2:V730))/STDEV('The List'!V2:V730)</f>
        <v>1.9801474000328767</v>
      </c>
      <c r="J60" s="38">
        <f>(VLOOKUP($A60,'The List'!$B1:$AH730,22,FALSE)-AVERAGE('The List'!W2:W730))/STDEV('The List'!W2:W730)</f>
        <v>1.2342793030031767</v>
      </c>
      <c r="K60" s="38">
        <f>(VLOOKUP($A60,'The List'!$B1:$AH730,23,FALSE)-AVERAGE('The List'!X2:X730))/STDEV('The List'!X2:X730)</f>
        <v>1.4911137054753858</v>
      </c>
      <c r="L60" s="38">
        <f>(VLOOKUP($A60,'The List'!$B1:$AH730,24,FALSE)-AVERAGE('The List'!Y2:Y730))/STDEV('The List'!Y2:Y730)</f>
        <v>-0.49816574150235454</v>
      </c>
      <c r="M60" s="38">
        <f>(VLOOKUP($A60,'The List'!$B1:$AH730,25,FALSE)-AVERAGE('The List'!Z2:Z730))/STDEV('The List'!Z2:Z730)</f>
        <v>-0.67050305274241617</v>
      </c>
      <c r="N60" s="38">
        <f>(VLOOKUP($A60,'The List'!$B1:$AH730,26,FALSE)-AVERAGE('The List'!AA2:AA730))/STDEV('The List'!AA2:AA730)</f>
        <v>-1.0287534431870791</v>
      </c>
      <c r="O60" s="38">
        <f>(VLOOKUP($A60,'The List'!$B1:$AH730,27,FALSE)-AVERAGE('The List'!AB2:AB730))/STDEV('The List'!AB2:AB730)</f>
        <v>1.4272377432542707</v>
      </c>
      <c r="P60" s="38">
        <f>(VLOOKUP($A60,'The List'!$B1:$AH730,28,FALSE)-AVERAGE('The List'!AC2:AC730))/STDEV('The List'!AC2:AC730)</f>
        <v>2.1327713774303647</v>
      </c>
      <c r="Q60" s="38">
        <f>(VLOOKUP($A60,'The List'!$B1:$AH730,29,FALSE)-AVERAGE('The List'!AD2:AD730))/STDEV('The List'!AD2:AD730)</f>
        <v>2.5037542740068468</v>
      </c>
      <c r="R60" s="38">
        <f>(VLOOKUP($A60,'The List'!$B1:$AH730,30,FALSE)-AVERAGE('The List'!AE2:AE730))/STDEV('The List'!AE2:AE730)</f>
        <v>2.387984077571673</v>
      </c>
      <c r="S60" s="38">
        <f>(VLOOKUP($A60,'The List'!$B1:$AH730,31,FALSE)-AVERAGE('The List'!AF2:AF730))/STDEV('The List'!AF2:AF730)</f>
        <v>-0.55707867326776239</v>
      </c>
      <c r="T60" s="38">
        <f>(VLOOKUP($A60,'The List'!$B1:$AH730,32,FALSE)-AVERAGE('The List'!AG2:AG730))/STDEV('The List'!AG2:AG730)</f>
        <v>-0.57664361268827746</v>
      </c>
      <c r="U60" s="38">
        <f>(VLOOKUP($A60,'The List'!$B1:$AH730,33,FALSE)-AVERAGE('The List'!AH2:AH730))/STDEV('The List'!AH2:AH730)</f>
        <v>-0.11867510585939758</v>
      </c>
      <c r="V60" s="38"/>
      <c r="W60" s="40"/>
      <c r="X60" s="40"/>
      <c r="Y60" s="40"/>
      <c r="Z60" s="40"/>
      <c r="AA60" s="40"/>
      <c r="AB60" s="40"/>
      <c r="AC60" s="43"/>
      <c r="AD60" s="44"/>
      <c r="AE60" s="38"/>
    </row>
    <row r="61" spans="1:31" ht="21.2" customHeight="1">
      <c r="A61" s="8" t="s">
        <v>123</v>
      </c>
      <c r="B61" s="34" t="str">
        <f>VLOOKUP(A61,'Player Data'!A1:B734,2,FALSE)</f>
        <v>NYR</v>
      </c>
      <c r="C61" s="36">
        <f>((E61)*Settings!$C$12)+(F61*Settings!$C$2)+(G61*Settings!$C$3)+(H61*Settings!$C$4)+(I61*Settings!$C$5)+(K61*Settings!$C$9)+(N61*Settings!$C$6)+(J61*Settings!$C$8)+(O61*Settings!$C$7)+(P61*Settings!$C$14)+(Q61*Settings!$C$15)+(R61*Settings!$C$16)+(S61*Settings!$C$17)+(T61*Settings!$C$18)+(U61*Settings!$C$19)+(L61*Settings!$C$10)+(Settings!$C$11*M61)</f>
        <v>6.757821943977536</v>
      </c>
      <c r="D61" s="40">
        <f>IF(Settings!$E$12="YES",VLOOKUP(A61,'Player Data'!A1:E734,5,FALSE),82)</f>
        <v>82</v>
      </c>
      <c r="E61" s="38">
        <f>(VLOOKUP($A61,'The List'!$B1:$AH730,17,FALSE)-AVERAGE('The List'!R2:R730))/STDEV('The List'!R2:R730)</f>
        <v>2.1485377103895065</v>
      </c>
      <c r="F61" s="38">
        <f>(VLOOKUP($A61,'The List'!$B1:$AH730,18,FALSE)-AVERAGE('The List'!S2:S730))/STDEV('The List'!S2:S730)</f>
        <v>-0.30285540145136308</v>
      </c>
      <c r="G61" s="38">
        <f>(VLOOKUP($A61,'The List'!$B1:$AH730,19,FALSE)-AVERAGE('The List'!T2:T730))/STDEV('The List'!T2:T730)</f>
        <v>2.7995477341701642</v>
      </c>
      <c r="H61" s="38">
        <f>(VLOOKUP($A61,'The List'!$B1:$AH730,20,FALSE)-AVERAGE('The List'!U2:U730))/STDEV('The List'!U2:U730)</f>
        <v>1.5796428724814735</v>
      </c>
      <c r="I61" s="38">
        <f>(VLOOKUP($A61,'The List'!$B1:$AH730,21,FALSE)-AVERAGE('The List'!V2:V730))/STDEV('The List'!V2:V730)</f>
        <v>0.35157511847962825</v>
      </c>
      <c r="J61" s="38">
        <f>(VLOOKUP($A61,'The List'!$B1:$AH730,22,FALSE)-AVERAGE('The List'!W2:W730))/STDEV('The List'!W2:W730)</f>
        <v>-0.40166173267635347</v>
      </c>
      <c r="K61" s="38">
        <f>(VLOOKUP($A61,'The List'!$B1:$AH730,23,FALSE)-AVERAGE('The List'!X2:X730))/STDEV('The List'!X2:X730)</f>
        <v>2.3299116202976333</v>
      </c>
      <c r="L61" s="38">
        <f>(VLOOKUP($A61,'The List'!$B1:$AH730,24,FALSE)-AVERAGE('The List'!Y2:Y730))/STDEV('The List'!Y2:Y730)</f>
        <v>0.25809027262543255</v>
      </c>
      <c r="M61" s="38">
        <f>(VLOOKUP($A61,'The List'!$B1:$AH730,25,FALSE)-AVERAGE('The List'!Z2:Z730))/STDEV('The List'!Z2:Z730)</f>
        <v>1.9091844180208521</v>
      </c>
      <c r="N61" s="38">
        <f>(VLOOKUP($A61,'The List'!$B1:$AH730,26,FALSE)-AVERAGE('The List'!AA2:AA730))/STDEV('The List'!AA2:AA730)</f>
        <v>1.5817908011048993</v>
      </c>
      <c r="O61" s="38">
        <f>(VLOOKUP($A61,'The List'!$B1:$AH730,27,FALSE)-AVERAGE('The List'!AB2:AB730))/STDEV('The List'!AB2:AB730)</f>
        <v>-1.2110499962211718</v>
      </c>
      <c r="P61" s="38">
        <f>(VLOOKUP($A61,'The List'!$B1:$AH730,28,FALSE)-AVERAGE('The List'!AC2:AC730))/STDEV('The List'!AC2:AC730)</f>
        <v>1.7294219611055208</v>
      </c>
      <c r="Q61" s="38">
        <f>(VLOOKUP($A61,'The List'!$B1:$AH730,29,FALSE)-AVERAGE('The List'!AD2:AD730))/STDEV('The List'!AD2:AD730)</f>
        <v>-0.15974304143269805</v>
      </c>
      <c r="R61" s="38">
        <f>(VLOOKUP($A61,'The List'!$B1:$AH730,30,FALSE)-AVERAGE('The List'!AE2:AE730))/STDEV('The List'!AE2:AE730)</f>
        <v>-6.745054147420089E-2</v>
      </c>
      <c r="S61" s="38">
        <f>(VLOOKUP($A61,'The List'!$B1:$AH730,31,FALSE)-AVERAGE('The List'!AF2:AF730))/STDEV('The List'!AF2:AF730)</f>
        <v>-0.56911587195029545</v>
      </c>
      <c r="T61" s="38">
        <f>(VLOOKUP($A61,'The List'!$B1:$AH730,32,FALSE)-AVERAGE('The List'!AG2:AG730))/STDEV('The List'!AG2:AG730)</f>
        <v>-0.61433602941178533</v>
      </c>
      <c r="U61" s="38">
        <f>(VLOOKUP($A61,'The List'!$B1:$AH730,33,FALSE)-AVERAGE('The List'!AH2:AH730))/STDEV('The List'!AH2:AH730)</f>
        <v>-1.2363238714825984</v>
      </c>
      <c r="V61" s="38"/>
      <c r="W61" s="40"/>
      <c r="X61" s="38"/>
      <c r="Y61" s="38"/>
      <c r="Z61" s="38"/>
      <c r="AA61" s="38"/>
      <c r="AB61" s="38"/>
      <c r="AC61" s="38"/>
      <c r="AD61" s="38"/>
      <c r="AE61" s="38"/>
    </row>
    <row r="62" spans="1:31" ht="21.2" customHeight="1">
      <c r="A62" s="8" t="s">
        <v>203</v>
      </c>
      <c r="B62" s="34" t="str">
        <f>VLOOKUP(A62,'Player Data'!A1:B734,2,FALSE)</f>
        <v>PIT</v>
      </c>
      <c r="C62" s="36">
        <f>((E62)*Settings!$C$12)+(F62*Settings!$C$2)+(G62*Settings!$C$3)+(H62*Settings!$C$4)+(I62*Settings!$C$5)+(K62*Settings!$C$9)+(N62*Settings!$C$6)+(J62*Settings!$C$8)+(O62*Settings!$C$7)+(P62*Settings!$C$14)+(Q62*Settings!$C$15)+(R62*Settings!$C$16)+(S62*Settings!$C$17)+(T62*Settings!$C$18)+(U62*Settings!$C$19)+(L62*Settings!$C$10)+(Settings!$C$11*M62)</f>
        <v>9.1129813337351067</v>
      </c>
      <c r="D62" s="40">
        <f>IF(Settings!$E$12="YES",VLOOKUP(A62,'Player Data'!A1:E734,5,FALSE),82)</f>
        <v>82</v>
      </c>
      <c r="E62" s="38">
        <f>(VLOOKUP($A62,'The List'!$B1:$AH730,17,FALSE)-AVERAGE('The List'!R2:R730))/STDEV('The List'!R2:R730)</f>
        <v>0.49876418807696965</v>
      </c>
      <c r="F62" s="38">
        <f>(VLOOKUP($A62,'The List'!$B1:$AH730,18,FALSE)-AVERAGE('The List'!S2:S730))/STDEV('The List'!S2:S730)</f>
        <v>1.2721711263025741</v>
      </c>
      <c r="G62" s="38">
        <f>(VLOOKUP($A62,'The List'!$B1:$AH730,19,FALSE)-AVERAGE('The List'!T2:T730))/STDEV('The List'!T2:T730)</f>
        <v>1.8633803443415209</v>
      </c>
      <c r="H62" s="38">
        <f>(VLOOKUP($A62,'The List'!$B1:$AH730,20,FALSE)-AVERAGE('The List'!U2:U730))/STDEV('The List'!U2:U730)</f>
        <v>1.7365186917373179</v>
      </c>
      <c r="I62" s="38">
        <f>(VLOOKUP($A62,'The List'!$B1:$AH730,21,FALSE)-AVERAGE('The List'!V2:V730))/STDEV('The List'!V2:V730)</f>
        <v>1.5816203478825244</v>
      </c>
      <c r="J62" s="38">
        <f>(VLOOKUP($A62,'The List'!$B1:$AH730,22,FALSE)-AVERAGE('The List'!W2:W730))/STDEV('The List'!W2:W730)</f>
        <v>2.3759723692518873</v>
      </c>
      <c r="K62" s="38">
        <f>(VLOOKUP($A62,'The List'!$B1:$AH730,23,FALSE)-AVERAGE('The List'!X2:X730))/STDEV('The List'!X2:X730)</f>
        <v>2.659290823471169</v>
      </c>
      <c r="L62" s="38">
        <f>(VLOOKUP($A62,'The List'!$B1:$AH730,24,FALSE)-AVERAGE('The List'!Y2:Y730))/STDEV('The List'!Y2:Y730)</f>
        <v>-0.51592151474615311</v>
      </c>
      <c r="M62" s="38">
        <f>(VLOOKUP($A62,'The List'!$B1:$AH730,25,FALSE)-AVERAGE('The List'!Z2:Z730))/STDEV('The List'!Z2:Z730)</f>
        <v>-0.6952222985618669</v>
      </c>
      <c r="N62" s="38">
        <f>(VLOOKUP($A62,'The List'!$B1:$AH730,26,FALSE)-AVERAGE('The List'!AA2:AA730))/STDEV('The List'!AA2:AA730)</f>
        <v>-0.75681298061665114</v>
      </c>
      <c r="O62" s="38">
        <f>(VLOOKUP($A62,'The List'!$B1:$AH730,27,FALSE)-AVERAGE('The List'!AB2:AB730))/STDEV('The List'!AB2:AB730)</f>
        <v>-0.91833627586367361</v>
      </c>
      <c r="P62" s="38">
        <f>(VLOOKUP($A62,'The List'!$B1:$AH730,28,FALSE)-AVERAGE('The List'!AC2:AC730))/STDEV('The List'!AC2:AC730)</f>
        <v>0.63498289290920307</v>
      </c>
      <c r="Q62" s="38">
        <f>(VLOOKUP($A62,'The List'!$B1:$AH730,29,FALSE)-AVERAGE('The List'!AD2:AD730))/STDEV('The List'!AD2:AD730)</f>
        <v>1.1322332474617005</v>
      </c>
      <c r="R62" s="38">
        <f>(VLOOKUP($A62,'The List'!$B1:$AH730,30,FALSE)-AVERAGE('The List'!AE2:AE730))/STDEV('The List'!AE2:AE730)</f>
        <v>1.5103318394717813</v>
      </c>
      <c r="S62" s="38">
        <f>(VLOOKUP($A62,'The List'!$B1:$AH730,31,FALSE)-AVERAGE('The List'!AF2:AF730))/STDEV('The List'!AF2:AF730)</f>
        <v>1.2849042010298504</v>
      </c>
      <c r="T62" s="38">
        <f>(VLOOKUP($A62,'The List'!$B1:$AH730,32,FALSE)-AVERAGE('The List'!AG2:AG730))/STDEV('The List'!AG2:AG730)</f>
        <v>1.5874803843362031</v>
      </c>
      <c r="U62" s="38">
        <f>(VLOOKUP($A62,'The List'!$B1:$AH730,33,FALSE)-AVERAGE('The List'!AH2:AH730))/STDEV('The List'!AH2:AH730)</f>
        <v>0.88327605661716835</v>
      </c>
      <c r="V62" s="38"/>
      <c r="W62" s="42"/>
      <c r="X62" s="40"/>
      <c r="Y62" s="40"/>
      <c r="Z62" s="40"/>
      <c r="AA62" s="40"/>
      <c r="AB62" s="40"/>
      <c r="AC62" s="43"/>
      <c r="AD62" s="44"/>
      <c r="AE62" s="38"/>
    </row>
    <row r="63" spans="1:31" ht="21.2" customHeight="1">
      <c r="A63" s="8" t="s">
        <v>197</v>
      </c>
      <c r="B63" s="34" t="str">
        <f>VLOOKUP(A63,'Player Data'!A1:B734,2,FALSE)</f>
        <v>FLA</v>
      </c>
      <c r="C63" s="36">
        <f>((E63)*Settings!$C$12)+(F63*Settings!$C$2)+(G63*Settings!$C$3)+(H63*Settings!$C$4)+(I63*Settings!$C$5)+(K63*Settings!$C$9)+(N63*Settings!$C$6)+(J63*Settings!$C$8)+(O63*Settings!$C$7)+(P63*Settings!$C$14)+(Q63*Settings!$C$15)+(R63*Settings!$C$16)+(S63*Settings!$C$17)+(T63*Settings!$C$18)+(U63*Settings!$C$19)+(L63*Settings!$C$10)+(Settings!$C$11*M63)</f>
        <v>7.311458974838196</v>
      </c>
      <c r="D63" s="40">
        <f>IF(Settings!$E$12="YES",VLOOKUP(A63,'Player Data'!A1:E734,5,FALSE),82)</f>
        <v>82</v>
      </c>
      <c r="E63" s="38">
        <f>(VLOOKUP($A63,'The List'!$B1:$AH730,17,FALSE)-AVERAGE('The List'!R2:R730))/STDEV('The List'!R2:R730)</f>
        <v>0.48477756022975721</v>
      </c>
      <c r="F63" s="38">
        <f>(VLOOKUP($A63,'The List'!$B1:$AH730,18,FALSE)-AVERAGE('The List'!S2:S730))/STDEV('The List'!S2:S730)</f>
        <v>2.2065592476070384</v>
      </c>
      <c r="G63" s="38">
        <f>(VLOOKUP($A63,'The List'!$B1:$AH730,19,FALSE)-AVERAGE('The List'!T2:T730))/STDEV('The List'!T2:T730)</f>
        <v>0.86653709017629899</v>
      </c>
      <c r="H63" s="38">
        <f>(VLOOKUP($A63,'The List'!$B1:$AH730,20,FALSE)-AVERAGE('The List'!U2:U730))/STDEV('The List'!U2:U730)</f>
        <v>1.5582912263383757</v>
      </c>
      <c r="I63" s="38">
        <f>(VLOOKUP($A63,'The List'!$B1:$AH730,21,FALSE)-AVERAGE('The List'!V2:V730))/STDEV('The List'!V2:V730)</f>
        <v>2.0651780642150261</v>
      </c>
      <c r="J63" s="38">
        <f>(VLOOKUP($A63,'The List'!$B1:$AH730,22,FALSE)-AVERAGE('The List'!W2:W730))/STDEV('The List'!W2:W730)</f>
        <v>1.0464143299578592</v>
      </c>
      <c r="K63" s="38">
        <f>(VLOOKUP($A63,'The List'!$B1:$AH730,23,FALSE)-AVERAGE('The List'!X2:X730))/STDEV('The List'!X2:X730)</f>
        <v>0.61489334650145733</v>
      </c>
      <c r="L63" s="38">
        <f>(VLOOKUP($A63,'The List'!$B1:$AH730,24,FALSE)-AVERAGE('The List'!Y2:Y730))/STDEV('The List'!Y2:Y730)</f>
        <v>-0.49372636538743164</v>
      </c>
      <c r="M63" s="38">
        <f>(VLOOKUP($A63,'The List'!$B1:$AH730,25,FALSE)-AVERAGE('The List'!Z2:Z730))/STDEV('The List'!Z2:Z730)</f>
        <v>-0.67835324056484092</v>
      </c>
      <c r="N63" s="38">
        <f>(VLOOKUP($A63,'The List'!$B1:$AH730,26,FALSE)-AVERAGE('The List'!AA2:AA730))/STDEV('The List'!AA2:AA730)</f>
        <v>-0.85878401573618901</v>
      </c>
      <c r="O63" s="38">
        <f>(VLOOKUP($A63,'The List'!$B1:$AH730,27,FALSE)-AVERAGE('The List'!AB2:AB730))/STDEV('The List'!AB2:AB730)</f>
        <v>-1.1587964757277145</v>
      </c>
      <c r="P63" s="38">
        <f>(VLOOKUP($A63,'The List'!$B1:$AH730,28,FALSE)-AVERAGE('The List'!AC2:AC730))/STDEV('The List'!AC2:AC730)</f>
        <v>1.6675852200563475</v>
      </c>
      <c r="Q63" s="38">
        <f>(VLOOKUP($A63,'The List'!$B1:$AH730,29,FALSE)-AVERAGE('The List'!AD2:AD730))/STDEV('The List'!AD2:AD730)</f>
        <v>1.0915469912628233</v>
      </c>
      <c r="R63" s="38">
        <f>(VLOOKUP($A63,'The List'!$B1:$AH730,30,FALSE)-AVERAGE('The List'!AE2:AE730))/STDEV('The List'!AE2:AE730)</f>
        <v>2.0895539280178035</v>
      </c>
      <c r="S63" s="38">
        <f>(VLOOKUP($A63,'The List'!$B1:$AH730,31,FALSE)-AVERAGE('The List'!AF2:AF730))/STDEV('The List'!AF2:AF730)</f>
        <v>-0.44973298263685568</v>
      </c>
      <c r="T63" s="38">
        <f>(VLOOKUP($A63,'The List'!$B1:$AH730,32,FALSE)-AVERAGE('The List'!AG2:AG730))/STDEV('The List'!AG2:AG730)</f>
        <v>-0.51030553928890143</v>
      </c>
      <c r="U63" s="38">
        <f>(VLOOKUP($A63,'The List'!$B1:$AH730,33,FALSE)-AVERAGE('The List'!AH2:AH730))/STDEV('The List'!AH2:AH730)</f>
        <v>1.2242159400203485</v>
      </c>
      <c r="V63" s="38"/>
      <c r="W63" s="40"/>
      <c r="X63" s="40"/>
      <c r="Y63" s="40"/>
      <c r="Z63" s="40"/>
      <c r="AA63" s="40"/>
      <c r="AB63" s="40"/>
      <c r="AC63" s="43"/>
      <c r="AD63" s="44"/>
      <c r="AE63" s="38"/>
    </row>
    <row r="64" spans="1:31" ht="21.2" customHeight="1">
      <c r="A64" s="8" t="s">
        <v>186</v>
      </c>
      <c r="B64" s="34" t="str">
        <f>VLOOKUP(A64,'Player Data'!A1:B734,2,FALSE)</f>
        <v>ANA</v>
      </c>
      <c r="C64" s="36">
        <f>((E64)*Settings!$C$12)+(F64*Settings!$C$2)+(G64*Settings!$C$3)+(H64*Settings!$C$4)+(I64*Settings!$C$5)+(K64*Settings!$C$9)+(N64*Settings!$C$6)+(J64*Settings!$C$8)+(O64*Settings!$C$7)+(P64*Settings!$C$14)+(Q64*Settings!$C$15)+(R64*Settings!$C$16)+(S64*Settings!$C$17)+(T64*Settings!$C$18)+(U64*Settings!$C$19)+(L64*Settings!$C$10)+(Settings!$C$11*M64)</f>
        <v>7.2104285715631136</v>
      </c>
      <c r="D64" s="40">
        <f>IF(Settings!$E$12="YES",VLOOKUP(A64,'Player Data'!A1:E734,5,FALSE),82)</f>
        <v>82</v>
      </c>
      <c r="E64" s="38">
        <f>(VLOOKUP($A64,'The List'!$B1:$AH730,17,FALSE)-AVERAGE('The List'!R2:R730))/STDEV('The List'!R2:R730)</f>
        <v>0.74677553942065178</v>
      </c>
      <c r="F64" s="38">
        <f>(VLOOKUP($A64,'The List'!$B1:$AH730,18,FALSE)-AVERAGE('The List'!S2:S730))/STDEV('The List'!S2:S730)</f>
        <v>1.3414839412930086</v>
      </c>
      <c r="G64" s="38">
        <f>(VLOOKUP($A64,'The List'!$B1:$AH730,19,FALSE)-AVERAGE('The List'!T2:T730))/STDEV('The List'!T2:T730)</f>
        <v>1.7769223993731884</v>
      </c>
      <c r="H64" s="38">
        <f>(VLOOKUP($A64,'The List'!$B1:$AH730,20,FALSE)-AVERAGE('The List'!U2:U730))/STDEV('The List'!U2:U730)</f>
        <v>1.7156085485472832</v>
      </c>
      <c r="I64" s="38">
        <f>(VLOOKUP($A64,'The List'!$B1:$AH730,21,FALSE)-AVERAGE('The List'!V2:V730))/STDEV('The List'!V2:V730)</f>
        <v>1.0553997040763041</v>
      </c>
      <c r="J64" s="38">
        <f>(VLOOKUP($A64,'The List'!$B1:$AH730,22,FALSE)-AVERAGE('The List'!W2:W730))/STDEV('The List'!W2:W730)</f>
        <v>1.1854097198309494</v>
      </c>
      <c r="K64" s="38">
        <f>(VLOOKUP($A64,'The List'!$B1:$AH730,23,FALSE)-AVERAGE('The List'!X2:X730))/STDEV('The List'!X2:X730)</f>
        <v>1.3210139782733294</v>
      </c>
      <c r="L64" s="38">
        <f>(VLOOKUP($A64,'The List'!$B1:$AH730,24,FALSE)-AVERAGE('The List'!Y2:Y730))/STDEV('The List'!Y2:Y730)</f>
        <v>-0.47988297696785243</v>
      </c>
      <c r="M64" s="38">
        <f>(VLOOKUP($A64,'The List'!$B1:$AH730,25,FALSE)-AVERAGE('The List'!Z2:Z730))/STDEV('The List'!Z2:Z730)</f>
        <v>-0.6471373173579148</v>
      </c>
      <c r="N64" s="38">
        <f>(VLOOKUP($A64,'The List'!$B1:$AH730,26,FALSE)-AVERAGE('The List'!AA2:AA730))/STDEV('The List'!AA2:AA730)</f>
        <v>-0.83046138214803145</v>
      </c>
      <c r="O64" s="38">
        <f>(VLOOKUP($A64,'The List'!$B1:$AH730,27,FALSE)-AVERAGE('The List'!AB2:AB730))/STDEV('The List'!AB2:AB730)</f>
        <v>-0.90497778414073105</v>
      </c>
      <c r="P64" s="38">
        <f>(VLOOKUP($A64,'The List'!$B1:$AH730,28,FALSE)-AVERAGE('The List'!AC2:AC730))/STDEV('The List'!AC2:AC730)</f>
        <v>-2.3088561995006751</v>
      </c>
      <c r="Q64" s="38">
        <f>(VLOOKUP($A64,'The List'!$B1:$AH730,29,FALSE)-AVERAGE('The List'!AD2:AD730))/STDEV('The List'!AD2:AD730)</f>
        <v>1.1759207408244341</v>
      </c>
      <c r="R64" s="38">
        <f>(VLOOKUP($A64,'The List'!$B1:$AH730,30,FALSE)-AVERAGE('The List'!AE2:AE730))/STDEV('The List'!AE2:AE730)</f>
        <v>0.44110519355430089</v>
      </c>
      <c r="S64" s="38">
        <f>(VLOOKUP($A64,'The List'!$B1:$AH730,31,FALSE)-AVERAGE('The List'!AF2:AF730))/STDEV('The List'!AF2:AF730)</f>
        <v>0.5733155625625348</v>
      </c>
      <c r="T64" s="38">
        <f>(VLOOKUP($A64,'The List'!$B1:$AH730,32,FALSE)-AVERAGE('The List'!AG2:AG730))/STDEV('The List'!AG2:AG730)</f>
        <v>1.1104222577244458</v>
      </c>
      <c r="U64" s="38">
        <f>(VLOOKUP($A64,'The List'!$B1:$AH730,33,FALSE)-AVERAGE('The List'!AH2:AH730))/STDEV('The List'!AH2:AH730)</f>
        <v>0.61645193510334362</v>
      </c>
      <c r="V64" s="38"/>
      <c r="W64" s="42"/>
      <c r="X64" s="40"/>
      <c r="Y64" s="40"/>
      <c r="Z64" s="40"/>
      <c r="AA64" s="40"/>
      <c r="AB64" s="40"/>
      <c r="AC64" s="43"/>
      <c r="AD64" s="44"/>
      <c r="AE64" s="38"/>
    </row>
    <row r="65" spans="1:31" ht="21.2" customHeight="1">
      <c r="A65" s="8" t="s">
        <v>188</v>
      </c>
      <c r="B65" s="34" t="str">
        <f>VLOOKUP(A65,'Player Data'!A1:B734,2,FALSE)</f>
        <v>NYI</v>
      </c>
      <c r="C65" s="36">
        <f>((E65)*Settings!$C$12)+(F65*Settings!$C$2)+(G65*Settings!$C$3)+(H65*Settings!$C$4)+(I65*Settings!$C$5)+(K65*Settings!$C$9)+(N65*Settings!$C$6)+(J65*Settings!$C$8)+(O65*Settings!$C$7)+(P65*Settings!$C$14)+(Q65*Settings!$C$15)+(R65*Settings!$C$16)+(S65*Settings!$C$17)+(T65*Settings!$C$18)+(U65*Settings!$C$19)+(L65*Settings!$C$10)+(Settings!$C$11*M65)</f>
        <v>7.4930103346588677</v>
      </c>
      <c r="D65" s="40">
        <f>IF(Settings!$E$12="YES",VLOOKUP(A65,'Player Data'!A1:E734,5,FALSE),82)</f>
        <v>82</v>
      </c>
      <c r="E65" s="38">
        <f>(VLOOKUP($A65,'The List'!$B1:$AH730,17,FALSE)-AVERAGE('The List'!R2:R730))/STDEV('The List'!R2:R730)</f>
        <v>0.60968796601250641</v>
      </c>
      <c r="F65" s="38">
        <f>(VLOOKUP($A65,'The List'!$B1:$AH730,18,FALSE)-AVERAGE('The List'!S2:S730))/STDEV('The List'!S2:S730)</f>
        <v>0.81818127763499393</v>
      </c>
      <c r="G65" s="38">
        <f>(VLOOKUP($A65,'The List'!$B1:$AH730,19,FALSE)-AVERAGE('The List'!T2:T730))/STDEV('The List'!T2:T730)</f>
        <v>2.1391210921081205</v>
      </c>
      <c r="H65" s="38">
        <f>(VLOOKUP($A65,'The List'!$B1:$AH730,20,FALSE)-AVERAGE('The List'!U2:U730))/STDEV('The List'!U2:U730)</f>
        <v>1.6949245476945447</v>
      </c>
      <c r="I65" s="38">
        <f>(VLOOKUP($A65,'The List'!$B1:$AH730,21,FALSE)-AVERAGE('The List'!V2:V730))/STDEV('The List'!V2:V730)</f>
        <v>1.0442891571036028</v>
      </c>
      <c r="J65" s="38">
        <f>(VLOOKUP($A65,'The List'!$B1:$AH730,22,FALSE)-AVERAGE('The List'!W2:W730))/STDEV('The List'!W2:W730)</f>
        <v>0.38143666491981343</v>
      </c>
      <c r="K65" s="38">
        <f>(VLOOKUP($A65,'The List'!$B1:$AH730,23,FALSE)-AVERAGE('The List'!X2:X730))/STDEV('The List'!X2:X730)</f>
        <v>1.7964942601176059</v>
      </c>
      <c r="L65" s="38">
        <f>(VLOOKUP($A65,'The List'!$B1:$AH730,24,FALSE)-AVERAGE('The List'!Y2:Y730))/STDEV('The List'!Y2:Y730)</f>
        <v>-0.51293963215347504</v>
      </c>
      <c r="M65" s="38">
        <f>(VLOOKUP($A65,'The List'!$B1:$AH730,25,FALSE)-AVERAGE('The List'!Z2:Z730))/STDEV('The List'!Z2:Z730)</f>
        <v>-0.68931151106180999</v>
      </c>
      <c r="N65" s="38">
        <f>(VLOOKUP($A65,'The List'!$B1:$AH730,26,FALSE)-AVERAGE('The List'!AA2:AA730))/STDEV('The List'!AA2:AA730)</f>
        <v>-0.67476614771903431</v>
      </c>
      <c r="O65" s="38">
        <f>(VLOOKUP($A65,'The List'!$B1:$AH730,27,FALSE)-AVERAGE('The List'!AB2:AB730))/STDEV('The List'!AB2:AB730)</f>
        <v>-1.1557189457414605</v>
      </c>
      <c r="P65" s="38">
        <f>(VLOOKUP($A65,'The List'!$B1:$AH730,28,FALSE)-AVERAGE('The List'!AC2:AC730))/STDEV('The List'!AC2:AC730)</f>
        <v>0.70701940271612684</v>
      </c>
      <c r="Q65" s="38">
        <f>(VLOOKUP($A65,'The List'!$B1:$AH730,29,FALSE)-AVERAGE('The List'!AD2:AD730))/STDEV('The List'!AD2:AD730)</f>
        <v>-1.1396654023554983E-2</v>
      </c>
      <c r="R65" s="38">
        <f>(VLOOKUP($A65,'The List'!$B1:$AH730,30,FALSE)-AVERAGE('The List'!AE2:AE730))/STDEV('The List'!AE2:AE730)</f>
        <v>0.95028904376921353</v>
      </c>
      <c r="S65" s="38">
        <f>(VLOOKUP($A65,'The List'!$B1:$AH730,31,FALSE)-AVERAGE('The List'!AF2:AF730))/STDEV('The List'!AF2:AF730)</f>
        <v>0.32478592645207954</v>
      </c>
      <c r="T65" s="38">
        <f>(VLOOKUP($A65,'The List'!$B1:$AH730,32,FALSE)-AVERAGE('The List'!AG2:AG730))/STDEV('The List'!AG2:AG730)</f>
        <v>0.70764075922201553</v>
      </c>
      <c r="U65" s="38">
        <f>(VLOOKUP($A65,'The List'!$B1:$AH730,33,FALSE)-AVERAGE('The List'!AH2:AH730))/STDEV('The List'!AH2:AH730)</f>
        <v>0.63889871157550415</v>
      </c>
      <c r="V65" s="38"/>
      <c r="W65" s="40"/>
      <c r="X65" s="38"/>
      <c r="Y65" s="38"/>
      <c r="Z65" s="38"/>
      <c r="AA65" s="38"/>
      <c r="AB65" s="38"/>
      <c r="AC65" s="38"/>
      <c r="AD65" s="38"/>
      <c r="AE65" s="38"/>
    </row>
    <row r="66" spans="1:31" ht="21.2" customHeight="1">
      <c r="A66" s="8" t="s">
        <v>202</v>
      </c>
      <c r="B66" s="34" t="str">
        <f>VLOOKUP(A66,'Player Data'!A1:B734,2,FALSE)</f>
        <v>MIN</v>
      </c>
      <c r="C66" s="36">
        <f>((E66)*Settings!$C$12)+(F66*Settings!$C$2)+(G66*Settings!$C$3)+(H66*Settings!$C$4)+(I66*Settings!$C$5)+(K66*Settings!$C$9)+(N66*Settings!$C$6)+(J66*Settings!$C$8)+(O66*Settings!$C$7)+(P66*Settings!$C$14)+(Q66*Settings!$C$15)+(R66*Settings!$C$16)+(S66*Settings!$C$17)+(T66*Settings!$C$18)+(U66*Settings!$C$19)+(L66*Settings!$C$10)+(Settings!$C$11*M66)</f>
        <v>6.6879968532464398</v>
      </c>
      <c r="D66" s="40">
        <f>IF(Settings!$E$12="YES",VLOOKUP(A66,'Player Data'!A1:E734,5,FALSE),82)</f>
        <v>82</v>
      </c>
      <c r="E66" s="38">
        <f>(VLOOKUP($A66,'The List'!$B1:$AH730,17,FALSE)-AVERAGE('The List'!R2:R730))/STDEV('The List'!R2:R730)</f>
        <v>0.66839653872517668</v>
      </c>
      <c r="F66" s="38">
        <f>(VLOOKUP($A66,'The List'!$B1:$AH730,18,FALSE)-AVERAGE('The List'!S2:S730))/STDEV('The List'!S2:S730)</f>
        <v>0.74674699242835429</v>
      </c>
      <c r="G66" s="38">
        <f>(VLOOKUP($A66,'The List'!$B1:$AH730,19,FALSE)-AVERAGE('The List'!T2:T730))/STDEV('The List'!T2:T730)</f>
        <v>1.656680047823732</v>
      </c>
      <c r="H66" s="38">
        <f>(VLOOKUP($A66,'The List'!$B1:$AH730,20,FALSE)-AVERAGE('The List'!U2:U730))/STDEV('The List'!U2:U730)</f>
        <v>1.3652376684158916</v>
      </c>
      <c r="I66" s="38">
        <f>(VLOOKUP($A66,'The List'!$B1:$AH730,21,FALSE)-AVERAGE('The List'!V2:V730))/STDEV('The List'!V2:V730)</f>
        <v>0.81624753569934727</v>
      </c>
      <c r="J66" s="38">
        <f>(VLOOKUP($A66,'The List'!$B1:$AH730,22,FALSE)-AVERAGE('The List'!W2:W730))/STDEV('The List'!W2:W730)</f>
        <v>1.4558423108661556</v>
      </c>
      <c r="K66" s="38">
        <f>(VLOOKUP($A66,'The List'!$B1:$AH730,23,FALSE)-AVERAGE('The List'!X2:X730))/STDEV('The List'!X2:X730)</f>
        <v>2.1030846088791142</v>
      </c>
      <c r="L66" s="38">
        <f>(VLOOKUP($A66,'The List'!$B1:$AH730,24,FALSE)-AVERAGE('The List'!Y2:Y730))/STDEV('The List'!Y2:Y730)</f>
        <v>-0.47260174753983225</v>
      </c>
      <c r="M66" s="38">
        <f>(VLOOKUP($A66,'The List'!$B1:$AH730,25,FALSE)-AVERAGE('The List'!Z2:Z730))/STDEV('The List'!Z2:Z730)</f>
        <v>-0.65933929850651474</v>
      </c>
      <c r="N66" s="38">
        <f>(VLOOKUP($A66,'The List'!$B1:$AH730,26,FALSE)-AVERAGE('The List'!AA2:AA730))/STDEV('The List'!AA2:AA730)</f>
        <v>-0.4622578083873139</v>
      </c>
      <c r="O66" s="38">
        <f>(VLOOKUP($A66,'The List'!$B1:$AH730,27,FALSE)-AVERAGE('The List'!AB2:AB730))/STDEV('The List'!AB2:AB730)</f>
        <v>-0.99084672969025311</v>
      </c>
      <c r="P66" s="38">
        <f>(VLOOKUP($A66,'The List'!$B1:$AH730,28,FALSE)-AVERAGE('The List'!AC2:AC730))/STDEV('The List'!AC2:AC730)</f>
        <v>0.43606714670113561</v>
      </c>
      <c r="Q66" s="38">
        <f>(VLOOKUP($A66,'The List'!$B1:$AH730,29,FALSE)-AVERAGE('The List'!AD2:AD730))/STDEV('The List'!AD2:AD730)</f>
        <v>-0.44685522465511873</v>
      </c>
      <c r="R66" s="38">
        <f>(VLOOKUP($A66,'The List'!$B1:$AH730,30,FALSE)-AVERAGE('The List'!AE2:AE730))/STDEV('The List'!AE2:AE730)</f>
        <v>0.96186563558247351</v>
      </c>
      <c r="S66" s="38">
        <f>(VLOOKUP($A66,'The List'!$B1:$AH730,31,FALSE)-AVERAGE('The List'!AF2:AF730))/STDEV('The List'!AF2:AF730)</f>
        <v>-0.45861277884510759</v>
      </c>
      <c r="T66" s="38">
        <f>(VLOOKUP($A66,'The List'!$B1:$AH730,32,FALSE)-AVERAGE('The List'!AG2:AG730))/STDEV('The List'!AG2:AG730)</f>
        <v>-0.43045710323548853</v>
      </c>
      <c r="U66" s="38">
        <f>(VLOOKUP($A66,'The List'!$B1:$AH730,33,FALSE)-AVERAGE('The List'!AH2:AH730))/STDEV('The List'!AH2:AH730)</f>
        <v>0.50715704600742184</v>
      </c>
      <c r="V66" s="38"/>
      <c r="W66" s="40"/>
      <c r="X66" s="40"/>
      <c r="Y66" s="40"/>
      <c r="Z66" s="40"/>
      <c r="AA66" s="40"/>
      <c r="AB66" s="40"/>
      <c r="AC66" s="43"/>
      <c r="AD66" s="44"/>
      <c r="AE66" s="38"/>
    </row>
    <row r="67" spans="1:31" ht="21.2" customHeight="1">
      <c r="A67" s="8" t="s">
        <v>138</v>
      </c>
      <c r="B67" s="34" t="str">
        <f>VLOOKUP(A67,'Player Data'!A1:B734,2,FALSE)</f>
        <v>NJD</v>
      </c>
      <c r="C67" s="36">
        <f>((E67)*Settings!$C$12)+(F67*Settings!$C$2)+(G67*Settings!$C$3)+(H67*Settings!$C$4)+(I67*Settings!$C$5)+(K67*Settings!$C$9)+(N67*Settings!$C$6)+(J67*Settings!$C$8)+(O67*Settings!$C$7)+(P67*Settings!$C$14)+(Q67*Settings!$C$15)+(R67*Settings!$C$16)+(S67*Settings!$C$17)+(T67*Settings!$C$18)+(U67*Settings!$C$19)+(L67*Settings!$C$10)+(Settings!$C$11*M67)</f>
        <v>9.2215876069536442</v>
      </c>
      <c r="D67" s="40">
        <f>IF(Settings!$E$12="YES",VLOOKUP(A67,'Player Data'!A1:E734,5,FALSE),82)</f>
        <v>82</v>
      </c>
      <c r="E67" s="38">
        <f>(VLOOKUP($A67,'The List'!$B1:$AH730,17,FALSE)-AVERAGE('The List'!R2:R730))/STDEV('The List'!R2:R730)</f>
        <v>0.55694396829054338</v>
      </c>
      <c r="F67" s="38">
        <f>(VLOOKUP($A67,'The List'!$B1:$AH730,18,FALSE)-AVERAGE('The List'!S2:S730))/STDEV('The List'!S2:S730)</f>
        <v>2.2754016945332247</v>
      </c>
      <c r="G67" s="38">
        <f>(VLOOKUP($A67,'The List'!$B1:$AH730,19,FALSE)-AVERAGE('The List'!T2:T730))/STDEV('The List'!T2:T730)</f>
        <v>0.75689697287458102</v>
      </c>
      <c r="H67" s="38">
        <f>(VLOOKUP($A67,'The List'!$B1:$AH730,20,FALSE)-AVERAGE('The List'!U2:U730))/STDEV('The List'!U2:U730)</f>
        <v>1.5229160648473263</v>
      </c>
      <c r="I67" s="38">
        <f>(VLOOKUP($A67,'The List'!$B1:$AH730,21,FALSE)-AVERAGE('The List'!V2:V730))/STDEV('The List'!V2:V730)</f>
        <v>2.9864602838865042</v>
      </c>
      <c r="J67" s="38">
        <f>(VLOOKUP($A67,'The List'!$B1:$AH730,22,FALSE)-AVERAGE('The List'!W2:W730))/STDEV('The List'!W2:W730)</f>
        <v>3.378808622923267</v>
      </c>
      <c r="K67" s="38">
        <f>(VLOOKUP($A67,'The List'!$B1:$AH730,23,FALSE)-AVERAGE('The List'!X2:X730))/STDEV('The List'!X2:X730)</f>
        <v>1.6799125908120074</v>
      </c>
      <c r="L67" s="38">
        <f>(VLOOKUP($A67,'The List'!$B1:$AH730,24,FALSE)-AVERAGE('The List'!Y2:Y730))/STDEV('The List'!Y2:Y730)</f>
        <v>-0.4470177174130327</v>
      </c>
      <c r="M67" s="38">
        <f>(VLOOKUP($A67,'The List'!$B1:$AH730,25,FALSE)-AVERAGE('The List'!Z2:Z730))/STDEV('The List'!Z2:Z730)</f>
        <v>-0.60943403755771008</v>
      </c>
      <c r="N67" s="38">
        <f>(VLOOKUP($A67,'The List'!$B1:$AH730,26,FALSE)-AVERAGE('The List'!AA2:AA730))/STDEV('The List'!AA2:AA730)</f>
        <v>-0.54561354738582768</v>
      </c>
      <c r="O67" s="38">
        <f>(VLOOKUP($A67,'The List'!$B1:$AH730,27,FALSE)-AVERAGE('The List'!AB2:AB730))/STDEV('The List'!AB2:AB730)</f>
        <v>0.86737167365167578</v>
      </c>
      <c r="P67" s="38">
        <f>(VLOOKUP($A67,'The List'!$B1:$AH730,28,FALSE)-AVERAGE('The List'!AC2:AC730))/STDEV('The List'!AC2:AC730)</f>
        <v>0.42672794468950326</v>
      </c>
      <c r="Q67" s="38">
        <f>(VLOOKUP($A67,'The List'!$B1:$AH730,29,FALSE)-AVERAGE('The List'!AD2:AD730))/STDEV('The List'!AD2:AD730)</f>
        <v>0.78967278001516505</v>
      </c>
      <c r="R67" s="38">
        <f>(VLOOKUP($A67,'The List'!$B1:$AH730,30,FALSE)-AVERAGE('The List'!AE2:AE730))/STDEV('The List'!AE2:AE730)</f>
        <v>2.2375633526855663</v>
      </c>
      <c r="S67" s="38">
        <f>(VLOOKUP($A67,'The List'!$B1:$AH730,31,FALSE)-AVERAGE('The List'!AF2:AF730))/STDEV('The List'!AF2:AF730)</f>
        <v>-0.46972414639618598</v>
      </c>
      <c r="T67" s="38">
        <f>(VLOOKUP($A67,'The List'!$B1:$AH730,32,FALSE)-AVERAGE('The List'!AG2:AG730))/STDEV('The List'!AG2:AG730)</f>
        <v>-0.45104800468568312</v>
      </c>
      <c r="U67" s="38">
        <f>(VLOOKUP($A67,'The List'!$B1:$AH730,33,FALSE)-AVERAGE('The List'!AH2:AH730))/STDEV('The List'!AH2:AH730)</f>
        <v>0.52030386800145723</v>
      </c>
      <c r="V67" s="38"/>
      <c r="W67" s="40"/>
      <c r="X67" s="38"/>
      <c r="Y67" s="38"/>
      <c r="Z67" s="38"/>
      <c r="AA67" s="38"/>
      <c r="AB67" s="38"/>
      <c r="AC67" s="38"/>
      <c r="AD67" s="38"/>
      <c r="AE67" s="38"/>
    </row>
    <row r="68" spans="1:31" ht="21.2" customHeight="1">
      <c r="A68" s="8" t="s">
        <v>175</v>
      </c>
      <c r="B68" s="34" t="str">
        <f>VLOOKUP(A68,'Player Data'!A1:B734,2,FALSE)</f>
        <v>FLA</v>
      </c>
      <c r="C68" s="36">
        <f>((E68)*Settings!$C$12)+(F68*Settings!$C$2)+(G68*Settings!$C$3)+(H68*Settings!$C$4)+(I68*Settings!$C$5)+(K68*Settings!$C$9)+(N68*Settings!$C$6)+(J68*Settings!$C$8)+(O68*Settings!$C$7)+(P68*Settings!$C$14)+(Q68*Settings!$C$15)+(R68*Settings!$C$16)+(S68*Settings!$C$17)+(T68*Settings!$C$18)+(U68*Settings!$C$19)+(L68*Settings!$C$10)+(Settings!$C$11*M68)</f>
        <v>6.8556134373671789</v>
      </c>
      <c r="D68" s="40">
        <f>IF(Settings!$E$12="YES",VLOOKUP(A68,'Player Data'!A1:E734,5,FALSE),82)</f>
        <v>82</v>
      </c>
      <c r="E68" s="38">
        <f>(VLOOKUP($A68,'The List'!$B1:$AH730,17,FALSE)-AVERAGE('The List'!R2:R730))/STDEV('The List'!R2:R730)</f>
        <v>0.80258453390991524</v>
      </c>
      <c r="F68" s="38">
        <f>(VLOOKUP($A68,'The List'!$B1:$AH730,18,FALSE)-AVERAGE('The List'!S2:S730))/STDEV('The List'!S2:S730)</f>
        <v>1.5960671371797244</v>
      </c>
      <c r="G68" s="38">
        <f>(VLOOKUP($A68,'The List'!$B1:$AH730,19,FALSE)-AVERAGE('The List'!T2:T730))/STDEV('The List'!T2:T730)</f>
        <v>0.99437874284481254</v>
      </c>
      <c r="H68" s="38">
        <f>(VLOOKUP($A68,'The List'!$B1:$AH730,20,FALSE)-AVERAGE('The List'!U2:U730))/STDEV('The List'!U2:U730)</f>
        <v>1.3530535745908769</v>
      </c>
      <c r="I68" s="38">
        <f>(VLOOKUP($A68,'The List'!$B1:$AH730,21,FALSE)-AVERAGE('The List'!V2:V730))/STDEV('The List'!V2:V730)</f>
        <v>1.1464004787900894</v>
      </c>
      <c r="J68" s="38">
        <f>(VLOOKUP($A68,'The List'!$B1:$AH730,22,FALSE)-AVERAGE('The List'!W2:W730))/STDEV('The List'!W2:W730)</f>
        <v>2.8176283208220889</v>
      </c>
      <c r="K68" s="38">
        <f>(VLOOKUP($A68,'The List'!$B1:$AH730,23,FALSE)-AVERAGE('The List'!X2:X730))/STDEV('The List'!X2:X730)</f>
        <v>1.7657135039616754</v>
      </c>
      <c r="L68" s="38">
        <f>(VLOOKUP($A68,'The List'!$B1:$AH730,24,FALSE)-AVERAGE('The List'!Y2:Y730))/STDEV('The List'!Y2:Y730)</f>
        <v>-0.33576513367991867</v>
      </c>
      <c r="M68" s="38">
        <f>(VLOOKUP($A68,'The List'!$B1:$AH730,25,FALSE)-AVERAGE('The List'!Z2:Z730))/STDEV('The List'!Z2:Z730)</f>
        <v>2.210716378520126</v>
      </c>
      <c r="N68" s="38">
        <f>(VLOOKUP($A68,'The List'!$B1:$AH730,26,FALSE)-AVERAGE('The List'!AA2:AA730))/STDEV('The List'!AA2:AA730)</f>
        <v>-0.4902222133654171</v>
      </c>
      <c r="O68" s="38">
        <f>(VLOOKUP($A68,'The List'!$B1:$AH730,27,FALSE)-AVERAGE('The List'!AB2:AB730))/STDEV('The List'!AB2:AB730)</f>
        <v>-0.83806955191737509</v>
      </c>
      <c r="P68" s="38">
        <f>(VLOOKUP($A68,'The List'!$B1:$AH730,28,FALSE)-AVERAGE('The List'!AC2:AC730))/STDEV('The List'!AC2:AC730)</f>
        <v>0.73396962218514761</v>
      </c>
      <c r="Q68" s="38">
        <f>(VLOOKUP($A68,'The List'!$B1:$AH730,29,FALSE)-AVERAGE('The List'!AD2:AD730))/STDEV('The List'!AD2:AD730)</f>
        <v>-1.1359880280837154</v>
      </c>
      <c r="R68" s="38">
        <f>(VLOOKUP($A68,'The List'!$B1:$AH730,30,FALSE)-AVERAGE('The List'!AE2:AE730))/STDEV('The List'!AE2:AE730)</f>
        <v>1.5192409689028847</v>
      </c>
      <c r="S68" s="38">
        <f>(VLOOKUP($A68,'The List'!$B1:$AH730,31,FALSE)-AVERAGE('The List'!AF2:AF730))/STDEV('The List'!AF2:AF730)</f>
        <v>0.4617352854919759</v>
      </c>
      <c r="T68" s="38">
        <f>(VLOOKUP($A68,'The List'!$B1:$AH730,32,FALSE)-AVERAGE('The List'!AG2:AG730))/STDEV('The List'!AG2:AG730)</f>
        <v>0.51244967019658638</v>
      </c>
      <c r="U68" s="38">
        <f>(VLOOKUP($A68,'The List'!$B1:$AH730,33,FALSE)-AVERAGE('The List'!AH2:AH730))/STDEV('The List'!AH2:AH730)</f>
        <v>0.97638253965524957</v>
      </c>
      <c r="V68" s="38"/>
      <c r="W68" s="42"/>
      <c r="X68" s="40"/>
      <c r="Y68" s="40"/>
      <c r="Z68" s="40"/>
      <c r="AA68" s="40"/>
      <c r="AB68" s="40"/>
      <c r="AC68" s="43"/>
      <c r="AD68" s="44"/>
      <c r="AE68" s="38"/>
    </row>
    <row r="69" spans="1:31" ht="21.2" customHeight="1">
      <c r="A69" s="8" t="s">
        <v>211</v>
      </c>
      <c r="B69" s="34" t="str">
        <f>VLOOKUP(A69,'Player Data'!A1:B734,2,FALSE)</f>
        <v>WPG</v>
      </c>
      <c r="C69" s="36">
        <f>((E69)*Settings!$C$12)+(F69*Settings!$C$2)+(G69*Settings!$C$3)+(H69*Settings!$C$4)+(I69*Settings!$C$5)+(K69*Settings!$C$9)+(N69*Settings!$C$6)+(J69*Settings!$C$8)+(O69*Settings!$C$7)+(P69*Settings!$C$14)+(Q69*Settings!$C$15)+(R69*Settings!$C$16)+(S69*Settings!$C$17)+(T69*Settings!$C$18)+(U69*Settings!$C$19)+(L69*Settings!$C$10)+(Settings!$C$11*M69)</f>
        <v>7.7011674187222674</v>
      </c>
      <c r="D69" s="40">
        <f>IF(Settings!$E$12="YES",VLOOKUP(A69,'Player Data'!A1:E734,5,FALSE),82)</f>
        <v>82</v>
      </c>
      <c r="E69" s="38">
        <f>(VLOOKUP($A69,'The List'!$B1:$AH730,17,FALSE)-AVERAGE('The List'!R2:R730))/STDEV('The List'!R2:R730)</f>
        <v>8.9924586430418868E-2</v>
      </c>
      <c r="F69" s="38">
        <f>(VLOOKUP($A69,'The List'!$B1:$AH730,18,FALSE)-AVERAGE('The List'!S2:S730))/STDEV('The List'!S2:S730)</f>
        <v>1.4649932496928111</v>
      </c>
      <c r="G69" s="38">
        <f>(VLOOKUP($A69,'The List'!$B1:$AH730,19,FALSE)-AVERAGE('The List'!T2:T730))/STDEV('The List'!T2:T730)</f>
        <v>1.3351392154597055</v>
      </c>
      <c r="H69" s="38">
        <f>(VLOOKUP($A69,'The List'!$B1:$AH730,20,FALSE)-AVERAGE('The List'!U2:U730))/STDEV('The List'!U2:U730)</f>
        <v>1.5015315617639802</v>
      </c>
      <c r="I69" s="38">
        <f>(VLOOKUP($A69,'The List'!$B1:$AH730,21,FALSE)-AVERAGE('The List'!V2:V730))/STDEV('The List'!V2:V730)</f>
        <v>1.9867441947911089</v>
      </c>
      <c r="J69" s="38">
        <f>(VLOOKUP($A69,'The List'!$B1:$AH730,22,FALSE)-AVERAGE('The List'!W2:W730))/STDEV('The List'!W2:W730)</f>
        <v>1.2927040842627928</v>
      </c>
      <c r="K69" s="38">
        <f>(VLOOKUP($A69,'The List'!$B1:$AH730,23,FALSE)-AVERAGE('The List'!X2:X730))/STDEV('The List'!X2:X730)</f>
        <v>1.4127591970146613</v>
      </c>
      <c r="L69" s="38">
        <f>(VLOOKUP($A69,'The List'!$B1:$AH730,24,FALSE)-AVERAGE('The List'!Y2:Y730))/STDEV('The List'!Y2:Y730)</f>
        <v>-0.52515529094994673</v>
      </c>
      <c r="M69" s="38">
        <f>(VLOOKUP($A69,'The List'!$B1:$AH730,25,FALSE)-AVERAGE('The List'!Z2:Z730))/STDEV('The List'!Z2:Z730)</f>
        <v>-0.70378350861314143</v>
      </c>
      <c r="N69" s="38">
        <f>(VLOOKUP($A69,'The List'!$B1:$AH730,26,FALSE)-AVERAGE('The List'!AA2:AA730))/STDEV('The List'!AA2:AA730)</f>
        <v>-0.95424011590478774</v>
      </c>
      <c r="O69" s="38">
        <f>(VLOOKUP($A69,'The List'!$B1:$AH730,27,FALSE)-AVERAGE('The List'!AB2:AB730))/STDEV('The List'!AB2:AB730)</f>
        <v>-0.82755298905322217</v>
      </c>
      <c r="P69" s="38">
        <f>(VLOOKUP($A69,'The List'!$B1:$AH730,28,FALSE)-AVERAGE('The List'!AC2:AC730))/STDEV('The List'!AC2:AC730)</f>
        <v>0.96507725319843229</v>
      </c>
      <c r="Q69" s="38">
        <f>(VLOOKUP($A69,'The List'!$B1:$AH730,29,FALSE)-AVERAGE('The List'!AD2:AD730))/STDEV('The List'!AD2:AD730)</f>
        <v>-0.54583898438690026</v>
      </c>
      <c r="R69" s="38">
        <f>(VLOOKUP($A69,'The List'!$B1:$AH730,30,FALSE)-AVERAGE('The List'!AE2:AE730))/STDEV('The List'!AE2:AE730)</f>
        <v>1.6285092121957903</v>
      </c>
      <c r="S69" s="38">
        <f>(VLOOKUP($A69,'The List'!$B1:$AH730,31,FALSE)-AVERAGE('The List'!AF2:AF730))/STDEV('The List'!AF2:AF730)</f>
        <v>-0.55773383341568517</v>
      </c>
      <c r="T69" s="38">
        <f>(VLOOKUP($A69,'The List'!$B1:$AH730,32,FALSE)-AVERAGE('The List'!AG2:AG730))/STDEV('The List'!AG2:AG730)</f>
        <v>-0.60960052194947212</v>
      </c>
      <c r="U69" s="38">
        <f>(VLOOKUP($A69,'The List'!$B1:$AH730,33,FALSE)-AVERAGE('The List'!AH2:AH730))/STDEV('The List'!AH2:AH730)</f>
        <v>1.8570888718788809</v>
      </c>
      <c r="V69" s="38"/>
      <c r="W69" s="42"/>
      <c r="X69" s="40"/>
      <c r="Y69" s="40"/>
      <c r="Z69" s="40"/>
      <c r="AA69" s="40"/>
      <c r="AB69" s="40"/>
      <c r="AC69" s="43"/>
      <c r="AD69" s="44"/>
      <c r="AE69" s="38"/>
    </row>
    <row r="70" spans="1:31" ht="21.2" customHeight="1">
      <c r="A70" s="8" t="s">
        <v>236</v>
      </c>
      <c r="B70" s="34" t="str">
        <f>VLOOKUP(A70,'Player Data'!A1:B734,2,FALSE)</f>
        <v>VAN</v>
      </c>
      <c r="C70" s="36">
        <f>((E70)*Settings!$C$12)+(F70*Settings!$C$2)+(G70*Settings!$C$3)+(H70*Settings!$C$4)+(I70*Settings!$C$5)+(K70*Settings!$C$9)+(N70*Settings!$C$6)+(J70*Settings!$C$8)+(O70*Settings!$C$7)+(P70*Settings!$C$14)+(Q70*Settings!$C$15)+(R70*Settings!$C$16)+(S70*Settings!$C$17)+(T70*Settings!$C$18)+(U70*Settings!$C$19)+(L70*Settings!$C$10)+(Settings!$C$11*M70)</f>
        <v>5.0042319918234188</v>
      </c>
      <c r="D70" s="40">
        <f>IF(Settings!$E$12="YES",VLOOKUP(A70,'Player Data'!A1:E734,5,FALSE),82)</f>
        <v>82</v>
      </c>
      <c r="E70" s="38">
        <f>(VLOOKUP($A70,'The List'!$B1:$AH730,17,FALSE)-AVERAGE('The List'!R2:R730))/STDEV('The List'!R2:R730)</f>
        <v>8.5048804898016556E-2</v>
      </c>
      <c r="F70" s="38">
        <f>(VLOOKUP($A70,'The List'!$B1:$AH730,18,FALSE)-AVERAGE('The List'!S2:S730))/STDEV('The List'!S2:S730)</f>
        <v>1.913662205801584</v>
      </c>
      <c r="G70" s="38">
        <f>(VLOOKUP($A70,'The List'!$B1:$AH730,19,FALSE)-AVERAGE('The List'!T2:T730))/STDEV('The List'!T2:T730)</f>
        <v>0.72540022345176181</v>
      </c>
      <c r="H70" s="38">
        <f>(VLOOKUP($A70,'The List'!$B1:$AH730,20,FALSE)-AVERAGE('The List'!U2:U730))/STDEV('The List'!U2:U730)</f>
        <v>1.335397106093722</v>
      </c>
      <c r="I70" s="38">
        <f>(VLOOKUP($A70,'The List'!$B1:$AH730,21,FALSE)-AVERAGE('The List'!V2:V730))/STDEV('The List'!V2:V730)</f>
        <v>0.17794548489322698</v>
      </c>
      <c r="J70" s="38">
        <f>(VLOOKUP($A70,'The List'!$B1:$AH730,22,FALSE)-AVERAGE('The List'!W2:W730))/STDEV('The List'!W2:W730)</f>
        <v>1.9441503899917862</v>
      </c>
      <c r="K70" s="38">
        <f>(VLOOKUP($A70,'The List'!$B1:$AH730,23,FALSE)-AVERAGE('The List'!X2:X730))/STDEV('The List'!X2:X730)</f>
        <v>0.85182697158312404</v>
      </c>
      <c r="L70" s="38">
        <f>(VLOOKUP($A70,'The List'!$B1:$AH730,24,FALSE)-AVERAGE('The List'!Y2:Y730))/STDEV('The List'!Y2:Y730)</f>
        <v>-0.52338611350596564</v>
      </c>
      <c r="M70" s="38">
        <f>(VLOOKUP($A70,'The List'!$B1:$AH730,25,FALSE)-AVERAGE('The List'!Z2:Z730))/STDEV('The List'!Z2:Z730)</f>
        <v>-0.70172498700076158</v>
      </c>
      <c r="N70" s="38">
        <f>(VLOOKUP($A70,'The List'!$B1:$AH730,26,FALSE)-AVERAGE('The List'!AA2:AA730))/STDEV('The List'!AA2:AA730)</f>
        <v>-1.0391210515761975</v>
      </c>
      <c r="O70" s="38">
        <f>(VLOOKUP($A70,'The List'!$B1:$AH730,27,FALSE)-AVERAGE('The List'!AB2:AB730))/STDEV('The List'!AB2:AB730)</f>
        <v>-1.5087141252880405</v>
      </c>
      <c r="P70" s="38">
        <f>(VLOOKUP($A70,'The List'!$B1:$AH730,28,FALSE)-AVERAGE('The List'!AC2:AC730))/STDEV('The List'!AC2:AC730)</f>
        <v>0.56973772856280647</v>
      </c>
      <c r="Q70" s="38">
        <f>(VLOOKUP($A70,'The List'!$B1:$AH730,29,FALSE)-AVERAGE('The List'!AD2:AD730))/STDEV('The List'!AD2:AD730)</f>
        <v>-1.2115526779013879</v>
      </c>
      <c r="R70" s="38">
        <f>(VLOOKUP($A70,'The List'!$B1:$AH730,30,FALSE)-AVERAGE('The List'!AE2:AE730))/STDEV('The List'!AE2:AE730)</f>
        <v>1.7754623700037466</v>
      </c>
      <c r="S70" s="38">
        <f>(VLOOKUP($A70,'The List'!$B1:$AH730,31,FALSE)-AVERAGE('The List'!AF2:AF730))/STDEV('The List'!AF2:AF730)</f>
        <v>-0.56911587195029545</v>
      </c>
      <c r="T70" s="38">
        <f>(VLOOKUP($A70,'The List'!$B1:$AH730,32,FALSE)-AVERAGE('The List'!AG2:AG730))/STDEV('The List'!AG2:AG730)</f>
        <v>-0.60993897587991575</v>
      </c>
      <c r="U70" s="38">
        <f>(VLOOKUP($A70,'The List'!$B1:$AH730,33,FALSE)-AVERAGE('The List'!AH2:AH730))/STDEV('The List'!AH2:AH730)</f>
        <v>-1.2363238714825984</v>
      </c>
      <c r="V70" s="38"/>
      <c r="W70" s="42"/>
      <c r="X70" s="40"/>
      <c r="Y70" s="40"/>
      <c r="Z70" s="40"/>
      <c r="AA70" s="40"/>
      <c r="AB70" s="40"/>
      <c r="AC70" s="43"/>
      <c r="AD70" s="44"/>
      <c r="AE70" s="38"/>
    </row>
    <row r="71" spans="1:31" ht="21.2" customHeight="1">
      <c r="A71" s="8" t="s">
        <v>207</v>
      </c>
      <c r="B71" s="34" t="str">
        <f>VLOOKUP(A71,'Player Data'!A1:B734,2,FALSE)</f>
        <v>COL</v>
      </c>
      <c r="C71" s="36">
        <f>((E71)*Settings!$C$12)+(F71*Settings!$C$2)+(G71*Settings!$C$3)+(H71*Settings!$C$4)+(I71*Settings!$C$5)+(K71*Settings!$C$9)+(N71*Settings!$C$6)+(J71*Settings!$C$8)+(O71*Settings!$C$7)+(P71*Settings!$C$14)+(Q71*Settings!$C$15)+(R71*Settings!$C$16)+(S71*Settings!$C$17)+(T71*Settings!$C$18)+(U71*Settings!$C$19)+(L71*Settings!$C$10)+(Settings!$C$11*M71)</f>
        <v>6.9041112406426972</v>
      </c>
      <c r="D71" s="40">
        <f>IF(Settings!$E$12="YES",VLOOKUP(A71,'Player Data'!A1:E734,5,FALSE),82)</f>
        <v>82</v>
      </c>
      <c r="E71" s="38">
        <f>(VLOOKUP($A71,'The List'!$B1:$AH730,17,FALSE)-AVERAGE('The List'!R2:R730))/STDEV('The List'!R2:R730)</f>
        <v>1.0576066088527256</v>
      </c>
      <c r="F71" s="38">
        <f>(VLOOKUP($A71,'The List'!$B1:$AH730,18,FALSE)-AVERAGE('The List'!S2:S730))/STDEV('The List'!S2:S730)</f>
        <v>1.571539583426699</v>
      </c>
      <c r="G71" s="38">
        <f>(VLOOKUP($A71,'The List'!$B1:$AH730,19,FALSE)-AVERAGE('The List'!T2:T730))/STDEV('The List'!T2:T730)</f>
        <v>1.2358243644328843</v>
      </c>
      <c r="H71" s="38">
        <f>(VLOOKUP($A71,'The List'!$B1:$AH730,20,FALSE)-AVERAGE('The List'!U2:U730))/STDEV('The List'!U2:U730)</f>
        <v>1.4900292063237115</v>
      </c>
      <c r="I71" s="38">
        <f>(VLOOKUP($A71,'The List'!$B1:$AH730,21,FALSE)-AVERAGE('The List'!V2:V730))/STDEV('The List'!V2:V730)</f>
        <v>1.5184102810166262</v>
      </c>
      <c r="J71" s="38">
        <f>(VLOOKUP($A71,'The List'!$B1:$AH730,22,FALSE)-AVERAGE('The List'!W2:W730))/STDEV('The List'!W2:W730)</f>
        <v>2.0982595901126553</v>
      </c>
      <c r="K71" s="38">
        <f>(VLOOKUP($A71,'The List'!$B1:$AH730,23,FALSE)-AVERAGE('The List'!X2:X730))/STDEV('The List'!X2:X730)</f>
        <v>1.0883078054427762</v>
      </c>
      <c r="L71" s="38">
        <f>(VLOOKUP($A71,'The List'!$B1:$AH730,24,FALSE)-AVERAGE('The List'!Y2:Y730))/STDEV('The List'!Y2:Y730)</f>
        <v>1.7100155634305729</v>
      </c>
      <c r="M71" s="38">
        <f>(VLOOKUP($A71,'The List'!$B1:$AH730,25,FALSE)-AVERAGE('The List'!Z2:Z730))/STDEV('The List'!Z2:Z730)</f>
        <v>2.3759334997780237</v>
      </c>
      <c r="N71" s="38">
        <f>(VLOOKUP($A71,'The List'!$B1:$AH730,26,FALSE)-AVERAGE('The List'!AA2:AA730))/STDEV('The List'!AA2:AA730)</f>
        <v>-0.35247898754894036</v>
      </c>
      <c r="O71" s="38">
        <f>(VLOOKUP($A71,'The List'!$B1:$AH730,27,FALSE)-AVERAGE('The List'!AB2:AB730))/STDEV('The List'!AB2:AB730)</f>
        <v>-0.14680576548328927</v>
      </c>
      <c r="P71" s="38">
        <f>(VLOOKUP($A71,'The List'!$B1:$AH730,28,FALSE)-AVERAGE('The List'!AC2:AC730))/STDEV('The List'!AC2:AC730)</f>
        <v>1.4641059978289668</v>
      </c>
      <c r="Q71" s="38">
        <f>(VLOOKUP($A71,'The List'!$B1:$AH730,29,FALSE)-AVERAGE('The List'!AD2:AD730))/STDEV('The List'!AD2:AD730)</f>
        <v>-1.2092038286936364</v>
      </c>
      <c r="R71" s="38">
        <f>(VLOOKUP($A71,'The List'!$B1:$AH730,30,FALSE)-AVERAGE('The List'!AE2:AE730))/STDEV('The List'!AE2:AE730)</f>
        <v>1.7791187725248259</v>
      </c>
      <c r="S71" s="38">
        <f>(VLOOKUP($A71,'The List'!$B1:$AH730,31,FALSE)-AVERAGE('The List'!AF2:AF730))/STDEV('The List'!AF2:AF730)</f>
        <v>-0.56729706087902365</v>
      </c>
      <c r="T71" s="38">
        <f>(VLOOKUP($A71,'The List'!$B1:$AH730,32,FALSE)-AVERAGE('The List'!AG2:AG730))/STDEV('The List'!AG2:AG730)</f>
        <v>-0.58543569089274439</v>
      </c>
      <c r="U71" s="38">
        <f>(VLOOKUP($A71,'The List'!$B1:$AH730,33,FALSE)-AVERAGE('The List'!AH2:AH730))/STDEV('The List'!AH2:AH730)</f>
        <v>-0.96301005309195664</v>
      </c>
      <c r="V71" s="38"/>
      <c r="W71" s="42"/>
      <c r="X71" s="40"/>
      <c r="Y71" s="40"/>
      <c r="Z71" s="40"/>
      <c r="AA71" s="40"/>
      <c r="AB71" s="40"/>
      <c r="AC71" s="43"/>
      <c r="AD71" s="44"/>
      <c r="AE71" s="38"/>
    </row>
    <row r="72" spans="1:31" ht="21.2" customHeight="1">
      <c r="A72" s="8" t="s">
        <v>191</v>
      </c>
      <c r="B72" s="34" t="str">
        <f>VLOOKUP(A72,'Player Data'!A1:B734,2,FALSE)</f>
        <v>BUF</v>
      </c>
      <c r="C72" s="36">
        <f>((E72)*Settings!$C$12)+(F72*Settings!$C$2)+(G72*Settings!$C$3)+(H72*Settings!$C$4)+(I72*Settings!$C$5)+(K72*Settings!$C$9)+(N72*Settings!$C$6)+(J72*Settings!$C$8)+(O72*Settings!$C$7)+(P72*Settings!$C$14)+(Q72*Settings!$C$15)+(R72*Settings!$C$16)+(S72*Settings!$C$17)+(T72*Settings!$C$18)+(U72*Settings!$C$19)+(L72*Settings!$C$10)+(Settings!$C$11*M72)</f>
        <v>7.2723688109085423</v>
      </c>
      <c r="D72" s="40">
        <f>IF(Settings!$E$12="YES",VLOOKUP(A72,'Player Data'!A1:E734,5,FALSE),82)</f>
        <v>82</v>
      </c>
      <c r="E72" s="38">
        <f>(VLOOKUP($A72,'The List'!$B1:$AH730,17,FALSE)-AVERAGE('The List'!R2:R730))/STDEV('The List'!R2:R730)</f>
        <v>0.42420417684745731</v>
      </c>
      <c r="F72" s="38">
        <f>(VLOOKUP($A72,'The List'!$B1:$AH730,18,FALSE)-AVERAGE('The List'!S2:S730))/STDEV('The List'!S2:S730)</f>
        <v>1.6940418831504973</v>
      </c>
      <c r="G72" s="38">
        <f>(VLOOKUP($A72,'The List'!$B1:$AH730,19,FALSE)-AVERAGE('The List'!T2:T730))/STDEV('The List'!T2:T730)</f>
        <v>1.0893597709228959</v>
      </c>
      <c r="H72" s="38">
        <f>(VLOOKUP($A72,'The List'!$B1:$AH730,20,FALSE)-AVERAGE('The List'!U2:U730))/STDEV('The List'!U2:U730)</f>
        <v>1.4569689791747353</v>
      </c>
      <c r="I72" s="38">
        <f>(VLOOKUP($A72,'The List'!$B1:$AH730,21,FALSE)-AVERAGE('The List'!V2:V730))/STDEV('The List'!V2:V730)</f>
        <v>1.8929399860293001</v>
      </c>
      <c r="J72" s="38">
        <f>(VLOOKUP($A72,'The List'!$B1:$AH730,22,FALSE)-AVERAGE('The List'!W2:W730))/STDEV('The List'!W2:W730)</f>
        <v>1.2956290330066662</v>
      </c>
      <c r="K72" s="38">
        <f>(VLOOKUP($A72,'The List'!$B1:$AH730,23,FALSE)-AVERAGE('The List'!X2:X730))/STDEV('The List'!X2:X730)</f>
        <v>1.1390581916311135</v>
      </c>
      <c r="L72" s="38">
        <f>(VLOOKUP($A72,'The List'!$B1:$AH730,24,FALSE)-AVERAGE('The List'!Y2:Y730))/STDEV('The List'!Y2:Y730)</f>
        <v>-0.50404461415038793</v>
      </c>
      <c r="M72" s="38">
        <f>(VLOOKUP($A72,'The List'!$B1:$AH730,25,FALSE)-AVERAGE('The List'!Z2:Z730))/STDEV('The List'!Z2:Z730)</f>
        <v>-0.6809971512182309</v>
      </c>
      <c r="N72" s="38">
        <f>(VLOOKUP($A72,'The List'!$B1:$AH730,26,FALSE)-AVERAGE('The List'!AA2:AA730))/STDEV('The List'!AA2:AA730)</f>
        <v>-1.1132011453069686</v>
      </c>
      <c r="O72" s="38">
        <f>(VLOOKUP($A72,'The List'!$B1:$AH730,27,FALSE)-AVERAGE('The List'!AB2:AB730))/STDEV('The List'!AB2:AB730)</f>
        <v>-1.3692613331198153</v>
      </c>
      <c r="P72" s="38">
        <f>(VLOOKUP($A72,'The List'!$B1:$AH730,28,FALSE)-AVERAGE('The List'!AC2:AC730))/STDEV('The List'!AC2:AC730)</f>
        <v>0.13751203507419438</v>
      </c>
      <c r="Q72" s="38">
        <f>(VLOOKUP($A72,'The List'!$B1:$AH730,29,FALSE)-AVERAGE('The List'!AD2:AD730))/STDEV('The List'!AD2:AD730)</f>
        <v>-0.11661263270967034</v>
      </c>
      <c r="R72" s="38">
        <f>(VLOOKUP($A72,'The List'!$B1:$AH730,30,FALSE)-AVERAGE('The List'!AE2:AE730))/STDEV('The List'!AE2:AE730)</f>
        <v>1.302821828180607</v>
      </c>
      <c r="S72" s="38">
        <f>(VLOOKUP($A72,'The List'!$B1:$AH730,31,FALSE)-AVERAGE('The List'!AF2:AF730))/STDEV('The List'!AF2:AF730)</f>
        <v>4.4352364416784008E-2</v>
      </c>
      <c r="T72" s="38">
        <f>(VLOOKUP($A72,'The List'!$B1:$AH730,32,FALSE)-AVERAGE('The List'!AG2:AG730))/STDEV('The List'!AG2:AG730)</f>
        <v>0.18347384486671162</v>
      </c>
      <c r="U72" s="38">
        <f>(VLOOKUP($A72,'The List'!$B1:$AH730,33,FALSE)-AVERAGE('The List'!AH2:AH730))/STDEV('The List'!AH2:AH730)</f>
        <v>0.7807950679154505</v>
      </c>
      <c r="V72" s="38"/>
      <c r="W72" s="42"/>
      <c r="X72" s="40"/>
      <c r="Y72" s="40"/>
      <c r="Z72" s="40"/>
      <c r="AA72" s="40"/>
      <c r="AB72" s="40"/>
      <c r="AC72" s="43"/>
      <c r="AD72" s="44"/>
      <c r="AE72" s="38"/>
    </row>
    <row r="73" spans="1:31" ht="21.2" customHeight="1">
      <c r="A73" s="8" t="s">
        <v>212</v>
      </c>
      <c r="B73" s="34" t="str">
        <f>VLOOKUP(A73,'Player Data'!A1:B734,2,FALSE)</f>
        <v>CGY</v>
      </c>
      <c r="C73" s="36">
        <f>((E73)*Settings!$C$12)+(F73*Settings!$C$2)+(G73*Settings!$C$3)+(H73*Settings!$C$4)+(I73*Settings!$C$5)+(K73*Settings!$C$9)+(N73*Settings!$C$6)+(J73*Settings!$C$8)+(O73*Settings!$C$7)+(P73*Settings!$C$14)+(Q73*Settings!$C$15)+(R73*Settings!$C$16)+(S73*Settings!$C$17)+(T73*Settings!$C$18)+(U73*Settings!$C$19)+(L73*Settings!$C$10)+(Settings!$C$11*M73)</f>
        <v>6.5910859387786429</v>
      </c>
      <c r="D73" s="40">
        <f>IF(Settings!$E$12="YES",VLOOKUP(A73,'Player Data'!A1:E734,5,FALSE),82)</f>
        <v>82</v>
      </c>
      <c r="E73" s="38">
        <f>(VLOOKUP($A73,'The List'!$B1:$AH730,17,FALSE)-AVERAGE('The List'!R2:R730))/STDEV('The List'!R2:R730)</f>
        <v>0.78655918353374676</v>
      </c>
      <c r="F73" s="38">
        <f>(VLOOKUP($A73,'The List'!$B1:$AH730,18,FALSE)-AVERAGE('The List'!S2:S730))/STDEV('The List'!S2:S730)</f>
        <v>1.5008291250932821</v>
      </c>
      <c r="G73" s="38">
        <f>(VLOOKUP($A73,'The List'!$B1:$AH730,19,FALSE)-AVERAGE('The List'!T2:T730))/STDEV('The List'!T2:T730)</f>
        <v>1.2096835719610208</v>
      </c>
      <c r="H73" s="38">
        <f>(VLOOKUP($A73,'The List'!$B1:$AH730,20,FALSE)-AVERAGE('The List'!U2:U730))/STDEV('The List'!U2:U730)</f>
        <v>1.4410932691696845</v>
      </c>
      <c r="I73" s="38">
        <f>(VLOOKUP($A73,'The List'!$B1:$AH730,21,FALSE)-AVERAGE('The List'!V2:V730))/STDEV('The List'!V2:V730)</f>
        <v>1.0567984829232115</v>
      </c>
      <c r="J73" s="38">
        <f>(VLOOKUP($A73,'The List'!$B1:$AH730,22,FALSE)-AVERAGE('The List'!W2:W730))/STDEV('The List'!W2:W730)</f>
        <v>2.0652472618132314</v>
      </c>
      <c r="K73" s="38">
        <f>(VLOOKUP($A73,'The List'!$B1:$AH730,23,FALSE)-AVERAGE('The List'!X2:X730))/STDEV('The List'!X2:X730)</f>
        <v>1.3826814896314448</v>
      </c>
      <c r="L73" s="38">
        <f>(VLOOKUP($A73,'The List'!$B1:$AH730,24,FALSE)-AVERAGE('The List'!Y2:Y730))/STDEV('The List'!Y2:Y730)</f>
        <v>0.77549264150945751</v>
      </c>
      <c r="M73" s="38">
        <f>(VLOOKUP($A73,'The List'!$B1:$AH730,25,FALSE)-AVERAGE('The List'!Z2:Z730))/STDEV('The List'!Z2:Z730)</f>
        <v>1.6243970904316101</v>
      </c>
      <c r="N73" s="38">
        <f>(VLOOKUP($A73,'The List'!$B1:$AH730,26,FALSE)-AVERAGE('The List'!AA2:AA730))/STDEV('The List'!AA2:AA730)</f>
        <v>-0.33548926345651653</v>
      </c>
      <c r="O73" s="38">
        <f>(VLOOKUP($A73,'The List'!$B1:$AH730,27,FALSE)-AVERAGE('The List'!AB2:AB730))/STDEV('The List'!AB2:AB730)</f>
        <v>-0.21304384446097541</v>
      </c>
      <c r="P73" s="38">
        <f>(VLOOKUP($A73,'The List'!$B1:$AH730,28,FALSE)-AVERAGE('The List'!AC2:AC730))/STDEV('The List'!AC2:AC730)</f>
        <v>1.0310076947033382</v>
      </c>
      <c r="Q73" s="38">
        <f>(VLOOKUP($A73,'The List'!$B1:$AH730,29,FALSE)-AVERAGE('The List'!AD2:AD730))/STDEV('The List'!AD2:AD730)</f>
        <v>-0.74258679549820461</v>
      </c>
      <c r="R73" s="38">
        <f>(VLOOKUP($A73,'The List'!$B1:$AH730,30,FALSE)-AVERAGE('The List'!AE2:AE730))/STDEV('The List'!AE2:AE730)</f>
        <v>1.8723369694418366</v>
      </c>
      <c r="S73" s="38">
        <f>(VLOOKUP($A73,'The List'!$B1:$AH730,31,FALSE)-AVERAGE('The List'!AF2:AF730))/STDEV('The List'!AF2:AF730)</f>
        <v>3.471330831338836</v>
      </c>
      <c r="T73" s="38">
        <f>(VLOOKUP($A73,'The List'!$B1:$AH730,32,FALSE)-AVERAGE('The List'!AG2:AG730))/STDEV('The List'!AG2:AG730)</f>
        <v>3.0287649117056206</v>
      </c>
      <c r="U73" s="38">
        <f>(VLOOKUP($A73,'The List'!$B1:$AH730,33,FALSE)-AVERAGE('The List'!AH2:AH730))/STDEV('The List'!AH2:AH730)</f>
        <v>1.1939254753581383</v>
      </c>
      <c r="V73" s="38"/>
      <c r="W73" s="42"/>
      <c r="X73" s="40"/>
      <c r="Y73" s="40"/>
      <c r="Z73" s="40"/>
      <c r="AA73" s="40"/>
      <c r="AB73" s="40"/>
      <c r="AC73" s="43"/>
      <c r="AD73" s="44"/>
      <c r="AE73" s="38"/>
    </row>
    <row r="74" spans="1:31" ht="21.2" customHeight="1">
      <c r="A74" s="8" t="s">
        <v>228</v>
      </c>
      <c r="B74" s="34" t="str">
        <f>VLOOKUP(A74,'Player Data'!A1:B734,2,FALSE)</f>
        <v>SEA</v>
      </c>
      <c r="C74" s="36">
        <f>((E74)*Settings!$C$12)+(F74*Settings!$C$2)+(G74*Settings!$C$3)+(H74*Settings!$C$4)+(I74*Settings!$C$5)+(K74*Settings!$C$9)+(N74*Settings!$C$6)+(J74*Settings!$C$8)+(O74*Settings!$C$7)+(P74*Settings!$C$14)+(Q74*Settings!$C$15)+(R74*Settings!$C$16)+(S74*Settings!$C$17)+(T74*Settings!$C$18)+(U74*Settings!$C$19)+(L74*Settings!$C$10)+(Settings!$C$11*M74)</f>
        <v>6.0122623371438388</v>
      </c>
      <c r="D74" s="40">
        <f>IF(Settings!$E$12="YES",VLOOKUP(A74,'Player Data'!A1:E734,5,FALSE),82)</f>
        <v>82</v>
      </c>
      <c r="E74" s="38">
        <f>(VLOOKUP($A74,'The List'!$B1:$AH730,17,FALSE)-AVERAGE('The List'!R2:R730))/STDEV('The List'!R2:R730)</f>
        <v>0.58503945969728843</v>
      </c>
      <c r="F74" s="38">
        <f>(VLOOKUP($A74,'The List'!$B1:$AH730,18,FALSE)-AVERAGE('The List'!S2:S730))/STDEV('The List'!S2:S730)</f>
        <v>1.5958648035490477</v>
      </c>
      <c r="G74" s="38">
        <f>(VLOOKUP($A74,'The List'!$B1:$AH730,19,FALSE)-AVERAGE('The List'!T2:T730))/STDEV('The List'!T2:T730)</f>
        <v>1.3796857206977169</v>
      </c>
      <c r="H74" s="38">
        <f>(VLOOKUP($A74,'The List'!$B1:$AH730,20,FALSE)-AVERAGE('The List'!U2:U730))/STDEV('The List'!U2:U730)</f>
        <v>1.5897458100380006</v>
      </c>
      <c r="I74" s="38">
        <f>(VLOOKUP($A74,'The List'!$B1:$AH730,21,FALSE)-AVERAGE('The List'!V2:V730))/STDEV('The List'!V2:V730)</f>
        <v>0.59243418407168225</v>
      </c>
      <c r="J74" s="38">
        <f>(VLOOKUP($A74,'The List'!$B1:$AH730,22,FALSE)-AVERAGE('The List'!W2:W730))/STDEV('The List'!W2:W730)</f>
        <v>1.0807524859224031</v>
      </c>
      <c r="K74" s="38">
        <f>(VLOOKUP($A74,'The List'!$B1:$AH730,23,FALSE)-AVERAGE('The List'!X2:X730))/STDEV('The List'!X2:X730)</f>
        <v>0.85453181878739171</v>
      </c>
      <c r="L74" s="38">
        <f>(VLOOKUP($A74,'The List'!$B1:$AH730,24,FALSE)-AVERAGE('The List'!Y2:Y730))/STDEV('The List'!Y2:Y730)</f>
        <v>-0.29527540025590798</v>
      </c>
      <c r="M74" s="38">
        <f>(VLOOKUP($A74,'The List'!$B1:$AH730,25,FALSE)-AVERAGE('The List'!Z2:Z730))/STDEV('The List'!Z2:Z730)</f>
        <v>0.11335723868315806</v>
      </c>
      <c r="N74" s="38">
        <f>(VLOOKUP($A74,'The List'!$B1:$AH730,26,FALSE)-AVERAGE('The List'!AA2:AA730))/STDEV('The List'!AA2:AA730)</f>
        <v>-0.35054814656034139</v>
      </c>
      <c r="O74" s="38">
        <f>(VLOOKUP($A74,'The List'!$B1:$AH730,27,FALSE)-AVERAGE('The List'!AB2:AB730))/STDEV('The List'!AB2:AB730)</f>
        <v>-0.31780978078735939</v>
      </c>
      <c r="P74" s="38">
        <f>(VLOOKUP($A74,'The List'!$B1:$AH730,28,FALSE)-AVERAGE('The List'!AC2:AC730))/STDEV('The List'!AC2:AC730)</f>
        <v>0.44378785798075265</v>
      </c>
      <c r="Q74" s="38">
        <f>(VLOOKUP($A74,'The List'!$B1:$AH730,29,FALSE)-AVERAGE('The List'!AD2:AD730))/STDEV('The List'!AD2:AD730)</f>
        <v>-1.4920807885029814</v>
      </c>
      <c r="R74" s="38">
        <f>(VLOOKUP($A74,'The List'!$B1:$AH730,30,FALSE)-AVERAGE('The List'!AE2:AE730))/STDEV('The List'!AE2:AE730)</f>
        <v>1.4632090515319363</v>
      </c>
      <c r="S74" s="38">
        <f>(VLOOKUP($A74,'The List'!$B1:$AH730,31,FALSE)-AVERAGE('The List'!AF2:AF730))/STDEV('The List'!AF2:AF730)</f>
        <v>1.5668401934402927</v>
      </c>
      <c r="T74" s="38">
        <f>(VLOOKUP($A74,'The List'!$B1:$AH730,32,FALSE)-AVERAGE('The List'!AG2:AG730))/STDEV('The List'!AG2:AG730)</f>
        <v>2.4553569992914097</v>
      </c>
      <c r="U74" s="38">
        <f>(VLOOKUP($A74,'The List'!$B1:$AH730,33,FALSE)-AVERAGE('The List'!AH2:AH730))/STDEV('The List'!AH2:AH730)</f>
        <v>0.67072572770324224</v>
      </c>
      <c r="V74" s="38"/>
      <c r="W74" s="42"/>
      <c r="X74" s="40"/>
      <c r="Y74" s="40"/>
      <c r="Z74" s="40"/>
      <c r="AA74" s="40"/>
      <c r="AB74" s="40"/>
      <c r="AC74" s="43"/>
      <c r="AD74" s="44"/>
      <c r="AE74" s="38"/>
    </row>
    <row r="75" spans="1:31" ht="21.2" customHeight="1">
      <c r="A75" s="8" t="s">
        <v>224</v>
      </c>
      <c r="B75" s="34" t="str">
        <f>VLOOKUP(A75,'Player Data'!A1:B734,2,FALSE)</f>
        <v>NYI</v>
      </c>
      <c r="C75" s="36">
        <f>((E75)*Settings!$C$12)+(F75*Settings!$C$2)+(G75*Settings!$C$3)+(H75*Settings!$C$4)+(I75*Settings!$C$5)+(K75*Settings!$C$9)+(N75*Settings!$C$6)+(J75*Settings!$C$8)+(O75*Settings!$C$7)+(P75*Settings!$C$14)+(Q75*Settings!$C$15)+(R75*Settings!$C$16)+(S75*Settings!$C$17)+(T75*Settings!$C$18)+(U75*Settings!$C$19)+(L75*Settings!$C$10)+(Settings!$C$11*M75)</f>
        <v>6.547987422203728</v>
      </c>
      <c r="D75" s="40">
        <f>IF(Settings!$E$12="YES",VLOOKUP(A75,'Player Data'!A1:E734,5,FALSE),82)</f>
        <v>82</v>
      </c>
      <c r="E75" s="38">
        <f>(VLOOKUP($A75,'The List'!$B1:$AH730,17,FALSE)-AVERAGE('The List'!R2:R730))/STDEV('The List'!R2:R730)</f>
        <v>0.59147169323567572</v>
      </c>
      <c r="F75" s="38">
        <f>(VLOOKUP($A75,'The List'!$B1:$AH730,18,FALSE)-AVERAGE('The List'!S2:S730))/STDEV('The List'!S2:S730)</f>
        <v>2.0406463737321325</v>
      </c>
      <c r="G75" s="38">
        <f>(VLOOKUP($A75,'The List'!$B1:$AH730,19,FALSE)-AVERAGE('The List'!T2:T730))/STDEV('The List'!T2:T730)</f>
        <v>0.70052554023200786</v>
      </c>
      <c r="H75" s="38">
        <f>(VLOOKUP($A75,'The List'!$B1:$AH730,20,FALSE)-AVERAGE('The List'!U2:U730))/STDEV('The List'!U2:U730)</f>
        <v>1.3791421619519757</v>
      </c>
      <c r="I75" s="38">
        <f>(VLOOKUP($A75,'The List'!$B1:$AH730,21,FALSE)-AVERAGE('The List'!V2:V730))/STDEV('The List'!V2:V730)</f>
        <v>1.2936701417396677</v>
      </c>
      <c r="J75" s="38">
        <f>(VLOOKUP($A75,'The List'!$B1:$AH730,22,FALSE)-AVERAGE('The List'!W2:W730))/STDEV('The List'!W2:W730)</f>
        <v>1.8042369592914389</v>
      </c>
      <c r="K75" s="38">
        <f>(VLOOKUP($A75,'The List'!$B1:$AH730,23,FALSE)-AVERAGE('The List'!X2:X730))/STDEV('The List'!X2:X730)</f>
        <v>1.1340032045479438</v>
      </c>
      <c r="L75" s="38">
        <f>(VLOOKUP($A75,'The List'!$B1:$AH730,24,FALSE)-AVERAGE('The List'!Y2:Y730))/STDEV('The List'!Y2:Y730)</f>
        <v>-0.46969063276785605</v>
      </c>
      <c r="M75" s="38">
        <f>(VLOOKUP($A75,'The List'!$B1:$AH730,25,FALSE)-AVERAGE('The List'!Z2:Z730))/STDEV('The List'!Z2:Z730)</f>
        <v>-0.67347806853352454</v>
      </c>
      <c r="N75" s="38">
        <f>(VLOOKUP($A75,'The List'!$B1:$AH730,26,FALSE)-AVERAGE('The List'!AA2:AA730))/STDEV('The List'!AA2:AA730)</f>
        <v>-0.50930697948079096</v>
      </c>
      <c r="O75" s="38">
        <f>(VLOOKUP($A75,'The List'!$B1:$AH730,27,FALSE)-AVERAGE('The List'!AB2:AB730))/STDEV('The List'!AB2:AB730)</f>
        <v>-0.99124433889604968</v>
      </c>
      <c r="P75" s="38">
        <f>(VLOOKUP($A75,'The List'!$B1:$AH730,28,FALSE)-AVERAGE('The List'!AC2:AC730))/STDEV('The List'!AC2:AC730)</f>
        <v>0.42695616239823303</v>
      </c>
      <c r="Q75" s="38">
        <f>(VLOOKUP($A75,'The List'!$B1:$AH730,29,FALSE)-AVERAGE('The List'!AD2:AD730))/STDEV('The List'!AD2:AD730)</f>
        <v>-0.29265192132595585</v>
      </c>
      <c r="R75" s="38">
        <f>(VLOOKUP($A75,'The List'!$B1:$AH730,30,FALSE)-AVERAGE('The List'!AE2:AE730))/STDEV('The List'!AE2:AE730)</f>
        <v>2.1804221699838093</v>
      </c>
      <c r="S75" s="38">
        <f>(VLOOKUP($A75,'The List'!$B1:$AH730,31,FALSE)-AVERAGE('The List'!AF2:AF730))/STDEV('The List'!AF2:AF730)</f>
        <v>1.8562941951041452</v>
      </c>
      <c r="T75" s="38">
        <f>(VLOOKUP($A75,'The List'!$B1:$AH730,32,FALSE)-AVERAGE('The List'!AG2:AG730))/STDEV('The List'!AG2:AG730)</f>
        <v>2.1063392875504263</v>
      </c>
      <c r="U75" s="38">
        <f>(VLOOKUP($A75,'The List'!$B1:$AH730,33,FALSE)-AVERAGE('The List'!AH2:AH730))/STDEV('The List'!AH2:AH730)</f>
        <v>0.9476141134668602</v>
      </c>
      <c r="V75" s="38"/>
      <c r="W75" s="40"/>
      <c r="X75" s="38"/>
      <c r="Y75" s="38"/>
      <c r="Z75" s="38"/>
      <c r="AA75" s="38"/>
      <c r="AB75" s="38"/>
      <c r="AC75" s="38"/>
      <c r="AD75" s="38"/>
      <c r="AE75" s="38"/>
    </row>
    <row r="76" spans="1:31" ht="21.2" customHeight="1">
      <c r="A76" s="8" t="s">
        <v>245</v>
      </c>
      <c r="B76" s="34" t="str">
        <f>VLOOKUP(A76,'Player Data'!A1:B734,2,FALSE)</f>
        <v>SJS</v>
      </c>
      <c r="C76" s="36">
        <f>((E76)*Settings!$C$12)+(F76*Settings!$C$2)+(G76*Settings!$C$3)+(H76*Settings!$C$4)+(I76*Settings!$C$5)+(K76*Settings!$C$9)+(N76*Settings!$C$6)+(J76*Settings!$C$8)+(O76*Settings!$C$7)+(P76*Settings!$C$14)+(Q76*Settings!$C$15)+(R76*Settings!$C$16)+(S76*Settings!$C$17)+(T76*Settings!$C$18)+(U76*Settings!$C$19)+(L76*Settings!$C$10)+(Settings!$C$11*M76)</f>
        <v>5.7253304720063483</v>
      </c>
      <c r="D76" s="40">
        <f>IF(Settings!$E$12="YES",VLOOKUP(A76,'Player Data'!A1:E734,5,FALSE),82)</f>
        <v>82</v>
      </c>
      <c r="E76" s="38">
        <f>(VLOOKUP($A76,'The List'!$B1:$AH730,17,FALSE)-AVERAGE('The List'!R2:R730))/STDEV('The List'!R2:R730)</f>
        <v>0.82351402724659994</v>
      </c>
      <c r="F76" s="38">
        <f>(VLOOKUP($A76,'The List'!$B1:$AH730,18,FALSE)-AVERAGE('The List'!S2:S730))/STDEV('The List'!S2:S730)</f>
        <v>1.1400393397660935</v>
      </c>
      <c r="G76" s="38">
        <f>(VLOOKUP($A76,'The List'!$B1:$AH730,19,FALSE)-AVERAGE('The List'!T2:T730))/STDEV('The List'!T2:T730)</f>
        <v>1.1254334531172139</v>
      </c>
      <c r="H76" s="38">
        <f>(VLOOKUP($A76,'The List'!$B1:$AH730,20,FALSE)-AVERAGE('The List'!U2:U730))/STDEV('The List'!U2:U730)</f>
        <v>1.2215967813109312</v>
      </c>
      <c r="I76" s="38">
        <f>(VLOOKUP($A76,'The List'!$B1:$AH730,21,FALSE)-AVERAGE('The List'!V2:V730))/STDEV('The List'!V2:V730)</f>
        <v>0.874026704024228</v>
      </c>
      <c r="J76" s="38">
        <f>(VLOOKUP($A76,'The List'!$B1:$AH730,22,FALSE)-AVERAGE('The List'!W2:W730))/STDEV('The List'!W2:W730)</f>
        <v>1.0446566103278347</v>
      </c>
      <c r="K76" s="38">
        <f>(VLOOKUP($A76,'The List'!$B1:$AH730,23,FALSE)-AVERAGE('The List'!X2:X730))/STDEV('The List'!X2:X730)</f>
        <v>1.3642341937878819</v>
      </c>
      <c r="L76" s="38">
        <f>(VLOOKUP($A76,'The List'!$B1:$AH730,24,FALSE)-AVERAGE('The List'!Y2:Y730))/STDEV('The List'!Y2:Y730)</f>
        <v>-0.43341648259741072</v>
      </c>
      <c r="M76" s="38">
        <f>(VLOOKUP($A76,'The List'!$B1:$AH730,25,FALSE)-AVERAGE('The List'!Z2:Z730))/STDEV('The List'!Z2:Z730)</f>
        <v>-0.5666033871983408</v>
      </c>
      <c r="N76" s="38">
        <f>(VLOOKUP($A76,'The List'!$B1:$AH730,26,FALSE)-AVERAGE('The List'!AA2:AA730))/STDEV('The List'!AA2:AA730)</f>
        <v>-0.23889697335476556</v>
      </c>
      <c r="O76" s="38">
        <f>(VLOOKUP($A76,'The List'!$B1:$AH730,27,FALSE)-AVERAGE('The List'!AB2:AB730))/STDEV('The List'!AB2:AB730)</f>
        <v>-0.17757045603627802</v>
      </c>
      <c r="P76" s="38">
        <f>(VLOOKUP($A76,'The List'!$B1:$AH730,28,FALSE)-AVERAGE('The List'!AC2:AC730))/STDEV('The List'!AC2:AC730)</f>
        <v>3.6467473488029888E-2</v>
      </c>
      <c r="Q76" s="38">
        <f>(VLOOKUP($A76,'The List'!$B1:$AH730,29,FALSE)-AVERAGE('The List'!AD2:AD730))/STDEV('The List'!AD2:AD730)</f>
        <v>0.31704222608986304</v>
      </c>
      <c r="R76" s="38">
        <f>(VLOOKUP($A76,'The List'!$B1:$AH730,30,FALSE)-AVERAGE('The List'!AE2:AE730))/STDEV('The List'!AE2:AE730)</f>
        <v>0.77781170109767273</v>
      </c>
      <c r="S76" s="38">
        <f>(VLOOKUP($A76,'The List'!$B1:$AH730,31,FALSE)-AVERAGE('The List'!AF2:AF730))/STDEV('The List'!AF2:AF730)</f>
        <v>3.2341113590174335</v>
      </c>
      <c r="T76" s="38">
        <f>(VLOOKUP($A76,'The List'!$B1:$AH730,32,FALSE)-AVERAGE('The List'!AG2:AG730))/STDEV('The List'!AG2:AG730)</f>
        <v>2.7932499800534116</v>
      </c>
      <c r="U76" s="38">
        <f>(VLOOKUP($A76,'The List'!$B1:$AH730,33,FALSE)-AVERAGE('The List'!AH2:AH730))/STDEV('The List'!AH2:AH730)</f>
        <v>1.2010083833096477</v>
      </c>
      <c r="V76" s="38"/>
      <c r="W76" s="42"/>
      <c r="X76" s="40"/>
      <c r="Y76" s="40"/>
      <c r="Z76" s="40"/>
      <c r="AA76" s="40"/>
      <c r="AB76" s="40"/>
      <c r="AC76" s="43"/>
      <c r="AD76" s="44"/>
      <c r="AE76" s="38"/>
    </row>
    <row r="77" spans="1:31" ht="21.2" customHeight="1">
      <c r="A77" s="8" t="s">
        <v>229</v>
      </c>
      <c r="B77" s="34" t="str">
        <f>VLOOKUP(A77,'Player Data'!A1:B734,2,FALSE)</f>
        <v>MTL</v>
      </c>
      <c r="C77" s="36">
        <f>((E77)*Settings!$C$12)+(F77*Settings!$C$2)+(G77*Settings!$C$3)+(H77*Settings!$C$4)+(I77*Settings!$C$5)+(K77*Settings!$C$9)+(N77*Settings!$C$6)+(J77*Settings!$C$8)+(O77*Settings!$C$7)+(P77*Settings!$C$14)+(Q77*Settings!$C$15)+(R77*Settings!$C$16)+(S77*Settings!$C$17)+(T77*Settings!$C$18)+(U77*Settings!$C$19)+(L77*Settings!$C$10)+(Settings!$C$11*M77)</f>
        <v>5.6526972314709631</v>
      </c>
      <c r="D77" s="40">
        <f>IF(Settings!$E$12="YES",VLOOKUP(A77,'Player Data'!A1:E734,5,FALSE),82)</f>
        <v>82</v>
      </c>
      <c r="E77" s="38">
        <f>(VLOOKUP($A77,'The List'!$B1:$AH730,17,FALSE)-AVERAGE('The List'!R2:R730))/STDEV('The List'!R2:R730)</f>
        <v>1.2163577980907083</v>
      </c>
      <c r="F77" s="38">
        <f>(VLOOKUP($A77,'The List'!$B1:$AH730,18,FALSE)-AVERAGE('The List'!S2:S730))/STDEV('The List'!S2:S730)</f>
        <v>1.1776005157274863</v>
      </c>
      <c r="G77" s="38">
        <f>(VLOOKUP($A77,'The List'!$B1:$AH730,19,FALSE)-AVERAGE('The List'!T2:T730))/STDEV('The List'!T2:T730)</f>
        <v>1.3471459457765103</v>
      </c>
      <c r="H77" s="38">
        <f>(VLOOKUP($A77,'The List'!$B1:$AH730,20,FALSE)-AVERAGE('The List'!U2:U730))/STDEV('The List'!U2:U730)</f>
        <v>1.3753090109885273</v>
      </c>
      <c r="I77" s="38">
        <f>(VLOOKUP($A77,'The List'!$B1:$AH730,21,FALSE)-AVERAGE('The List'!V2:V730))/STDEV('The List'!V2:V730)</f>
        <v>0.55193311855041871</v>
      </c>
      <c r="J77" s="38">
        <f>(VLOOKUP($A77,'The List'!$B1:$AH730,22,FALSE)-AVERAGE('The List'!W2:W730))/STDEV('The List'!W2:W730)</f>
        <v>1.3744865727402797</v>
      </c>
      <c r="K77" s="38">
        <f>(VLOOKUP($A77,'The List'!$B1:$AH730,23,FALSE)-AVERAGE('The List'!X2:X730))/STDEV('The List'!X2:X730)</f>
        <v>1.2007086404280209</v>
      </c>
      <c r="L77" s="38">
        <f>(VLOOKUP($A77,'The List'!$B1:$AH730,24,FALSE)-AVERAGE('The List'!Y2:Y730))/STDEV('The List'!Y2:Y730)</f>
        <v>2.2946260572823571</v>
      </c>
      <c r="M77" s="38">
        <f>(VLOOKUP($A77,'The List'!$B1:$AH730,25,FALSE)-AVERAGE('The List'!Z2:Z730))/STDEV('The List'!Z2:Z730)</f>
        <v>2.0670957959106633</v>
      </c>
      <c r="N77" s="38">
        <f>(VLOOKUP($A77,'The List'!$B1:$AH730,26,FALSE)-AVERAGE('The List'!AA2:AA730))/STDEV('The List'!AA2:AA730)</f>
        <v>-0.20446293947254121</v>
      </c>
      <c r="O77" s="38">
        <f>(VLOOKUP($A77,'The List'!$B1:$AH730,27,FALSE)-AVERAGE('The List'!AB2:AB730))/STDEV('The List'!AB2:AB730)</f>
        <v>-0.74916198426094327</v>
      </c>
      <c r="P77" s="38">
        <f>(VLOOKUP($A77,'The List'!$B1:$AH730,28,FALSE)-AVERAGE('The List'!AC2:AC730))/STDEV('The List'!AC2:AC730)</f>
        <v>-2.1176479396491055</v>
      </c>
      <c r="Q77" s="38">
        <f>(VLOOKUP($A77,'The List'!$B1:$AH730,29,FALSE)-AVERAGE('The List'!AD2:AD730))/STDEV('The List'!AD2:AD730)</f>
        <v>-0.22490382285877356</v>
      </c>
      <c r="R77" s="38">
        <f>(VLOOKUP($A77,'The List'!$B1:$AH730,30,FALSE)-AVERAGE('The List'!AE2:AE730))/STDEV('The List'!AE2:AE730)</f>
        <v>0.44794554377489065</v>
      </c>
      <c r="S77" s="38">
        <f>(VLOOKUP($A77,'The List'!$B1:$AH730,31,FALSE)-AVERAGE('The List'!AF2:AF730))/STDEV('The List'!AF2:AF730)</f>
        <v>2.5555182233345248</v>
      </c>
      <c r="T77" s="38">
        <f>(VLOOKUP($A77,'The List'!$B1:$AH730,32,FALSE)-AVERAGE('The List'!AG2:AG730))/STDEV('The List'!AG2:AG730)</f>
        <v>2.9948149101691066</v>
      </c>
      <c r="U77" s="38">
        <f>(VLOOKUP($A77,'The List'!$B1:$AH730,33,FALSE)-AVERAGE('The List'!AH2:AH730))/STDEV('The List'!AH2:AH730)</f>
        <v>0.91469109144172223</v>
      </c>
      <c r="V77" s="38"/>
      <c r="W77" s="42"/>
      <c r="X77" s="40"/>
      <c r="Y77" s="40"/>
      <c r="Z77" s="40"/>
      <c r="AA77" s="40"/>
      <c r="AB77" s="40"/>
      <c r="AC77" s="43"/>
      <c r="AD77" s="44"/>
      <c r="AE77" s="38"/>
    </row>
    <row r="78" spans="1:31" ht="21.2" customHeight="1">
      <c r="A78" s="8" t="s">
        <v>190</v>
      </c>
      <c r="B78" s="34" t="str">
        <f>VLOOKUP(A78,'Player Data'!A1:B734,2,FALSE)</f>
        <v>NYI</v>
      </c>
      <c r="C78" s="36">
        <f>((E78)*Settings!$C$12)+(F78*Settings!$C$2)+(G78*Settings!$C$3)+(H78*Settings!$C$4)+(I78*Settings!$C$5)+(K78*Settings!$C$9)+(N78*Settings!$C$6)+(J78*Settings!$C$8)+(O78*Settings!$C$7)+(P78*Settings!$C$14)+(Q78*Settings!$C$15)+(R78*Settings!$C$16)+(S78*Settings!$C$17)+(T78*Settings!$C$18)+(U78*Settings!$C$19)+(L78*Settings!$C$10)+(Settings!$C$11*M78)</f>
        <v>7.6940355983686546</v>
      </c>
      <c r="D78" s="40">
        <f>IF(Settings!$E$12="YES",VLOOKUP(A78,'Player Data'!A1:E734,5,FALSE),82)</f>
        <v>82</v>
      </c>
      <c r="E78" s="38">
        <f>(VLOOKUP($A78,'The List'!$B1:$AH730,17,FALSE)-AVERAGE('The List'!R2:R730))/STDEV('The List'!R2:R730)</f>
        <v>1.219146819381022</v>
      </c>
      <c r="F78" s="38">
        <f>(VLOOKUP($A78,'The List'!$B1:$AH730,18,FALSE)-AVERAGE('The List'!S2:S730))/STDEV('The List'!S2:S730)</f>
        <v>2.3474618998073242</v>
      </c>
      <c r="G78" s="38">
        <f>(VLOOKUP($A78,'The List'!$B1:$AH730,19,FALSE)-AVERAGE('The List'!T2:T730))/STDEV('The List'!T2:T730)</f>
        <v>0.7092502853408007</v>
      </c>
      <c r="H78" s="38">
        <f>(VLOOKUP($A78,'The List'!$B1:$AH730,20,FALSE)-AVERAGE('The List'!U2:U730))/STDEV('The List'!U2:U730)</f>
        <v>1.5271341540015773</v>
      </c>
      <c r="I78" s="38">
        <f>(VLOOKUP($A78,'The List'!$B1:$AH730,21,FALSE)-AVERAGE('The List'!V2:V730))/STDEV('The List'!V2:V730)</f>
        <v>1.6607934950939547</v>
      </c>
      <c r="J78" s="38">
        <f>(VLOOKUP($A78,'The List'!$B1:$AH730,22,FALSE)-AVERAGE('The List'!W2:W730))/STDEV('The List'!W2:W730)</f>
        <v>2.6548085722238874</v>
      </c>
      <c r="K78" s="38">
        <f>(VLOOKUP($A78,'The List'!$B1:$AH730,23,FALSE)-AVERAGE('The List'!X2:X730))/STDEV('The List'!X2:X730)</f>
        <v>1.4493957641249977</v>
      </c>
      <c r="L78" s="38">
        <f>(VLOOKUP($A78,'The List'!$B1:$AH730,24,FALSE)-AVERAGE('The List'!Y2:Y730))/STDEV('The List'!Y2:Y730)</f>
        <v>3.1906000652101549</v>
      </c>
      <c r="M78" s="38">
        <f>(VLOOKUP($A78,'The List'!$B1:$AH730,25,FALSE)-AVERAGE('The List'!Z2:Z730))/STDEV('The List'!Z2:Z730)</f>
        <v>2.4374199239285907</v>
      </c>
      <c r="N78" s="38">
        <f>(VLOOKUP($A78,'The List'!$B1:$AH730,26,FALSE)-AVERAGE('The List'!AA2:AA730))/STDEV('The List'!AA2:AA730)</f>
        <v>-0.20009988343840229</v>
      </c>
      <c r="O78" s="38">
        <f>(VLOOKUP($A78,'The List'!$B1:$AH730,27,FALSE)-AVERAGE('The List'!AB2:AB730))/STDEV('The List'!AB2:AB730)</f>
        <v>-0.48522030252734172</v>
      </c>
      <c r="P78" s="38">
        <f>(VLOOKUP($A78,'The List'!$B1:$AH730,28,FALSE)-AVERAGE('The List'!AC2:AC730))/STDEV('The List'!AC2:AC730)</f>
        <v>2.5827794692890585E-3</v>
      </c>
      <c r="Q78" s="38">
        <f>(VLOOKUP($A78,'The List'!$B1:$AH730,29,FALSE)-AVERAGE('The List'!AD2:AD730))/STDEV('The List'!AD2:AD730)</f>
        <v>-6.3012552042814154E-2</v>
      </c>
      <c r="R78" s="38">
        <f>(VLOOKUP($A78,'The List'!$B1:$AH730,30,FALSE)-AVERAGE('The List'!AE2:AE730))/STDEV('The List'!AE2:AE730)</f>
        <v>2.4891622260124286</v>
      </c>
      <c r="S78" s="38">
        <f>(VLOOKUP($A78,'The List'!$B1:$AH730,31,FALSE)-AVERAGE('The List'!AF2:AF730))/STDEV('The List'!AF2:AF730)</f>
        <v>4.1839054026767135</v>
      </c>
      <c r="T78" s="38">
        <f>(VLOOKUP($A78,'The List'!$B1:$AH730,32,FALSE)-AVERAGE('The List'!AG2:AG730))/STDEV('The List'!AG2:AG730)</f>
        <v>3.280183851970027</v>
      </c>
      <c r="U78" s="38">
        <f>(VLOOKUP($A78,'The List'!$B1:$AH730,33,FALSE)-AVERAGE('The List'!AH2:AH730))/STDEV('The List'!AH2:AH730)</f>
        <v>1.3008840109593907</v>
      </c>
      <c r="V78" s="38"/>
      <c r="W78" s="42"/>
      <c r="X78" s="40"/>
      <c r="Y78" s="40"/>
      <c r="Z78" s="40"/>
      <c r="AA78" s="40"/>
      <c r="AB78" s="40"/>
      <c r="AC78" s="43"/>
      <c r="AD78" s="44"/>
      <c r="AE78" s="38"/>
    </row>
    <row r="79" spans="1:31" ht="21.2" customHeight="1">
      <c r="A79" s="8" t="s">
        <v>185</v>
      </c>
      <c r="B79" s="34" t="str">
        <f>VLOOKUP(A79,'Player Data'!A1:B734,2,FALSE)</f>
        <v>DAL</v>
      </c>
      <c r="C79" s="36">
        <f>((E79)*Settings!$C$12)+(F79*Settings!$C$2)+(G79*Settings!$C$3)+(H79*Settings!$C$4)+(I79*Settings!$C$5)+(K79*Settings!$C$9)+(N79*Settings!$C$6)+(J79*Settings!$C$8)+(O79*Settings!$C$7)+(P79*Settings!$C$14)+(Q79*Settings!$C$15)+(R79*Settings!$C$16)+(S79*Settings!$C$17)+(T79*Settings!$C$18)+(U79*Settings!$C$19)+(L79*Settings!$C$10)+(Settings!$C$11*M79)</f>
        <v>6.4454207757164905</v>
      </c>
      <c r="D79" s="40">
        <f>IF(Settings!$E$12="YES",VLOOKUP(A79,'Player Data'!A1:E734,5,FALSE),82)</f>
        <v>82</v>
      </c>
      <c r="E79" s="38">
        <f>(VLOOKUP($A79,'The List'!$B1:$AH730,17,FALSE)-AVERAGE('The List'!R2:R730))/STDEV('The List'!R2:R730)</f>
        <v>0.25373765603650272</v>
      </c>
      <c r="F79" s="38">
        <f>(VLOOKUP($A79,'The List'!$B1:$AH730,18,FALSE)-AVERAGE('The List'!S2:S730))/STDEV('The List'!S2:S730)</f>
        <v>1.0670083504419166</v>
      </c>
      <c r="G79" s="38">
        <f>(VLOOKUP($A79,'The List'!$B1:$AH730,19,FALSE)-AVERAGE('The List'!T2:T730))/STDEV('The List'!T2:T730)</f>
        <v>1.4255340874292448</v>
      </c>
      <c r="H79" s="38">
        <f>(VLOOKUP($A79,'The List'!$B1:$AH730,20,FALSE)-AVERAGE('The List'!U2:U730))/STDEV('The List'!U2:U730)</f>
        <v>1.3720702819492943</v>
      </c>
      <c r="I79" s="38">
        <f>(VLOOKUP($A79,'The List'!$B1:$AH730,21,FALSE)-AVERAGE('The List'!V2:V730))/STDEV('The List'!V2:V730)</f>
        <v>0.76301684502763534</v>
      </c>
      <c r="J79" s="38">
        <f>(VLOOKUP($A79,'The List'!$B1:$AH730,22,FALSE)-AVERAGE('The List'!W2:W730))/STDEV('The List'!W2:W730)</f>
        <v>2.5129706416625139</v>
      </c>
      <c r="K79" s="38">
        <f>(VLOOKUP($A79,'The List'!$B1:$AH730,23,FALSE)-AVERAGE('The List'!X2:X730))/STDEV('The List'!X2:X730)</f>
        <v>1.8177912108684002</v>
      </c>
      <c r="L79" s="38">
        <f>(VLOOKUP($A79,'The List'!$B1:$AH730,24,FALSE)-AVERAGE('The List'!Y2:Y730))/STDEV('The List'!Y2:Y730)</f>
        <v>-0.49396901073964916</v>
      </c>
      <c r="M79" s="38">
        <f>(VLOOKUP($A79,'The List'!$B1:$AH730,25,FALSE)-AVERAGE('The List'!Z2:Z730))/STDEV('The List'!Z2:Z730)</f>
        <v>-0.41912260802976248</v>
      </c>
      <c r="N79" s="38">
        <f>(VLOOKUP($A79,'The List'!$B1:$AH730,26,FALSE)-AVERAGE('The List'!AA2:AA730))/STDEV('The List'!AA2:AA730)</f>
        <v>-0.12955939027853325</v>
      </c>
      <c r="O79" s="38">
        <f>(VLOOKUP($A79,'The List'!$B1:$AH730,27,FALSE)-AVERAGE('The List'!AB2:AB730))/STDEV('The List'!AB2:AB730)</f>
        <v>-0.207612349452901</v>
      </c>
      <c r="P79" s="38">
        <f>(VLOOKUP($A79,'The List'!$B1:$AH730,28,FALSE)-AVERAGE('The List'!AC2:AC730))/STDEV('The List'!AC2:AC730)</f>
        <v>2.0685997361001802</v>
      </c>
      <c r="Q79" s="38">
        <f>(VLOOKUP($A79,'The List'!$B1:$AH730,29,FALSE)-AVERAGE('The List'!AD2:AD730))/STDEV('The List'!AD2:AD730)</f>
        <v>-1.2320781284076188</v>
      </c>
      <c r="R79" s="38">
        <f>(VLOOKUP($A79,'The List'!$B1:$AH730,30,FALSE)-AVERAGE('The List'!AE2:AE730))/STDEV('The List'!AE2:AE730)</f>
        <v>1.2875029642998008</v>
      </c>
      <c r="S79" s="38">
        <f>(VLOOKUP($A79,'The List'!$B1:$AH730,31,FALSE)-AVERAGE('The List'!AF2:AF730))/STDEV('The List'!AF2:AF730)</f>
        <v>1.1913352048878154</v>
      </c>
      <c r="T79" s="38">
        <f>(VLOOKUP($A79,'The List'!$B1:$AH730,32,FALSE)-AVERAGE('The List'!AG2:AG730))/STDEV('The List'!AG2:AG730)</f>
        <v>1.0388985857234605</v>
      </c>
      <c r="U79" s="38">
        <f>(VLOOKUP($A79,'The List'!$B1:$AH730,33,FALSE)-AVERAGE('The List'!AH2:AH730))/STDEV('The List'!AH2:AH730)</f>
        <v>1.1479077642880582</v>
      </c>
      <c r="V79" s="38"/>
      <c r="W79" s="42"/>
      <c r="X79" s="40"/>
      <c r="Y79" s="40"/>
      <c r="Z79" s="40"/>
      <c r="AA79" s="40"/>
      <c r="AB79" s="40"/>
      <c r="AC79" s="43"/>
      <c r="AD79" s="44"/>
      <c r="AE79" s="38"/>
    </row>
    <row r="80" spans="1:31" ht="21.2" customHeight="1">
      <c r="A80" s="8" t="s">
        <v>172</v>
      </c>
      <c r="B80" s="34" t="str">
        <f>VLOOKUP(A80,'Player Data'!A1:B734,2,FALSE)</f>
        <v>BUF</v>
      </c>
      <c r="C80" s="36">
        <f>((E80)*Settings!$C$12)+(F80*Settings!$C$2)+(G80*Settings!$C$3)+(H80*Settings!$C$4)+(I80*Settings!$C$5)+(K80*Settings!$C$9)+(N80*Settings!$C$6)+(J80*Settings!$C$8)+(O80*Settings!$C$7)+(P80*Settings!$C$14)+(Q80*Settings!$C$15)+(R80*Settings!$C$16)+(S80*Settings!$C$17)+(T80*Settings!$C$18)+(U80*Settings!$C$19)+(L80*Settings!$C$10)+(Settings!$C$11*M80)</f>
        <v>7.9993564400938268</v>
      </c>
      <c r="D80" s="40">
        <f>IF(Settings!$E$12="YES",VLOOKUP(A80,'Player Data'!A1:E734,5,FALSE),82)</f>
        <v>82</v>
      </c>
      <c r="E80" s="38">
        <f>(VLOOKUP($A80,'The List'!$B1:$AH730,17,FALSE)-AVERAGE('The List'!R2:R730))/STDEV('The List'!R2:R730)</f>
        <v>0.66337459108710217</v>
      </c>
      <c r="F80" s="38">
        <f>(VLOOKUP($A80,'The List'!$B1:$AH730,18,FALSE)-AVERAGE('The List'!S2:S730))/STDEV('The List'!S2:S730)</f>
        <v>1.6225309596374728</v>
      </c>
      <c r="G80" s="38">
        <f>(VLOOKUP($A80,'The List'!$B1:$AH730,19,FALSE)-AVERAGE('The List'!T2:T730))/STDEV('The List'!T2:T730)</f>
        <v>1.4958759940733066</v>
      </c>
      <c r="H80" s="38">
        <f>(VLOOKUP($A80,'The List'!$B1:$AH730,20,FALSE)-AVERAGE('The List'!U2:U730))/STDEV('The List'!U2:U730)</f>
        <v>1.6735456830271369</v>
      </c>
      <c r="I80" s="38">
        <f>(VLOOKUP($A80,'The List'!$B1:$AH730,21,FALSE)-AVERAGE('The List'!V2:V730))/STDEV('The List'!V2:V730)</f>
        <v>1.6069408156798062</v>
      </c>
      <c r="J80" s="38">
        <f>(VLOOKUP($A80,'The List'!$B1:$AH730,22,FALSE)-AVERAGE('The List'!W2:W730))/STDEV('The List'!W2:W730)</f>
        <v>1.1823985786851772</v>
      </c>
      <c r="K80" s="38">
        <f>(VLOOKUP($A80,'The List'!$B1:$AH730,23,FALSE)-AVERAGE('The List'!X2:X730))/STDEV('The List'!X2:X730)</f>
        <v>1.6004629876761043</v>
      </c>
      <c r="L80" s="38">
        <f>(VLOOKUP($A80,'The List'!$B1:$AH730,24,FALSE)-AVERAGE('The List'!Y2:Y730))/STDEV('The List'!Y2:Y730)</f>
        <v>0.9103691756960437</v>
      </c>
      <c r="M80" s="38">
        <f>(VLOOKUP($A80,'The List'!$B1:$AH730,25,FALSE)-AVERAGE('The List'!Z2:Z730))/STDEV('The List'!Z2:Z730)</f>
        <v>1.5175486950719117</v>
      </c>
      <c r="N80" s="38">
        <f>(VLOOKUP($A80,'The List'!$B1:$AH730,26,FALSE)-AVERAGE('The List'!AA2:AA730))/STDEV('The List'!AA2:AA730)</f>
        <v>-0.77994152653390625</v>
      </c>
      <c r="O80" s="38">
        <f>(VLOOKUP($A80,'The List'!$B1:$AH730,27,FALSE)-AVERAGE('The List'!AB2:AB730))/STDEV('The List'!AB2:AB730)</f>
        <v>-0.81812612436060372</v>
      </c>
      <c r="P80" s="38">
        <f>(VLOOKUP($A80,'The List'!$B1:$AH730,28,FALSE)-AVERAGE('The List'!AC2:AC730))/STDEV('The List'!AC2:AC730)</f>
        <v>-0.72828260040317372</v>
      </c>
      <c r="Q80" s="38">
        <f>(VLOOKUP($A80,'The List'!$B1:$AH730,29,FALSE)-AVERAGE('The List'!AD2:AD730))/STDEV('The List'!AD2:AD730)</f>
        <v>0.70268147306837625</v>
      </c>
      <c r="R80" s="38">
        <f>(VLOOKUP($A80,'The List'!$B1:$AH730,30,FALSE)-AVERAGE('The List'!AE2:AE730))/STDEV('The List'!AE2:AE730)</f>
        <v>1.2432044689484847</v>
      </c>
      <c r="S80" s="38">
        <f>(VLOOKUP($A80,'The List'!$B1:$AH730,31,FALSE)-AVERAGE('The List'!AF2:AF730))/STDEV('The List'!AF2:AF730)</f>
        <v>2.2146749831624635</v>
      </c>
      <c r="T80" s="38">
        <f>(VLOOKUP($A80,'The List'!$B1:$AH730,32,FALSE)-AVERAGE('The List'!AG2:AG730))/STDEV('The List'!AG2:AG730)</f>
        <v>2.6637998213622258</v>
      </c>
      <c r="U80" s="38">
        <f>(VLOOKUP($A80,'The List'!$B1:$AH730,33,FALSE)-AVERAGE('The List'!AH2:AH730))/STDEV('The List'!AH2:AH730)</f>
        <v>0.8929286407868009</v>
      </c>
      <c r="V80" s="38"/>
      <c r="W80" s="40"/>
      <c r="X80" s="40"/>
      <c r="Y80" s="40"/>
      <c r="Z80" s="40"/>
      <c r="AA80" s="40"/>
      <c r="AB80" s="40"/>
      <c r="AC80" s="43"/>
      <c r="AD80" s="44"/>
      <c r="AE80" s="38"/>
    </row>
    <row r="81" spans="1:31" ht="21.2" customHeight="1">
      <c r="A81" s="8" t="s">
        <v>166</v>
      </c>
      <c r="B81" s="34" t="str">
        <f>VLOOKUP(A81,'Player Data'!A1:B734,2,FALSE)</f>
        <v>DET</v>
      </c>
      <c r="C81" s="36">
        <f>((E81)*Settings!$C$12)+(F81*Settings!$C$2)+(G81*Settings!$C$3)+(H81*Settings!$C$4)+(I81*Settings!$C$5)+(K81*Settings!$C$9)+(N81*Settings!$C$6)+(J81*Settings!$C$8)+(O81*Settings!$C$7)+(P81*Settings!$C$14)+(Q81*Settings!$C$15)+(R81*Settings!$C$16)+(S81*Settings!$C$17)+(T81*Settings!$C$18)+(U81*Settings!$C$19)+(L81*Settings!$C$10)+(Settings!$C$11*M81)</f>
        <v>7.3446174527156405</v>
      </c>
      <c r="D81" s="40">
        <f>IF(Settings!$E$12="YES",VLOOKUP(A81,'Player Data'!A1:E734,5,FALSE),82)</f>
        <v>82</v>
      </c>
      <c r="E81" s="38">
        <f>(VLOOKUP($A81,'The List'!$B1:$AH730,17,FALSE)-AVERAGE('The List'!R2:R730))/STDEV('The List'!R2:R730)</f>
        <v>0.50407030013724585</v>
      </c>
      <c r="F81" s="38">
        <f>(VLOOKUP($A81,'The List'!$B1:$AH730,18,FALSE)-AVERAGE('The List'!S2:S730))/STDEV('The List'!S2:S730)</f>
        <v>1.6939073312422506</v>
      </c>
      <c r="G81" s="38">
        <f>(VLOOKUP($A81,'The List'!$B1:$AH730,19,FALSE)-AVERAGE('The List'!T2:T730))/STDEV('The List'!T2:T730)</f>
        <v>0.89840776080097684</v>
      </c>
      <c r="H81" s="38">
        <f>(VLOOKUP($A81,'The List'!$B1:$AH730,20,FALSE)-AVERAGE('The List'!U2:U730))/STDEV('The List'!U2:U730)</f>
        <v>1.3395589078084409</v>
      </c>
      <c r="I81" s="38">
        <f>(VLOOKUP($A81,'The List'!$B1:$AH730,21,FALSE)-AVERAGE('The List'!V2:V730))/STDEV('The List'!V2:V730)</f>
        <v>1.6651509648725558</v>
      </c>
      <c r="J81" s="38">
        <f>(VLOOKUP($A81,'The List'!$B1:$AH730,22,FALSE)-AVERAGE('The List'!W2:W730))/STDEV('The List'!W2:W730)</f>
        <v>2.0670969424876722</v>
      </c>
      <c r="K81" s="38">
        <f>(VLOOKUP($A81,'The List'!$B1:$AH730,23,FALSE)-AVERAGE('The List'!X2:X730))/STDEV('The List'!X2:X730)</f>
        <v>1.7475924879914162</v>
      </c>
      <c r="L81" s="38">
        <f>(VLOOKUP($A81,'The List'!$B1:$AH730,24,FALSE)-AVERAGE('The List'!Y2:Y730))/STDEV('The List'!Y2:Y730)</f>
        <v>-0.48934304141848894</v>
      </c>
      <c r="M81" s="38">
        <f>(VLOOKUP($A81,'The List'!$B1:$AH730,25,FALSE)-AVERAGE('The List'!Z2:Z730))/STDEV('The List'!Z2:Z730)</f>
        <v>-0.67224239965006449</v>
      </c>
      <c r="N81" s="38">
        <f>(VLOOKUP($A81,'The List'!$B1:$AH730,26,FALSE)-AVERAGE('The List'!AA2:AA730))/STDEV('The List'!AA2:AA730)</f>
        <v>-0.71868534962919661</v>
      </c>
      <c r="O81" s="38">
        <f>(VLOOKUP($A81,'The List'!$B1:$AH730,27,FALSE)-AVERAGE('The List'!AB2:AB730))/STDEV('The List'!AB2:AB730)</f>
        <v>-2.1556671427082806E-2</v>
      </c>
      <c r="P81" s="38">
        <f>(VLOOKUP($A81,'The List'!$B1:$AH730,28,FALSE)-AVERAGE('The List'!AC2:AC730))/STDEV('The List'!AC2:AC730)</f>
        <v>-0.63963113295661433</v>
      </c>
      <c r="Q81" s="38">
        <f>(VLOOKUP($A81,'The List'!$B1:$AH730,29,FALSE)-AVERAGE('The List'!AD2:AD730))/STDEV('The List'!AD2:AD730)</f>
        <v>-0.73458010543856123</v>
      </c>
      <c r="R81" s="38">
        <f>(VLOOKUP($A81,'The List'!$B1:$AH730,30,FALSE)-AVERAGE('The List'!AE2:AE730))/STDEV('The List'!AE2:AE730)</f>
        <v>1.3888408977481768</v>
      </c>
      <c r="S81" s="38">
        <f>(VLOOKUP($A81,'The List'!$B1:$AH730,31,FALSE)-AVERAGE('The List'!AF2:AF730))/STDEV('The List'!AF2:AF730)</f>
        <v>-0.50951508606254958</v>
      </c>
      <c r="T81" s="38">
        <f>(VLOOKUP($A81,'The List'!$B1:$AH730,32,FALSE)-AVERAGE('The List'!AG2:AG730))/STDEV('The List'!AG2:AG730)</f>
        <v>-0.53693305359977617</v>
      </c>
      <c r="U81" s="38">
        <f>(VLOOKUP($A81,'The List'!$B1:$AH730,33,FALSE)-AVERAGE('The List'!AH2:AH730))/STDEV('The List'!AH2:AH730)</f>
        <v>0.77243461309154182</v>
      </c>
      <c r="V81" s="38"/>
      <c r="W81" s="42"/>
      <c r="X81" s="40"/>
      <c r="Y81" s="40"/>
      <c r="Z81" s="40"/>
      <c r="AA81" s="40"/>
      <c r="AB81" s="40"/>
      <c r="AC81" s="43"/>
      <c r="AD81" s="44"/>
      <c r="AE81" s="38"/>
    </row>
    <row r="82" spans="1:31" ht="21.2" customHeight="1">
      <c r="A82" s="8" t="s">
        <v>196</v>
      </c>
      <c r="B82" s="34" t="str">
        <f>VLOOKUP(A82,'Player Data'!A1:B734,2,FALSE)</f>
        <v>CAR</v>
      </c>
      <c r="C82" s="36">
        <f>((E82)*Settings!$C$12)+(F82*Settings!$C$2)+(G82*Settings!$C$3)+(H82*Settings!$C$4)+(I82*Settings!$C$5)+(K82*Settings!$C$9)+(N82*Settings!$C$6)+(J82*Settings!$C$8)+(O82*Settings!$C$7)+(P82*Settings!$C$14)+(Q82*Settings!$C$15)+(R82*Settings!$C$16)+(S82*Settings!$C$17)+(T82*Settings!$C$18)+(U82*Settings!$C$19)+(L82*Settings!$C$10)+(Settings!$C$11*M82)</f>
        <v>6.4441422120163754</v>
      </c>
      <c r="D82" s="40">
        <f>IF(Settings!$E$12="YES",VLOOKUP(A82,'Player Data'!A1:E734,5,FALSE),82)</f>
        <v>82</v>
      </c>
      <c r="E82" s="38">
        <f>(VLOOKUP($A82,'The List'!$B1:$AH730,17,FALSE)-AVERAGE('The List'!R2:R730))/STDEV('The List'!R2:R730)</f>
        <v>0.50598072251602189</v>
      </c>
      <c r="F82" s="38">
        <f>(VLOOKUP($A82,'The List'!$B1:$AH730,18,FALSE)-AVERAGE('The List'!S2:S730))/STDEV('The List'!S2:S730)</f>
        <v>1.1173916525909782</v>
      </c>
      <c r="G82" s="38">
        <f>(VLOOKUP($A82,'The List'!$B1:$AH730,19,FALSE)-AVERAGE('The List'!T2:T730))/STDEV('The List'!T2:T730)</f>
        <v>1.3113450738460091</v>
      </c>
      <c r="H82" s="38">
        <f>(VLOOKUP($A82,'The List'!$B1:$AH730,20,FALSE)-AVERAGE('The List'!U2:U730))/STDEV('The List'!U2:U730)</f>
        <v>1.3253184843995394</v>
      </c>
      <c r="I82" s="38">
        <f>(VLOOKUP($A82,'The List'!$B1:$AH730,21,FALSE)-AVERAGE('The List'!V2:V730))/STDEV('The List'!V2:V730)</f>
        <v>1.3908518905207554</v>
      </c>
      <c r="J82" s="38">
        <f>(VLOOKUP($A82,'The List'!$B1:$AH730,22,FALSE)-AVERAGE('The List'!W2:W730))/STDEV('The List'!W2:W730)</f>
        <v>1.0775111591116626</v>
      </c>
      <c r="K82" s="38">
        <f>(VLOOKUP($A82,'The List'!$B1:$AH730,23,FALSE)-AVERAGE('The List'!X2:X730))/STDEV('The List'!X2:X730)</f>
        <v>1.299235110659094</v>
      </c>
      <c r="L82" s="38">
        <f>(VLOOKUP($A82,'The List'!$B1:$AH730,24,FALSE)-AVERAGE('The List'!Y2:Y730))/STDEV('The List'!Y2:Y730)</f>
        <v>-1.7732788232556321E-2</v>
      </c>
      <c r="M82" s="38">
        <f>(VLOOKUP($A82,'The List'!$B1:$AH730,25,FALSE)-AVERAGE('The List'!Z2:Z730))/STDEV('The List'!Z2:Z730)</f>
        <v>5.3320551045750196E-2</v>
      </c>
      <c r="N82" s="38">
        <f>(VLOOKUP($A82,'The List'!$B1:$AH730,26,FALSE)-AVERAGE('The List'!AA2:AA730))/STDEV('The List'!AA2:AA730)</f>
        <v>-0.98934049464282303</v>
      </c>
      <c r="O82" s="38">
        <f>(VLOOKUP($A82,'The List'!$B1:$AH730,27,FALSE)-AVERAGE('The List'!AB2:AB730))/STDEV('The List'!AB2:AB730)</f>
        <v>-0.77493871694902439</v>
      </c>
      <c r="P82" s="38">
        <f>(VLOOKUP($A82,'The List'!$B1:$AH730,28,FALSE)-AVERAGE('The List'!AC2:AC730))/STDEV('The List'!AC2:AC730)</f>
        <v>1.3174464929774319</v>
      </c>
      <c r="Q82" s="38">
        <f>(VLOOKUP($A82,'The List'!$B1:$AH730,29,FALSE)-AVERAGE('The List'!AD2:AD730))/STDEV('The List'!AD2:AD730)</f>
        <v>-0.15388786876579993</v>
      </c>
      <c r="R82" s="38">
        <f>(VLOOKUP($A82,'The List'!$B1:$AH730,30,FALSE)-AVERAGE('The List'!AE2:AE730))/STDEV('The List'!AE2:AE730)</f>
        <v>1.6547196862760296</v>
      </c>
      <c r="S82" s="38">
        <f>(VLOOKUP($A82,'The List'!$B1:$AH730,31,FALSE)-AVERAGE('The List'!AF2:AF730))/STDEV('The List'!AF2:AF730)</f>
        <v>0.16742239551997418</v>
      </c>
      <c r="T82" s="38">
        <f>(VLOOKUP($A82,'The List'!$B1:$AH730,32,FALSE)-AVERAGE('The List'!AG2:AG730))/STDEV('The List'!AG2:AG730)</f>
        <v>0.32283788287506171</v>
      </c>
      <c r="U82" s="38">
        <f>(VLOOKUP($A82,'The List'!$B1:$AH730,33,FALSE)-AVERAGE('The List'!AH2:AH730))/STDEV('The List'!AH2:AH730)</f>
        <v>0.80535366994999114</v>
      </c>
      <c r="V82" s="38"/>
      <c r="W82" s="40"/>
      <c r="X82" s="38"/>
      <c r="Y82" s="38"/>
      <c r="Z82" s="38"/>
      <c r="AA82" s="38"/>
      <c r="AB82" s="38"/>
      <c r="AC82" s="38"/>
      <c r="AD82" s="38"/>
      <c r="AE82" s="38"/>
    </row>
    <row r="83" spans="1:31" ht="21.2" customHeight="1">
      <c r="A83" s="8" t="s">
        <v>225</v>
      </c>
      <c r="B83" s="34" t="str">
        <f>VLOOKUP(A83,'Player Data'!A1:B734,2,FALSE)</f>
        <v>SEA</v>
      </c>
      <c r="C83" s="36">
        <f>((E83)*Settings!$C$12)+(F83*Settings!$C$2)+(G83*Settings!$C$3)+(H83*Settings!$C$4)+(I83*Settings!$C$5)+(K83*Settings!$C$9)+(N83*Settings!$C$6)+(J83*Settings!$C$8)+(O83*Settings!$C$7)+(P83*Settings!$C$14)+(Q83*Settings!$C$15)+(R83*Settings!$C$16)+(S83*Settings!$C$17)+(T83*Settings!$C$18)+(U83*Settings!$C$19)+(L83*Settings!$C$10)+(Settings!$C$11*M83)</f>
        <v>6.3370507242066028</v>
      </c>
      <c r="D83" s="40">
        <f>IF(Settings!$E$12="YES",VLOOKUP(A83,'Player Data'!A1:E734,5,FALSE),82)</f>
        <v>82</v>
      </c>
      <c r="E83" s="38">
        <f>(VLOOKUP($A83,'The List'!$B1:$AH730,17,FALSE)-AVERAGE('The List'!R2:R730))/STDEV('The List'!R2:R730)</f>
        <v>0.17676171295163984</v>
      </c>
      <c r="F83" s="38">
        <f>(VLOOKUP($A83,'The List'!$B1:$AH730,18,FALSE)-AVERAGE('The List'!S2:S730))/STDEV('The List'!S2:S730)</f>
        <v>2.0697252047730244</v>
      </c>
      <c r="G83" s="38">
        <f>(VLOOKUP($A83,'The List'!$B1:$AH730,19,FALSE)-AVERAGE('The List'!T2:T730))/STDEV('The List'!T2:T730)</f>
        <v>0.56719921023028208</v>
      </c>
      <c r="H83" s="38">
        <f>(VLOOKUP($A83,'The List'!$B1:$AH730,20,FALSE)-AVERAGE('The List'!U2:U730))/STDEV('The List'!U2:U730)</f>
        <v>1.3107258545485601</v>
      </c>
      <c r="I83" s="38">
        <f>(VLOOKUP($A83,'The List'!$B1:$AH730,21,FALSE)-AVERAGE('The List'!V2:V730))/STDEV('The List'!V2:V730)</f>
        <v>1.3464463556269091</v>
      </c>
      <c r="J83" s="38">
        <f>(VLOOKUP($A83,'The List'!$B1:$AH730,22,FALSE)-AVERAGE('The List'!W2:W730))/STDEV('The List'!W2:W730)</f>
        <v>1.5670761506022868</v>
      </c>
      <c r="K83" s="38">
        <f>(VLOOKUP($A83,'The List'!$B1:$AH730,23,FALSE)-AVERAGE('The List'!X2:X730))/STDEV('The List'!X2:X730)</f>
        <v>1.0429540990278265</v>
      </c>
      <c r="L83" s="38">
        <f>(VLOOKUP($A83,'The List'!$B1:$AH730,24,FALSE)-AVERAGE('The List'!Y2:Y730))/STDEV('The List'!Y2:Y730)</f>
        <v>2.8324262835625031</v>
      </c>
      <c r="M83" s="38">
        <f>(VLOOKUP($A83,'The List'!$B1:$AH730,25,FALSE)-AVERAGE('The List'!Z2:Z730))/STDEV('The List'!Z2:Z730)</f>
        <v>1.4716837184296001</v>
      </c>
      <c r="N83" s="38">
        <f>(VLOOKUP($A83,'The List'!$B1:$AH730,26,FALSE)-AVERAGE('The List'!AA2:AA730))/STDEV('The List'!AA2:AA730)</f>
        <v>-0.78982415691176777</v>
      </c>
      <c r="O83" s="38">
        <f>(VLOOKUP($A83,'The List'!$B1:$AH730,27,FALSE)-AVERAGE('The List'!AB2:AB730))/STDEV('The List'!AB2:AB730)</f>
        <v>-0.54098314524844304</v>
      </c>
      <c r="P83" s="38">
        <f>(VLOOKUP($A83,'The List'!$B1:$AH730,28,FALSE)-AVERAGE('The List'!AC2:AC730))/STDEV('The List'!AC2:AC730)</f>
        <v>0.47336830666371948</v>
      </c>
      <c r="Q83" s="38">
        <f>(VLOOKUP($A83,'The List'!$B1:$AH730,29,FALSE)-AVERAGE('The List'!AD2:AD730))/STDEV('The List'!AD2:AD730)</f>
        <v>-0.78604087438862535</v>
      </c>
      <c r="R83" s="38">
        <f>(VLOOKUP($A83,'The List'!$B1:$AH730,30,FALSE)-AVERAGE('The List'!AE2:AE730))/STDEV('The List'!AE2:AE730)</f>
        <v>1.8969604704506662</v>
      </c>
      <c r="S83" s="38">
        <f>(VLOOKUP($A83,'The List'!$B1:$AH730,31,FALSE)-AVERAGE('The List'!AF2:AF730))/STDEV('The List'!AF2:AF730)</f>
        <v>-0.24808831532112932</v>
      </c>
      <c r="T83" s="38">
        <f>(VLOOKUP($A83,'The List'!$B1:$AH730,32,FALSE)-AVERAGE('The List'!AG2:AG730))/STDEV('The List'!AG2:AG730)</f>
        <v>-9.3647194370526612E-2</v>
      </c>
      <c r="U83" s="38">
        <f>(VLOOKUP($A83,'The List'!$B1:$AH730,33,FALSE)-AVERAGE('The List'!AH2:AH730))/STDEV('The List'!AH2:AH730)</f>
        <v>0.53753819702053907</v>
      </c>
      <c r="V83" s="38"/>
      <c r="W83" s="42"/>
      <c r="X83" s="40"/>
      <c r="Y83" s="40"/>
      <c r="Z83" s="40"/>
      <c r="AA83" s="40"/>
      <c r="AB83" s="40"/>
      <c r="AC83" s="43"/>
      <c r="AD83" s="44"/>
      <c r="AE83" s="38"/>
    </row>
    <row r="84" spans="1:31" ht="21.2" customHeight="1">
      <c r="A84" s="8" t="s">
        <v>121</v>
      </c>
      <c r="B84" s="34" t="str">
        <f>VLOOKUP(A84,'Player Data'!A1:B734,2,FALSE)</f>
        <v>BUF</v>
      </c>
      <c r="C84" s="36">
        <f>((E84)*Settings!$C$12)+(F84*Settings!$C$2)+(G84*Settings!$C$3)+(H84*Settings!$C$4)+(I84*Settings!$C$5)+(K84*Settings!$C$9)+(N84*Settings!$C$6)+(J84*Settings!$C$8)+(O84*Settings!$C$7)+(P84*Settings!$C$14)+(Q84*Settings!$C$15)+(R84*Settings!$C$16)+(S84*Settings!$C$17)+(T84*Settings!$C$18)+(U84*Settings!$C$19)+(L84*Settings!$C$10)+(Settings!$C$11*M84)</f>
        <v>7.1925018774443874</v>
      </c>
      <c r="D84" s="40">
        <f>IF(Settings!$E$12="YES",VLOOKUP(A84,'Player Data'!A1:E734,5,FALSE),82)</f>
        <v>82</v>
      </c>
      <c r="E84" s="38">
        <f>(VLOOKUP($A84,'The List'!$B1:$AH730,17,FALSE)-AVERAGE('The List'!R2:R730))/STDEV('The List'!R2:R730)</f>
        <v>2.4578736395979357</v>
      </c>
      <c r="F84" s="38">
        <f>(VLOOKUP($A84,'The List'!$B1:$AH730,18,FALSE)-AVERAGE('The List'!S2:S730))/STDEV('The List'!S2:S730)</f>
        <v>8.9638796043278013E-2</v>
      </c>
      <c r="G84" s="38">
        <f>(VLOOKUP($A84,'The List'!$B1:$AH730,19,FALSE)-AVERAGE('The List'!T2:T730))/STDEV('The List'!T2:T730)</f>
        <v>2.2823911324492645</v>
      </c>
      <c r="H84" s="38">
        <f>(VLOOKUP($A84,'The List'!$B1:$AH730,20,FALSE)-AVERAGE('The List'!U2:U730))/STDEV('The List'!U2:U730)</f>
        <v>1.4442898019184203</v>
      </c>
      <c r="I84" s="38">
        <f>(VLOOKUP($A84,'The List'!$B1:$AH730,21,FALSE)-AVERAGE('The List'!V2:V730))/STDEV('The List'!V2:V730)</f>
        <v>1.1220495187350936</v>
      </c>
      <c r="J84" s="38">
        <f>(VLOOKUP($A84,'The List'!$B1:$AH730,22,FALSE)-AVERAGE('The List'!W2:W730))/STDEV('The List'!W2:W730)</f>
        <v>0.61153279297165897</v>
      </c>
      <c r="K84" s="38">
        <f>(VLOOKUP($A84,'The List'!$B1:$AH730,23,FALSE)-AVERAGE('The List'!X2:X730))/STDEV('The List'!X2:X730)</f>
        <v>2.2541326282983314</v>
      </c>
      <c r="L84" s="38">
        <f>(VLOOKUP($A84,'The List'!$B1:$AH730,24,FALSE)-AVERAGE('The List'!Y2:Y730))/STDEV('The List'!Y2:Y730)</f>
        <v>-0.46326172682470235</v>
      </c>
      <c r="M84" s="38">
        <f>(VLOOKUP($A84,'The List'!$B1:$AH730,25,FALSE)-AVERAGE('The List'!Z2:Z730))/STDEV('The List'!Z2:Z730)</f>
        <v>-0.28101943470702451</v>
      </c>
      <c r="N84" s="38">
        <f>(VLOOKUP($A84,'The List'!$B1:$AH730,26,FALSE)-AVERAGE('The List'!AA2:AA730))/STDEV('The List'!AA2:AA730)</f>
        <v>1.4070006683574652</v>
      </c>
      <c r="O84" s="38">
        <f>(VLOOKUP($A84,'The List'!$B1:$AH730,27,FALSE)-AVERAGE('The List'!AB2:AB730))/STDEV('The List'!AB2:AB730)</f>
        <v>0.24959877585796231</v>
      </c>
      <c r="P84" s="38">
        <f>(VLOOKUP($A84,'The List'!$B1:$AH730,28,FALSE)-AVERAGE('The List'!AC2:AC730))/STDEV('The List'!AC2:AC730)</f>
        <v>-0.21724092367494027</v>
      </c>
      <c r="Q84" s="38">
        <f>(VLOOKUP($A84,'The List'!$B1:$AH730,29,FALSE)-AVERAGE('The List'!AD2:AD730))/STDEV('The List'!AD2:AD730)</f>
        <v>2.5110701627108498</v>
      </c>
      <c r="R84" s="38">
        <f>(VLOOKUP($A84,'The List'!$B1:$AH730,30,FALSE)-AVERAGE('The List'!AE2:AE730))/STDEV('The List'!AE2:AE730)</f>
        <v>-3.4739910618260469E-2</v>
      </c>
      <c r="S84" s="38">
        <f>(VLOOKUP($A84,'The List'!$B1:$AH730,31,FALSE)-AVERAGE('The List'!AF2:AF730))/STDEV('The List'!AF2:AF730)</f>
        <v>-0.56911587195029545</v>
      </c>
      <c r="T84" s="38">
        <f>(VLOOKUP($A84,'The List'!$B1:$AH730,32,FALSE)-AVERAGE('The List'!AG2:AG730))/STDEV('The List'!AG2:AG730)</f>
        <v>-0.61510119871956948</v>
      </c>
      <c r="U84" s="38">
        <f>(VLOOKUP($A84,'The List'!$B1:$AH730,33,FALSE)-AVERAGE('The List'!AH2:AH730))/STDEV('The List'!AH2:AH730)</f>
        <v>-1.2363238714825984</v>
      </c>
      <c r="V84" s="38"/>
      <c r="W84" s="42"/>
      <c r="X84" s="40"/>
      <c r="Y84" s="40"/>
      <c r="Z84" s="40"/>
      <c r="AA84" s="40"/>
      <c r="AB84" s="40"/>
      <c r="AC84" s="43"/>
      <c r="AD84" s="44"/>
      <c r="AE84" s="38"/>
    </row>
    <row r="85" spans="1:31" ht="21.2" customHeight="1">
      <c r="A85" s="8" t="s">
        <v>221</v>
      </c>
      <c r="B85" s="34" t="str">
        <f>VLOOKUP(A85,'Player Data'!A1:B734,2,FALSE)</f>
        <v>LAK</v>
      </c>
      <c r="C85" s="36">
        <f>((E85)*Settings!$C$12)+(F85*Settings!$C$2)+(G85*Settings!$C$3)+(H85*Settings!$C$4)+(I85*Settings!$C$5)+(K85*Settings!$C$9)+(N85*Settings!$C$6)+(J85*Settings!$C$8)+(O85*Settings!$C$7)+(P85*Settings!$C$14)+(Q85*Settings!$C$15)+(R85*Settings!$C$16)+(S85*Settings!$C$17)+(T85*Settings!$C$18)+(U85*Settings!$C$19)+(L85*Settings!$C$10)+(Settings!$C$11*M85)</f>
        <v>6.2939538141798721</v>
      </c>
      <c r="D85" s="40">
        <f>IF(Settings!$E$12="YES",VLOOKUP(A85,'Player Data'!A1:E734,5,FALSE),82)</f>
        <v>82</v>
      </c>
      <c r="E85" s="38">
        <f>(VLOOKUP($A85,'The List'!$B1:$AH730,17,FALSE)-AVERAGE('The List'!R2:R730))/STDEV('The List'!R2:R730)</f>
        <v>0.56852974020306046</v>
      </c>
      <c r="F85" s="38">
        <f>(VLOOKUP($A85,'The List'!$B1:$AH730,18,FALSE)-AVERAGE('The List'!S2:S730))/STDEV('The List'!S2:S730)</f>
        <v>1.3869858542400029</v>
      </c>
      <c r="G85" s="38">
        <f>(VLOOKUP($A85,'The List'!$B1:$AH730,19,FALSE)-AVERAGE('The List'!T2:T730))/STDEV('The List'!T2:T730)</f>
        <v>0.99313029263240504</v>
      </c>
      <c r="H85" s="38">
        <f>(VLOOKUP($A85,'The List'!$B1:$AH730,20,FALSE)-AVERAGE('The List'!U2:U730))/STDEV('The List'!U2:U730)</f>
        <v>1.2550900830600176</v>
      </c>
      <c r="I85" s="38">
        <f>(VLOOKUP($A85,'The List'!$B1:$AH730,21,FALSE)-AVERAGE('The List'!V2:V730))/STDEV('The List'!V2:V730)</f>
        <v>1.3585713159657813</v>
      </c>
      <c r="J85" s="38">
        <f>(VLOOKUP($A85,'The List'!$B1:$AH730,22,FALSE)-AVERAGE('The List'!W2:W730))/STDEV('The List'!W2:W730)</f>
        <v>2.1988592342269961</v>
      </c>
      <c r="K85" s="38">
        <f>(VLOOKUP($A85,'The List'!$B1:$AH730,23,FALSE)-AVERAGE('The List'!X2:X730))/STDEV('The List'!X2:X730)</f>
        <v>1.300176268281666</v>
      </c>
      <c r="L85" s="38">
        <f>(VLOOKUP($A85,'The List'!$B1:$AH730,24,FALSE)-AVERAGE('The List'!Y2:Y730))/STDEV('The List'!Y2:Y730)</f>
        <v>-0.46666047972342145</v>
      </c>
      <c r="M85" s="38">
        <f>(VLOOKUP($A85,'The List'!$B1:$AH730,25,FALSE)-AVERAGE('The List'!Z2:Z730))/STDEV('The List'!Z2:Z730)</f>
        <v>-0.63301119608050316</v>
      </c>
      <c r="N85" s="38">
        <f>(VLOOKUP($A85,'The List'!$B1:$AH730,26,FALSE)-AVERAGE('The List'!AA2:AA730))/STDEV('The List'!AA2:AA730)</f>
        <v>-0.384915991385195</v>
      </c>
      <c r="O85" s="38">
        <f>(VLOOKUP($A85,'The List'!$B1:$AH730,27,FALSE)-AVERAGE('The List'!AB2:AB730))/STDEV('The List'!AB2:AB730)</f>
        <v>-0.19228737406771673</v>
      </c>
      <c r="P85" s="38">
        <f>(VLOOKUP($A85,'The List'!$B1:$AH730,28,FALSE)-AVERAGE('The List'!AC2:AC730))/STDEV('The List'!AC2:AC730)</f>
        <v>0.17494487790014349</v>
      </c>
      <c r="Q85" s="38">
        <f>(VLOOKUP($A85,'The List'!$B1:$AH730,29,FALSE)-AVERAGE('The List'!AD2:AD730))/STDEV('The List'!AD2:AD730)</f>
        <v>2.7829052604988873</v>
      </c>
      <c r="R85" s="38">
        <f>(VLOOKUP($A85,'The List'!$B1:$AH730,30,FALSE)-AVERAGE('The List'!AE2:AE730))/STDEV('The List'!AE2:AE730)</f>
        <v>1.4066653842208725</v>
      </c>
      <c r="S85" s="38">
        <f>(VLOOKUP($A85,'The List'!$B1:$AH730,31,FALSE)-AVERAGE('The List'!AF2:AF730))/STDEV('The List'!AF2:AF730)</f>
        <v>1.8715475880847647</v>
      </c>
      <c r="T85" s="38">
        <f>(VLOOKUP($A85,'The List'!$B1:$AH730,32,FALSE)-AVERAGE('The List'!AG2:AG730))/STDEV('The List'!AG2:AG730)</f>
        <v>2.2330683758153054</v>
      </c>
      <c r="U85" s="38">
        <f>(VLOOKUP($A85,'The List'!$B1:$AH730,33,FALSE)-AVERAGE('The List'!AH2:AH730))/STDEV('The List'!AH2:AH730)</f>
        <v>0.9033841958665888</v>
      </c>
      <c r="V85" s="38"/>
      <c r="W85" s="42"/>
      <c r="X85" s="40"/>
      <c r="Y85" s="40"/>
      <c r="Z85" s="40"/>
      <c r="AA85" s="40"/>
      <c r="AB85" s="40"/>
      <c r="AC85" s="43"/>
      <c r="AD85" s="44"/>
      <c r="AE85" s="38"/>
    </row>
    <row r="86" spans="1:31" ht="21.2" customHeight="1">
      <c r="A86" s="8" t="s">
        <v>227</v>
      </c>
      <c r="B86" s="34" t="str">
        <f>VLOOKUP(A86,'Player Data'!A1:B734,2,FALSE)</f>
        <v>TBL</v>
      </c>
      <c r="C86" s="36">
        <f>((E86)*Settings!$C$12)+(F86*Settings!$C$2)+(G86*Settings!$C$3)+(H86*Settings!$C$4)+(I86*Settings!$C$5)+(K86*Settings!$C$9)+(N86*Settings!$C$6)+(J86*Settings!$C$8)+(O86*Settings!$C$7)+(P86*Settings!$C$14)+(Q86*Settings!$C$15)+(R86*Settings!$C$16)+(S86*Settings!$C$17)+(T86*Settings!$C$18)+(U86*Settings!$C$19)+(L86*Settings!$C$10)+(Settings!$C$11*M86)</f>
        <v>5.3159553373323458</v>
      </c>
      <c r="D86" s="40">
        <f>IF(Settings!$E$12="YES",VLOOKUP(A86,'Player Data'!A1:E734,5,FALSE),82)</f>
        <v>82</v>
      </c>
      <c r="E86" s="38">
        <f>(VLOOKUP($A86,'The List'!$B1:$AH730,17,FALSE)-AVERAGE('The List'!R2:R730))/STDEV('The List'!R2:R730)</f>
        <v>0.80361311113637435</v>
      </c>
      <c r="F86" s="38">
        <f>(VLOOKUP($A86,'The List'!$B1:$AH730,18,FALSE)-AVERAGE('The List'!S2:S730))/STDEV('The List'!S2:S730)</f>
        <v>1.6697075543370703</v>
      </c>
      <c r="G86" s="38">
        <f>(VLOOKUP($A86,'The List'!$B1:$AH730,19,FALSE)-AVERAGE('The List'!T2:T730))/STDEV('The List'!T2:T730)</f>
        <v>0.76589607707815455</v>
      </c>
      <c r="H86" s="38">
        <f>(VLOOKUP($A86,'The List'!$B1:$AH730,20,FALSE)-AVERAGE('The List'!U2:U730))/STDEV('The List'!U2:U730)</f>
        <v>1.2468754395198864</v>
      </c>
      <c r="I86" s="38">
        <f>(VLOOKUP($A86,'The List'!$B1:$AH730,21,FALSE)-AVERAGE('The List'!V2:V730))/STDEV('The List'!V2:V730)</f>
        <v>0.71981203978535391</v>
      </c>
      <c r="J86" s="38">
        <f>(VLOOKUP($A86,'The List'!$B1:$AH730,22,FALSE)-AVERAGE('The List'!W2:W730))/STDEV('The List'!W2:W730)</f>
        <v>1.4255690158610619</v>
      </c>
      <c r="K86" s="38">
        <f>(VLOOKUP($A86,'The List'!$B1:$AH730,23,FALSE)-AVERAGE('The List'!X2:X730))/STDEV('The List'!X2:X730)</f>
        <v>0.9136642266118804</v>
      </c>
      <c r="L86" s="38">
        <f>(VLOOKUP($A86,'The List'!$B1:$AH730,24,FALSE)-AVERAGE('The List'!Y2:Y730))/STDEV('The List'!Y2:Y730)</f>
        <v>1.3936338085918629</v>
      </c>
      <c r="M86" s="38">
        <f>(VLOOKUP($A86,'The List'!$B1:$AH730,25,FALSE)-AVERAGE('The List'!Z2:Z730))/STDEV('The List'!Z2:Z730)</f>
        <v>3.0269039057287843</v>
      </c>
      <c r="N86" s="38">
        <f>(VLOOKUP($A86,'The List'!$B1:$AH730,26,FALSE)-AVERAGE('The List'!AA2:AA730))/STDEV('The List'!AA2:AA730)</f>
        <v>-0.28485780848398989</v>
      </c>
      <c r="O86" s="38">
        <f>(VLOOKUP($A86,'The List'!$B1:$AH730,27,FALSE)-AVERAGE('The List'!AB2:AB730))/STDEV('The List'!AB2:AB730)</f>
        <v>-0.48884845052310494</v>
      </c>
      <c r="P86" s="38">
        <f>(VLOOKUP($A86,'The List'!$B1:$AH730,28,FALSE)-AVERAGE('The List'!AC2:AC730))/STDEV('The List'!AC2:AC730)</f>
        <v>4.233332296427389E-3</v>
      </c>
      <c r="Q86" s="38">
        <f>(VLOOKUP($A86,'The List'!$B1:$AH730,29,FALSE)-AVERAGE('The List'!AD2:AD730))/STDEV('The List'!AD2:AD730)</f>
        <v>0.41939995822005388</v>
      </c>
      <c r="R86" s="38">
        <f>(VLOOKUP($A86,'The List'!$B1:$AH730,30,FALSE)-AVERAGE('The List'!AE2:AE730))/STDEV('The List'!AE2:AE730)</f>
        <v>1.84632104482813</v>
      </c>
      <c r="S86" s="38">
        <f>(VLOOKUP($A86,'The List'!$B1:$AH730,31,FALSE)-AVERAGE('The List'!AF2:AF730))/STDEV('The List'!AF2:AF730)</f>
        <v>-0.43694522732262836</v>
      </c>
      <c r="T86" s="38">
        <f>(VLOOKUP($A86,'The List'!$B1:$AH730,32,FALSE)-AVERAGE('The List'!AG2:AG730))/STDEV('The List'!AG2:AG730)</f>
        <v>-0.35420720550081664</v>
      </c>
      <c r="U86" s="38">
        <f>(VLOOKUP($A86,'The List'!$B1:$AH730,33,FALSE)-AVERAGE('The List'!AH2:AH730))/STDEV('The List'!AH2:AH730)</f>
        <v>0.33250769682259762</v>
      </c>
      <c r="V86" s="38"/>
      <c r="W86" s="40"/>
      <c r="X86" s="38"/>
      <c r="Y86" s="38"/>
      <c r="Z86" s="38"/>
      <c r="AA86" s="38"/>
      <c r="AB86" s="38"/>
      <c r="AC86" s="38"/>
      <c r="AD86" s="38"/>
      <c r="AE86" s="38"/>
    </row>
    <row r="87" spans="1:31" ht="21.2" customHeight="1">
      <c r="A87" s="8" t="s">
        <v>258</v>
      </c>
      <c r="B87" s="34" t="str">
        <f>VLOOKUP(A87,'Player Data'!A1:B734,2,FALSE)</f>
        <v>BOS</v>
      </c>
      <c r="C87" s="36">
        <f>((E87)*Settings!$C$12)+(F87*Settings!$C$2)+(G87*Settings!$C$3)+(H87*Settings!$C$4)+(I87*Settings!$C$5)+(K87*Settings!$C$9)+(N87*Settings!$C$6)+(J87*Settings!$C$8)+(O87*Settings!$C$7)+(P87*Settings!$C$14)+(Q87*Settings!$C$15)+(R87*Settings!$C$16)+(S87*Settings!$C$17)+(T87*Settings!$C$18)+(U87*Settings!$C$19)+(L87*Settings!$C$10)+(Settings!$C$11*M87)</f>
        <v>4.9802623630289942</v>
      </c>
      <c r="D87" s="40">
        <f>IF(Settings!$E$12="YES",VLOOKUP(A87,'Player Data'!A1:E734,5,FALSE),82)</f>
        <v>82</v>
      </c>
      <c r="E87" s="38">
        <f>(VLOOKUP($A87,'The List'!$B1:$AH730,17,FALSE)-AVERAGE('The List'!R2:R730))/STDEV('The List'!R2:R730)</f>
        <v>0.95450800660019763</v>
      </c>
      <c r="F87" s="38">
        <f>(VLOOKUP($A87,'The List'!$B1:$AH730,18,FALSE)-AVERAGE('The List'!S2:S730))/STDEV('The List'!S2:S730)</f>
        <v>1.1740890745683334</v>
      </c>
      <c r="G87" s="38">
        <f>(VLOOKUP($A87,'The List'!$B1:$AH730,19,FALSE)-AVERAGE('The List'!T2:T730))/STDEV('The List'!T2:T730)</f>
        <v>1.1316070606555753</v>
      </c>
      <c r="H87" s="38">
        <f>(VLOOKUP($A87,'The List'!$B1:$AH730,20,FALSE)-AVERAGE('The List'!U2:U730))/STDEV('The List'!U2:U730)</f>
        <v>1.2412195126833834</v>
      </c>
      <c r="I87" s="38">
        <f>(VLOOKUP($A87,'The List'!$B1:$AH730,21,FALSE)-AVERAGE('The List'!V2:V730))/STDEV('The List'!V2:V730)</f>
        <v>0.5898226046902072</v>
      </c>
      <c r="J87" s="38">
        <f>(VLOOKUP($A87,'The List'!$B1:$AH730,22,FALSE)-AVERAGE('The List'!W2:W730))/STDEV('The List'!W2:W730)</f>
        <v>1.0523073162170671</v>
      </c>
      <c r="K87" s="38">
        <f>(VLOOKUP($A87,'The List'!$B1:$AH730,23,FALSE)-AVERAGE('The List'!X2:X730))/STDEV('The List'!X2:X730)</f>
        <v>0.84352411043149478</v>
      </c>
      <c r="L87" s="38">
        <f>(VLOOKUP($A87,'The List'!$B1:$AH730,24,FALSE)-AVERAGE('The List'!Y2:Y730))/STDEV('The List'!Y2:Y730)</f>
        <v>-0.15582792884566637</v>
      </c>
      <c r="M87" s="38">
        <f>(VLOOKUP($A87,'The List'!$B1:$AH730,25,FALSE)-AVERAGE('The List'!Z2:Z730))/STDEV('The List'!Z2:Z730)</f>
        <v>0.59422675715788964</v>
      </c>
      <c r="N87" s="38">
        <f>(VLOOKUP($A87,'The List'!$B1:$AH730,26,FALSE)-AVERAGE('The List'!AA2:AA730))/STDEV('The List'!AA2:AA730)</f>
        <v>-0.91064383738623389</v>
      </c>
      <c r="O87" s="38">
        <f>(VLOOKUP($A87,'The List'!$B1:$AH730,27,FALSE)-AVERAGE('The List'!AB2:AB730))/STDEV('The List'!AB2:AB730)</f>
        <v>-0.32742390693534174</v>
      </c>
      <c r="P87" s="38">
        <f>(VLOOKUP($A87,'The List'!$B1:$AH730,28,FALSE)-AVERAGE('The List'!AC2:AC730))/STDEV('The List'!AC2:AC730)</f>
        <v>0.80539940851749969</v>
      </c>
      <c r="Q87" s="38">
        <f>(VLOOKUP($A87,'The List'!$B1:$AH730,29,FALSE)-AVERAGE('The List'!AD2:AD730))/STDEV('The List'!AD2:AD730)</f>
        <v>-0.53781378231404275</v>
      </c>
      <c r="R87" s="38">
        <f>(VLOOKUP($A87,'The List'!$B1:$AH730,30,FALSE)-AVERAGE('The List'!AE2:AE730))/STDEV('The List'!AE2:AE730)</f>
        <v>1.5297444103999203</v>
      </c>
      <c r="S87" s="38">
        <f>(VLOOKUP($A87,'The List'!$B1:$AH730,31,FALSE)-AVERAGE('The List'!AF2:AF730))/STDEV('The List'!AF2:AF730)</f>
        <v>0.49501799482628422</v>
      </c>
      <c r="T87" s="38">
        <f>(VLOOKUP($A87,'The List'!$B1:$AH730,32,FALSE)-AVERAGE('The List'!AG2:AG730))/STDEV('The List'!AG2:AG730)</f>
        <v>0.59175012836208851</v>
      </c>
      <c r="U87" s="38">
        <f>(VLOOKUP($A87,'The List'!$B1:$AH730,33,FALSE)-AVERAGE('The List'!AH2:AH730))/STDEV('The List'!AH2:AH730)</f>
        <v>0.93555625366633277</v>
      </c>
      <c r="V87" s="38"/>
      <c r="W87" s="42"/>
      <c r="X87" s="40"/>
      <c r="Y87" s="40"/>
      <c r="Z87" s="40"/>
      <c r="AA87" s="40"/>
      <c r="AB87" s="40"/>
      <c r="AC87" s="43"/>
      <c r="AD87" s="44"/>
      <c r="AE87" s="38"/>
    </row>
    <row r="88" spans="1:31" ht="21.2" customHeight="1">
      <c r="A88" s="8" t="s">
        <v>208</v>
      </c>
      <c r="B88" s="34" t="str">
        <f>VLOOKUP(A88,'Player Data'!A1:B734,2,FALSE)</f>
        <v>MTL</v>
      </c>
      <c r="C88" s="36">
        <f>((E88)*Settings!$C$12)+(F88*Settings!$C$2)+(G88*Settings!$C$3)+(H88*Settings!$C$4)+(I88*Settings!$C$5)+(K88*Settings!$C$9)+(N88*Settings!$C$6)+(J88*Settings!$C$8)+(O88*Settings!$C$7)+(P88*Settings!$C$14)+(Q88*Settings!$C$15)+(R88*Settings!$C$16)+(S88*Settings!$C$17)+(T88*Settings!$C$18)+(U88*Settings!$C$19)+(L88*Settings!$C$10)+(Settings!$C$11*M88)</f>
        <v>7.6906294626593015</v>
      </c>
      <c r="D88" s="40">
        <f>IF(Settings!$E$12="YES",VLOOKUP(A88,'Player Data'!A1:E734,5,FALSE),82)</f>
        <v>82</v>
      </c>
      <c r="E88" s="38">
        <f>(VLOOKUP($A88,'The List'!$B1:$AH730,17,FALSE)-AVERAGE('The List'!R2:R730))/STDEV('The List'!R2:R730)</f>
        <v>0.43958378016762228</v>
      </c>
      <c r="F88" s="38">
        <f>(VLOOKUP($A88,'The List'!$B1:$AH730,18,FALSE)-AVERAGE('The List'!S2:S730))/STDEV('The List'!S2:S730)</f>
        <v>2.5319401698454826</v>
      </c>
      <c r="G88" s="38">
        <f>(VLOOKUP($A88,'The List'!$B1:$AH730,19,FALSE)-AVERAGE('The List'!T2:T730))/STDEV('The List'!T2:T730)</f>
        <v>0.32853659732926394</v>
      </c>
      <c r="H88" s="38">
        <f>(VLOOKUP($A88,'The List'!$B1:$AH730,20,FALSE)-AVERAGE('The List'!U2:U730))/STDEV('The List'!U2:U730)</f>
        <v>1.378929606610183</v>
      </c>
      <c r="I88" s="38">
        <f>(VLOOKUP($A88,'The List'!$B1:$AH730,21,FALSE)-AVERAGE('The List'!V2:V730))/STDEV('The List'!V2:V730)</f>
        <v>2.2185598507172495</v>
      </c>
      <c r="J88" s="38">
        <f>(VLOOKUP($A88,'The List'!$B1:$AH730,22,FALSE)-AVERAGE('The List'!W2:W730))/STDEV('The List'!W2:W730)</f>
        <v>2.0930175079970059</v>
      </c>
      <c r="K88" s="38">
        <f>(VLOOKUP($A88,'The List'!$B1:$AH730,23,FALSE)-AVERAGE('The List'!X2:X730))/STDEV('The List'!X2:X730)</f>
        <v>1.2326632381571221</v>
      </c>
      <c r="L88" s="38">
        <f>(VLOOKUP($A88,'The List'!$B1:$AH730,24,FALSE)-AVERAGE('The List'!Y2:Y730))/STDEV('The List'!Y2:Y730)</f>
        <v>-0.51847066653553997</v>
      </c>
      <c r="M88" s="38">
        <f>(VLOOKUP($A88,'The List'!$B1:$AH730,25,FALSE)-AVERAGE('The List'!Z2:Z730))/STDEV('The List'!Z2:Z730)</f>
        <v>-0.6955436364533405</v>
      </c>
      <c r="N88" s="38">
        <f>(VLOOKUP($A88,'The List'!$B1:$AH730,26,FALSE)-AVERAGE('The List'!AA2:AA730))/STDEV('The List'!AA2:AA730)</f>
        <v>-1.0879560060603963</v>
      </c>
      <c r="O88" s="38">
        <f>(VLOOKUP($A88,'The List'!$B1:$AH730,27,FALSE)-AVERAGE('The List'!AB2:AB730))/STDEV('The List'!AB2:AB730)</f>
        <v>-1.258179014179063</v>
      </c>
      <c r="P88" s="38">
        <f>(VLOOKUP($A88,'The List'!$B1:$AH730,28,FALSE)-AVERAGE('The List'!AC2:AC730))/STDEV('The List'!AC2:AC730)</f>
        <v>-1.9541749688438035</v>
      </c>
      <c r="Q88" s="38">
        <f>(VLOOKUP($A88,'The List'!$B1:$AH730,29,FALSE)-AVERAGE('The List'!AD2:AD730))/STDEV('The List'!AD2:AD730)</f>
        <v>-1.2293676069865378</v>
      </c>
      <c r="R88" s="38">
        <f>(VLOOKUP($A88,'The List'!$B1:$AH730,30,FALSE)-AVERAGE('The List'!AE2:AE730))/STDEV('The List'!AE2:AE730)</f>
        <v>1.3514532374259627</v>
      </c>
      <c r="S88" s="38">
        <f>(VLOOKUP($A88,'The List'!$B1:$AH730,31,FALSE)-AVERAGE('The List'!AF2:AF730))/STDEV('The List'!AF2:AF730)</f>
        <v>-0.56579457628693619</v>
      </c>
      <c r="T88" s="38">
        <f>(VLOOKUP($A88,'The List'!$B1:$AH730,32,FALSE)-AVERAGE('The List'!AG2:AG730))/STDEV('The List'!AG2:AG730)</f>
        <v>-0.60474252588455635</v>
      </c>
      <c r="U88" s="38">
        <f>(VLOOKUP($A88,'The List'!$B1:$AH730,33,FALSE)-AVERAGE('The List'!AH2:AH730))/STDEV('The List'!AH2:AH730)</f>
        <v>-9.8294975335551898E-2</v>
      </c>
      <c r="V88" s="38"/>
      <c r="W88" s="42"/>
      <c r="X88" s="40"/>
      <c r="Y88" s="40"/>
      <c r="Z88" s="40"/>
      <c r="AA88" s="40"/>
      <c r="AB88" s="40"/>
      <c r="AC88" s="43"/>
      <c r="AD88" s="44"/>
      <c r="AE88" s="38"/>
    </row>
    <row r="89" spans="1:31" ht="21.2" customHeight="1">
      <c r="A89" s="8" t="s">
        <v>222</v>
      </c>
      <c r="B89" s="34" t="str">
        <f>VLOOKUP(A89,'Player Data'!A1:B734,2,FALSE)</f>
        <v>OTT</v>
      </c>
      <c r="C89" s="36">
        <f>((E89)*Settings!$C$12)+(F89*Settings!$C$2)+(G89*Settings!$C$3)+(H89*Settings!$C$4)+(I89*Settings!$C$5)+(K89*Settings!$C$9)+(N89*Settings!$C$6)+(J89*Settings!$C$8)+(O89*Settings!$C$7)+(P89*Settings!$C$14)+(Q89*Settings!$C$15)+(R89*Settings!$C$16)+(S89*Settings!$C$17)+(T89*Settings!$C$18)+(U89*Settings!$C$19)+(L89*Settings!$C$10)+(Settings!$C$11*M89)</f>
        <v>6.0082347341506273</v>
      </c>
      <c r="D89" s="40">
        <f>IF(Settings!$E$12="YES",VLOOKUP(A89,'Player Data'!A1:E734,5,FALSE),82)</f>
        <v>82</v>
      </c>
      <c r="E89" s="38">
        <f>(VLOOKUP($A89,'The List'!$B1:$AH730,17,FALSE)-AVERAGE('The List'!R2:R730))/STDEV('The List'!R2:R730)</f>
        <v>0.47779052811079037</v>
      </c>
      <c r="F89" s="38">
        <f>(VLOOKUP($A89,'The List'!$B1:$AH730,18,FALSE)-AVERAGE('The List'!S2:S730))/STDEV('The List'!S2:S730)</f>
        <v>1.0846465331837529</v>
      </c>
      <c r="G89" s="38">
        <f>(VLOOKUP($A89,'The List'!$B1:$AH730,19,FALSE)-AVERAGE('The List'!T2:T730))/STDEV('The List'!T2:T730)</f>
        <v>1.1808054350185944</v>
      </c>
      <c r="H89" s="38">
        <f>(VLOOKUP($A89,'The List'!$B1:$AH730,20,FALSE)-AVERAGE('The List'!U2:U730))/STDEV('The List'!U2:U730)</f>
        <v>1.2298744151857202</v>
      </c>
      <c r="I89" s="38">
        <f>(VLOOKUP($A89,'The List'!$B1:$AH730,21,FALSE)-AVERAGE('The List'!V2:V730))/STDEV('The List'!V2:V730)</f>
        <v>1.2219515884383412</v>
      </c>
      <c r="J89" s="38">
        <f>(VLOOKUP($A89,'The List'!$B1:$AH730,22,FALSE)-AVERAGE('The List'!W2:W730))/STDEV('The List'!W2:W730)</f>
        <v>1.4961444744811672</v>
      </c>
      <c r="K89" s="38">
        <f>(VLOOKUP($A89,'The List'!$B1:$AH730,23,FALSE)-AVERAGE('The List'!X2:X730))/STDEV('The List'!X2:X730)</f>
        <v>1.2909567623242186</v>
      </c>
      <c r="L89" s="38">
        <f>(VLOOKUP($A89,'The List'!$B1:$AH730,24,FALSE)-AVERAGE('The List'!Y2:Y730))/STDEV('The List'!Y2:Y730)</f>
        <v>-0.48647646091439095</v>
      </c>
      <c r="M89" s="38">
        <f>(VLOOKUP($A89,'The List'!$B1:$AH730,25,FALSE)-AVERAGE('The List'!Z2:Z730))/STDEV('The List'!Z2:Z730)</f>
        <v>-0.65743751634981795</v>
      </c>
      <c r="N89" s="38">
        <f>(VLOOKUP($A89,'The List'!$B1:$AH730,26,FALSE)-AVERAGE('The List'!AA2:AA730))/STDEV('The List'!AA2:AA730)</f>
        <v>-0.75734885396504892</v>
      </c>
      <c r="O89" s="38">
        <f>(VLOOKUP($A89,'The List'!$B1:$AH730,27,FALSE)-AVERAGE('The List'!AB2:AB730))/STDEV('The List'!AB2:AB730)</f>
        <v>0.3153490514069533</v>
      </c>
      <c r="P89" s="38">
        <f>(VLOOKUP($A89,'The List'!$B1:$AH730,28,FALSE)-AVERAGE('The List'!AC2:AC730))/STDEV('The List'!AC2:AC730)</f>
        <v>-5.6556684853631073E-3</v>
      </c>
      <c r="Q89" s="38">
        <f>(VLOOKUP($A89,'The List'!$B1:$AH730,29,FALSE)-AVERAGE('The List'!AD2:AD730))/STDEV('The List'!AD2:AD730)</f>
        <v>-0.21997155002856952</v>
      </c>
      <c r="R89" s="38">
        <f>(VLOOKUP($A89,'The List'!$B1:$AH730,30,FALSE)-AVERAGE('The List'!AE2:AE730))/STDEV('The List'!AE2:AE730)</f>
        <v>1.152312818502172</v>
      </c>
      <c r="S89" s="38">
        <f>(VLOOKUP($A89,'The List'!$B1:$AH730,31,FALSE)-AVERAGE('The List'!AF2:AF730))/STDEV('The List'!AF2:AF730)</f>
        <v>-0.50113283505104744</v>
      </c>
      <c r="T89" s="38">
        <f>(VLOOKUP($A89,'The List'!$B1:$AH730,32,FALSE)-AVERAGE('The List'!AG2:AG730))/STDEV('The List'!AG2:AG730)</f>
        <v>-0.49357448430782347</v>
      </c>
      <c r="U89" s="38">
        <f>(VLOOKUP($A89,'The List'!$B1:$AH730,33,FALSE)-AVERAGE('The List'!AH2:AH730))/STDEV('The List'!AH2:AH730)</f>
        <v>0.43549284636138508</v>
      </c>
      <c r="V89" s="38"/>
      <c r="W89" s="42"/>
      <c r="X89" s="40"/>
      <c r="Y89" s="40"/>
      <c r="Z89" s="40"/>
      <c r="AA89" s="40"/>
      <c r="AB89" s="40"/>
      <c r="AC89" s="43"/>
      <c r="AD89" s="44"/>
      <c r="AE89" s="38"/>
    </row>
    <row r="90" spans="1:31" ht="21.2" customHeight="1">
      <c r="A90" s="8" t="s">
        <v>272</v>
      </c>
      <c r="B90" s="34" t="str">
        <f>VLOOKUP(A90,'Player Data'!A1:B734,2,FALSE)</f>
        <v>SEA</v>
      </c>
      <c r="C90" s="36">
        <f>((E90)*Settings!$C$12)+(F90*Settings!$C$2)+(G90*Settings!$C$3)+(H90*Settings!$C$4)+(I90*Settings!$C$5)+(K90*Settings!$C$9)+(N90*Settings!$C$6)+(J90*Settings!$C$8)+(O90*Settings!$C$7)+(P90*Settings!$C$14)+(Q90*Settings!$C$15)+(R90*Settings!$C$16)+(S90*Settings!$C$17)+(T90*Settings!$C$18)+(U90*Settings!$C$19)+(L90*Settings!$C$10)+(Settings!$C$11*M90)</f>
        <v>5.1548211754052202</v>
      </c>
      <c r="D90" s="40">
        <f>IF(Settings!$E$12="YES",VLOOKUP(A90,'Player Data'!A1:E734,5,FALSE),82)</f>
        <v>82</v>
      </c>
      <c r="E90" s="38">
        <f>(VLOOKUP($A90,'The List'!$B1:$AH730,17,FALSE)-AVERAGE('The List'!R2:R730))/STDEV('The List'!R2:R730)</f>
        <v>4.8964602209452597E-2</v>
      </c>
      <c r="F90" s="38">
        <f>(VLOOKUP($A90,'The List'!$B1:$AH730,18,FALSE)-AVERAGE('The List'!S2:S730))/STDEV('The List'!S2:S730)</f>
        <v>0.93348057791157724</v>
      </c>
      <c r="G90" s="38">
        <f>(VLOOKUP($A90,'The List'!$B1:$AH730,19,FALSE)-AVERAGE('The List'!T2:T730))/STDEV('The List'!T2:T730)</f>
        <v>1.2698495450634808</v>
      </c>
      <c r="H90" s="38">
        <f>(VLOOKUP($A90,'The List'!$B1:$AH730,20,FALSE)-AVERAGE('The List'!U2:U730))/STDEV('The List'!U2:U730)</f>
        <v>1.2143225332840035</v>
      </c>
      <c r="I90" s="38">
        <f>(VLOOKUP($A90,'The List'!$B1:$AH730,21,FALSE)-AVERAGE('The List'!V2:V730))/STDEV('The List'!V2:V730)</f>
        <v>0.50943008128227618</v>
      </c>
      <c r="J90" s="38">
        <f>(VLOOKUP($A90,'The List'!$B1:$AH730,22,FALSE)-AVERAGE('The List'!W2:W730))/STDEV('The List'!W2:W730)</f>
        <v>1.0194363153789696</v>
      </c>
      <c r="K90" s="38">
        <f>(VLOOKUP($A90,'The List'!$B1:$AH730,23,FALSE)-AVERAGE('The List'!X2:X730))/STDEV('The List'!X2:X730)</f>
        <v>1.2277384378638827</v>
      </c>
      <c r="L90" s="38">
        <f>(VLOOKUP($A90,'The List'!$B1:$AH730,24,FALSE)-AVERAGE('The List'!Y2:Y730))/STDEV('The List'!Y2:Y730)</f>
        <v>-0.52235641976368319</v>
      </c>
      <c r="M90" s="38">
        <f>(VLOOKUP($A90,'The List'!$B1:$AH730,25,FALSE)-AVERAGE('The List'!Z2:Z730))/STDEV('The List'!Z2:Z730)</f>
        <v>-0.70057659312708853</v>
      </c>
      <c r="N90" s="38">
        <f>(VLOOKUP($A90,'The List'!$B1:$AH730,26,FALSE)-AVERAGE('The List'!AA2:AA730))/STDEV('The List'!AA2:AA730)</f>
        <v>-0.85456215003130132</v>
      </c>
      <c r="O90" s="38">
        <f>(VLOOKUP($A90,'The List'!$B1:$AH730,27,FALSE)-AVERAGE('The List'!AB2:AB730))/STDEV('The List'!AB2:AB730)</f>
        <v>-1.148435578815834</v>
      </c>
      <c r="P90" s="38">
        <f>(VLOOKUP($A90,'The List'!$B1:$AH730,28,FALSE)-AVERAGE('The List'!AC2:AC730))/STDEV('The List'!AC2:AC730)</f>
        <v>-0.2415416210740233</v>
      </c>
      <c r="Q90" s="38">
        <f>(VLOOKUP($A90,'The List'!$B1:$AH730,29,FALSE)-AVERAGE('The List'!AD2:AD730))/STDEV('The List'!AD2:AD730)</f>
        <v>-0.7550459441850832</v>
      </c>
      <c r="R90" s="38">
        <f>(VLOOKUP($A90,'The List'!$B1:$AH730,30,FALSE)-AVERAGE('The List'!AE2:AE730))/STDEV('The List'!AE2:AE730)</f>
        <v>0.85689103678009015</v>
      </c>
      <c r="S90" s="38">
        <f>(VLOOKUP($A90,'The List'!$B1:$AH730,31,FALSE)-AVERAGE('The List'!AF2:AF730))/STDEV('The List'!AF2:AF730)</f>
        <v>-0.55317951775810725</v>
      </c>
      <c r="T90" s="38">
        <f>(VLOOKUP($A90,'The List'!$B1:$AH730,32,FALSE)-AVERAGE('The List'!AG2:AG730))/STDEV('The List'!AG2:AG730)</f>
        <v>-0.57257148618530984</v>
      </c>
      <c r="U90" s="38">
        <f>(VLOOKUP($A90,'The List'!$B1:$AH730,33,FALSE)-AVERAGE('The List'!AH2:AH730))/STDEV('The List'!AH2:AH730)</f>
        <v>3.9437290053195816E-2</v>
      </c>
      <c r="V90" s="38"/>
      <c r="W90" s="40"/>
      <c r="X90" s="40"/>
      <c r="Y90" s="40"/>
      <c r="Z90" s="40"/>
      <c r="AA90" s="40"/>
      <c r="AB90" s="40"/>
      <c r="AC90" s="43"/>
      <c r="AD90" s="44"/>
      <c r="AE90" s="38"/>
    </row>
    <row r="91" spans="1:31" ht="21.2" customHeight="1">
      <c r="A91" s="8" t="s">
        <v>242</v>
      </c>
      <c r="B91" s="34" t="str">
        <f>VLOOKUP(A91,'Player Data'!A1:B734,2,FALSE)</f>
        <v>LAK</v>
      </c>
      <c r="C91" s="36">
        <f>((E91)*Settings!$C$12)+(F91*Settings!$C$2)+(G91*Settings!$C$3)+(H91*Settings!$C$4)+(I91*Settings!$C$5)+(K91*Settings!$C$9)+(N91*Settings!$C$6)+(J91*Settings!$C$8)+(O91*Settings!$C$7)+(P91*Settings!$C$14)+(Q91*Settings!$C$15)+(R91*Settings!$C$16)+(S91*Settings!$C$17)+(T91*Settings!$C$18)+(U91*Settings!$C$19)+(L91*Settings!$C$10)+(Settings!$C$11*M91)</f>
        <v>5.2664090249396196</v>
      </c>
      <c r="D91" s="40">
        <f>IF(Settings!$E$12="YES",VLOOKUP(A91,'Player Data'!A1:E734,5,FALSE),82)</f>
        <v>82</v>
      </c>
      <c r="E91" s="38">
        <f>(VLOOKUP($A91,'The List'!$B1:$AH730,17,FALSE)-AVERAGE('The List'!R2:R730))/STDEV('The List'!R2:R730)</f>
        <v>1.0131295637632043</v>
      </c>
      <c r="F91" s="38">
        <f>(VLOOKUP($A91,'The List'!$B1:$AH730,18,FALSE)-AVERAGE('The List'!S2:S730))/STDEV('The List'!S2:S730)</f>
        <v>0.70915623584733878</v>
      </c>
      <c r="G91" s="38">
        <f>(VLOOKUP($A91,'The List'!$B1:$AH730,19,FALSE)-AVERAGE('The List'!T2:T730))/STDEV('The List'!T2:T730)</f>
        <v>1.4331786520448668</v>
      </c>
      <c r="H91" s="38">
        <f>(VLOOKUP($A91,'The List'!$B1:$AH730,20,FALSE)-AVERAGE('The List'!U2:U730))/STDEV('The List'!U2:U730)</f>
        <v>1.2104123361651562</v>
      </c>
      <c r="I91" s="38">
        <f>(VLOOKUP($A91,'The List'!$B1:$AH730,21,FALSE)-AVERAGE('The List'!V2:V730))/STDEV('The List'!V2:V730)</f>
        <v>0.54481060004167603</v>
      </c>
      <c r="J91" s="38">
        <f>(VLOOKUP($A91,'The List'!$B1:$AH730,22,FALSE)-AVERAGE('The List'!W2:W730))/STDEV('The List'!W2:W730)</f>
        <v>0.8925314659747593</v>
      </c>
      <c r="K91" s="38">
        <f>(VLOOKUP($A91,'The List'!$B1:$AH730,23,FALSE)-AVERAGE('The List'!X2:X730))/STDEV('The List'!X2:X730)</f>
        <v>1.368851200840582</v>
      </c>
      <c r="L91" s="38">
        <f>(VLOOKUP($A91,'The List'!$B1:$AH730,24,FALSE)-AVERAGE('The List'!Y2:Y730))/STDEV('The List'!Y2:Y730)</f>
        <v>-0.73962520409311105</v>
      </c>
      <c r="M91" s="38">
        <f>(VLOOKUP($A91,'The List'!$B1:$AH730,25,FALSE)-AVERAGE('The List'!Z2:Z730))/STDEV('The List'!Z2:Z730)</f>
        <v>-0.40036097689475902</v>
      </c>
      <c r="N91" s="38">
        <f>(VLOOKUP($A91,'The List'!$B1:$AH730,26,FALSE)-AVERAGE('The List'!AA2:AA730))/STDEV('The List'!AA2:AA730)</f>
        <v>0.23291776531406508</v>
      </c>
      <c r="O91" s="38">
        <f>(VLOOKUP($A91,'The List'!$B1:$AH730,27,FALSE)-AVERAGE('The List'!AB2:AB730))/STDEV('The List'!AB2:AB730)</f>
        <v>-0.65411311935834726</v>
      </c>
      <c r="P91" s="38">
        <f>(VLOOKUP($A91,'The List'!$B1:$AH730,28,FALSE)-AVERAGE('The List'!AC2:AC730))/STDEV('The List'!AC2:AC730)</f>
        <v>9.7216133043243114E-2</v>
      </c>
      <c r="Q91" s="38">
        <f>(VLOOKUP($A91,'The List'!$B1:$AH730,29,FALSE)-AVERAGE('The List'!AD2:AD730))/STDEV('The List'!AD2:AD730)</f>
        <v>-1.3809041156338622</v>
      </c>
      <c r="R91" s="38">
        <f>(VLOOKUP($A91,'The List'!$B1:$AH730,30,FALSE)-AVERAGE('The List'!AE2:AE730))/STDEV('The List'!AE2:AE730)</f>
        <v>0.75310290796728863</v>
      </c>
      <c r="S91" s="38">
        <f>(VLOOKUP($A91,'The List'!$B1:$AH730,31,FALSE)-AVERAGE('The List'!AF2:AF730))/STDEV('The List'!AF2:AF730)</f>
        <v>3.643238500406369</v>
      </c>
      <c r="T91" s="38">
        <f>(VLOOKUP($A91,'The List'!$B1:$AH730,32,FALSE)-AVERAGE('The List'!AG2:AG730))/STDEV('The List'!AG2:AG730)</f>
        <v>2.7921896356182301</v>
      </c>
      <c r="U91" s="38">
        <f>(VLOOKUP($A91,'The List'!$B1:$AH730,33,FALSE)-AVERAGE('The List'!AH2:AH730))/STDEV('The List'!AH2:AH730)</f>
        <v>1.3154267961181536</v>
      </c>
      <c r="V91" s="38"/>
      <c r="W91" s="40"/>
      <c r="X91" s="38"/>
      <c r="Y91" s="38"/>
      <c r="Z91" s="38"/>
      <c r="AA91" s="38"/>
      <c r="AB91" s="38"/>
      <c r="AC91" s="38"/>
      <c r="AD91" s="38"/>
      <c r="AE91" s="38"/>
    </row>
    <row r="92" spans="1:31" ht="21.2" customHeight="1">
      <c r="A92" s="8" t="s">
        <v>283</v>
      </c>
      <c r="B92" s="34" t="str">
        <f>VLOOKUP(A92,'Player Data'!A1:B734,2,FALSE)</f>
        <v>VGK</v>
      </c>
      <c r="C92" s="36">
        <f>((E92)*Settings!$C$12)+(F92*Settings!$C$2)+(G92*Settings!$C$3)+(H92*Settings!$C$4)+(I92*Settings!$C$5)+(K92*Settings!$C$9)+(N92*Settings!$C$6)+(J92*Settings!$C$8)+(O92*Settings!$C$7)+(P92*Settings!$C$14)+(Q92*Settings!$C$15)+(R92*Settings!$C$16)+(S92*Settings!$C$17)+(T92*Settings!$C$18)+(U92*Settings!$C$19)+(L92*Settings!$C$10)+(Settings!$C$11*M92)</f>
        <v>3.8165359357510233</v>
      </c>
      <c r="D92" s="40">
        <f>IF(Settings!$E$12="YES",VLOOKUP(A92,'Player Data'!A1:E734,5,FALSE),82)</f>
        <v>82</v>
      </c>
      <c r="E92" s="38">
        <f>(VLOOKUP($A92,'The List'!$B1:$AH730,17,FALSE)-AVERAGE('The List'!R2:R730))/STDEV('The List'!R2:R730)</f>
        <v>0.75701461565075612</v>
      </c>
      <c r="F92" s="38">
        <f>(VLOOKUP($A92,'The List'!$B1:$AH730,18,FALSE)-AVERAGE('The List'!S2:S730))/STDEV('The List'!S2:S730)</f>
        <v>0.53866049907697533</v>
      </c>
      <c r="G92" s="38">
        <f>(VLOOKUP($A92,'The List'!$B1:$AH730,19,FALSE)-AVERAGE('The List'!T2:T730))/STDEV('The List'!T2:T730)</f>
        <v>1.52478785444163</v>
      </c>
      <c r="H92" s="38">
        <f>(VLOOKUP($A92,'The List'!$B1:$AH730,20,FALSE)-AVERAGE('The List'!U2:U730))/STDEV('The List'!U2:U730)</f>
        <v>1.187450908451819</v>
      </c>
      <c r="I92" s="38">
        <f>(VLOOKUP($A92,'The List'!$B1:$AH730,21,FALSE)-AVERAGE('The List'!V2:V730))/STDEV('The List'!V2:V730)</f>
        <v>-0.13258807991416893</v>
      </c>
      <c r="J92" s="38">
        <f>(VLOOKUP($A92,'The List'!$B1:$AH730,22,FALSE)-AVERAGE('The List'!W2:W730))/STDEV('The List'!W2:W730)</f>
        <v>0.77457766770516601</v>
      </c>
      <c r="K92" s="38">
        <f>(VLOOKUP($A92,'The List'!$B1:$AH730,23,FALSE)-AVERAGE('The List'!X2:X730))/STDEV('The List'!X2:X730)</f>
        <v>0.69822475369476755</v>
      </c>
      <c r="L92" s="38">
        <f>(VLOOKUP($A92,'The List'!$B1:$AH730,24,FALSE)-AVERAGE('The List'!Y2:Y730))/STDEV('The List'!Y2:Y730)</f>
        <v>1.3381124258279933</v>
      </c>
      <c r="M92" s="38">
        <f>(VLOOKUP($A92,'The List'!$B1:$AH730,25,FALSE)-AVERAGE('The List'!Z2:Z730))/STDEV('The List'!Z2:Z730)</f>
        <v>2.1284579649684812</v>
      </c>
      <c r="N92" s="38">
        <f>(VLOOKUP($A92,'The List'!$B1:$AH730,26,FALSE)-AVERAGE('The List'!AA2:AA730))/STDEV('The List'!AA2:AA730)</f>
        <v>-0.30628735656987449</v>
      </c>
      <c r="O92" s="38">
        <f>(VLOOKUP($A92,'The List'!$B1:$AH730,27,FALSE)-AVERAGE('The List'!AB2:AB730))/STDEV('The List'!AB2:AB730)</f>
        <v>-0.51769749893624928</v>
      </c>
      <c r="P92" s="38">
        <f>(VLOOKUP($A92,'The List'!$B1:$AH730,28,FALSE)-AVERAGE('The List'!AC2:AC730))/STDEV('The List'!AC2:AC730)</f>
        <v>1.4264982199521916</v>
      </c>
      <c r="Q92" s="38">
        <f>(VLOOKUP($A92,'The List'!$B1:$AH730,29,FALSE)-AVERAGE('The List'!AD2:AD730))/STDEV('The List'!AD2:AD730)</f>
        <v>-0.60420208922338625</v>
      </c>
      <c r="R92" s="38">
        <f>(VLOOKUP($A92,'The List'!$B1:$AH730,30,FALSE)-AVERAGE('The List'!AE2:AE730))/STDEV('The List'!AE2:AE730)</f>
        <v>0.77970396177177959</v>
      </c>
      <c r="S92" s="38">
        <f>(VLOOKUP($A92,'The List'!$B1:$AH730,31,FALSE)-AVERAGE('The List'!AF2:AF730))/STDEV('The List'!AF2:AF730)</f>
        <v>2.5491674678060119</v>
      </c>
      <c r="T92" s="38">
        <f>(VLOOKUP($A92,'The List'!$B1:$AH730,32,FALSE)-AVERAGE('The List'!AG2:AG730))/STDEV('The List'!AG2:AG730)</f>
        <v>2.1141259265894727</v>
      </c>
      <c r="U92" s="38">
        <f>(VLOOKUP($A92,'The List'!$B1:$AH730,33,FALSE)-AVERAGE('The List'!AH2:AH730))/STDEV('The List'!AH2:AH730)</f>
        <v>1.2275090784607348</v>
      </c>
      <c r="V92" s="38"/>
      <c r="W92" s="42"/>
      <c r="X92" s="40"/>
      <c r="Y92" s="40"/>
      <c r="Z92" s="40"/>
      <c r="AA92" s="40"/>
      <c r="AB92" s="40"/>
      <c r="AC92" s="43"/>
      <c r="AD92" s="44"/>
      <c r="AE92" s="38"/>
    </row>
    <row r="93" spans="1:31" ht="21.2" customHeight="1">
      <c r="A93" s="8" t="s">
        <v>189</v>
      </c>
      <c r="B93" s="34" t="str">
        <f>VLOOKUP(A93,'Player Data'!A1:B734,2,FALSE)</f>
        <v>VGK</v>
      </c>
      <c r="C93" s="36">
        <f>((E93)*Settings!$C$12)+(F93*Settings!$C$2)+(G93*Settings!$C$3)+(H93*Settings!$C$4)+(I93*Settings!$C$5)+(K93*Settings!$C$9)+(N93*Settings!$C$6)+(J93*Settings!$C$8)+(O93*Settings!$C$7)+(P93*Settings!$C$14)+(Q93*Settings!$C$15)+(R93*Settings!$C$16)+(S93*Settings!$C$17)+(T93*Settings!$C$18)+(U93*Settings!$C$19)+(L93*Settings!$C$10)+(Settings!$C$11*M93)</f>
        <v>6.8198689629503599</v>
      </c>
      <c r="D93" s="40">
        <f>IF(Settings!$E$12="YES",VLOOKUP(A93,'Player Data'!A1:E734,5,FALSE),82)</f>
        <v>82</v>
      </c>
      <c r="E93" s="38">
        <f>(VLOOKUP($A93,'The List'!$B1:$AH730,17,FALSE)-AVERAGE('The List'!R2:R730))/STDEV('The List'!R2:R730)</f>
        <v>0.3140883455592634</v>
      </c>
      <c r="F93" s="38">
        <f>(VLOOKUP($A93,'The List'!$B1:$AH730,18,FALSE)-AVERAGE('The List'!S2:S730))/STDEV('The List'!S2:S730)</f>
        <v>1.5027098412477606</v>
      </c>
      <c r="G93" s="38">
        <f>(VLOOKUP($A93,'The List'!$B1:$AH730,19,FALSE)-AVERAGE('The List'!T2:T730))/STDEV('The List'!T2:T730)</f>
        <v>0.78452935253367717</v>
      </c>
      <c r="H93" s="38">
        <f>(VLOOKUP($A93,'The List'!$B1:$AH730,20,FALSE)-AVERAGE('The List'!U2:U730))/STDEV('The List'!U2:U730)</f>
        <v>1.18069357121496</v>
      </c>
      <c r="I93" s="38">
        <f>(VLOOKUP($A93,'The List'!$B1:$AH730,21,FALSE)-AVERAGE('The List'!V2:V730))/STDEV('The List'!V2:V730)</f>
        <v>2.0632206000473245</v>
      </c>
      <c r="J93" s="38">
        <f>(VLOOKUP($A93,'The List'!$B1:$AH730,22,FALSE)-AVERAGE('The List'!W2:W730))/STDEV('The List'!W2:W730)</f>
        <v>1.5916327190579671</v>
      </c>
      <c r="K93" s="38">
        <f>(VLOOKUP($A93,'The List'!$B1:$AH730,23,FALSE)-AVERAGE('The List'!X2:X730))/STDEV('The List'!X2:X730)</f>
        <v>1.2887155979066376</v>
      </c>
      <c r="L93" s="38">
        <f>(VLOOKUP($A93,'The List'!$B1:$AH730,24,FALSE)-AVERAGE('The List'!Y2:Y730))/STDEV('The List'!Y2:Y730)</f>
        <v>-0.52411295275704484</v>
      </c>
      <c r="M93" s="38">
        <f>(VLOOKUP($A93,'The List'!$B1:$AH730,25,FALSE)-AVERAGE('The List'!Z2:Z730))/STDEV('The List'!Z2:Z730)</f>
        <v>-0.70267522880783773</v>
      </c>
      <c r="N93" s="38">
        <f>(VLOOKUP($A93,'The List'!$B1:$AH730,26,FALSE)-AVERAGE('The List'!AA2:AA730))/STDEV('The List'!AA2:AA730)</f>
        <v>-1.0815265374930929</v>
      </c>
      <c r="O93" s="38">
        <f>(VLOOKUP($A93,'The List'!$B1:$AH730,27,FALSE)-AVERAGE('The List'!AB2:AB730))/STDEV('The List'!AB2:AB730)</f>
        <v>-0.47010718586465394</v>
      </c>
      <c r="P93" s="38">
        <f>(VLOOKUP($A93,'The List'!$B1:$AH730,28,FALSE)-AVERAGE('The List'!AC2:AC730))/STDEV('The List'!AC2:AC730)</f>
        <v>1.0802697816874238</v>
      </c>
      <c r="Q93" s="38">
        <f>(VLOOKUP($A93,'The List'!$B1:$AH730,29,FALSE)-AVERAGE('The List'!AD2:AD730))/STDEV('The List'!AD2:AD730)</f>
        <v>-0.27843008689778415</v>
      </c>
      <c r="R93" s="38">
        <f>(VLOOKUP($A93,'The List'!$B1:$AH730,30,FALSE)-AVERAGE('The List'!AE2:AE730))/STDEV('The List'!AE2:AE730)</f>
        <v>1.8057091430553267</v>
      </c>
      <c r="S93" s="38">
        <f>(VLOOKUP($A93,'The List'!$B1:$AH730,31,FALSE)-AVERAGE('The List'!AF2:AF730))/STDEV('The List'!AF2:AF730)</f>
        <v>-0.41953669653248532</v>
      </c>
      <c r="T93" s="38">
        <f>(VLOOKUP($A93,'The List'!$B1:$AH730,32,FALSE)-AVERAGE('The List'!AG2:AG730))/STDEV('The List'!AG2:AG730)</f>
        <v>-0.39147455375409329</v>
      </c>
      <c r="U93" s="38">
        <f>(VLOOKUP($A93,'The List'!$B1:$AH730,33,FALSE)-AVERAGE('The List'!AH2:AH730))/STDEV('The List'!AH2:AH730)</f>
        <v>0.62762900239539698</v>
      </c>
      <c r="V93" s="38"/>
      <c r="W93" s="42"/>
      <c r="X93" s="40"/>
      <c r="Y93" s="40"/>
      <c r="Z93" s="40"/>
      <c r="AA93" s="40"/>
      <c r="AB93" s="40"/>
      <c r="AC93" s="43"/>
      <c r="AD93" s="44"/>
      <c r="AE93" s="38"/>
    </row>
    <row r="94" spans="1:31" ht="21.2" customHeight="1">
      <c r="A94" s="8" t="s">
        <v>383</v>
      </c>
      <c r="B94" s="34" t="str">
        <f>VLOOKUP(A94,'Player Data'!A1:B734,2,FALSE)</f>
        <v>PHI</v>
      </c>
      <c r="C94" s="36">
        <f>((E94)*Settings!$C$12)+(F94*Settings!$C$2)+(G94*Settings!$C$3)+(H94*Settings!$C$4)+(I94*Settings!$C$5)+(K94*Settings!$C$9)+(N94*Settings!$C$6)+(J94*Settings!$C$8)+(O94*Settings!$C$7)+(P94*Settings!$C$14)+(Q94*Settings!$C$15)+(R94*Settings!$C$16)+(S94*Settings!$C$17)+(T94*Settings!$C$18)+(U94*Settings!$C$19)+(L94*Settings!$C$10)+(Settings!$C$11*M94)</f>
        <v>5.6205791164881322</v>
      </c>
      <c r="D94" s="40">
        <f>IF(Settings!$E$12="YES",VLOOKUP(A94,'Player Data'!A1:E734,5,FALSE),82)</f>
        <v>82</v>
      </c>
      <c r="E94" s="38">
        <f>(VLOOKUP($A94,'The List'!$B1:$AH730,17,FALSE)-AVERAGE('The List'!R2:R730))/STDEV('The List'!R2:R730)</f>
        <v>1.0068963110396008</v>
      </c>
      <c r="F94" s="38">
        <f>(VLOOKUP($A94,'The List'!$B1:$AH730,18,FALSE)-AVERAGE('The List'!S2:S730))/STDEV('The List'!S2:S730)</f>
        <v>1.1620241819195001</v>
      </c>
      <c r="G94" s="38">
        <f>(VLOOKUP($A94,'The List'!$B1:$AH730,19,FALSE)-AVERAGE('The List'!T2:T730))/STDEV('The List'!T2:T730)</f>
        <v>1.0252110099611942</v>
      </c>
      <c r="H94" s="38">
        <f>(VLOOKUP($A94,'The List'!$B1:$AH730,20,FALSE)-AVERAGE('The List'!U2:U730))/STDEV('The List'!U2:U730)</f>
        <v>1.1702263098033716</v>
      </c>
      <c r="I94" s="38">
        <f>(VLOOKUP($A94,'The List'!$B1:$AH730,21,FALSE)-AVERAGE('The List'!V2:V730))/STDEV('The List'!V2:V730)</f>
        <v>1.4750453952175566</v>
      </c>
      <c r="J94" s="38">
        <f>(VLOOKUP($A94,'The List'!$B1:$AH730,22,FALSE)-AVERAGE('The List'!W2:W730))/STDEV('The List'!W2:W730)</f>
        <v>0.70764835344979571</v>
      </c>
      <c r="K94" s="38">
        <f>(VLOOKUP($A94,'The List'!$B1:$AH730,23,FALSE)-AVERAGE('The List'!X2:X730))/STDEV('The List'!X2:X730)</f>
        <v>0.78807221958651053</v>
      </c>
      <c r="L94" s="38">
        <f>(VLOOKUP($A94,'The List'!$B1:$AH730,24,FALSE)-AVERAGE('The List'!Y2:Y730))/STDEV('The List'!Y2:Y730)</f>
        <v>-8.1535482061237622E-3</v>
      </c>
      <c r="M94" s="38">
        <f>(VLOOKUP($A94,'The List'!$B1:$AH730,25,FALSE)-AVERAGE('The List'!Z2:Z730))/STDEV('The List'!Z2:Z730)</f>
        <v>0.75151369865287421</v>
      </c>
      <c r="N94" s="38">
        <f>(VLOOKUP($A94,'The List'!$B1:$AH730,26,FALSE)-AVERAGE('The List'!AA2:AA730))/STDEV('The List'!AA2:AA730)</f>
        <v>-0.42636598565382938</v>
      </c>
      <c r="O94" s="38">
        <f>(VLOOKUP($A94,'The List'!$B1:$AH730,27,FALSE)-AVERAGE('The List'!AB2:AB730))/STDEV('The List'!AB2:AB730)</f>
        <v>-0.54578197860220534</v>
      </c>
      <c r="P94" s="38">
        <f>(VLOOKUP($A94,'The List'!$B1:$AH730,28,FALSE)-AVERAGE('The List'!AC2:AC730))/STDEV('The List'!AC2:AC730)</f>
        <v>-1.2545409599605906</v>
      </c>
      <c r="Q94" s="38">
        <f>(VLOOKUP($A94,'The List'!$B1:$AH730,29,FALSE)-AVERAGE('The List'!AD2:AD730))/STDEV('The List'!AD2:AD730)</f>
        <v>-2.2894574457896004</v>
      </c>
      <c r="R94" s="38">
        <f>(VLOOKUP($A94,'The List'!$B1:$AH730,30,FALSE)-AVERAGE('The List'!AE2:AE730))/STDEV('The List'!AE2:AE730)</f>
        <v>0.68659388829212575</v>
      </c>
      <c r="S94" s="38">
        <f>(VLOOKUP($A94,'The List'!$B1:$AH730,31,FALSE)-AVERAGE('The List'!AF2:AF730))/STDEV('The List'!AF2:AF730)</f>
        <v>2.9638890218166356</v>
      </c>
      <c r="T94" s="38">
        <f>(VLOOKUP($A94,'The List'!$B1:$AH730,32,FALSE)-AVERAGE('The List'!AG2:AG730))/STDEV('The List'!AG2:AG730)</f>
        <v>2.267918633109987</v>
      </c>
      <c r="U94" s="38">
        <f>(VLOOKUP($A94,'The List'!$B1:$AH730,33,FALSE)-AVERAGE('The List'!AH2:AH730))/STDEV('The List'!AH2:AH730)</f>
        <v>1.3056601661920393</v>
      </c>
      <c r="V94" s="38"/>
      <c r="W94" s="42"/>
      <c r="X94" s="40"/>
      <c r="Y94" s="40"/>
      <c r="Z94" s="40"/>
      <c r="AA94" s="40"/>
      <c r="AB94" s="40"/>
      <c r="AC94" s="43"/>
      <c r="AD94" s="44"/>
      <c r="AE94" s="38"/>
    </row>
    <row r="95" spans="1:31" ht="21.2" customHeight="1">
      <c r="A95" s="8" t="s">
        <v>217</v>
      </c>
      <c r="B95" s="34" t="str">
        <f>VLOOKUP(A95,'Player Data'!A1:B734,2,FALSE)</f>
        <v>OTT</v>
      </c>
      <c r="C95" s="36">
        <f>((E95)*Settings!$C$12)+(F95*Settings!$C$2)+(G95*Settings!$C$3)+(H95*Settings!$C$4)+(I95*Settings!$C$5)+(K95*Settings!$C$9)+(N95*Settings!$C$6)+(J95*Settings!$C$8)+(O95*Settings!$C$7)+(P95*Settings!$C$14)+(Q95*Settings!$C$15)+(R95*Settings!$C$16)+(S95*Settings!$C$17)+(T95*Settings!$C$18)+(U95*Settings!$C$19)+(L95*Settings!$C$10)+(Settings!$C$11*M95)</f>
        <v>5.7530863445599101</v>
      </c>
      <c r="D95" s="40">
        <f>IF(Settings!$E$12="YES",VLOOKUP(A95,'Player Data'!A1:E734,5,FALSE),82)</f>
        <v>82</v>
      </c>
      <c r="E95" s="38">
        <f>(VLOOKUP($A95,'The List'!$B1:$AH730,17,FALSE)-AVERAGE('The List'!R2:R730))/STDEV('The List'!R2:R730)</f>
        <v>0.45535907982162344</v>
      </c>
      <c r="F95" s="38">
        <f>(VLOOKUP($A95,'The List'!$B1:$AH730,18,FALSE)-AVERAGE('The List'!S2:S730))/STDEV('The List'!S2:S730)</f>
        <v>1.1133114283328616</v>
      </c>
      <c r="G95" s="38">
        <f>(VLOOKUP($A95,'The List'!$B1:$AH730,19,FALSE)-AVERAGE('The List'!T2:T730))/STDEV('The List'!T2:T730)</f>
        <v>1.0217054157096721</v>
      </c>
      <c r="H95" s="38">
        <f>(VLOOKUP($A95,'The List'!$B1:$AH730,20,FALSE)-AVERAGE('The List'!U2:U730))/STDEV('The List'!U2:U730)</f>
        <v>1.1454267341574784</v>
      </c>
      <c r="I95" s="38">
        <f>(VLOOKUP($A95,'The List'!$B1:$AH730,21,FALSE)-AVERAGE('The List'!V2:V730))/STDEV('The List'!V2:V730)</f>
        <v>1.2255595812616678</v>
      </c>
      <c r="J95" s="38">
        <f>(VLOOKUP($A95,'The List'!$B1:$AH730,22,FALSE)-AVERAGE('The List'!W2:W730))/STDEV('The List'!W2:W730)</f>
        <v>0.62866402262327892</v>
      </c>
      <c r="K95" s="38">
        <f>(VLOOKUP($A95,'The List'!$B1:$AH730,23,FALSE)-AVERAGE('The List'!X2:X730))/STDEV('The List'!X2:X730)</f>
        <v>1.2470831850982298</v>
      </c>
      <c r="L95" s="38">
        <f>(VLOOKUP($A95,'The List'!$B1:$AH730,24,FALSE)-AVERAGE('The List'!Y2:Y730))/STDEV('The List'!Y2:Y730)</f>
        <v>-0.55832263574055796</v>
      </c>
      <c r="M95" s="38">
        <f>(VLOOKUP($A95,'The List'!$B1:$AH730,25,FALSE)-AVERAGE('The List'!Z2:Z730))/STDEV('The List'!Z2:Z730)</f>
        <v>-0.83621563137962396</v>
      </c>
      <c r="N95" s="38">
        <f>(VLOOKUP($A95,'The List'!$B1:$AH730,26,FALSE)-AVERAGE('The List'!AA2:AA730))/STDEV('The List'!AA2:AA730)</f>
        <v>-0.90997338440256581</v>
      </c>
      <c r="O95" s="38">
        <f>(VLOOKUP($A95,'The List'!$B1:$AH730,27,FALSE)-AVERAGE('The List'!AB2:AB730))/STDEV('The List'!AB2:AB730)</f>
        <v>-0.51719061686118595</v>
      </c>
      <c r="P95" s="38">
        <f>(VLOOKUP($A95,'The List'!$B1:$AH730,28,FALSE)-AVERAGE('The List'!AC2:AC730))/STDEV('The List'!AC2:AC730)</f>
        <v>0.78495668229086657</v>
      </c>
      <c r="Q95" s="38">
        <f>(VLOOKUP($A95,'The List'!$B1:$AH730,29,FALSE)-AVERAGE('The List'!AD2:AD730))/STDEV('The List'!AD2:AD730)</f>
        <v>-0.31448946070655359</v>
      </c>
      <c r="R95" s="38">
        <f>(VLOOKUP($A95,'The List'!$B1:$AH730,30,FALSE)-AVERAGE('The List'!AE2:AE730))/STDEV('The List'!AE2:AE730)</f>
        <v>1.1803854565638388</v>
      </c>
      <c r="S95" s="38">
        <f>(VLOOKUP($A95,'The List'!$B1:$AH730,31,FALSE)-AVERAGE('The List'!AF2:AF730))/STDEV('The List'!AF2:AF730)</f>
        <v>2.7660011571931542</v>
      </c>
      <c r="T95" s="38">
        <f>(VLOOKUP($A95,'The List'!$B1:$AH730,32,FALSE)-AVERAGE('The List'!AG2:AG730))/STDEV('The List'!AG2:AG730)</f>
        <v>1.7915418288809402</v>
      </c>
      <c r="U95" s="38">
        <f>(VLOOKUP($A95,'The List'!$B1:$AH730,33,FALSE)-AVERAGE('The List'!AH2:AH730))/STDEV('The List'!AH2:AH730)</f>
        <v>1.4410875476420533</v>
      </c>
      <c r="V95" s="38"/>
      <c r="W95" s="42"/>
      <c r="X95" s="40"/>
      <c r="Y95" s="40"/>
      <c r="Z95" s="40"/>
      <c r="AA95" s="40"/>
      <c r="AB95" s="40"/>
      <c r="AC95" s="43"/>
      <c r="AD95" s="44"/>
      <c r="AE95" s="38"/>
    </row>
    <row r="96" spans="1:31" ht="21.2" customHeight="1">
      <c r="A96" s="8" t="s">
        <v>124</v>
      </c>
      <c r="B96" s="34" t="str">
        <f>VLOOKUP(A96,'Player Data'!A1:B734,2,FALSE)</f>
        <v>DAL</v>
      </c>
      <c r="C96" s="36">
        <f>((E96)*Settings!$C$12)+(F96*Settings!$C$2)+(G96*Settings!$C$3)+(H96*Settings!$C$4)+(I96*Settings!$C$5)+(K96*Settings!$C$9)+(N96*Settings!$C$6)+(J96*Settings!$C$8)+(O96*Settings!$C$7)+(P96*Settings!$C$14)+(Q96*Settings!$C$15)+(R96*Settings!$C$16)+(S96*Settings!$C$17)+(T96*Settings!$C$18)+(U96*Settings!$C$19)+(L96*Settings!$C$10)+(Settings!$C$11*M96)</f>
        <v>7.0602215458269182</v>
      </c>
      <c r="D96" s="40">
        <f>IF(Settings!$E$12="YES",VLOOKUP(A96,'Player Data'!A1:E734,5,FALSE),82)</f>
        <v>82</v>
      </c>
      <c r="E96" s="38">
        <f>(VLOOKUP($A96,'The List'!$B1:$AH730,17,FALSE)-AVERAGE('The List'!R2:R730))/STDEV('The List'!R2:R730)</f>
        <v>2.4550243006029255</v>
      </c>
      <c r="F96" s="38">
        <f>(VLOOKUP($A96,'The List'!$B1:$AH730,18,FALSE)-AVERAGE('The List'!S2:S730))/STDEV('The List'!S2:S730)</f>
        <v>-0.24164430222010416</v>
      </c>
      <c r="G96" s="38">
        <f>(VLOOKUP($A96,'The List'!$B1:$AH730,19,FALSE)-AVERAGE('The List'!T2:T730))/STDEV('The List'!T2:T730)</f>
        <v>2.4628418891352171</v>
      </c>
      <c r="H96" s="38">
        <f>(VLOOKUP($A96,'The List'!$B1:$AH730,20,FALSE)-AVERAGE('The List'!U2:U730))/STDEV('The List'!U2:U730)</f>
        <v>1.4011792806289456</v>
      </c>
      <c r="I96" s="38">
        <f>(VLOOKUP($A96,'The List'!$B1:$AH730,21,FALSE)-AVERAGE('The List'!V2:V730))/STDEV('The List'!V2:V730)</f>
        <v>1.1849316575361137</v>
      </c>
      <c r="J96" s="38">
        <f>(VLOOKUP($A96,'The List'!$B1:$AH730,22,FALSE)-AVERAGE('The List'!W2:W730))/STDEV('The List'!W2:W730)</f>
        <v>0.2475365035748408</v>
      </c>
      <c r="K96" s="38">
        <f>(VLOOKUP($A96,'The List'!$B1:$AH730,23,FALSE)-AVERAGE('The List'!X2:X730))/STDEV('The List'!X2:X730)</f>
        <v>2.2529130207467456</v>
      </c>
      <c r="L96" s="38">
        <f>(VLOOKUP($A96,'The List'!$B1:$AH730,24,FALSE)-AVERAGE('The List'!Y2:Y730))/STDEV('The List'!Y2:Y730)</f>
        <v>-0.44770057989590534</v>
      </c>
      <c r="M96" s="38">
        <f>(VLOOKUP($A96,'The List'!$B1:$AH730,25,FALSE)-AVERAGE('The List'!Z2:Z730))/STDEV('The List'!Z2:Z730)</f>
        <v>7.3917047068754793E-2</v>
      </c>
      <c r="N96" s="38">
        <f>(VLOOKUP($A96,'The List'!$B1:$AH730,26,FALSE)-AVERAGE('The List'!AA2:AA730))/STDEV('The List'!AA2:AA730)</f>
        <v>1.030045079038707</v>
      </c>
      <c r="O96" s="38">
        <f>(VLOOKUP($A96,'The List'!$B1:$AH730,27,FALSE)-AVERAGE('The List'!AB2:AB730))/STDEV('The List'!AB2:AB730)</f>
        <v>-0.71842106094672997</v>
      </c>
      <c r="P96" s="38">
        <f>(VLOOKUP($A96,'The List'!$B1:$AH730,28,FALSE)-AVERAGE('The List'!AC2:AC730))/STDEV('The List'!AC2:AC730)</f>
        <v>1.7429614570838725</v>
      </c>
      <c r="Q96" s="38">
        <f>(VLOOKUP($A96,'The List'!$B1:$AH730,29,FALSE)-AVERAGE('The List'!AD2:AD730))/STDEV('The List'!AD2:AD730)</f>
        <v>-0.1682074222804211</v>
      </c>
      <c r="R96" s="38">
        <f>(VLOOKUP($A96,'The List'!$B1:$AH730,30,FALSE)-AVERAGE('The List'!AE2:AE730))/STDEV('The List'!AE2:AE730)</f>
        <v>-7.5983578815911501E-2</v>
      </c>
      <c r="S96" s="38">
        <f>(VLOOKUP($A96,'The List'!$B1:$AH730,31,FALSE)-AVERAGE('The List'!AF2:AF730))/STDEV('The List'!AF2:AF730)</f>
        <v>-0.56911587195029545</v>
      </c>
      <c r="T96" s="38">
        <f>(VLOOKUP($A96,'The List'!$B1:$AH730,32,FALSE)-AVERAGE('The List'!AG2:AG730))/STDEV('The List'!AG2:AG730)</f>
        <v>-0.61510119871956948</v>
      </c>
      <c r="U96" s="38">
        <f>(VLOOKUP($A96,'The List'!$B1:$AH730,33,FALSE)-AVERAGE('The List'!AH2:AH730))/STDEV('The List'!AH2:AH730)</f>
        <v>-1.2363238714825984</v>
      </c>
      <c r="V96" s="38"/>
      <c r="W96" s="42"/>
      <c r="X96" s="40"/>
      <c r="Y96" s="40"/>
      <c r="Z96" s="40"/>
      <c r="AA96" s="40"/>
      <c r="AB96" s="40"/>
      <c r="AC96" s="43"/>
      <c r="AD96" s="44"/>
      <c r="AE96" s="38"/>
    </row>
    <row r="97" spans="1:31" ht="21.2" customHeight="1">
      <c r="A97" s="8" t="s">
        <v>161</v>
      </c>
      <c r="B97" s="34" t="str">
        <f>VLOOKUP(A97,'Player Data'!A1:B734,2,FALSE)</f>
        <v>FLA</v>
      </c>
      <c r="C97" s="36">
        <f>((E97)*Settings!$C$12)+(F97*Settings!$C$2)+(G97*Settings!$C$3)+(H97*Settings!$C$4)+(I97*Settings!$C$5)+(K97*Settings!$C$9)+(N97*Settings!$C$6)+(J97*Settings!$C$8)+(O97*Settings!$C$7)+(P97*Settings!$C$14)+(Q97*Settings!$C$15)+(R97*Settings!$C$16)+(S97*Settings!$C$17)+(T97*Settings!$C$18)+(U97*Settings!$C$19)+(L97*Settings!$C$10)+(Settings!$C$11*M97)</f>
        <v>6.256987505803548</v>
      </c>
      <c r="D97" s="40">
        <f>IF(Settings!$E$12="YES",VLOOKUP(A97,'Player Data'!A1:E734,5,FALSE),82)</f>
        <v>82</v>
      </c>
      <c r="E97" s="38">
        <f>(VLOOKUP($A97,'The List'!$B1:$AH730,17,FALSE)-AVERAGE('The List'!R2:R730))/STDEV('The List'!R2:R730)</f>
        <v>1.9738481812267168</v>
      </c>
      <c r="F97" s="38">
        <f>(VLOOKUP($A97,'The List'!$B1:$AH730,18,FALSE)-AVERAGE('The List'!S2:S730))/STDEV('The List'!S2:S730)</f>
        <v>6.8690091221842451E-3</v>
      </c>
      <c r="G97" s="38">
        <f>(VLOOKUP($A97,'The List'!$B1:$AH730,19,FALSE)-AVERAGE('The List'!T2:T730))/STDEV('The List'!T2:T730)</f>
        <v>1.8045178575774503</v>
      </c>
      <c r="H97" s="38">
        <f>(VLOOKUP($A97,'The List'!$B1:$AH730,20,FALSE)-AVERAGE('The List'!U2:U730))/STDEV('The List'!U2:U730)</f>
        <v>1.1121404265022277</v>
      </c>
      <c r="I97" s="38">
        <f>(VLOOKUP($A97,'The List'!$B1:$AH730,21,FALSE)-AVERAGE('The List'!V2:V730))/STDEV('The List'!V2:V730)</f>
        <v>1.4371090300636811</v>
      </c>
      <c r="J97" s="38">
        <f>(VLOOKUP($A97,'The List'!$B1:$AH730,22,FALSE)-AVERAGE('The List'!W2:W730))/STDEV('The List'!W2:W730)</f>
        <v>9.2285485046700293E-3</v>
      </c>
      <c r="K97" s="38">
        <f>(VLOOKUP($A97,'The List'!$B1:$AH730,23,FALSE)-AVERAGE('The List'!X2:X730))/STDEV('The List'!X2:X730)</f>
        <v>1.8963511825380044</v>
      </c>
      <c r="L97" s="38">
        <f>(VLOOKUP($A97,'The List'!$B1:$AH730,24,FALSE)-AVERAGE('The List'!Y2:Y730))/STDEV('The List'!Y2:Y730)</f>
        <v>-0.29662744879653441</v>
      </c>
      <c r="M97" s="38">
        <f>(VLOOKUP($A97,'The List'!$B1:$AH730,25,FALSE)-AVERAGE('The List'!Z2:Z730))/STDEV('The List'!Z2:Z730)</f>
        <v>-0.50413863742291765</v>
      </c>
      <c r="N97" s="38">
        <f>(VLOOKUP($A97,'The List'!$B1:$AH730,26,FALSE)-AVERAGE('The List'!AA2:AA730))/STDEV('The List'!AA2:AA730)</f>
        <v>0.79547548204523955</v>
      </c>
      <c r="O97" s="38">
        <f>(VLOOKUP($A97,'The List'!$B1:$AH730,27,FALSE)-AVERAGE('The List'!AB2:AB730))/STDEV('The List'!AB2:AB730)</f>
        <v>-0.22082287260772523</v>
      </c>
      <c r="P97" s="38">
        <f>(VLOOKUP($A97,'The List'!$B1:$AH730,28,FALSE)-AVERAGE('The List'!AC2:AC730))/STDEV('The List'!AC2:AC730)</f>
        <v>1.0644977555520483</v>
      </c>
      <c r="Q97" s="38">
        <f>(VLOOKUP($A97,'The List'!$B1:$AH730,29,FALSE)-AVERAGE('The List'!AD2:AD730))/STDEV('The List'!AD2:AD730)</f>
        <v>1.643708068863496</v>
      </c>
      <c r="R97" s="38">
        <f>(VLOOKUP($A97,'The List'!$B1:$AH730,30,FALSE)-AVERAGE('The List'!AE2:AE730))/STDEV('The List'!AE2:AE730)</f>
        <v>3.4634908395408434E-2</v>
      </c>
      <c r="S97" s="38">
        <f>(VLOOKUP($A97,'The List'!$B1:$AH730,31,FALSE)-AVERAGE('The List'!AF2:AF730))/STDEV('The List'!AF2:AF730)</f>
        <v>-0.56911587195029545</v>
      </c>
      <c r="T97" s="38">
        <f>(VLOOKUP($A97,'The List'!$B1:$AH730,32,FALSE)-AVERAGE('The List'!AG2:AG730))/STDEV('The List'!AG2:AG730)</f>
        <v>-0.61510119871956948</v>
      </c>
      <c r="U97" s="38">
        <f>(VLOOKUP($A97,'The List'!$B1:$AH730,33,FALSE)-AVERAGE('The List'!AH2:AH730))/STDEV('The List'!AH2:AH730)</f>
        <v>-1.2363238714825984</v>
      </c>
      <c r="V97" s="38"/>
      <c r="W97" s="42"/>
      <c r="X97" s="40"/>
      <c r="Y97" s="40"/>
      <c r="Z97" s="40"/>
      <c r="AA97" s="40"/>
      <c r="AB97" s="40"/>
      <c r="AC97" s="43"/>
      <c r="AD97" s="44"/>
      <c r="AE97" s="38"/>
    </row>
    <row r="98" spans="1:31" ht="21.2" customHeight="1">
      <c r="A98" s="8" t="s">
        <v>248</v>
      </c>
      <c r="B98" s="34" t="str">
        <f>VLOOKUP(A98,'Player Data'!A1:B734,2,FALSE)</f>
        <v>COL</v>
      </c>
      <c r="C98" s="36">
        <f>((E98)*Settings!$C$12)+(F98*Settings!$C$2)+(G98*Settings!$C$3)+(H98*Settings!$C$4)+(I98*Settings!$C$5)+(K98*Settings!$C$9)+(N98*Settings!$C$6)+(J98*Settings!$C$8)+(O98*Settings!$C$7)+(P98*Settings!$C$14)+(Q98*Settings!$C$15)+(R98*Settings!$C$16)+(S98*Settings!$C$17)+(T98*Settings!$C$18)+(U98*Settings!$C$19)+(L98*Settings!$C$10)+(Settings!$C$11*M98)</f>
        <v>5.6387525030219958</v>
      </c>
      <c r="D98" s="40">
        <f>IF(Settings!$E$12="YES",VLOOKUP(A98,'Player Data'!A1:E734,5,FALSE),82)</f>
        <v>82</v>
      </c>
      <c r="E98" s="38">
        <f>(VLOOKUP($A98,'The List'!$B1:$AH730,17,FALSE)-AVERAGE('The List'!R2:R730))/STDEV('The List'!R2:R730)</f>
        <v>0.85886464133838147</v>
      </c>
      <c r="F98" s="38">
        <f>(VLOOKUP($A98,'The List'!$B1:$AH730,18,FALSE)-AVERAGE('The List'!S2:S730))/STDEV('The List'!S2:S730)</f>
        <v>1.2554927223041588</v>
      </c>
      <c r="G98" s="38">
        <f>(VLOOKUP($A98,'The List'!$B1:$AH730,19,FALSE)-AVERAGE('The List'!T2:T730))/STDEV('The List'!T2:T730)</f>
        <v>0.84191944106462424</v>
      </c>
      <c r="H98" s="38">
        <f>(VLOOKUP($A98,'The List'!$B1:$AH730,20,FALSE)-AVERAGE('The List'!U2:U730))/STDEV('The List'!U2:U730)</f>
        <v>1.1010374431091881</v>
      </c>
      <c r="I98" s="38">
        <f>(VLOOKUP($A98,'The List'!$B1:$AH730,21,FALSE)-AVERAGE('The List'!V2:V730))/STDEV('The List'!V2:V730)</f>
        <v>1.0707587107533498</v>
      </c>
      <c r="J98" s="38">
        <f>(VLOOKUP($A98,'The List'!$B1:$AH730,22,FALSE)-AVERAGE('The List'!W2:W730))/STDEV('The List'!W2:W730)</f>
        <v>1.6234523164254924</v>
      </c>
      <c r="K98" s="38">
        <f>(VLOOKUP($A98,'The List'!$B1:$AH730,23,FALSE)-AVERAGE('The List'!X2:X730))/STDEV('The List'!X2:X730)</f>
        <v>1.3695441857906752</v>
      </c>
      <c r="L98" s="38">
        <f>(VLOOKUP($A98,'The List'!$B1:$AH730,24,FALSE)-AVERAGE('The List'!Y2:Y730))/STDEV('The List'!Y2:Y730)</f>
        <v>1.9556737731935905</v>
      </c>
      <c r="M98" s="38">
        <f>(VLOOKUP($A98,'The List'!$B1:$AH730,25,FALSE)-AVERAGE('The List'!Z2:Z730))/STDEV('The List'!Z2:Z730)</f>
        <v>1.0795393469266061</v>
      </c>
      <c r="N98" s="38">
        <f>(VLOOKUP($A98,'The List'!$B1:$AH730,26,FALSE)-AVERAGE('The List'!AA2:AA730))/STDEV('The List'!AA2:AA730)</f>
        <v>-0.30743309065195185</v>
      </c>
      <c r="O98" s="38">
        <f>(VLOOKUP($A98,'The List'!$B1:$AH730,27,FALSE)-AVERAGE('The List'!AB2:AB730))/STDEV('The List'!AB2:AB730)</f>
        <v>0.30372591305419494</v>
      </c>
      <c r="P98" s="38">
        <f>(VLOOKUP($A98,'The List'!$B1:$AH730,28,FALSE)-AVERAGE('The List'!AC2:AC730))/STDEV('The List'!AC2:AC730)</f>
        <v>1.0815762935614848</v>
      </c>
      <c r="Q98" s="38">
        <f>(VLOOKUP($A98,'The List'!$B1:$AH730,29,FALSE)-AVERAGE('The List'!AD2:AD730))/STDEV('The List'!AD2:AD730)</f>
        <v>-0.12342973518108469</v>
      </c>
      <c r="R98" s="38">
        <f>(VLOOKUP($A98,'The List'!$B1:$AH730,30,FALSE)-AVERAGE('The List'!AE2:AE730))/STDEV('The List'!AE2:AE730)</f>
        <v>1.4534882948667189</v>
      </c>
      <c r="S98" s="38">
        <f>(VLOOKUP($A98,'The List'!$B1:$AH730,31,FALSE)-AVERAGE('The List'!AF2:AF730))/STDEV('The List'!AF2:AF730)</f>
        <v>-0.53463139163541884</v>
      </c>
      <c r="T98" s="38">
        <f>(VLOOKUP($A98,'The List'!$B1:$AH730,32,FALSE)-AVERAGE('The List'!AG2:AG730))/STDEV('The List'!AG2:AG730)</f>
        <v>-0.50046914703669754</v>
      </c>
      <c r="U98" s="38">
        <f>(VLOOKUP($A98,'The List'!$B1:$AH730,33,FALSE)-AVERAGE('The List'!AH2:AH730))/STDEV('The List'!AH2:AH730)</f>
        <v>-0.15169993759057801</v>
      </c>
      <c r="V98" s="38"/>
      <c r="W98" s="42"/>
      <c r="X98" s="40"/>
      <c r="Y98" s="40"/>
      <c r="Z98" s="40"/>
      <c r="AA98" s="40"/>
      <c r="AB98" s="40"/>
      <c r="AC98" s="43"/>
      <c r="AD98" s="44"/>
      <c r="AE98" s="38"/>
    </row>
    <row r="99" spans="1:31" ht="21.2" customHeight="1">
      <c r="A99" s="8" t="s">
        <v>122</v>
      </c>
      <c r="B99" s="34" t="str">
        <f>VLOOKUP(A99,'Player Data'!A1:B734,2,FALSE)</f>
        <v>NJD</v>
      </c>
      <c r="C99" s="36">
        <f>((E99)*Settings!$C$12)+(F99*Settings!$C$2)+(G99*Settings!$C$3)+(H99*Settings!$C$4)+(I99*Settings!$C$5)+(K99*Settings!$C$9)+(N99*Settings!$C$6)+(J99*Settings!$C$8)+(O99*Settings!$C$7)+(P99*Settings!$C$14)+(Q99*Settings!$C$15)+(R99*Settings!$C$16)+(S99*Settings!$C$17)+(T99*Settings!$C$18)+(U99*Settings!$C$19)+(L99*Settings!$C$10)+(Settings!$C$11*M99)</f>
        <v>7.4620068130550559</v>
      </c>
      <c r="D99" s="40">
        <f>IF(Settings!$E$12="YES",VLOOKUP(A99,'Player Data'!A1:E734,5,FALSE),82)</f>
        <v>82</v>
      </c>
      <c r="E99" s="38">
        <f>(VLOOKUP($A99,'The List'!$B1:$AH730,17,FALSE)-AVERAGE('The List'!R2:R730))/STDEV('The List'!R2:R730)</f>
        <v>1.6082412187485127</v>
      </c>
      <c r="F99" s="38">
        <f>(VLOOKUP($A99,'The List'!$B1:$AH730,18,FALSE)-AVERAGE('The List'!S2:S730))/STDEV('The List'!S2:S730)</f>
        <v>0.36229223250652764</v>
      </c>
      <c r="G99" s="38">
        <f>(VLOOKUP($A99,'The List'!$B1:$AH730,19,FALSE)-AVERAGE('The List'!T2:T730))/STDEV('The List'!T2:T730)</f>
        <v>1.7261015021261403</v>
      </c>
      <c r="H99" s="38">
        <f>(VLOOKUP($A99,'The List'!$B1:$AH730,20,FALSE)-AVERAGE('The List'!U2:U730))/STDEV('The List'!U2:U730)</f>
        <v>1.2291771965788632</v>
      </c>
      <c r="I99" s="38">
        <f>(VLOOKUP($A99,'The List'!$B1:$AH730,21,FALSE)-AVERAGE('The List'!V2:V730))/STDEV('The List'!V2:V730)</f>
        <v>2.2222128727779817</v>
      </c>
      <c r="J99" s="38">
        <f>(VLOOKUP($A99,'The List'!$B1:$AH730,22,FALSE)-AVERAGE('The List'!W2:W730))/STDEV('The List'!W2:W730)</f>
        <v>1.0019773250674182</v>
      </c>
      <c r="K99" s="38">
        <f>(VLOOKUP($A99,'The List'!$B1:$AH730,23,FALSE)-AVERAGE('The List'!X2:X730))/STDEV('The List'!X2:X730)</f>
        <v>1.922223009065543</v>
      </c>
      <c r="L99" s="38">
        <f>(VLOOKUP($A99,'The List'!$B1:$AH730,24,FALSE)-AVERAGE('The List'!Y2:Y730))/STDEV('The List'!Y2:Y730)</f>
        <v>-0.30666130391334462</v>
      </c>
      <c r="M99" s="38">
        <f>(VLOOKUP($A99,'The List'!$B1:$AH730,25,FALSE)-AVERAGE('The List'!Z2:Z730))/STDEV('The List'!Z2:Z730)</f>
        <v>-0.52190845203703251</v>
      </c>
      <c r="N99" s="38">
        <f>(VLOOKUP($A99,'The List'!$B1:$AH730,26,FALSE)-AVERAGE('The List'!AA2:AA730))/STDEV('The List'!AA2:AA730)</f>
        <v>0.86572205663347535</v>
      </c>
      <c r="O99" s="38">
        <f>(VLOOKUP($A99,'The List'!$B1:$AH730,27,FALSE)-AVERAGE('The List'!AB2:AB730))/STDEV('The List'!AB2:AB730)</f>
        <v>-0.43831441645418828</v>
      </c>
      <c r="P99" s="38">
        <f>(VLOOKUP($A99,'The List'!$B1:$AH730,28,FALSE)-AVERAGE('The List'!AC2:AC730))/STDEV('The List'!AC2:AC730)</f>
        <v>0.24933431044036578</v>
      </c>
      <c r="Q99" s="38">
        <f>(VLOOKUP($A99,'The List'!$B1:$AH730,29,FALSE)-AVERAGE('The List'!AD2:AD730))/STDEV('The List'!AD2:AD730)</f>
        <v>1.0290828306011257</v>
      </c>
      <c r="R99" s="38">
        <f>(VLOOKUP($A99,'The List'!$B1:$AH730,30,FALSE)-AVERAGE('The List'!AE2:AE730))/STDEV('The List'!AE2:AE730)</f>
        <v>0.40643906505493604</v>
      </c>
      <c r="S99" s="38">
        <f>(VLOOKUP($A99,'The List'!$B1:$AH730,31,FALSE)-AVERAGE('The List'!AF2:AF730))/STDEV('The List'!AF2:AF730)</f>
        <v>-0.56911587195029545</v>
      </c>
      <c r="T99" s="38">
        <f>(VLOOKUP($A99,'The List'!$B1:$AH730,32,FALSE)-AVERAGE('The List'!AG2:AG730))/STDEV('The List'!AG2:AG730)</f>
        <v>-0.61510119871956948</v>
      </c>
      <c r="U99" s="38">
        <f>(VLOOKUP($A99,'The List'!$B1:$AH730,33,FALSE)-AVERAGE('The List'!AH2:AH730))/STDEV('The List'!AH2:AH730)</f>
        <v>-1.2363238714825984</v>
      </c>
      <c r="V99" s="38"/>
      <c r="W99" s="40"/>
      <c r="X99" s="38"/>
      <c r="Y99" s="38"/>
      <c r="Z99" s="38"/>
      <c r="AA99" s="38"/>
      <c r="AB99" s="38"/>
      <c r="AC99" s="38"/>
      <c r="AD99" s="38"/>
      <c r="AE99" s="38"/>
    </row>
    <row r="100" spans="1:31" ht="21.2" customHeight="1">
      <c r="A100" s="8" t="s">
        <v>201</v>
      </c>
      <c r="B100" s="34" t="str">
        <f>VLOOKUP(A100,'Player Data'!A1:B734,2,FALSE)</f>
        <v>MIN</v>
      </c>
      <c r="C100" s="36">
        <f>((E100)*Settings!$C$12)+(F100*Settings!$C$2)+(G100*Settings!$C$3)+(H100*Settings!$C$4)+(I100*Settings!$C$5)+(K100*Settings!$C$9)+(N100*Settings!$C$6)+(J100*Settings!$C$8)+(O100*Settings!$C$7)+(P100*Settings!$C$14)+(Q100*Settings!$C$15)+(R100*Settings!$C$16)+(S100*Settings!$C$17)+(T100*Settings!$C$18)+(U100*Settings!$C$19)+(L100*Settings!$C$10)+(Settings!$C$11*M100)</f>
        <v>6.9679984875936958</v>
      </c>
      <c r="D100" s="40">
        <f>IF(Settings!$E$12="YES",VLOOKUP(A100,'Player Data'!A1:E734,5,FALSE),82)</f>
        <v>82</v>
      </c>
      <c r="E100" s="38">
        <f>(VLOOKUP($A100,'The List'!$B1:$AH730,17,FALSE)-AVERAGE('The List'!R2:R730))/STDEV('The List'!R2:R730)</f>
        <v>0.78702817698091077</v>
      </c>
      <c r="F100" s="38">
        <f>(VLOOKUP($A100,'The List'!$B1:$AH730,18,FALSE)-AVERAGE('The List'!S2:S730))/STDEV('The List'!S2:S730)</f>
        <v>1.4554581096703472</v>
      </c>
      <c r="G100" s="38">
        <f>(VLOOKUP($A100,'The List'!$B1:$AH730,19,FALSE)-AVERAGE('The List'!T2:T730))/STDEV('The List'!T2:T730)</f>
        <v>0.86183548410436317</v>
      </c>
      <c r="H100" s="38">
        <f>(VLOOKUP($A100,'The List'!$B1:$AH730,20,FALSE)-AVERAGE('The List'!U2:U730))/STDEV('The List'!U2:U730)</f>
        <v>1.2062351698901641</v>
      </c>
      <c r="I100" s="38">
        <f>(VLOOKUP($A100,'The List'!$B1:$AH730,21,FALSE)-AVERAGE('The List'!V2:V730))/STDEV('The List'!V2:V730)</f>
        <v>1.9308207161126694</v>
      </c>
      <c r="J100" s="38">
        <f>(VLOOKUP($A100,'The List'!$B1:$AH730,22,FALSE)-AVERAGE('The List'!W2:W730))/STDEV('The List'!W2:W730)</f>
        <v>2.6163113102666546</v>
      </c>
      <c r="K100" s="38">
        <f>(VLOOKUP($A100,'The List'!$B1:$AH730,23,FALSE)-AVERAGE('The List'!X2:X730))/STDEV('The List'!X2:X730)</f>
        <v>1.5136490078161515</v>
      </c>
      <c r="L100" s="38">
        <f>(VLOOKUP($A100,'The List'!$B1:$AH730,24,FALSE)-AVERAGE('The List'!Y2:Y730))/STDEV('The List'!Y2:Y730)</f>
        <v>1.4068411849518145</v>
      </c>
      <c r="M100" s="38">
        <f>(VLOOKUP($A100,'The List'!$B1:$AH730,25,FALSE)-AVERAGE('The List'!Z2:Z730))/STDEV('The List'!Z2:Z730)</f>
        <v>1.2309834570816538</v>
      </c>
      <c r="N100" s="38">
        <f>(VLOOKUP($A100,'The List'!$B1:$AH730,26,FALSE)-AVERAGE('The List'!AA2:AA730))/STDEV('The List'!AA2:AA730)</f>
        <v>-0.25002056998122874</v>
      </c>
      <c r="O100" s="38">
        <f>(VLOOKUP($A100,'The List'!$B1:$AH730,27,FALSE)-AVERAGE('The List'!AB2:AB730))/STDEV('The List'!AB2:AB730)</f>
        <v>0.57094456962574391</v>
      </c>
      <c r="P100" s="38">
        <f>(VLOOKUP($A100,'The List'!$B1:$AH730,28,FALSE)-AVERAGE('The List'!AC2:AC730))/STDEV('The List'!AC2:AC730)</f>
        <v>0.87193349980112678</v>
      </c>
      <c r="Q100" s="38">
        <f>(VLOOKUP($A100,'The List'!$B1:$AH730,29,FALSE)-AVERAGE('The List'!AD2:AD730))/STDEV('The List'!AD2:AD730)</f>
        <v>0.33067142537739608</v>
      </c>
      <c r="R100" s="38">
        <f>(VLOOKUP($A100,'The List'!$B1:$AH730,30,FALSE)-AVERAGE('The List'!AE2:AE730))/STDEV('The List'!AE2:AE730)</f>
        <v>1.7029654946028723</v>
      </c>
      <c r="S100" s="38">
        <f>(VLOOKUP($A100,'The List'!$B1:$AH730,31,FALSE)-AVERAGE('The List'!AF2:AF730))/STDEV('The List'!AF2:AF730)</f>
        <v>2.8318297551322096</v>
      </c>
      <c r="T100" s="38">
        <f>(VLOOKUP($A100,'The List'!$B1:$AH730,32,FALSE)-AVERAGE('The List'!AG2:AG730))/STDEV('The List'!AG2:AG730)</f>
        <v>3.2089117487797396</v>
      </c>
      <c r="U100" s="38">
        <f>(VLOOKUP($A100,'The List'!$B1:$AH730,33,FALSE)-AVERAGE('The List'!AH2:AH730))/STDEV('The List'!AH2:AH730)</f>
        <v>0.94526130616883708</v>
      </c>
      <c r="V100" s="38"/>
      <c r="W100" s="42"/>
      <c r="X100" s="40"/>
      <c r="Y100" s="40"/>
      <c r="Z100" s="40"/>
      <c r="AA100" s="40"/>
      <c r="AB100" s="40"/>
      <c r="AC100" s="43"/>
      <c r="AD100" s="44"/>
      <c r="AE100" s="38"/>
    </row>
    <row r="101" spans="1:31" ht="21.2" customHeight="1">
      <c r="A101" s="8" t="s">
        <v>137</v>
      </c>
      <c r="B101" s="34" t="str">
        <f>VLOOKUP(A101,'Player Data'!A1:B734,2,FALSE)</f>
        <v>TBL</v>
      </c>
      <c r="C101" s="36">
        <f>((E101)*Settings!$C$12)+(F101*Settings!$C$2)+(G101*Settings!$C$3)+(H101*Settings!$C$4)+(I101*Settings!$C$5)+(K101*Settings!$C$9)+(N101*Settings!$C$6)+(J101*Settings!$C$8)+(O101*Settings!$C$7)+(P101*Settings!$C$14)+(Q101*Settings!$C$15)+(R101*Settings!$C$16)+(S101*Settings!$C$17)+(T101*Settings!$C$18)+(U101*Settings!$C$19)+(L101*Settings!$C$10)+(Settings!$C$11*M101)</f>
        <v>5.2490957276978873</v>
      </c>
      <c r="D101" s="40">
        <f>IF(Settings!$E$12="YES",VLOOKUP(A101,'Player Data'!A1:E734,5,FALSE),82)</f>
        <v>82</v>
      </c>
      <c r="E101" s="38">
        <f>(VLOOKUP($A101,'The List'!$B1:$AH730,17,FALSE)-AVERAGE('The List'!R2:R730))/STDEV('The List'!R2:R730)</f>
        <v>2.0041110028319031</v>
      </c>
      <c r="F101" s="38">
        <f>(VLOOKUP($A101,'The List'!$B1:$AH730,18,FALSE)-AVERAGE('The List'!S2:S730))/STDEV('The List'!S2:S730)</f>
        <v>-0.11933809665034721</v>
      </c>
      <c r="G101" s="38">
        <f>(VLOOKUP($A101,'The List'!$B1:$AH730,19,FALSE)-AVERAGE('The List'!T2:T730))/STDEV('The List'!T2:T730)</f>
        <v>1.8014220589455276</v>
      </c>
      <c r="H101" s="38">
        <f>(VLOOKUP($A101,'The List'!$B1:$AH730,20,FALSE)-AVERAGE('The List'!U2:U730))/STDEV('The List'!U2:U730)</f>
        <v>1.0515676445716506</v>
      </c>
      <c r="I101" s="38">
        <f>(VLOOKUP($A101,'The List'!$B1:$AH730,21,FALSE)-AVERAGE('The List'!V2:V730))/STDEV('The List'!V2:V730)</f>
        <v>0.9610982587654574</v>
      </c>
      <c r="J101" s="38">
        <f>(VLOOKUP($A101,'The List'!$B1:$AH730,22,FALSE)-AVERAGE('The List'!W2:W730))/STDEV('The List'!W2:W730)</f>
        <v>-4.8604741970178451E-2</v>
      </c>
      <c r="K101" s="38">
        <f>(VLOOKUP($A101,'The List'!$B1:$AH730,23,FALSE)-AVERAGE('The List'!X2:X730))/STDEV('The List'!X2:X730)</f>
        <v>1.5543458620655988</v>
      </c>
      <c r="L101" s="38">
        <f>(VLOOKUP($A101,'The List'!$B1:$AH730,24,FALSE)-AVERAGE('The List'!Y2:Y730))/STDEV('The List'!Y2:Y730)</f>
        <v>0.1546666449114828</v>
      </c>
      <c r="M101" s="38">
        <f>(VLOOKUP($A101,'The List'!$B1:$AH730,25,FALSE)-AVERAGE('The List'!Z2:Z730))/STDEV('The List'!Z2:Z730)</f>
        <v>0.10102993308201641</v>
      </c>
      <c r="N101" s="38">
        <f>(VLOOKUP($A101,'The List'!$B1:$AH730,26,FALSE)-AVERAGE('The List'!AA2:AA730))/STDEV('The List'!AA2:AA730)</f>
        <v>1.7474277257806738</v>
      </c>
      <c r="O101" s="38">
        <f>(VLOOKUP($A101,'The List'!$B1:$AH730,27,FALSE)-AVERAGE('The List'!AB2:AB730))/STDEV('The List'!AB2:AB730)</f>
        <v>-6.765592289833218E-2</v>
      </c>
      <c r="P101" s="38">
        <f>(VLOOKUP($A101,'The List'!$B1:$AH730,28,FALSE)-AVERAGE('The List'!AC2:AC730))/STDEV('The List'!AC2:AC730)</f>
        <v>-8.282705151740051E-2</v>
      </c>
      <c r="Q101" s="38">
        <f>(VLOOKUP($A101,'The List'!$B1:$AH730,29,FALSE)-AVERAGE('The List'!AD2:AD730))/STDEV('The List'!AD2:AD730)</f>
        <v>0.19789922471222118</v>
      </c>
      <c r="R101" s="38">
        <f>(VLOOKUP($A101,'The List'!$B1:$AH730,30,FALSE)-AVERAGE('The List'!AE2:AE730))/STDEV('The List'!AE2:AE730)</f>
        <v>2.3002712339699079E-2</v>
      </c>
      <c r="S101" s="38">
        <f>(VLOOKUP($A101,'The List'!$B1:$AH730,31,FALSE)-AVERAGE('The List'!AF2:AF730))/STDEV('The List'!AF2:AF730)</f>
        <v>-0.56911587195029545</v>
      </c>
      <c r="T101" s="38">
        <f>(VLOOKUP($A101,'The List'!$B1:$AH730,32,FALSE)-AVERAGE('The List'!AG2:AG730))/STDEV('The List'!AG2:AG730)</f>
        <v>-0.61510119871956948</v>
      </c>
      <c r="U101" s="38">
        <f>(VLOOKUP($A101,'The List'!$B1:$AH730,33,FALSE)-AVERAGE('The List'!AH2:AH730))/STDEV('The List'!AH2:AH730)</f>
        <v>-1.2363238714825984</v>
      </c>
      <c r="V101" s="38"/>
      <c r="W101" s="40"/>
      <c r="X101" s="38"/>
      <c r="Y101" s="38"/>
      <c r="Z101" s="38"/>
      <c r="AA101" s="38"/>
      <c r="AB101" s="38"/>
      <c r="AC101" s="38"/>
      <c r="AD101" s="38"/>
      <c r="AE101" s="38"/>
    </row>
    <row r="102" spans="1:31" ht="21.2" customHeight="1">
      <c r="A102" s="8" t="s">
        <v>206</v>
      </c>
      <c r="B102" s="34" t="str">
        <f>VLOOKUP(A102,'Player Data'!A1:B734,2,FALSE)</f>
        <v>LAK</v>
      </c>
      <c r="C102" s="36">
        <f>((E102)*Settings!$C$12)+(F102*Settings!$C$2)+(G102*Settings!$C$3)+(H102*Settings!$C$4)+(I102*Settings!$C$5)+(K102*Settings!$C$9)+(N102*Settings!$C$6)+(J102*Settings!$C$8)+(O102*Settings!$C$7)+(P102*Settings!$C$14)+(Q102*Settings!$C$15)+(R102*Settings!$C$16)+(S102*Settings!$C$17)+(T102*Settings!$C$18)+(U102*Settings!$C$19)+(L102*Settings!$C$10)+(Settings!$C$11*M102)</f>
        <v>5.8516478790792794</v>
      </c>
      <c r="D102" s="40">
        <f>IF(Settings!$E$12="YES",VLOOKUP(A102,'Player Data'!A1:E734,5,FALSE),82)</f>
        <v>82</v>
      </c>
      <c r="E102" s="38">
        <f>(VLOOKUP($A102,'The List'!$B1:$AH730,17,FALSE)-AVERAGE('The List'!R2:R730))/STDEV('The List'!R2:R730)</f>
        <v>0.61554362961636955</v>
      </c>
      <c r="F102" s="38">
        <f>(VLOOKUP($A102,'The List'!$B1:$AH730,18,FALSE)-AVERAGE('The List'!S2:S730))/STDEV('The List'!S2:S730)</f>
        <v>2.0847522130128437</v>
      </c>
      <c r="G102" s="38">
        <f>(VLOOKUP($A102,'The List'!$B1:$AH730,19,FALSE)-AVERAGE('The List'!T2:T730))/STDEV('The List'!T2:T730)</f>
        <v>0.11899714433146449</v>
      </c>
      <c r="H102" s="38">
        <f>(VLOOKUP($A102,'The List'!$B1:$AH730,20,FALSE)-AVERAGE('The List'!U2:U730))/STDEV('The List'!U2:U730)</f>
        <v>1.0422737061999008</v>
      </c>
      <c r="I102" s="38">
        <f>(VLOOKUP($A102,'The List'!$B1:$AH730,21,FALSE)-AVERAGE('The List'!V2:V730))/STDEV('The List'!V2:V730)</f>
        <v>1.4881363694551677</v>
      </c>
      <c r="J102" s="38">
        <f>(VLOOKUP($A102,'The List'!$B1:$AH730,22,FALSE)-AVERAGE('The List'!W2:W730))/STDEV('The List'!W2:W730)</f>
        <v>1.5893739699221692</v>
      </c>
      <c r="K102" s="38">
        <f>(VLOOKUP($A102,'The List'!$B1:$AH730,23,FALSE)-AVERAGE('The List'!X2:X730))/STDEV('The List'!X2:X730)</f>
        <v>1.1174884460799028</v>
      </c>
      <c r="L102" s="38">
        <f>(VLOOKUP($A102,'The List'!$B1:$AH730,24,FALSE)-AVERAGE('The List'!Y2:Y730))/STDEV('The List'!Y2:Y730)</f>
        <v>4.344953629486815</v>
      </c>
      <c r="M102" s="38">
        <f>(VLOOKUP($A102,'The List'!$B1:$AH730,25,FALSE)-AVERAGE('The List'!Z2:Z730))/STDEV('The List'!Z2:Z730)</f>
        <v>2.4369750843404128</v>
      </c>
      <c r="N102" s="38">
        <f>(VLOOKUP($A102,'The List'!$B1:$AH730,26,FALSE)-AVERAGE('The List'!AA2:AA730))/STDEV('The List'!AA2:AA730)</f>
        <v>-0.80820620894114825</v>
      </c>
      <c r="O102" s="38">
        <f>(VLOOKUP($A102,'The List'!$B1:$AH730,27,FALSE)-AVERAGE('The List'!AB2:AB730))/STDEV('The List'!AB2:AB730)</f>
        <v>0.13562558444395872</v>
      </c>
      <c r="P102" s="38">
        <f>(VLOOKUP($A102,'The List'!$B1:$AH730,28,FALSE)-AVERAGE('The List'!AC2:AC730))/STDEV('The List'!AC2:AC730)</f>
        <v>-6.0379203279327574E-2</v>
      </c>
      <c r="Q102" s="38">
        <f>(VLOOKUP($A102,'The List'!$B1:$AH730,29,FALSE)-AVERAGE('The List'!AD2:AD730))/STDEV('The List'!AD2:AD730)</f>
        <v>0.71623042612741483</v>
      </c>
      <c r="R102" s="38">
        <f>(VLOOKUP($A102,'The List'!$B1:$AH730,30,FALSE)-AVERAGE('The List'!AE2:AE730))/STDEV('The List'!AE2:AE730)</f>
        <v>2.079450840789467</v>
      </c>
      <c r="S102" s="38">
        <f>(VLOOKUP($A102,'The List'!$B1:$AH730,31,FALSE)-AVERAGE('The List'!AF2:AF730))/STDEV('The List'!AF2:AF730)</f>
        <v>-0.46318965709957621</v>
      </c>
      <c r="T102" s="38">
        <f>(VLOOKUP($A102,'The List'!$B1:$AH730,32,FALSE)-AVERAGE('The List'!AG2:AG730))/STDEV('The List'!AG2:AG730)</f>
        <v>-0.44515915140593409</v>
      </c>
      <c r="U102" s="38">
        <f>(VLOOKUP($A102,'The List'!$B1:$AH730,33,FALSE)-AVERAGE('The List'!AH2:AH730))/STDEV('The List'!AH2:AH730)</f>
        <v>0.55089022853755376</v>
      </c>
      <c r="V102" s="38"/>
      <c r="W102" s="42"/>
      <c r="X102" s="40"/>
      <c r="Y102" s="40"/>
      <c r="Z102" s="40"/>
      <c r="AA102" s="40"/>
      <c r="AB102" s="40"/>
      <c r="AC102" s="43"/>
      <c r="AD102" s="44"/>
      <c r="AE102" s="38"/>
    </row>
    <row r="103" spans="1:31" ht="21.2" customHeight="1">
      <c r="A103" s="8" t="s">
        <v>230</v>
      </c>
      <c r="B103" s="34" t="str">
        <f>VLOOKUP(A103,'Player Data'!A1:B734,2,FALSE)</f>
        <v>CGY</v>
      </c>
      <c r="C103" s="36">
        <f>((E103)*Settings!$C$12)+(F103*Settings!$C$2)+(G103*Settings!$C$3)+(H103*Settings!$C$4)+(I103*Settings!$C$5)+(K103*Settings!$C$9)+(N103*Settings!$C$6)+(J103*Settings!$C$8)+(O103*Settings!$C$7)+(P103*Settings!$C$14)+(Q103*Settings!$C$15)+(R103*Settings!$C$16)+(S103*Settings!$C$17)+(T103*Settings!$C$18)+(U103*Settings!$C$19)+(L103*Settings!$C$10)+(Settings!$C$11*M103)</f>
        <v>5.983039518460199</v>
      </c>
      <c r="D103" s="40">
        <f>IF(Settings!$E$12="YES",VLOOKUP(A103,'Player Data'!A1:E734,5,FALSE),82)</f>
        <v>82</v>
      </c>
      <c r="E103" s="38">
        <f>(VLOOKUP($A103,'The List'!$B1:$AH730,17,FALSE)-AVERAGE('The List'!R2:R730))/STDEV('The List'!R2:R730)</f>
        <v>0.12661661934823873</v>
      </c>
      <c r="F103" s="38">
        <f>(VLOOKUP($A103,'The List'!$B1:$AH730,18,FALSE)-AVERAGE('The List'!S2:S730))/STDEV('The List'!S2:S730)</f>
        <v>0.8082346595060248</v>
      </c>
      <c r="G103" s="38">
        <f>(VLOOKUP($A103,'The List'!$B1:$AH730,19,FALSE)-AVERAGE('The List'!T2:T730))/STDEV('The List'!T2:T730)</f>
        <v>1.0825275014489737</v>
      </c>
      <c r="H103" s="38">
        <f>(VLOOKUP($A103,'The List'!$B1:$AH730,20,FALSE)-AVERAGE('The List'!U2:U730))/STDEV('The List'!U2:U730)</f>
        <v>1.0409823069833073</v>
      </c>
      <c r="I103" s="38">
        <f>(VLOOKUP($A103,'The List'!$B1:$AH730,21,FALSE)-AVERAGE('The List'!V2:V730))/STDEV('The List'!V2:V730)</f>
        <v>1.8322470617544182</v>
      </c>
      <c r="J103" s="38">
        <f>(VLOOKUP($A103,'The List'!$B1:$AH730,22,FALSE)-AVERAGE('The List'!W2:W730))/STDEV('The List'!W2:W730)</f>
        <v>1.4147794612776838</v>
      </c>
      <c r="K103" s="38">
        <f>(VLOOKUP($A103,'The List'!$B1:$AH730,23,FALSE)-AVERAGE('The List'!X2:X730))/STDEV('The List'!X2:X730)</f>
        <v>1.2190479887674748</v>
      </c>
      <c r="L103" s="38">
        <f>(VLOOKUP($A103,'The List'!$B1:$AH730,24,FALSE)-AVERAGE('The List'!Y2:Y730))/STDEV('The List'!Y2:Y730)</f>
        <v>-0.48988652236784069</v>
      </c>
      <c r="M103" s="38">
        <f>(VLOOKUP($A103,'The List'!$B1:$AH730,25,FALSE)-AVERAGE('The List'!Z2:Z730))/STDEV('The List'!Z2:Z730)</f>
        <v>-0.67057913580558692</v>
      </c>
      <c r="N103" s="38">
        <f>(VLOOKUP($A103,'The List'!$B1:$AH730,26,FALSE)-AVERAGE('The List'!AA2:AA730))/STDEV('The List'!AA2:AA730)</f>
        <v>-0.88026797150330971</v>
      </c>
      <c r="O103" s="38">
        <f>(VLOOKUP($A103,'The List'!$B1:$AH730,27,FALSE)-AVERAGE('The List'!AB2:AB730))/STDEV('The List'!AB2:AB730)</f>
        <v>-0.35506933650478817</v>
      </c>
      <c r="P103" s="38">
        <f>(VLOOKUP($A103,'The List'!$B1:$AH730,28,FALSE)-AVERAGE('The List'!AC2:AC730))/STDEV('The List'!AC2:AC730)</f>
        <v>0.53770085970655734</v>
      </c>
      <c r="Q103" s="38">
        <f>(VLOOKUP($A103,'The List'!$B1:$AH730,29,FALSE)-AVERAGE('The List'!AD2:AD730))/STDEV('The List'!AD2:AD730)</f>
        <v>0.72437303082433468</v>
      </c>
      <c r="R103" s="38">
        <f>(VLOOKUP($A103,'The List'!$B1:$AH730,30,FALSE)-AVERAGE('The List'!AE2:AE730))/STDEV('The List'!AE2:AE730)</f>
        <v>1.1186749239470126</v>
      </c>
      <c r="S103" s="38">
        <f>(VLOOKUP($A103,'The List'!$B1:$AH730,31,FALSE)-AVERAGE('The List'!AF2:AF730))/STDEV('The List'!AF2:AF730)</f>
        <v>2.2122571956075507</v>
      </c>
      <c r="T103" s="38">
        <f>(VLOOKUP($A103,'The List'!$B1:$AH730,32,FALSE)-AVERAGE('The List'!AG2:AG730))/STDEV('The List'!AG2:AG730)</f>
        <v>2.3987526282485319</v>
      </c>
      <c r="U103" s="38">
        <f>(VLOOKUP($A103,'The List'!$B1:$AH730,33,FALSE)-AVERAGE('The List'!AH2:AH730))/STDEV('The List'!AH2:AH730)</f>
        <v>0.98697924928436276</v>
      </c>
      <c r="V103" s="38"/>
      <c r="W103" s="40"/>
      <c r="X103" s="38"/>
      <c r="Y103" s="38"/>
      <c r="Z103" s="38"/>
      <c r="AA103" s="38"/>
      <c r="AB103" s="38"/>
      <c r="AC103" s="38"/>
      <c r="AD103" s="38"/>
      <c r="AE103" s="38"/>
    </row>
    <row r="104" spans="1:31" ht="21.2" customHeight="1">
      <c r="A104" s="8" t="s">
        <v>293</v>
      </c>
      <c r="B104" s="34" t="str">
        <f>VLOOKUP(A104,'Player Data'!A1:B734,2,FALSE)</f>
        <v>STL</v>
      </c>
      <c r="C104" s="36">
        <f>((E104)*Settings!$C$12)+(F104*Settings!$C$2)+(G104*Settings!$C$3)+(H104*Settings!$C$4)+(I104*Settings!$C$5)+(K104*Settings!$C$9)+(N104*Settings!$C$6)+(J104*Settings!$C$8)+(O104*Settings!$C$7)+(P104*Settings!$C$14)+(Q104*Settings!$C$15)+(R104*Settings!$C$16)+(S104*Settings!$C$17)+(T104*Settings!$C$18)+(U104*Settings!$C$19)+(L104*Settings!$C$10)+(Settings!$C$11*M104)</f>
        <v>3.602259782883471</v>
      </c>
      <c r="D104" s="40">
        <f>IF(Settings!$E$12="YES",VLOOKUP(A104,'Player Data'!A1:E734,5,FALSE),82)</f>
        <v>82</v>
      </c>
      <c r="E104" s="38">
        <f>(VLOOKUP($A104,'The List'!$B1:$AH730,17,FALSE)-AVERAGE('The List'!R2:R730))/STDEV('The List'!R2:R730)</f>
        <v>0.39416403172513259</v>
      </c>
      <c r="F104" s="38">
        <f>(VLOOKUP($A104,'The List'!$B1:$AH730,18,FALSE)-AVERAGE('The List'!S2:S730))/STDEV('The List'!S2:S730)</f>
        <v>0.79928078147882398</v>
      </c>
      <c r="G104" s="38">
        <f>(VLOOKUP($A104,'The List'!$B1:$AH730,19,FALSE)-AVERAGE('The List'!T2:T730))/STDEV('The List'!T2:T730)</f>
        <v>1.0716137490793125</v>
      </c>
      <c r="H104" s="38">
        <f>(VLOOKUP($A104,'The List'!$B1:$AH730,20,FALSE)-AVERAGE('The List'!U2:U730))/STDEV('The List'!U2:U730)</f>
        <v>1.0301129595562404</v>
      </c>
      <c r="I104" s="38">
        <f>(VLOOKUP($A104,'The List'!$B1:$AH730,21,FALSE)-AVERAGE('The List'!V2:V730))/STDEV('The List'!V2:V730)</f>
        <v>-5.7363705528491963E-3</v>
      </c>
      <c r="J104" s="38">
        <f>(VLOOKUP($A104,'The List'!$B1:$AH730,22,FALSE)-AVERAGE('The List'!W2:W730))/STDEV('The List'!W2:W730)</f>
        <v>0.9758435191414514</v>
      </c>
      <c r="K104" s="38">
        <f>(VLOOKUP($A104,'The List'!$B1:$AH730,23,FALSE)-AVERAGE('The List'!X2:X730))/STDEV('The List'!X2:X730)</f>
        <v>0.70698866332194354</v>
      </c>
      <c r="L104" s="38">
        <f>(VLOOKUP($A104,'The List'!$B1:$AH730,24,FALSE)-AVERAGE('The List'!Y2:Y730))/STDEV('The List'!Y2:Y730)</f>
        <v>-0.4586032614670274</v>
      </c>
      <c r="M104" s="38">
        <f>(VLOOKUP($A104,'The List'!$B1:$AH730,25,FALSE)-AVERAGE('The List'!Z2:Z730))/STDEV('The List'!Z2:Z730)</f>
        <v>-0.68610925951465251</v>
      </c>
      <c r="N104" s="38">
        <f>(VLOOKUP($A104,'The List'!$B1:$AH730,26,FALSE)-AVERAGE('The List'!AA2:AA730))/STDEV('The List'!AA2:AA730)</f>
        <v>-0.67765556200490673</v>
      </c>
      <c r="O104" s="38">
        <f>(VLOOKUP($A104,'The List'!$B1:$AH730,27,FALSE)-AVERAGE('The List'!AB2:AB730))/STDEV('The List'!AB2:AB730)</f>
        <v>0.6354115424622705</v>
      </c>
      <c r="P104" s="38">
        <f>(VLOOKUP($A104,'The List'!$B1:$AH730,28,FALSE)-AVERAGE('The List'!AC2:AC730))/STDEV('The List'!AC2:AC730)</f>
        <v>-1.3614513999307576</v>
      </c>
      <c r="Q104" s="38">
        <f>(VLOOKUP($A104,'The List'!$B1:$AH730,29,FALSE)-AVERAGE('The List'!AD2:AD730))/STDEV('The List'!AD2:AD730)</f>
        <v>0.46475000077108763</v>
      </c>
      <c r="R104" s="38">
        <f>(VLOOKUP($A104,'The List'!$B1:$AH730,30,FALSE)-AVERAGE('The List'!AE2:AE730))/STDEV('The List'!AE2:AE730)</f>
        <v>0.37398828426104785</v>
      </c>
      <c r="S104" s="38">
        <f>(VLOOKUP($A104,'The List'!$B1:$AH730,31,FALSE)-AVERAGE('The List'!AF2:AF730))/STDEV('The List'!AF2:AF730)</f>
        <v>1.5898796947064935</v>
      </c>
      <c r="T104" s="38">
        <f>(VLOOKUP($A104,'The List'!$B1:$AH730,32,FALSE)-AVERAGE('The List'!AG2:AG730))/STDEV('The List'!AG2:AG730)</f>
        <v>1.7853350190998101</v>
      </c>
      <c r="U104" s="38">
        <f>(VLOOKUP($A104,'The List'!$B1:$AH730,33,FALSE)-AVERAGE('The List'!AH2:AH730))/STDEV('The List'!AH2:AH730)</f>
        <v>0.95793933874703174</v>
      </c>
      <c r="V104" s="38"/>
      <c r="W104" s="42"/>
      <c r="X104" s="40"/>
      <c r="Y104" s="40"/>
      <c r="Z104" s="40"/>
      <c r="AA104" s="40"/>
      <c r="AB104" s="40"/>
      <c r="AC104" s="43"/>
      <c r="AD104" s="44"/>
      <c r="AE104" s="38"/>
    </row>
    <row r="105" spans="1:31" ht="21.2" customHeight="1">
      <c r="A105" s="8" t="s">
        <v>351</v>
      </c>
      <c r="B105" s="34" t="str">
        <f>VLOOKUP(A105,'Player Data'!A1:B734,2,FALSE)</f>
        <v>ARI</v>
      </c>
      <c r="C105" s="36">
        <f>((E105)*Settings!$C$12)+(F105*Settings!$C$2)+(G105*Settings!$C$3)+(H105*Settings!$C$4)+(I105*Settings!$C$5)+(K105*Settings!$C$9)+(N105*Settings!$C$6)+(J105*Settings!$C$8)+(O105*Settings!$C$7)+(P105*Settings!$C$14)+(Q105*Settings!$C$15)+(R105*Settings!$C$16)+(S105*Settings!$C$17)+(T105*Settings!$C$18)+(U105*Settings!$C$19)+(L105*Settings!$C$10)+(Settings!$C$11*M105)</f>
        <v>3.2061589803211241</v>
      </c>
      <c r="D105" s="40">
        <f>IF(Settings!$E$12="YES",VLOOKUP(A105,'Player Data'!A1:E734,5,FALSE),82)</f>
        <v>82</v>
      </c>
      <c r="E105" s="38">
        <f>(VLOOKUP($A105,'The List'!$B1:$AH730,17,FALSE)-AVERAGE('The List'!R2:R730))/STDEV('The List'!R2:R730)</f>
        <v>1.5393657532647381E-2</v>
      </c>
      <c r="F105" s="38">
        <f>(VLOOKUP($A105,'The List'!$B1:$AH730,18,FALSE)-AVERAGE('The List'!S2:S730))/STDEV('The List'!S2:S730)</f>
        <v>0.19258892369098909</v>
      </c>
      <c r="G105" s="38">
        <f>(VLOOKUP($A105,'The List'!$B1:$AH730,19,FALSE)-AVERAGE('The List'!T2:T730))/STDEV('The List'!T2:T730)</f>
        <v>1.5091703542583066</v>
      </c>
      <c r="H105" s="38">
        <f>(VLOOKUP($A105,'The List'!$B1:$AH730,20,FALSE)-AVERAGE('The List'!U2:U730))/STDEV('The List'!U2:U730)</f>
        <v>1.016973964874387</v>
      </c>
      <c r="I105" s="38">
        <f>(VLOOKUP($A105,'The List'!$B1:$AH730,21,FALSE)-AVERAGE('The List'!V2:V730))/STDEV('The List'!V2:V730)</f>
        <v>-0.69905598732385776</v>
      </c>
      <c r="J105" s="38">
        <f>(VLOOKUP($A105,'The List'!$B1:$AH730,22,FALSE)-AVERAGE('The List'!W2:W730))/STDEV('The List'!W2:W730)</f>
        <v>0.14909990304380133</v>
      </c>
      <c r="K105" s="38">
        <f>(VLOOKUP($A105,'The List'!$B1:$AH730,23,FALSE)-AVERAGE('The List'!X2:X730))/STDEV('The List'!X2:X730)</f>
        <v>1.1864817248212998</v>
      </c>
      <c r="L105" s="38">
        <f>(VLOOKUP($A105,'The List'!$B1:$AH730,24,FALSE)-AVERAGE('The List'!Y2:Y730))/STDEV('The List'!Y2:Y730)</f>
        <v>-0.35607011648737003</v>
      </c>
      <c r="M105" s="38">
        <f>(VLOOKUP($A105,'The List'!$B1:$AH730,25,FALSE)-AVERAGE('The List'!Z2:Z730))/STDEV('The List'!Z2:Z730)</f>
        <v>-0.48270734157956985</v>
      </c>
      <c r="N105" s="38">
        <f>(VLOOKUP($A105,'The List'!$B1:$AH730,26,FALSE)-AVERAGE('The List'!AA2:AA730))/STDEV('The List'!AA2:AA730)</f>
        <v>-0.86766020650830133</v>
      </c>
      <c r="O105" s="38">
        <f>(VLOOKUP($A105,'The List'!$B1:$AH730,27,FALSE)-AVERAGE('The List'!AB2:AB730))/STDEV('The List'!AB2:AB730)</f>
        <v>-1.1705387318507776</v>
      </c>
      <c r="P105" s="38">
        <f>(VLOOKUP($A105,'The List'!$B1:$AH730,28,FALSE)-AVERAGE('The List'!AC2:AC730))/STDEV('The List'!AC2:AC730)</f>
        <v>-0.63477697409982892</v>
      </c>
      <c r="Q105" s="38">
        <f>(VLOOKUP($A105,'The List'!$B1:$AH730,29,FALSE)-AVERAGE('The List'!AD2:AD730))/STDEV('The List'!AD2:AD730)</f>
        <v>-0.53669150786386466</v>
      </c>
      <c r="R105" s="38">
        <f>(VLOOKUP($A105,'The List'!$B1:$AH730,30,FALSE)-AVERAGE('The List'!AE2:AE730))/STDEV('The List'!AE2:AE730)</f>
        <v>3.2542929262403639E-2</v>
      </c>
      <c r="S105" s="38">
        <f>(VLOOKUP($A105,'The List'!$B1:$AH730,31,FALSE)-AVERAGE('The List'!AF2:AF730))/STDEV('The List'!AF2:AF730)</f>
        <v>-0.55975467165719595</v>
      </c>
      <c r="T105" s="38">
        <f>(VLOOKUP($A105,'The List'!$B1:$AH730,32,FALSE)-AVERAGE('The List'!AG2:AG730))/STDEV('The List'!AG2:AG730)</f>
        <v>-0.57865583684626121</v>
      </c>
      <c r="U105" s="38">
        <f>(VLOOKUP($A105,'The List'!$B1:$AH730,33,FALSE)-AVERAGE('The List'!AH2:AH730))/STDEV('The List'!AH2:AH730)</f>
        <v>-0.27654751800564398</v>
      </c>
      <c r="V105" s="38"/>
      <c r="W105" s="40"/>
      <c r="X105" s="38"/>
      <c r="Y105" s="38"/>
      <c r="Z105" s="38"/>
      <c r="AA105" s="38"/>
      <c r="AB105" s="38"/>
      <c r="AC105" s="38"/>
      <c r="AD105" s="38"/>
      <c r="AE105" s="38"/>
    </row>
    <row r="106" spans="1:31" ht="21.2" customHeight="1">
      <c r="A106" s="8" t="s">
        <v>320</v>
      </c>
      <c r="B106" s="34" t="str">
        <f>VLOOKUP(A106,'Player Data'!A1:B734,2,FALSE)</f>
        <v>NSH</v>
      </c>
      <c r="C106" s="36">
        <f>((E106)*Settings!$C$12)+(F106*Settings!$C$2)+(G106*Settings!$C$3)+(H106*Settings!$C$4)+(I106*Settings!$C$5)+(K106*Settings!$C$9)+(N106*Settings!$C$6)+(J106*Settings!$C$8)+(O106*Settings!$C$7)+(P106*Settings!$C$14)+(Q106*Settings!$C$15)+(R106*Settings!$C$16)+(S106*Settings!$C$17)+(T106*Settings!$C$18)+(U106*Settings!$C$19)+(L106*Settings!$C$10)+(Settings!$C$11*M106)</f>
        <v>4.3375037055034404</v>
      </c>
      <c r="D106" s="40">
        <f>IF(Settings!$E$12="YES",VLOOKUP(A106,'Player Data'!A1:E734,5,FALSE),82)</f>
        <v>82</v>
      </c>
      <c r="E106" s="38">
        <f>(VLOOKUP($A106,'The List'!$B1:$AH730,17,FALSE)-AVERAGE('The List'!R2:R730))/STDEV('The List'!R2:R730)</f>
        <v>-0.20820645202128454</v>
      </c>
      <c r="F106" s="38">
        <f>(VLOOKUP($A106,'The List'!$B1:$AH730,18,FALSE)-AVERAGE('The List'!S2:S730))/STDEV('The List'!S2:S730)</f>
        <v>0.87078892299392718</v>
      </c>
      <c r="G106" s="38">
        <f>(VLOOKUP($A106,'The List'!$B1:$AH730,19,FALSE)-AVERAGE('The List'!T2:T730))/STDEV('The List'!T2:T730)</f>
        <v>0.98067665582710917</v>
      </c>
      <c r="H106" s="38">
        <f>(VLOOKUP($A106,'The List'!$B1:$AH730,20,FALSE)-AVERAGE('The List'!U2:U730))/STDEV('The List'!U2:U730)</f>
        <v>1.0074707518531079</v>
      </c>
      <c r="I106" s="38">
        <f>(VLOOKUP($A106,'The List'!$B1:$AH730,21,FALSE)-AVERAGE('The List'!V2:V730))/STDEV('The List'!V2:V730)</f>
        <v>0.23365619695155318</v>
      </c>
      <c r="J106" s="38">
        <f>(VLOOKUP($A106,'The List'!$B1:$AH730,22,FALSE)-AVERAGE('The List'!W2:W730))/STDEV('The List'!W2:W730)</f>
        <v>1.3664938303331855</v>
      </c>
      <c r="K106" s="38">
        <f>(VLOOKUP($A106,'The List'!$B1:$AH730,23,FALSE)-AVERAGE('The List'!X2:X730))/STDEV('The List'!X2:X730)</f>
        <v>1.2449111778777429</v>
      </c>
      <c r="L106" s="38">
        <f>(VLOOKUP($A106,'The List'!$B1:$AH730,24,FALSE)-AVERAGE('The List'!Y2:Y730))/STDEV('The List'!Y2:Y730)</f>
        <v>-0.51497053563966622</v>
      </c>
      <c r="M106" s="38">
        <f>(VLOOKUP($A106,'The List'!$B1:$AH730,25,FALSE)-AVERAGE('The List'!Z2:Z730))/STDEV('The List'!Z2:Z730)</f>
        <v>-0.69174706927339424</v>
      </c>
      <c r="N106" s="38">
        <f>(VLOOKUP($A106,'The List'!$B1:$AH730,26,FALSE)-AVERAGE('The List'!AA2:AA730))/STDEV('The List'!AA2:AA730)</f>
        <v>-0.67912530305758434</v>
      </c>
      <c r="O106" s="38">
        <f>(VLOOKUP($A106,'The List'!$B1:$AH730,27,FALSE)-AVERAGE('The List'!AB2:AB730))/STDEV('The List'!AB2:AB730)</f>
        <v>-1.3405494609976563</v>
      </c>
      <c r="P106" s="38">
        <f>(VLOOKUP($A106,'The List'!$B1:$AH730,28,FALSE)-AVERAGE('The List'!AC2:AC730))/STDEV('The List'!AC2:AC730)</f>
        <v>-0.39034790609245584</v>
      </c>
      <c r="Q106" s="38">
        <f>(VLOOKUP($A106,'The List'!$B1:$AH730,29,FALSE)-AVERAGE('The List'!AD2:AD730))/STDEV('The List'!AD2:AD730)</f>
        <v>-0.97869146985161315</v>
      </c>
      <c r="R106" s="38">
        <f>(VLOOKUP($A106,'The List'!$B1:$AH730,30,FALSE)-AVERAGE('The List'!AE2:AE730))/STDEV('The List'!AE2:AE730)</f>
        <v>0.87925511972988324</v>
      </c>
      <c r="S106" s="38">
        <f>(VLOOKUP($A106,'The List'!$B1:$AH730,31,FALSE)-AVERAGE('The List'!AF2:AF730))/STDEV('The List'!AF2:AF730)</f>
        <v>0.85334465475818599</v>
      </c>
      <c r="T106" s="38">
        <f>(VLOOKUP($A106,'The List'!$B1:$AH730,32,FALSE)-AVERAGE('The List'!AG2:AG730))/STDEV('The List'!AG2:AG730)</f>
        <v>1.2577096441694344</v>
      </c>
      <c r="U106" s="38">
        <f>(VLOOKUP($A106,'The List'!$B1:$AH730,33,FALSE)-AVERAGE('The List'!AH2:AH730))/STDEV('The List'!AH2:AH730)</f>
        <v>0.76813172671823882</v>
      </c>
      <c r="V106" s="38"/>
      <c r="W106" s="40"/>
      <c r="X106" s="38"/>
      <c r="Y106" s="38"/>
      <c r="Z106" s="38"/>
      <c r="AA106" s="38"/>
      <c r="AB106" s="38"/>
      <c r="AC106" s="38"/>
      <c r="AD106" s="38"/>
      <c r="AE106" s="38"/>
    </row>
    <row r="107" spans="1:31" ht="21.2" customHeight="1">
      <c r="A107" s="8" t="s">
        <v>168</v>
      </c>
      <c r="B107" s="34" t="str">
        <f>VLOOKUP(A107,'Player Data'!A1:B734,2,FALSE)</f>
        <v>WSH</v>
      </c>
      <c r="C107" s="36">
        <f>((E107)*Settings!$C$12)+(F107*Settings!$C$2)+(G107*Settings!$C$3)+(H107*Settings!$C$4)+(I107*Settings!$C$5)+(K107*Settings!$C$9)+(N107*Settings!$C$6)+(J107*Settings!$C$8)+(O107*Settings!$C$7)+(P107*Settings!$C$14)+(Q107*Settings!$C$15)+(R107*Settings!$C$16)+(S107*Settings!$C$17)+(T107*Settings!$C$18)+(U107*Settings!$C$19)+(L107*Settings!$C$10)+(Settings!$C$11*M107)</f>
        <v>4.6992128676319442</v>
      </c>
      <c r="D107" s="40">
        <f>IF(Settings!$E$12="YES",VLOOKUP(A107,'Player Data'!A1:E734,5,FALSE),82)</f>
        <v>82</v>
      </c>
      <c r="E107" s="38">
        <f>(VLOOKUP($A107,'The List'!$B1:$AH730,17,FALSE)-AVERAGE('The List'!R2:R730))/STDEV('The List'!R2:R730)</f>
        <v>1.7712618774481104</v>
      </c>
      <c r="F107" s="38">
        <f>(VLOOKUP($A107,'The List'!$B1:$AH730,18,FALSE)-AVERAGE('The List'!S2:S730))/STDEV('The List'!S2:S730)</f>
        <v>-1.6726532347368754E-3</v>
      </c>
      <c r="G107" s="38">
        <f>(VLOOKUP($A107,'The List'!$B1:$AH730,19,FALSE)-AVERAGE('The List'!T2:T730))/STDEV('The List'!T2:T730)</f>
        <v>1.4161511863867036</v>
      </c>
      <c r="H107" s="38">
        <f>(VLOOKUP($A107,'The List'!$B1:$AH730,20,FALSE)-AVERAGE('The List'!U2:U730))/STDEV('The List'!U2:U730)</f>
        <v>0.86950304038237625</v>
      </c>
      <c r="I107" s="38">
        <f>(VLOOKUP($A107,'The List'!$B1:$AH730,21,FALSE)-AVERAGE('The List'!V2:V730))/STDEV('The List'!V2:V730)</f>
        <v>1.0682146472678742</v>
      </c>
      <c r="J107" s="38">
        <f>(VLOOKUP($A107,'The List'!$B1:$AH730,22,FALSE)-AVERAGE('The List'!W2:W730))/STDEV('The List'!W2:W730)</f>
        <v>0.54899881936876838</v>
      </c>
      <c r="K107" s="38">
        <f>(VLOOKUP($A107,'The List'!$B1:$AH730,23,FALSE)-AVERAGE('The List'!X2:X730))/STDEV('The List'!X2:X730)</f>
        <v>1.3470166468297271</v>
      </c>
      <c r="L107" s="38">
        <f>(VLOOKUP($A107,'The List'!$B1:$AH730,24,FALSE)-AVERAGE('The List'!Y2:Y730))/STDEV('The List'!Y2:Y730)</f>
        <v>0.3711900476522188</v>
      </c>
      <c r="M107" s="38">
        <f>(VLOOKUP($A107,'The List'!$B1:$AH730,25,FALSE)-AVERAGE('The List'!Z2:Z730))/STDEV('The List'!Z2:Z730)</f>
        <v>0.77982975163698698</v>
      </c>
      <c r="N107" s="38">
        <f>(VLOOKUP($A107,'The List'!$B1:$AH730,26,FALSE)-AVERAGE('The List'!AA2:AA730))/STDEV('The List'!AA2:AA730)</f>
        <v>1.9053298007286508</v>
      </c>
      <c r="O107" s="38">
        <f>(VLOOKUP($A107,'The List'!$B1:$AH730,27,FALSE)-AVERAGE('The List'!AB2:AB730))/STDEV('The List'!AB2:AB730)</f>
        <v>-0.11177873166679539</v>
      </c>
      <c r="P107" s="38">
        <f>(VLOOKUP($A107,'The List'!$B1:$AH730,28,FALSE)-AVERAGE('The List'!AC2:AC730))/STDEV('The List'!AC2:AC730)</f>
        <v>-0.69686438017446861</v>
      </c>
      <c r="Q107" s="38">
        <f>(VLOOKUP($A107,'The List'!$B1:$AH730,29,FALSE)-AVERAGE('The List'!AD2:AD730))/STDEV('The List'!AD2:AD730)</f>
        <v>-0.61044070243298543</v>
      </c>
      <c r="R107" s="38">
        <f>(VLOOKUP($A107,'The List'!$B1:$AH730,30,FALSE)-AVERAGE('The List'!AE2:AE730))/STDEV('The List'!AE2:AE730)</f>
        <v>-0.15553519661127499</v>
      </c>
      <c r="S107" s="38">
        <f>(VLOOKUP($A107,'The List'!$B1:$AH730,31,FALSE)-AVERAGE('The List'!AF2:AF730))/STDEV('The List'!AF2:AF730)</f>
        <v>-0.56911587195029545</v>
      </c>
      <c r="T107" s="38">
        <f>(VLOOKUP($A107,'The List'!$B1:$AH730,32,FALSE)-AVERAGE('The List'!AG2:AG730))/STDEV('The List'!AG2:AG730)</f>
        <v>-0.61510119871956948</v>
      </c>
      <c r="U107" s="38">
        <f>(VLOOKUP($A107,'The List'!$B1:$AH730,33,FALSE)-AVERAGE('The List'!AH2:AH730))/STDEV('The List'!AH2:AH730)</f>
        <v>-1.2363238714825984</v>
      </c>
      <c r="V107" s="38"/>
      <c r="W107" s="40"/>
      <c r="X107" s="38"/>
      <c r="Y107" s="38"/>
      <c r="Z107" s="38"/>
      <c r="AA107" s="38"/>
      <c r="AB107" s="38"/>
      <c r="AC107" s="38"/>
      <c r="AD107" s="38"/>
      <c r="AE107" s="38"/>
    </row>
    <row r="108" spans="1:31" ht="21.2" customHeight="1">
      <c r="A108" s="8" t="s">
        <v>323</v>
      </c>
      <c r="B108" s="34" t="str">
        <f>VLOOKUP(A108,'Player Data'!A1:B734,2,FALSE)</f>
        <v>OTT</v>
      </c>
      <c r="C108" s="36">
        <f>((E108)*Settings!$C$12)+(F108*Settings!$C$2)+(G108*Settings!$C$3)+(H108*Settings!$C$4)+(I108*Settings!$C$5)+(K108*Settings!$C$9)+(N108*Settings!$C$6)+(J108*Settings!$C$8)+(O108*Settings!$C$7)+(P108*Settings!$C$14)+(Q108*Settings!$C$15)+(R108*Settings!$C$16)+(S108*Settings!$C$17)+(T108*Settings!$C$18)+(U108*Settings!$C$19)+(L108*Settings!$C$10)+(Settings!$C$11*M108)</f>
        <v>4.518530660735772</v>
      </c>
      <c r="D108" s="40">
        <f>IF(Settings!$E$12="YES",VLOOKUP(A108,'Player Data'!A1:E734,5,FALSE),82)</f>
        <v>82</v>
      </c>
      <c r="E108" s="38">
        <f>(VLOOKUP($A108,'The List'!$B1:$AH730,17,FALSE)-AVERAGE('The List'!R2:R730))/STDEV('The List'!R2:R730)</f>
        <v>0.51056569570637711</v>
      </c>
      <c r="F108" s="38">
        <f>(VLOOKUP($A108,'The List'!$B1:$AH730,18,FALSE)-AVERAGE('The List'!S2:S730))/STDEV('The List'!S2:S730)</f>
        <v>1.8498937162355304</v>
      </c>
      <c r="G108" s="38">
        <f>(VLOOKUP($A108,'The List'!$B1:$AH730,19,FALSE)-AVERAGE('The List'!T2:T730))/STDEV('The List'!T2:T730)</f>
        <v>0.23451044099602528</v>
      </c>
      <c r="H108" s="38">
        <f>(VLOOKUP($A108,'The List'!$B1:$AH730,20,FALSE)-AVERAGE('The List'!U2:U730))/STDEV('The List'!U2:U730)</f>
        <v>1.0040817672454736</v>
      </c>
      <c r="I108" s="38">
        <f>(VLOOKUP($A108,'The List'!$B1:$AH730,21,FALSE)-AVERAGE('The List'!V2:V730))/STDEV('The List'!V2:V730)</f>
        <v>0.42803735967697193</v>
      </c>
      <c r="J108" s="38">
        <f>(VLOOKUP($A108,'The List'!$B1:$AH730,22,FALSE)-AVERAGE('The List'!W2:W730))/STDEV('The List'!W2:W730)</f>
        <v>2.0114233374500254</v>
      </c>
      <c r="K108" s="38">
        <f>(VLOOKUP($A108,'The List'!$B1:$AH730,23,FALSE)-AVERAGE('The List'!X2:X730))/STDEV('The List'!X2:X730)</f>
        <v>1.0020073765817705</v>
      </c>
      <c r="L108" s="38">
        <f>(VLOOKUP($A108,'The List'!$B1:$AH730,24,FALSE)-AVERAGE('The List'!Y2:Y730))/STDEV('The List'!Y2:Y730)</f>
        <v>0.56300530410899952</v>
      </c>
      <c r="M108" s="38">
        <f>(VLOOKUP($A108,'The List'!$B1:$AH730,25,FALSE)-AVERAGE('The List'!Z2:Z730))/STDEV('The List'!Z2:Z730)</f>
        <v>0.59680978155906339</v>
      </c>
      <c r="N108" s="38">
        <f>(VLOOKUP($A108,'The List'!$B1:$AH730,26,FALSE)-AVERAGE('The List'!AA2:AA730))/STDEV('The List'!AA2:AA730)</f>
        <v>-0.30949326453373571</v>
      </c>
      <c r="O108" s="38">
        <f>(VLOOKUP($A108,'The List'!$B1:$AH730,27,FALSE)-AVERAGE('The List'!AB2:AB730))/STDEV('The List'!AB2:AB730)</f>
        <v>-0.24416788973916237</v>
      </c>
      <c r="P108" s="38">
        <f>(VLOOKUP($A108,'The List'!$B1:$AH730,28,FALSE)-AVERAGE('The List'!AC2:AC730))/STDEV('The List'!AC2:AC730)</f>
        <v>0.28063193465294706</v>
      </c>
      <c r="Q108" s="38">
        <f>(VLOOKUP($A108,'The List'!$B1:$AH730,29,FALSE)-AVERAGE('The List'!AD2:AD730))/STDEV('The List'!AD2:AD730)</f>
        <v>-0.44201423527867351</v>
      </c>
      <c r="R108" s="38">
        <f>(VLOOKUP($A108,'The List'!$B1:$AH730,30,FALSE)-AVERAGE('The List'!AE2:AE730))/STDEV('The List'!AE2:AE730)</f>
        <v>1.9017489174576603</v>
      </c>
      <c r="S108" s="38">
        <f>(VLOOKUP($A108,'The List'!$B1:$AH730,31,FALSE)-AVERAGE('The List'!AF2:AF730))/STDEV('The List'!AF2:AF730)</f>
        <v>2.0643841006515236</v>
      </c>
      <c r="T108" s="38">
        <f>(VLOOKUP($A108,'The List'!$B1:$AH730,32,FALSE)-AVERAGE('The List'!AG2:AG730))/STDEV('The List'!AG2:AG730)</f>
        <v>1.933926896982995</v>
      </c>
      <c r="U108" s="38">
        <f>(VLOOKUP($A108,'The List'!$B1:$AH730,33,FALSE)-AVERAGE('The List'!AH2:AH730))/STDEV('The List'!AH2:AH730)</f>
        <v>1.1143719632660583</v>
      </c>
      <c r="V108" s="38"/>
      <c r="W108" s="42"/>
      <c r="X108" s="40"/>
      <c r="Y108" s="40"/>
      <c r="Z108" s="40"/>
      <c r="AA108" s="40"/>
      <c r="AB108" s="40"/>
      <c r="AC108" s="43"/>
      <c r="AD108" s="44"/>
      <c r="AE108" s="38"/>
    </row>
    <row r="109" spans="1:31" ht="21.2" customHeight="1">
      <c r="A109" s="8" t="s">
        <v>480</v>
      </c>
      <c r="B109" s="34" t="str">
        <f>VLOOKUP(A109,'Player Data'!A1:B734,2,FALSE)</f>
        <v>SJS</v>
      </c>
      <c r="C109" s="36">
        <f>((E109)*Settings!$C$12)+(F109*Settings!$C$2)+(G109*Settings!$C$3)+(H109*Settings!$C$4)+(I109*Settings!$C$5)+(K109*Settings!$C$9)+(N109*Settings!$C$6)+(J109*Settings!$C$8)+(O109*Settings!$C$7)+(P109*Settings!$C$14)+(Q109*Settings!$C$15)+(R109*Settings!$C$16)+(S109*Settings!$C$17)+(T109*Settings!$C$18)+(U109*Settings!$C$19)+(L109*Settings!$C$10)+(Settings!$C$11*M109)</f>
        <v>1.9204458945272571</v>
      </c>
      <c r="D109" s="40">
        <f>IF(Settings!$E$12="YES",VLOOKUP(A109,'Player Data'!A1:E734,5,FALSE),82)</f>
        <v>82</v>
      </c>
      <c r="E109" s="38">
        <f>(VLOOKUP($A109,'The List'!$B1:$AH730,17,FALSE)-AVERAGE('The List'!R2:R730))/STDEV('The List'!R2:R730)</f>
        <v>0.42962309987882469</v>
      </c>
      <c r="F109" s="38">
        <f>(VLOOKUP($A109,'The List'!$B1:$AH730,18,FALSE)-AVERAGE('The List'!S2:S730))/STDEV('The List'!S2:S730)</f>
        <v>0.88529523587663861</v>
      </c>
      <c r="G109" s="38">
        <f>(VLOOKUP($A109,'The List'!$B1:$AH730,19,FALSE)-AVERAGE('The List'!T2:T730))/STDEV('The List'!T2:T730)</f>
        <v>0.72970479681683043</v>
      </c>
      <c r="H109" s="38">
        <f>(VLOOKUP($A109,'The List'!$B1:$AH730,20,FALSE)-AVERAGE('The List'!U2:U730))/STDEV('The List'!U2:U730)</f>
        <v>0.85998226690747215</v>
      </c>
      <c r="I109" s="38">
        <f>(VLOOKUP($A109,'The List'!$B1:$AH730,21,FALSE)-AVERAGE('The List'!V2:V730))/STDEV('The List'!V2:V730)</f>
        <v>-0.34183200512572581</v>
      </c>
      <c r="J109" s="38">
        <f>(VLOOKUP($A109,'The List'!$B1:$AH730,22,FALSE)-AVERAGE('The List'!W2:W730))/STDEV('The List'!W2:W730)</f>
        <v>-0.43941926461158204</v>
      </c>
      <c r="K109" s="38">
        <f>(VLOOKUP($A109,'The List'!$B1:$AH730,23,FALSE)-AVERAGE('The List'!X2:X730))/STDEV('The List'!X2:X730)</f>
        <v>-0.21270439994795826</v>
      </c>
      <c r="L109" s="38">
        <f>(VLOOKUP($A109,'The List'!$B1:$AH730,24,FALSE)-AVERAGE('The List'!Y2:Y730))/STDEV('The List'!Y2:Y730)</f>
        <v>-0.10787520224472769</v>
      </c>
      <c r="M109" s="38">
        <f>(VLOOKUP($A109,'The List'!$B1:$AH730,25,FALSE)-AVERAGE('The List'!Z2:Z730))/STDEV('The List'!Z2:Z730)</f>
        <v>-0.12142401959057646</v>
      </c>
      <c r="N109" s="38">
        <f>(VLOOKUP($A109,'The List'!$B1:$AH730,26,FALSE)-AVERAGE('The List'!AA2:AA730))/STDEV('The List'!AA2:AA730)</f>
        <v>-0.65942565614915394</v>
      </c>
      <c r="O109" s="38">
        <f>(VLOOKUP($A109,'The List'!$B1:$AH730,27,FALSE)-AVERAGE('The List'!AB2:AB730))/STDEV('The List'!AB2:AB730)</f>
        <v>-0.49197101956895417</v>
      </c>
      <c r="P109" s="38">
        <f>(VLOOKUP($A109,'The List'!$B1:$AH730,28,FALSE)-AVERAGE('The List'!AC2:AC730))/STDEV('The List'!AC2:AC730)</f>
        <v>-0.25501382048304444</v>
      </c>
      <c r="Q109" s="38">
        <f>(VLOOKUP($A109,'The List'!$B1:$AH730,29,FALSE)-AVERAGE('The List'!AD2:AD730))/STDEV('The List'!AD2:AD730)</f>
        <v>0.32945651246341862</v>
      </c>
      <c r="R109" s="38">
        <f>(VLOOKUP($A109,'The List'!$B1:$AH730,30,FALSE)-AVERAGE('The List'!AE2:AE730))/STDEV('The List'!AE2:AE730)</f>
        <v>0.57184513887624289</v>
      </c>
      <c r="S109" s="38">
        <f>(VLOOKUP($A109,'The List'!$B1:$AH730,31,FALSE)-AVERAGE('The List'!AF2:AF730))/STDEV('The List'!AF2:AF730)</f>
        <v>-0.46855475693464044</v>
      </c>
      <c r="T109" s="38">
        <f>(VLOOKUP($A109,'The List'!$B1:$AH730,32,FALSE)-AVERAGE('The List'!AG2:AG730))/STDEV('The List'!AG2:AG730)</f>
        <v>-0.41898441724786067</v>
      </c>
      <c r="U109" s="38">
        <f>(VLOOKUP($A109,'The List'!$B1:$AH730,33,FALSE)-AVERAGE('The List'!AH2:AH730))/STDEV('The List'!AH2:AH730)</f>
        <v>0.34489429422802792</v>
      </c>
      <c r="V109" s="38"/>
      <c r="W109" s="42"/>
      <c r="X109" s="40"/>
      <c r="Y109" s="40"/>
      <c r="Z109" s="40"/>
      <c r="AA109" s="40"/>
      <c r="AB109" s="40"/>
      <c r="AC109" s="43"/>
      <c r="AD109" s="44"/>
      <c r="AE109" s="38"/>
    </row>
    <row r="110" spans="1:31" ht="21.2" customHeight="1">
      <c r="A110" s="8" t="s">
        <v>262</v>
      </c>
      <c r="B110" s="34" t="str">
        <f>VLOOKUP(A110,'Player Data'!A1:B734,2,FALSE)</f>
        <v>UFA</v>
      </c>
      <c r="C110" s="36">
        <f>((E110)*Settings!$C$12)+(F110*Settings!$C$2)+(G110*Settings!$C$3)+(H110*Settings!$C$4)+(I110*Settings!$C$5)+(K110*Settings!$C$9)+(N110*Settings!$C$6)+(J110*Settings!$C$8)+(O110*Settings!$C$7)+(P110*Settings!$C$14)+(Q110*Settings!$C$15)+(R110*Settings!$C$16)+(S110*Settings!$C$17)+(T110*Settings!$C$18)+(U110*Settings!$C$19)+(L110*Settings!$C$10)+(Settings!$C$11*M110)</f>
        <v>5.0930817875009531</v>
      </c>
      <c r="D110" s="40">
        <f>IF(Settings!$E$12="YES",VLOOKUP(A110,'Player Data'!A1:E734,5,FALSE),82)</f>
        <v>82</v>
      </c>
      <c r="E110" s="38">
        <f>(VLOOKUP($A110,'The List'!$B1:$AH730,17,FALSE)-AVERAGE('The List'!R2:R730))/STDEV('The List'!R2:R730)</f>
        <v>-8.9745481925069426E-2</v>
      </c>
      <c r="F110" s="38">
        <f>(VLOOKUP($A110,'The List'!$B1:$AH730,18,FALSE)-AVERAGE('The List'!S2:S730))/STDEV('The List'!S2:S730)</f>
        <v>0.88084790510558864</v>
      </c>
      <c r="G110" s="38">
        <f>(VLOOKUP($A110,'The List'!$B1:$AH730,19,FALSE)-AVERAGE('The List'!T2:T730))/STDEV('The List'!T2:T730)</f>
        <v>0.93653894286461348</v>
      </c>
      <c r="H110" s="38">
        <f>(VLOOKUP($A110,'The List'!$B1:$AH730,20,FALSE)-AVERAGE('The List'!U2:U730))/STDEV('The List'!U2:U730)</f>
        <v>0.98502254143622858</v>
      </c>
      <c r="I110" s="38">
        <f>(VLOOKUP($A110,'The List'!$B1:$AH730,21,FALSE)-AVERAGE('The List'!V2:V730))/STDEV('The List'!V2:V730)</f>
        <v>1.2145740212217471</v>
      </c>
      <c r="J110" s="38">
        <f>(VLOOKUP($A110,'The List'!$B1:$AH730,22,FALSE)-AVERAGE('The List'!W2:W730))/STDEV('The List'!W2:W730)</f>
        <v>0.56894179820246593</v>
      </c>
      <c r="K110" s="38">
        <f>(VLOOKUP($A110,'The List'!$B1:$AH730,23,FALSE)-AVERAGE('The List'!X2:X730))/STDEV('The List'!X2:X730)</f>
        <v>1.0760983768727759</v>
      </c>
      <c r="L110" s="38">
        <f>(VLOOKUP($A110,'The List'!$B1:$AH730,24,FALSE)-AVERAGE('The List'!Y2:Y730))/STDEV('The List'!Y2:Y730)</f>
        <v>-0.51240101324440013</v>
      </c>
      <c r="M110" s="38">
        <f>(VLOOKUP($A110,'The List'!$B1:$AH730,25,FALSE)-AVERAGE('The List'!Z2:Z730))/STDEV('The List'!Z2:Z730)</f>
        <v>-0.6903672366289878</v>
      </c>
      <c r="N110" s="38">
        <f>(VLOOKUP($A110,'The List'!$B1:$AH730,26,FALSE)-AVERAGE('The List'!AA2:AA730))/STDEV('The List'!AA2:AA730)</f>
        <v>-0.53226963517687298</v>
      </c>
      <c r="O110" s="38">
        <f>(VLOOKUP($A110,'The List'!$B1:$AH730,27,FALSE)-AVERAGE('The List'!AB2:AB730))/STDEV('The List'!AB2:AB730)</f>
        <v>-0.29132075187989931</v>
      </c>
      <c r="P110" s="38">
        <f>(VLOOKUP($A110,'The List'!$B1:$AH730,28,FALSE)-AVERAGE('The List'!AC2:AC730))/STDEV('The List'!AC2:AC730)</f>
        <v>-2.2700689412415889E-2</v>
      </c>
      <c r="Q110" s="38">
        <f>(VLOOKUP($A110,'The List'!$B1:$AH730,29,FALSE)-AVERAGE('The List'!AD2:AD730))/STDEV('The List'!AD2:AD730)</f>
        <v>-1.1284522879869086</v>
      </c>
      <c r="R110" s="38">
        <f>(VLOOKUP($A110,'The List'!$B1:$AH730,30,FALSE)-AVERAGE('The List'!AE2:AE730))/STDEV('The List'!AE2:AE730)</f>
        <v>-1.2515972607254897</v>
      </c>
      <c r="S110" s="38">
        <f>(VLOOKUP($A110,'The List'!$B1:$AH730,31,FALSE)-AVERAGE('The List'!AF2:AF730))/STDEV('The List'!AF2:AF730)</f>
        <v>-0.56637385849092592</v>
      </c>
      <c r="T110" s="38">
        <f>(VLOOKUP($A110,'The List'!$B1:$AH730,32,FALSE)-AVERAGE('The List'!AG2:AG730))/STDEV('The List'!AG2:AG730)</f>
        <v>-0.59948583889852403</v>
      </c>
      <c r="U110" s="38">
        <f>(VLOOKUP($A110,'The List'!$B1:$AH730,33,FALSE)-AVERAGE('The List'!AH2:AH730))/STDEV('The List'!AH2:AH730)</f>
        <v>-0.53288922642079328</v>
      </c>
      <c r="V110" s="38"/>
      <c r="W110" s="40"/>
      <c r="X110" s="38"/>
      <c r="Y110" s="38"/>
      <c r="Z110" s="38"/>
      <c r="AA110" s="38"/>
      <c r="AB110" s="38"/>
      <c r="AC110" s="38"/>
      <c r="AD110" s="38"/>
      <c r="AE110" s="38"/>
    </row>
    <row r="111" spans="1:31" ht="21.2" customHeight="1">
      <c r="A111" s="8" t="s">
        <v>218</v>
      </c>
      <c r="B111" s="34" t="str">
        <f>VLOOKUP(A111,'Player Data'!A1:B734,2,FALSE)</f>
        <v>NYR</v>
      </c>
      <c r="C111" s="36">
        <f>((E111)*Settings!$C$12)+(F111*Settings!$C$2)+(G111*Settings!$C$3)+(H111*Settings!$C$4)+(I111*Settings!$C$5)+(K111*Settings!$C$9)+(N111*Settings!$C$6)+(J111*Settings!$C$8)+(O111*Settings!$C$7)+(P111*Settings!$C$14)+(Q111*Settings!$C$15)+(R111*Settings!$C$16)+(S111*Settings!$C$17)+(T111*Settings!$C$18)+(U111*Settings!$C$19)+(L111*Settings!$C$10)+(Settings!$C$11*M111)</f>
        <v>6.340118520658363</v>
      </c>
      <c r="D111" s="40">
        <f>IF(Settings!$E$12="YES",VLOOKUP(A111,'Player Data'!A1:E734,5,FALSE),82)</f>
        <v>82</v>
      </c>
      <c r="E111" s="38">
        <f>(VLOOKUP($A111,'The List'!$B1:$AH730,17,FALSE)-AVERAGE('The List'!R2:R730))/STDEV('The List'!R2:R730)</f>
        <v>0.55460054463828334</v>
      </c>
      <c r="F111" s="38">
        <f>(VLOOKUP($A111,'The List'!$B1:$AH730,18,FALSE)-AVERAGE('The List'!S2:S730))/STDEV('The List'!S2:S730)</f>
        <v>2.354757778244958</v>
      </c>
      <c r="G111" s="38">
        <f>(VLOOKUP($A111,'The List'!$B1:$AH730,19,FALSE)-AVERAGE('The List'!T2:T730))/STDEV('The List'!T2:T730)</f>
        <v>-0.18775907156358954</v>
      </c>
      <c r="H111" s="38">
        <f>(VLOOKUP($A111,'The List'!$B1:$AH730,20,FALSE)-AVERAGE('The List'!U2:U730))/STDEV('The List'!U2:U730)</f>
        <v>0.97927827587540295</v>
      </c>
      <c r="I111" s="38">
        <f>(VLOOKUP($A111,'The List'!$B1:$AH730,21,FALSE)-AVERAGE('The List'!V2:V730))/STDEV('The List'!V2:V730)</f>
        <v>1.5961546625384424</v>
      </c>
      <c r="J111" s="38">
        <f>(VLOOKUP($A111,'The List'!$B1:$AH730,22,FALSE)-AVERAGE('The List'!W2:W730))/STDEV('The List'!W2:W730)</f>
        <v>3.065453770626831</v>
      </c>
      <c r="K111" s="38">
        <f>(VLOOKUP($A111,'The List'!$B1:$AH730,23,FALSE)-AVERAGE('The List'!X2:X730))/STDEV('The List'!X2:X730)</f>
        <v>1.5976868755631495</v>
      </c>
      <c r="L111" s="38">
        <f>(VLOOKUP($A111,'The List'!$B1:$AH730,24,FALSE)-AVERAGE('The List'!Y2:Y730))/STDEV('The List'!Y2:Y730)</f>
        <v>5.0397544811555877</v>
      </c>
      <c r="M111" s="38">
        <f>(VLOOKUP($A111,'The List'!$B1:$AH730,25,FALSE)-AVERAGE('The List'!Z2:Z730))/STDEV('The List'!Z2:Z730)</f>
        <v>2.6339385285945012</v>
      </c>
      <c r="N111" s="38">
        <f>(VLOOKUP($A111,'The List'!$B1:$AH730,26,FALSE)-AVERAGE('The List'!AA2:AA730))/STDEV('The List'!AA2:AA730)</f>
        <v>-0.78556467738328151</v>
      </c>
      <c r="O111" s="38">
        <f>(VLOOKUP($A111,'The List'!$B1:$AH730,27,FALSE)-AVERAGE('The List'!AB2:AB730))/STDEV('The List'!AB2:AB730)</f>
        <v>0.62475936186816239</v>
      </c>
      <c r="P111" s="38">
        <f>(VLOOKUP($A111,'The List'!$B1:$AH730,28,FALSE)-AVERAGE('The List'!AC2:AC730))/STDEV('The List'!AC2:AC730)</f>
        <v>1.3825829447414837</v>
      </c>
      <c r="Q111" s="38">
        <f>(VLOOKUP($A111,'The List'!$B1:$AH730,29,FALSE)-AVERAGE('The List'!AD2:AD730))/STDEV('The List'!AD2:AD730)</f>
        <v>-0.1312762354552833</v>
      </c>
      <c r="R111" s="38">
        <f>(VLOOKUP($A111,'The List'!$B1:$AH730,30,FALSE)-AVERAGE('The List'!AE2:AE730))/STDEV('The List'!AE2:AE730)</f>
        <v>2.8816007496249463</v>
      </c>
      <c r="S111" s="38">
        <f>(VLOOKUP($A111,'The List'!$B1:$AH730,31,FALSE)-AVERAGE('The List'!AF2:AF730))/STDEV('The List'!AF2:AF730)</f>
        <v>-0.35456102729115535</v>
      </c>
      <c r="T111" s="38">
        <f>(VLOOKUP($A111,'The List'!$B1:$AH730,32,FALSE)-AVERAGE('The List'!AG2:AG730))/STDEV('The List'!AG2:AG730)</f>
        <v>-0.34874758612749718</v>
      </c>
      <c r="U111" s="38">
        <f>(VLOOKUP($A111,'The List'!$B1:$AH730,33,FALSE)-AVERAGE('The List'!AH2:AH730))/STDEV('The List'!AH2:AH730)</f>
        <v>0.83387418862534446</v>
      </c>
      <c r="V111" s="38"/>
      <c r="W111" s="40"/>
      <c r="X111" s="38"/>
      <c r="Y111" s="38"/>
      <c r="Z111" s="38"/>
      <c r="AA111" s="38"/>
      <c r="AB111" s="38"/>
      <c r="AC111" s="38"/>
      <c r="AD111" s="38"/>
      <c r="AE111" s="38"/>
    </row>
    <row r="112" spans="1:31" ht="21.2" customHeight="1">
      <c r="A112" s="8" t="s">
        <v>240</v>
      </c>
      <c r="B112" s="34" t="str">
        <f>VLOOKUP(A112,'Player Data'!A1:B734,2,FALSE)</f>
        <v>DET</v>
      </c>
      <c r="C112" s="36">
        <f>((E112)*Settings!$C$12)+(F112*Settings!$C$2)+(G112*Settings!$C$3)+(H112*Settings!$C$4)+(I112*Settings!$C$5)+(K112*Settings!$C$9)+(N112*Settings!$C$6)+(J112*Settings!$C$8)+(O112*Settings!$C$7)+(P112*Settings!$C$14)+(Q112*Settings!$C$15)+(R112*Settings!$C$16)+(S112*Settings!$C$17)+(T112*Settings!$C$18)+(U112*Settings!$C$19)+(L112*Settings!$C$10)+(Settings!$C$11*M112)</f>
        <v>5.036515804325699</v>
      </c>
      <c r="D112" s="40">
        <f>IF(Settings!$E$12="YES",VLOOKUP(A112,'Player Data'!A1:E734,5,FALSE),82)</f>
        <v>82</v>
      </c>
      <c r="E112" s="38">
        <f>(VLOOKUP($A112,'The List'!$B1:$AH730,17,FALSE)-AVERAGE('The List'!R2:R730))/STDEV('The List'!R2:R730)</f>
        <v>0.39537711321692476</v>
      </c>
      <c r="F112" s="38">
        <f>(VLOOKUP($A112,'The List'!$B1:$AH730,18,FALSE)-AVERAGE('The List'!S2:S730))/STDEV('The List'!S2:S730)</f>
        <v>1.0393143503161564</v>
      </c>
      <c r="G112" s="38">
        <f>(VLOOKUP($A112,'The List'!$B1:$AH730,19,FALSE)-AVERAGE('The List'!T2:T730))/STDEV('The List'!T2:T730)</f>
        <v>1.0248093697323422</v>
      </c>
      <c r="H112" s="38">
        <f>(VLOOKUP($A112,'The List'!$B1:$AH730,20,FALSE)-AVERAGE('The List'!U2:U730))/STDEV('The List'!U2:U730)</f>
        <v>1.1129349829714683</v>
      </c>
      <c r="I112" s="38">
        <f>(VLOOKUP($A112,'The List'!$B1:$AH730,21,FALSE)-AVERAGE('The List'!V2:V730))/STDEV('The List'!V2:V730)</f>
        <v>0.46000435991944094</v>
      </c>
      <c r="J112" s="38">
        <f>(VLOOKUP($A112,'The List'!$B1:$AH730,22,FALSE)-AVERAGE('The List'!W2:W730))/STDEV('The List'!W2:W730)</f>
        <v>1.0256231526337247</v>
      </c>
      <c r="K112" s="38">
        <f>(VLOOKUP($A112,'The List'!$B1:$AH730,23,FALSE)-AVERAGE('The List'!X2:X730))/STDEV('The List'!X2:X730)</f>
        <v>1.3994527413862912</v>
      </c>
      <c r="L112" s="38">
        <f>(VLOOKUP($A112,'The List'!$B1:$AH730,24,FALSE)-AVERAGE('The List'!Y2:Y730))/STDEV('The List'!Y2:Y730)</f>
        <v>-0.49154898541538505</v>
      </c>
      <c r="M112" s="38">
        <f>(VLOOKUP($A112,'The List'!$B1:$AH730,25,FALSE)-AVERAGE('The List'!Z2:Z730))/STDEV('The List'!Z2:Z730)</f>
        <v>-0.66157005579930139</v>
      </c>
      <c r="N112" s="38">
        <f>(VLOOKUP($A112,'The List'!$B1:$AH730,26,FALSE)-AVERAGE('The List'!AA2:AA730))/STDEV('The List'!AA2:AA730)</f>
        <v>-0.97789083501979912</v>
      </c>
      <c r="O112" s="38">
        <f>(VLOOKUP($A112,'The List'!$B1:$AH730,27,FALSE)-AVERAGE('The List'!AB2:AB730))/STDEV('The List'!AB2:AB730)</f>
        <v>-0.89369729713699153</v>
      </c>
      <c r="P112" s="38">
        <f>(VLOOKUP($A112,'The List'!$B1:$AH730,28,FALSE)-AVERAGE('The List'!AC2:AC730))/STDEV('The List'!AC2:AC730)</f>
        <v>-1.2308100748226611</v>
      </c>
      <c r="Q112" s="38">
        <f>(VLOOKUP($A112,'The List'!$B1:$AH730,29,FALSE)-AVERAGE('The List'!AD2:AD730))/STDEV('The List'!AD2:AD730)</f>
        <v>-0.62674026094771385</v>
      </c>
      <c r="R112" s="38">
        <f>(VLOOKUP($A112,'The List'!$B1:$AH730,30,FALSE)-AVERAGE('The List'!AE2:AE730))/STDEV('The List'!AE2:AE730)</f>
        <v>0.82471684981569982</v>
      </c>
      <c r="S112" s="38">
        <f>(VLOOKUP($A112,'The List'!$B1:$AH730,31,FALSE)-AVERAGE('The List'!AF2:AF730))/STDEV('The List'!AF2:AF730)</f>
        <v>-0.53465867071005002</v>
      </c>
      <c r="T112" s="38">
        <f>(VLOOKUP($A112,'The List'!$B1:$AH730,32,FALSE)-AVERAGE('The List'!AG2:AG730))/STDEV('The List'!AG2:AG730)</f>
        <v>-0.5447234646667195</v>
      </c>
      <c r="U112" s="38">
        <f>(VLOOKUP($A112,'The List'!$B1:$AH730,33,FALSE)-AVERAGE('The List'!AH2:AH730))/STDEV('The List'!AH2:AH730)</f>
        <v>0.29773872955784192</v>
      </c>
      <c r="V112" s="38"/>
      <c r="W112" s="42"/>
      <c r="X112" s="40"/>
      <c r="Y112" s="40"/>
      <c r="Z112" s="40"/>
      <c r="AA112" s="40"/>
      <c r="AB112" s="40"/>
      <c r="AC112" s="43"/>
      <c r="AD112" s="44"/>
      <c r="AE112" s="38"/>
    </row>
    <row r="113" spans="1:31" ht="21.2" customHeight="1">
      <c r="A113" s="8" t="s">
        <v>237</v>
      </c>
      <c r="B113" s="34" t="str">
        <f>VLOOKUP(A113,'Player Data'!A1:B734,2,FALSE)</f>
        <v>BOS</v>
      </c>
      <c r="C113" s="36">
        <f>((E113)*Settings!$C$12)+(F113*Settings!$C$2)+(G113*Settings!$C$3)+(H113*Settings!$C$4)+(I113*Settings!$C$5)+(K113*Settings!$C$9)+(N113*Settings!$C$6)+(J113*Settings!$C$8)+(O113*Settings!$C$7)+(P113*Settings!$C$14)+(Q113*Settings!$C$15)+(R113*Settings!$C$16)+(S113*Settings!$C$17)+(T113*Settings!$C$18)+(U113*Settings!$C$19)+(L113*Settings!$C$10)+(Settings!$C$11*M113)</f>
        <v>5.4794471040127481</v>
      </c>
      <c r="D113" s="40">
        <f>IF(Settings!$E$12="YES",VLOOKUP(A113,'Player Data'!A1:E734,5,FALSE),82)</f>
        <v>82</v>
      </c>
      <c r="E113" s="38">
        <f>(VLOOKUP($A113,'The List'!$B1:$AH730,17,FALSE)-AVERAGE('The List'!R2:R730))/STDEV('The List'!R2:R730)</f>
        <v>0.34342127368222863</v>
      </c>
      <c r="F113" s="38">
        <f>(VLOOKUP($A113,'The List'!$B1:$AH730,18,FALSE)-AVERAGE('The List'!S2:S730))/STDEV('The List'!S2:S730)</f>
        <v>1.5798128920336161</v>
      </c>
      <c r="G113" s="38">
        <f>(VLOOKUP($A113,'The List'!$B1:$AH730,19,FALSE)-AVERAGE('The List'!T2:T730))/STDEV('The List'!T2:T730)</f>
        <v>0.33300720935441591</v>
      </c>
      <c r="H113" s="38">
        <f>(VLOOKUP($A113,'The List'!$B1:$AH730,20,FALSE)-AVERAGE('The List'!U2:U730))/STDEV('The List'!U2:U730)</f>
        <v>0.93905858877420689</v>
      </c>
      <c r="I113" s="38">
        <f>(VLOOKUP($A113,'The List'!$B1:$AH730,21,FALSE)-AVERAGE('The List'!V2:V730))/STDEV('The List'!V2:V730)</f>
        <v>1.6848409491142466</v>
      </c>
      <c r="J113" s="38">
        <f>(VLOOKUP($A113,'The List'!$B1:$AH730,22,FALSE)-AVERAGE('The List'!W2:W730))/STDEV('The List'!W2:W730)</f>
        <v>1.3956483770514763</v>
      </c>
      <c r="K113" s="38">
        <f>(VLOOKUP($A113,'The List'!$B1:$AH730,23,FALSE)-AVERAGE('The List'!X2:X730))/STDEV('The List'!X2:X730)</f>
        <v>0.94272746473626245</v>
      </c>
      <c r="L113" s="38">
        <f>(VLOOKUP($A113,'The List'!$B1:$AH730,24,FALSE)-AVERAGE('The List'!Y2:Y730))/STDEV('The List'!Y2:Y730)</f>
        <v>-0.28673174818665437</v>
      </c>
      <c r="M113" s="38">
        <f>(VLOOKUP($A113,'The List'!$B1:$AH730,25,FALSE)-AVERAGE('The List'!Z2:Z730))/STDEV('The List'!Z2:Z730)</f>
        <v>0.30390395164213357</v>
      </c>
      <c r="N113" s="38">
        <f>(VLOOKUP($A113,'The List'!$B1:$AH730,26,FALSE)-AVERAGE('The List'!AA2:AA730))/STDEV('The List'!AA2:AA730)</f>
        <v>-0.79859599753115929</v>
      </c>
      <c r="O113" s="38">
        <f>(VLOOKUP($A113,'The List'!$B1:$AH730,27,FALSE)-AVERAGE('The List'!AB2:AB730))/STDEV('The List'!AB2:AB730)</f>
        <v>-1.9169995157234949E-2</v>
      </c>
      <c r="P113" s="38">
        <f>(VLOOKUP($A113,'The List'!$B1:$AH730,28,FALSE)-AVERAGE('The List'!AC2:AC730))/STDEV('The List'!AC2:AC730)</f>
        <v>1.3274426442715359</v>
      </c>
      <c r="Q113" s="38">
        <f>(VLOOKUP($A113,'The List'!$B1:$AH730,29,FALSE)-AVERAGE('The List'!AD2:AD730))/STDEV('The List'!AD2:AD730)</f>
        <v>-0.89279055581483024</v>
      </c>
      <c r="R113" s="38">
        <f>(VLOOKUP($A113,'The List'!$B1:$AH730,30,FALSE)-AVERAGE('The List'!AE2:AE730))/STDEV('The List'!AE2:AE730)</f>
        <v>1.9733081325391955</v>
      </c>
      <c r="S113" s="38">
        <f>(VLOOKUP($A113,'The List'!$B1:$AH730,31,FALSE)-AVERAGE('The List'!AF2:AF730))/STDEV('The List'!AF2:AF730)</f>
        <v>-0.53023999298226643</v>
      </c>
      <c r="T113" s="38">
        <f>(VLOOKUP($A113,'The List'!$B1:$AH730,32,FALSE)-AVERAGE('The List'!AG2:AG730))/STDEV('The List'!AG2:AG730)</f>
        <v>-0.54312018819762764</v>
      </c>
      <c r="U113" s="38">
        <f>(VLOOKUP($A113,'The List'!$B1:$AH730,33,FALSE)-AVERAGE('The List'!AH2:AH730))/STDEV('The List'!AH2:AH730)</f>
        <v>0.39865064144647683</v>
      </c>
      <c r="V113" s="38"/>
      <c r="W113" s="42"/>
      <c r="X113" s="40"/>
      <c r="Y113" s="40"/>
      <c r="Z113" s="40"/>
      <c r="AA113" s="40"/>
      <c r="AB113" s="40"/>
      <c r="AC113" s="43"/>
      <c r="AD113" s="44"/>
      <c r="AE113" s="38"/>
    </row>
    <row r="114" spans="1:31" ht="21.2" customHeight="1">
      <c r="A114" s="8" t="s">
        <v>239</v>
      </c>
      <c r="B114" s="34" t="str">
        <f>VLOOKUP(A114,'Player Data'!A1:B734,2,FALSE)</f>
        <v>CHI</v>
      </c>
      <c r="C114" s="36">
        <f>((E114)*Settings!$C$12)+(F114*Settings!$C$2)+(G114*Settings!$C$3)+(H114*Settings!$C$4)+(I114*Settings!$C$5)+(K114*Settings!$C$9)+(N114*Settings!$C$6)+(J114*Settings!$C$8)+(O114*Settings!$C$7)+(P114*Settings!$C$14)+(Q114*Settings!$C$15)+(R114*Settings!$C$16)+(S114*Settings!$C$17)+(T114*Settings!$C$18)+(U114*Settings!$C$19)+(L114*Settings!$C$10)+(Settings!$C$11*M114)</f>
        <v>5.5732687830407812</v>
      </c>
      <c r="D114" s="40">
        <f>IF(Settings!$E$12="YES",VLOOKUP(A114,'Player Data'!A1:E734,5,FALSE),82)</f>
        <v>82</v>
      </c>
      <c r="E114" s="38">
        <f>(VLOOKUP($A114,'The List'!$B1:$AH730,17,FALSE)-AVERAGE('The List'!R2:R730))/STDEV('The List'!R2:R730)</f>
        <v>0.45803517954803963</v>
      </c>
      <c r="F114" s="38">
        <f>(VLOOKUP($A114,'The List'!$B1:$AH730,18,FALSE)-AVERAGE('The List'!S2:S730))/STDEV('The List'!S2:S730)</f>
        <v>0.88587163319962758</v>
      </c>
      <c r="G114" s="38">
        <f>(VLOOKUP($A114,'The List'!$B1:$AH730,19,FALSE)-AVERAGE('The List'!T2:T730))/STDEV('The List'!T2:T730)</f>
        <v>1.072802038577334</v>
      </c>
      <c r="H114" s="38">
        <f>(VLOOKUP($A114,'The List'!$B1:$AH730,20,FALSE)-AVERAGE('The List'!U2:U730))/STDEV('The List'!U2:U730)</f>
        <v>1.0710969701925348</v>
      </c>
      <c r="I114" s="38">
        <f>(VLOOKUP($A114,'The List'!$B1:$AH730,21,FALSE)-AVERAGE('The List'!V2:V730))/STDEV('The List'!V2:V730)</f>
        <v>1.606752426544318</v>
      </c>
      <c r="J114" s="38">
        <f>(VLOOKUP($A114,'The List'!$B1:$AH730,22,FALSE)-AVERAGE('The List'!W2:W730))/STDEV('The List'!W2:W730)</f>
        <v>1.2353486514450862</v>
      </c>
      <c r="K114" s="38">
        <f>(VLOOKUP($A114,'The List'!$B1:$AH730,23,FALSE)-AVERAGE('The List'!X2:X730))/STDEV('The List'!X2:X730)</f>
        <v>0.93674571452696687</v>
      </c>
      <c r="L114" s="38">
        <f>(VLOOKUP($A114,'The List'!$B1:$AH730,24,FALSE)-AVERAGE('The List'!Y2:Y730))/STDEV('The List'!Y2:Y730)</f>
        <v>-0.51261463847472721</v>
      </c>
      <c r="M114" s="38">
        <f>(VLOOKUP($A114,'The List'!$B1:$AH730,25,FALSE)-AVERAGE('The List'!Z2:Z730))/STDEV('The List'!Z2:Z730)</f>
        <v>-0.6901688999072898</v>
      </c>
      <c r="N114" s="38">
        <f>(VLOOKUP($A114,'The List'!$B1:$AH730,26,FALSE)-AVERAGE('The List'!AA2:AA730))/STDEV('The List'!AA2:AA730)</f>
        <v>-0.51830103420795726</v>
      </c>
      <c r="O114" s="38">
        <f>(VLOOKUP($A114,'The List'!$B1:$AH730,27,FALSE)-AVERAGE('The List'!AB2:AB730))/STDEV('The List'!AB2:AB730)</f>
        <v>-0.82034270831222611</v>
      </c>
      <c r="P114" s="38">
        <f>(VLOOKUP($A114,'The List'!$B1:$AH730,28,FALSE)-AVERAGE('The List'!AC2:AC730))/STDEV('The List'!AC2:AC730)</f>
        <v>-1.1055188628858041</v>
      </c>
      <c r="Q114" s="38">
        <f>(VLOOKUP($A114,'The List'!$B1:$AH730,29,FALSE)-AVERAGE('The List'!AD2:AD730))/STDEV('The List'!AD2:AD730)</f>
        <v>0.24264348355086041</v>
      </c>
      <c r="R114" s="38">
        <f>(VLOOKUP($A114,'The List'!$B1:$AH730,30,FALSE)-AVERAGE('The List'!AE2:AE730))/STDEV('The List'!AE2:AE730)</f>
        <v>0.46985674255176746</v>
      </c>
      <c r="S114" s="38">
        <f>(VLOOKUP($A114,'The List'!$B1:$AH730,31,FALSE)-AVERAGE('The List'!AF2:AF730))/STDEV('The List'!AF2:AF730)</f>
        <v>-0.52475553770199523</v>
      </c>
      <c r="T114" s="38">
        <f>(VLOOKUP($A114,'The List'!$B1:$AH730,32,FALSE)-AVERAGE('The List'!AG2:AG730))/STDEV('The List'!AG2:AG730)</f>
        <v>-0.5569019152837561</v>
      </c>
      <c r="U114" s="38">
        <f>(VLOOKUP($A114,'The List'!$B1:$AH730,33,FALSE)-AVERAGE('The List'!AH2:AH730))/STDEV('The List'!AH2:AH730)</f>
        <v>0.77206222593267104</v>
      </c>
      <c r="V114" s="38"/>
      <c r="W114" s="42"/>
      <c r="X114" s="40"/>
      <c r="Y114" s="40"/>
      <c r="Z114" s="40"/>
      <c r="AA114" s="40"/>
      <c r="AB114" s="40"/>
      <c r="AC114" s="43"/>
      <c r="AD114" s="44"/>
      <c r="AE114" s="38"/>
    </row>
    <row r="115" spans="1:31" ht="21.2" customHeight="1">
      <c r="A115" s="8" t="s">
        <v>261</v>
      </c>
      <c r="B115" s="34" t="str">
        <f>VLOOKUP(A115,'Player Data'!A1:B734,2,FALSE)</f>
        <v>SJS</v>
      </c>
      <c r="C115" s="36">
        <f>((E115)*Settings!$C$12)+(F115*Settings!$C$2)+(G115*Settings!$C$3)+(H115*Settings!$C$4)+(I115*Settings!$C$5)+(K115*Settings!$C$9)+(N115*Settings!$C$6)+(J115*Settings!$C$8)+(O115*Settings!$C$7)+(P115*Settings!$C$14)+(Q115*Settings!$C$15)+(R115*Settings!$C$16)+(S115*Settings!$C$17)+(T115*Settings!$C$18)+(U115*Settings!$C$19)+(L115*Settings!$C$10)+(Settings!$C$11*M115)</f>
        <v>4.9497396664926105</v>
      </c>
      <c r="D115" s="40">
        <f>IF(Settings!$E$12="YES",VLOOKUP(A115,'Player Data'!A1:E734,5,FALSE),82)</f>
        <v>82</v>
      </c>
      <c r="E115" s="38">
        <f>(VLOOKUP($A115,'The List'!$B1:$AH730,17,FALSE)-AVERAGE('The List'!R2:R730))/STDEV('The List'!R2:R730)</f>
        <v>0.74327012429668216</v>
      </c>
      <c r="F115" s="38">
        <f>(VLOOKUP($A115,'The List'!$B1:$AH730,18,FALSE)-AVERAGE('The List'!S2:S730))/STDEV('The List'!S2:S730)</f>
        <v>0.92077121853231425</v>
      </c>
      <c r="G115" s="38">
        <f>(VLOOKUP($A115,'The List'!$B1:$AH730,19,FALSE)-AVERAGE('The List'!T2:T730))/STDEV('The List'!T2:T730)</f>
        <v>0.82835062613063226</v>
      </c>
      <c r="H115" s="38">
        <f>(VLOOKUP($A115,'The List'!$B1:$AH730,20,FALSE)-AVERAGE('The List'!U2:U730))/STDEV('The List'!U2:U730)</f>
        <v>0.93709584048883432</v>
      </c>
      <c r="I115" s="38">
        <f>(VLOOKUP($A115,'The List'!$B1:$AH730,21,FALSE)-AVERAGE('The List'!V2:V730))/STDEV('The List'!V2:V730)</f>
        <v>0.9992613103154051</v>
      </c>
      <c r="J115" s="38">
        <f>(VLOOKUP($A115,'The List'!$B1:$AH730,22,FALSE)-AVERAGE('The List'!W2:W730))/STDEV('The List'!W2:W730)</f>
        <v>0.74553845210471104</v>
      </c>
      <c r="K115" s="38">
        <f>(VLOOKUP($A115,'The List'!$B1:$AH730,23,FALSE)-AVERAGE('The List'!X2:X730))/STDEV('The List'!X2:X730)</f>
        <v>1.2642606710254247</v>
      </c>
      <c r="L115" s="38">
        <f>(VLOOKUP($A115,'The List'!$B1:$AH730,24,FALSE)-AVERAGE('The List'!Y2:Y730))/STDEV('The List'!Y2:Y730)</f>
        <v>1.3878458397782114</v>
      </c>
      <c r="M115" s="38">
        <f>(VLOOKUP($A115,'The List'!$B1:$AH730,25,FALSE)-AVERAGE('The List'!Z2:Z730))/STDEV('The List'!Z2:Z730)</f>
        <v>0.43799056735439867</v>
      </c>
      <c r="N115" s="38">
        <f>(VLOOKUP($A115,'The List'!$B1:$AH730,26,FALSE)-AVERAGE('The List'!AA2:AA730))/STDEV('The List'!AA2:AA730)</f>
        <v>-9.2936172040780276E-3</v>
      </c>
      <c r="O115" s="38">
        <f>(VLOOKUP($A115,'The List'!$B1:$AH730,27,FALSE)-AVERAGE('The List'!AB2:AB730))/STDEV('The List'!AB2:AB730)</f>
        <v>0.22869212498781907</v>
      </c>
      <c r="P115" s="38">
        <f>(VLOOKUP($A115,'The List'!$B1:$AH730,28,FALSE)-AVERAGE('The List'!AC2:AC730))/STDEV('The List'!AC2:AC730)</f>
        <v>8.2852292457138398E-3</v>
      </c>
      <c r="Q115" s="38">
        <f>(VLOOKUP($A115,'The List'!$B1:$AH730,29,FALSE)-AVERAGE('The List'!AD2:AD730))/STDEV('The List'!AD2:AD730)</f>
        <v>-0.60492497834665904</v>
      </c>
      <c r="R115" s="38">
        <f>(VLOOKUP($A115,'The List'!$B1:$AH730,30,FALSE)-AVERAGE('The List'!AE2:AE730))/STDEV('The List'!AE2:AE730)</f>
        <v>0.60052830004642654</v>
      </c>
      <c r="S115" s="38">
        <f>(VLOOKUP($A115,'The List'!$B1:$AH730,31,FALSE)-AVERAGE('The List'!AF2:AF730))/STDEV('The List'!AF2:AF730)</f>
        <v>2.5178410167723273</v>
      </c>
      <c r="T115" s="38">
        <f>(VLOOKUP($A115,'The List'!$B1:$AH730,32,FALSE)-AVERAGE('The List'!AG2:AG730))/STDEV('The List'!AG2:AG730)</f>
        <v>2.8660839692517737</v>
      </c>
      <c r="U115" s="38">
        <f>(VLOOKUP($A115,'The List'!$B1:$AH730,33,FALSE)-AVERAGE('The List'!AH2:AH730))/STDEV('The List'!AH2:AH730)</f>
        <v>0.94194559895817742</v>
      </c>
      <c r="V115" s="38"/>
      <c r="W115" s="42"/>
      <c r="X115" s="40"/>
      <c r="Y115" s="40"/>
      <c r="Z115" s="40"/>
      <c r="AA115" s="40"/>
      <c r="AB115" s="40"/>
      <c r="AC115" s="43"/>
      <c r="AD115" s="44"/>
      <c r="AE115" s="38"/>
    </row>
    <row r="116" spans="1:31" ht="21.2" customHeight="1">
      <c r="A116" s="8" t="s">
        <v>231</v>
      </c>
      <c r="B116" s="34" t="str">
        <f>VLOOKUP(A116,'Player Data'!A1:B734,2,FALSE)</f>
        <v>UFA</v>
      </c>
      <c r="C116" s="36">
        <f>((E116)*Settings!$C$12)+(F116*Settings!$C$2)+(G116*Settings!$C$3)+(H116*Settings!$C$4)+(I116*Settings!$C$5)+(K116*Settings!$C$9)+(N116*Settings!$C$6)+(J116*Settings!$C$8)+(O116*Settings!$C$7)+(P116*Settings!$C$14)+(Q116*Settings!$C$15)+(R116*Settings!$C$16)+(S116*Settings!$C$17)+(T116*Settings!$C$18)+(U116*Settings!$C$19)+(L116*Settings!$C$10)+(Settings!$C$11*M116)</f>
        <v>5.0986563421658717</v>
      </c>
      <c r="D116" s="40">
        <f>IF(Settings!$E$12="YES",VLOOKUP(A116,'Player Data'!A1:E734,5,FALSE),82)</f>
        <v>82</v>
      </c>
      <c r="E116" s="38">
        <f>(VLOOKUP($A116,'The List'!$B1:$AH730,17,FALSE)-AVERAGE('The List'!R2:R730))/STDEV('The List'!R2:R730)</f>
        <v>2.8585965827453819E-2</v>
      </c>
      <c r="F116" s="38">
        <f>(VLOOKUP($A116,'The List'!$B1:$AH730,18,FALSE)-AVERAGE('The List'!S2:S730))/STDEV('The List'!S2:S730)</f>
        <v>0.38859191881744415</v>
      </c>
      <c r="G116" s="38">
        <f>(VLOOKUP($A116,'The List'!$B1:$AH730,19,FALSE)-AVERAGE('The List'!T2:T730))/STDEV('The List'!T2:T730)</f>
        <v>1.2280467451808874</v>
      </c>
      <c r="H116" s="38">
        <f>(VLOOKUP($A116,'The List'!$B1:$AH730,20,FALSE)-AVERAGE('The List'!U2:U730))/STDEV('The List'!U2:U730)</f>
        <v>0.935328973603332</v>
      </c>
      <c r="I116" s="38">
        <f>(VLOOKUP($A116,'The List'!$B1:$AH730,21,FALSE)-AVERAGE('The List'!V2:V730))/STDEV('The List'!V2:V730)</f>
        <v>1.2336865759752405</v>
      </c>
      <c r="J116" s="38">
        <f>(VLOOKUP($A116,'The List'!$B1:$AH730,22,FALSE)-AVERAGE('The List'!W2:W730))/STDEV('The List'!W2:W730)</f>
        <v>0.54831537310087852</v>
      </c>
      <c r="K116" s="38">
        <f>(VLOOKUP($A116,'The List'!$B1:$AH730,23,FALSE)-AVERAGE('The List'!X2:X730))/STDEV('The List'!X2:X730)</f>
        <v>1.3130021285889681</v>
      </c>
      <c r="L116" s="38">
        <f>(VLOOKUP($A116,'The List'!$B1:$AH730,24,FALSE)-AVERAGE('The List'!Y2:Y730))/STDEV('The List'!Y2:Y730)</f>
        <v>-0.52515529094994673</v>
      </c>
      <c r="M116" s="38">
        <f>(VLOOKUP($A116,'The List'!$B1:$AH730,25,FALSE)-AVERAGE('The List'!Z2:Z730))/STDEV('The List'!Z2:Z730)</f>
        <v>-0.70378350861314143</v>
      </c>
      <c r="N116" s="38">
        <f>(VLOOKUP($A116,'The List'!$B1:$AH730,26,FALSE)-AVERAGE('The List'!AA2:AA730))/STDEV('The List'!AA2:AA730)</f>
        <v>-1.0756850072105824</v>
      </c>
      <c r="O116" s="38">
        <f>(VLOOKUP($A116,'The List'!$B1:$AH730,27,FALSE)-AVERAGE('The List'!AB2:AB730))/STDEV('The List'!AB2:AB730)</f>
        <v>-1.6360104829543671</v>
      </c>
      <c r="P116" s="38">
        <f>(VLOOKUP($A116,'The List'!$B1:$AH730,28,FALSE)-AVERAGE('The List'!AC2:AC730))/STDEV('The List'!AC2:AC730)</f>
        <v>-0.31643714483178109</v>
      </c>
      <c r="Q116" s="38">
        <f>(VLOOKUP($A116,'The List'!$B1:$AH730,29,FALSE)-AVERAGE('The List'!AD2:AD730))/STDEV('The List'!AD2:AD730)</f>
        <v>-1.1093339871548986</v>
      </c>
      <c r="R116" s="38">
        <f>(VLOOKUP($A116,'The List'!$B1:$AH730,30,FALSE)-AVERAGE('The List'!AE2:AE730))/STDEV('The List'!AE2:AE730)</f>
        <v>-1.2515972607254897</v>
      </c>
      <c r="S116" s="38">
        <f>(VLOOKUP($A116,'The List'!$B1:$AH730,31,FALSE)-AVERAGE('The List'!AF2:AF730))/STDEV('The List'!AF2:AF730)</f>
        <v>-0.56177325827349656</v>
      </c>
      <c r="T116" s="38">
        <f>(VLOOKUP($A116,'The List'!$B1:$AH730,32,FALSE)-AVERAGE('The List'!AG2:AG730))/STDEV('The List'!AG2:AG730)</f>
        <v>-0.60589239675463025</v>
      </c>
      <c r="U116" s="38">
        <f>(VLOOKUP($A116,'The List'!$B1:$AH730,33,FALSE)-AVERAGE('The List'!AH2:AH730))/STDEV('The List'!AH2:AH730)</f>
        <v>0.82243610939344369</v>
      </c>
      <c r="V116" s="38"/>
      <c r="W116" s="42"/>
      <c r="X116" s="40"/>
      <c r="Y116" s="40"/>
      <c r="Z116" s="40"/>
      <c r="AA116" s="40"/>
      <c r="AB116" s="40"/>
      <c r="AC116" s="43"/>
      <c r="AD116" s="44"/>
      <c r="AE116" s="38"/>
    </row>
    <row r="117" spans="1:31" ht="21.2" customHeight="1">
      <c r="A117" s="8" t="s">
        <v>167</v>
      </c>
      <c r="B117" s="34" t="str">
        <f>VLOOKUP(A117,'Player Data'!A1:B734,2,FALSE)</f>
        <v>BOS</v>
      </c>
      <c r="C117" s="36">
        <f>((E117)*Settings!$C$12)+(F117*Settings!$C$2)+(G117*Settings!$C$3)+(H117*Settings!$C$4)+(I117*Settings!$C$5)+(K117*Settings!$C$9)+(N117*Settings!$C$6)+(J117*Settings!$C$8)+(O117*Settings!$C$7)+(P117*Settings!$C$14)+(Q117*Settings!$C$15)+(R117*Settings!$C$16)+(S117*Settings!$C$17)+(T117*Settings!$C$18)+(U117*Settings!$C$19)+(L117*Settings!$C$10)+(Settings!$C$11*M117)</f>
        <v>3.8650349353748927</v>
      </c>
      <c r="D117" s="40">
        <f>IF(Settings!$E$12="YES",VLOOKUP(A117,'Player Data'!A1:E734,5,FALSE),82)</f>
        <v>82</v>
      </c>
      <c r="E117" s="38">
        <f>(VLOOKUP($A117,'The List'!$B1:$AH730,17,FALSE)-AVERAGE('The List'!R2:R730))/STDEV('The List'!R2:R730)</f>
        <v>1.8451772959226318</v>
      </c>
      <c r="F117" s="38">
        <f>(VLOOKUP($A117,'The List'!$B1:$AH730,18,FALSE)-AVERAGE('The List'!S2:S730))/STDEV('The List'!S2:S730)</f>
        <v>-0.44705231973018816</v>
      </c>
      <c r="G117" s="38">
        <f>(VLOOKUP($A117,'The List'!$B1:$AH730,19,FALSE)-AVERAGE('The List'!T2:T730))/STDEV('The List'!T2:T730)</f>
        <v>1.8428590642029432</v>
      </c>
      <c r="H117" s="38">
        <f>(VLOOKUP($A117,'The List'!$B1:$AH730,20,FALSE)-AVERAGE('The List'!U2:U730))/STDEV('The List'!U2:U730)</f>
        <v>0.92468677873786786</v>
      </c>
      <c r="I117" s="38">
        <f>(VLOOKUP($A117,'The List'!$B1:$AH730,21,FALSE)-AVERAGE('The List'!V2:V730))/STDEV('The List'!V2:V730)</f>
        <v>0.11039286243587795</v>
      </c>
      <c r="J117" s="38">
        <f>(VLOOKUP($A117,'The List'!$B1:$AH730,22,FALSE)-AVERAGE('The List'!W2:W730))/STDEV('The List'!W2:W730)</f>
        <v>0.11308441203295934</v>
      </c>
      <c r="K117" s="38">
        <f>(VLOOKUP($A117,'The List'!$B1:$AH730,23,FALSE)-AVERAGE('The List'!X2:X730))/STDEV('The List'!X2:X730)</f>
        <v>1.4341485497283919</v>
      </c>
      <c r="L117" s="38">
        <f>(VLOOKUP($A117,'The List'!$B1:$AH730,24,FALSE)-AVERAGE('The List'!Y2:Y730))/STDEV('The List'!Y2:Y730)</f>
        <v>-0.45488972215701201</v>
      </c>
      <c r="M117" s="38">
        <f>(VLOOKUP($A117,'The List'!$B1:$AH730,25,FALSE)-AVERAGE('The List'!Z2:Z730))/STDEV('The List'!Z2:Z730)</f>
        <v>-0.26810376866444707</v>
      </c>
      <c r="N117" s="38">
        <f>(VLOOKUP($A117,'The List'!$B1:$AH730,26,FALSE)-AVERAGE('The List'!AA2:AA730))/STDEV('The List'!AA2:AA730)</f>
        <v>1.9989082442373471</v>
      </c>
      <c r="O117" s="38">
        <f>(VLOOKUP($A117,'The List'!$B1:$AH730,27,FALSE)-AVERAGE('The List'!AB2:AB730))/STDEV('The List'!AB2:AB730)</f>
        <v>0.30303882259044279</v>
      </c>
      <c r="P117" s="38">
        <f>(VLOOKUP($A117,'The List'!$B1:$AH730,28,FALSE)-AVERAGE('The List'!AC2:AC730))/STDEV('The List'!AC2:AC730)</f>
        <v>1.7684317660678326</v>
      </c>
      <c r="Q117" s="38">
        <f>(VLOOKUP($A117,'The List'!$B1:$AH730,29,FALSE)-AVERAGE('The List'!AD2:AD730))/STDEV('The List'!AD2:AD730)</f>
        <v>1.9326220432785632</v>
      </c>
      <c r="R117" s="38">
        <f>(VLOOKUP($A117,'The List'!$B1:$AH730,30,FALSE)-AVERAGE('The List'!AE2:AE730))/STDEV('The List'!AE2:AE730)</f>
        <v>-0.24259302707534827</v>
      </c>
      <c r="S117" s="38">
        <f>(VLOOKUP($A117,'The List'!$B1:$AH730,31,FALSE)-AVERAGE('The List'!AF2:AF730))/STDEV('The List'!AF2:AF730)</f>
        <v>-0.56911587195029545</v>
      </c>
      <c r="T117" s="38">
        <f>(VLOOKUP($A117,'The List'!$B1:$AH730,32,FALSE)-AVERAGE('The List'!AG2:AG730))/STDEV('The List'!AG2:AG730)</f>
        <v>-0.61510119871956948</v>
      </c>
      <c r="U117" s="38">
        <f>(VLOOKUP($A117,'The List'!$B1:$AH730,33,FALSE)-AVERAGE('The List'!AH2:AH730))/STDEV('The List'!AH2:AH730)</f>
        <v>-1.2363238714825984</v>
      </c>
      <c r="V117" s="38"/>
      <c r="W117" s="42"/>
      <c r="X117" s="40"/>
      <c r="Y117" s="40"/>
      <c r="Z117" s="40"/>
      <c r="AA117" s="40"/>
      <c r="AB117" s="40"/>
      <c r="AC117" s="43"/>
      <c r="AD117" s="44"/>
      <c r="AE117" s="38"/>
    </row>
    <row r="118" spans="1:31" ht="21.2" customHeight="1">
      <c r="A118" s="8" t="s">
        <v>155</v>
      </c>
      <c r="B118" s="34" t="str">
        <f>VLOOKUP(A118,'Player Data'!A1:B734,2,FALSE)</f>
        <v>TBL</v>
      </c>
      <c r="C118" s="36">
        <f>((E118)*Settings!$C$12)+(F118*Settings!$C$2)+(G118*Settings!$C$3)+(H118*Settings!$C$4)+(I118*Settings!$C$5)+(K118*Settings!$C$9)+(N118*Settings!$C$6)+(J118*Settings!$C$8)+(O118*Settings!$C$7)+(P118*Settings!$C$14)+(Q118*Settings!$C$15)+(R118*Settings!$C$16)+(S118*Settings!$C$17)+(T118*Settings!$C$18)+(U118*Settings!$C$19)+(L118*Settings!$C$10)+(Settings!$C$11*M118)</f>
        <v>4.1230926761332718</v>
      </c>
      <c r="D118" s="40">
        <f>IF(Settings!$E$12="YES",VLOOKUP(A118,'Player Data'!A1:E734,5,FALSE),82)</f>
        <v>82</v>
      </c>
      <c r="E118" s="38">
        <f>(VLOOKUP($A118,'The List'!$B1:$AH730,17,FALSE)-AVERAGE('The List'!R2:R730))/STDEV('The List'!R2:R730)</f>
        <v>2.0472016605690717</v>
      </c>
      <c r="F118" s="38">
        <f>(VLOOKUP($A118,'The List'!$B1:$AH730,18,FALSE)-AVERAGE('The List'!S2:S730))/STDEV('The List'!S2:S730)</f>
        <v>-0.4463217905695025</v>
      </c>
      <c r="G118" s="38">
        <f>(VLOOKUP($A118,'The List'!$B1:$AH730,19,FALSE)-AVERAGE('The List'!T2:T730))/STDEV('The List'!T2:T730)</f>
        <v>1.8325186862261322</v>
      </c>
      <c r="H118" s="38">
        <f>(VLOOKUP($A118,'The List'!$B1:$AH730,20,FALSE)-AVERAGE('The List'!U2:U730))/STDEV('The List'!U2:U730)</f>
        <v>0.91867181308138568</v>
      </c>
      <c r="I118" s="38">
        <f>(VLOOKUP($A118,'The List'!$B1:$AH730,21,FALSE)-AVERAGE('The List'!V2:V730))/STDEV('The List'!V2:V730)</f>
        <v>0.41447247290098926</v>
      </c>
      <c r="J118" s="38">
        <f>(VLOOKUP($A118,'The List'!$B1:$AH730,22,FALSE)-AVERAGE('The List'!W2:W730))/STDEV('The List'!W2:W730)</f>
        <v>-6.3737677907041462E-2</v>
      </c>
      <c r="K118" s="38">
        <f>(VLOOKUP($A118,'The List'!$B1:$AH730,23,FALSE)-AVERAGE('The List'!X2:X730))/STDEV('The List'!X2:X730)</f>
        <v>1.4037514944942671</v>
      </c>
      <c r="L118" s="38">
        <f>(VLOOKUP($A118,'The List'!$B1:$AH730,24,FALSE)-AVERAGE('The List'!Y2:Y730))/STDEV('The List'!Y2:Y730)</f>
        <v>-0.45571470322400098</v>
      </c>
      <c r="M118" s="38">
        <f>(VLOOKUP($A118,'The List'!$B1:$AH730,25,FALSE)-AVERAGE('The List'!Z2:Z730))/STDEV('The List'!Z2:Z730)</f>
        <v>0.40739312262710797</v>
      </c>
      <c r="N118" s="38">
        <f>(VLOOKUP($A118,'The List'!$B1:$AH730,26,FALSE)-AVERAGE('The List'!AA2:AA730))/STDEV('The List'!AA2:AA730)</f>
        <v>1.9489396594874702</v>
      </c>
      <c r="O118" s="38">
        <f>(VLOOKUP($A118,'The List'!$B1:$AH730,27,FALSE)-AVERAGE('The List'!AB2:AB730))/STDEV('The List'!AB2:AB730)</f>
        <v>0.53597775219134125</v>
      </c>
      <c r="P118" s="38">
        <f>(VLOOKUP($A118,'The List'!$B1:$AH730,28,FALSE)-AVERAGE('The List'!AC2:AC730))/STDEV('The List'!AC2:AC730)</f>
        <v>0.15102307706402149</v>
      </c>
      <c r="Q118" s="38">
        <f>(VLOOKUP($A118,'The List'!$B1:$AH730,29,FALSE)-AVERAGE('The List'!AD2:AD730))/STDEV('The List'!AD2:AD730)</f>
        <v>1.4857628370050686</v>
      </c>
      <c r="R118" s="38">
        <f>(VLOOKUP($A118,'The List'!$B1:$AH730,30,FALSE)-AVERAGE('The List'!AE2:AE730))/STDEV('The List'!AE2:AE730)</f>
        <v>-0.31024499613465667</v>
      </c>
      <c r="S118" s="38">
        <f>(VLOOKUP($A118,'The List'!$B1:$AH730,31,FALSE)-AVERAGE('The List'!AF2:AF730))/STDEV('The List'!AF2:AF730)</f>
        <v>-0.56911587195029545</v>
      </c>
      <c r="T118" s="38">
        <f>(VLOOKUP($A118,'The List'!$B1:$AH730,32,FALSE)-AVERAGE('The List'!AG2:AG730))/STDEV('The List'!AG2:AG730)</f>
        <v>-0.61510119871956948</v>
      </c>
      <c r="U118" s="38">
        <f>(VLOOKUP($A118,'The List'!$B1:$AH730,33,FALSE)-AVERAGE('The List'!AH2:AH730))/STDEV('The List'!AH2:AH730)</f>
        <v>-1.2363238714825984</v>
      </c>
      <c r="V118" s="38"/>
      <c r="W118" s="42"/>
      <c r="X118" s="40"/>
      <c r="Y118" s="40"/>
      <c r="Z118" s="40"/>
      <c r="AA118" s="40"/>
      <c r="AB118" s="40"/>
      <c r="AC118" s="43"/>
      <c r="AD118" s="44"/>
      <c r="AE118" s="38"/>
    </row>
    <row r="119" spans="1:31" ht="21.2" customHeight="1">
      <c r="A119" s="8" t="s">
        <v>304</v>
      </c>
      <c r="B119" s="34" t="str">
        <f>VLOOKUP(A119,'Player Data'!A1:B734,2,FALSE)</f>
        <v>WSH</v>
      </c>
      <c r="C119" s="36">
        <f>((E119)*Settings!$C$12)+(F119*Settings!$C$2)+(G119*Settings!$C$3)+(H119*Settings!$C$4)+(I119*Settings!$C$5)+(K119*Settings!$C$9)+(N119*Settings!$C$6)+(J119*Settings!$C$8)+(O119*Settings!$C$7)+(P119*Settings!$C$14)+(Q119*Settings!$C$15)+(R119*Settings!$C$16)+(S119*Settings!$C$17)+(T119*Settings!$C$18)+(U119*Settings!$C$19)+(L119*Settings!$C$10)+(Settings!$C$11*M119)</f>
        <v>3.3379141082979009</v>
      </c>
      <c r="D119" s="40">
        <f>IF(Settings!$E$12="YES",VLOOKUP(A119,'Player Data'!A1:E734,5,FALSE),82)</f>
        <v>82</v>
      </c>
      <c r="E119" s="38">
        <f>(VLOOKUP($A119,'The List'!$B1:$AH730,17,FALSE)-AVERAGE('The List'!R2:R730))/STDEV('The List'!R2:R730)</f>
        <v>0.47487496823305569</v>
      </c>
      <c r="F119" s="38">
        <f>(VLOOKUP($A119,'The List'!$B1:$AH730,18,FALSE)-AVERAGE('The List'!S2:S730))/STDEV('The List'!S2:S730)</f>
        <v>0.17558736416336501</v>
      </c>
      <c r="G119" s="38">
        <f>(VLOOKUP($A119,'The List'!$B1:$AH730,19,FALSE)-AVERAGE('The List'!T2:T730))/STDEV('The List'!T2:T730)</f>
        <v>1.3160234307374972</v>
      </c>
      <c r="H119" s="38">
        <f>(VLOOKUP($A119,'The List'!$B1:$AH730,20,FALSE)-AVERAGE('The List'!U2:U730))/STDEV('The List'!U2:U730)</f>
        <v>0.89037401430951435</v>
      </c>
      <c r="I119" s="38">
        <f>(VLOOKUP($A119,'The List'!$B1:$AH730,21,FALSE)-AVERAGE('The List'!V2:V730))/STDEV('The List'!V2:V730)</f>
        <v>0.35248911175800762</v>
      </c>
      <c r="J119" s="38">
        <f>(VLOOKUP($A119,'The List'!$B1:$AH730,22,FALSE)-AVERAGE('The List'!W2:W730))/STDEV('The List'!W2:W730)</f>
        <v>0.2281060644107713</v>
      </c>
      <c r="K119" s="38">
        <f>(VLOOKUP($A119,'The List'!$B1:$AH730,23,FALSE)-AVERAGE('The List'!X2:X730))/STDEV('The List'!X2:X730)</f>
        <v>0.60344018732951665</v>
      </c>
      <c r="L119" s="38">
        <f>(VLOOKUP($A119,'The List'!$B1:$AH730,24,FALSE)-AVERAGE('The List'!Y2:Y730))/STDEV('The List'!Y2:Y730)</f>
        <v>0.90046217615287227</v>
      </c>
      <c r="M119" s="38">
        <f>(VLOOKUP($A119,'The List'!$B1:$AH730,25,FALSE)-AVERAGE('The List'!Z2:Z730))/STDEV('The List'!Z2:Z730)</f>
        <v>1.006407372180776</v>
      </c>
      <c r="N119" s="38">
        <f>(VLOOKUP($A119,'The List'!$B1:$AH730,26,FALSE)-AVERAGE('The List'!AA2:AA730))/STDEV('The List'!AA2:AA730)</f>
        <v>-0.82687221584978765</v>
      </c>
      <c r="O119" s="38">
        <f>(VLOOKUP($A119,'The List'!$B1:$AH730,27,FALSE)-AVERAGE('The List'!AB2:AB730))/STDEV('The List'!AB2:AB730)</f>
        <v>-1.0680301542409874</v>
      </c>
      <c r="P119" s="38">
        <f>(VLOOKUP($A119,'The List'!$B1:$AH730,28,FALSE)-AVERAGE('The List'!AC2:AC730))/STDEV('The List'!AC2:AC730)</f>
        <v>-0.93317802317680876</v>
      </c>
      <c r="Q119" s="38">
        <f>(VLOOKUP($A119,'The List'!$B1:$AH730,29,FALSE)-AVERAGE('The List'!AD2:AD730))/STDEV('The List'!AD2:AD730)</f>
        <v>0.63472866924596905</v>
      </c>
      <c r="R119" s="38">
        <f>(VLOOKUP($A119,'The List'!$B1:$AH730,30,FALSE)-AVERAGE('The List'!AE2:AE730))/STDEV('The List'!AE2:AE730)</f>
        <v>-1.354367616037859E-2</v>
      </c>
      <c r="S119" s="38">
        <f>(VLOOKUP($A119,'The List'!$B1:$AH730,31,FALSE)-AVERAGE('The List'!AF2:AF730))/STDEV('The List'!AF2:AF730)</f>
        <v>1.7407950014489455</v>
      </c>
      <c r="T119" s="38">
        <f>(VLOOKUP($A119,'The List'!$B1:$AH730,32,FALSE)-AVERAGE('The List'!AG2:AG730))/STDEV('The List'!AG2:AG730)</f>
        <v>2.342679322537518</v>
      </c>
      <c r="U119" s="38">
        <f>(VLOOKUP($A119,'The List'!$B1:$AH730,33,FALSE)-AVERAGE('The List'!AH2:AH730))/STDEV('The List'!AH2:AH730)</f>
        <v>0.79919523926810121</v>
      </c>
      <c r="V119" s="38"/>
      <c r="W119" s="42"/>
      <c r="X119" s="40"/>
      <c r="Y119" s="40"/>
      <c r="Z119" s="40"/>
      <c r="AA119" s="40"/>
      <c r="AB119" s="40"/>
      <c r="AC119" s="43"/>
      <c r="AD119" s="44"/>
      <c r="AE119" s="38"/>
    </row>
    <row r="120" spans="1:31" ht="21.2" customHeight="1">
      <c r="A120" s="8" t="s">
        <v>318</v>
      </c>
      <c r="B120" s="34" t="str">
        <f>VLOOKUP(A120,'Player Data'!A1:B734,2,FALSE)</f>
        <v>NSH</v>
      </c>
      <c r="C120" s="36">
        <f>((E120)*Settings!$C$12)+(F120*Settings!$C$2)+(G120*Settings!$C$3)+(H120*Settings!$C$4)+(I120*Settings!$C$5)+(K120*Settings!$C$9)+(N120*Settings!$C$6)+(J120*Settings!$C$8)+(O120*Settings!$C$7)+(P120*Settings!$C$14)+(Q120*Settings!$C$15)+(R120*Settings!$C$16)+(S120*Settings!$C$17)+(T120*Settings!$C$18)+(U120*Settings!$C$19)+(L120*Settings!$C$10)+(Settings!$C$11*M120)</f>
        <v>3.2517709157274171</v>
      </c>
      <c r="D120" s="40">
        <f>IF(Settings!$E$12="YES",VLOOKUP(A120,'Player Data'!A1:E734,5,FALSE),82)</f>
        <v>82</v>
      </c>
      <c r="E120" s="38">
        <f>(VLOOKUP($A120,'The List'!$B1:$AH730,17,FALSE)-AVERAGE('The List'!R2:R730))/STDEV('The List'!R2:R730)</f>
        <v>3.7508491253807827E-2</v>
      </c>
      <c r="F120" s="38">
        <f>(VLOOKUP($A120,'The List'!$B1:$AH730,18,FALSE)-AVERAGE('The List'!S2:S730))/STDEV('The List'!S2:S730)</f>
        <v>0.9571558960387162</v>
      </c>
      <c r="G120" s="38">
        <f>(VLOOKUP($A120,'The List'!$B1:$AH730,19,FALSE)-AVERAGE('The List'!T2:T730))/STDEV('The List'!T2:T730)</f>
        <v>0.49100866553269679</v>
      </c>
      <c r="H120" s="38">
        <f>(VLOOKUP($A120,'The List'!$B1:$AH730,20,FALSE)-AVERAGE('The List'!U2:U730))/STDEV('The List'!U2:U730)</f>
        <v>0.74670019430409573</v>
      </c>
      <c r="I120" s="38">
        <f>(VLOOKUP($A120,'The List'!$B1:$AH730,21,FALSE)-AVERAGE('The List'!V2:V730))/STDEV('The List'!V2:V730)</f>
        <v>0.63447572113880235</v>
      </c>
      <c r="J120" s="38">
        <f>(VLOOKUP($A120,'The List'!$B1:$AH730,22,FALSE)-AVERAGE('The List'!W2:W730))/STDEV('The List'!W2:W730)</f>
        <v>0.20676094312127175</v>
      </c>
      <c r="K120" s="38">
        <f>(VLOOKUP($A120,'The List'!$B1:$AH730,23,FALSE)-AVERAGE('The List'!X2:X730))/STDEV('The List'!X2:X730)</f>
        <v>0.42243043871310609</v>
      </c>
      <c r="L120" s="38">
        <f>(VLOOKUP($A120,'The List'!$B1:$AH730,24,FALSE)-AVERAGE('The List'!Y2:Y730))/STDEV('The List'!Y2:Y730)</f>
        <v>-0.52161689540143186</v>
      </c>
      <c r="M120" s="38">
        <f>(VLOOKUP($A120,'The List'!$B1:$AH730,25,FALSE)-AVERAGE('The List'!Z2:Z730))/STDEV('The List'!Z2:Z730)</f>
        <v>-0.6994084898907903</v>
      </c>
      <c r="N120" s="38">
        <f>(VLOOKUP($A120,'The List'!$B1:$AH730,26,FALSE)-AVERAGE('The List'!AA2:AA730))/STDEV('The List'!AA2:AA730)</f>
        <v>-0.93453696347605297</v>
      </c>
      <c r="O120" s="38">
        <f>(VLOOKUP($A120,'The List'!$B1:$AH730,27,FALSE)-AVERAGE('The List'!AB2:AB730))/STDEV('The List'!AB2:AB730)</f>
        <v>-1.0251787799527166</v>
      </c>
      <c r="P120" s="38">
        <f>(VLOOKUP($A120,'The List'!$B1:$AH730,28,FALSE)-AVERAGE('The List'!AC2:AC730))/STDEV('The List'!AC2:AC730)</f>
        <v>-0.1294054395704643</v>
      </c>
      <c r="Q120" s="38">
        <f>(VLOOKUP($A120,'The List'!$B1:$AH730,29,FALSE)-AVERAGE('The List'!AD2:AD730))/STDEV('The List'!AD2:AD730)</f>
        <v>-0.38695932701504521</v>
      </c>
      <c r="R120" s="38">
        <f>(VLOOKUP($A120,'The List'!$B1:$AH730,30,FALSE)-AVERAGE('The List'!AE2:AE730))/STDEV('The List'!AE2:AE730)</f>
        <v>0.96138554511858532</v>
      </c>
      <c r="S120" s="38">
        <f>(VLOOKUP($A120,'The List'!$B1:$AH730,31,FALSE)-AVERAGE('The List'!AF2:AF730))/STDEV('The List'!AF2:AF730)</f>
        <v>-0.56911587195029545</v>
      </c>
      <c r="T120" s="38">
        <f>(VLOOKUP($A120,'The List'!$B1:$AH730,32,FALSE)-AVERAGE('The List'!AG2:AG730))/STDEV('The List'!AG2:AG730)</f>
        <v>-0.61510119871956948</v>
      </c>
      <c r="U120" s="38">
        <f>(VLOOKUP($A120,'The List'!$B1:$AH730,33,FALSE)-AVERAGE('The List'!AH2:AH730))/STDEV('The List'!AH2:AH730)</f>
        <v>-1.2363238714825984</v>
      </c>
      <c r="V120" s="38"/>
      <c r="W120" s="42"/>
      <c r="X120" s="40"/>
      <c r="Y120" s="40"/>
      <c r="Z120" s="40"/>
      <c r="AA120" s="40"/>
      <c r="AB120" s="40"/>
      <c r="AC120" s="43"/>
      <c r="AD120" s="44"/>
      <c r="AE120" s="38"/>
    </row>
    <row r="121" spans="1:31" ht="21.2" customHeight="1">
      <c r="A121" s="8" t="s">
        <v>307</v>
      </c>
      <c r="B121" s="34" t="str">
        <f>VLOOKUP(A121,'Player Data'!A1:B734,2,FALSE)</f>
        <v>ARI</v>
      </c>
      <c r="C121" s="36">
        <f>((E121)*Settings!$C$12)+(F121*Settings!$C$2)+(G121*Settings!$C$3)+(H121*Settings!$C$4)+(I121*Settings!$C$5)+(K121*Settings!$C$9)+(N121*Settings!$C$6)+(J121*Settings!$C$8)+(O121*Settings!$C$7)+(P121*Settings!$C$14)+(Q121*Settings!$C$15)+(R121*Settings!$C$16)+(S121*Settings!$C$17)+(T121*Settings!$C$18)+(U121*Settings!$C$19)+(L121*Settings!$C$10)+(Settings!$C$11*M121)</f>
        <v>3.7268522457751323</v>
      </c>
      <c r="D121" s="40">
        <f>IF(Settings!$E$12="YES",VLOOKUP(A121,'Player Data'!A1:E734,5,FALSE),82)</f>
        <v>82</v>
      </c>
      <c r="E121" s="38">
        <f>(VLOOKUP($A121,'The List'!$B1:$AH730,17,FALSE)-AVERAGE('The List'!R2:R730))/STDEV('The List'!R2:R730)</f>
        <v>0.27557239875381118</v>
      </c>
      <c r="F121" s="38">
        <f>(VLOOKUP($A121,'The List'!$B1:$AH730,18,FALSE)-AVERAGE('The List'!S2:S730))/STDEV('The List'!S2:S730)</f>
        <v>0.77980036848856138</v>
      </c>
      <c r="G121" s="38">
        <f>(VLOOKUP($A121,'The List'!$B1:$AH730,19,FALSE)-AVERAGE('The List'!T2:T730))/STDEV('The List'!T2:T730)</f>
        <v>0.83655610152672888</v>
      </c>
      <c r="H121" s="38">
        <f>(VLOOKUP($A121,'The List'!$B1:$AH730,20,FALSE)-AVERAGE('The List'!U2:U730))/STDEV('The List'!U2:U730)</f>
        <v>0.87660486804939697</v>
      </c>
      <c r="I121" s="38">
        <f>(VLOOKUP($A121,'The List'!$B1:$AH730,21,FALSE)-AVERAGE('The List'!V2:V730))/STDEV('The List'!V2:V730)</f>
        <v>0.41304119806811662</v>
      </c>
      <c r="J121" s="38">
        <f>(VLOOKUP($A121,'The List'!$B1:$AH730,22,FALSE)-AVERAGE('The List'!W2:W730))/STDEV('The List'!W2:W730)</f>
        <v>0.91054656681559343</v>
      </c>
      <c r="K121" s="38">
        <f>(VLOOKUP($A121,'The List'!$B1:$AH730,23,FALSE)-AVERAGE('The List'!X2:X730))/STDEV('The List'!X2:X730)</f>
        <v>0.82084970964232784</v>
      </c>
      <c r="L121" s="38">
        <f>(VLOOKUP($A121,'The List'!$B1:$AH730,24,FALSE)-AVERAGE('The List'!Y2:Y730))/STDEV('The List'!Y2:Y730)</f>
        <v>-0.52515529094994673</v>
      </c>
      <c r="M121" s="38">
        <f>(VLOOKUP($A121,'The List'!$B1:$AH730,25,FALSE)-AVERAGE('The List'!Z2:Z730))/STDEV('The List'!Z2:Z730)</f>
        <v>-0.70378350861314143</v>
      </c>
      <c r="N121" s="38">
        <f>(VLOOKUP($A121,'The List'!$B1:$AH730,26,FALSE)-AVERAGE('The List'!AA2:AA730))/STDEV('The List'!AA2:AA730)</f>
        <v>-0.69090749123306061</v>
      </c>
      <c r="O121" s="38">
        <f>(VLOOKUP($A121,'The List'!$B1:$AH730,27,FALSE)-AVERAGE('The List'!AB2:AB730))/STDEV('The List'!AB2:AB730)</f>
        <v>-0.81129297752239637</v>
      </c>
      <c r="P121" s="38">
        <f>(VLOOKUP($A121,'The List'!$B1:$AH730,28,FALSE)-AVERAGE('The List'!AC2:AC730))/STDEV('The List'!AC2:AC730)</f>
        <v>1.4227052265694319E-2</v>
      </c>
      <c r="Q121" s="38">
        <f>(VLOOKUP($A121,'The List'!$B1:$AH730,29,FALSE)-AVERAGE('The List'!AD2:AD730))/STDEV('The List'!AD2:AD730)</f>
        <v>-8.6470582639008739E-2</v>
      </c>
      <c r="R121" s="38">
        <f>(VLOOKUP($A121,'The List'!$B1:$AH730,30,FALSE)-AVERAGE('The List'!AE2:AE730))/STDEV('The List'!AE2:AE730)</f>
        <v>0.51512133522265113</v>
      </c>
      <c r="S121" s="38">
        <f>(VLOOKUP($A121,'The List'!$B1:$AH730,31,FALSE)-AVERAGE('The List'!AF2:AF730))/STDEV('The List'!AF2:AF730)</f>
        <v>1.4243798345661614</v>
      </c>
      <c r="T121" s="38">
        <f>(VLOOKUP($A121,'The List'!$B1:$AH730,32,FALSE)-AVERAGE('The List'!AG2:AG730))/STDEV('The List'!AG2:AG730)</f>
        <v>2.2771998402970892</v>
      </c>
      <c r="U121" s="38">
        <f>(VLOOKUP($A121,'The List'!$B1:$AH730,33,FALSE)-AVERAGE('The List'!AH2:AH730))/STDEV('The List'!AH2:AH730)</f>
        <v>0.66054135063011221</v>
      </c>
      <c r="V121" s="38"/>
      <c r="W121" s="40"/>
      <c r="X121" s="40"/>
      <c r="Y121" s="40"/>
      <c r="Z121" s="40"/>
      <c r="AA121" s="40"/>
      <c r="AB121" s="40"/>
      <c r="AC121" s="43"/>
      <c r="AD121" s="44"/>
      <c r="AE121" s="38"/>
    </row>
    <row r="122" spans="1:31" ht="21.2" customHeight="1">
      <c r="A122" s="8" t="s">
        <v>277</v>
      </c>
      <c r="B122" s="34" t="str">
        <f>VLOOKUP(A122,'Player Data'!A1:B734,2,FALSE)</f>
        <v>ANA</v>
      </c>
      <c r="C122" s="36">
        <f>((E122)*Settings!$C$12)+(F122*Settings!$C$2)+(G122*Settings!$C$3)+(H122*Settings!$C$4)+(I122*Settings!$C$5)+(K122*Settings!$C$9)+(N122*Settings!$C$6)+(J122*Settings!$C$8)+(O122*Settings!$C$7)+(P122*Settings!$C$14)+(Q122*Settings!$C$15)+(R122*Settings!$C$16)+(S122*Settings!$C$17)+(T122*Settings!$C$18)+(U122*Settings!$C$19)+(L122*Settings!$C$10)+(Settings!$C$11*M122)</f>
        <v>3.1174885233035683</v>
      </c>
      <c r="D122" s="40">
        <f>IF(Settings!$E$12="YES",VLOOKUP(A122,'Player Data'!A1:E734,5,FALSE),82)</f>
        <v>82</v>
      </c>
      <c r="E122" s="38">
        <f>(VLOOKUP($A122,'The List'!$B1:$AH730,17,FALSE)-AVERAGE('The List'!R2:R730))/STDEV('The List'!R2:R730)</f>
        <v>0.52348261674389596</v>
      </c>
      <c r="F122" s="38">
        <f>(VLOOKUP($A122,'The List'!$B1:$AH730,18,FALSE)-AVERAGE('The List'!S2:S730))/STDEV('The List'!S2:S730)</f>
        <v>0.98324475002262379</v>
      </c>
      <c r="G122" s="38">
        <f>(VLOOKUP($A122,'The List'!$B1:$AH730,19,FALSE)-AVERAGE('The List'!T2:T730))/STDEV('The List'!T2:T730)</f>
        <v>0.65661351925061551</v>
      </c>
      <c r="H122" s="38">
        <f>(VLOOKUP($A122,'The List'!$B1:$AH730,20,FALSE)-AVERAGE('The List'!U2:U730))/STDEV('The List'!U2:U730)</f>
        <v>0.86059889852657645</v>
      </c>
      <c r="I122" s="38">
        <f>(VLOOKUP($A122,'The List'!$B1:$AH730,21,FALSE)-AVERAGE('The List'!V2:V730))/STDEV('The List'!V2:V730)</f>
        <v>0.26951477205334368</v>
      </c>
      <c r="J122" s="38">
        <f>(VLOOKUP($A122,'The List'!$B1:$AH730,22,FALSE)-AVERAGE('The List'!W2:W730))/STDEV('The List'!W2:W730)</f>
        <v>0.40415146184266948</v>
      </c>
      <c r="K122" s="38">
        <f>(VLOOKUP($A122,'The List'!$B1:$AH730,23,FALSE)-AVERAGE('The List'!X2:X730))/STDEV('The List'!X2:X730)</f>
        <v>0.34751658345040881</v>
      </c>
      <c r="L122" s="38">
        <f>(VLOOKUP($A122,'The List'!$B1:$AH730,24,FALSE)-AVERAGE('The List'!Y2:Y730))/STDEV('The List'!Y2:Y730)</f>
        <v>0.20091892422133134</v>
      </c>
      <c r="M122" s="38">
        <f>(VLOOKUP($A122,'The List'!$B1:$AH730,25,FALSE)-AVERAGE('The List'!Z2:Z730))/STDEV('The List'!Z2:Z730)</f>
        <v>0.20093488194088577</v>
      </c>
      <c r="N122" s="38">
        <f>(VLOOKUP($A122,'The List'!$B1:$AH730,26,FALSE)-AVERAGE('The List'!AA2:AA730))/STDEV('The List'!AA2:AA730)</f>
        <v>-0.79570059785550729</v>
      </c>
      <c r="O122" s="38">
        <f>(VLOOKUP($A122,'The List'!$B1:$AH730,27,FALSE)-AVERAGE('The List'!AB2:AB730))/STDEV('The List'!AB2:AB730)</f>
        <v>-0.53064974226289563</v>
      </c>
      <c r="P122" s="38">
        <f>(VLOOKUP($A122,'The List'!$B1:$AH730,28,FALSE)-AVERAGE('The List'!AC2:AC730))/STDEV('The List'!AC2:AC730)</f>
        <v>-1.5259568381158075</v>
      </c>
      <c r="Q122" s="38">
        <f>(VLOOKUP($A122,'The List'!$B1:$AH730,29,FALSE)-AVERAGE('The List'!AD2:AD730))/STDEV('The List'!AD2:AD730)</f>
        <v>1.2309085620609947</v>
      </c>
      <c r="R122" s="38">
        <f>(VLOOKUP($A122,'The List'!$B1:$AH730,30,FALSE)-AVERAGE('The List'!AE2:AE730))/STDEV('The List'!AE2:AE730)</f>
        <v>0.21746495123384696</v>
      </c>
      <c r="S122" s="38">
        <f>(VLOOKUP($A122,'The List'!$B1:$AH730,31,FALSE)-AVERAGE('The List'!AF2:AF730))/STDEV('The List'!AF2:AF730)</f>
        <v>-0.56275901548440654</v>
      </c>
      <c r="T122" s="38">
        <f>(VLOOKUP($A122,'The List'!$B1:$AH730,32,FALSE)-AVERAGE('The List'!AG2:AG730))/STDEV('The List'!AG2:AG730)</f>
        <v>-0.60216201065811759</v>
      </c>
      <c r="U122" s="38">
        <f>(VLOOKUP($A122,'The List'!$B1:$AH730,33,FALSE)-AVERAGE('The List'!AH2:AH730))/STDEV('The List'!AH2:AH730)</f>
        <v>0.30121759750112564</v>
      </c>
      <c r="V122" s="38"/>
      <c r="W122" s="42"/>
      <c r="X122" s="40"/>
      <c r="Y122" s="40"/>
      <c r="Z122" s="40"/>
      <c r="AA122" s="40"/>
      <c r="AB122" s="40"/>
      <c r="AC122" s="43"/>
      <c r="AD122" s="44"/>
      <c r="AE122" s="38"/>
    </row>
    <row r="123" spans="1:31" ht="21.2" customHeight="1">
      <c r="A123" s="8" t="s">
        <v>256</v>
      </c>
      <c r="B123" s="34" t="str">
        <f>VLOOKUP(A123,'Player Data'!A1:B734,2,FALSE)</f>
        <v>DAL</v>
      </c>
      <c r="C123" s="36">
        <f>((E123)*Settings!$C$12)+(F123*Settings!$C$2)+(G123*Settings!$C$3)+(H123*Settings!$C$4)+(I123*Settings!$C$5)+(K123*Settings!$C$9)+(N123*Settings!$C$6)+(J123*Settings!$C$8)+(O123*Settings!$C$7)+(P123*Settings!$C$14)+(Q123*Settings!$C$15)+(R123*Settings!$C$16)+(S123*Settings!$C$17)+(T123*Settings!$C$18)+(U123*Settings!$C$19)+(L123*Settings!$C$10)+(Settings!$C$11*M123)</f>
        <v>4.5240276912220887</v>
      </c>
      <c r="D123" s="40">
        <f>IF(Settings!$E$12="YES",VLOOKUP(A123,'Player Data'!A1:E734,5,FALSE),82)</f>
        <v>82</v>
      </c>
      <c r="E123" s="38">
        <f>(VLOOKUP($A123,'The List'!$B1:$AH730,17,FALSE)-AVERAGE('The List'!R2:R730))/STDEV('The List'!R2:R730)</f>
        <v>-0.10711985383433792</v>
      </c>
      <c r="F123" s="38">
        <f>(VLOOKUP($A123,'The List'!$B1:$AH730,18,FALSE)-AVERAGE('The List'!S2:S730))/STDEV('The List'!S2:S730)</f>
        <v>0.86946517951683366</v>
      </c>
      <c r="G123" s="38">
        <f>(VLOOKUP($A123,'The List'!$B1:$AH730,19,FALSE)-AVERAGE('The List'!T2:T730))/STDEV('The List'!T2:T730)</f>
        <v>0.72379992281789229</v>
      </c>
      <c r="H123" s="38">
        <f>(VLOOKUP($A123,'The List'!$B1:$AH730,20,FALSE)-AVERAGE('The List'!U2:U730))/STDEV('The List'!U2:U730)</f>
        <v>0.84899452175390522</v>
      </c>
      <c r="I123" s="38">
        <f>(VLOOKUP($A123,'The List'!$B1:$AH730,21,FALSE)-AVERAGE('The List'!V2:V730))/STDEV('The List'!V2:V730)</f>
        <v>0.69815513569754595</v>
      </c>
      <c r="J123" s="38">
        <f>(VLOOKUP($A123,'The List'!$B1:$AH730,22,FALSE)-AVERAGE('The List'!W2:W730))/STDEV('The List'!W2:W730)</f>
        <v>1.5165572595466523</v>
      </c>
      <c r="K123" s="38">
        <f>(VLOOKUP($A123,'The List'!$B1:$AH730,23,FALSE)-AVERAGE('The List'!X2:X730))/STDEV('The List'!X2:X730)</f>
        <v>1.3836129314359116</v>
      </c>
      <c r="L123" s="38">
        <f>(VLOOKUP($A123,'The List'!$B1:$AH730,24,FALSE)-AVERAGE('The List'!Y2:Y730))/STDEV('The List'!Y2:Y730)</f>
        <v>2.172213601287011</v>
      </c>
      <c r="M123" s="38">
        <f>(VLOOKUP($A123,'The List'!$B1:$AH730,25,FALSE)-AVERAGE('The List'!Z2:Z730))/STDEV('The List'!Z2:Z730)</f>
        <v>1.5423588448552361</v>
      </c>
      <c r="N123" s="38">
        <f>(VLOOKUP($A123,'The List'!$B1:$AH730,26,FALSE)-AVERAGE('The List'!AA2:AA730))/STDEV('The List'!AA2:AA730)</f>
        <v>-0.4953039486414848</v>
      </c>
      <c r="O123" s="38">
        <f>(VLOOKUP($A123,'The List'!$B1:$AH730,27,FALSE)-AVERAGE('The List'!AB2:AB730))/STDEV('The List'!AB2:AB730)</f>
        <v>0.10420370816020934</v>
      </c>
      <c r="P123" s="38">
        <f>(VLOOKUP($A123,'The List'!$B1:$AH730,28,FALSE)-AVERAGE('The List'!AC2:AC730))/STDEV('The List'!AC2:AC730)</f>
        <v>1.2403040198544231</v>
      </c>
      <c r="Q123" s="38">
        <f>(VLOOKUP($A123,'The List'!$B1:$AH730,29,FALSE)-AVERAGE('The List'!AD2:AD730))/STDEV('The List'!AD2:AD730)</f>
        <v>0.76212169172214206</v>
      </c>
      <c r="R123" s="38">
        <f>(VLOOKUP($A123,'The List'!$B1:$AH730,30,FALSE)-AVERAGE('The List'!AE2:AE730))/STDEV('The List'!AE2:AE730)</f>
        <v>1.0816825315876797</v>
      </c>
      <c r="S123" s="38">
        <f>(VLOOKUP($A123,'The List'!$B1:$AH730,31,FALSE)-AVERAGE('The List'!AF2:AF730))/STDEV('The List'!AF2:AF730)</f>
        <v>1.7402325902518092</v>
      </c>
      <c r="T123" s="38">
        <f>(VLOOKUP($A123,'The List'!$B1:$AH730,32,FALSE)-AVERAGE('The List'!AG2:AG730))/STDEV('The List'!AG2:AG730)</f>
        <v>1.1780461145813084</v>
      </c>
      <c r="U123" s="38">
        <f>(VLOOKUP($A123,'The List'!$B1:$AH730,33,FALSE)-AVERAGE('The List'!AH2:AH730))/STDEV('The List'!AH2:AH730)</f>
        <v>1.3606869415849385</v>
      </c>
      <c r="V123" s="38"/>
      <c r="W123" s="42"/>
      <c r="X123" s="40"/>
      <c r="Y123" s="40"/>
      <c r="Z123" s="40"/>
      <c r="AA123" s="40"/>
      <c r="AB123" s="40"/>
      <c r="AC123" s="43"/>
      <c r="AD123" s="44"/>
      <c r="AE123" s="38"/>
    </row>
    <row r="124" spans="1:31" ht="21.2" customHeight="1">
      <c r="A124" s="8" t="s">
        <v>257</v>
      </c>
      <c r="B124" s="34" t="str">
        <f>VLOOKUP(A124,'Player Data'!A1:B734,2,FALSE)</f>
        <v>NJD</v>
      </c>
      <c r="C124" s="36">
        <f>((E124)*Settings!$C$12)+(F124*Settings!$C$2)+(G124*Settings!$C$3)+(H124*Settings!$C$4)+(I124*Settings!$C$5)+(K124*Settings!$C$9)+(N124*Settings!$C$6)+(J124*Settings!$C$8)+(O124*Settings!$C$7)+(P124*Settings!$C$14)+(Q124*Settings!$C$15)+(R124*Settings!$C$16)+(S124*Settings!$C$17)+(T124*Settings!$C$18)+(U124*Settings!$C$19)+(L124*Settings!$C$10)+(Settings!$C$11*M124)</f>
        <v>4.1338270871323903</v>
      </c>
      <c r="D124" s="40">
        <f>IF(Settings!$E$12="YES",VLOOKUP(A124,'Player Data'!A1:E734,5,FALSE),82)</f>
        <v>82</v>
      </c>
      <c r="E124" s="38">
        <f>(VLOOKUP($A124,'The List'!$B1:$AH730,17,FALSE)-AVERAGE('The List'!R2:R730))/STDEV('The List'!R2:R730)</f>
        <v>-4.7176812827086669E-2</v>
      </c>
      <c r="F124" s="38">
        <f>(VLOOKUP($A124,'The List'!$B1:$AH730,18,FALSE)-AVERAGE('The List'!S2:S730))/STDEV('The List'!S2:S730)</f>
        <v>1.057808598807392</v>
      </c>
      <c r="G124" s="38">
        <f>(VLOOKUP($A124,'The List'!$B1:$AH730,19,FALSE)-AVERAGE('The List'!T2:T730))/STDEV('The List'!T2:T730)</f>
        <v>0.36905366134294099</v>
      </c>
      <c r="H124" s="38">
        <f>(VLOOKUP($A124,'The List'!$B1:$AH730,20,FALSE)-AVERAGE('The List'!U2:U730))/STDEV('The List'!U2:U730)</f>
        <v>0.71854478348228934</v>
      </c>
      <c r="I124" s="38">
        <f>(VLOOKUP($A124,'The List'!$B1:$AH730,21,FALSE)-AVERAGE('The List'!V2:V730))/STDEV('The List'!V2:V730)</f>
        <v>1.5179095055533349</v>
      </c>
      <c r="J124" s="38">
        <f>(VLOOKUP($A124,'The List'!$B1:$AH730,22,FALSE)-AVERAGE('The List'!W2:W730))/STDEV('The List'!W2:W730)</f>
        <v>0.72377092309403646</v>
      </c>
      <c r="K124" s="38">
        <f>(VLOOKUP($A124,'The List'!$B1:$AH730,23,FALSE)-AVERAGE('The List'!X2:X730))/STDEV('The List'!X2:X730)</f>
        <v>0.47051053794643316</v>
      </c>
      <c r="L124" s="38">
        <f>(VLOOKUP($A124,'The List'!$B1:$AH730,24,FALSE)-AVERAGE('The List'!Y2:Y730))/STDEV('The List'!Y2:Y730)</f>
        <v>0.18463468151985854</v>
      </c>
      <c r="M124" s="38">
        <f>(VLOOKUP($A124,'The List'!$B1:$AH730,25,FALSE)-AVERAGE('The List'!Z2:Z730))/STDEV('The List'!Z2:Z730)</f>
        <v>4.0745096576268493E-2</v>
      </c>
      <c r="N124" s="38">
        <f>(VLOOKUP($A124,'The List'!$B1:$AH730,26,FALSE)-AVERAGE('The List'!AA2:AA730))/STDEV('The List'!AA2:AA730)</f>
        <v>-1.0732908707147506</v>
      </c>
      <c r="O124" s="38">
        <f>(VLOOKUP($A124,'The List'!$B1:$AH730,27,FALSE)-AVERAGE('The List'!AB2:AB730))/STDEV('The List'!AB2:AB730)</f>
        <v>-0.54018742997377234</v>
      </c>
      <c r="P124" s="38">
        <f>(VLOOKUP($A124,'The List'!$B1:$AH730,28,FALSE)-AVERAGE('The List'!AC2:AC730))/STDEV('The List'!AC2:AC730)</f>
        <v>0.20892637556587743</v>
      </c>
      <c r="Q124" s="38">
        <f>(VLOOKUP($A124,'The List'!$B1:$AH730,29,FALSE)-AVERAGE('The List'!AD2:AD730))/STDEV('The List'!AD2:AD730)</f>
        <v>-0.51941952478970399</v>
      </c>
      <c r="R124" s="38">
        <f>(VLOOKUP($A124,'The List'!$B1:$AH730,30,FALSE)-AVERAGE('The List'!AE2:AE730))/STDEV('The List'!AE2:AE730)</f>
        <v>1.0721494888740337</v>
      </c>
      <c r="S124" s="38">
        <f>(VLOOKUP($A124,'The List'!$B1:$AH730,31,FALSE)-AVERAGE('The List'!AF2:AF730))/STDEV('The List'!AF2:AF730)</f>
        <v>-0.51350990472999081</v>
      </c>
      <c r="T124" s="38">
        <f>(VLOOKUP($A124,'The List'!$B1:$AH730,32,FALSE)-AVERAGE('The List'!AG2:AG730))/STDEV('The List'!AG2:AG730)</f>
        <v>-0.56303777806194388</v>
      </c>
      <c r="U124" s="38">
        <f>(VLOOKUP($A124,'The List'!$B1:$AH730,33,FALSE)-AVERAGE('The List'!AH2:AH730))/STDEV('The List'!AH2:AH730)</f>
        <v>1.1517954490086155</v>
      </c>
      <c r="V124" s="38"/>
      <c r="W124" s="40"/>
      <c r="X124" s="38"/>
      <c r="Y124" s="38"/>
      <c r="Z124" s="38"/>
      <c r="AA124" s="38"/>
      <c r="AB124" s="38"/>
      <c r="AC124" s="38"/>
      <c r="AD124" s="38"/>
      <c r="AE124" s="38"/>
    </row>
    <row r="125" spans="1:31" ht="21.2" customHeight="1">
      <c r="A125" s="8" t="s">
        <v>306</v>
      </c>
      <c r="B125" s="34" t="str">
        <f>VLOOKUP(A125,'Player Data'!A1:B734,2,FALSE)</f>
        <v>NYR</v>
      </c>
      <c r="C125" s="36">
        <f>((E125)*Settings!$C$12)+(F125*Settings!$C$2)+(G125*Settings!$C$3)+(H125*Settings!$C$4)+(I125*Settings!$C$5)+(K125*Settings!$C$9)+(N125*Settings!$C$6)+(J125*Settings!$C$8)+(O125*Settings!$C$7)+(P125*Settings!$C$14)+(Q125*Settings!$C$15)+(R125*Settings!$C$16)+(S125*Settings!$C$17)+(T125*Settings!$C$18)+(U125*Settings!$C$19)+(L125*Settings!$C$10)+(Settings!$C$11*M125)</f>
        <v>3.1744456712616489</v>
      </c>
      <c r="D125" s="40">
        <f>IF(Settings!$E$12="YES",VLOOKUP(A125,'Player Data'!A1:E734,5,FALSE),82)</f>
        <v>82</v>
      </c>
      <c r="E125" s="38">
        <f>(VLOOKUP($A125,'The List'!$B1:$AH730,17,FALSE)-AVERAGE('The List'!R2:R730))/STDEV('The List'!R2:R730)</f>
        <v>0.48737057441120801</v>
      </c>
      <c r="F125" s="38">
        <f>(VLOOKUP($A125,'The List'!$B1:$AH730,18,FALSE)-AVERAGE('The List'!S2:S730))/STDEV('The List'!S2:S730)</f>
        <v>0.67896390675607787</v>
      </c>
      <c r="G125" s="38">
        <f>(VLOOKUP($A125,'The List'!$B1:$AH730,19,FALSE)-AVERAGE('The List'!T2:T730))/STDEV('The List'!T2:T730)</f>
        <v>0.85686313706318673</v>
      </c>
      <c r="H125" s="38">
        <f>(VLOOKUP($A125,'The List'!$B1:$AH730,20,FALSE)-AVERAGE('The List'!U2:U730))/STDEV('The List'!U2:U730)</f>
        <v>0.84220817894983724</v>
      </c>
      <c r="I125" s="38">
        <f>(VLOOKUP($A125,'The List'!$B1:$AH730,21,FALSE)-AVERAGE('The List'!V2:V730))/STDEV('The List'!V2:V730)</f>
        <v>0.54695909880043081</v>
      </c>
      <c r="J125" s="38">
        <f>(VLOOKUP($A125,'The List'!$B1:$AH730,22,FALSE)-AVERAGE('The List'!W2:W730))/STDEV('The List'!W2:W730)</f>
        <v>0.54044725291937767</v>
      </c>
      <c r="K125" s="38">
        <f>(VLOOKUP($A125,'The List'!$B1:$AH730,23,FALSE)-AVERAGE('The List'!X2:X730))/STDEV('The List'!X2:X730)</f>
        <v>0.24945134969211677</v>
      </c>
      <c r="L125" s="38">
        <f>(VLOOKUP($A125,'The List'!$B1:$AH730,24,FALSE)-AVERAGE('The List'!Y2:Y730))/STDEV('The List'!Y2:Y730)</f>
        <v>-0.48517804483124966</v>
      </c>
      <c r="M125" s="38">
        <f>(VLOOKUP($A125,'The List'!$B1:$AH730,25,FALSE)-AVERAGE('The List'!Z2:Z730))/STDEV('The List'!Z2:Z730)</f>
        <v>-0.68583004663660396</v>
      </c>
      <c r="N125" s="38">
        <f>(VLOOKUP($A125,'The List'!$B1:$AH730,26,FALSE)-AVERAGE('The List'!AA2:AA730))/STDEV('The List'!AA2:AA730)</f>
        <v>-0.59196979512566927</v>
      </c>
      <c r="O125" s="38">
        <f>(VLOOKUP($A125,'The List'!$B1:$AH730,27,FALSE)-AVERAGE('The List'!AB2:AB730))/STDEV('The List'!AB2:AB730)</f>
        <v>1.1563013524161556</v>
      </c>
      <c r="P125" s="38">
        <f>(VLOOKUP($A125,'The List'!$B1:$AH730,28,FALSE)-AVERAGE('The List'!AC2:AC730))/STDEV('The List'!AC2:AC730)</f>
        <v>1.1880230072610545</v>
      </c>
      <c r="Q125" s="38">
        <f>(VLOOKUP($A125,'The List'!$B1:$AH730,29,FALSE)-AVERAGE('The List'!AD2:AD730))/STDEV('The List'!AD2:AD730)</f>
        <v>1.3020396083921575</v>
      </c>
      <c r="R125" s="38">
        <f>(VLOOKUP($A125,'The List'!$B1:$AH730,30,FALSE)-AVERAGE('The List'!AE2:AE730))/STDEV('The List'!AE2:AE730)</f>
        <v>1.0220366422197331</v>
      </c>
      <c r="S125" s="38">
        <f>(VLOOKUP($A125,'The List'!$B1:$AH730,31,FALSE)-AVERAGE('The List'!AF2:AF730))/STDEV('The List'!AF2:AF730)</f>
        <v>2.6611725050284876</v>
      </c>
      <c r="T125" s="38">
        <f>(VLOOKUP($A125,'The List'!$B1:$AH730,32,FALSE)-AVERAGE('The List'!AG2:AG730))/STDEV('The List'!AG2:AG730)</f>
        <v>2.1023184358941092</v>
      </c>
      <c r="U125" s="38">
        <f>(VLOOKUP($A125,'The List'!$B1:$AH730,33,FALSE)-AVERAGE('The List'!AH2:AH730))/STDEV('The List'!AH2:AH730)</f>
        <v>1.2717917508222829</v>
      </c>
      <c r="V125" s="38"/>
      <c r="W125" s="42"/>
      <c r="X125" s="40"/>
      <c r="Y125" s="40"/>
      <c r="Z125" s="40"/>
      <c r="AA125" s="40"/>
      <c r="AB125" s="40"/>
      <c r="AC125" s="43"/>
      <c r="AD125" s="44"/>
      <c r="AE125" s="38"/>
    </row>
    <row r="126" spans="1:31" ht="21.2" customHeight="1">
      <c r="A126" s="8" t="s">
        <v>247</v>
      </c>
      <c r="B126" s="34" t="str">
        <f>VLOOKUP(A126,'Player Data'!A1:B734,2,FALSE)</f>
        <v>DET</v>
      </c>
      <c r="C126" s="36">
        <f>((E126)*Settings!$C$12)+(F126*Settings!$C$2)+(G126*Settings!$C$3)+(H126*Settings!$C$4)+(I126*Settings!$C$5)+(K126*Settings!$C$9)+(N126*Settings!$C$6)+(J126*Settings!$C$8)+(O126*Settings!$C$7)+(P126*Settings!$C$14)+(Q126*Settings!$C$15)+(R126*Settings!$C$16)+(S126*Settings!$C$17)+(T126*Settings!$C$18)+(U126*Settings!$C$19)+(L126*Settings!$C$10)+(Settings!$C$11*M126)</f>
        <v>4.9639097019045106</v>
      </c>
      <c r="D126" s="40">
        <f>IF(Settings!$E$12="YES",VLOOKUP(A126,'Player Data'!A1:E734,5,FALSE),82)</f>
        <v>82</v>
      </c>
      <c r="E126" s="38">
        <f>(VLOOKUP($A126,'The List'!$B1:$AH730,17,FALSE)-AVERAGE('The List'!R2:R730))/STDEV('The List'!R2:R730)</f>
        <v>3.9474399405580195E-2</v>
      </c>
      <c r="F126" s="38">
        <f>(VLOOKUP($A126,'The List'!$B1:$AH730,18,FALSE)-AVERAGE('The List'!S2:S730))/STDEV('The List'!S2:S730)</f>
        <v>0.92773160703043778</v>
      </c>
      <c r="G126" s="38">
        <f>(VLOOKUP($A126,'The List'!$B1:$AH730,19,FALSE)-AVERAGE('The List'!T2:T730))/STDEV('The List'!T2:T730)</f>
        <v>0.65008374564923266</v>
      </c>
      <c r="H126" s="38">
        <f>(VLOOKUP($A126,'The List'!$B1:$AH730,20,FALSE)-AVERAGE('The List'!U2:U730))/STDEV('The List'!U2:U730)</f>
        <v>0.83077952741975236</v>
      </c>
      <c r="I126" s="38">
        <f>(VLOOKUP($A126,'The List'!$B1:$AH730,21,FALSE)-AVERAGE('The List'!V2:V730))/STDEV('The List'!V2:V730)</f>
        <v>0.78053586671342967</v>
      </c>
      <c r="J126" s="38">
        <f>(VLOOKUP($A126,'The List'!$B1:$AH730,22,FALSE)-AVERAGE('The List'!W2:W730))/STDEV('The List'!W2:W730)</f>
        <v>1.4508535258129334</v>
      </c>
      <c r="K126" s="38">
        <f>(VLOOKUP($A126,'The List'!$B1:$AH730,23,FALSE)-AVERAGE('The List'!X2:X730))/STDEV('The List'!X2:X730)</f>
        <v>1.7747789550916582</v>
      </c>
      <c r="L126" s="38">
        <f>(VLOOKUP($A126,'The List'!$B1:$AH730,24,FALSE)-AVERAGE('The List'!Y2:Y730))/STDEV('The List'!Y2:Y730)</f>
        <v>-0.52253159678596683</v>
      </c>
      <c r="M126" s="38">
        <f>(VLOOKUP($A126,'The List'!$B1:$AH730,25,FALSE)-AVERAGE('The List'!Z2:Z730))/STDEV('The List'!Z2:Z730)</f>
        <v>-0.70118715371805052</v>
      </c>
      <c r="N126" s="38">
        <f>(VLOOKUP($A126,'The List'!$B1:$AH730,26,FALSE)-AVERAGE('The List'!AA2:AA730))/STDEV('The List'!AA2:AA730)</f>
        <v>-1.0230670116558287</v>
      </c>
      <c r="O126" s="38">
        <f>(VLOOKUP($A126,'The List'!$B1:$AH730,27,FALSE)-AVERAGE('The List'!AB2:AB730))/STDEV('The List'!AB2:AB730)</f>
        <v>-8.9282306012692936E-2</v>
      </c>
      <c r="P126" s="38">
        <f>(VLOOKUP($A126,'The List'!$B1:$AH730,28,FALSE)-AVERAGE('The List'!AC2:AC730))/STDEV('The List'!AC2:AC730)</f>
        <v>-0.45490064846657957</v>
      </c>
      <c r="Q126" s="38">
        <f>(VLOOKUP($A126,'The List'!$B1:$AH730,29,FALSE)-AVERAGE('The List'!AD2:AD730))/STDEV('The List'!AD2:AD730)</f>
        <v>0.5670054290483838</v>
      </c>
      <c r="R126" s="38">
        <f>(VLOOKUP($A126,'The List'!$B1:$AH730,30,FALSE)-AVERAGE('The List'!AE2:AE730))/STDEV('The List'!AE2:AE730)</f>
        <v>0.72855555469656008</v>
      </c>
      <c r="S126" s="38">
        <f>(VLOOKUP($A126,'The List'!$B1:$AH730,31,FALSE)-AVERAGE('The List'!AF2:AF730))/STDEV('The List'!AF2:AF730)</f>
        <v>-0.56156176856178697</v>
      </c>
      <c r="T126" s="38">
        <f>(VLOOKUP($A126,'The List'!$B1:$AH730,32,FALSE)-AVERAGE('The List'!AG2:AG730))/STDEV('The List'!AG2:AG730)</f>
        <v>-0.57520828536100232</v>
      </c>
      <c r="U126" s="38">
        <f>(VLOOKUP($A126,'The List'!$B1:$AH730,33,FALSE)-AVERAGE('The List'!AH2:AH730))/STDEV('The List'!AH2:AH730)</f>
        <v>-0.48690611778319237</v>
      </c>
      <c r="V126" s="38"/>
      <c r="W126" s="40"/>
      <c r="X126" s="38"/>
      <c r="Y126" s="38"/>
      <c r="Z126" s="38"/>
      <c r="AA126" s="38"/>
      <c r="AB126" s="38"/>
      <c r="AC126" s="38"/>
      <c r="AD126" s="38"/>
      <c r="AE126" s="38"/>
    </row>
    <row r="127" spans="1:31" ht="21.2" customHeight="1">
      <c r="A127" s="8" t="s">
        <v>151</v>
      </c>
      <c r="B127" s="34" t="str">
        <f>VLOOKUP(A127,'Player Data'!A1:B734,2,FALSE)</f>
        <v>WPG</v>
      </c>
      <c r="C127" s="36">
        <f>((E127)*Settings!$C$12)+(F127*Settings!$C$2)+(G127*Settings!$C$3)+(H127*Settings!$C$4)+(I127*Settings!$C$5)+(K127*Settings!$C$9)+(N127*Settings!$C$6)+(J127*Settings!$C$8)+(O127*Settings!$C$7)+(P127*Settings!$C$14)+(Q127*Settings!$C$15)+(R127*Settings!$C$16)+(S127*Settings!$C$17)+(T127*Settings!$C$18)+(U127*Settings!$C$19)+(L127*Settings!$C$10)+(Settings!$C$11*M127)</f>
        <v>4.8684555231433269</v>
      </c>
      <c r="D127" s="40">
        <f>IF(Settings!$E$12="YES",VLOOKUP(A127,'Player Data'!A1:E734,5,FALSE),82)</f>
        <v>82</v>
      </c>
      <c r="E127" s="38">
        <f>(VLOOKUP($A127,'The List'!$B1:$AH730,17,FALSE)-AVERAGE('The List'!R2:R730))/STDEV('The List'!R2:R730)</f>
        <v>2.031785179718538</v>
      </c>
      <c r="F127" s="38">
        <f>(VLOOKUP($A127,'The List'!$B1:$AH730,18,FALSE)-AVERAGE('The List'!S2:S730))/STDEV('The List'!S2:S730)</f>
        <v>-7.6971040099234847E-2</v>
      </c>
      <c r="G127" s="38">
        <f>(VLOOKUP($A127,'The List'!$B1:$AH730,19,FALSE)-AVERAGE('The List'!T2:T730))/STDEV('The List'!T2:T730)</f>
        <v>1.6125492862640303</v>
      </c>
      <c r="H127" s="38">
        <f>(VLOOKUP($A127,'The List'!$B1:$AH730,20,FALSE)-AVERAGE('The List'!U2:U730))/STDEV('The List'!U2:U730)</f>
        <v>0.955193202024887</v>
      </c>
      <c r="I127" s="38">
        <f>(VLOOKUP($A127,'The List'!$B1:$AH730,21,FALSE)-AVERAGE('The List'!V2:V730))/STDEV('The List'!V2:V730)</f>
        <v>0.7042344038022047</v>
      </c>
      <c r="J127" s="38">
        <f>(VLOOKUP($A127,'The List'!$B1:$AH730,22,FALSE)-AVERAGE('The List'!W2:W730))/STDEV('The List'!W2:W730)</f>
        <v>0.28675311266125192</v>
      </c>
      <c r="K127" s="38">
        <f>(VLOOKUP($A127,'The List'!$B1:$AH730,23,FALSE)-AVERAGE('The List'!X2:X730))/STDEV('The List'!X2:X730)</f>
        <v>1.6734496711514402</v>
      </c>
      <c r="L127" s="38">
        <f>(VLOOKUP($A127,'The List'!$B1:$AH730,24,FALSE)-AVERAGE('The List'!Y2:Y730))/STDEV('The List'!Y2:Y730)</f>
        <v>-0.50851387064544673</v>
      </c>
      <c r="M127" s="38">
        <f>(VLOOKUP($A127,'The List'!$B1:$AH730,25,FALSE)-AVERAGE('The List'!Z2:Z730))/STDEV('The List'!Z2:Z730)</f>
        <v>-0.6570771784338062</v>
      </c>
      <c r="N127" s="38">
        <f>(VLOOKUP($A127,'The List'!$B1:$AH730,26,FALSE)-AVERAGE('The List'!AA2:AA730))/STDEV('The List'!AA2:AA730)</f>
        <v>1.286948908963705</v>
      </c>
      <c r="O127" s="38">
        <f>(VLOOKUP($A127,'The List'!$B1:$AH730,27,FALSE)-AVERAGE('The List'!AB2:AB730))/STDEV('The List'!AB2:AB730)</f>
        <v>0.175078291525021</v>
      </c>
      <c r="P127" s="38">
        <f>(VLOOKUP($A127,'The List'!$B1:$AH730,28,FALSE)-AVERAGE('The List'!AC2:AC730))/STDEV('The List'!AC2:AC730)</f>
        <v>0.52048450598384777</v>
      </c>
      <c r="Q127" s="38">
        <f>(VLOOKUP($A127,'The List'!$B1:$AH730,29,FALSE)-AVERAGE('The List'!AD2:AD730))/STDEV('The List'!AD2:AD730)</f>
        <v>0.95836801353207046</v>
      </c>
      <c r="R127" s="38">
        <f>(VLOOKUP($A127,'The List'!$B1:$AH730,30,FALSE)-AVERAGE('The List'!AE2:AE730))/STDEV('The List'!AE2:AE730)</f>
        <v>6.1996372929877704E-2</v>
      </c>
      <c r="S127" s="38">
        <f>(VLOOKUP($A127,'The List'!$B1:$AH730,31,FALSE)-AVERAGE('The List'!AF2:AF730))/STDEV('The List'!AF2:AF730)</f>
        <v>-0.56911587195029545</v>
      </c>
      <c r="T127" s="38">
        <f>(VLOOKUP($A127,'The List'!$B1:$AH730,32,FALSE)-AVERAGE('The List'!AG2:AG730))/STDEV('The List'!AG2:AG730)</f>
        <v>-0.61510119871956948</v>
      </c>
      <c r="U127" s="38">
        <f>(VLOOKUP($A127,'The List'!$B1:$AH730,33,FALSE)-AVERAGE('The List'!AH2:AH730))/STDEV('The List'!AH2:AH730)</f>
        <v>-1.2363238714825984</v>
      </c>
      <c r="V127" s="38"/>
      <c r="W127" s="42"/>
      <c r="X127" s="40"/>
      <c r="Y127" s="40"/>
      <c r="Z127" s="40"/>
      <c r="AA127" s="40"/>
      <c r="AB127" s="40"/>
      <c r="AC127" s="43"/>
      <c r="AD127" s="44"/>
      <c r="AE127" s="38"/>
    </row>
    <row r="128" spans="1:31" ht="21.2" customHeight="1">
      <c r="A128" s="8" t="s">
        <v>331</v>
      </c>
      <c r="B128" s="34" t="str">
        <f>VLOOKUP(A128,'Player Data'!A1:B734,2,FALSE)</f>
        <v>CHI</v>
      </c>
      <c r="C128" s="36">
        <f>((E128)*Settings!$C$12)+(F128*Settings!$C$2)+(G128*Settings!$C$3)+(H128*Settings!$C$4)+(I128*Settings!$C$5)+(K128*Settings!$C$9)+(N128*Settings!$C$6)+(J128*Settings!$C$8)+(O128*Settings!$C$7)+(P128*Settings!$C$14)+(Q128*Settings!$C$15)+(R128*Settings!$C$16)+(S128*Settings!$C$17)+(T128*Settings!$C$18)+(U128*Settings!$C$19)+(L128*Settings!$C$10)+(Settings!$C$11*M128)</f>
        <v>3.5381743079370715</v>
      </c>
      <c r="D128" s="40">
        <f>IF(Settings!$E$12="YES",VLOOKUP(A128,'Player Data'!A1:E734,5,FALSE),82)</f>
        <v>82</v>
      </c>
      <c r="E128" s="38">
        <f>(VLOOKUP($A128,'The List'!$B1:$AH730,17,FALSE)-AVERAGE('The List'!R2:R730))/STDEV('The List'!R2:R730)</f>
        <v>0.19330853577832641</v>
      </c>
      <c r="F128" s="38">
        <f>(VLOOKUP($A128,'The List'!$B1:$AH730,18,FALSE)-AVERAGE('The List'!S2:S730))/STDEV('The List'!S2:S730)</f>
        <v>0.94238256549988986</v>
      </c>
      <c r="G128" s="38">
        <f>(VLOOKUP($A128,'The List'!$B1:$AH730,19,FALSE)-AVERAGE('The List'!T2:T730))/STDEV('The List'!T2:T730)</f>
        <v>0.62167271084963738</v>
      </c>
      <c r="H128" s="38">
        <f>(VLOOKUP($A128,'The List'!$B1:$AH730,20,FALSE)-AVERAGE('The List'!U2:U730))/STDEV('The List'!U2:U730)</f>
        <v>0.82013066579045224</v>
      </c>
      <c r="I128" s="38">
        <f>(VLOOKUP($A128,'The List'!$B1:$AH730,21,FALSE)-AVERAGE('The List'!V2:V730))/STDEV('The List'!V2:V730)</f>
        <v>0.43737022191441244</v>
      </c>
      <c r="J128" s="38">
        <f>(VLOOKUP($A128,'The List'!$B1:$AH730,22,FALSE)-AVERAGE('The List'!W2:W730))/STDEV('The List'!W2:W730)</f>
        <v>0.29713188380359901</v>
      </c>
      <c r="K128" s="38">
        <f>(VLOOKUP($A128,'The List'!$B1:$AH730,23,FALSE)-AVERAGE('The List'!X2:X730))/STDEV('The List'!X2:X730)</f>
        <v>0.71661814388267997</v>
      </c>
      <c r="L128" s="38">
        <f>(VLOOKUP($A128,'The List'!$B1:$AH730,24,FALSE)-AVERAGE('The List'!Y2:Y730))/STDEV('The List'!Y2:Y730)</f>
        <v>-0.52247440280073953</v>
      </c>
      <c r="M128" s="38">
        <f>(VLOOKUP($A128,'The List'!$B1:$AH730,25,FALSE)-AVERAGE('The List'!Z2:Z730))/STDEV('The List'!Z2:Z730)</f>
        <v>-0.70047592296611161</v>
      </c>
      <c r="N128" s="38">
        <f>(VLOOKUP($A128,'The List'!$B1:$AH730,26,FALSE)-AVERAGE('The List'!AA2:AA730))/STDEV('The List'!AA2:AA730)</f>
        <v>-0.46143138866179789</v>
      </c>
      <c r="O128" s="38">
        <f>(VLOOKUP($A128,'The List'!$B1:$AH730,27,FALSE)-AVERAGE('The List'!AB2:AB730))/STDEV('The List'!AB2:AB730)</f>
        <v>-1.1421744973717824</v>
      </c>
      <c r="P128" s="38">
        <f>(VLOOKUP($A128,'The List'!$B1:$AH730,28,FALSE)-AVERAGE('The List'!AC2:AC730))/STDEV('The List'!AC2:AC730)</f>
        <v>-1.6147462725121782</v>
      </c>
      <c r="Q128" s="38">
        <f>(VLOOKUP($A128,'The List'!$B1:$AH730,29,FALSE)-AVERAGE('The List'!AD2:AD730))/STDEV('The List'!AD2:AD730)</f>
        <v>-0.47904662805286813</v>
      </c>
      <c r="R128" s="38">
        <f>(VLOOKUP($A128,'The List'!$B1:$AH730,30,FALSE)-AVERAGE('The List'!AE2:AE730))/STDEV('The List'!AE2:AE730)</f>
        <v>0.51298058431746563</v>
      </c>
      <c r="S128" s="38">
        <f>(VLOOKUP($A128,'The List'!$B1:$AH730,31,FALSE)-AVERAGE('The List'!AF2:AF730))/STDEV('The List'!AF2:AF730)</f>
        <v>-0.4315794590504437</v>
      </c>
      <c r="T128" s="38">
        <f>(VLOOKUP($A128,'The List'!$B1:$AH730,32,FALSE)-AVERAGE('The List'!AG2:AG730))/STDEV('The List'!AG2:AG730)</f>
        <v>-0.37498657123365697</v>
      </c>
      <c r="U128" s="38">
        <f>(VLOOKUP($A128,'The List'!$B1:$AH730,33,FALSE)-AVERAGE('The List'!AH2:AH730))/STDEV('The List'!AH2:AH730)</f>
        <v>0.46046894394963434</v>
      </c>
      <c r="V128" s="38"/>
      <c r="W128" s="42"/>
      <c r="X128" s="40"/>
      <c r="Y128" s="40"/>
      <c r="Z128" s="40"/>
      <c r="AA128" s="40"/>
      <c r="AB128" s="40"/>
      <c r="AC128" s="43"/>
      <c r="AD128" s="44"/>
      <c r="AE128" s="38"/>
    </row>
    <row r="129" spans="1:31" ht="21.2" customHeight="1">
      <c r="A129" s="8" t="s">
        <v>271</v>
      </c>
      <c r="B129" s="34" t="str">
        <f>VLOOKUP(A129,'Player Data'!A1:B734,2,FALSE)</f>
        <v>ANA</v>
      </c>
      <c r="C129" s="36">
        <f>((E129)*Settings!$C$12)+(F129*Settings!$C$2)+(G129*Settings!$C$3)+(H129*Settings!$C$4)+(I129*Settings!$C$5)+(K129*Settings!$C$9)+(N129*Settings!$C$6)+(J129*Settings!$C$8)+(O129*Settings!$C$7)+(P129*Settings!$C$14)+(Q129*Settings!$C$15)+(R129*Settings!$C$16)+(S129*Settings!$C$17)+(T129*Settings!$C$18)+(U129*Settings!$C$19)+(L129*Settings!$C$10)+(Settings!$C$11*M129)</f>
        <v>4.1500178457372492</v>
      </c>
      <c r="D129" s="40">
        <f>IF(Settings!$E$12="YES",VLOOKUP(A129,'Player Data'!A1:E734,5,FALSE),82)</f>
        <v>82</v>
      </c>
      <c r="E129" s="38">
        <f>(VLOOKUP($A129,'The List'!$B1:$AH730,17,FALSE)-AVERAGE('The List'!R2:R730))/STDEV('The List'!R2:R730)</f>
        <v>0.27689721782580967</v>
      </c>
      <c r="F129" s="38">
        <f>(VLOOKUP($A129,'The List'!$B1:$AH730,18,FALSE)-AVERAGE('The List'!S2:S730))/STDEV('The List'!S2:S730)</f>
        <v>0.89403439387423311</v>
      </c>
      <c r="G129" s="38">
        <f>(VLOOKUP($A129,'The List'!$B1:$AH730,19,FALSE)-AVERAGE('The List'!T2:T730))/STDEV('The List'!T2:T730)</f>
        <v>0.65582436986383141</v>
      </c>
      <c r="H129" s="38">
        <f>(VLOOKUP($A129,'The List'!$B1:$AH730,20,FALSE)-AVERAGE('The List'!U2:U730))/STDEV('The List'!U2:U730)</f>
        <v>0.81864243797579306</v>
      </c>
      <c r="I129" s="38">
        <f>(VLOOKUP($A129,'The List'!$B1:$AH730,21,FALSE)-AVERAGE('The List'!V2:V730))/STDEV('The List'!V2:V730)</f>
        <v>0.71338883983229373</v>
      </c>
      <c r="J129" s="38">
        <f>(VLOOKUP($A129,'The List'!$B1:$AH730,22,FALSE)-AVERAGE('The List'!W2:W730))/STDEV('The List'!W2:W730)</f>
        <v>1.5530396169370928</v>
      </c>
      <c r="K129" s="38">
        <f>(VLOOKUP($A129,'The List'!$B1:$AH730,23,FALSE)-AVERAGE('The List'!X2:X730))/STDEV('The List'!X2:X730)</f>
        <v>1.0681278041910984</v>
      </c>
      <c r="L129" s="38">
        <f>(VLOOKUP($A129,'The List'!$B1:$AH730,24,FALSE)-AVERAGE('The List'!Y2:Y730))/STDEV('The List'!Y2:Y730)</f>
        <v>-0.4826428726971414</v>
      </c>
      <c r="M129" s="38">
        <f>(VLOOKUP($A129,'The List'!$B1:$AH730,25,FALSE)-AVERAGE('The List'!Z2:Z730))/STDEV('The List'!Z2:Z730)</f>
        <v>-0.64970013785717529</v>
      </c>
      <c r="N129" s="38">
        <f>(VLOOKUP($A129,'The List'!$B1:$AH730,26,FALSE)-AVERAGE('The List'!AA2:AA730))/STDEV('The List'!AA2:AA730)</f>
        <v>-0.56615851184768617</v>
      </c>
      <c r="O129" s="38">
        <f>(VLOOKUP($A129,'The List'!$B1:$AH730,27,FALSE)-AVERAGE('The List'!AB2:AB730))/STDEV('The List'!AB2:AB730)</f>
        <v>-0.70898334765040916</v>
      </c>
      <c r="P129" s="38">
        <f>(VLOOKUP($A129,'The List'!$B1:$AH730,28,FALSE)-AVERAGE('The List'!AC2:AC730))/STDEV('The List'!AC2:AC730)</f>
        <v>-2.231757393350231</v>
      </c>
      <c r="Q129" s="38">
        <f>(VLOOKUP($A129,'The List'!$B1:$AH730,29,FALSE)-AVERAGE('The List'!AD2:AD730))/STDEV('The List'!AD2:AD730)</f>
        <v>0.74643862371947212</v>
      </c>
      <c r="R129" s="38">
        <f>(VLOOKUP($A129,'The List'!$B1:$AH730,30,FALSE)-AVERAGE('The List'!AE2:AE730))/STDEV('The List'!AE2:AE730)</f>
        <v>0.16177303881139038</v>
      </c>
      <c r="S129" s="38">
        <f>(VLOOKUP($A129,'The List'!$B1:$AH730,31,FALSE)-AVERAGE('The List'!AF2:AF730))/STDEV('The List'!AF2:AF730)</f>
        <v>0.96274642203636074</v>
      </c>
      <c r="T129" s="38">
        <f>(VLOOKUP($A129,'The List'!$B1:$AH730,32,FALSE)-AVERAGE('The List'!AG2:AG730))/STDEV('The List'!AG2:AG730)</f>
        <v>1.8784775702324721</v>
      </c>
      <c r="U129" s="38">
        <f>(VLOOKUP($A129,'The List'!$B1:$AH730,33,FALSE)-AVERAGE('The List'!AH2:AH730))/STDEV('The List'!AH2:AH730)</f>
        <v>0.53523292502650199</v>
      </c>
      <c r="V129" s="38"/>
      <c r="W129" s="42"/>
      <c r="X129" s="40"/>
      <c r="Y129" s="40"/>
      <c r="Z129" s="40"/>
      <c r="AA129" s="40"/>
      <c r="AB129" s="40"/>
      <c r="AC129" s="43"/>
      <c r="AD129" s="44"/>
      <c r="AE129" s="38"/>
    </row>
    <row r="130" spans="1:31" ht="21.2" customHeight="1">
      <c r="A130" s="8" t="s">
        <v>177</v>
      </c>
      <c r="B130" s="34" t="str">
        <f>VLOOKUP(A130,'Player Data'!A1:B734,2,FALSE)</f>
        <v>VGK</v>
      </c>
      <c r="C130" s="36">
        <f>((E130)*Settings!$C$12)+(F130*Settings!$C$2)+(G130*Settings!$C$3)+(H130*Settings!$C$4)+(I130*Settings!$C$5)+(K130*Settings!$C$9)+(N130*Settings!$C$6)+(J130*Settings!$C$8)+(O130*Settings!$C$7)+(P130*Settings!$C$14)+(Q130*Settings!$C$15)+(R130*Settings!$C$16)+(S130*Settings!$C$17)+(T130*Settings!$C$18)+(U130*Settings!$C$19)+(L130*Settings!$C$10)+(Settings!$C$11*M130)</f>
        <v>3.9753189860102234</v>
      </c>
      <c r="D130" s="40">
        <f>IF(Settings!$E$12="YES",VLOOKUP(A130,'Player Data'!A1:E734,5,FALSE),82)</f>
        <v>82</v>
      </c>
      <c r="E130" s="38">
        <f>(VLOOKUP($A130,'The List'!$B1:$AH730,17,FALSE)-AVERAGE('The List'!R2:R730))/STDEV('The List'!R2:R730)</f>
        <v>1.4376806224126406</v>
      </c>
      <c r="F130" s="38">
        <f>(VLOOKUP($A130,'The List'!$B1:$AH730,18,FALSE)-AVERAGE('The List'!S2:S730))/STDEV('The List'!S2:S730)</f>
        <v>-0.16911362044046821</v>
      </c>
      <c r="G130" s="38">
        <f>(VLOOKUP($A130,'The List'!$B1:$AH730,19,FALSE)-AVERAGE('The List'!T2:T730))/STDEV('The List'!T2:T730)</f>
        <v>1.4544536448372729</v>
      </c>
      <c r="H130" s="38">
        <f>(VLOOKUP($A130,'The List'!$B1:$AH730,20,FALSE)-AVERAGE('The List'!U2:U730))/STDEV('The List'!U2:U730)</f>
        <v>0.8152026018378582</v>
      </c>
      <c r="I130" s="38">
        <f>(VLOOKUP($A130,'The List'!$B1:$AH730,21,FALSE)-AVERAGE('The List'!V2:V730))/STDEV('The List'!V2:V730)</f>
        <v>1.0524929059811869</v>
      </c>
      <c r="J130" s="38">
        <f>(VLOOKUP($A130,'The List'!$B1:$AH730,22,FALSE)-AVERAGE('The List'!W2:W730))/STDEV('The List'!W2:W730)</f>
        <v>-0.2552492755708124</v>
      </c>
      <c r="K130" s="38">
        <f>(VLOOKUP($A130,'The List'!$B1:$AH730,23,FALSE)-AVERAGE('The List'!X2:X730))/STDEV('The List'!X2:X730)</f>
        <v>0.82228345379437306</v>
      </c>
      <c r="L130" s="38">
        <f>(VLOOKUP($A130,'The List'!$B1:$AH730,24,FALSE)-AVERAGE('The List'!Y2:Y730))/STDEV('The List'!Y2:Y730)</f>
        <v>-0.52056908116111678</v>
      </c>
      <c r="M130" s="38">
        <f>(VLOOKUP($A130,'The List'!$B1:$AH730,25,FALSE)-AVERAGE('The List'!Z2:Z730))/STDEV('The List'!Z2:Z730)</f>
        <v>-0.69209902352408781</v>
      </c>
      <c r="N130" s="38">
        <f>(VLOOKUP($A130,'The List'!$B1:$AH730,26,FALSE)-AVERAGE('The List'!AA2:AA730))/STDEV('The List'!AA2:AA730)</f>
        <v>1.1424868237215497</v>
      </c>
      <c r="O130" s="38">
        <f>(VLOOKUP($A130,'The List'!$B1:$AH730,27,FALSE)-AVERAGE('The List'!AB2:AB730))/STDEV('The List'!AB2:AB730)</f>
        <v>-1.1818849863842871</v>
      </c>
      <c r="P130" s="38">
        <f>(VLOOKUP($A130,'The List'!$B1:$AH730,28,FALSE)-AVERAGE('The List'!AC2:AC730))/STDEV('The List'!AC2:AC730)</f>
        <v>1.6154245414147108</v>
      </c>
      <c r="Q130" s="38">
        <f>(VLOOKUP($A130,'The List'!$B1:$AH730,29,FALSE)-AVERAGE('The List'!AD2:AD730))/STDEV('The List'!AD2:AD730)</f>
        <v>-0.39373193306421789</v>
      </c>
      <c r="R130" s="38">
        <f>(VLOOKUP($A130,'The List'!$B1:$AH730,30,FALSE)-AVERAGE('The List'!AE2:AE730))/STDEV('The List'!AE2:AE730)</f>
        <v>2.644385148725514E-2</v>
      </c>
      <c r="S130" s="38">
        <f>(VLOOKUP($A130,'The List'!$B1:$AH730,31,FALSE)-AVERAGE('The List'!AF2:AF730))/STDEV('The List'!AF2:AF730)</f>
        <v>-0.56911587195029545</v>
      </c>
      <c r="T130" s="38">
        <f>(VLOOKUP($A130,'The List'!$B1:$AH730,32,FALSE)-AVERAGE('The List'!AG2:AG730))/STDEV('The List'!AG2:AG730)</f>
        <v>-0.61510119871956948</v>
      </c>
      <c r="U130" s="38">
        <f>(VLOOKUP($A130,'The List'!$B1:$AH730,33,FALSE)-AVERAGE('The List'!AH2:AH730))/STDEV('The List'!AH2:AH730)</f>
        <v>-1.2363238714825984</v>
      </c>
      <c r="V130" s="38"/>
      <c r="W130" s="40"/>
      <c r="X130" s="38"/>
      <c r="Y130" s="38"/>
      <c r="Z130" s="38"/>
      <c r="AA130" s="38"/>
      <c r="AB130" s="38"/>
      <c r="AC130" s="38"/>
      <c r="AD130" s="38"/>
      <c r="AE130" s="38"/>
    </row>
    <row r="131" spans="1:31" ht="21.2" customHeight="1">
      <c r="A131" s="8" t="s">
        <v>300</v>
      </c>
      <c r="B131" s="34" t="str">
        <f>VLOOKUP(A131,'Player Data'!A1:B734,2,FALSE)</f>
        <v>BUF</v>
      </c>
      <c r="C131" s="36">
        <f>((E131)*Settings!$C$12)+(F131*Settings!$C$2)+(G131*Settings!$C$3)+(H131*Settings!$C$4)+(I131*Settings!$C$5)+(K131*Settings!$C$9)+(N131*Settings!$C$6)+(J131*Settings!$C$8)+(O131*Settings!$C$7)+(P131*Settings!$C$14)+(Q131*Settings!$C$15)+(R131*Settings!$C$16)+(S131*Settings!$C$17)+(T131*Settings!$C$18)+(U131*Settings!$C$19)+(L131*Settings!$C$10)+(Settings!$C$11*M131)</f>
        <v>3.3242502705640726</v>
      </c>
      <c r="D131" s="40">
        <f>IF(Settings!$E$12="YES",VLOOKUP(A131,'Player Data'!A1:E734,5,FALSE),82)</f>
        <v>82</v>
      </c>
      <c r="E131" s="38">
        <f>(VLOOKUP($A131,'The List'!$B1:$AH730,17,FALSE)-AVERAGE('The List'!R2:R730))/STDEV('The List'!R2:R730)</f>
        <v>1.2037721815093114E-2</v>
      </c>
      <c r="F131" s="38">
        <f>(VLOOKUP($A131,'The List'!$B1:$AH730,18,FALSE)-AVERAGE('The List'!S2:S730))/STDEV('The List'!S2:S730)</f>
        <v>0.34507373521364365</v>
      </c>
      <c r="G131" s="38">
        <f>(VLOOKUP($A131,'The List'!$B1:$AH730,19,FALSE)-AVERAGE('The List'!T2:T730))/STDEV('The List'!T2:T730)</f>
        <v>1.2274472944503028</v>
      </c>
      <c r="H131" s="38">
        <f>(VLOOKUP($A131,'The List'!$B1:$AH730,20,FALSE)-AVERAGE('The List'!U2:U730))/STDEV('The List'!U2:U730)</f>
        <v>0.9147301534620812</v>
      </c>
      <c r="I131" s="38">
        <f>(VLOOKUP($A131,'The List'!$B1:$AH730,21,FALSE)-AVERAGE('The List'!V2:V730))/STDEV('The List'!V2:V730)</f>
        <v>8.5979986869196542E-2</v>
      </c>
      <c r="J131" s="38">
        <f>(VLOOKUP($A131,'The List'!$B1:$AH730,22,FALSE)-AVERAGE('The List'!W2:W730))/STDEV('The List'!W2:W730)</f>
        <v>0.46316539797434664</v>
      </c>
      <c r="K131" s="38">
        <f>(VLOOKUP($A131,'The List'!$B1:$AH730,23,FALSE)-AVERAGE('The List'!X2:X730))/STDEV('The List'!X2:X730)</f>
        <v>0.75101910056884802</v>
      </c>
      <c r="L131" s="38">
        <f>(VLOOKUP($A131,'The List'!$B1:$AH730,24,FALSE)-AVERAGE('The List'!Y2:Y730))/STDEV('The List'!Y2:Y730)</f>
        <v>-0.10022417408222731</v>
      </c>
      <c r="M131" s="38">
        <f>(VLOOKUP($A131,'The List'!$B1:$AH730,25,FALSE)-AVERAGE('The List'!Z2:Z730))/STDEV('The List'!Z2:Z730)</f>
        <v>-0.34310208546814785</v>
      </c>
      <c r="N131" s="38">
        <f>(VLOOKUP($A131,'The List'!$B1:$AH730,26,FALSE)-AVERAGE('The List'!AA2:AA730))/STDEV('The List'!AA2:AA730)</f>
        <v>-1.0818111928004628</v>
      </c>
      <c r="O131" s="38">
        <f>(VLOOKUP($A131,'The List'!$B1:$AH730,27,FALSE)-AVERAGE('The List'!AB2:AB730))/STDEV('The List'!AB2:AB730)</f>
        <v>-1.2250350635938798</v>
      </c>
      <c r="P131" s="38">
        <f>(VLOOKUP($A131,'The List'!$B1:$AH730,28,FALSE)-AVERAGE('The List'!AC2:AC730))/STDEV('The List'!AC2:AC730)</f>
        <v>-0.64444869539200766</v>
      </c>
      <c r="Q131" s="38">
        <f>(VLOOKUP($A131,'The List'!$B1:$AH730,29,FALSE)-AVERAGE('The List'!AD2:AD730))/STDEV('The List'!AD2:AD730)</f>
        <v>-1.1264326462755201</v>
      </c>
      <c r="R131" s="38">
        <f>(VLOOKUP($A131,'The List'!$B1:$AH730,30,FALSE)-AVERAGE('The List'!AE2:AE730))/STDEV('The List'!AE2:AE730)</f>
        <v>0.17821156281894693</v>
      </c>
      <c r="S131" s="38">
        <f>(VLOOKUP($A131,'The List'!$B1:$AH730,31,FALSE)-AVERAGE('The List'!AF2:AF730))/STDEV('The List'!AF2:AF730)</f>
        <v>1.1655158026960384</v>
      </c>
      <c r="T131" s="38">
        <f>(VLOOKUP($A131,'The List'!$B1:$AH730,32,FALSE)-AVERAGE('The List'!AG2:AG730))/STDEV('The List'!AG2:AG730)</f>
        <v>1.5109779519040418</v>
      </c>
      <c r="U131" s="38">
        <f>(VLOOKUP($A131,'The List'!$B1:$AH730,33,FALSE)-AVERAGE('The List'!AH2:AH730))/STDEV('The List'!AH2:AH730)</f>
        <v>0.84820574027247619</v>
      </c>
      <c r="V131" s="38"/>
      <c r="W131" s="42"/>
      <c r="X131" s="40"/>
      <c r="Y131" s="40"/>
      <c r="Z131" s="40"/>
      <c r="AA131" s="40"/>
      <c r="AB131" s="40"/>
      <c r="AC131" s="43"/>
      <c r="AD131" s="44"/>
      <c r="AE131" s="38"/>
    </row>
    <row r="132" spans="1:31" ht="21.2" customHeight="1">
      <c r="A132" s="8" t="s">
        <v>295</v>
      </c>
      <c r="B132" s="34" t="str">
        <f>VLOOKUP(A132,'Player Data'!A1:B734,2,FALSE)</f>
        <v>DAL</v>
      </c>
      <c r="C132" s="36">
        <f>((E132)*Settings!$C$12)+(F132*Settings!$C$2)+(G132*Settings!$C$3)+(H132*Settings!$C$4)+(I132*Settings!$C$5)+(K132*Settings!$C$9)+(N132*Settings!$C$6)+(J132*Settings!$C$8)+(O132*Settings!$C$7)+(P132*Settings!$C$14)+(Q132*Settings!$C$15)+(R132*Settings!$C$16)+(S132*Settings!$C$17)+(T132*Settings!$C$18)+(U132*Settings!$C$19)+(L132*Settings!$C$10)+(Settings!$C$11*M132)</f>
        <v>3.1171217542416638</v>
      </c>
      <c r="D132" s="40">
        <f>IF(Settings!$E$12="YES",VLOOKUP(A132,'Player Data'!A1:E734,5,FALSE),82)</f>
        <v>82</v>
      </c>
      <c r="E132" s="38">
        <f>(VLOOKUP($A132,'The List'!$B1:$AH730,17,FALSE)-AVERAGE('The List'!R2:R730))/STDEV('The List'!R2:R730)</f>
        <v>-0.18132709853308648</v>
      </c>
      <c r="F132" s="38">
        <f>(VLOOKUP($A132,'The List'!$B1:$AH730,18,FALSE)-AVERAGE('The List'!S2:S730))/STDEV('The List'!S2:S730)</f>
        <v>0.98077178760318939</v>
      </c>
      <c r="G132" s="38">
        <f>(VLOOKUP($A132,'The List'!$B1:$AH730,19,FALSE)-AVERAGE('The List'!T2:T730))/STDEV('The List'!T2:T730)</f>
        <v>0.54095565203164486</v>
      </c>
      <c r="H132" s="38">
        <f>(VLOOKUP($A132,'The List'!$B1:$AH730,20,FALSE)-AVERAGE('The List'!U2:U730))/STDEV('The List'!U2:U730)</f>
        <v>0.78837297565343045</v>
      </c>
      <c r="I132" s="38">
        <f>(VLOOKUP($A132,'The List'!$B1:$AH730,21,FALSE)-AVERAGE('The List'!V2:V730))/STDEV('The List'!V2:V730)</f>
        <v>0.42576421557785421</v>
      </c>
      <c r="J132" s="38">
        <f>(VLOOKUP($A132,'The List'!$B1:$AH730,22,FALSE)-AVERAGE('The List'!W2:W730))/STDEV('The List'!W2:W730)</f>
        <v>0.69060510784348572</v>
      </c>
      <c r="K132" s="38">
        <f>(VLOOKUP($A132,'The List'!$B1:$AH730,23,FALSE)-AVERAGE('The List'!X2:X730))/STDEV('The List'!X2:X730)</f>
        <v>0.38125712337554524</v>
      </c>
      <c r="L132" s="38">
        <f>(VLOOKUP($A132,'The List'!$B1:$AH730,24,FALSE)-AVERAGE('The List'!Y2:Y730))/STDEV('The List'!Y2:Y730)</f>
        <v>-0.51181636481843618</v>
      </c>
      <c r="M132" s="38">
        <f>(VLOOKUP($A132,'The List'!$B1:$AH730,25,FALSE)-AVERAGE('The List'!Z2:Z730))/STDEV('The List'!Z2:Z730)</f>
        <v>-0.68965531697234128</v>
      </c>
      <c r="N132" s="38">
        <f>(VLOOKUP($A132,'The List'!$B1:$AH730,26,FALSE)-AVERAGE('The List'!AA2:AA730))/STDEV('The List'!AA2:AA730)</f>
        <v>-0.83145382481588281</v>
      </c>
      <c r="O132" s="38">
        <f>(VLOOKUP($A132,'The List'!$B1:$AH730,27,FALSE)-AVERAGE('The List'!AB2:AB730))/STDEV('The List'!AB2:AB730)</f>
        <v>-1.3211840560369394</v>
      </c>
      <c r="P132" s="38">
        <f>(VLOOKUP($A132,'The List'!$B1:$AH730,28,FALSE)-AVERAGE('The List'!AC2:AC730))/STDEV('The List'!AC2:AC730)</f>
        <v>1.1889124509911968</v>
      </c>
      <c r="Q132" s="38">
        <f>(VLOOKUP($A132,'The List'!$B1:$AH730,29,FALSE)-AVERAGE('The List'!AD2:AD730))/STDEV('The List'!AD2:AD730)</f>
        <v>-0.5091123171338533</v>
      </c>
      <c r="R132" s="38">
        <f>(VLOOKUP($A132,'The List'!$B1:$AH730,30,FALSE)-AVERAGE('The List'!AE2:AE730))/STDEV('The List'!AE2:AE730)</f>
        <v>1.1976530008920385</v>
      </c>
      <c r="S132" s="38">
        <f>(VLOOKUP($A132,'The List'!$B1:$AH730,31,FALSE)-AVERAGE('The List'!AF2:AF730))/STDEV('The List'!AF2:AF730)</f>
        <v>0.12615269921128899</v>
      </c>
      <c r="T132" s="38">
        <f>(VLOOKUP($A132,'The List'!$B1:$AH730,32,FALSE)-AVERAGE('The List'!AG2:AG730))/STDEV('The List'!AG2:AG730)</f>
        <v>1.9401134373350153E-2</v>
      </c>
      <c r="U132" s="38">
        <f>(VLOOKUP($A132,'The List'!$B1:$AH730,33,FALSE)-AVERAGE('The List'!AH2:AH730))/STDEV('The List'!AH2:AH730)</f>
        <v>1.1806145169411086</v>
      </c>
      <c r="V132" s="38"/>
      <c r="W132" s="40"/>
      <c r="X132" s="38"/>
      <c r="Y132" s="38"/>
      <c r="Z132" s="38"/>
      <c r="AA132" s="38"/>
      <c r="AB132" s="38"/>
      <c r="AC132" s="38"/>
      <c r="AD132" s="38"/>
      <c r="AE132" s="38"/>
    </row>
    <row r="133" spans="1:31" ht="21.2" customHeight="1">
      <c r="A133" s="8" t="s">
        <v>254</v>
      </c>
      <c r="B133" s="34" t="str">
        <f>VLOOKUP(A133,'Player Data'!A1:B734,2,FALSE)</f>
        <v>NJD</v>
      </c>
      <c r="C133" s="36">
        <f>((E133)*Settings!$C$12)+(F133*Settings!$C$2)+(G133*Settings!$C$3)+(H133*Settings!$C$4)+(I133*Settings!$C$5)+(K133*Settings!$C$9)+(N133*Settings!$C$6)+(J133*Settings!$C$8)+(O133*Settings!$C$7)+(P133*Settings!$C$14)+(Q133*Settings!$C$15)+(R133*Settings!$C$16)+(S133*Settings!$C$17)+(T133*Settings!$C$18)+(U133*Settings!$C$19)+(L133*Settings!$C$10)+(Settings!$C$11*M133)</f>
        <v>3.7326427499068129</v>
      </c>
      <c r="D133" s="40">
        <f>IF(Settings!$E$12="YES",VLOOKUP(A133,'Player Data'!A1:E734,5,FALSE),82)</f>
        <v>82</v>
      </c>
      <c r="E133" s="38">
        <f>(VLOOKUP($A133,'The List'!$B1:$AH730,17,FALSE)-AVERAGE('The List'!R2:R730))/STDEV('The List'!R2:R730)</f>
        <v>0.2437196042283207</v>
      </c>
      <c r="F133" s="38">
        <f>(VLOOKUP($A133,'The List'!$B1:$AH730,18,FALSE)-AVERAGE('The List'!S2:S730))/STDEV('The List'!S2:S730)</f>
        <v>1.2598827699754127</v>
      </c>
      <c r="G133" s="38">
        <f>(VLOOKUP($A133,'The List'!$B1:$AH730,19,FALSE)-AVERAGE('The List'!T2:T730))/STDEV('The List'!T2:T730)</f>
        <v>0.70113589961790401</v>
      </c>
      <c r="H133" s="38">
        <f>(VLOOKUP($A133,'The List'!$B1:$AH730,20,FALSE)-AVERAGE('The List'!U2:U730))/STDEV('The List'!U2:U730)</f>
        <v>1.0165612340015824</v>
      </c>
      <c r="I133" s="38">
        <f>(VLOOKUP($A133,'The List'!$B1:$AH730,21,FALSE)-AVERAGE('The List'!V2:V730))/STDEV('The List'!V2:V730)</f>
        <v>0.53697413588312715</v>
      </c>
      <c r="J133" s="38">
        <f>(VLOOKUP($A133,'The List'!$B1:$AH730,22,FALSE)-AVERAGE('The List'!W2:W730))/STDEV('The List'!W2:W730)</f>
        <v>5.621614851755264E-2</v>
      </c>
      <c r="K133" s="38">
        <f>(VLOOKUP($A133,'The List'!$B1:$AH730,23,FALSE)-AVERAGE('The List'!X2:X730))/STDEV('The List'!X2:X730)</f>
        <v>0.21808871042878655</v>
      </c>
      <c r="L133" s="38">
        <f>(VLOOKUP($A133,'The List'!$B1:$AH730,24,FALSE)-AVERAGE('The List'!Y2:Y730))/STDEV('The List'!Y2:Y730)</f>
        <v>1.8374195612251227</v>
      </c>
      <c r="M133" s="38">
        <f>(VLOOKUP($A133,'The List'!$B1:$AH730,25,FALSE)-AVERAGE('The List'!Z2:Z730))/STDEV('The List'!Z2:Z730)</f>
        <v>1.8689787873229555</v>
      </c>
      <c r="N133" s="38">
        <f>(VLOOKUP($A133,'The List'!$B1:$AH730,26,FALSE)-AVERAGE('The List'!AA2:AA730))/STDEV('The List'!AA2:AA730)</f>
        <v>-0.22214930716439538</v>
      </c>
      <c r="O133" s="38">
        <f>(VLOOKUP($A133,'The List'!$B1:$AH730,27,FALSE)-AVERAGE('The List'!AB2:AB730))/STDEV('The List'!AB2:AB730)</f>
        <v>-1.2008852735673139</v>
      </c>
      <c r="P133" s="38">
        <f>(VLOOKUP($A133,'The List'!$B1:$AH730,28,FALSE)-AVERAGE('The List'!AC2:AC730))/STDEV('The List'!AC2:AC730)</f>
        <v>-5.7849015140059419E-2</v>
      </c>
      <c r="Q133" s="38">
        <f>(VLOOKUP($A133,'The List'!$B1:$AH730,29,FALSE)-AVERAGE('The List'!AD2:AD730))/STDEV('The List'!AD2:AD730)</f>
        <v>-0.70951632690474997</v>
      </c>
      <c r="R133" s="38">
        <f>(VLOOKUP($A133,'The List'!$B1:$AH730,30,FALSE)-AVERAGE('The List'!AE2:AE730))/STDEV('The List'!AE2:AE730)</f>
        <v>1.2655638909629692</v>
      </c>
      <c r="S133" s="38">
        <f>(VLOOKUP($A133,'The List'!$B1:$AH730,31,FALSE)-AVERAGE('The List'!AF2:AF730))/STDEV('The List'!AF2:AF730)</f>
        <v>-0.10953199641328613</v>
      </c>
      <c r="T133" s="38">
        <f>(VLOOKUP($A133,'The List'!$B1:$AH730,32,FALSE)-AVERAGE('The List'!AG2:AG730))/STDEV('The List'!AG2:AG730)</f>
        <v>0.13217054850501972</v>
      </c>
      <c r="U133" s="38">
        <f>(VLOOKUP($A133,'The List'!$B1:$AH730,33,FALSE)-AVERAGE('The List'!AH2:AH730))/STDEV('The List'!AH2:AH730)</f>
        <v>0.53644679957969255</v>
      </c>
      <c r="V133" s="38"/>
      <c r="W133" s="40"/>
      <c r="X133" s="38"/>
      <c r="Y133" s="38"/>
      <c r="Z133" s="38"/>
      <c r="AA133" s="38"/>
      <c r="AB133" s="38"/>
      <c r="AC133" s="38"/>
      <c r="AD133" s="38"/>
      <c r="AE133" s="38"/>
    </row>
    <row r="134" spans="1:31" ht="21.2" customHeight="1">
      <c r="A134" s="8" t="s">
        <v>192</v>
      </c>
      <c r="B134" s="34" t="str">
        <f>VLOOKUP(A134,'Player Data'!A1:B734,2,FALSE)</f>
        <v>SEA</v>
      </c>
      <c r="C134" s="36">
        <f>((E134)*Settings!$C$12)+(F134*Settings!$C$2)+(G134*Settings!$C$3)+(H134*Settings!$C$4)+(I134*Settings!$C$5)+(K134*Settings!$C$9)+(N134*Settings!$C$6)+(J134*Settings!$C$8)+(O134*Settings!$C$7)+(P134*Settings!$C$14)+(Q134*Settings!$C$15)+(R134*Settings!$C$16)+(S134*Settings!$C$17)+(T134*Settings!$C$18)+(U134*Settings!$C$19)+(L134*Settings!$C$10)+(Settings!$C$11*M134)</f>
        <v>3.3848675562621415</v>
      </c>
      <c r="D134" s="40">
        <f>IF(Settings!$E$12="YES",VLOOKUP(A134,'Player Data'!A1:E734,5,FALSE),82)</f>
        <v>82</v>
      </c>
      <c r="E134" s="38">
        <f>(VLOOKUP($A134,'The List'!$B1:$AH730,17,FALSE)-AVERAGE('The List'!R2:R730))/STDEV('The List'!R2:R730)</f>
        <v>1.9040180626302277</v>
      </c>
      <c r="F134" s="38">
        <f>(VLOOKUP($A134,'The List'!$B1:$AH730,18,FALSE)-AVERAGE('The List'!S2:S730))/STDEV('The List'!S2:S730)</f>
        <v>-0.1848193218499273</v>
      </c>
      <c r="G134" s="38">
        <f>(VLOOKUP($A134,'The List'!$B1:$AH730,19,FALSE)-AVERAGE('The List'!T2:T730))/STDEV('The List'!T2:T730)</f>
        <v>1.5590545690141493</v>
      </c>
      <c r="H134" s="38">
        <f>(VLOOKUP($A134,'The List'!$B1:$AH730,20,FALSE)-AVERAGE('The List'!U2:U730))/STDEV('The List'!U2:U730)</f>
        <v>0.87218282596287677</v>
      </c>
      <c r="I134" s="38">
        <f>(VLOOKUP($A134,'The List'!$B1:$AH730,21,FALSE)-AVERAGE('The List'!V2:V730))/STDEV('The List'!V2:V730)</f>
        <v>0.25214655773472061</v>
      </c>
      <c r="J134" s="38">
        <f>(VLOOKUP($A134,'The List'!$B1:$AH730,22,FALSE)-AVERAGE('The List'!W2:W730))/STDEV('The List'!W2:W730)</f>
        <v>-0.29315415384788907</v>
      </c>
      <c r="K134" s="38">
        <f>(VLOOKUP($A134,'The List'!$B1:$AH730,23,FALSE)-AVERAGE('The List'!X2:X730))/STDEV('The List'!X2:X730)</f>
        <v>0.88630292540032185</v>
      </c>
      <c r="L134" s="38">
        <f>(VLOOKUP($A134,'The List'!$B1:$AH730,24,FALSE)-AVERAGE('The List'!Y2:Y730))/STDEV('The List'!Y2:Y730)</f>
        <v>-0.48310736659053966</v>
      </c>
      <c r="M134" s="38">
        <f>(VLOOKUP($A134,'The List'!$B1:$AH730,25,FALSE)-AVERAGE('The List'!Z2:Z730))/STDEV('The List'!Z2:Z730)</f>
        <v>-0.58512066410860497</v>
      </c>
      <c r="N134" s="38">
        <f>(VLOOKUP($A134,'The List'!$B1:$AH730,26,FALSE)-AVERAGE('The List'!AA2:AA730))/STDEV('The List'!AA2:AA730)</f>
        <v>0.67574011968218628</v>
      </c>
      <c r="O134" s="38">
        <f>(VLOOKUP($A134,'The List'!$B1:$AH730,27,FALSE)-AVERAGE('The List'!AB2:AB730))/STDEV('The List'!AB2:AB730)</f>
        <v>0.14134354272720639</v>
      </c>
      <c r="P134" s="38">
        <f>(VLOOKUP($A134,'The List'!$B1:$AH730,28,FALSE)-AVERAGE('The List'!AC2:AC730))/STDEV('The List'!AC2:AC730)</f>
        <v>0.4511241311371692</v>
      </c>
      <c r="Q134" s="38">
        <f>(VLOOKUP($A134,'The List'!$B1:$AH730,29,FALSE)-AVERAGE('The List'!AD2:AD730))/STDEV('The List'!AD2:AD730)</f>
        <v>1.7406401448352209</v>
      </c>
      <c r="R134" s="38">
        <f>(VLOOKUP($A134,'The List'!$B1:$AH730,30,FALSE)-AVERAGE('The List'!AE2:AE730))/STDEV('The List'!AE2:AE730)</f>
        <v>-0.16675256594616225</v>
      </c>
      <c r="S134" s="38">
        <f>(VLOOKUP($A134,'The List'!$B1:$AH730,31,FALSE)-AVERAGE('The List'!AF2:AF730))/STDEV('The List'!AF2:AF730)</f>
        <v>-0.56911587195029545</v>
      </c>
      <c r="T134" s="38">
        <f>(VLOOKUP($A134,'The List'!$B1:$AH730,32,FALSE)-AVERAGE('The List'!AG2:AG730))/STDEV('The List'!AG2:AG730)</f>
        <v>-0.61510119871956948</v>
      </c>
      <c r="U134" s="38">
        <f>(VLOOKUP($A134,'The List'!$B1:$AH730,33,FALSE)-AVERAGE('The List'!AH2:AH730))/STDEV('The List'!AH2:AH730)</f>
        <v>-1.2363238714825984</v>
      </c>
      <c r="V134" s="38"/>
      <c r="W134" s="42"/>
      <c r="X134" s="40"/>
      <c r="Y134" s="40"/>
      <c r="Z134" s="40"/>
      <c r="AA134" s="40"/>
      <c r="AB134" s="40"/>
      <c r="AC134" s="43"/>
      <c r="AD134" s="44"/>
      <c r="AE134" s="38"/>
    </row>
    <row r="135" spans="1:31" ht="21.2" customHeight="1">
      <c r="A135" s="8" t="s">
        <v>276</v>
      </c>
      <c r="B135" s="34" t="str">
        <f>VLOOKUP(A135,'Player Data'!A1:B734,2,FALSE)</f>
        <v>VAN</v>
      </c>
      <c r="C135" s="36">
        <f>((E135)*Settings!$C$12)+(F135*Settings!$C$2)+(G135*Settings!$C$3)+(H135*Settings!$C$4)+(I135*Settings!$C$5)+(K135*Settings!$C$9)+(N135*Settings!$C$6)+(J135*Settings!$C$8)+(O135*Settings!$C$7)+(P135*Settings!$C$14)+(Q135*Settings!$C$15)+(R135*Settings!$C$16)+(S135*Settings!$C$17)+(T135*Settings!$C$18)+(U135*Settings!$C$19)+(L135*Settings!$C$10)+(Settings!$C$11*M135)</f>
        <v>3.6121416210440778</v>
      </c>
      <c r="D135" s="40">
        <f>IF(Settings!$E$12="YES",VLOOKUP(A135,'Player Data'!A1:E734,5,FALSE),82)</f>
        <v>82</v>
      </c>
      <c r="E135" s="38">
        <f>(VLOOKUP($A135,'The List'!$B1:$AH730,17,FALSE)-AVERAGE('The List'!R2:R730))/STDEV('The List'!R2:R730)</f>
        <v>8.9993026741862547E-2</v>
      </c>
      <c r="F135" s="38">
        <f>(VLOOKUP($A135,'The List'!$B1:$AH730,18,FALSE)-AVERAGE('The List'!S2:S730))/STDEV('The List'!S2:S730)</f>
        <v>0.71267341744023616</v>
      </c>
      <c r="G135" s="38">
        <f>(VLOOKUP($A135,'The List'!$B1:$AH730,19,FALSE)-AVERAGE('The List'!T2:T730))/STDEV('The List'!T2:T730)</f>
        <v>0.63761259751374288</v>
      </c>
      <c r="H135" s="38">
        <f>(VLOOKUP($A135,'The List'!$B1:$AH730,20,FALSE)-AVERAGE('The List'!U2:U730))/STDEV('The List'!U2:U730)</f>
        <v>0.72314074325851052</v>
      </c>
      <c r="I135" s="38">
        <f>(VLOOKUP($A135,'The List'!$B1:$AH730,21,FALSE)-AVERAGE('The List'!V2:V730))/STDEV('The List'!V2:V730)</f>
        <v>0.7637967971048184</v>
      </c>
      <c r="J135" s="38">
        <f>(VLOOKUP($A135,'The List'!$B1:$AH730,22,FALSE)-AVERAGE('The List'!W2:W730))/STDEV('The List'!W2:W730)</f>
        <v>1.298518476638943</v>
      </c>
      <c r="K135" s="38">
        <f>(VLOOKUP($A135,'The List'!$B1:$AH730,23,FALSE)-AVERAGE('The List'!X2:X730))/STDEV('The List'!X2:X730)</f>
        <v>0.7749180657267698</v>
      </c>
      <c r="L135" s="38">
        <f>(VLOOKUP($A135,'The List'!$B1:$AH730,24,FALSE)-AVERAGE('The List'!Y2:Y730))/STDEV('The List'!Y2:Y730)</f>
        <v>-0.51774647800499229</v>
      </c>
      <c r="M135" s="38">
        <f>(VLOOKUP($A135,'The List'!$B1:$AH730,25,FALSE)-AVERAGE('The List'!Z2:Z730))/STDEV('The List'!Z2:Z730)</f>
        <v>-0.69496680788607068</v>
      </c>
      <c r="N135" s="38">
        <f>(VLOOKUP($A135,'The List'!$B1:$AH730,26,FALSE)-AVERAGE('The List'!AA2:AA730))/STDEV('The List'!AA2:AA730)</f>
        <v>-0.79213927227793368</v>
      </c>
      <c r="O135" s="38">
        <f>(VLOOKUP($A135,'The List'!$B1:$AH730,27,FALSE)-AVERAGE('The List'!AB2:AB730))/STDEV('The List'!AB2:AB730)</f>
        <v>-0.98746398437210647</v>
      </c>
      <c r="P135" s="38">
        <f>(VLOOKUP($A135,'The List'!$B1:$AH730,28,FALSE)-AVERAGE('The List'!AC2:AC730))/STDEV('The List'!AC2:AC730)</f>
        <v>-0.43212120815683014</v>
      </c>
      <c r="Q135" s="38">
        <f>(VLOOKUP($A135,'The List'!$B1:$AH730,29,FALSE)-AVERAGE('The List'!AD2:AD730))/STDEV('The List'!AD2:AD730)</f>
        <v>-0.63134176510454898</v>
      </c>
      <c r="R135" s="38">
        <f>(VLOOKUP($A135,'The List'!$B1:$AH730,30,FALSE)-AVERAGE('The List'!AE2:AE730))/STDEV('The List'!AE2:AE730)</f>
        <v>0.66831825422159719</v>
      </c>
      <c r="S135" s="38">
        <f>(VLOOKUP($A135,'The List'!$B1:$AH730,31,FALSE)-AVERAGE('The List'!AF2:AF730))/STDEV('The List'!AF2:AF730)</f>
        <v>-0.45625415504089006</v>
      </c>
      <c r="T135" s="38">
        <f>(VLOOKUP($A135,'The List'!$B1:$AH730,32,FALSE)-AVERAGE('The List'!AG2:AG730))/STDEV('The List'!AG2:AG730)</f>
        <v>-0.45543593191250453</v>
      </c>
      <c r="U135" s="38">
        <f>(VLOOKUP($A135,'The List'!$B1:$AH730,33,FALSE)-AVERAGE('The List'!AH2:AH730))/STDEV('The List'!AH2:AH730)</f>
        <v>0.68837175903737635</v>
      </c>
      <c r="V135" s="38"/>
      <c r="W135" s="42"/>
      <c r="X135" s="40"/>
      <c r="Y135" s="40"/>
      <c r="Z135" s="40"/>
      <c r="AA135" s="40"/>
      <c r="AB135" s="40"/>
      <c r="AC135" s="43"/>
      <c r="AD135" s="44"/>
      <c r="AE135" s="38"/>
    </row>
    <row r="136" spans="1:31" ht="21.2" customHeight="1">
      <c r="A136" s="8" t="s">
        <v>260</v>
      </c>
      <c r="B136" s="34" t="str">
        <f>VLOOKUP(A136,'Player Data'!A1:B734,2,FALSE)</f>
        <v>PIT</v>
      </c>
      <c r="C136" s="36">
        <f>((E136)*Settings!$C$12)+(F136*Settings!$C$2)+(G136*Settings!$C$3)+(H136*Settings!$C$4)+(I136*Settings!$C$5)+(K136*Settings!$C$9)+(N136*Settings!$C$6)+(J136*Settings!$C$8)+(O136*Settings!$C$7)+(P136*Settings!$C$14)+(Q136*Settings!$C$15)+(R136*Settings!$C$16)+(S136*Settings!$C$17)+(T136*Settings!$C$18)+(U136*Settings!$C$19)+(L136*Settings!$C$10)+(Settings!$C$11*M136)</f>
        <v>4.0574487696802191</v>
      </c>
      <c r="D136" s="40">
        <f>IF(Settings!$E$12="YES",VLOOKUP(A136,'Player Data'!A1:E734,5,FALSE),82)</f>
        <v>82</v>
      </c>
      <c r="E136" s="38">
        <f>(VLOOKUP($A136,'The List'!$B1:$AH730,17,FALSE)-AVERAGE('The List'!R2:R730))/STDEV('The List'!R2:R730)</f>
        <v>0.43676514155856072</v>
      </c>
      <c r="F136" s="38">
        <f>(VLOOKUP($A136,'The List'!$B1:$AH730,18,FALSE)-AVERAGE('The List'!S2:S730))/STDEV('The List'!S2:S730)</f>
        <v>0.96950623097203226</v>
      </c>
      <c r="G136" s="38">
        <f>(VLOOKUP($A136,'The List'!$B1:$AH730,19,FALSE)-AVERAGE('The List'!T2:T730))/STDEV('The List'!T2:T730)</f>
        <v>0.42703377672972265</v>
      </c>
      <c r="H136" s="38">
        <f>(VLOOKUP($A136,'The List'!$B1:$AH730,20,FALSE)-AVERAGE('The List'!U2:U730))/STDEV('The List'!U2:U730)</f>
        <v>0.71312644733868213</v>
      </c>
      <c r="I136" s="38">
        <f>(VLOOKUP($A136,'The List'!$B1:$AH730,21,FALSE)-AVERAGE('The List'!V2:V730))/STDEV('The List'!V2:V730)</f>
        <v>1.3282859985474347</v>
      </c>
      <c r="J136" s="38">
        <f>(VLOOKUP($A136,'The List'!$B1:$AH730,22,FALSE)-AVERAGE('The List'!W2:W730))/STDEV('The List'!W2:W730)</f>
        <v>1.0713946265153607</v>
      </c>
      <c r="K136" s="38">
        <f>(VLOOKUP($A136,'The List'!$B1:$AH730,23,FALSE)-AVERAGE('The List'!X2:X730))/STDEV('The List'!X2:X730)</f>
        <v>0.61949631609234701</v>
      </c>
      <c r="L136" s="38">
        <f>(VLOOKUP($A136,'The List'!$B1:$AH730,24,FALSE)-AVERAGE('The List'!Y2:Y730))/STDEV('The List'!Y2:Y730)</f>
        <v>-0.5190103897464724</v>
      </c>
      <c r="M136" s="38">
        <f>(VLOOKUP($A136,'The List'!$B1:$AH730,25,FALSE)-AVERAGE('The List'!Z2:Z730))/STDEV('The List'!Z2:Z730)</f>
        <v>-0.69695931301205849</v>
      </c>
      <c r="N136" s="38">
        <f>(VLOOKUP($A136,'The List'!$B1:$AH730,26,FALSE)-AVERAGE('The List'!AA2:AA730))/STDEV('The List'!AA2:AA730)</f>
        <v>-0.38502236510850013</v>
      </c>
      <c r="O136" s="38">
        <f>(VLOOKUP($A136,'The List'!$B1:$AH730,27,FALSE)-AVERAGE('The List'!AB2:AB730))/STDEV('The List'!AB2:AB730)</f>
        <v>0.48423426687905663</v>
      </c>
      <c r="P136" s="38">
        <f>(VLOOKUP($A136,'The List'!$B1:$AH730,28,FALSE)-AVERAGE('The List'!AC2:AC730))/STDEV('The List'!AC2:AC730)</f>
        <v>0.82610410472184481</v>
      </c>
      <c r="Q136" s="38">
        <f>(VLOOKUP($A136,'The List'!$B1:$AH730,29,FALSE)-AVERAGE('The List'!AD2:AD730))/STDEV('The List'!AD2:AD730)</f>
        <v>-1.0078318320307669</v>
      </c>
      <c r="R136" s="38">
        <f>(VLOOKUP($A136,'The List'!$B1:$AH730,30,FALSE)-AVERAGE('The List'!AE2:AE730))/STDEV('The List'!AE2:AE730)</f>
        <v>1.1939460326498064</v>
      </c>
      <c r="S136" s="38">
        <f>(VLOOKUP($A136,'The List'!$B1:$AH730,31,FALSE)-AVERAGE('The List'!AF2:AF730))/STDEV('The List'!AF2:AF730)</f>
        <v>-0.50546019833856881</v>
      </c>
      <c r="T136" s="38">
        <f>(VLOOKUP($A136,'The List'!$B1:$AH730,32,FALSE)-AVERAGE('The List'!AG2:AG730))/STDEV('The List'!AG2:AG730)</f>
        <v>-0.53141145373636212</v>
      </c>
      <c r="U136" s="38">
        <f>(VLOOKUP($A136,'The List'!$B1:$AH730,33,FALSE)-AVERAGE('The List'!AH2:AH730))/STDEV('The List'!AH2:AH730)</f>
        <v>0.76971970964048686</v>
      </c>
      <c r="V136" s="38"/>
      <c r="W136" s="40"/>
      <c r="X136" s="38"/>
      <c r="Y136" s="38"/>
      <c r="Z136" s="38"/>
      <c r="AA136" s="38"/>
      <c r="AB136" s="38"/>
      <c r="AC136" s="38"/>
      <c r="AD136" s="38"/>
      <c r="AE136" s="38"/>
    </row>
    <row r="137" spans="1:31" ht="21.2" customHeight="1">
      <c r="A137" s="8" t="s">
        <v>343</v>
      </c>
      <c r="B137" s="34" t="str">
        <f>VLOOKUP(A137,'Player Data'!A1:B734,2,FALSE)</f>
        <v>STL</v>
      </c>
      <c r="C137" s="36">
        <f>((E137)*Settings!$C$12)+(F137*Settings!$C$2)+(G137*Settings!$C$3)+(H137*Settings!$C$4)+(I137*Settings!$C$5)+(K137*Settings!$C$9)+(N137*Settings!$C$6)+(J137*Settings!$C$8)+(O137*Settings!$C$7)+(P137*Settings!$C$14)+(Q137*Settings!$C$15)+(R137*Settings!$C$16)+(S137*Settings!$C$17)+(T137*Settings!$C$18)+(U137*Settings!$C$19)+(L137*Settings!$C$10)+(Settings!$C$11*M137)</f>
        <v>4.0319065601259849</v>
      </c>
      <c r="D137" s="40">
        <f>IF(Settings!$E$12="YES",VLOOKUP(A137,'Player Data'!A1:E734,5,FALSE),82)</f>
        <v>82</v>
      </c>
      <c r="E137" s="38">
        <f>(VLOOKUP($A137,'The List'!$B1:$AH730,17,FALSE)-AVERAGE('The List'!R2:R730))/STDEV('The List'!R2:R730)</f>
        <v>-0.22414353846198659</v>
      </c>
      <c r="F137" s="38">
        <f>(VLOOKUP($A137,'The List'!$B1:$AH730,18,FALSE)-AVERAGE('The List'!S2:S730))/STDEV('The List'!S2:S730)</f>
        <v>1.6617430851414816</v>
      </c>
      <c r="G137" s="38">
        <f>(VLOOKUP($A137,'The List'!$B1:$AH730,19,FALSE)-AVERAGE('The List'!T2:T730))/STDEV('The List'!T2:T730)</f>
        <v>-9.7611716483380628E-2</v>
      </c>
      <c r="H137" s="38">
        <f>(VLOOKUP($A137,'The List'!$B1:$AH730,20,FALSE)-AVERAGE('The List'!U2:U730))/STDEV('The List'!U2:U730)</f>
        <v>0.71251346441562946</v>
      </c>
      <c r="I137" s="38">
        <f>(VLOOKUP($A137,'The List'!$B1:$AH730,21,FALSE)-AVERAGE('The List'!V2:V730))/STDEV('The List'!V2:V730)</f>
        <v>1.0116523651421112</v>
      </c>
      <c r="J137" s="38">
        <f>(VLOOKUP($A137,'The List'!$B1:$AH730,22,FALSE)-AVERAGE('The List'!W2:W730))/STDEV('The List'!W2:W730)</f>
        <v>1.8063921882449239</v>
      </c>
      <c r="K137" s="38">
        <f>(VLOOKUP($A137,'The List'!$B1:$AH730,23,FALSE)-AVERAGE('The List'!X2:X730))/STDEV('The List'!X2:X730)</f>
        <v>0.74360936191014326</v>
      </c>
      <c r="L137" s="38">
        <f>(VLOOKUP($A137,'The List'!$B1:$AH730,24,FALSE)-AVERAGE('The List'!Y2:Y730))/STDEV('The List'!Y2:Y730)</f>
        <v>-0.52515529094994673</v>
      </c>
      <c r="M137" s="38">
        <f>(VLOOKUP($A137,'The List'!$B1:$AH730,25,FALSE)-AVERAGE('The List'!Z2:Z730))/STDEV('The List'!Z2:Z730)</f>
        <v>-0.70378350861314143</v>
      </c>
      <c r="N137" s="38">
        <f>(VLOOKUP($A137,'The List'!$B1:$AH730,26,FALSE)-AVERAGE('The List'!AA2:AA730))/STDEV('The List'!AA2:AA730)</f>
        <v>-0.92141946066022251</v>
      </c>
      <c r="O137" s="38">
        <f>(VLOOKUP($A137,'The List'!$B1:$AH730,27,FALSE)-AVERAGE('The List'!AB2:AB730))/STDEV('The List'!AB2:AB730)</f>
        <v>-0.75634201425645753</v>
      </c>
      <c r="P137" s="38">
        <f>(VLOOKUP($A137,'The List'!$B1:$AH730,28,FALSE)-AVERAGE('The List'!AC2:AC730))/STDEV('The List'!AC2:AC730)</f>
        <v>-0.74001992015317508</v>
      </c>
      <c r="Q137" s="38">
        <f>(VLOOKUP($A137,'The List'!$B1:$AH730,29,FALSE)-AVERAGE('The List'!AD2:AD730))/STDEV('The List'!AD2:AD730)</f>
        <v>-0.50918939515915507</v>
      </c>
      <c r="R137" s="38">
        <f>(VLOOKUP($A137,'The List'!$B1:$AH730,30,FALSE)-AVERAGE('The List'!AE2:AE730))/STDEV('The List'!AE2:AE730)</f>
        <v>1.0202944081089493</v>
      </c>
      <c r="S137" s="38">
        <f>(VLOOKUP($A137,'The List'!$B1:$AH730,31,FALSE)-AVERAGE('The List'!AF2:AF730))/STDEV('The List'!AF2:AF730)</f>
        <v>-0.53465448422565454</v>
      </c>
      <c r="T137" s="38">
        <f>(VLOOKUP($A137,'The List'!$B1:$AH730,32,FALSE)-AVERAGE('The List'!AG2:AG730))/STDEV('The List'!AG2:AG730)</f>
        <v>-0.55114520011534196</v>
      </c>
      <c r="U137" s="38">
        <f>(VLOOKUP($A137,'The List'!$B1:$AH730,33,FALSE)-AVERAGE('The List'!AH2:AH730))/STDEV('The List'!AH2:AH730)</f>
        <v>0.39622366158047401</v>
      </c>
      <c r="V137" s="38"/>
      <c r="W137" s="42"/>
      <c r="X137" s="40"/>
      <c r="Y137" s="40"/>
      <c r="Z137" s="40"/>
      <c r="AA137" s="40"/>
      <c r="AB137" s="40"/>
      <c r="AC137" s="43"/>
      <c r="AD137" s="44"/>
      <c r="AE137" s="38"/>
    </row>
    <row r="138" spans="1:31" ht="21.2" customHeight="1">
      <c r="A138" s="8" t="s">
        <v>184</v>
      </c>
      <c r="B138" s="34" t="str">
        <f>VLOOKUP(A138,'Player Data'!A1:B734,2,FALSE)</f>
        <v>TOR</v>
      </c>
      <c r="C138" s="36">
        <f>((E138)*Settings!$C$12)+(F138*Settings!$C$2)+(G138*Settings!$C$3)+(H138*Settings!$C$4)+(I138*Settings!$C$5)+(K138*Settings!$C$9)+(N138*Settings!$C$6)+(J138*Settings!$C$8)+(O138*Settings!$C$7)+(P138*Settings!$C$14)+(Q138*Settings!$C$15)+(R138*Settings!$C$16)+(S138*Settings!$C$17)+(T138*Settings!$C$18)+(U138*Settings!$C$19)+(L138*Settings!$C$10)+(Settings!$C$11*M138)</f>
        <v>3.3250194656346799</v>
      </c>
      <c r="D138" s="40">
        <f>IF(Settings!$E$12="YES",VLOOKUP(A138,'Player Data'!A1:E734,5,FALSE),82)</f>
        <v>82</v>
      </c>
      <c r="E138" s="38">
        <f>(VLOOKUP($A138,'The List'!$B1:$AH730,17,FALSE)-AVERAGE('The List'!R2:R730))/STDEV('The List'!R2:R730)</f>
        <v>1.4134624097439548</v>
      </c>
      <c r="F138" s="38">
        <f>(VLOOKUP($A138,'The List'!$B1:$AH730,18,FALSE)-AVERAGE('The List'!S2:S730))/STDEV('The List'!S2:S730)</f>
        <v>-0.64045151309554349</v>
      </c>
      <c r="G138" s="38">
        <f>(VLOOKUP($A138,'The List'!$B1:$AH730,19,FALSE)-AVERAGE('The List'!T2:T730))/STDEV('The List'!T2:T730)</f>
        <v>1.8110763590372136</v>
      </c>
      <c r="H138" s="38">
        <f>(VLOOKUP($A138,'The List'!$B1:$AH730,20,FALSE)-AVERAGE('The List'!U2:U730))/STDEV('The List'!U2:U730)</f>
        <v>0.81524896841193617</v>
      </c>
      <c r="I138" s="38">
        <f>(VLOOKUP($A138,'The List'!$B1:$AH730,21,FALSE)-AVERAGE('The List'!V2:V730))/STDEV('The List'!V2:V730)</f>
        <v>0.36088378096874912</v>
      </c>
      <c r="J138" s="38">
        <f>(VLOOKUP($A138,'The List'!$B1:$AH730,22,FALSE)-AVERAGE('The List'!W2:W730))/STDEV('The List'!W2:W730)</f>
        <v>-0.36387232699917532</v>
      </c>
      <c r="K138" s="38">
        <f>(VLOOKUP($A138,'The List'!$B1:$AH730,23,FALSE)-AVERAGE('The List'!X2:X730))/STDEV('The List'!X2:X730)</f>
        <v>0.97826187031232437</v>
      </c>
      <c r="L138" s="38">
        <f>(VLOOKUP($A138,'The List'!$B1:$AH730,24,FALSE)-AVERAGE('The List'!Y2:Y730))/STDEV('The List'!Y2:Y730)</f>
        <v>-0.49529496102663428</v>
      </c>
      <c r="M138" s="38">
        <f>(VLOOKUP($A138,'The List'!$B1:$AH730,25,FALSE)-AVERAGE('The List'!Z2:Z730))/STDEV('The List'!Z2:Z730)</f>
        <v>0.3179608928086029</v>
      </c>
      <c r="N138" s="38">
        <f>(VLOOKUP($A138,'The List'!$B1:$AH730,26,FALSE)-AVERAGE('The List'!AA2:AA730))/STDEV('The List'!AA2:AA730)</f>
        <v>0.88375033466733077</v>
      </c>
      <c r="O138" s="38">
        <f>(VLOOKUP($A138,'The List'!$B1:$AH730,27,FALSE)-AVERAGE('The List'!AB2:AB730))/STDEV('The List'!AB2:AB730)</f>
        <v>-0.12726940282503052</v>
      </c>
      <c r="P138" s="38">
        <f>(VLOOKUP($A138,'The List'!$B1:$AH730,28,FALSE)-AVERAGE('The List'!AC2:AC730))/STDEV('The List'!AC2:AC730)</f>
        <v>1.1161189460546392</v>
      </c>
      <c r="Q138" s="38">
        <f>(VLOOKUP($A138,'The List'!$B1:$AH730,29,FALSE)-AVERAGE('The List'!AD2:AD730))/STDEV('The List'!AD2:AD730)</f>
        <v>-0.22232993488168254</v>
      </c>
      <c r="R138" s="38">
        <f>(VLOOKUP($A138,'The List'!$B1:$AH730,30,FALSE)-AVERAGE('The List'!AE2:AE730))/STDEV('The List'!AE2:AE730)</f>
        <v>-0.4883807785108385</v>
      </c>
      <c r="S138" s="38">
        <f>(VLOOKUP($A138,'The List'!$B1:$AH730,31,FALSE)-AVERAGE('The List'!AF2:AF730))/STDEV('The List'!AF2:AF730)</f>
        <v>-0.56911587195029545</v>
      </c>
      <c r="T138" s="38">
        <f>(VLOOKUP($A138,'The List'!$B1:$AH730,32,FALSE)-AVERAGE('The List'!AG2:AG730))/STDEV('The List'!AG2:AG730)</f>
        <v>-0.61510119871956948</v>
      </c>
      <c r="U138" s="38">
        <f>(VLOOKUP($A138,'The List'!$B1:$AH730,33,FALSE)-AVERAGE('The List'!AH2:AH730))/STDEV('The List'!AH2:AH730)</f>
        <v>-1.2363238714825984</v>
      </c>
      <c r="V138" s="38"/>
      <c r="W138" s="42"/>
      <c r="X138" s="40"/>
      <c r="Y138" s="40"/>
      <c r="Z138" s="40"/>
      <c r="AA138" s="40"/>
      <c r="AB138" s="40"/>
      <c r="AC138" s="43"/>
      <c r="AD138" s="44"/>
      <c r="AE138" s="38"/>
    </row>
    <row r="139" spans="1:31" ht="21.2" customHeight="1">
      <c r="A139" s="8" t="s">
        <v>387</v>
      </c>
      <c r="B139" s="34" t="str">
        <f>VLOOKUP(A139,'Player Data'!A1:B734,2,FALSE)</f>
        <v>SJS</v>
      </c>
      <c r="C139" s="36">
        <f>((E139)*Settings!$C$12)+(F139*Settings!$C$2)+(G139*Settings!$C$3)+(H139*Settings!$C$4)+(I139*Settings!$C$5)+(K139*Settings!$C$9)+(N139*Settings!$C$6)+(J139*Settings!$C$8)+(O139*Settings!$C$7)+(P139*Settings!$C$14)+(Q139*Settings!$C$15)+(R139*Settings!$C$16)+(S139*Settings!$C$17)+(T139*Settings!$C$18)+(U139*Settings!$C$19)+(L139*Settings!$C$10)+(Settings!$C$11*M139)</f>
        <v>2.7884992695077098</v>
      </c>
      <c r="D139" s="40">
        <f>IF(Settings!$E$12="YES",VLOOKUP(A139,'Player Data'!A1:E734,5,FALSE),82)</f>
        <v>82</v>
      </c>
      <c r="E139" s="38">
        <f>(VLOOKUP($A139,'The List'!$B1:$AH730,17,FALSE)-AVERAGE('The List'!R2:R730))/STDEV('The List'!R2:R730)</f>
        <v>-0.26241510646574073</v>
      </c>
      <c r="F139" s="38">
        <f>(VLOOKUP($A139,'The List'!$B1:$AH730,18,FALSE)-AVERAGE('The List'!S2:S730))/STDEV('The List'!S2:S730)</f>
        <v>0.89104317008249601</v>
      </c>
      <c r="G139" s="38">
        <f>(VLOOKUP($A139,'The List'!$B1:$AH730,19,FALSE)-AVERAGE('The List'!T2:T730))/STDEV('The List'!T2:T730)</f>
        <v>0.45113080360318197</v>
      </c>
      <c r="H139" s="38">
        <f>(VLOOKUP($A139,'The List'!$B1:$AH730,20,FALSE)-AVERAGE('The List'!U2:U730))/STDEV('The List'!U2:U730)</f>
        <v>0.69145964981255781</v>
      </c>
      <c r="I139" s="38">
        <f>(VLOOKUP($A139,'The List'!$B1:$AH730,21,FALSE)-AVERAGE('The List'!V2:V730))/STDEV('The List'!V2:V730)</f>
        <v>0.60324687437916114</v>
      </c>
      <c r="J139" s="38">
        <f>(VLOOKUP($A139,'The List'!$B1:$AH730,22,FALSE)-AVERAGE('The List'!W2:W730))/STDEV('The List'!W2:W730)</f>
        <v>0.35480090447418228</v>
      </c>
      <c r="K139" s="38">
        <f>(VLOOKUP($A139,'The List'!$B1:$AH730,23,FALSE)-AVERAGE('The List'!X2:X730))/STDEV('The List'!X2:X730)</f>
        <v>0.15161877163031293</v>
      </c>
      <c r="L139" s="38">
        <f>(VLOOKUP($A139,'The List'!$B1:$AH730,24,FALSE)-AVERAGE('The List'!Y2:Y730))/STDEV('The List'!Y2:Y730)</f>
        <v>-0.50595940355578517</v>
      </c>
      <c r="M139" s="38">
        <f>(VLOOKUP($A139,'The List'!$B1:$AH730,25,FALSE)-AVERAGE('The List'!Z2:Z730))/STDEV('The List'!Z2:Z730)</f>
        <v>-0.66014401658075539</v>
      </c>
      <c r="N139" s="38">
        <f>(VLOOKUP($A139,'The List'!$B1:$AH730,26,FALSE)-AVERAGE('The List'!AA2:AA730))/STDEV('The List'!AA2:AA730)</f>
        <v>-0.89970845892436979</v>
      </c>
      <c r="O139" s="38">
        <f>(VLOOKUP($A139,'The List'!$B1:$AH730,27,FALSE)-AVERAGE('The List'!AB2:AB730))/STDEV('The List'!AB2:AB730)</f>
        <v>-0.72636529869901356</v>
      </c>
      <c r="P139" s="38">
        <f>(VLOOKUP($A139,'The List'!$B1:$AH730,28,FALSE)-AVERAGE('The List'!AC2:AC730))/STDEV('The List'!AC2:AC730)</f>
        <v>0.22681321670585969</v>
      </c>
      <c r="Q139" s="38">
        <f>(VLOOKUP($A139,'The List'!$B1:$AH730,29,FALSE)-AVERAGE('The List'!AD2:AD730))/STDEV('The List'!AD2:AD730)</f>
        <v>-0.59904151236930947</v>
      </c>
      <c r="R139" s="38">
        <f>(VLOOKUP($A139,'The List'!$B1:$AH730,30,FALSE)-AVERAGE('The List'!AE2:AE730))/STDEV('The List'!AE2:AE730)</f>
        <v>0.57649247803023651</v>
      </c>
      <c r="S139" s="38">
        <f>(VLOOKUP($A139,'The List'!$B1:$AH730,31,FALSE)-AVERAGE('The List'!AF2:AF730))/STDEV('The List'!AF2:AF730)</f>
        <v>-0.56700701685334254</v>
      </c>
      <c r="T139" s="38">
        <f>(VLOOKUP($A139,'The List'!$B1:$AH730,32,FALSE)-AVERAGE('The List'!AG2:AG730))/STDEV('The List'!AG2:AG730)</f>
        <v>-0.60954576732035026</v>
      </c>
      <c r="U139" s="38">
        <f>(VLOOKUP($A139,'The List'!$B1:$AH730,33,FALSE)-AVERAGE('The List'!AH2:AH730))/STDEV('The List'!AH2:AH730)</f>
        <v>5.1342509786981738E-2</v>
      </c>
      <c r="V139" s="38"/>
      <c r="W139" s="40"/>
      <c r="X139" s="38"/>
      <c r="Y139" s="38"/>
      <c r="Z139" s="38"/>
      <c r="AA139" s="38"/>
      <c r="AB139" s="38"/>
      <c r="AC139" s="38"/>
      <c r="AD139" s="38"/>
      <c r="AE139" s="38"/>
    </row>
    <row r="140" spans="1:31" ht="21.2" customHeight="1">
      <c r="A140" s="8" t="s">
        <v>264</v>
      </c>
      <c r="B140" s="34" t="str">
        <f>VLOOKUP(A140,'Player Data'!A1:B734,2,FALSE)</f>
        <v>LAK</v>
      </c>
      <c r="C140" s="36">
        <f>((E140)*Settings!$C$12)+(F140*Settings!$C$2)+(G140*Settings!$C$3)+(H140*Settings!$C$4)+(I140*Settings!$C$5)+(K140*Settings!$C$9)+(N140*Settings!$C$6)+(J140*Settings!$C$8)+(O140*Settings!$C$7)+(P140*Settings!$C$14)+(Q140*Settings!$C$15)+(R140*Settings!$C$16)+(S140*Settings!$C$17)+(T140*Settings!$C$18)+(U140*Settings!$C$19)+(L140*Settings!$C$10)+(Settings!$C$11*M140)</f>
        <v>4.1748489384192276</v>
      </c>
      <c r="D140" s="40">
        <f>IF(Settings!$E$12="YES",VLOOKUP(A140,'Player Data'!A1:E734,5,FALSE),82)</f>
        <v>82</v>
      </c>
      <c r="E140" s="38">
        <f>(VLOOKUP($A140,'The List'!$B1:$AH730,17,FALSE)-AVERAGE('The List'!R2:R730))/STDEV('The List'!R2:R730)</f>
        <v>-4.1537384710136479E-3</v>
      </c>
      <c r="F140" s="38">
        <f>(VLOOKUP($A140,'The List'!$B1:$AH730,18,FALSE)-AVERAGE('The List'!S2:S730))/STDEV('The List'!S2:S730)</f>
        <v>0.78747729672084299</v>
      </c>
      <c r="G140" s="38">
        <f>(VLOOKUP($A140,'The List'!$B1:$AH730,19,FALSE)-AVERAGE('The List'!T2:T730))/STDEV('The List'!T2:T730)</f>
        <v>0.52933167400189762</v>
      </c>
      <c r="H140" s="38">
        <f>(VLOOKUP($A140,'The List'!$B1:$AH730,20,FALSE)-AVERAGE('The List'!U2:U730))/STDEV('The List'!U2:U730)</f>
        <v>0.69137216951771963</v>
      </c>
      <c r="I140" s="38">
        <f>(VLOOKUP($A140,'The List'!$B1:$AH730,21,FALSE)-AVERAGE('The List'!V2:V730))/STDEV('The List'!V2:V730)</f>
        <v>1.3839757854958747</v>
      </c>
      <c r="J140" s="38">
        <f>(VLOOKUP($A140,'The List'!$B1:$AH730,22,FALSE)-AVERAGE('The List'!W2:W730))/STDEV('The List'!W2:W730)</f>
        <v>1.0155261631156551</v>
      </c>
      <c r="K140" s="38">
        <f>(VLOOKUP($A140,'The List'!$B1:$AH730,23,FALSE)-AVERAGE('The List'!X2:X730))/STDEV('The List'!X2:X730)</f>
        <v>0.7826920126828929</v>
      </c>
      <c r="L140" s="38">
        <f>(VLOOKUP($A140,'The List'!$B1:$AH730,24,FALSE)-AVERAGE('The List'!Y2:Y730))/STDEV('The List'!Y2:Y730)</f>
        <v>-0.32870143275084718</v>
      </c>
      <c r="M140" s="38">
        <f>(VLOOKUP($A140,'The List'!$B1:$AH730,25,FALSE)-AVERAGE('The List'!Z2:Z730))/STDEV('The List'!Z2:Z730)</f>
        <v>-0.56654971528389297</v>
      </c>
      <c r="N140" s="38">
        <f>(VLOOKUP($A140,'The List'!$B1:$AH730,26,FALSE)-AVERAGE('The List'!AA2:AA730))/STDEV('The List'!AA2:AA730)</f>
        <v>-0.42195507406385196</v>
      </c>
      <c r="O140" s="38">
        <f>(VLOOKUP($A140,'The List'!$B1:$AH730,27,FALSE)-AVERAGE('The List'!AB2:AB730))/STDEV('The List'!AB2:AB730)</f>
        <v>-1.3746654180570197</v>
      </c>
      <c r="P140" s="38">
        <f>(VLOOKUP($A140,'The List'!$B1:$AH730,28,FALSE)-AVERAGE('The List'!AC2:AC730))/STDEV('The List'!AC2:AC730)</f>
        <v>0.15034402990144297</v>
      </c>
      <c r="Q140" s="38">
        <f>(VLOOKUP($A140,'The List'!$B1:$AH730,29,FALSE)-AVERAGE('The List'!AD2:AD730))/STDEV('The List'!AD2:AD730)</f>
        <v>-0.41415748519665835</v>
      </c>
      <c r="R140" s="38">
        <f>(VLOOKUP($A140,'The List'!$B1:$AH730,30,FALSE)-AVERAGE('The List'!AE2:AE730))/STDEV('The List'!AE2:AE730)</f>
        <v>0.82861997759412853</v>
      </c>
      <c r="S140" s="38">
        <f>(VLOOKUP($A140,'The List'!$B1:$AH730,31,FALSE)-AVERAGE('The List'!AF2:AF730))/STDEV('The List'!AF2:AF730)</f>
        <v>-0.46138416985092462</v>
      </c>
      <c r="T140" s="38">
        <f>(VLOOKUP($A140,'The List'!$B1:$AH730,32,FALSE)-AVERAGE('The List'!AG2:AG730))/STDEV('The List'!AG2:AG730)</f>
        <v>-0.42470444193572771</v>
      </c>
      <c r="U140" s="38">
        <f>(VLOOKUP($A140,'The List'!$B1:$AH730,33,FALSE)-AVERAGE('The List'!AH2:AH730))/STDEV('The List'!AH2:AH730)</f>
        <v>0.44752449735691668</v>
      </c>
      <c r="V140" s="38"/>
      <c r="W140" s="40"/>
      <c r="X140" s="38"/>
      <c r="Y140" s="38"/>
      <c r="Z140" s="38"/>
      <c r="AA140" s="38"/>
      <c r="AB140" s="38"/>
      <c r="AC140" s="38"/>
      <c r="AD140" s="38"/>
      <c r="AE140" s="38"/>
    </row>
    <row r="141" spans="1:31" ht="21.2" customHeight="1">
      <c r="A141" s="8" t="s">
        <v>180</v>
      </c>
      <c r="B141" s="34" t="str">
        <f>VLOOKUP(A141,'Player Data'!A1:B734,2,FALSE)</f>
        <v>CBJ</v>
      </c>
      <c r="C141" s="36">
        <f>((E141)*Settings!$C$12)+(F141*Settings!$C$2)+(G141*Settings!$C$3)+(H141*Settings!$C$4)+(I141*Settings!$C$5)+(K141*Settings!$C$9)+(N141*Settings!$C$6)+(J141*Settings!$C$8)+(O141*Settings!$C$7)+(P141*Settings!$C$14)+(Q141*Settings!$C$15)+(R141*Settings!$C$16)+(S141*Settings!$C$17)+(T141*Settings!$C$18)+(U141*Settings!$C$19)+(L141*Settings!$C$10)+(Settings!$C$11*M141)</f>
        <v>4.5400515332521438</v>
      </c>
      <c r="D141" s="40">
        <f>IF(Settings!$E$12="YES",VLOOKUP(A141,'Player Data'!A1:E734,5,FALSE),82)</f>
        <v>82</v>
      </c>
      <c r="E141" s="38">
        <f>(VLOOKUP($A141,'The List'!$B1:$AH730,17,FALSE)-AVERAGE('The List'!R2:R730))/STDEV('The List'!R2:R730)</f>
        <v>1.944767863742225</v>
      </c>
      <c r="F141" s="38">
        <f>(VLOOKUP($A141,'The List'!$B1:$AH730,18,FALSE)-AVERAGE('The List'!S2:S730))/STDEV('The List'!S2:S730)</f>
        <v>1.1453111093495403E-3</v>
      </c>
      <c r="G141" s="38">
        <f>(VLOOKUP($A141,'The List'!$B1:$AH730,19,FALSE)-AVERAGE('The List'!T2:T730))/STDEV('The List'!T2:T730)</f>
        <v>1.3153826022243384</v>
      </c>
      <c r="H141" s="38">
        <f>(VLOOKUP($A141,'The List'!$B1:$AH730,20,FALSE)-AVERAGE('The List'!U2:U730))/STDEV('The List'!U2:U730)</f>
        <v>0.80888677732355641</v>
      </c>
      <c r="I141" s="38">
        <f>(VLOOKUP($A141,'The List'!$B1:$AH730,21,FALSE)-AVERAGE('The List'!V2:V730))/STDEV('The List'!V2:V730)</f>
        <v>1.4784206404840754</v>
      </c>
      <c r="J141" s="38">
        <f>(VLOOKUP($A141,'The List'!$B1:$AH730,22,FALSE)-AVERAGE('The List'!W2:W730))/STDEV('The List'!W2:W730)</f>
        <v>0.14979221907297091</v>
      </c>
      <c r="K141" s="38">
        <f>(VLOOKUP($A141,'The List'!$B1:$AH730,23,FALSE)-AVERAGE('The List'!X2:X730))/STDEV('The List'!X2:X730)</f>
        <v>0.93621620211082401</v>
      </c>
      <c r="L141" s="38">
        <f>(VLOOKUP($A141,'The List'!$B1:$AH730,24,FALSE)-AVERAGE('The List'!Y2:Y730))/STDEV('The List'!Y2:Y730)</f>
        <v>-0.46333279889362755</v>
      </c>
      <c r="M141" s="38">
        <f>(VLOOKUP($A141,'The List'!$B1:$AH730,25,FALSE)-AVERAGE('The List'!Z2:Z730))/STDEV('The List'!Z2:Z730)</f>
        <v>-0.22752988822886902</v>
      </c>
      <c r="N141" s="38">
        <f>(VLOOKUP($A141,'The List'!$B1:$AH730,26,FALSE)-AVERAGE('The List'!AA2:AA730))/STDEV('The List'!AA2:AA730)</f>
        <v>1.2485530146623374</v>
      </c>
      <c r="O141" s="38">
        <f>(VLOOKUP($A141,'The List'!$B1:$AH730,27,FALSE)-AVERAGE('The List'!AB2:AB730))/STDEV('The List'!AB2:AB730)</f>
        <v>-0.81834051123839746</v>
      </c>
      <c r="P141" s="38">
        <f>(VLOOKUP($A141,'The List'!$B1:$AH730,28,FALSE)-AVERAGE('The List'!AC2:AC730))/STDEV('The List'!AC2:AC730)</f>
        <v>-1.4343313915338802</v>
      </c>
      <c r="Q141" s="38">
        <f>(VLOOKUP($A141,'The List'!$B1:$AH730,29,FALSE)-AVERAGE('The List'!AD2:AD730))/STDEV('The List'!AD2:AD730)</f>
        <v>-0.43967792282633472</v>
      </c>
      <c r="R141" s="38">
        <f>(VLOOKUP($A141,'The List'!$B1:$AH730,30,FALSE)-AVERAGE('The List'!AE2:AE730))/STDEV('The List'!AE2:AE730)</f>
        <v>-0.29479361532486653</v>
      </c>
      <c r="S141" s="38">
        <f>(VLOOKUP($A141,'The List'!$B1:$AH730,31,FALSE)-AVERAGE('The List'!AF2:AF730))/STDEV('The List'!AF2:AF730)</f>
        <v>-0.56911587195029545</v>
      </c>
      <c r="T141" s="38">
        <f>(VLOOKUP($A141,'The List'!$B1:$AH730,32,FALSE)-AVERAGE('The List'!AG2:AG730))/STDEV('The List'!AG2:AG730)</f>
        <v>-0.61510119871956948</v>
      </c>
      <c r="U141" s="38">
        <f>(VLOOKUP($A141,'The List'!$B1:$AH730,33,FALSE)-AVERAGE('The List'!AH2:AH730))/STDEV('The List'!AH2:AH730)</f>
        <v>-1.2363238714825984</v>
      </c>
      <c r="V141" s="38"/>
      <c r="W141" s="42"/>
      <c r="X141" s="40"/>
      <c r="Y141" s="40"/>
      <c r="Z141" s="40"/>
      <c r="AA141" s="40"/>
      <c r="AB141" s="40"/>
      <c r="AC141" s="43"/>
      <c r="AD141" s="44"/>
      <c r="AE141" s="38"/>
    </row>
    <row r="142" spans="1:31" ht="21.2" customHeight="1">
      <c r="A142" s="8" t="s">
        <v>126</v>
      </c>
      <c r="B142" s="34" t="str">
        <f>VLOOKUP(A142,'Player Data'!A1:B734,2,FALSE)</f>
        <v>EDM</v>
      </c>
      <c r="C142" s="36">
        <f>((E142)*Settings!$C$12)+(F142*Settings!$C$2)+(G142*Settings!$C$3)+(H142*Settings!$C$4)+(I142*Settings!$C$5)+(K142*Settings!$C$9)+(N142*Settings!$C$6)+(J142*Settings!$C$8)+(O142*Settings!$C$7)+(P142*Settings!$C$14)+(Q142*Settings!$C$15)+(R142*Settings!$C$16)+(S142*Settings!$C$17)+(T142*Settings!$C$18)+(U142*Settings!$C$19)+(L142*Settings!$C$10)+(Settings!$C$11*M142)</f>
        <v>6.3018294872998784</v>
      </c>
      <c r="D142" s="40">
        <f>IF(Settings!$E$12="YES",VLOOKUP(A142,'Player Data'!A1:E734,5,FALSE),82)</f>
        <v>82</v>
      </c>
      <c r="E142" s="38">
        <f>(VLOOKUP($A142,'The List'!$B1:$AH730,17,FALSE)-AVERAGE('The List'!R2:R730))/STDEV('The List'!R2:R730)</f>
        <v>1.3612218655710722</v>
      </c>
      <c r="F142" s="38">
        <f>(VLOOKUP($A142,'The List'!$B1:$AH730,18,FALSE)-AVERAGE('The List'!S2:S730))/STDEV('The List'!S2:S730)</f>
        <v>6.4098285622480419E-2</v>
      </c>
      <c r="G142" s="38">
        <f>(VLOOKUP($A142,'The List'!$B1:$AH730,19,FALSE)-AVERAGE('The List'!T2:T730))/STDEV('The List'!T2:T730)</f>
        <v>1.8546822378983536</v>
      </c>
      <c r="H142" s="38">
        <f>(VLOOKUP($A142,'The List'!$B1:$AH730,20,FALSE)-AVERAGE('The List'!U2:U730))/STDEV('The List'!U2:U730)</f>
        <v>1.169572764265759</v>
      </c>
      <c r="I142" s="38">
        <f>(VLOOKUP($A142,'The List'!$B1:$AH730,21,FALSE)-AVERAGE('The List'!V2:V730))/STDEV('The List'!V2:V730)</f>
        <v>1.5380669578693495</v>
      </c>
      <c r="J142" s="38">
        <f>(VLOOKUP($A142,'The List'!$B1:$AH730,22,FALSE)-AVERAGE('The List'!W2:W730))/STDEV('The List'!W2:W730)</f>
        <v>0.58085438382845078</v>
      </c>
      <c r="K142" s="38">
        <f>(VLOOKUP($A142,'The List'!$B1:$AH730,23,FALSE)-AVERAGE('The List'!X2:X730))/STDEV('The List'!X2:X730)</f>
        <v>1.6754092416439366</v>
      </c>
      <c r="L142" s="38">
        <f>(VLOOKUP($A142,'The List'!$B1:$AH730,24,FALSE)-AVERAGE('The List'!Y2:Y730))/STDEV('The List'!Y2:Y730)</f>
        <v>-0.50778920541160022</v>
      </c>
      <c r="M142" s="38">
        <f>(VLOOKUP($A142,'The List'!$B1:$AH730,25,FALSE)-AVERAGE('The List'!Z2:Z730))/STDEV('The List'!Z2:Z730)</f>
        <v>-0.47248405074689381</v>
      </c>
      <c r="N142" s="38">
        <f>(VLOOKUP($A142,'The List'!$B1:$AH730,26,FALSE)-AVERAGE('The List'!AA2:AA730))/STDEV('The List'!AA2:AA730)</f>
        <v>0.83412946423863266</v>
      </c>
      <c r="O142" s="38">
        <f>(VLOOKUP($A142,'The List'!$B1:$AH730,27,FALSE)-AVERAGE('The List'!AB2:AB730))/STDEV('The List'!AB2:AB730)</f>
        <v>1.2960206909030526E-2</v>
      </c>
      <c r="P142" s="38">
        <f>(VLOOKUP($A142,'The List'!$B1:$AH730,28,FALSE)-AVERAGE('The List'!AC2:AC730))/STDEV('The List'!AC2:AC730)</f>
        <v>1.9871620085809552</v>
      </c>
      <c r="Q142" s="38">
        <f>(VLOOKUP($A142,'The List'!$B1:$AH730,29,FALSE)-AVERAGE('The List'!AD2:AD730))/STDEV('The List'!AD2:AD730)</f>
        <v>-7.0060092327579954E-2</v>
      </c>
      <c r="R142" s="38">
        <f>(VLOOKUP($A142,'The List'!$B1:$AH730,30,FALSE)-AVERAGE('The List'!AE2:AE730))/STDEV('The List'!AE2:AE730)</f>
        <v>0.22665965247410824</v>
      </c>
      <c r="S142" s="38">
        <f>(VLOOKUP($A142,'The List'!$B1:$AH730,31,FALSE)-AVERAGE('The List'!AF2:AF730))/STDEV('The List'!AF2:AF730)</f>
        <v>-0.56911587195029545</v>
      </c>
      <c r="T142" s="38">
        <f>(VLOOKUP($A142,'The List'!$B1:$AH730,32,FALSE)-AVERAGE('The List'!AG2:AG730))/STDEV('The List'!AG2:AG730)</f>
        <v>-0.61510119871956948</v>
      </c>
      <c r="U142" s="38">
        <f>(VLOOKUP($A142,'The List'!$B1:$AH730,33,FALSE)-AVERAGE('The List'!AH2:AH730))/STDEV('The List'!AH2:AH730)</f>
        <v>-1.2363238714825984</v>
      </c>
      <c r="V142" s="38"/>
      <c r="W142" s="40"/>
      <c r="X142" s="40"/>
      <c r="Y142" s="40"/>
      <c r="Z142" s="40"/>
      <c r="AA142" s="40"/>
      <c r="AB142" s="40"/>
      <c r="AC142" s="43"/>
      <c r="AD142" s="44"/>
      <c r="AE142" s="38"/>
    </row>
    <row r="143" spans="1:31" ht="21.2" customHeight="1">
      <c r="A143" s="8" t="s">
        <v>259</v>
      </c>
      <c r="B143" s="34" t="str">
        <f>VLOOKUP(A143,'Player Data'!A1:B734,2,FALSE)</f>
        <v>PHI</v>
      </c>
      <c r="C143" s="36">
        <f>((E143)*Settings!$C$12)+(F143*Settings!$C$2)+(G143*Settings!$C$3)+(H143*Settings!$C$4)+(I143*Settings!$C$5)+(K143*Settings!$C$9)+(N143*Settings!$C$6)+(J143*Settings!$C$8)+(O143*Settings!$C$7)+(P143*Settings!$C$14)+(Q143*Settings!$C$15)+(R143*Settings!$C$16)+(S143*Settings!$C$17)+(T143*Settings!$C$18)+(U143*Settings!$C$19)+(L143*Settings!$C$10)+(Settings!$C$11*M143)</f>
        <v>4.4518812384863455</v>
      </c>
      <c r="D143" s="40">
        <f>IF(Settings!$E$12="YES",VLOOKUP(A143,'Player Data'!A1:E734,5,FALSE),82)</f>
        <v>82</v>
      </c>
      <c r="E143" s="38">
        <f>(VLOOKUP($A143,'The List'!$B1:$AH730,17,FALSE)-AVERAGE('The List'!R2:R730))/STDEV('The List'!R2:R730)</f>
        <v>0.34852783669025678</v>
      </c>
      <c r="F143" s="38">
        <f>(VLOOKUP($A143,'The List'!$B1:$AH730,18,FALSE)-AVERAGE('The List'!S2:S730))/STDEV('The List'!S2:S730)</f>
        <v>1.2330952584709893</v>
      </c>
      <c r="G143" s="38">
        <f>(VLOOKUP($A143,'The List'!$B1:$AH730,19,FALSE)-AVERAGE('The List'!T2:T730))/STDEV('The List'!T2:T730)</f>
        <v>0.17156908321929173</v>
      </c>
      <c r="H143" s="38">
        <f>(VLOOKUP($A143,'The List'!$B1:$AH730,20,FALSE)-AVERAGE('The List'!U2:U730))/STDEV('The List'!U2:U730)</f>
        <v>0.6786687992417243</v>
      </c>
      <c r="I143" s="38">
        <f>(VLOOKUP($A143,'The List'!$B1:$AH730,21,FALSE)-AVERAGE('The List'!V2:V730))/STDEV('The List'!V2:V730)</f>
        <v>1.6914501965513964</v>
      </c>
      <c r="J143" s="38">
        <f>(VLOOKUP($A143,'The List'!$B1:$AH730,22,FALSE)-AVERAGE('The List'!W2:W730))/STDEV('The List'!W2:W730)</f>
        <v>1.4884283700561689</v>
      </c>
      <c r="K143" s="38">
        <f>(VLOOKUP($A143,'The List'!$B1:$AH730,23,FALSE)-AVERAGE('The List'!X2:X730))/STDEV('The List'!X2:X730)</f>
        <v>0.67709790100294376</v>
      </c>
      <c r="L143" s="38">
        <f>(VLOOKUP($A143,'The List'!$B1:$AH730,24,FALSE)-AVERAGE('The List'!Y2:Y730))/STDEV('The List'!Y2:Y730)</f>
        <v>-0.39242253269467209</v>
      </c>
      <c r="M143" s="38">
        <f>(VLOOKUP($A143,'The List'!$B1:$AH730,25,FALSE)-AVERAGE('The List'!Z2:Z730))/STDEV('The List'!Z2:Z730)</f>
        <v>-0.53258209536544732</v>
      </c>
      <c r="N143" s="38">
        <f>(VLOOKUP($A143,'The List'!$B1:$AH730,26,FALSE)-AVERAGE('The List'!AA2:AA730))/STDEV('The List'!AA2:AA730)</f>
        <v>-0.14215526852661978</v>
      </c>
      <c r="O143" s="38">
        <f>(VLOOKUP($A143,'The List'!$B1:$AH730,27,FALSE)-AVERAGE('The List'!AB2:AB730))/STDEV('The List'!AB2:AB730)</f>
        <v>0.62053546631902201</v>
      </c>
      <c r="P143" s="38">
        <f>(VLOOKUP($A143,'The List'!$B1:$AH730,28,FALSE)-AVERAGE('The List'!AC2:AC730))/STDEV('The List'!AC2:AC730)</f>
        <v>-1.4681410426853367</v>
      </c>
      <c r="Q143" s="38">
        <f>(VLOOKUP($A143,'The List'!$B1:$AH730,29,FALSE)-AVERAGE('The List'!AD2:AD730))/STDEV('The List'!AD2:AD730)</f>
        <v>-0.83472614800316169</v>
      </c>
      <c r="R143" s="38">
        <f>(VLOOKUP($A143,'The List'!$B1:$AH730,30,FALSE)-AVERAGE('The List'!AE2:AE730))/STDEV('The List'!AE2:AE730)</f>
        <v>0.74099717700602497</v>
      </c>
      <c r="S143" s="38">
        <f>(VLOOKUP($A143,'The List'!$B1:$AH730,31,FALSE)-AVERAGE('The List'!AF2:AF730))/STDEV('The List'!AF2:AF730)</f>
        <v>-0.46963307122654829</v>
      </c>
      <c r="T143" s="38">
        <f>(VLOOKUP($A143,'The List'!$B1:$AH730,32,FALSE)-AVERAGE('The List'!AG2:AG730))/STDEV('The List'!AG2:AG730)</f>
        <v>-0.53380521405388248</v>
      </c>
      <c r="U143" s="38">
        <f>(VLOOKUP($A143,'The List'!$B1:$AH730,33,FALSE)-AVERAGE('The List'!AH2:AH730))/STDEV('The List'!AH2:AH730)</f>
        <v>1.3040794809829361</v>
      </c>
      <c r="V143" s="38"/>
      <c r="W143" s="42"/>
      <c r="X143" s="40"/>
      <c r="Y143" s="40"/>
      <c r="Z143" s="40"/>
      <c r="AA143" s="40"/>
      <c r="AB143" s="40"/>
      <c r="AC143" s="43"/>
      <c r="AD143" s="44"/>
      <c r="AE143" s="38"/>
    </row>
    <row r="144" spans="1:31" ht="21.2" customHeight="1">
      <c r="A144" s="8" t="s">
        <v>360</v>
      </c>
      <c r="B144" s="34" t="str">
        <f>VLOOKUP(A144,'Player Data'!A1:B734,2,FALSE)</f>
        <v>CAR</v>
      </c>
      <c r="C144" s="36">
        <f>((E144)*Settings!$C$12)+(F144*Settings!$C$2)+(G144*Settings!$C$3)+(H144*Settings!$C$4)+(I144*Settings!$C$5)+(K144*Settings!$C$9)+(N144*Settings!$C$6)+(J144*Settings!$C$8)+(O144*Settings!$C$7)+(P144*Settings!$C$14)+(Q144*Settings!$C$15)+(R144*Settings!$C$16)+(S144*Settings!$C$17)+(T144*Settings!$C$18)+(U144*Settings!$C$19)+(L144*Settings!$C$10)+(Settings!$C$11*M144)</f>
        <v>2.5350095114518889</v>
      </c>
      <c r="D144" s="40">
        <f>IF(Settings!$E$12="YES",VLOOKUP(A144,'Player Data'!A1:E734,5,FALSE),82)</f>
        <v>82</v>
      </c>
      <c r="E144" s="38">
        <f>(VLOOKUP($A144,'The List'!$B1:$AH730,17,FALSE)-AVERAGE('The List'!R2:R730))/STDEV('The List'!R2:R730)</f>
        <v>-0.21942104567623741</v>
      </c>
      <c r="F144" s="38">
        <f>(VLOOKUP($A144,'The List'!$B1:$AH730,18,FALSE)-AVERAGE('The List'!S2:S730))/STDEV('The List'!S2:S730)</f>
        <v>0.86296293125835222</v>
      </c>
      <c r="G144" s="38">
        <f>(VLOOKUP($A144,'The List'!$B1:$AH730,19,FALSE)-AVERAGE('The List'!T2:T730))/STDEV('The List'!T2:T730)</f>
        <v>0.4332698429820393</v>
      </c>
      <c r="H144" s="38">
        <f>(VLOOKUP($A144,'The List'!$B1:$AH730,20,FALSE)-AVERAGE('The List'!U2:U730))/STDEV('The List'!U2:U730)</f>
        <v>0.66742963848016656</v>
      </c>
      <c r="I144" s="38">
        <f>(VLOOKUP($A144,'The List'!$B1:$AH730,21,FALSE)-AVERAGE('The List'!V2:V730))/STDEV('The List'!V2:V730)</f>
        <v>0.49493096609256299</v>
      </c>
      <c r="J144" s="38">
        <f>(VLOOKUP($A144,'The List'!$B1:$AH730,22,FALSE)-AVERAGE('The List'!W2:W730))/STDEV('The List'!W2:W730)</f>
        <v>0.69788385904172168</v>
      </c>
      <c r="K144" s="38">
        <f>(VLOOKUP($A144,'The List'!$B1:$AH730,23,FALSE)-AVERAGE('The List'!X2:X730))/STDEV('The List'!X2:X730)</f>
        <v>7.6416132638767412E-2</v>
      </c>
      <c r="L144" s="38">
        <f>(VLOOKUP($A144,'The List'!$B1:$AH730,24,FALSE)-AVERAGE('The List'!Y2:Y730))/STDEV('The List'!Y2:Y730)</f>
        <v>-0.52331341830576883</v>
      </c>
      <c r="M144" s="38">
        <f>(VLOOKUP($A144,'The List'!$B1:$AH730,25,FALSE)-AVERAGE('The List'!Z2:Z730))/STDEV('The List'!Z2:Z730)</f>
        <v>-0.70166178055260409</v>
      </c>
      <c r="N144" s="38">
        <f>(VLOOKUP($A144,'The List'!$B1:$AH730,26,FALSE)-AVERAGE('The List'!AA2:AA730))/STDEV('The List'!AA2:AA730)</f>
        <v>-1.0762926162960933</v>
      </c>
      <c r="O144" s="38">
        <f>(VLOOKUP($A144,'The List'!$B1:$AH730,27,FALSE)-AVERAGE('The List'!AB2:AB730))/STDEV('The List'!AB2:AB730)</f>
        <v>-0.32020497534679354</v>
      </c>
      <c r="P144" s="38">
        <f>(VLOOKUP($A144,'The List'!$B1:$AH730,28,FALSE)-AVERAGE('The List'!AC2:AC730))/STDEV('The List'!AC2:AC730)</f>
        <v>1.9370271392077674</v>
      </c>
      <c r="Q144" s="38">
        <f>(VLOOKUP($A144,'The List'!$B1:$AH730,29,FALSE)-AVERAGE('The List'!AD2:AD730))/STDEV('The List'!AD2:AD730)</f>
        <v>1.9838189981912151</v>
      </c>
      <c r="R144" s="38">
        <f>(VLOOKUP($A144,'The List'!$B1:$AH730,30,FALSE)-AVERAGE('The List'!AE2:AE730))/STDEV('The List'!AE2:AE730)</f>
        <v>1.3574377623698406</v>
      </c>
      <c r="S144" s="38">
        <f>(VLOOKUP($A144,'The List'!$B1:$AH730,31,FALSE)-AVERAGE('The List'!AF2:AF730))/STDEV('The List'!AF2:AF730)</f>
        <v>-0.55538211890264566</v>
      </c>
      <c r="T144" s="38">
        <f>(VLOOKUP($A144,'The List'!$B1:$AH730,32,FALSE)-AVERAGE('The List'!AG2:AG730))/STDEV('The List'!AG2:AG730)</f>
        <v>-0.59526884159560023</v>
      </c>
      <c r="U144" s="38">
        <f>(VLOOKUP($A144,'The List'!$B1:$AH730,33,FALSE)-AVERAGE('The List'!AH2:AH730))/STDEV('The List'!AH2:AH730)</f>
        <v>0.66571896902243266</v>
      </c>
      <c r="V144" s="38"/>
      <c r="W144" s="42"/>
      <c r="X144" s="40"/>
      <c r="Y144" s="40"/>
      <c r="Z144" s="40"/>
      <c r="AA144" s="40"/>
      <c r="AB144" s="40"/>
      <c r="AC144" s="43"/>
      <c r="AD144" s="44"/>
      <c r="AE144" s="38"/>
    </row>
    <row r="145" spans="1:31" ht="21.2" customHeight="1">
      <c r="A145" s="8" t="s">
        <v>516</v>
      </c>
      <c r="B145" s="34" t="str">
        <f>VLOOKUP(A145,'Player Data'!A1:B734,2,FALSE)</f>
        <v>WSH</v>
      </c>
      <c r="C145" s="36">
        <f>((E145)*Settings!$C$12)+(F145*Settings!$C$2)+(G145*Settings!$C$3)+(H145*Settings!$C$4)+(I145*Settings!$C$5)+(K145*Settings!$C$9)+(N145*Settings!$C$6)+(J145*Settings!$C$8)+(O145*Settings!$C$7)+(P145*Settings!$C$14)+(Q145*Settings!$C$15)+(R145*Settings!$C$16)+(S145*Settings!$C$17)+(T145*Settings!$C$18)+(U145*Settings!$C$19)+(L145*Settings!$C$10)+(Settings!$C$11*M145)</f>
        <v>3.5492913929606389</v>
      </c>
      <c r="D145" s="40">
        <f>IF(Settings!$E$12="YES",VLOOKUP(A145,'Player Data'!A1:E734,5,FALSE),82)</f>
        <v>82</v>
      </c>
      <c r="E145" s="38">
        <f>(VLOOKUP($A145,'The List'!$B1:$AH730,17,FALSE)-AVERAGE('The List'!R2:R730))/STDEV('The List'!R2:R730)</f>
        <v>-0.4329309314593065</v>
      </c>
      <c r="F145" s="38">
        <f>(VLOOKUP($A145,'The List'!$B1:$AH730,18,FALSE)-AVERAGE('The List'!S2:S730))/STDEV('The List'!S2:S730)</f>
        <v>1.2697636265636405</v>
      </c>
      <c r="G145" s="38">
        <f>(VLOOKUP($A145,'The List'!$B1:$AH730,19,FALSE)-AVERAGE('The List'!T2:T730))/STDEV('The List'!T2:T730)</f>
        <v>0.10185968023972383</v>
      </c>
      <c r="H145" s="38">
        <f>(VLOOKUP($A145,'The List'!$B1:$AH730,20,FALSE)-AVERAGE('The List'!U2:U730))/STDEV('The List'!U2:U730)</f>
        <v>0.65287576784661594</v>
      </c>
      <c r="I145" s="38">
        <f>(VLOOKUP($A145,'The List'!$B1:$AH730,21,FALSE)-AVERAGE('The List'!V2:V730))/STDEV('The List'!V2:V730)</f>
        <v>1.2304246791813183</v>
      </c>
      <c r="J145" s="38">
        <f>(VLOOKUP($A145,'The List'!$B1:$AH730,22,FALSE)-AVERAGE('The List'!W2:W730))/STDEV('The List'!W2:W730)</f>
        <v>0.49996014181533149</v>
      </c>
      <c r="K145" s="38">
        <f>(VLOOKUP($A145,'The List'!$B1:$AH730,23,FALSE)-AVERAGE('The List'!X2:X730))/STDEV('The List'!X2:X730)</f>
        <v>0.29436763912934039</v>
      </c>
      <c r="L145" s="38">
        <f>(VLOOKUP($A145,'The List'!$B1:$AH730,24,FALSE)-AVERAGE('The List'!Y2:Y730))/STDEV('The List'!Y2:Y730)</f>
        <v>-0.52515529094994673</v>
      </c>
      <c r="M145" s="38">
        <f>(VLOOKUP($A145,'The List'!$B1:$AH730,25,FALSE)-AVERAGE('The List'!Z2:Z730))/STDEV('The List'!Z2:Z730)</f>
        <v>-0.70378350861314143</v>
      </c>
      <c r="N145" s="38">
        <f>(VLOOKUP($A145,'The List'!$B1:$AH730,26,FALSE)-AVERAGE('The List'!AA2:AA730))/STDEV('The List'!AA2:AA730)</f>
        <v>-0.68727740586561448</v>
      </c>
      <c r="O145" s="38">
        <f>(VLOOKUP($A145,'The List'!$B1:$AH730,27,FALSE)-AVERAGE('The List'!AB2:AB730))/STDEV('The List'!AB2:AB730)</f>
        <v>-0.59685548528453924</v>
      </c>
      <c r="P145" s="38">
        <f>(VLOOKUP($A145,'The List'!$B1:$AH730,28,FALSE)-AVERAGE('The List'!AC2:AC730))/STDEV('The List'!AC2:AC730)</f>
        <v>-0.3475690402677758</v>
      </c>
      <c r="Q145" s="38">
        <f>(VLOOKUP($A145,'The List'!$B1:$AH730,29,FALSE)-AVERAGE('The List'!AD2:AD730))/STDEV('The List'!AD2:AD730)</f>
        <v>-0.24338252416089193</v>
      </c>
      <c r="R145" s="38">
        <f>(VLOOKUP($A145,'The List'!$B1:$AH730,30,FALSE)-AVERAGE('The List'!AE2:AE730))/STDEV('The List'!AE2:AE730)</f>
        <v>0.86293006800361904</v>
      </c>
      <c r="S145" s="38">
        <f>(VLOOKUP($A145,'The List'!$B1:$AH730,31,FALSE)-AVERAGE('The List'!AF2:AF730))/STDEV('The List'!AF2:AF730)</f>
        <v>-0.51866102397325609</v>
      </c>
      <c r="T145" s="38">
        <f>(VLOOKUP($A145,'The List'!$B1:$AH730,32,FALSE)-AVERAGE('The List'!AG2:AG730))/STDEV('The List'!AG2:AG730)</f>
        <v>-0.50094272911353088</v>
      </c>
      <c r="U145" s="38">
        <f>(VLOOKUP($A145,'The List'!$B1:$AH730,33,FALSE)-AVERAGE('The List'!AH2:AH730))/STDEV('The List'!AH2:AH730)</f>
        <v>0.19582090204089811</v>
      </c>
      <c r="V145" s="38"/>
      <c r="W145" s="42"/>
      <c r="X145" s="40"/>
      <c r="Y145" s="40"/>
      <c r="Z145" s="40"/>
      <c r="AA145" s="40"/>
      <c r="AB145" s="40"/>
      <c r="AC145" s="43"/>
      <c r="AD145" s="44"/>
      <c r="AE145" s="38"/>
    </row>
    <row r="146" spans="1:31" ht="21.2" customHeight="1">
      <c r="A146" s="8" t="s">
        <v>209</v>
      </c>
      <c r="B146" s="34" t="str">
        <f>VLOOKUP(A146,'Player Data'!A1:B734,2,FALSE)</f>
        <v>LAK</v>
      </c>
      <c r="C146" s="36">
        <f>((E146)*Settings!$C$12)+(F146*Settings!$C$2)+(G146*Settings!$C$3)+(H146*Settings!$C$4)+(I146*Settings!$C$5)+(K146*Settings!$C$9)+(N146*Settings!$C$6)+(J146*Settings!$C$8)+(O146*Settings!$C$7)+(P146*Settings!$C$14)+(Q146*Settings!$C$15)+(R146*Settings!$C$16)+(S146*Settings!$C$17)+(T146*Settings!$C$18)+(U146*Settings!$C$19)+(L146*Settings!$C$10)+(Settings!$C$11*M146)</f>
        <v>3.136423936035897</v>
      </c>
      <c r="D146" s="40">
        <f>IF(Settings!$E$12="YES",VLOOKUP(A146,'Player Data'!A1:E734,5,FALSE),82)</f>
        <v>82</v>
      </c>
      <c r="E146" s="38">
        <f>(VLOOKUP($A146,'The List'!$B1:$AH730,17,FALSE)-AVERAGE('The List'!R2:R730))/STDEV('The List'!R2:R730)</f>
        <v>2.6071733330739755</v>
      </c>
      <c r="F146" s="38">
        <f>(VLOOKUP($A146,'The List'!$B1:$AH730,18,FALSE)-AVERAGE('The List'!S2:S730))/STDEV('The List'!S2:S730)</f>
        <v>-0.43775616337498807</v>
      </c>
      <c r="G146" s="38">
        <f>(VLOOKUP($A146,'The List'!$B1:$AH730,19,FALSE)-AVERAGE('The List'!T2:T730))/STDEV('The List'!T2:T730)</f>
        <v>1.1871262729349952</v>
      </c>
      <c r="H146" s="38">
        <f>(VLOOKUP($A146,'The List'!$B1:$AH730,20,FALSE)-AVERAGE('The List'!U2:U730))/STDEV('The List'!U2:U730)</f>
        <v>0.52603471686906256</v>
      </c>
      <c r="I146" s="38">
        <f>(VLOOKUP($A146,'The List'!$B1:$AH730,21,FALSE)-AVERAGE('The List'!V2:V730))/STDEV('The List'!V2:V730)</f>
        <v>0.19191129147014777</v>
      </c>
      <c r="J146" s="38">
        <f>(VLOOKUP($A146,'The List'!$B1:$AH730,22,FALSE)-AVERAGE('The List'!W2:W730))/STDEV('The List'!W2:W730)</f>
        <v>0.60728912175802952</v>
      </c>
      <c r="K146" s="38">
        <f>(VLOOKUP($A146,'The List'!$B1:$AH730,23,FALSE)-AVERAGE('The List'!X2:X730))/STDEV('The List'!X2:X730)</f>
        <v>1.6691078181366796</v>
      </c>
      <c r="L146" s="38">
        <f>(VLOOKUP($A146,'The List'!$B1:$AH730,24,FALSE)-AVERAGE('The List'!Y2:Y730))/STDEV('The List'!Y2:Y730)</f>
        <v>-0.59199341451391163</v>
      </c>
      <c r="M146" s="38">
        <f>(VLOOKUP($A146,'The List'!$B1:$AH730,25,FALSE)-AVERAGE('The List'!Z2:Z730))/STDEV('The List'!Z2:Z730)</f>
        <v>-0.65368192927020308</v>
      </c>
      <c r="N146" s="38">
        <f>(VLOOKUP($A146,'The List'!$B1:$AH730,26,FALSE)-AVERAGE('The List'!AA2:AA730))/STDEV('The List'!AA2:AA730)</f>
        <v>1.18885775357055</v>
      </c>
      <c r="O146" s="38">
        <f>(VLOOKUP($A146,'The List'!$B1:$AH730,27,FALSE)-AVERAGE('The List'!AB2:AB730))/STDEV('The List'!AB2:AB730)</f>
        <v>0.3314269205443256</v>
      </c>
      <c r="P146" s="38">
        <f>(VLOOKUP($A146,'The List'!$B1:$AH730,28,FALSE)-AVERAGE('The List'!AC2:AC730))/STDEV('The List'!AC2:AC730)</f>
        <v>-4.7705337104535839E-2</v>
      </c>
      <c r="Q146" s="38">
        <f>(VLOOKUP($A146,'The List'!$B1:$AH730,29,FALSE)-AVERAGE('The List'!AD2:AD730))/STDEV('The List'!AD2:AD730)</f>
        <v>0.59537713495893163</v>
      </c>
      <c r="R146" s="38">
        <f>(VLOOKUP($A146,'The List'!$B1:$AH730,30,FALSE)-AVERAGE('The List'!AE2:AE730))/STDEV('The List'!AE2:AE730)</f>
        <v>-0.35274860300556504</v>
      </c>
      <c r="S146" s="38">
        <f>(VLOOKUP($A146,'The List'!$B1:$AH730,31,FALSE)-AVERAGE('The List'!AF2:AF730))/STDEV('The List'!AF2:AF730)</f>
        <v>-0.56911587195029545</v>
      </c>
      <c r="T146" s="38">
        <f>(VLOOKUP($A146,'The List'!$B1:$AH730,32,FALSE)-AVERAGE('The List'!AG2:AG730))/STDEV('The List'!AG2:AG730)</f>
        <v>-0.61510119871956948</v>
      </c>
      <c r="U146" s="38">
        <f>(VLOOKUP($A146,'The List'!$B1:$AH730,33,FALSE)-AVERAGE('The List'!AH2:AH730))/STDEV('The List'!AH2:AH730)</f>
        <v>-1.2363238714825984</v>
      </c>
      <c r="V146" s="38"/>
      <c r="W146" s="40"/>
      <c r="X146" s="38"/>
      <c r="Y146" s="38"/>
      <c r="Z146" s="38"/>
      <c r="AA146" s="38"/>
      <c r="AB146" s="38"/>
      <c r="AC146" s="38"/>
      <c r="AD146" s="38"/>
      <c r="AE146" s="38"/>
    </row>
    <row r="147" spans="1:31" ht="21.2" customHeight="1">
      <c r="A147" s="8" t="s">
        <v>359</v>
      </c>
      <c r="B147" s="34" t="str">
        <f>VLOOKUP(A147,'Player Data'!A1:B734,2,FALSE)</f>
        <v>CBJ</v>
      </c>
      <c r="C147" s="36">
        <f>((E147)*Settings!$C$12)+(F147*Settings!$C$2)+(G147*Settings!$C$3)+(H147*Settings!$C$4)+(I147*Settings!$C$5)+(K147*Settings!$C$9)+(N147*Settings!$C$6)+(J147*Settings!$C$8)+(O147*Settings!$C$7)+(P147*Settings!$C$14)+(Q147*Settings!$C$15)+(R147*Settings!$C$16)+(S147*Settings!$C$17)+(T147*Settings!$C$18)+(U147*Settings!$C$19)+(L147*Settings!$C$10)+(Settings!$C$11*M147)</f>
        <v>2.8546313639836831</v>
      </c>
      <c r="D147" s="40">
        <f>IF(Settings!$E$12="YES",VLOOKUP(A147,'Player Data'!A1:E734,5,FALSE),82)</f>
        <v>82</v>
      </c>
      <c r="E147" s="38">
        <f>(VLOOKUP($A147,'The List'!$B1:$AH730,17,FALSE)-AVERAGE('The List'!R2:R730))/STDEV('The List'!R2:R730)</f>
        <v>-0.1279189344937102</v>
      </c>
      <c r="F147" s="38">
        <f>(VLOOKUP($A147,'The List'!$B1:$AH730,18,FALSE)-AVERAGE('The List'!S2:S730))/STDEV('The List'!S2:S730)</f>
        <v>0.73295710069326747</v>
      </c>
      <c r="G147" s="38">
        <f>(VLOOKUP($A147,'The List'!$B1:$AH730,19,FALSE)-AVERAGE('The List'!T2:T730))/STDEV('The List'!T2:T730)</f>
        <v>0.49298025909659454</v>
      </c>
      <c r="H147" s="38">
        <f>(VLOOKUP($A147,'The List'!$B1:$AH730,20,FALSE)-AVERAGE('The List'!U2:U730))/STDEV('The List'!U2:U730)</f>
        <v>0.64368782108021061</v>
      </c>
      <c r="I147" s="38">
        <f>(VLOOKUP($A147,'The List'!$B1:$AH730,21,FALSE)-AVERAGE('The List'!V2:V730))/STDEV('The List'!V2:V730)</f>
        <v>0.37436400906375622</v>
      </c>
      <c r="J147" s="38">
        <f>(VLOOKUP($A147,'The List'!$B1:$AH730,22,FALSE)-AVERAGE('The List'!W2:W730))/STDEV('The List'!W2:W730)</f>
        <v>0.807191790778369</v>
      </c>
      <c r="K147" s="38">
        <f>(VLOOKUP($A147,'The List'!$B1:$AH730,23,FALSE)-AVERAGE('The List'!X2:X730))/STDEV('The List'!X2:X730)</f>
        <v>0.61064217404985444</v>
      </c>
      <c r="L147" s="38">
        <f>(VLOOKUP($A147,'The List'!$B1:$AH730,24,FALSE)-AVERAGE('The List'!Y2:Y730))/STDEV('The List'!Y2:Y730)</f>
        <v>-0.52515529094994673</v>
      </c>
      <c r="M147" s="38">
        <f>(VLOOKUP($A147,'The List'!$B1:$AH730,25,FALSE)-AVERAGE('The List'!Z2:Z730))/STDEV('The List'!Z2:Z730)</f>
        <v>-0.70378350861314143</v>
      </c>
      <c r="N147" s="38">
        <f>(VLOOKUP($A147,'The List'!$B1:$AH730,26,FALSE)-AVERAGE('The List'!AA2:AA730))/STDEV('The List'!AA2:AA730)</f>
        <v>-0.71270072080333002</v>
      </c>
      <c r="O147" s="38">
        <f>(VLOOKUP($A147,'The List'!$B1:$AH730,27,FALSE)-AVERAGE('The List'!AB2:AB730))/STDEV('The List'!AB2:AB730)</f>
        <v>-0.71265916538647767</v>
      </c>
      <c r="P147" s="38">
        <f>(VLOOKUP($A147,'The List'!$B1:$AH730,28,FALSE)-AVERAGE('The List'!AC2:AC730))/STDEV('The List'!AC2:AC730)</f>
        <v>-4.0135424574237813E-2</v>
      </c>
      <c r="Q147" s="38">
        <f>(VLOOKUP($A147,'The List'!$B1:$AH730,29,FALSE)-AVERAGE('The List'!AD2:AD730))/STDEV('The List'!AD2:AD730)</f>
        <v>0.23583669598181306</v>
      </c>
      <c r="R147" s="38">
        <f>(VLOOKUP($A147,'The List'!$B1:$AH730,30,FALSE)-AVERAGE('The List'!AE2:AE730))/STDEV('The List'!AE2:AE730)</f>
        <v>0.21588210362239887</v>
      </c>
      <c r="S147" s="38">
        <f>(VLOOKUP($A147,'The List'!$B1:$AH730,31,FALSE)-AVERAGE('The List'!AF2:AF730))/STDEV('The List'!AF2:AF730)</f>
        <v>1.2535087740076101</v>
      </c>
      <c r="T147" s="38">
        <f>(VLOOKUP($A147,'The List'!$B1:$AH730,32,FALSE)-AVERAGE('The List'!AG2:AG730))/STDEV('The List'!AG2:AG730)</f>
        <v>2.0292883226670888</v>
      </c>
      <c r="U147" s="38">
        <f>(VLOOKUP($A147,'The List'!$B1:$AH730,33,FALSE)-AVERAGE('The List'!AH2:AH730))/STDEV('The List'!AH2:AH730)</f>
        <v>0.66054135063011221</v>
      </c>
      <c r="V147" s="38"/>
      <c r="W147" s="40"/>
      <c r="X147" s="38"/>
      <c r="Y147" s="38"/>
      <c r="Z147" s="38"/>
      <c r="AA147" s="38"/>
      <c r="AB147" s="38"/>
      <c r="AC147" s="38"/>
      <c r="AD147" s="38"/>
      <c r="AE147" s="38"/>
    </row>
    <row r="148" spans="1:31" ht="21.2" customHeight="1">
      <c r="A148" s="8" t="s">
        <v>324</v>
      </c>
      <c r="B148" s="34" t="str">
        <f>VLOOKUP(A148,'Player Data'!A1:B734,2,FALSE)</f>
        <v>WSH</v>
      </c>
      <c r="C148" s="36">
        <f>((E148)*Settings!$C$12)+(F148*Settings!$C$2)+(G148*Settings!$C$3)+(H148*Settings!$C$4)+(I148*Settings!$C$5)+(K148*Settings!$C$9)+(N148*Settings!$C$6)+(J148*Settings!$C$8)+(O148*Settings!$C$7)+(P148*Settings!$C$14)+(Q148*Settings!$C$15)+(R148*Settings!$C$16)+(S148*Settings!$C$17)+(T148*Settings!$C$18)+(U148*Settings!$C$19)+(L148*Settings!$C$10)+(Settings!$C$11*M148)</f>
        <v>3.0788320137153238</v>
      </c>
      <c r="D148" s="40">
        <f>IF(Settings!$E$12="YES",VLOOKUP(A148,'Player Data'!A1:E734,5,FALSE),82)</f>
        <v>82</v>
      </c>
      <c r="E148" s="38">
        <f>(VLOOKUP($A148,'The List'!$B1:$AH730,17,FALSE)-AVERAGE('The List'!R2:R730))/STDEV('The List'!R2:R730)</f>
        <v>0.47927206726455518</v>
      </c>
      <c r="F148" s="38">
        <f>(VLOOKUP($A148,'The List'!$B1:$AH730,18,FALSE)-AVERAGE('The List'!S2:S730))/STDEV('The List'!S2:S730)</f>
        <v>1.0372311573759934</v>
      </c>
      <c r="G148" s="38">
        <f>(VLOOKUP($A148,'The List'!$B1:$AH730,19,FALSE)-AVERAGE('The List'!T2:T730))/STDEV('The List'!T2:T730)</f>
        <v>0.24190386566576061</v>
      </c>
      <c r="H148" s="38">
        <f>(VLOOKUP($A148,'The List'!$B1:$AH730,20,FALSE)-AVERAGE('The List'!U2:U730))/STDEV('The List'!U2:U730)</f>
        <v>0.6308403327393719</v>
      </c>
      <c r="I148" s="38">
        <f>(VLOOKUP($A148,'The List'!$B1:$AH730,21,FALSE)-AVERAGE('The List'!V2:V730))/STDEV('The List'!V2:V730)</f>
        <v>0.82347730494247329</v>
      </c>
      <c r="J148" s="38">
        <f>(VLOOKUP($A148,'The List'!$B1:$AH730,22,FALSE)-AVERAGE('The List'!W2:W730))/STDEV('The List'!W2:W730)</f>
        <v>0.76996598999188703</v>
      </c>
      <c r="K148" s="38">
        <f>(VLOOKUP($A148,'The List'!$B1:$AH730,23,FALSE)-AVERAGE('The List'!X2:X730))/STDEV('The List'!X2:X730)</f>
        <v>0.34537935299172468</v>
      </c>
      <c r="L148" s="38">
        <f>(VLOOKUP($A148,'The List'!$B1:$AH730,24,FALSE)-AVERAGE('The List'!Y2:Y730))/STDEV('The List'!Y2:Y730)</f>
        <v>1.6940972468322311</v>
      </c>
      <c r="M148" s="38">
        <f>(VLOOKUP($A148,'The List'!$B1:$AH730,25,FALSE)-AVERAGE('The List'!Z2:Z730))/STDEV('The List'!Z2:Z730)</f>
        <v>1.2242397192106309</v>
      </c>
      <c r="N148" s="38">
        <f>(VLOOKUP($A148,'The List'!$B1:$AH730,26,FALSE)-AVERAGE('The List'!AA2:AA730))/STDEV('The List'!AA2:AA730)</f>
        <v>1.3816703662152733E-2</v>
      </c>
      <c r="O148" s="38">
        <f>(VLOOKUP($A148,'The List'!$B1:$AH730,27,FALSE)-AVERAGE('The List'!AB2:AB730))/STDEV('The List'!AB2:AB730)</f>
        <v>2.3804645931367969</v>
      </c>
      <c r="P148" s="38">
        <f>(VLOOKUP($A148,'The List'!$B1:$AH730,28,FALSE)-AVERAGE('The List'!AC2:AC730))/STDEV('The List'!AC2:AC730)</f>
        <v>-0.81600972902775504</v>
      </c>
      <c r="Q148" s="38">
        <f>(VLOOKUP($A148,'The List'!$B1:$AH730,29,FALSE)-AVERAGE('The List'!AD2:AD730))/STDEV('The List'!AD2:AD730)</f>
        <v>3.7838371208579247</v>
      </c>
      <c r="R148" s="38">
        <f>(VLOOKUP($A148,'The List'!$B1:$AH730,30,FALSE)-AVERAGE('The List'!AE2:AE730))/STDEV('The List'!AE2:AE730)</f>
        <v>0.67666336590801279</v>
      </c>
      <c r="S148" s="38">
        <f>(VLOOKUP($A148,'The List'!$B1:$AH730,31,FALSE)-AVERAGE('The List'!AF2:AF730))/STDEV('The List'!AF2:AF730)</f>
        <v>-0.48519045819528406</v>
      </c>
      <c r="T148" s="38">
        <f>(VLOOKUP($A148,'The List'!$B1:$AH730,32,FALSE)-AVERAGE('The List'!AG2:AG730))/STDEV('The List'!AG2:AG730)</f>
        <v>-0.48272466938219949</v>
      </c>
      <c r="U148" s="38">
        <f>(VLOOKUP($A148,'The List'!$B1:$AH730,33,FALSE)-AVERAGE('The List'!AH2:AH730))/STDEV('The List'!AH2:AH730)</f>
        <v>0.5692742032452982</v>
      </c>
      <c r="V148" s="38"/>
      <c r="W148" s="42"/>
      <c r="X148" s="40"/>
      <c r="Y148" s="40"/>
      <c r="Z148" s="40"/>
      <c r="AA148" s="40"/>
      <c r="AB148" s="40"/>
      <c r="AC148" s="43"/>
      <c r="AD148" s="44"/>
      <c r="AE148" s="38"/>
    </row>
    <row r="149" spans="1:31" ht="21.2" customHeight="1">
      <c r="A149" s="8" t="s">
        <v>368</v>
      </c>
      <c r="B149" s="34" t="str">
        <f>VLOOKUP(A149,'Player Data'!A1:B734,2,FALSE)</f>
        <v>SJS</v>
      </c>
      <c r="C149" s="36">
        <f>((E149)*Settings!$C$12)+(F149*Settings!$C$2)+(G149*Settings!$C$3)+(H149*Settings!$C$4)+(I149*Settings!$C$5)+(K149*Settings!$C$9)+(N149*Settings!$C$6)+(J149*Settings!$C$8)+(O149*Settings!$C$7)+(P149*Settings!$C$14)+(Q149*Settings!$C$15)+(R149*Settings!$C$16)+(S149*Settings!$C$17)+(T149*Settings!$C$18)+(U149*Settings!$C$19)+(L149*Settings!$C$10)+(Settings!$C$11*M149)</f>
        <v>2.0406029877718854</v>
      </c>
      <c r="D149" s="40">
        <f>IF(Settings!$E$12="YES",VLOOKUP(A149,'Player Data'!A1:E734,5,FALSE),82)</f>
        <v>82</v>
      </c>
      <c r="E149" s="38">
        <f>(VLOOKUP($A149,'The List'!$B1:$AH730,17,FALSE)-AVERAGE('The List'!R2:R730))/STDEV('The List'!R2:R730)</f>
        <v>0.26958233445605234</v>
      </c>
      <c r="F149" s="38">
        <f>(VLOOKUP($A149,'The List'!$B1:$AH730,18,FALSE)-AVERAGE('The List'!S2:S730))/STDEV('The List'!S2:S730)</f>
        <v>0.21021308435016448</v>
      </c>
      <c r="G149" s="38">
        <f>(VLOOKUP($A149,'The List'!$B1:$AH730,19,FALSE)-AVERAGE('The List'!T2:T730))/STDEV('The List'!T2:T730)</f>
        <v>0.86408731119233317</v>
      </c>
      <c r="H149" s="38">
        <f>(VLOOKUP($A149,'The List'!$B1:$AH730,20,FALSE)-AVERAGE('The List'!U2:U730))/STDEV('The List'!U2:U730)</f>
        <v>0.62873805761160961</v>
      </c>
      <c r="I149" s="38">
        <f>(VLOOKUP($A149,'The List'!$B1:$AH730,21,FALSE)-AVERAGE('The List'!V2:V730))/STDEV('The List'!V2:V730)</f>
        <v>-0.1303197240621537</v>
      </c>
      <c r="J149" s="38">
        <f>(VLOOKUP($A149,'The List'!$B1:$AH730,22,FALSE)-AVERAGE('The List'!W2:W730))/STDEV('The List'!W2:W730)</f>
        <v>0.17764231774949693</v>
      </c>
      <c r="K149" s="38">
        <f>(VLOOKUP($A149,'The List'!$B1:$AH730,23,FALSE)-AVERAGE('The List'!X2:X730))/STDEV('The List'!X2:X730)</f>
        <v>0.46788425867993155</v>
      </c>
      <c r="L149" s="38">
        <f>(VLOOKUP($A149,'The List'!$B1:$AH730,24,FALSE)-AVERAGE('The List'!Y2:Y730))/STDEV('The List'!Y2:Y730)</f>
        <v>-0.51130519420861997</v>
      </c>
      <c r="M149" s="38">
        <f>(VLOOKUP($A149,'The List'!$B1:$AH730,25,FALSE)-AVERAGE('The List'!Z2:Z730))/STDEV('The List'!Z2:Z730)</f>
        <v>-0.68805419520227218</v>
      </c>
      <c r="N149" s="38">
        <f>(VLOOKUP($A149,'The List'!$B1:$AH730,26,FALSE)-AVERAGE('The List'!AA2:AA730))/STDEV('The List'!AA2:AA730)</f>
        <v>-0.54308183724691672</v>
      </c>
      <c r="O149" s="38">
        <f>(VLOOKUP($A149,'The List'!$B1:$AH730,27,FALSE)-AVERAGE('The List'!AB2:AB730))/STDEV('The List'!AB2:AB730)</f>
        <v>-0.93464899650140265</v>
      </c>
      <c r="P149" s="38">
        <f>(VLOOKUP($A149,'The List'!$B1:$AH730,28,FALSE)-AVERAGE('The List'!AC2:AC730))/STDEV('The List'!AC2:AC730)</f>
        <v>-5.5237427964372726E-2</v>
      </c>
      <c r="Q149" s="38">
        <f>(VLOOKUP($A149,'The List'!$B1:$AH730,29,FALSE)-AVERAGE('The List'!AD2:AD730))/STDEV('The List'!AD2:AD730)</f>
        <v>-0.67437494141827581</v>
      </c>
      <c r="R149" s="38">
        <f>(VLOOKUP($A149,'The List'!$B1:$AH730,30,FALSE)-AVERAGE('The List'!AE2:AE730))/STDEV('The List'!AE2:AE730)</f>
        <v>2.6025440425847358E-2</v>
      </c>
      <c r="S149" s="38">
        <f>(VLOOKUP($A149,'The List'!$B1:$AH730,31,FALSE)-AVERAGE('The List'!AF2:AF730))/STDEV('The List'!AF2:AF730)</f>
        <v>-0.56669813598757779</v>
      </c>
      <c r="T149" s="38">
        <f>(VLOOKUP($A149,'The List'!$B1:$AH730,32,FALSE)-AVERAGE('The List'!AG2:AG730))/STDEV('The List'!AG2:AG730)</f>
        <v>-0.60283971158573957</v>
      </c>
      <c r="U149" s="38">
        <f>(VLOOKUP($A149,'The List'!$B1:$AH730,33,FALSE)-AVERAGE('The List'!AH2:AH730))/STDEV('The List'!AH2:AH730)</f>
        <v>-0.46126273719895222</v>
      </c>
      <c r="V149" s="38"/>
      <c r="W149" s="42"/>
      <c r="X149" s="40"/>
      <c r="Y149" s="40"/>
      <c r="Z149" s="40"/>
      <c r="AA149" s="40"/>
      <c r="AB149" s="40"/>
      <c r="AC149" s="43"/>
      <c r="AD149" s="44"/>
      <c r="AE149" s="38"/>
    </row>
    <row r="150" spans="1:31" ht="21.2" customHeight="1">
      <c r="A150" s="8" t="s">
        <v>285</v>
      </c>
      <c r="B150" s="34" t="str">
        <f>VLOOKUP(A150,'Player Data'!A1:B734,2,FALSE)</f>
        <v>CGY</v>
      </c>
      <c r="C150" s="36">
        <f>((E150)*Settings!$C$12)+(F150*Settings!$C$2)+(G150*Settings!$C$3)+(H150*Settings!$C$4)+(I150*Settings!$C$5)+(K150*Settings!$C$9)+(N150*Settings!$C$6)+(J150*Settings!$C$8)+(O150*Settings!$C$7)+(P150*Settings!$C$14)+(Q150*Settings!$C$15)+(R150*Settings!$C$16)+(S150*Settings!$C$17)+(T150*Settings!$C$18)+(U150*Settings!$C$19)+(L150*Settings!$C$10)+(Settings!$C$11*M150)</f>
        <v>2.6355153002385889</v>
      </c>
      <c r="D150" s="40">
        <f>IF(Settings!$E$12="YES",VLOOKUP(A150,'Player Data'!A1:E734,5,FALSE),82)</f>
        <v>82</v>
      </c>
      <c r="E150" s="38">
        <f>(VLOOKUP($A150,'The List'!$B1:$AH730,17,FALSE)-AVERAGE('The List'!R2:R730))/STDEV('The List'!R2:R730)</f>
        <v>0.28849591933619451</v>
      </c>
      <c r="F150" s="38">
        <f>(VLOOKUP($A150,'The List'!$B1:$AH730,18,FALSE)-AVERAGE('The List'!S2:S730))/STDEV('The List'!S2:S730)</f>
        <v>1.1322404118015896</v>
      </c>
      <c r="G150" s="38">
        <f>(VLOOKUP($A150,'The List'!$B1:$AH730,19,FALSE)-AVERAGE('The List'!T2:T730))/STDEV('The List'!T2:T730)</f>
        <v>0.16631699951805906</v>
      </c>
      <c r="H150" s="38">
        <f>(VLOOKUP($A150,'The List'!$B1:$AH730,20,FALSE)-AVERAGE('The List'!U2:U730))/STDEV('The List'!U2:U730)</f>
        <v>0.62855647927492109</v>
      </c>
      <c r="I150" s="38">
        <f>(VLOOKUP($A150,'The List'!$B1:$AH730,21,FALSE)-AVERAGE('The List'!V2:V730))/STDEV('The List'!V2:V730)</f>
        <v>0.63860265059124188</v>
      </c>
      <c r="J150" s="38">
        <f>(VLOOKUP($A150,'The List'!$B1:$AH730,22,FALSE)-AVERAGE('The List'!W2:W730))/STDEV('The List'!W2:W730)</f>
        <v>0.57266451623843861</v>
      </c>
      <c r="K150" s="38">
        <f>(VLOOKUP($A150,'The List'!$B1:$AH730,23,FALSE)-AVERAGE('The List'!X2:X730))/STDEV('The List'!X2:X730)</f>
        <v>6.9798759052777021E-2</v>
      </c>
      <c r="L150" s="38">
        <f>(VLOOKUP($A150,'The List'!$B1:$AH730,24,FALSE)-AVERAGE('The List'!Y2:Y730))/STDEV('The List'!Y2:Y730)</f>
        <v>0.70062179789746104</v>
      </c>
      <c r="M150" s="38">
        <f>(VLOOKUP($A150,'The List'!$B1:$AH730,25,FALSE)-AVERAGE('The List'!Z2:Z730))/STDEV('The List'!Z2:Z730)</f>
        <v>1.3187616436317293</v>
      </c>
      <c r="N150" s="38">
        <f>(VLOOKUP($A150,'The List'!$B1:$AH730,26,FALSE)-AVERAGE('The List'!AA2:AA730))/STDEV('The List'!AA2:AA730)</f>
        <v>-0.84470128987498272</v>
      </c>
      <c r="O150" s="38">
        <f>(VLOOKUP($A150,'The List'!$B1:$AH730,27,FALSE)-AVERAGE('The List'!AB2:AB730))/STDEV('The List'!AB2:AB730)</f>
        <v>-0.35780302859649399</v>
      </c>
      <c r="P150" s="38">
        <f>(VLOOKUP($A150,'The List'!$B1:$AH730,28,FALSE)-AVERAGE('The List'!AC2:AC730))/STDEV('The List'!AC2:AC730)</f>
        <v>1.0720805812475087</v>
      </c>
      <c r="Q150" s="38">
        <f>(VLOOKUP($A150,'The List'!$B1:$AH730,29,FALSE)-AVERAGE('The List'!AD2:AD730))/STDEV('The List'!AD2:AD730)</f>
        <v>0.18476409726945078</v>
      </c>
      <c r="R150" s="38">
        <f>(VLOOKUP($A150,'The List'!$B1:$AH730,30,FALSE)-AVERAGE('The List'!AE2:AE730))/STDEV('The List'!AE2:AE730)</f>
        <v>1.4712489772497881</v>
      </c>
      <c r="S150" s="38">
        <f>(VLOOKUP($A150,'The List'!$B1:$AH730,31,FALSE)-AVERAGE('The List'!AF2:AF730))/STDEV('The List'!AF2:AF730)</f>
        <v>-0.53497375752850196</v>
      </c>
      <c r="T150" s="38">
        <f>(VLOOKUP($A150,'The List'!$B1:$AH730,32,FALSE)-AVERAGE('The List'!AG2:AG730))/STDEV('The List'!AG2:AG730)</f>
        <v>-0.53960113512355612</v>
      </c>
      <c r="U150" s="38">
        <f>(VLOOKUP($A150,'The List'!$B1:$AH730,33,FALSE)-AVERAGE('The List'!AH2:AH730))/STDEV('The List'!AH2:AH730)</f>
        <v>0.21831728272545833</v>
      </c>
      <c r="V150" s="38"/>
      <c r="W150" s="42"/>
      <c r="X150" s="40"/>
      <c r="Y150" s="40"/>
      <c r="Z150" s="40"/>
      <c r="AA150" s="40"/>
      <c r="AB150" s="40"/>
      <c r="AC150" s="43"/>
      <c r="AD150" s="44"/>
      <c r="AE150" s="38"/>
    </row>
    <row r="151" spans="1:31" ht="21.2" customHeight="1">
      <c r="A151" s="8" t="s">
        <v>362</v>
      </c>
      <c r="B151" s="34" t="str">
        <f>VLOOKUP(A151,'Player Data'!A1:B734,2,FALSE)</f>
        <v>WPG</v>
      </c>
      <c r="C151" s="36">
        <f>((E151)*Settings!$C$12)+(F151*Settings!$C$2)+(G151*Settings!$C$3)+(H151*Settings!$C$4)+(I151*Settings!$C$5)+(K151*Settings!$C$9)+(N151*Settings!$C$6)+(J151*Settings!$C$8)+(O151*Settings!$C$7)+(P151*Settings!$C$14)+(Q151*Settings!$C$15)+(R151*Settings!$C$16)+(S151*Settings!$C$17)+(T151*Settings!$C$18)+(U151*Settings!$C$19)+(L151*Settings!$C$10)+(Settings!$C$11*M151)</f>
        <v>2.7758076656657602</v>
      </c>
      <c r="D151" s="40">
        <f>IF(Settings!$E$12="YES",VLOOKUP(A151,'Player Data'!A1:E734,5,FALSE),82)</f>
        <v>82</v>
      </c>
      <c r="E151" s="38">
        <f>(VLOOKUP($A151,'The List'!$B1:$AH730,17,FALSE)-AVERAGE('The List'!R2:R730))/STDEV('The List'!R2:R730)</f>
        <v>-2.7195340384081829E-3</v>
      </c>
      <c r="F151" s="38">
        <f>(VLOOKUP($A151,'The List'!$B1:$AH730,18,FALSE)-AVERAGE('The List'!S2:S730))/STDEV('The List'!S2:S730)</f>
        <v>1.2603926366493161</v>
      </c>
      <c r="G151" s="38">
        <f>(VLOOKUP($A151,'The List'!$B1:$AH730,19,FALSE)-AVERAGE('The List'!T2:T730))/STDEV('The List'!T2:T730)</f>
        <v>6.5936017129727589E-2</v>
      </c>
      <c r="H151" s="38">
        <f>(VLOOKUP($A151,'The List'!$B1:$AH730,20,FALSE)-AVERAGE('The List'!U2:U730))/STDEV('The List'!U2:U730)</f>
        <v>0.62644294233433628</v>
      </c>
      <c r="I151" s="38">
        <f>(VLOOKUP($A151,'The List'!$B1:$AH730,21,FALSE)-AVERAGE('The List'!V2:V730))/STDEV('The List'!V2:V730)</f>
        <v>0.36587866433813765</v>
      </c>
      <c r="J151" s="38">
        <f>(VLOOKUP($A151,'The List'!$B1:$AH730,22,FALSE)-AVERAGE('The List'!W2:W730))/STDEV('The List'!W2:W730)</f>
        <v>1.1046201523067878</v>
      </c>
      <c r="K151" s="38">
        <f>(VLOOKUP($A151,'The List'!$B1:$AH730,23,FALSE)-AVERAGE('The List'!X2:X730))/STDEV('The List'!X2:X730)</f>
        <v>0.45715740521424247</v>
      </c>
      <c r="L151" s="38">
        <f>(VLOOKUP($A151,'The List'!$B1:$AH730,24,FALSE)-AVERAGE('The List'!Y2:Y730))/STDEV('The List'!Y2:Y730)</f>
        <v>-0.50190498120645088</v>
      </c>
      <c r="M151" s="38">
        <f>(VLOOKUP($A151,'The List'!$B1:$AH730,25,FALSE)-AVERAGE('The List'!Z2:Z730))/STDEV('The List'!Z2:Z730)</f>
        <v>-0.67540131134437187</v>
      </c>
      <c r="N151" s="38">
        <f>(VLOOKUP($A151,'The List'!$B1:$AH730,26,FALSE)-AVERAGE('The List'!AA2:AA730))/STDEV('The List'!AA2:AA730)</f>
        <v>-0.52992261535518004</v>
      </c>
      <c r="O151" s="38">
        <f>(VLOOKUP($A151,'The List'!$B1:$AH730,27,FALSE)-AVERAGE('The List'!AB2:AB730))/STDEV('The List'!AB2:AB730)</f>
        <v>-0.87046952599331173</v>
      </c>
      <c r="P151" s="38">
        <f>(VLOOKUP($A151,'The List'!$B1:$AH730,28,FALSE)-AVERAGE('The List'!AC2:AC730))/STDEV('The List'!AC2:AC730)</f>
        <v>0.55054257811136409</v>
      </c>
      <c r="Q151" s="38">
        <f>(VLOOKUP($A151,'The List'!$B1:$AH730,29,FALSE)-AVERAGE('The List'!AD2:AD730))/STDEV('The List'!AD2:AD730)</f>
        <v>-0.63999314262558993</v>
      </c>
      <c r="R151" s="38">
        <f>(VLOOKUP($A151,'The List'!$B1:$AH730,30,FALSE)-AVERAGE('The List'!AE2:AE730))/STDEV('The List'!AE2:AE730)</f>
        <v>1.4206512939702385</v>
      </c>
      <c r="S151" s="38">
        <f>(VLOOKUP($A151,'The List'!$B1:$AH730,31,FALSE)-AVERAGE('The List'!AF2:AF730))/STDEV('The List'!AF2:AF730)</f>
        <v>8.5560480307835862E-2</v>
      </c>
      <c r="T151" s="38">
        <f>(VLOOKUP($A151,'The List'!$B1:$AH730,32,FALSE)-AVERAGE('The List'!AG2:AG730))/STDEV('The List'!AG2:AG730)</f>
        <v>0.17776260356413068</v>
      </c>
      <c r="U151" s="38">
        <f>(VLOOKUP($A151,'The List'!$B1:$AH730,33,FALSE)-AVERAGE('The List'!AH2:AH730))/STDEV('The List'!AH2:AH730)</f>
        <v>0.86165145091380235</v>
      </c>
      <c r="V151" s="38"/>
      <c r="W151" s="42"/>
      <c r="X151" s="40"/>
      <c r="Y151" s="40"/>
      <c r="Z151" s="40"/>
      <c r="AA151" s="40"/>
      <c r="AB151" s="40"/>
      <c r="AC151" s="43"/>
      <c r="AD151" s="44"/>
      <c r="AE151" s="38"/>
    </row>
    <row r="152" spans="1:31" ht="21.2" customHeight="1">
      <c r="A152" s="8" t="s">
        <v>302</v>
      </c>
      <c r="B152" s="34" t="str">
        <f>VLOOKUP(A152,'Player Data'!A1:B734,2,FALSE)</f>
        <v>FLA</v>
      </c>
      <c r="C152" s="36">
        <f>((E152)*Settings!$C$12)+(F152*Settings!$C$2)+(G152*Settings!$C$3)+(H152*Settings!$C$4)+(I152*Settings!$C$5)+(K152*Settings!$C$9)+(N152*Settings!$C$6)+(J152*Settings!$C$8)+(O152*Settings!$C$7)+(P152*Settings!$C$14)+(Q152*Settings!$C$15)+(R152*Settings!$C$16)+(S152*Settings!$C$17)+(T152*Settings!$C$18)+(U152*Settings!$C$19)+(L152*Settings!$C$10)+(Settings!$C$11*M152)</f>
        <v>3.7885439718766327</v>
      </c>
      <c r="D152" s="40">
        <f>IF(Settings!$E$12="YES",VLOOKUP(A152,'Player Data'!A1:E734,5,FALSE),82)</f>
        <v>82</v>
      </c>
      <c r="E152" s="38">
        <f>(VLOOKUP($A152,'The List'!$B1:$AH730,17,FALSE)-AVERAGE('The List'!R2:R730))/STDEV('The List'!R2:R730)</f>
        <v>0.16559672643834464</v>
      </c>
      <c r="F152" s="38">
        <f>(VLOOKUP($A152,'The List'!$B1:$AH730,18,FALSE)-AVERAGE('The List'!S2:S730))/STDEV('The List'!S2:S730)</f>
        <v>0.90634767021489848</v>
      </c>
      <c r="G152" s="38">
        <f>(VLOOKUP($A152,'The List'!$B1:$AH730,19,FALSE)-AVERAGE('The List'!T2:T730))/STDEV('The List'!T2:T730)</f>
        <v>0.32408791158134959</v>
      </c>
      <c r="H152" s="38">
        <f>(VLOOKUP($A152,'The List'!$B1:$AH730,20,FALSE)-AVERAGE('The List'!U2:U730))/STDEV('The List'!U2:U730)</f>
        <v>0.6205014459431144</v>
      </c>
      <c r="I152" s="38">
        <f>(VLOOKUP($A152,'The List'!$B1:$AH730,21,FALSE)-AVERAGE('The List'!V2:V730))/STDEV('The List'!V2:V730)</f>
        <v>1.6996096227466451</v>
      </c>
      <c r="J152" s="38">
        <f>(VLOOKUP($A152,'The List'!$B1:$AH730,22,FALSE)-AVERAGE('The List'!W2:W730))/STDEV('The List'!W2:W730)</f>
        <v>0.54676562262053274</v>
      </c>
      <c r="K152" s="38">
        <f>(VLOOKUP($A152,'The List'!$B1:$AH730,23,FALSE)-AVERAGE('The List'!X2:X730))/STDEV('The List'!X2:X730)</f>
        <v>0.2379973213906251</v>
      </c>
      <c r="L152" s="38">
        <f>(VLOOKUP($A152,'The List'!$B1:$AH730,24,FALSE)-AVERAGE('The List'!Y2:Y730))/STDEV('The List'!Y2:Y730)</f>
        <v>-0.34251240040102349</v>
      </c>
      <c r="M152" s="38">
        <f>(VLOOKUP($A152,'The List'!$B1:$AH730,25,FALSE)-AVERAGE('The List'!Z2:Z730))/STDEV('The List'!Z2:Z730)</f>
        <v>-0.10941091745589669</v>
      </c>
      <c r="N152" s="38">
        <f>(VLOOKUP($A152,'The List'!$B1:$AH730,26,FALSE)-AVERAGE('The List'!AA2:AA730))/STDEV('The List'!AA2:AA730)</f>
        <v>-0.5808867242041672</v>
      </c>
      <c r="O152" s="38">
        <f>(VLOOKUP($A152,'The List'!$B1:$AH730,27,FALSE)-AVERAGE('The List'!AB2:AB730))/STDEV('The List'!AB2:AB730)</f>
        <v>1.2772925538057798</v>
      </c>
      <c r="P152" s="38">
        <f>(VLOOKUP($A152,'The List'!$B1:$AH730,28,FALSE)-AVERAGE('The List'!AC2:AC730))/STDEV('The List'!AC2:AC730)</f>
        <v>1.137917351220791</v>
      </c>
      <c r="Q152" s="38">
        <f>(VLOOKUP($A152,'The List'!$B1:$AH730,29,FALSE)-AVERAGE('The List'!AD2:AD730))/STDEV('The List'!AD2:AD730)</f>
        <v>2.1726803235784198</v>
      </c>
      <c r="R152" s="38">
        <f>(VLOOKUP($A152,'The List'!$B1:$AH730,30,FALSE)-AVERAGE('The List'!AE2:AE730))/STDEV('The List'!AE2:AE730)</f>
        <v>0.874914951505954</v>
      </c>
      <c r="S152" s="38">
        <f>(VLOOKUP($A152,'The List'!$B1:$AH730,31,FALSE)-AVERAGE('The List'!AF2:AF730))/STDEV('The List'!AF2:AF730)</f>
        <v>1.7977300122214335</v>
      </c>
      <c r="T152" s="38">
        <f>(VLOOKUP($A152,'The List'!$B1:$AH730,32,FALSE)-AVERAGE('The List'!AG2:AG730))/STDEV('The List'!AG2:AG730)</f>
        <v>2.1905896744146682</v>
      </c>
      <c r="U152" s="38">
        <f>(VLOOKUP($A152,'The List'!$B1:$AH730,33,FALSE)-AVERAGE('The List'!AH2:AH730))/STDEV('The List'!AH2:AH730)</f>
        <v>0.88573087282258123</v>
      </c>
      <c r="V152" s="38"/>
      <c r="W152" s="42"/>
      <c r="X152" s="40"/>
      <c r="Y152" s="40"/>
      <c r="Z152" s="40"/>
      <c r="AA152" s="40"/>
      <c r="AB152" s="40"/>
      <c r="AC152" s="43"/>
      <c r="AD152" s="44"/>
      <c r="AE152" s="38"/>
    </row>
    <row r="153" spans="1:31" ht="21.2" customHeight="1">
      <c r="A153" s="8" t="s">
        <v>344</v>
      </c>
      <c r="B153" s="34" t="str">
        <f>VLOOKUP(A153,'Player Data'!A1:B734,2,FALSE)</f>
        <v>NYR</v>
      </c>
      <c r="C153" s="36">
        <f>((E153)*Settings!$C$12)+(F153*Settings!$C$2)+(G153*Settings!$C$3)+(H153*Settings!$C$4)+(I153*Settings!$C$5)+(K153*Settings!$C$9)+(N153*Settings!$C$6)+(J153*Settings!$C$8)+(O153*Settings!$C$7)+(P153*Settings!$C$14)+(Q153*Settings!$C$15)+(R153*Settings!$C$16)+(S153*Settings!$C$17)+(T153*Settings!$C$18)+(U153*Settings!$C$19)+(L153*Settings!$C$10)+(Settings!$C$11*M153)</f>
        <v>2.1356922715073319</v>
      </c>
      <c r="D153" s="40">
        <f>IF(Settings!$E$12="YES",VLOOKUP(A153,'Player Data'!A1:E734,5,FALSE),82)</f>
        <v>82</v>
      </c>
      <c r="E153" s="38">
        <f>(VLOOKUP($A153,'The List'!$B1:$AH730,17,FALSE)-AVERAGE('The List'!R2:R730))/STDEV('The List'!R2:R730)</f>
        <v>-0.15064333300545971</v>
      </c>
      <c r="F153" s="38">
        <f>(VLOOKUP($A153,'The List'!$B1:$AH730,18,FALSE)-AVERAGE('The List'!S2:S730))/STDEV('The List'!S2:S730)</f>
        <v>3.3554372243606433E-2</v>
      </c>
      <c r="G153" s="38">
        <f>(VLOOKUP($A153,'The List'!$B1:$AH730,19,FALSE)-AVERAGE('The List'!T2:T730))/STDEV('The List'!T2:T730)</f>
        <v>0.79274263130964973</v>
      </c>
      <c r="H153" s="38">
        <f>(VLOOKUP($A153,'The List'!$B1:$AH730,20,FALSE)-AVERAGE('The List'!U2:U730))/STDEV('The List'!U2:U730)</f>
        <v>0.50277005741943936</v>
      </c>
      <c r="I153" s="38">
        <f>(VLOOKUP($A153,'The List'!$B1:$AH730,21,FALSE)-AVERAGE('The List'!V2:V730))/STDEV('The List'!V2:V730)</f>
        <v>0.1830038762373753</v>
      </c>
      <c r="J153" s="38">
        <f>(VLOOKUP($A153,'The List'!$B1:$AH730,22,FALSE)-AVERAGE('The List'!W2:W730))/STDEV('The List'!W2:W730)</f>
        <v>0.36790117008083562</v>
      </c>
      <c r="K153" s="38">
        <f>(VLOOKUP($A153,'The List'!$B1:$AH730,23,FALSE)-AVERAGE('The List'!X2:X730))/STDEV('The List'!X2:X730)</f>
        <v>0.62362133429726085</v>
      </c>
      <c r="L153" s="38">
        <f>(VLOOKUP($A153,'The List'!$B1:$AH730,24,FALSE)-AVERAGE('The List'!Y2:Y730))/STDEV('The List'!Y2:Y730)</f>
        <v>-0.4701242646438441</v>
      </c>
      <c r="M153" s="38">
        <f>(VLOOKUP($A153,'The List'!$B1:$AH730,25,FALSE)-AVERAGE('The List'!Z2:Z730))/STDEV('The List'!Z2:Z730)</f>
        <v>-0.6982343312569822</v>
      </c>
      <c r="N153" s="38">
        <f>(VLOOKUP($A153,'The List'!$B1:$AH730,26,FALSE)-AVERAGE('The List'!AA2:AA730))/STDEV('The List'!AA2:AA730)</f>
        <v>-0.60763016556842186</v>
      </c>
      <c r="O153" s="38">
        <f>(VLOOKUP($A153,'The List'!$B1:$AH730,27,FALSE)-AVERAGE('The List'!AB2:AB730))/STDEV('The List'!AB2:AB730)</f>
        <v>-0.68217426464897324</v>
      </c>
      <c r="P153" s="38">
        <f>(VLOOKUP($A153,'The List'!$B1:$AH730,28,FALSE)-AVERAGE('The List'!AC2:AC730))/STDEV('The List'!AC2:AC730)</f>
        <v>0.78267863314671227</v>
      </c>
      <c r="Q153" s="38">
        <f>(VLOOKUP($A153,'The List'!$B1:$AH730,29,FALSE)-AVERAGE('The List'!AD2:AD730))/STDEV('The List'!AD2:AD730)</f>
        <v>0.64226170929946569</v>
      </c>
      <c r="R153" s="38">
        <f>(VLOOKUP($A153,'The List'!$B1:$AH730,30,FALSE)-AVERAGE('The List'!AE2:AE730))/STDEV('The List'!AE2:AE730)</f>
        <v>0.30585046599855564</v>
      </c>
      <c r="S153" s="38">
        <f>(VLOOKUP($A153,'The List'!$B1:$AH730,31,FALSE)-AVERAGE('The List'!AF2:AF730))/STDEV('The List'!AF2:AF730)</f>
        <v>-0.39370648102549033</v>
      </c>
      <c r="T153" s="38">
        <f>(VLOOKUP($A153,'The List'!$B1:$AH730,32,FALSE)-AVERAGE('The List'!AG2:AG730))/STDEV('The List'!AG2:AG730)</f>
        <v>-0.29299045756583025</v>
      </c>
      <c r="U153" s="38">
        <f>(VLOOKUP($A153,'The List'!$B1:$AH730,33,FALSE)-AVERAGE('The List'!AH2:AH730))/STDEV('The List'!AH2:AH730)</f>
        <v>0.40727174737250182</v>
      </c>
      <c r="V153" s="38"/>
      <c r="W153" s="42"/>
      <c r="X153" s="40"/>
      <c r="Y153" s="40"/>
      <c r="Z153" s="40"/>
      <c r="AA153" s="40"/>
      <c r="AB153" s="40"/>
      <c r="AC153" s="43"/>
      <c r="AD153" s="44"/>
      <c r="AE153" s="38"/>
    </row>
    <row r="154" spans="1:31" ht="21.2" customHeight="1">
      <c r="A154" s="8" t="s">
        <v>143</v>
      </c>
      <c r="B154" s="34" t="str">
        <f>VLOOKUP(A154,'Player Data'!A1:B734,2,FALSE)</f>
        <v>DET</v>
      </c>
      <c r="C154" s="36">
        <f>((E154)*Settings!$C$12)+(F154*Settings!$C$2)+(G154*Settings!$C$3)+(H154*Settings!$C$4)+(I154*Settings!$C$5)+(K154*Settings!$C$9)+(N154*Settings!$C$6)+(J154*Settings!$C$8)+(O154*Settings!$C$7)+(P154*Settings!$C$14)+(Q154*Settings!$C$15)+(R154*Settings!$C$16)+(S154*Settings!$C$17)+(T154*Settings!$C$18)+(U154*Settings!$C$19)+(L154*Settings!$C$10)+(Settings!$C$11*M154)</f>
        <v>4.0366632536687916</v>
      </c>
      <c r="D154" s="40">
        <f>IF(Settings!$E$12="YES",VLOOKUP(A154,'Player Data'!A1:E734,5,FALSE),82)</f>
        <v>82</v>
      </c>
      <c r="E154" s="38">
        <f>(VLOOKUP($A154,'The List'!$B1:$AH730,17,FALSE)-AVERAGE('The List'!R2:R730))/STDEV('The List'!R2:R730)</f>
        <v>2.4356553935581298</v>
      </c>
      <c r="F154" s="38">
        <f>(VLOOKUP($A154,'The List'!$B1:$AH730,18,FALSE)-AVERAGE('The List'!S2:S730))/STDEV('The List'!S2:S730)</f>
        <v>-0.57500731575525466</v>
      </c>
      <c r="G154" s="38">
        <f>(VLOOKUP($A154,'The List'!$B1:$AH730,19,FALSE)-AVERAGE('The List'!T2:T730))/STDEV('The List'!T2:T730)</f>
        <v>1.8176672431829037</v>
      </c>
      <c r="H154" s="38">
        <f>(VLOOKUP($A154,'The List'!$B1:$AH730,20,FALSE)-AVERAGE('The List'!U2:U730))/STDEV('The List'!U2:U730)</f>
        <v>0.84972257463981848</v>
      </c>
      <c r="I154" s="38">
        <f>(VLOOKUP($A154,'The List'!$B1:$AH730,21,FALSE)-AVERAGE('The List'!V2:V730))/STDEV('The List'!V2:V730)</f>
        <v>0.61401566425343002</v>
      </c>
      <c r="J154" s="38">
        <f>(VLOOKUP($A154,'The List'!$B1:$AH730,22,FALSE)-AVERAGE('The List'!W2:W730))/STDEV('The List'!W2:W730)</f>
        <v>-0.12036256292573809</v>
      </c>
      <c r="K154" s="38">
        <f>(VLOOKUP($A154,'The List'!$B1:$AH730,23,FALSE)-AVERAGE('The List'!X2:X730))/STDEV('The List'!X2:X730)</f>
        <v>1.3302650873478943</v>
      </c>
      <c r="L154" s="38">
        <f>(VLOOKUP($A154,'The List'!$B1:$AH730,24,FALSE)-AVERAGE('The List'!Y2:Y730))/STDEV('The List'!Y2:Y730)</f>
        <v>0.5216424522957932</v>
      </c>
      <c r="M154" s="38">
        <f>(VLOOKUP($A154,'The List'!$B1:$AH730,25,FALSE)-AVERAGE('The List'!Z2:Z730))/STDEV('The List'!Z2:Z730)</f>
        <v>1.5371897873589453</v>
      </c>
      <c r="N154" s="38">
        <f>(VLOOKUP($A154,'The List'!$B1:$AH730,26,FALSE)-AVERAGE('The List'!AA2:AA730))/STDEV('The List'!AA2:AA730)</f>
        <v>2.9644011533571208</v>
      </c>
      <c r="O154" s="38">
        <f>(VLOOKUP($A154,'The List'!$B1:$AH730,27,FALSE)-AVERAGE('The List'!AB2:AB730))/STDEV('The List'!AB2:AB730)</f>
        <v>1.7735785928804735</v>
      </c>
      <c r="P154" s="38">
        <f>(VLOOKUP($A154,'The List'!$B1:$AH730,28,FALSE)-AVERAGE('The List'!AC2:AC730))/STDEV('The List'!AC2:AC730)</f>
        <v>-0.97522007198687721</v>
      </c>
      <c r="Q154" s="38">
        <f>(VLOOKUP($A154,'The List'!$B1:$AH730,29,FALSE)-AVERAGE('The List'!AD2:AD730))/STDEV('The List'!AD2:AD730)</f>
        <v>0.57394784065851179</v>
      </c>
      <c r="R154" s="38">
        <f>(VLOOKUP($A154,'The List'!$B1:$AH730,30,FALSE)-AVERAGE('The List'!AE2:AE730))/STDEV('The List'!AE2:AE730)</f>
        <v>-0.5664952460441014</v>
      </c>
      <c r="S154" s="38">
        <f>(VLOOKUP($A154,'The List'!$B1:$AH730,31,FALSE)-AVERAGE('The List'!AF2:AF730))/STDEV('The List'!AF2:AF730)</f>
        <v>-0.56911587195029545</v>
      </c>
      <c r="T154" s="38">
        <f>(VLOOKUP($A154,'The List'!$B1:$AH730,32,FALSE)-AVERAGE('The List'!AG2:AG730))/STDEV('The List'!AG2:AG730)</f>
        <v>-0.61510119871956948</v>
      </c>
      <c r="U154" s="38">
        <f>(VLOOKUP($A154,'The List'!$B1:$AH730,33,FALSE)-AVERAGE('The List'!AH2:AH730))/STDEV('The List'!AH2:AH730)</f>
        <v>-1.2363238714825984</v>
      </c>
      <c r="V154" s="38"/>
      <c r="W154" s="40"/>
      <c r="X154" s="38"/>
      <c r="Y154" s="38"/>
      <c r="Z154" s="38"/>
      <c r="AA154" s="38"/>
      <c r="AB154" s="38"/>
      <c r="AC154" s="38"/>
      <c r="AD154" s="38"/>
      <c r="AE154" s="38"/>
    </row>
    <row r="155" spans="1:31" ht="21.2" customHeight="1">
      <c r="A155" s="8" t="s">
        <v>214</v>
      </c>
      <c r="B155" s="34" t="str">
        <f>VLOOKUP(A155,'Player Data'!A1:B734,2,FALSE)</f>
        <v>COL</v>
      </c>
      <c r="C155" s="36">
        <f>((E155)*Settings!$C$12)+(F155*Settings!$C$2)+(G155*Settings!$C$3)+(H155*Settings!$C$4)+(I155*Settings!$C$5)+(K155*Settings!$C$9)+(N155*Settings!$C$6)+(J155*Settings!$C$8)+(O155*Settings!$C$7)+(P155*Settings!$C$14)+(Q155*Settings!$C$15)+(R155*Settings!$C$16)+(S155*Settings!$C$17)+(T155*Settings!$C$18)+(U155*Settings!$C$19)+(L155*Settings!$C$10)+(Settings!$C$11*M155)</f>
        <v>1.9397036480731769</v>
      </c>
      <c r="D155" s="40">
        <f>IF(Settings!$E$12="YES",VLOOKUP(A155,'Player Data'!A1:E734,5,FALSE),82)</f>
        <v>82</v>
      </c>
      <c r="E155" s="38">
        <f>(VLOOKUP($A155,'The List'!$B1:$AH730,17,FALSE)-AVERAGE('The List'!R2:R730))/STDEV('The List'!R2:R730)</f>
        <v>2.195665882639223</v>
      </c>
      <c r="F155" s="38">
        <f>(VLOOKUP($A155,'The List'!$B1:$AH730,18,FALSE)-AVERAGE('The List'!S2:S730))/STDEV('The List'!S2:S730)</f>
        <v>-0.35265350507291621</v>
      </c>
      <c r="G155" s="38">
        <f>(VLOOKUP($A155,'The List'!$B1:$AH730,19,FALSE)-AVERAGE('The List'!T2:T730))/STDEV('The List'!T2:T730)</f>
        <v>1.253315806714685</v>
      </c>
      <c r="H155" s="38">
        <f>(VLOOKUP($A155,'The List'!$B1:$AH730,20,FALSE)-AVERAGE('The List'!U2:U730))/STDEV('The List'!U2:U730)</f>
        <v>0.6062727279768042</v>
      </c>
      <c r="I155" s="38">
        <f>(VLOOKUP($A155,'The List'!$B1:$AH730,21,FALSE)-AVERAGE('The List'!V2:V730))/STDEV('The List'!V2:V730)</f>
        <v>0.44714364774449644</v>
      </c>
      <c r="J155" s="38">
        <f>(VLOOKUP($A155,'The List'!$B1:$AH730,22,FALSE)-AVERAGE('The List'!W2:W730))/STDEV('The List'!W2:W730)</f>
        <v>-0.35138467418600478</v>
      </c>
      <c r="K155" s="38">
        <f>(VLOOKUP($A155,'The List'!$B1:$AH730,23,FALSE)-AVERAGE('The List'!X2:X730))/STDEV('The List'!X2:X730)</f>
        <v>-1.437502928989224E-2</v>
      </c>
      <c r="L155" s="38">
        <f>(VLOOKUP($A155,'The List'!$B1:$AH730,24,FALSE)-AVERAGE('The List'!Y2:Y730))/STDEV('The List'!Y2:Y730)</f>
        <v>-0.52694345844119062</v>
      </c>
      <c r="M155" s="38">
        <f>(VLOOKUP($A155,'The List'!$B1:$AH730,25,FALSE)-AVERAGE('The List'!Z2:Z730))/STDEV('The List'!Z2:Z730)</f>
        <v>-0.60605875642118778</v>
      </c>
      <c r="N155" s="38">
        <f>(VLOOKUP($A155,'The List'!$B1:$AH730,26,FALSE)-AVERAGE('The List'!AA2:AA730))/STDEV('The List'!AA2:AA730)</f>
        <v>1.6797037696402</v>
      </c>
      <c r="O155" s="38">
        <f>(VLOOKUP($A155,'The List'!$B1:$AH730,27,FALSE)-AVERAGE('The List'!AB2:AB730))/STDEV('The List'!AB2:AB730)</f>
        <v>-0.20001679846572906</v>
      </c>
      <c r="P155" s="38">
        <f>(VLOOKUP($A155,'The List'!$B1:$AH730,28,FALSE)-AVERAGE('The List'!AC2:AC730))/STDEV('The List'!AC2:AC730)</f>
        <v>2.0827587202719871</v>
      </c>
      <c r="Q155" s="38">
        <f>(VLOOKUP($A155,'The List'!$B1:$AH730,29,FALSE)-AVERAGE('The List'!AD2:AD730))/STDEV('The List'!AD2:AD730)</f>
        <v>-0.40173783412493386</v>
      </c>
      <c r="R155" s="38">
        <f>(VLOOKUP($A155,'The List'!$B1:$AH730,30,FALSE)-AVERAGE('The List'!AE2:AE730))/STDEV('The List'!AE2:AE730)</f>
        <v>-0.20342239965788106</v>
      </c>
      <c r="S155" s="38">
        <f>(VLOOKUP($A155,'The List'!$B1:$AH730,31,FALSE)-AVERAGE('The List'!AF2:AF730))/STDEV('The List'!AF2:AF730)</f>
        <v>-0.56911587195029545</v>
      </c>
      <c r="T155" s="38">
        <f>(VLOOKUP($A155,'The List'!$B1:$AH730,32,FALSE)-AVERAGE('The List'!AG2:AG730))/STDEV('The List'!AG2:AG730)</f>
        <v>-0.61510119871956948</v>
      </c>
      <c r="U155" s="38">
        <f>(VLOOKUP($A155,'The List'!$B1:$AH730,33,FALSE)-AVERAGE('The List'!AH2:AH730))/STDEV('The List'!AH2:AH730)</f>
        <v>-1.2363238714825984</v>
      </c>
      <c r="V155" s="38"/>
      <c r="W155" s="40"/>
      <c r="X155" s="38"/>
      <c r="Y155" s="38"/>
      <c r="Z155" s="38"/>
      <c r="AA155" s="38"/>
      <c r="AB155" s="38"/>
      <c r="AC155" s="38"/>
      <c r="AD155" s="38"/>
      <c r="AE155" s="38"/>
    </row>
    <row r="156" spans="1:31" ht="21.2" customHeight="1">
      <c r="A156" s="8" t="s">
        <v>327</v>
      </c>
      <c r="B156" s="34" t="str">
        <f>VLOOKUP(A156,'Player Data'!A1:B734,2,FALSE)</f>
        <v>MTL</v>
      </c>
      <c r="C156" s="36">
        <f>((E156)*Settings!$C$12)+(F156*Settings!$C$2)+(G156*Settings!$C$3)+(H156*Settings!$C$4)+(I156*Settings!$C$5)+(K156*Settings!$C$9)+(N156*Settings!$C$6)+(J156*Settings!$C$8)+(O156*Settings!$C$7)+(P156*Settings!$C$14)+(Q156*Settings!$C$15)+(R156*Settings!$C$16)+(S156*Settings!$C$17)+(T156*Settings!$C$18)+(U156*Settings!$C$19)+(L156*Settings!$C$10)+(Settings!$C$11*M156)</f>
        <v>3.41087557349221</v>
      </c>
      <c r="D156" s="40">
        <f>IF(Settings!$E$12="YES",VLOOKUP(A156,'Player Data'!A1:E734,5,FALSE),82)</f>
        <v>82</v>
      </c>
      <c r="E156" s="38">
        <f>(VLOOKUP($A156,'The List'!$B1:$AH730,17,FALSE)-AVERAGE('The List'!R2:R730))/STDEV('The List'!R2:R730)</f>
        <v>0.47795370696905892</v>
      </c>
      <c r="F156" s="38">
        <f>(VLOOKUP($A156,'The List'!$B1:$AH730,18,FALSE)-AVERAGE('The List'!S2:S730))/STDEV('The List'!S2:S730)</f>
        <v>0.63661517713677551</v>
      </c>
      <c r="G156" s="38">
        <f>(VLOOKUP($A156,'The List'!$B1:$AH730,19,FALSE)-AVERAGE('The List'!T2:T730))/STDEV('The List'!T2:T730)</f>
        <v>0.68387281576112713</v>
      </c>
      <c r="H156" s="38">
        <f>(VLOOKUP($A156,'The List'!$B1:$AH730,20,FALSE)-AVERAGE('The List'!U2:U730))/STDEV('The List'!U2:U730)</f>
        <v>0.71621203514217013</v>
      </c>
      <c r="I156" s="38">
        <f>(VLOOKUP($A156,'The List'!$B1:$AH730,21,FALSE)-AVERAGE('The List'!V2:V730))/STDEV('The List'!V2:V730)</f>
        <v>0.26338410091239906</v>
      </c>
      <c r="J156" s="38">
        <f>(VLOOKUP($A156,'The List'!$B1:$AH730,22,FALSE)-AVERAGE('The List'!W2:W730))/STDEV('The List'!W2:W730)</f>
        <v>1.1529875894361061</v>
      </c>
      <c r="K156" s="38">
        <f>(VLOOKUP($A156,'The List'!$B1:$AH730,23,FALSE)-AVERAGE('The List'!X2:X730))/STDEV('The List'!X2:X730)</f>
        <v>1.1107914445397382</v>
      </c>
      <c r="L156" s="38">
        <f>(VLOOKUP($A156,'The List'!$B1:$AH730,24,FALSE)-AVERAGE('The List'!Y2:Y730))/STDEV('The List'!Y2:Y730)</f>
        <v>-0.40354518171325487</v>
      </c>
      <c r="M156" s="38">
        <f>(VLOOKUP($A156,'The List'!$B1:$AH730,25,FALSE)-AVERAGE('The List'!Z2:Z730))/STDEV('The List'!Z2:Z730)</f>
        <v>0.10178298487233808</v>
      </c>
      <c r="N156" s="38">
        <f>(VLOOKUP($A156,'The List'!$B1:$AH730,26,FALSE)-AVERAGE('The List'!AA2:AA730))/STDEV('The List'!AA2:AA730)</f>
        <v>-0.35846843719818278</v>
      </c>
      <c r="O156" s="38">
        <f>(VLOOKUP($A156,'The List'!$B1:$AH730,27,FALSE)-AVERAGE('The List'!AB2:AB730))/STDEV('The List'!AB2:AB730)</f>
        <v>-0.62147655716545269</v>
      </c>
      <c r="P156" s="38">
        <f>(VLOOKUP($A156,'The List'!$B1:$AH730,28,FALSE)-AVERAGE('The List'!AC2:AC730))/STDEV('The List'!AC2:AC730)</f>
        <v>-1.6106531964591053</v>
      </c>
      <c r="Q156" s="38">
        <f>(VLOOKUP($A156,'The List'!$B1:$AH730,29,FALSE)-AVERAGE('The List'!AD2:AD730))/STDEV('The List'!AD2:AD730)</f>
        <v>1.1228827498344853</v>
      </c>
      <c r="R156" s="38">
        <f>(VLOOKUP($A156,'The List'!$B1:$AH730,30,FALSE)-AVERAGE('The List'!AE2:AE730))/STDEV('The List'!AE2:AE730)</f>
        <v>8.7043155601477101E-2</v>
      </c>
      <c r="S156" s="38">
        <f>(VLOOKUP($A156,'The List'!$B1:$AH730,31,FALSE)-AVERAGE('The List'!AF2:AF730))/STDEV('The List'!AF2:AF730)</f>
        <v>0.11432847109453219</v>
      </c>
      <c r="T156" s="38">
        <f>(VLOOKUP($A156,'The List'!$B1:$AH730,32,FALSE)-AVERAGE('The List'!AG2:AG730))/STDEV('The List'!AG2:AG730)</f>
        <v>0.66053880642574359</v>
      </c>
      <c r="U156" s="38">
        <f>(VLOOKUP($A156,'The List'!$B1:$AH730,33,FALSE)-AVERAGE('The List'!AH2:AH730))/STDEV('The List'!AH2:AH730)</f>
        <v>0.39028422033330828</v>
      </c>
      <c r="V156" s="38"/>
      <c r="W156" s="40"/>
      <c r="X156" s="38"/>
      <c r="Y156" s="38"/>
      <c r="Z156" s="38"/>
      <c r="AA156" s="38"/>
      <c r="AB156" s="38"/>
      <c r="AC156" s="38"/>
      <c r="AD156" s="38"/>
      <c r="AE156" s="38"/>
    </row>
    <row r="157" spans="1:31" ht="21.2" customHeight="1">
      <c r="A157" s="8" t="s">
        <v>193</v>
      </c>
      <c r="B157" s="34" t="str">
        <f>VLOOKUP(A157,'Player Data'!A1:B734,2,FALSE)</f>
        <v>PIT</v>
      </c>
      <c r="C157" s="36">
        <f>((E157)*Settings!$C$12)+(F157*Settings!$C$2)+(G157*Settings!$C$3)+(H157*Settings!$C$4)+(I157*Settings!$C$5)+(K157*Settings!$C$9)+(N157*Settings!$C$6)+(J157*Settings!$C$8)+(O157*Settings!$C$7)+(P157*Settings!$C$14)+(Q157*Settings!$C$15)+(R157*Settings!$C$16)+(S157*Settings!$C$17)+(T157*Settings!$C$18)+(U157*Settings!$C$19)+(L157*Settings!$C$10)+(Settings!$C$11*M157)</f>
        <v>3.0143248864281311</v>
      </c>
      <c r="D157" s="40">
        <f>IF(Settings!$E$12="YES",VLOOKUP(A157,'Player Data'!A1:E734,5,FALSE),82)</f>
        <v>82</v>
      </c>
      <c r="E157" s="38">
        <f>(VLOOKUP($A157,'The List'!$B1:$AH730,17,FALSE)-AVERAGE('The List'!R2:R730))/STDEV('The List'!R2:R730)</f>
        <v>1.9522596496442008</v>
      </c>
      <c r="F157" s="38">
        <f>(VLOOKUP($A157,'The List'!$B1:$AH730,18,FALSE)-AVERAGE('The List'!S2:S730))/STDEV('The List'!S2:S730)</f>
        <v>-0.44940119061734429</v>
      </c>
      <c r="G157" s="38">
        <f>(VLOOKUP($A157,'The List'!$B1:$AH730,19,FALSE)-AVERAGE('The List'!T2:T730))/STDEV('The List'!T2:T730)</f>
        <v>1.1183499220713091</v>
      </c>
      <c r="H157" s="38">
        <f>(VLOOKUP($A157,'The List'!$B1:$AH730,20,FALSE)-AVERAGE('The List'!U2:U730))/STDEV('The List'!U2:U730)</f>
        <v>0.4783554835453741</v>
      </c>
      <c r="I157" s="38">
        <f>(VLOOKUP($A157,'The List'!$B1:$AH730,21,FALSE)-AVERAGE('The List'!V2:V730))/STDEV('The List'!V2:V730)</f>
        <v>0.86115794812470847</v>
      </c>
      <c r="J157" s="38">
        <f>(VLOOKUP($A157,'The List'!$B1:$AH730,22,FALSE)-AVERAGE('The List'!W2:W730))/STDEV('The List'!W2:W730)</f>
        <v>9.5907512990696178E-2</v>
      </c>
      <c r="K157" s="38">
        <f>(VLOOKUP($A157,'The List'!$B1:$AH730,23,FALSE)-AVERAGE('The List'!X2:X730))/STDEV('The List'!X2:X730)</f>
        <v>1.005862723304084</v>
      </c>
      <c r="L157" s="38">
        <f>(VLOOKUP($A157,'The List'!$B1:$AH730,24,FALSE)-AVERAGE('The List'!Y2:Y730))/STDEV('The List'!Y2:Y730)</f>
        <v>5.6231229130405E-2</v>
      </c>
      <c r="M157" s="38">
        <f>(VLOOKUP($A157,'The List'!$B1:$AH730,25,FALSE)-AVERAGE('The List'!Z2:Z730))/STDEV('The List'!Z2:Z730)</f>
        <v>-0.29336240969041338</v>
      </c>
      <c r="N157" s="38">
        <f>(VLOOKUP($A157,'The List'!$B1:$AH730,26,FALSE)-AVERAGE('The List'!AA2:AA730))/STDEV('The List'!AA2:AA730)</f>
        <v>1.5529588938552643</v>
      </c>
      <c r="O157" s="38">
        <f>(VLOOKUP($A157,'The List'!$B1:$AH730,27,FALSE)-AVERAGE('The List'!AB2:AB730))/STDEV('The List'!AB2:AB730)</f>
        <v>1.4326953597509755</v>
      </c>
      <c r="P157" s="38">
        <f>(VLOOKUP($A157,'The List'!$B1:$AH730,28,FALSE)-AVERAGE('The List'!AC2:AC730))/STDEV('The List'!AC2:AC730)</f>
        <v>0.43563370425186637</v>
      </c>
      <c r="Q157" s="38">
        <f>(VLOOKUP($A157,'The List'!$B1:$AH730,29,FALSE)-AVERAGE('The List'!AD2:AD730))/STDEV('The List'!AD2:AD730)</f>
        <v>0.6005674340875703</v>
      </c>
      <c r="R157" s="38">
        <f>(VLOOKUP($A157,'The List'!$B1:$AH730,30,FALSE)-AVERAGE('The List'!AE2:AE730))/STDEV('The List'!AE2:AE730)</f>
        <v>-0.28928567446628212</v>
      </c>
      <c r="S157" s="38">
        <f>(VLOOKUP($A157,'The List'!$B1:$AH730,31,FALSE)-AVERAGE('The List'!AF2:AF730))/STDEV('The List'!AF2:AF730)</f>
        <v>-0.56911587195029545</v>
      </c>
      <c r="T157" s="38">
        <f>(VLOOKUP($A157,'The List'!$B1:$AH730,32,FALSE)-AVERAGE('The List'!AG2:AG730))/STDEV('The List'!AG2:AG730)</f>
        <v>-0.61423596810399572</v>
      </c>
      <c r="U157" s="38">
        <f>(VLOOKUP($A157,'The List'!$B1:$AH730,33,FALSE)-AVERAGE('The List'!AH2:AH730))/STDEV('The List'!AH2:AH730)</f>
        <v>-1.2363238714825984</v>
      </c>
      <c r="V157" s="38"/>
      <c r="W157" s="42"/>
      <c r="X157" s="40"/>
      <c r="Y157" s="40"/>
      <c r="Z157" s="40"/>
      <c r="AA157" s="40"/>
      <c r="AB157" s="40"/>
      <c r="AC157" s="43"/>
      <c r="AD157" s="44"/>
      <c r="AE157" s="38"/>
    </row>
    <row r="158" spans="1:31" ht="21.2" customHeight="1">
      <c r="A158" s="8" t="s">
        <v>290</v>
      </c>
      <c r="B158" s="34" t="str">
        <f>VLOOKUP(A158,'Player Data'!A1:B734,2,FALSE)</f>
        <v>SEA</v>
      </c>
      <c r="C158" s="36">
        <f>((E158)*Settings!$C$12)+(F158*Settings!$C$2)+(G158*Settings!$C$3)+(H158*Settings!$C$4)+(I158*Settings!$C$5)+(K158*Settings!$C$9)+(N158*Settings!$C$6)+(J158*Settings!$C$8)+(O158*Settings!$C$7)+(P158*Settings!$C$14)+(Q158*Settings!$C$15)+(R158*Settings!$C$16)+(S158*Settings!$C$17)+(T158*Settings!$C$18)+(U158*Settings!$C$19)+(L158*Settings!$C$10)+(Settings!$C$11*M158)</f>
        <v>2.6791340713561493</v>
      </c>
      <c r="D158" s="40">
        <f>IF(Settings!$E$12="YES",VLOOKUP(A158,'Player Data'!A1:E734,5,FALSE),82)</f>
        <v>82</v>
      </c>
      <c r="E158" s="38">
        <f>(VLOOKUP($A158,'The List'!$B1:$AH730,17,FALSE)-AVERAGE('The List'!R2:R730))/STDEV('The List'!R2:R730)</f>
        <v>9.3521328414058622E-2</v>
      </c>
      <c r="F158" s="38">
        <f>(VLOOKUP($A158,'The List'!$B1:$AH730,18,FALSE)-AVERAGE('The List'!S2:S730))/STDEV('The List'!S2:S730)</f>
        <v>0.46613073447573905</v>
      </c>
      <c r="G158" s="38">
        <f>(VLOOKUP($A158,'The List'!$B1:$AH730,19,FALSE)-AVERAGE('The List'!T2:T730))/STDEV('The List'!T2:T730)</f>
        <v>0.60867686075108252</v>
      </c>
      <c r="H158" s="38">
        <f>(VLOOKUP($A158,'The List'!$B1:$AH730,20,FALSE)-AVERAGE('The List'!U2:U730))/STDEV('The List'!U2:U730)</f>
        <v>0.59074752682769938</v>
      </c>
      <c r="I158" s="38">
        <f>(VLOOKUP($A158,'The List'!$B1:$AH730,21,FALSE)-AVERAGE('The List'!V2:V730))/STDEV('The List'!V2:V730)</f>
        <v>0.55930769407412761</v>
      </c>
      <c r="J158" s="38">
        <f>(VLOOKUP($A158,'The List'!$B1:$AH730,22,FALSE)-AVERAGE('The List'!W2:W730))/STDEV('The List'!W2:W730)</f>
        <v>0.19722049474101222</v>
      </c>
      <c r="K158" s="38">
        <f>(VLOOKUP($A158,'The List'!$B1:$AH730,23,FALSE)-AVERAGE('The List'!X2:X730))/STDEV('The List'!X2:X730)</f>
        <v>0.45427125522750078</v>
      </c>
      <c r="L158" s="38">
        <f>(VLOOKUP($A158,'The List'!$B1:$AH730,24,FALSE)-AVERAGE('The List'!Y2:Y730))/STDEV('The List'!Y2:Y730)</f>
        <v>-0.51277766880488351</v>
      </c>
      <c r="M158" s="38">
        <f>(VLOOKUP($A158,'The List'!$B1:$AH730,25,FALSE)-AVERAGE('The List'!Z2:Z730))/STDEV('The List'!Z2:Z730)</f>
        <v>-0.69092086972984912</v>
      </c>
      <c r="N158" s="38">
        <f>(VLOOKUP($A158,'The List'!$B1:$AH730,26,FALSE)-AVERAGE('The List'!AA2:AA730))/STDEV('The List'!AA2:AA730)</f>
        <v>-0.85583490961177222</v>
      </c>
      <c r="O158" s="38">
        <f>(VLOOKUP($A158,'The List'!$B1:$AH730,27,FALSE)-AVERAGE('The List'!AB2:AB730))/STDEV('The List'!AB2:AB730)</f>
        <v>-1.0466725821884537</v>
      </c>
      <c r="P158" s="38">
        <f>(VLOOKUP($A158,'The List'!$B1:$AH730,28,FALSE)-AVERAGE('The List'!AC2:AC730))/STDEV('The List'!AC2:AC730)</f>
        <v>0.16811063124732387</v>
      </c>
      <c r="Q158" s="38">
        <f>(VLOOKUP($A158,'The List'!$B1:$AH730,29,FALSE)-AVERAGE('The List'!AD2:AD730))/STDEV('The List'!AD2:AD730)</f>
        <v>-0.47672397742829076</v>
      </c>
      <c r="R158" s="38">
        <f>(VLOOKUP($A158,'The List'!$B1:$AH730,30,FALSE)-AVERAGE('The List'!AE2:AE730))/STDEV('The List'!AE2:AE730)</f>
        <v>0.42909910228180426</v>
      </c>
      <c r="S158" s="38">
        <f>(VLOOKUP($A158,'The List'!$B1:$AH730,31,FALSE)-AVERAGE('The List'!AF2:AF730))/STDEV('The List'!AF2:AF730)</f>
        <v>-0.45774538977143769</v>
      </c>
      <c r="T158" s="38">
        <f>(VLOOKUP($A158,'The List'!$B1:$AH730,32,FALSE)-AVERAGE('The List'!AG2:AG730))/STDEV('The List'!AG2:AG730)</f>
        <v>-0.42844899272389952</v>
      </c>
      <c r="U158" s="38">
        <f>(VLOOKUP($A158,'The List'!$B1:$AH730,33,FALSE)-AVERAGE('The List'!AH2:AH730))/STDEV('The List'!AH2:AH730)</f>
        <v>0.50394893669215046</v>
      </c>
      <c r="V158" s="38"/>
      <c r="W158" s="42"/>
      <c r="X158" s="40"/>
      <c r="Y158" s="40"/>
      <c r="Z158" s="40"/>
      <c r="AA158" s="40"/>
      <c r="AB158" s="40"/>
      <c r="AC158" s="43"/>
      <c r="AD158" s="44"/>
      <c r="AE158" s="38"/>
    </row>
    <row r="159" spans="1:31" ht="21.2" customHeight="1">
      <c r="A159" s="8" t="s">
        <v>341</v>
      </c>
      <c r="B159" s="34" t="str">
        <f>VLOOKUP(A159,'Player Data'!A1:B734,2,FALSE)</f>
        <v>VGK</v>
      </c>
      <c r="C159" s="36">
        <f>((E159)*Settings!$C$12)+(F159*Settings!$C$2)+(G159*Settings!$C$3)+(H159*Settings!$C$4)+(I159*Settings!$C$5)+(K159*Settings!$C$9)+(N159*Settings!$C$6)+(J159*Settings!$C$8)+(O159*Settings!$C$7)+(P159*Settings!$C$14)+(Q159*Settings!$C$15)+(R159*Settings!$C$16)+(S159*Settings!$C$17)+(T159*Settings!$C$18)+(U159*Settings!$C$19)+(L159*Settings!$C$10)+(Settings!$C$11*M159)</f>
        <v>1.7549357413741777</v>
      </c>
      <c r="D159" s="40">
        <f>IF(Settings!$E$12="YES",VLOOKUP(A159,'Player Data'!A1:E734,5,FALSE),82)</f>
        <v>82</v>
      </c>
      <c r="E159" s="38">
        <f>(VLOOKUP($A159,'The List'!$B1:$AH730,17,FALSE)-AVERAGE('The List'!R2:R730))/STDEV('The List'!R2:R730)</f>
        <v>0.2114245225383905</v>
      </c>
      <c r="F159" s="38">
        <f>(VLOOKUP($A159,'The List'!$B1:$AH730,18,FALSE)-AVERAGE('The List'!S2:S730))/STDEV('The List'!S2:S730)</f>
        <v>0.67659086990338202</v>
      </c>
      <c r="G159" s="38">
        <f>(VLOOKUP($A159,'The List'!$B1:$AH730,19,FALSE)-AVERAGE('The List'!T2:T730))/STDEV('The List'!T2:T730)</f>
        <v>0.62169873159313738</v>
      </c>
      <c r="H159" s="38">
        <f>(VLOOKUP($A159,'The List'!$B1:$AH730,20,FALSE)-AVERAGE('The List'!U2:U730))/STDEV('The List'!U2:U730)</f>
        <v>0.69658723994025673</v>
      </c>
      <c r="I159" s="38">
        <f>(VLOOKUP($A159,'The List'!$B1:$AH730,21,FALSE)-AVERAGE('The List'!V2:V730))/STDEV('The List'!V2:V730)</f>
        <v>-0.21836097738157628</v>
      </c>
      <c r="J159" s="38">
        <f>(VLOOKUP($A159,'The List'!$B1:$AH730,22,FALSE)-AVERAGE('The List'!W2:W730))/STDEV('The List'!W2:W730)</f>
        <v>0.17332314301560259</v>
      </c>
      <c r="K159" s="38">
        <f>(VLOOKUP($A159,'The List'!$B1:$AH730,23,FALSE)-AVERAGE('The List'!X2:X730))/STDEV('The List'!X2:X730)</f>
        <v>-2.1580122681021999E-2</v>
      </c>
      <c r="L159" s="38">
        <f>(VLOOKUP($A159,'The List'!$B1:$AH730,24,FALSE)-AVERAGE('The List'!Y2:Y730))/STDEV('The List'!Y2:Y730)</f>
        <v>3.9951896682904456E-2</v>
      </c>
      <c r="M159" s="38">
        <f>(VLOOKUP($A159,'The List'!$B1:$AH730,25,FALSE)-AVERAGE('The List'!Z2:Z730))/STDEV('The List'!Z2:Z730)</f>
        <v>1.0983560304698976E-2</v>
      </c>
      <c r="N159" s="38">
        <f>(VLOOKUP($A159,'The List'!$B1:$AH730,26,FALSE)-AVERAGE('The List'!AA2:AA730))/STDEV('The List'!AA2:AA730)</f>
        <v>-0.60092764112376318</v>
      </c>
      <c r="O159" s="38">
        <f>(VLOOKUP($A159,'The List'!$B1:$AH730,27,FALSE)-AVERAGE('The List'!AB2:AB730))/STDEV('The List'!AB2:AB730)</f>
        <v>1.2588698019538398</v>
      </c>
      <c r="P159" s="38">
        <f>(VLOOKUP($A159,'The List'!$B1:$AH730,28,FALSE)-AVERAGE('The List'!AC2:AC730))/STDEV('The List'!AC2:AC730)</f>
        <v>0.83779621452913455</v>
      </c>
      <c r="Q159" s="38">
        <f>(VLOOKUP($A159,'The List'!$B1:$AH730,29,FALSE)-AVERAGE('The List'!AD2:AD730))/STDEV('The List'!AD2:AD730)</f>
        <v>0.31928033594404825</v>
      </c>
      <c r="R159" s="38">
        <f>(VLOOKUP($A159,'The List'!$B1:$AH730,30,FALSE)-AVERAGE('The List'!AE2:AE730))/STDEV('The List'!AE2:AE730)</f>
        <v>0.92649860073247392</v>
      </c>
      <c r="S159" s="38">
        <f>(VLOOKUP($A159,'The List'!$B1:$AH730,31,FALSE)-AVERAGE('The List'!AF2:AF730))/STDEV('The List'!AF2:AF730)</f>
        <v>-0.19141467266305168</v>
      </c>
      <c r="T159" s="38">
        <f>(VLOOKUP($A159,'The List'!$B1:$AH730,32,FALSE)-AVERAGE('The List'!AG2:AG730))/STDEV('The List'!AG2:AG730)</f>
        <v>-1.4624335453065419E-2</v>
      </c>
      <c r="U159" s="38">
        <f>(VLOOKUP($A159,'The List'!$B1:$AH730,33,FALSE)-AVERAGE('The List'!AH2:AH730))/STDEV('The List'!AH2:AH730)</f>
        <v>0.56072078939216452</v>
      </c>
      <c r="V159" s="38"/>
      <c r="W159" s="40"/>
      <c r="X159" s="38"/>
      <c r="Y159" s="38"/>
      <c r="Z159" s="38"/>
      <c r="AA159" s="38"/>
      <c r="AB159" s="38"/>
      <c r="AC159" s="38"/>
      <c r="AD159" s="38"/>
      <c r="AE159" s="38"/>
    </row>
    <row r="160" spans="1:31" ht="21.2" customHeight="1">
      <c r="A160" s="8" t="s">
        <v>299</v>
      </c>
      <c r="B160" s="34" t="str">
        <f>VLOOKUP(A160,'Player Data'!A1:B734,2,FALSE)</f>
        <v>WSH</v>
      </c>
      <c r="C160" s="36">
        <f>((E160)*Settings!$C$12)+(F160*Settings!$C$2)+(G160*Settings!$C$3)+(H160*Settings!$C$4)+(I160*Settings!$C$5)+(K160*Settings!$C$9)+(N160*Settings!$C$6)+(J160*Settings!$C$8)+(O160*Settings!$C$7)+(P160*Settings!$C$14)+(Q160*Settings!$C$15)+(R160*Settings!$C$16)+(S160*Settings!$C$17)+(T160*Settings!$C$18)+(U160*Settings!$C$19)+(L160*Settings!$C$10)+(Settings!$C$11*M160)</f>
        <v>2.7745477204679556</v>
      </c>
      <c r="D160" s="40">
        <f>IF(Settings!$E$12="YES",VLOOKUP(A160,'Player Data'!A1:E734,5,FALSE),82)</f>
        <v>82</v>
      </c>
      <c r="E160" s="38">
        <f>(VLOOKUP($A160,'The List'!$B1:$AH730,17,FALSE)-AVERAGE('The List'!R2:R730))/STDEV('The List'!R2:R730)</f>
        <v>-0.26973407447491432</v>
      </c>
      <c r="F160" s="38">
        <f>(VLOOKUP($A160,'The List'!$B1:$AH730,18,FALSE)-AVERAGE('The List'!S2:S730))/STDEV('The List'!S2:S730)</f>
        <v>0.6784745036188965</v>
      </c>
      <c r="G160" s="38">
        <f>(VLOOKUP($A160,'The List'!$B1:$AH730,19,FALSE)-AVERAGE('The List'!T2:T730))/STDEV('The List'!T2:T730)</f>
        <v>0.42354075956682979</v>
      </c>
      <c r="H160" s="38">
        <f>(VLOOKUP($A160,'The List'!$B1:$AH730,20,FALSE)-AVERAGE('The List'!U2:U730))/STDEV('The List'!U2:U730)</f>
        <v>0.57568702178045328</v>
      </c>
      <c r="I160" s="38">
        <f>(VLOOKUP($A160,'The List'!$B1:$AH730,21,FALSE)-AVERAGE('The List'!V2:V730))/STDEV('The List'!V2:V730)</f>
        <v>0.27659955369785388</v>
      </c>
      <c r="J160" s="38">
        <f>(VLOOKUP($A160,'The List'!$B1:$AH730,22,FALSE)-AVERAGE('The List'!W2:W730))/STDEV('The List'!W2:W730)</f>
        <v>0.43396652950013737</v>
      </c>
      <c r="K160" s="38">
        <f>(VLOOKUP($A160,'The List'!$B1:$AH730,23,FALSE)-AVERAGE('The List'!X2:X730))/STDEV('The List'!X2:X730)</f>
        <v>0.82024588180392233</v>
      </c>
      <c r="L160" s="38">
        <f>(VLOOKUP($A160,'The List'!$B1:$AH730,24,FALSE)-AVERAGE('The List'!Y2:Y730))/STDEV('The List'!Y2:Y730)</f>
        <v>-0.50842983825918775</v>
      </c>
      <c r="M160" s="38">
        <f>(VLOOKUP($A160,'The List'!$B1:$AH730,25,FALSE)-AVERAGE('The List'!Z2:Z730))/STDEV('The List'!Z2:Z730)</f>
        <v>-0.68494415454892787</v>
      </c>
      <c r="N160" s="38">
        <f>(VLOOKUP($A160,'The List'!$B1:$AH730,26,FALSE)-AVERAGE('The List'!AA2:AA730))/STDEV('The List'!AA2:AA730)</f>
        <v>-0.55865799508255376</v>
      </c>
      <c r="O160" s="38">
        <f>(VLOOKUP($A160,'The List'!$B1:$AH730,27,FALSE)-AVERAGE('The List'!AB2:AB730))/STDEV('The List'!AB2:AB730)</f>
        <v>-1.4882004903253936</v>
      </c>
      <c r="P160" s="38">
        <f>(VLOOKUP($A160,'The List'!$B1:$AH730,28,FALSE)-AVERAGE('The List'!AC2:AC730))/STDEV('The List'!AC2:AC730)</f>
        <v>-0.37467084444898063</v>
      </c>
      <c r="Q160" s="38">
        <f>(VLOOKUP($A160,'The List'!$B1:$AH730,29,FALSE)-AVERAGE('The List'!AD2:AD730))/STDEV('The List'!AD2:AD730)</f>
        <v>-0.50495743263612691</v>
      </c>
      <c r="R160" s="38">
        <f>(VLOOKUP($A160,'The List'!$B1:$AH730,30,FALSE)-AVERAGE('The List'!AE2:AE730))/STDEV('The List'!AE2:AE730)</f>
        <v>0.38928664392315487</v>
      </c>
      <c r="S160" s="38">
        <f>(VLOOKUP($A160,'The List'!$B1:$AH730,31,FALSE)-AVERAGE('The List'!AF2:AF730))/STDEV('The List'!AF2:AF730)</f>
        <v>1.7515709783180755</v>
      </c>
      <c r="T160" s="38">
        <f>(VLOOKUP($A160,'The List'!$B1:$AH730,32,FALSE)-AVERAGE('The List'!AG2:AG730))/STDEV('The List'!AG2:AG730)</f>
        <v>1.8367655499793865</v>
      </c>
      <c r="U160" s="38">
        <f>(VLOOKUP($A160,'The List'!$B1:$AH730,33,FALSE)-AVERAGE('The List'!AH2:AH730))/STDEV('The List'!AH2:AH730)</f>
        <v>1.0155292963363347</v>
      </c>
      <c r="V160" s="38"/>
      <c r="W160" s="42"/>
      <c r="X160" s="40"/>
      <c r="Y160" s="40"/>
      <c r="Z160" s="40"/>
      <c r="AA160" s="40"/>
      <c r="AB160" s="40"/>
      <c r="AC160" s="43"/>
      <c r="AD160" s="44"/>
      <c r="AE160" s="38"/>
    </row>
    <row r="161" spans="1:31" ht="21.2" customHeight="1">
      <c r="A161" s="8" t="s">
        <v>411</v>
      </c>
      <c r="B161" s="34" t="str">
        <f>VLOOKUP(A161,'Player Data'!A1:B734,2,FALSE)</f>
        <v>WPG</v>
      </c>
      <c r="C161" s="36">
        <f>((E161)*Settings!$C$12)+(F161*Settings!$C$2)+(G161*Settings!$C$3)+(H161*Settings!$C$4)+(I161*Settings!$C$5)+(K161*Settings!$C$9)+(N161*Settings!$C$6)+(J161*Settings!$C$8)+(O161*Settings!$C$7)+(P161*Settings!$C$14)+(Q161*Settings!$C$15)+(R161*Settings!$C$16)+(S161*Settings!$C$17)+(T161*Settings!$C$18)+(U161*Settings!$C$19)+(L161*Settings!$C$10)+(Settings!$C$11*M161)</f>
        <v>1.7146893879121561</v>
      </c>
      <c r="D161" s="40">
        <f>IF(Settings!$E$12="YES",VLOOKUP(A161,'Player Data'!A1:E734,5,FALSE),82)</f>
        <v>82</v>
      </c>
      <c r="E161" s="38">
        <f>(VLOOKUP($A161,'The List'!$B1:$AH730,17,FALSE)-AVERAGE('The List'!R2:R730))/STDEV('The List'!R2:R730)</f>
        <v>-0.21939231221009653</v>
      </c>
      <c r="F161" s="38">
        <f>(VLOOKUP($A161,'The List'!$B1:$AH730,18,FALSE)-AVERAGE('The List'!S2:S730))/STDEV('The List'!S2:S730)</f>
        <v>0.21816101850419078</v>
      </c>
      <c r="G161" s="38">
        <f>(VLOOKUP($A161,'The List'!$B1:$AH730,19,FALSE)-AVERAGE('The List'!T2:T730))/STDEV('The List'!T2:T730)</f>
        <v>0.75777361716681646</v>
      </c>
      <c r="H161" s="38">
        <f>(VLOOKUP($A161,'The List'!$B1:$AH730,20,FALSE)-AVERAGE('The List'!U2:U730))/STDEV('The List'!U2:U730)</f>
        <v>0.56709889151712156</v>
      </c>
      <c r="I161" s="38">
        <f>(VLOOKUP($A161,'The List'!$B1:$AH730,21,FALSE)-AVERAGE('The List'!V2:V730))/STDEV('The List'!V2:V730)</f>
        <v>0.12665025981566802</v>
      </c>
      <c r="J161" s="38">
        <f>(VLOOKUP($A161,'The List'!$B1:$AH730,22,FALSE)-AVERAGE('The List'!W2:W730))/STDEV('The List'!W2:W730)</f>
        <v>-2.3525769076901869E-2</v>
      </c>
      <c r="K161" s="38">
        <f>(VLOOKUP($A161,'The List'!$B1:$AH730,23,FALSE)-AVERAGE('The List'!X2:X730))/STDEV('The List'!X2:X730)</f>
        <v>4.5005600908359235E-2</v>
      </c>
      <c r="L161" s="38">
        <f>(VLOOKUP($A161,'The List'!$B1:$AH730,24,FALSE)-AVERAGE('The List'!Y2:Y730))/STDEV('The List'!Y2:Y730)</f>
        <v>-0.52295554269303013</v>
      </c>
      <c r="M161" s="38">
        <f>(VLOOKUP($A161,'The List'!$B1:$AH730,25,FALSE)-AVERAGE('The List'!Z2:Z730))/STDEV('The List'!Z2:Z730)</f>
        <v>-0.70104934239966754</v>
      </c>
      <c r="N161" s="38">
        <f>(VLOOKUP($A161,'The List'!$B1:$AH730,26,FALSE)-AVERAGE('The List'!AA2:AA730))/STDEV('The List'!AA2:AA730)</f>
        <v>-0.76526510705177708</v>
      </c>
      <c r="O161" s="38">
        <f>(VLOOKUP($A161,'The List'!$B1:$AH730,27,FALSE)-AVERAGE('The List'!AB2:AB730))/STDEV('The List'!AB2:AB730)</f>
        <v>-0.72591414320125836</v>
      </c>
      <c r="P161" s="38">
        <f>(VLOOKUP($A161,'The List'!$B1:$AH730,28,FALSE)-AVERAGE('The List'!AC2:AC730))/STDEV('The List'!AC2:AC730)</f>
        <v>0.60228634908079837</v>
      </c>
      <c r="Q161" s="38">
        <f>(VLOOKUP($A161,'The List'!$B1:$AH730,29,FALSE)-AVERAGE('The List'!AD2:AD730))/STDEV('The List'!AD2:AD730)</f>
        <v>-0.58419016199883611</v>
      </c>
      <c r="R161" s="38">
        <f>(VLOOKUP($A161,'The List'!$B1:$AH730,30,FALSE)-AVERAGE('The List'!AE2:AE730))/STDEV('The List'!AE2:AE730)</f>
        <v>0.36182702539173589</v>
      </c>
      <c r="S161" s="38">
        <f>(VLOOKUP($A161,'The List'!$B1:$AH730,31,FALSE)-AVERAGE('The List'!AF2:AF730))/STDEV('The List'!AF2:AF730)</f>
        <v>-0.55077824825092903</v>
      </c>
      <c r="T161" s="38">
        <f>(VLOOKUP($A161,'The List'!$B1:$AH730,32,FALSE)-AVERAGE('The List'!AG2:AG730))/STDEV('The List'!AG2:AG730)</f>
        <v>-0.54417909914670015</v>
      </c>
      <c r="U161" s="38">
        <f>(VLOOKUP($A161,'The List'!$B1:$AH730,33,FALSE)-AVERAGE('The List'!AH2:AH730))/STDEV('The List'!AH2:AH730)</f>
        <v>-0.27153945587607525</v>
      </c>
      <c r="V161" s="38"/>
      <c r="W161" s="42"/>
      <c r="X161" s="40"/>
      <c r="Y161" s="40"/>
      <c r="Z161" s="40"/>
      <c r="AA161" s="40"/>
      <c r="AB161" s="40"/>
      <c r="AC161" s="43"/>
      <c r="AD161" s="44"/>
      <c r="AE161" s="38"/>
    </row>
    <row r="162" spans="1:31" ht="21.2" customHeight="1">
      <c r="A162" s="8" t="s">
        <v>297</v>
      </c>
      <c r="B162" s="34" t="str">
        <f>VLOOKUP(A162,'Player Data'!A1:B734,2,FALSE)</f>
        <v>PIT</v>
      </c>
      <c r="C162" s="36">
        <f>((E162)*Settings!$C$12)+(F162*Settings!$C$2)+(G162*Settings!$C$3)+(H162*Settings!$C$4)+(I162*Settings!$C$5)+(K162*Settings!$C$9)+(N162*Settings!$C$6)+(J162*Settings!$C$8)+(O162*Settings!$C$7)+(P162*Settings!$C$14)+(Q162*Settings!$C$15)+(R162*Settings!$C$16)+(S162*Settings!$C$17)+(T162*Settings!$C$18)+(U162*Settings!$C$19)+(L162*Settings!$C$10)+(Settings!$C$11*M162)</f>
        <v>2.348026173315596</v>
      </c>
      <c r="D162" s="40">
        <f>IF(Settings!$E$12="YES",VLOOKUP(A162,'Player Data'!A1:E734,5,FALSE),82)</f>
        <v>82</v>
      </c>
      <c r="E162" s="38">
        <f>(VLOOKUP($A162,'The List'!$B1:$AH730,17,FALSE)-AVERAGE('The List'!R2:R730))/STDEV('The List'!R2:R730)</f>
        <v>0.24130234150832036</v>
      </c>
      <c r="F162" s="38">
        <f>(VLOOKUP($A162,'The List'!$B1:$AH730,18,FALSE)-AVERAGE('The List'!S2:S730))/STDEV('The List'!S2:S730)</f>
        <v>0.85486446102286817</v>
      </c>
      <c r="G162" s="38">
        <f>(VLOOKUP($A162,'The List'!$B1:$AH730,19,FALSE)-AVERAGE('The List'!T2:T730))/STDEV('The List'!T2:T730)</f>
        <v>0.26957431220802963</v>
      </c>
      <c r="H162" s="38">
        <f>(VLOOKUP($A162,'The List'!$B1:$AH730,20,FALSE)-AVERAGE('The List'!U2:U730))/STDEV('The List'!U2:U730)</f>
        <v>0.56306753426098555</v>
      </c>
      <c r="I162" s="38">
        <f>(VLOOKUP($A162,'The List'!$B1:$AH730,21,FALSE)-AVERAGE('The List'!V2:V730))/STDEV('The List'!V2:V730)</f>
        <v>0.73512431780638543</v>
      </c>
      <c r="J162" s="38">
        <f>(VLOOKUP($A162,'The List'!$B1:$AH730,22,FALSE)-AVERAGE('The List'!W2:W730))/STDEV('The List'!W2:W730)</f>
        <v>0.30227725201907191</v>
      </c>
      <c r="K162" s="38">
        <f>(VLOOKUP($A162,'The List'!$B1:$AH730,23,FALSE)-AVERAGE('The List'!X2:X730))/STDEV('The List'!X2:X730)</f>
        <v>-7.4604451982673015E-2</v>
      </c>
      <c r="L162" s="38">
        <f>(VLOOKUP($A162,'The List'!$B1:$AH730,24,FALSE)-AVERAGE('The List'!Y2:Y730))/STDEV('The List'!Y2:Y730)</f>
        <v>5.656209436438437</v>
      </c>
      <c r="M162" s="38">
        <f>(VLOOKUP($A162,'The List'!$B1:$AH730,25,FALSE)-AVERAGE('The List'!Z2:Z730))/STDEV('The List'!Z2:Z730)</f>
        <v>3.8691488253704631</v>
      </c>
      <c r="N162" s="38">
        <f>(VLOOKUP($A162,'The List'!$B1:$AH730,26,FALSE)-AVERAGE('The List'!AA2:AA730))/STDEV('The List'!AA2:AA730)</f>
        <v>-0.70113168734810105</v>
      </c>
      <c r="O162" s="38">
        <f>(VLOOKUP($A162,'The List'!$B1:$AH730,27,FALSE)-AVERAGE('The List'!AB2:AB730))/STDEV('The List'!AB2:AB730)</f>
        <v>-0.5069989569021196</v>
      </c>
      <c r="P162" s="38">
        <f>(VLOOKUP($A162,'The List'!$B1:$AH730,28,FALSE)-AVERAGE('The List'!AC2:AC730))/STDEV('The List'!AC2:AC730)</f>
        <v>0.42313013330093113</v>
      </c>
      <c r="Q162" s="38">
        <f>(VLOOKUP($A162,'The List'!$B1:$AH730,29,FALSE)-AVERAGE('The List'!AD2:AD730))/STDEV('The List'!AD2:AD730)</f>
        <v>-0.89786653129632255</v>
      </c>
      <c r="R162" s="38">
        <f>(VLOOKUP($A162,'The List'!$B1:$AH730,30,FALSE)-AVERAGE('The List'!AE2:AE730))/STDEV('The List'!AE2:AE730)</f>
        <v>1.0741071301525338</v>
      </c>
      <c r="S162" s="38">
        <f>(VLOOKUP($A162,'The List'!$B1:$AH730,31,FALSE)-AVERAGE('The List'!AF2:AF730))/STDEV('The List'!AF2:AF730)</f>
        <v>-0.5532407488559673</v>
      </c>
      <c r="T162" s="38">
        <f>(VLOOKUP($A162,'The List'!$B1:$AH730,32,FALSE)-AVERAGE('The List'!AG2:AG730))/STDEV('The List'!AG2:AG730)</f>
        <v>-0.59317369924893326</v>
      </c>
      <c r="U162" s="38">
        <f>(VLOOKUP($A162,'The List'!$B1:$AH730,33,FALSE)-AVERAGE('The List'!AH2:AH730))/STDEV('The List'!AH2:AH730)</f>
        <v>0.71484484409505578</v>
      </c>
      <c r="V162" s="38"/>
      <c r="W162" s="42"/>
      <c r="X162" s="40"/>
      <c r="Y162" s="40"/>
      <c r="Z162" s="40"/>
      <c r="AA162" s="40"/>
      <c r="AB162" s="40"/>
      <c r="AC162" s="43"/>
      <c r="AD162" s="44"/>
      <c r="AE162" s="38"/>
    </row>
    <row r="163" spans="1:31" ht="21.2" customHeight="1">
      <c r="A163" s="8" t="s">
        <v>544</v>
      </c>
      <c r="B163" s="34" t="str">
        <f>VLOOKUP(A163,'Player Data'!A1:B734,2,FALSE)</f>
        <v>SJS</v>
      </c>
      <c r="C163" s="36">
        <f>((E163)*Settings!$C$12)+(F163*Settings!$C$2)+(G163*Settings!$C$3)+(H163*Settings!$C$4)+(I163*Settings!$C$5)+(K163*Settings!$C$9)+(N163*Settings!$C$6)+(J163*Settings!$C$8)+(O163*Settings!$C$7)+(P163*Settings!$C$14)+(Q163*Settings!$C$15)+(R163*Settings!$C$16)+(S163*Settings!$C$17)+(T163*Settings!$C$18)+(U163*Settings!$C$19)+(L163*Settings!$C$10)+(Settings!$C$11*M163)</f>
        <v>2.8686888003324329</v>
      </c>
      <c r="D163" s="40">
        <f>IF(Settings!$E$12="YES",VLOOKUP(A163,'Player Data'!A1:E734,5,FALSE),82)</f>
        <v>82</v>
      </c>
      <c r="E163" s="38">
        <f>(VLOOKUP($A163,'The List'!$B1:$AH730,17,FALSE)-AVERAGE('The List'!R2:R730))/STDEV('The List'!R2:R730)</f>
        <v>0.25920858357211529</v>
      </c>
      <c r="F163" s="38">
        <f>(VLOOKUP($A163,'The List'!$B1:$AH730,18,FALSE)-AVERAGE('The List'!S2:S730))/STDEV('The List'!S2:S730)</f>
        <v>0.99742765236176811</v>
      </c>
      <c r="G163" s="38">
        <f>(VLOOKUP($A163,'The List'!$B1:$AH730,19,FALSE)-AVERAGE('The List'!T2:T730))/STDEV('The List'!T2:T730)</f>
        <v>0.15940016609562549</v>
      </c>
      <c r="H163" s="38">
        <f>(VLOOKUP($A163,'The List'!$B1:$AH730,20,FALSE)-AVERAGE('The List'!U2:U730))/STDEV('The List'!U2:U730)</f>
        <v>0.56163498402667666</v>
      </c>
      <c r="I163" s="38">
        <f>(VLOOKUP($A163,'The List'!$B1:$AH730,21,FALSE)-AVERAGE('The List'!V2:V730))/STDEV('The List'!V2:V730)</f>
        <v>0.46968986766670012</v>
      </c>
      <c r="J163" s="38">
        <f>(VLOOKUP($A163,'The List'!$B1:$AH730,22,FALSE)-AVERAGE('The List'!W2:W730))/STDEV('The List'!W2:W730)</f>
        <v>1.3145770292606649</v>
      </c>
      <c r="K163" s="38">
        <f>(VLOOKUP($A163,'The List'!$B1:$AH730,23,FALSE)-AVERAGE('The List'!X2:X730))/STDEV('The List'!X2:X730)</f>
        <v>0.68053613018166215</v>
      </c>
      <c r="L163" s="38">
        <f>(VLOOKUP($A163,'The List'!$B1:$AH730,24,FALSE)-AVERAGE('The List'!Y2:Y730))/STDEV('The List'!Y2:Y730)</f>
        <v>1.8255358283887854E-2</v>
      </c>
      <c r="M163" s="38">
        <f>(VLOOKUP($A163,'The List'!$B1:$AH730,25,FALSE)-AVERAGE('The List'!Z2:Z730))/STDEV('The List'!Z2:Z730)</f>
        <v>-4.0214697047629297E-2</v>
      </c>
      <c r="N163" s="38">
        <f>(VLOOKUP($A163,'The List'!$B1:$AH730,26,FALSE)-AVERAGE('The List'!AA2:AA730))/STDEV('The List'!AA2:AA730)</f>
        <v>-0.63117688105130221</v>
      </c>
      <c r="O163" s="38">
        <f>(VLOOKUP($A163,'The List'!$B1:$AH730,27,FALSE)-AVERAGE('The List'!AB2:AB730))/STDEV('The List'!AB2:AB730)</f>
        <v>-0.73637117695862686</v>
      </c>
      <c r="P163" s="38">
        <f>(VLOOKUP($A163,'The List'!$B1:$AH730,28,FALSE)-AVERAGE('The List'!AC2:AC730))/STDEV('The List'!AC2:AC730)</f>
        <v>-0.26329071697052614</v>
      </c>
      <c r="Q163" s="38">
        <f>(VLOOKUP($A163,'The List'!$B1:$AH730,29,FALSE)-AVERAGE('The List'!AD2:AD730))/STDEV('The List'!AD2:AD730)</f>
        <v>-0.31371844342587368</v>
      </c>
      <c r="R163" s="38">
        <f>(VLOOKUP($A163,'The List'!$B1:$AH730,30,FALSE)-AVERAGE('The List'!AE2:AE730))/STDEV('The List'!AE2:AE730)</f>
        <v>0.66250681851631776</v>
      </c>
      <c r="S163" s="38">
        <f>(VLOOKUP($A163,'The List'!$B1:$AH730,31,FALSE)-AVERAGE('The List'!AF2:AF730))/STDEV('The List'!AF2:AF730)</f>
        <v>-0.32322792984478177</v>
      </c>
      <c r="T163" s="38">
        <f>(VLOOKUP($A163,'The List'!$B1:$AH730,32,FALSE)-AVERAGE('The List'!AG2:AG730))/STDEV('The List'!AG2:AG730)</f>
        <v>-0.36655279483705505</v>
      </c>
      <c r="U163" s="38">
        <f>(VLOOKUP($A163,'The List'!$B1:$AH730,33,FALSE)-AVERAGE('The List'!AH2:AH730))/STDEV('The List'!AH2:AH730)</f>
        <v>1.0654574527630802</v>
      </c>
      <c r="V163" s="38"/>
      <c r="W163" s="42"/>
      <c r="X163" s="40"/>
      <c r="Y163" s="40"/>
      <c r="Z163" s="40"/>
      <c r="AA163" s="40"/>
      <c r="AB163" s="40"/>
      <c r="AC163" s="43"/>
      <c r="AD163" s="44"/>
      <c r="AE163" s="38"/>
    </row>
    <row r="164" spans="1:31" ht="21.2" customHeight="1">
      <c r="A164" s="8" t="s">
        <v>182</v>
      </c>
      <c r="B164" s="34" t="str">
        <f>VLOOKUP(A164,'Player Data'!A1:B734,2,FALSE)</f>
        <v>CGY</v>
      </c>
      <c r="C164" s="36">
        <f>((E164)*Settings!$C$12)+(F164*Settings!$C$2)+(G164*Settings!$C$3)+(H164*Settings!$C$4)+(I164*Settings!$C$5)+(K164*Settings!$C$9)+(N164*Settings!$C$6)+(J164*Settings!$C$8)+(O164*Settings!$C$7)+(P164*Settings!$C$14)+(Q164*Settings!$C$15)+(R164*Settings!$C$16)+(S164*Settings!$C$17)+(T164*Settings!$C$18)+(U164*Settings!$C$19)+(L164*Settings!$C$10)+(Settings!$C$11*M164)</f>
        <v>2.9187384347788039</v>
      </c>
      <c r="D164" s="40">
        <f>IF(Settings!$E$12="YES",VLOOKUP(A164,'Player Data'!A1:E734,5,FALSE),82)</f>
        <v>82</v>
      </c>
      <c r="E164" s="38">
        <f>(VLOOKUP($A164,'The List'!$B1:$AH730,17,FALSE)-AVERAGE('The List'!R2:R730))/STDEV('The List'!R2:R730)</f>
        <v>2.0371686372871949</v>
      </c>
      <c r="F164" s="38">
        <f>(VLOOKUP($A164,'The List'!$B1:$AH730,18,FALSE)-AVERAGE('The List'!S2:S730))/STDEV('The List'!S2:S730)</f>
        <v>-0.56126114720525633</v>
      </c>
      <c r="G164" s="38">
        <f>(VLOOKUP($A164,'The List'!$B1:$AH730,19,FALSE)-AVERAGE('The List'!T2:T730))/STDEV('The List'!T2:T730)</f>
        <v>1.3252782650279253</v>
      </c>
      <c r="H164" s="38">
        <f>(VLOOKUP($A164,'The List'!$B1:$AH730,20,FALSE)-AVERAGE('The List'!U2:U730))/STDEV('The List'!U2:U730)</f>
        <v>0.55352040255425483</v>
      </c>
      <c r="I164" s="38">
        <f>(VLOOKUP($A164,'The List'!$B1:$AH730,21,FALSE)-AVERAGE('The List'!V2:V730))/STDEV('The List'!V2:V730)</f>
        <v>0.37286842317257735</v>
      </c>
      <c r="J164" s="38">
        <f>(VLOOKUP($A164,'The List'!$B1:$AH730,22,FALSE)-AVERAGE('The List'!W2:W730))/STDEV('The List'!W2:W730)</f>
        <v>-0.29448523748188765</v>
      </c>
      <c r="K164" s="38">
        <f>(VLOOKUP($A164,'The List'!$B1:$AH730,23,FALSE)-AVERAGE('The List'!X2:X730))/STDEV('The List'!X2:X730)</f>
        <v>1.2283324912293025</v>
      </c>
      <c r="L164" s="38">
        <f>(VLOOKUP($A164,'The List'!$B1:$AH730,24,FALSE)-AVERAGE('The List'!Y2:Y730))/STDEV('The List'!Y2:Y730)</f>
        <v>0.35816493938035043</v>
      </c>
      <c r="M164" s="38">
        <f>(VLOOKUP($A164,'The List'!$B1:$AH730,25,FALSE)-AVERAGE('The List'!Z2:Z730))/STDEV('The List'!Z2:Z730)</f>
        <v>0.85990712592541141</v>
      </c>
      <c r="N164" s="38">
        <f>(VLOOKUP($A164,'The List'!$B1:$AH730,26,FALSE)-AVERAGE('The List'!AA2:AA730))/STDEV('The List'!AA2:AA730)</f>
        <v>1.7340942728373827</v>
      </c>
      <c r="O164" s="38">
        <f>(VLOOKUP($A164,'The List'!$B1:$AH730,27,FALSE)-AVERAGE('The List'!AB2:AB730))/STDEV('The List'!AB2:AB730)</f>
        <v>-0.72873531842496464</v>
      </c>
      <c r="P164" s="38">
        <f>(VLOOKUP($A164,'The List'!$B1:$AH730,28,FALSE)-AVERAGE('The List'!AC2:AC730))/STDEV('The List'!AC2:AC730)</f>
        <v>0.69159501927000611</v>
      </c>
      <c r="Q164" s="38">
        <f>(VLOOKUP($A164,'The List'!$B1:$AH730,29,FALSE)-AVERAGE('The List'!AD2:AD730))/STDEV('The List'!AD2:AD730)</f>
        <v>0.16389577018811238</v>
      </c>
      <c r="R164" s="38">
        <f>(VLOOKUP($A164,'The List'!$B1:$AH730,30,FALSE)-AVERAGE('The List'!AE2:AE730))/STDEV('The List'!AE2:AE730)</f>
        <v>-0.37157234522145915</v>
      </c>
      <c r="S164" s="38">
        <f>(VLOOKUP($A164,'The List'!$B1:$AH730,31,FALSE)-AVERAGE('The List'!AF2:AF730))/STDEV('The List'!AF2:AF730)</f>
        <v>-0.56911587195029545</v>
      </c>
      <c r="T164" s="38">
        <f>(VLOOKUP($A164,'The List'!$B1:$AH730,32,FALSE)-AVERAGE('The List'!AG2:AG730))/STDEV('The List'!AG2:AG730)</f>
        <v>-0.61510119871956948</v>
      </c>
      <c r="U164" s="38">
        <f>(VLOOKUP($A164,'The List'!$B1:$AH730,33,FALSE)-AVERAGE('The List'!AH2:AH730))/STDEV('The List'!AH2:AH730)</f>
        <v>-1.2363238714825984</v>
      </c>
      <c r="V164" s="38"/>
      <c r="W164" s="42"/>
      <c r="X164" s="40"/>
      <c r="Y164" s="40"/>
      <c r="Z164" s="40"/>
      <c r="AA164" s="40"/>
      <c r="AB164" s="40"/>
      <c r="AC164" s="43"/>
      <c r="AD164" s="44"/>
      <c r="AE164" s="38"/>
    </row>
    <row r="165" spans="1:31" ht="21.2" customHeight="1">
      <c r="A165" s="8" t="s">
        <v>169</v>
      </c>
      <c r="B165" s="34" t="str">
        <f>VLOOKUP(A165,'Player Data'!A1:B734,2,FALSE)</f>
        <v>NYI</v>
      </c>
      <c r="C165" s="36">
        <f>((E165)*Settings!$C$12)+(F165*Settings!$C$2)+(G165*Settings!$C$3)+(H165*Settings!$C$4)+(I165*Settings!$C$5)+(K165*Settings!$C$9)+(N165*Settings!$C$6)+(J165*Settings!$C$8)+(O165*Settings!$C$7)+(P165*Settings!$C$14)+(Q165*Settings!$C$15)+(R165*Settings!$C$16)+(S165*Settings!$C$17)+(T165*Settings!$C$18)+(U165*Settings!$C$19)+(L165*Settings!$C$10)+(Settings!$C$11*M165)</f>
        <v>3.7172860755612769</v>
      </c>
      <c r="D165" s="40">
        <f>IF(Settings!$E$12="YES",VLOOKUP(A165,'Player Data'!A1:E734,5,FALSE),82)</f>
        <v>82</v>
      </c>
      <c r="E165" s="38">
        <f>(VLOOKUP($A165,'The List'!$B1:$AH730,17,FALSE)-AVERAGE('The List'!R2:R730))/STDEV('The List'!R2:R730)</f>
        <v>1.0898896359202899</v>
      </c>
      <c r="F165" s="38">
        <f>(VLOOKUP($A165,'The List'!$B1:$AH730,18,FALSE)-AVERAGE('The List'!S2:S730))/STDEV('The List'!S2:S730)</f>
        <v>-0.18905827445592743</v>
      </c>
      <c r="G165" s="38">
        <f>(VLOOKUP($A165,'The List'!$B1:$AH730,19,FALSE)-AVERAGE('The List'!T2:T730))/STDEV('The List'!T2:T730)</f>
        <v>1.0403426736955546</v>
      </c>
      <c r="H165" s="38">
        <f>(VLOOKUP($A165,'The List'!$B1:$AH730,20,FALSE)-AVERAGE('The List'!U2:U730))/STDEV('The List'!U2:U730)</f>
        <v>0.55144338629335032</v>
      </c>
      <c r="I165" s="38">
        <f>(VLOOKUP($A165,'The List'!$B1:$AH730,21,FALSE)-AVERAGE('The List'!V2:V730))/STDEV('The List'!V2:V730)</f>
        <v>0.94418117530626133</v>
      </c>
      <c r="J165" s="38">
        <f>(VLOOKUP($A165,'The List'!$B1:$AH730,22,FALSE)-AVERAGE('The List'!W2:W730))/STDEV('The List'!W2:W730)</f>
        <v>0.26212317675956581</v>
      </c>
      <c r="K165" s="38">
        <f>(VLOOKUP($A165,'The List'!$B1:$AH730,23,FALSE)-AVERAGE('The List'!X2:X730))/STDEV('The List'!X2:X730)</f>
        <v>1.3703771147220383</v>
      </c>
      <c r="L165" s="38">
        <f>(VLOOKUP($A165,'The List'!$B1:$AH730,24,FALSE)-AVERAGE('The List'!Y2:Y730))/STDEV('The List'!Y2:Y730)</f>
        <v>-0.4809376435629753</v>
      </c>
      <c r="M165" s="38">
        <f>(VLOOKUP($A165,'The List'!$B1:$AH730,25,FALSE)-AVERAGE('The List'!Z2:Z730))/STDEV('The List'!Z2:Z730)</f>
        <v>-0.57105271613976416</v>
      </c>
      <c r="N165" s="38">
        <f>(VLOOKUP($A165,'The List'!$B1:$AH730,26,FALSE)-AVERAGE('The List'!AA2:AA730))/STDEV('The List'!AA2:AA730)</f>
        <v>1.2767542730938439</v>
      </c>
      <c r="O165" s="38">
        <f>(VLOOKUP($A165,'The List'!$B1:$AH730,27,FALSE)-AVERAGE('The List'!AB2:AB730))/STDEV('The List'!AB2:AB730)</f>
        <v>-0.46924483084922092</v>
      </c>
      <c r="P165" s="38">
        <f>(VLOOKUP($A165,'The List'!$B1:$AH730,28,FALSE)-AVERAGE('The List'!AC2:AC730))/STDEV('The List'!AC2:AC730)</f>
        <v>0.15925204119538336</v>
      </c>
      <c r="Q165" s="38">
        <f>(VLOOKUP($A165,'The List'!$B1:$AH730,29,FALSE)-AVERAGE('The List'!AD2:AD730))/STDEV('The List'!AD2:AD730)</f>
        <v>-0.77739172911445853</v>
      </c>
      <c r="R165" s="38">
        <f>(VLOOKUP($A165,'The List'!$B1:$AH730,30,FALSE)-AVERAGE('The List'!AE2:AE730))/STDEV('The List'!AE2:AE730)</f>
        <v>-6.3268515474293519E-2</v>
      </c>
      <c r="S165" s="38">
        <f>(VLOOKUP($A165,'The List'!$B1:$AH730,31,FALSE)-AVERAGE('The List'!AF2:AF730))/STDEV('The List'!AF2:AF730)</f>
        <v>-0.56911587195029545</v>
      </c>
      <c r="T165" s="38">
        <f>(VLOOKUP($A165,'The List'!$B1:$AH730,32,FALSE)-AVERAGE('The List'!AG2:AG730))/STDEV('The List'!AG2:AG730)</f>
        <v>-0.61510119871956948</v>
      </c>
      <c r="U165" s="38">
        <f>(VLOOKUP($A165,'The List'!$B1:$AH730,33,FALSE)-AVERAGE('The List'!AH2:AH730))/STDEV('The List'!AH2:AH730)</f>
        <v>-1.2363238714825984</v>
      </c>
      <c r="V165" s="38"/>
      <c r="W165" s="42"/>
      <c r="X165" s="40"/>
      <c r="Y165" s="40"/>
      <c r="Z165" s="40"/>
      <c r="AA165" s="40"/>
      <c r="AB165" s="40"/>
      <c r="AC165" s="43"/>
      <c r="AD165" s="44"/>
      <c r="AE165" s="38"/>
    </row>
    <row r="166" spans="1:31" ht="21.2" customHeight="1">
      <c r="A166" s="8" t="s">
        <v>313</v>
      </c>
      <c r="B166" s="34" t="str">
        <f>VLOOKUP(A166,'Player Data'!A1:B734,2,FALSE)</f>
        <v>MIN</v>
      </c>
      <c r="C166" s="36">
        <f>((E166)*Settings!$C$12)+(F166*Settings!$C$2)+(G166*Settings!$C$3)+(H166*Settings!$C$4)+(I166*Settings!$C$5)+(K166*Settings!$C$9)+(N166*Settings!$C$6)+(J166*Settings!$C$8)+(O166*Settings!$C$7)+(P166*Settings!$C$14)+(Q166*Settings!$C$15)+(R166*Settings!$C$16)+(S166*Settings!$C$17)+(T166*Settings!$C$18)+(U166*Settings!$C$19)+(L166*Settings!$C$10)+(Settings!$C$11*M166)</f>
        <v>2.0391096416805512</v>
      </c>
      <c r="D166" s="40">
        <f>IF(Settings!$E$12="YES",VLOOKUP(A166,'Player Data'!A1:E734,5,FALSE),82)</f>
        <v>82</v>
      </c>
      <c r="E166" s="38">
        <f>(VLOOKUP($A166,'The List'!$B1:$AH730,17,FALSE)-AVERAGE('The List'!R2:R730))/STDEV('The List'!R2:R730)</f>
        <v>-5.5613102837543164E-2</v>
      </c>
      <c r="F166" s="38">
        <f>(VLOOKUP($A166,'The List'!$B1:$AH730,18,FALSE)-AVERAGE('The List'!S2:S730))/STDEV('The List'!S2:S730)</f>
        <v>0.83144747848114042</v>
      </c>
      <c r="G166" s="38">
        <f>(VLOOKUP($A166,'The List'!$B1:$AH730,19,FALSE)-AVERAGE('The List'!T2:T730))/STDEV('The List'!T2:T730)</f>
        <v>0.24657125023525053</v>
      </c>
      <c r="H166" s="38">
        <f>(VLOOKUP($A166,'The List'!$B1:$AH730,20,FALSE)-AVERAGE('The List'!U2:U730))/STDEV('The List'!U2:U730)</f>
        <v>0.53804532189973131</v>
      </c>
      <c r="I166" s="38">
        <f>(VLOOKUP($A166,'The List'!$B1:$AH730,21,FALSE)-AVERAGE('The List'!V2:V730))/STDEV('The List'!V2:V730)</f>
        <v>0.80273653926081945</v>
      </c>
      <c r="J166" s="38">
        <f>(VLOOKUP($A166,'The List'!$B1:$AH730,22,FALSE)-AVERAGE('The List'!W2:W730))/STDEV('The List'!W2:W730)</f>
        <v>-0.48796305706942728</v>
      </c>
      <c r="K166" s="38">
        <f>(VLOOKUP($A166,'The List'!$B1:$AH730,23,FALSE)-AVERAGE('The List'!X2:X730))/STDEV('The List'!X2:X730)</f>
        <v>-0.37969094819639015</v>
      </c>
      <c r="L166" s="38">
        <f>(VLOOKUP($A166,'The List'!$B1:$AH730,24,FALSE)-AVERAGE('The List'!Y2:Y730))/STDEV('The List'!Y2:Y730)</f>
        <v>1.3445770414866796</v>
      </c>
      <c r="M166" s="38">
        <f>(VLOOKUP($A166,'The List'!$B1:$AH730,25,FALSE)-AVERAGE('The List'!Z2:Z730))/STDEV('The List'!Z2:Z730)</f>
        <v>1.1301507410609606</v>
      </c>
      <c r="N166" s="38">
        <f>(VLOOKUP($A166,'The List'!$B1:$AH730,26,FALSE)-AVERAGE('The List'!AA2:AA730))/STDEV('The List'!AA2:AA730)</f>
        <v>-0.21013462536484948</v>
      </c>
      <c r="O166" s="38">
        <f>(VLOOKUP($A166,'The List'!$B1:$AH730,27,FALSE)-AVERAGE('The List'!AB2:AB730))/STDEV('The List'!AB2:AB730)</f>
        <v>-0.41729984644195101</v>
      </c>
      <c r="P166" s="38">
        <f>(VLOOKUP($A166,'The List'!$B1:$AH730,28,FALSE)-AVERAGE('The List'!AC2:AC730))/STDEV('The List'!AC2:AC730)</f>
        <v>0.76886885327949095</v>
      </c>
      <c r="Q166" s="38">
        <f>(VLOOKUP($A166,'The List'!$B1:$AH730,29,FALSE)-AVERAGE('The List'!AD2:AD730))/STDEV('The List'!AD2:AD730)</f>
        <v>2.5094280937425419</v>
      </c>
      <c r="R166" s="38">
        <f>(VLOOKUP($A166,'The List'!$B1:$AH730,30,FALSE)-AVERAGE('The List'!AE2:AE730))/STDEV('The List'!AE2:AE730)</f>
        <v>1.0504370107811059</v>
      </c>
      <c r="S166" s="38">
        <f>(VLOOKUP($A166,'The List'!$B1:$AH730,31,FALSE)-AVERAGE('The List'!AF2:AF730))/STDEV('The List'!AF2:AF730)</f>
        <v>1.1488497354867424</v>
      </c>
      <c r="T166" s="38">
        <f>(VLOOKUP($A166,'The List'!$B1:$AH730,32,FALSE)-AVERAGE('The List'!AG2:AG730))/STDEV('The List'!AG2:AG730)</f>
        <v>1.7223787158065009</v>
      </c>
      <c r="U166" s="38">
        <f>(VLOOKUP($A166,'The List'!$B1:$AH730,33,FALSE)-AVERAGE('The List'!AH2:AH730))/STDEV('The List'!AH2:AH730)</f>
        <v>0.73154655455701156</v>
      </c>
      <c r="V166" s="38"/>
      <c r="W166" s="42"/>
      <c r="X166" s="40"/>
      <c r="Y166" s="40"/>
      <c r="Z166" s="40"/>
      <c r="AA166" s="40"/>
      <c r="AB166" s="40"/>
      <c r="AC166" s="43"/>
      <c r="AD166" s="44"/>
      <c r="AE166" s="38"/>
    </row>
    <row r="167" spans="1:31" ht="21.2" customHeight="1">
      <c r="A167" s="8" t="s">
        <v>394</v>
      </c>
      <c r="B167" s="34" t="str">
        <f>VLOOKUP(A167,'Player Data'!A1:B734,2,FALSE)</f>
        <v>NSH</v>
      </c>
      <c r="C167" s="36">
        <f>((E167)*Settings!$C$12)+(F167*Settings!$C$2)+(G167*Settings!$C$3)+(H167*Settings!$C$4)+(I167*Settings!$C$5)+(K167*Settings!$C$9)+(N167*Settings!$C$6)+(J167*Settings!$C$8)+(O167*Settings!$C$7)+(P167*Settings!$C$14)+(Q167*Settings!$C$15)+(R167*Settings!$C$16)+(S167*Settings!$C$17)+(T167*Settings!$C$18)+(U167*Settings!$C$19)+(L167*Settings!$C$10)+(Settings!$C$11*M167)</f>
        <v>2.1557682259631124</v>
      </c>
      <c r="D167" s="40">
        <f>IF(Settings!$E$12="YES",VLOOKUP(A167,'Player Data'!A1:E734,5,FALSE),82)</f>
        <v>82</v>
      </c>
      <c r="E167" s="38">
        <f>(VLOOKUP($A167,'The List'!$B1:$AH730,17,FALSE)-AVERAGE('The List'!R2:R730))/STDEV('The List'!R2:R730)</f>
        <v>0.5312628796783978</v>
      </c>
      <c r="F167" s="38">
        <f>(VLOOKUP($A167,'The List'!$B1:$AH730,18,FALSE)-AVERAGE('The List'!S2:S730))/STDEV('The List'!S2:S730)</f>
        <v>0.71971191154125347</v>
      </c>
      <c r="G167" s="38">
        <f>(VLOOKUP($A167,'The List'!$B1:$AH730,19,FALSE)-AVERAGE('The List'!T2:T730))/STDEV('The List'!T2:T730)</f>
        <v>0.33018796394873701</v>
      </c>
      <c r="H167" s="38">
        <f>(VLOOKUP($A167,'The List'!$B1:$AH730,20,FALSE)-AVERAGE('The List'!U2:U730))/STDEV('The List'!U2:U730)</f>
        <v>0.53748821936865132</v>
      </c>
      <c r="I167" s="38">
        <f>(VLOOKUP($A167,'The List'!$B1:$AH730,21,FALSE)-AVERAGE('The List'!V2:V730))/STDEV('The List'!V2:V730)</f>
        <v>0.38660248381044554</v>
      </c>
      <c r="J167" s="38">
        <f>(VLOOKUP($A167,'The List'!$B1:$AH730,22,FALSE)-AVERAGE('The List'!W2:W730))/STDEV('The List'!W2:W730)</f>
        <v>0.27868776580977694</v>
      </c>
      <c r="K167" s="38">
        <f>(VLOOKUP($A167,'The List'!$B1:$AH730,23,FALSE)-AVERAGE('The List'!X2:X730))/STDEV('The List'!X2:X730)</f>
        <v>0.18177764729402515</v>
      </c>
      <c r="L167" s="38">
        <f>(VLOOKUP($A167,'The List'!$B1:$AH730,24,FALSE)-AVERAGE('The List'!Y2:Y730))/STDEV('The List'!Y2:Y730)</f>
        <v>1.4709887019553789</v>
      </c>
      <c r="M167" s="38">
        <f>(VLOOKUP($A167,'The List'!$B1:$AH730,25,FALSE)-AVERAGE('The List'!Z2:Z730))/STDEV('The List'!Z2:Z730)</f>
        <v>0.81284637965735107</v>
      </c>
      <c r="N167" s="38">
        <f>(VLOOKUP($A167,'The List'!$B1:$AH730,26,FALSE)-AVERAGE('The List'!AA2:AA730))/STDEV('The List'!AA2:AA730)</f>
        <v>-0.63512783982464494</v>
      </c>
      <c r="O167" s="38">
        <f>(VLOOKUP($A167,'The List'!$B1:$AH730,27,FALSE)-AVERAGE('The List'!AB2:AB730))/STDEV('The List'!AB2:AB730)</f>
        <v>-1.3308749892901761</v>
      </c>
      <c r="P167" s="38">
        <f>(VLOOKUP($A167,'The List'!$B1:$AH730,28,FALSE)-AVERAGE('The List'!AC2:AC730))/STDEV('The List'!AC2:AC730)</f>
        <v>-0.21246690392109566</v>
      </c>
      <c r="Q167" s="38">
        <f>(VLOOKUP($A167,'The List'!$B1:$AH730,29,FALSE)-AVERAGE('The List'!AD2:AD730))/STDEV('The List'!AD2:AD730)</f>
        <v>-0.7716715968276856</v>
      </c>
      <c r="R167" s="38">
        <f>(VLOOKUP($A167,'The List'!$B1:$AH730,30,FALSE)-AVERAGE('The List'!AE2:AE730))/STDEV('The List'!AE2:AE730)</f>
        <v>0.7355888688514739</v>
      </c>
      <c r="S167" s="38">
        <f>(VLOOKUP($A167,'The List'!$B1:$AH730,31,FALSE)-AVERAGE('The List'!AF2:AF730))/STDEV('The List'!AF2:AF730)</f>
        <v>3.3943063072214024</v>
      </c>
      <c r="T167" s="38">
        <f>(VLOOKUP($A167,'The List'!$B1:$AH730,32,FALSE)-AVERAGE('The List'!AG2:AG730))/STDEV('The List'!AG2:AG730)</f>
        <v>2.5368597723299597</v>
      </c>
      <c r="U167" s="38">
        <f>(VLOOKUP($A167,'The List'!$B1:$AH730,33,FALSE)-AVERAGE('The List'!AH2:AH730))/STDEV('The List'!AH2:AH730)</f>
        <v>1.3342521095301281</v>
      </c>
      <c r="V167" s="38"/>
      <c r="W167" s="40"/>
      <c r="X167" s="38"/>
      <c r="Y167" s="38"/>
      <c r="Z167" s="38"/>
      <c r="AA167" s="38"/>
      <c r="AB167" s="38"/>
      <c r="AC167" s="38"/>
      <c r="AD167" s="38"/>
      <c r="AE167" s="38"/>
    </row>
    <row r="168" spans="1:31" ht="21.2" customHeight="1">
      <c r="A168" s="8" t="s">
        <v>280</v>
      </c>
      <c r="B168" s="34" t="str">
        <f>VLOOKUP(A168,'Player Data'!A1:B734,2,FALSE)</f>
        <v>CAR</v>
      </c>
      <c r="C168" s="36">
        <f>((E168)*Settings!$C$12)+(F168*Settings!$C$2)+(G168*Settings!$C$3)+(H168*Settings!$C$4)+(I168*Settings!$C$5)+(K168*Settings!$C$9)+(N168*Settings!$C$6)+(J168*Settings!$C$8)+(O168*Settings!$C$7)+(P168*Settings!$C$14)+(Q168*Settings!$C$15)+(R168*Settings!$C$16)+(S168*Settings!$C$17)+(T168*Settings!$C$18)+(U168*Settings!$C$19)+(L168*Settings!$C$10)+(Settings!$C$11*M168)</f>
        <v>3.1362584876266308</v>
      </c>
      <c r="D168" s="40">
        <f>IF(Settings!$E$12="YES",VLOOKUP(A168,'Player Data'!A1:E734,5,FALSE),82)</f>
        <v>82</v>
      </c>
      <c r="E168" s="38">
        <f>(VLOOKUP($A168,'The List'!$B1:$AH730,17,FALSE)-AVERAGE('The List'!R2:R730))/STDEV('The List'!R2:R730)</f>
        <v>8.3616101921193481E-2</v>
      </c>
      <c r="F168" s="38">
        <f>(VLOOKUP($A168,'The List'!$B1:$AH730,18,FALSE)-AVERAGE('The List'!S2:S730))/STDEV('The List'!S2:S730)</f>
        <v>0.60745837240720524</v>
      </c>
      <c r="G168" s="38">
        <f>(VLOOKUP($A168,'The List'!$B1:$AH730,19,FALSE)-AVERAGE('The List'!T2:T730))/STDEV('The List'!T2:T730)</f>
        <v>0.5881566387933137</v>
      </c>
      <c r="H168" s="38">
        <f>(VLOOKUP($A168,'The List'!$B1:$AH730,20,FALSE)-AVERAGE('The List'!U2:U730))/STDEV('The List'!U2:U730)</f>
        <v>0.64383646417428086</v>
      </c>
      <c r="I168" s="38">
        <f>(VLOOKUP($A168,'The List'!$B1:$AH730,21,FALSE)-AVERAGE('The List'!V2:V730))/STDEV('The List'!V2:V730)</f>
        <v>0.97067836518284567</v>
      </c>
      <c r="J168" s="38">
        <f>(VLOOKUP($A168,'The List'!$B1:$AH730,22,FALSE)-AVERAGE('The List'!W2:W730))/STDEV('The List'!W2:W730)</f>
        <v>6.3878498685533899E-3</v>
      </c>
      <c r="K168" s="38">
        <f>(VLOOKUP($A168,'The List'!$B1:$AH730,23,FALSE)-AVERAGE('The List'!X2:X730))/STDEV('The List'!X2:X730)</f>
        <v>0.32612864706898531</v>
      </c>
      <c r="L168" s="38">
        <f>(VLOOKUP($A168,'The List'!$B1:$AH730,24,FALSE)-AVERAGE('The List'!Y2:Y730))/STDEV('The List'!Y2:Y730)</f>
        <v>6.9729709550917854E-2</v>
      </c>
      <c r="M168" s="38">
        <f>(VLOOKUP($A168,'The List'!$B1:$AH730,25,FALSE)-AVERAGE('The List'!Z2:Z730))/STDEV('The List'!Z2:Z730)</f>
        <v>-0.27471082931514135</v>
      </c>
      <c r="N168" s="38">
        <f>(VLOOKUP($A168,'The List'!$B1:$AH730,26,FALSE)-AVERAGE('The List'!AA2:AA730))/STDEV('The List'!AA2:AA730)</f>
        <v>-0.5153063682912663</v>
      </c>
      <c r="O168" s="38">
        <f>(VLOOKUP($A168,'The List'!$B1:$AH730,27,FALSE)-AVERAGE('The List'!AB2:AB730))/STDEV('The List'!AB2:AB730)</f>
        <v>-0.39928177053875341</v>
      </c>
      <c r="P168" s="38">
        <f>(VLOOKUP($A168,'The List'!$B1:$AH730,28,FALSE)-AVERAGE('The List'!AC2:AC730))/STDEV('The List'!AC2:AC730)</f>
        <v>1.8886506286609583</v>
      </c>
      <c r="Q168" s="38">
        <f>(VLOOKUP($A168,'The List'!$B1:$AH730,29,FALSE)-AVERAGE('The List'!AD2:AD730))/STDEV('The List'!AD2:AD730)</f>
        <v>-0.89776210550825053</v>
      </c>
      <c r="R168" s="38">
        <f>(VLOOKUP($A168,'The List'!$B1:$AH730,30,FALSE)-AVERAGE('The List'!AE2:AE730))/STDEV('The List'!AE2:AE730)</f>
        <v>1.058898798591589</v>
      </c>
      <c r="S168" s="38">
        <f>(VLOOKUP($A168,'The List'!$B1:$AH730,31,FALSE)-AVERAGE('The List'!AF2:AF730))/STDEV('The List'!AF2:AF730)</f>
        <v>-0.51878013916299037</v>
      </c>
      <c r="T168" s="38">
        <f>(VLOOKUP($A168,'The List'!$B1:$AH730,32,FALSE)-AVERAGE('The List'!AG2:AG730))/STDEV('The List'!AG2:AG730)</f>
        <v>-0.52915775937605403</v>
      </c>
      <c r="U168" s="38">
        <f>(VLOOKUP($A168,'The List'!$B1:$AH730,33,FALSE)-AVERAGE('The List'!AH2:AH730))/STDEV('The List'!AH2:AH730)</f>
        <v>0.48410668740016771</v>
      </c>
      <c r="V168" s="38"/>
      <c r="W168" s="40"/>
      <c r="X168" s="38"/>
      <c r="Y168" s="38"/>
      <c r="Z168" s="38"/>
      <c r="AA168" s="38"/>
      <c r="AB168" s="38"/>
      <c r="AC168" s="38"/>
      <c r="AD168" s="38"/>
      <c r="AE168" s="38"/>
    </row>
    <row r="169" spans="1:31" ht="21.2" customHeight="1">
      <c r="A169" s="8" t="s">
        <v>220</v>
      </c>
      <c r="B169" s="34" t="str">
        <f>VLOOKUP(A169,'Player Data'!A1:B734,2,FALSE)</f>
        <v>MTL</v>
      </c>
      <c r="C169" s="36">
        <f>((E169)*Settings!$C$12)+(F169*Settings!$C$2)+(G169*Settings!$C$3)+(H169*Settings!$C$4)+(I169*Settings!$C$5)+(K169*Settings!$C$9)+(N169*Settings!$C$6)+(J169*Settings!$C$8)+(O169*Settings!$C$7)+(P169*Settings!$C$14)+(Q169*Settings!$C$15)+(R169*Settings!$C$16)+(S169*Settings!$C$17)+(T169*Settings!$C$18)+(U169*Settings!$C$19)+(L169*Settings!$C$10)+(Settings!$C$11*M169)</f>
        <v>2.5247274265116011</v>
      </c>
      <c r="D169" s="40">
        <f>IF(Settings!$E$12="YES",VLOOKUP(A169,'Player Data'!A1:E734,5,FALSE),82)</f>
        <v>82</v>
      </c>
      <c r="E169" s="38">
        <f>(VLOOKUP($A169,'The List'!$B1:$AH730,17,FALSE)-AVERAGE('The List'!R2:R730))/STDEV('The List'!R2:R730)</f>
        <v>2.1779329212769052</v>
      </c>
      <c r="F169" s="38">
        <f>(VLOOKUP($A169,'The List'!$B1:$AH730,18,FALSE)-AVERAGE('The List'!S2:S730))/STDEV('The List'!S2:S730)</f>
        <v>-0.27500704351693317</v>
      </c>
      <c r="G169" s="38">
        <f>(VLOOKUP($A169,'The List'!$B1:$AH730,19,FALSE)-AVERAGE('The List'!T2:T730))/STDEV('The List'!T2:T730)</f>
        <v>0.88351365726577236</v>
      </c>
      <c r="H169" s="38">
        <f>(VLOOKUP($A169,'The List'!$B1:$AH730,20,FALSE)-AVERAGE('The List'!U2:U730))/STDEV('The List'!U2:U730)</f>
        <v>0.41511051340976984</v>
      </c>
      <c r="I169" s="38">
        <f>(VLOOKUP($A169,'The List'!$B1:$AH730,21,FALSE)-AVERAGE('The List'!V2:V730))/STDEV('The List'!V2:V730)</f>
        <v>0.98417279433157812</v>
      </c>
      <c r="J169" s="38">
        <f>(VLOOKUP($A169,'The List'!$B1:$AH730,22,FALSE)-AVERAGE('The List'!W2:W730))/STDEV('The List'!W2:W730)</f>
        <v>-0.60478912965947018</v>
      </c>
      <c r="K169" s="38">
        <f>(VLOOKUP($A169,'The List'!$B1:$AH730,23,FALSE)-AVERAGE('The List'!X2:X730))/STDEV('The List'!X2:X730)</f>
        <v>0.516937505021414</v>
      </c>
      <c r="L169" s="38">
        <f>(VLOOKUP($A169,'The List'!$B1:$AH730,24,FALSE)-AVERAGE('The List'!Y2:Y730))/STDEV('The List'!Y2:Y730)</f>
        <v>-0.47123191457534613</v>
      </c>
      <c r="M169" s="38">
        <f>(VLOOKUP($A169,'The List'!$B1:$AH730,25,FALSE)-AVERAGE('The List'!Z2:Z730))/STDEV('The List'!Z2:Z730)</f>
        <v>1.6999010189391466</v>
      </c>
      <c r="N169" s="38">
        <f>(VLOOKUP($A169,'The List'!$B1:$AH730,26,FALSE)-AVERAGE('The List'!AA2:AA730))/STDEV('The List'!AA2:AA730)</f>
        <v>1.5978546546528096</v>
      </c>
      <c r="O169" s="38">
        <f>(VLOOKUP($A169,'The List'!$B1:$AH730,27,FALSE)-AVERAGE('The List'!AB2:AB730))/STDEV('The List'!AB2:AB730)</f>
        <v>8.7045646383098422E-3</v>
      </c>
      <c r="P169" s="38">
        <f>(VLOOKUP($A169,'The List'!$B1:$AH730,28,FALSE)-AVERAGE('The List'!AC2:AC730))/STDEV('The List'!AC2:AC730)</f>
        <v>-1.3988779057043041</v>
      </c>
      <c r="Q169" s="38">
        <f>(VLOOKUP($A169,'The List'!$B1:$AH730,29,FALSE)-AVERAGE('The List'!AD2:AD730))/STDEV('The List'!AD2:AD730)</f>
        <v>1.3935991627160065</v>
      </c>
      <c r="R169" s="38">
        <f>(VLOOKUP($A169,'The List'!$B1:$AH730,30,FALSE)-AVERAGE('The List'!AE2:AE730))/STDEV('The List'!AE2:AE730)</f>
        <v>-0.52111867999086148</v>
      </c>
      <c r="S169" s="38">
        <f>(VLOOKUP($A169,'The List'!$B1:$AH730,31,FALSE)-AVERAGE('The List'!AF2:AF730))/STDEV('The List'!AF2:AF730)</f>
        <v>-0.56911587195029545</v>
      </c>
      <c r="T169" s="38">
        <f>(VLOOKUP($A169,'The List'!$B1:$AH730,32,FALSE)-AVERAGE('The List'!AG2:AG730))/STDEV('The List'!AG2:AG730)</f>
        <v>-0.61510119871956948</v>
      </c>
      <c r="U169" s="38">
        <f>(VLOOKUP($A169,'The List'!$B1:$AH730,33,FALSE)-AVERAGE('The List'!AH2:AH730))/STDEV('The List'!AH2:AH730)</f>
        <v>-1.2363238714825984</v>
      </c>
      <c r="V169" s="38"/>
      <c r="W169" s="40"/>
      <c r="X169" s="40"/>
      <c r="Y169" s="40"/>
      <c r="Z169" s="40"/>
      <c r="AA169" s="40"/>
      <c r="AB169" s="40"/>
      <c r="AC169" s="43"/>
      <c r="AD169" s="44"/>
      <c r="AE169" s="38"/>
    </row>
    <row r="170" spans="1:31" ht="21.2" customHeight="1">
      <c r="A170" s="8" t="s">
        <v>379</v>
      </c>
      <c r="B170" s="34" t="str">
        <f>VLOOKUP(A170,'Player Data'!A1:B734,2,FALSE)</f>
        <v>EDM</v>
      </c>
      <c r="C170" s="36">
        <f>((E170)*Settings!$C$12)+(F170*Settings!$C$2)+(G170*Settings!$C$3)+(H170*Settings!$C$4)+(I170*Settings!$C$5)+(K170*Settings!$C$9)+(N170*Settings!$C$6)+(J170*Settings!$C$8)+(O170*Settings!$C$7)+(P170*Settings!$C$14)+(Q170*Settings!$C$15)+(R170*Settings!$C$16)+(S170*Settings!$C$17)+(T170*Settings!$C$18)+(U170*Settings!$C$19)+(L170*Settings!$C$10)+(Settings!$C$11*M170)</f>
        <v>2.8180413842784593</v>
      </c>
      <c r="D170" s="40">
        <f>IF(Settings!$E$12="YES",VLOOKUP(A170,'Player Data'!A1:E734,5,FALSE),82)</f>
        <v>82</v>
      </c>
      <c r="E170" s="38">
        <f>(VLOOKUP($A170,'The List'!$B1:$AH730,17,FALSE)-AVERAGE('The List'!R2:R730))/STDEV('The List'!R2:R730)</f>
        <v>-8.4692311515585428E-2</v>
      </c>
      <c r="F170" s="38">
        <f>(VLOOKUP($A170,'The List'!$B1:$AH730,18,FALSE)-AVERAGE('The List'!S2:S730))/STDEV('The List'!S2:S730)</f>
        <v>1.157454560802178</v>
      </c>
      <c r="G170" s="38">
        <f>(VLOOKUP($A170,'The List'!$B1:$AH730,19,FALSE)-AVERAGE('The List'!T2:T730))/STDEV('The List'!T2:T730)</f>
        <v>-2.4721448222397455E-2</v>
      </c>
      <c r="H170" s="38">
        <f>(VLOOKUP($A170,'The List'!$B1:$AH730,20,FALSE)-AVERAGE('The List'!U2:U730))/STDEV('The List'!U2:U730)</f>
        <v>0.52287721844467439</v>
      </c>
      <c r="I170" s="38">
        <f>(VLOOKUP($A170,'The List'!$B1:$AH730,21,FALSE)-AVERAGE('The List'!V2:V730))/STDEV('The List'!V2:V730)</f>
        <v>1.5314251135534265</v>
      </c>
      <c r="J170" s="38">
        <f>(VLOOKUP($A170,'The List'!$B1:$AH730,22,FALSE)-AVERAGE('The List'!W2:W730))/STDEV('The List'!W2:W730)</f>
        <v>-0.19519999238289093</v>
      </c>
      <c r="K170" s="38">
        <f>(VLOOKUP($A170,'The List'!$B1:$AH730,23,FALSE)-AVERAGE('The List'!X2:X730))/STDEV('The List'!X2:X730)</f>
        <v>-0.36899406029942206</v>
      </c>
      <c r="L170" s="38">
        <f>(VLOOKUP($A170,'The List'!$B1:$AH730,24,FALSE)-AVERAGE('The List'!Y2:Y730))/STDEV('The List'!Y2:Y730)</f>
        <v>0.78608941371931751</v>
      </c>
      <c r="M170" s="38">
        <f>(VLOOKUP($A170,'The List'!$B1:$AH730,25,FALSE)-AVERAGE('The List'!Z2:Z730))/STDEV('The List'!Z2:Z730)</f>
        <v>1.0951872364427349</v>
      </c>
      <c r="N170" s="38">
        <f>(VLOOKUP($A170,'The List'!$B1:$AH730,26,FALSE)-AVERAGE('The List'!AA2:AA730))/STDEV('The List'!AA2:AA730)</f>
        <v>-0.93925220478782512</v>
      </c>
      <c r="O170" s="38">
        <f>(VLOOKUP($A170,'The List'!$B1:$AH730,27,FALSE)-AVERAGE('The List'!AB2:AB730))/STDEV('The List'!AB2:AB730)</f>
        <v>1.672805116516072</v>
      </c>
      <c r="P170" s="38">
        <f>(VLOOKUP($A170,'The List'!$B1:$AH730,28,FALSE)-AVERAGE('The List'!AC2:AC730))/STDEV('The List'!AC2:AC730)</f>
        <v>1.044136382879699</v>
      </c>
      <c r="Q170" s="38">
        <f>(VLOOKUP($A170,'The List'!$B1:$AH730,29,FALSE)-AVERAGE('The List'!AD2:AD730))/STDEV('The List'!AD2:AD730)</f>
        <v>2.0559297608622948</v>
      </c>
      <c r="R170" s="38">
        <f>(VLOOKUP($A170,'The List'!$B1:$AH730,30,FALSE)-AVERAGE('The List'!AE2:AE730))/STDEV('The List'!AE2:AE730)</f>
        <v>1.3536985075166719</v>
      </c>
      <c r="S170" s="38">
        <f>(VLOOKUP($A170,'The List'!$B1:$AH730,31,FALSE)-AVERAGE('The List'!AF2:AF730))/STDEV('The List'!AF2:AF730)</f>
        <v>-0.46314002158804063</v>
      </c>
      <c r="T170" s="38">
        <f>(VLOOKUP($A170,'The List'!$B1:$AH730,32,FALSE)-AVERAGE('The List'!AG2:AG730))/STDEV('The List'!AG2:AG730)</f>
        <v>-0.4483946895306859</v>
      </c>
      <c r="U170" s="38">
        <f>(VLOOKUP($A170,'The List'!$B1:$AH730,33,FALSE)-AVERAGE('The List'!AH2:AH730))/STDEV('The List'!AH2:AH730)</f>
        <v>0.57219922198616857</v>
      </c>
      <c r="V170" s="38"/>
      <c r="W170" s="42"/>
      <c r="X170" s="40"/>
      <c r="Y170" s="40"/>
      <c r="Z170" s="40"/>
      <c r="AA170" s="40"/>
      <c r="AB170" s="40"/>
      <c r="AC170" s="43"/>
      <c r="AD170" s="44"/>
      <c r="AE170" s="38"/>
    </row>
    <row r="171" spans="1:31" ht="21.2" customHeight="1">
      <c r="A171" s="8" t="s">
        <v>347</v>
      </c>
      <c r="B171" s="34" t="str">
        <f>VLOOKUP(A171,'Player Data'!A1:B734,2,FALSE)</f>
        <v>ANA</v>
      </c>
      <c r="C171" s="36">
        <f>((E171)*Settings!$C$12)+(F171*Settings!$C$2)+(G171*Settings!$C$3)+(H171*Settings!$C$4)+(I171*Settings!$C$5)+(K171*Settings!$C$9)+(N171*Settings!$C$6)+(J171*Settings!$C$8)+(O171*Settings!$C$7)+(P171*Settings!$C$14)+(Q171*Settings!$C$15)+(R171*Settings!$C$16)+(S171*Settings!$C$17)+(T171*Settings!$C$18)+(U171*Settings!$C$19)+(L171*Settings!$C$10)+(Settings!$C$11*M171)</f>
        <v>2.8890221651686572</v>
      </c>
      <c r="D171" s="40">
        <f>IF(Settings!$E$12="YES",VLOOKUP(A171,'Player Data'!A1:E734,5,FALSE),82)</f>
        <v>82</v>
      </c>
      <c r="E171" s="38">
        <f>(VLOOKUP($A171,'The List'!$B1:$AH730,17,FALSE)-AVERAGE('The List'!R2:R730))/STDEV('The List'!R2:R730)</f>
        <v>0.7020010431637469</v>
      </c>
      <c r="F171" s="38">
        <f>(VLOOKUP($A171,'The List'!$B1:$AH730,18,FALSE)-AVERAGE('The List'!S2:S730))/STDEV('The List'!S2:S730)</f>
        <v>1.0522403157236935</v>
      </c>
      <c r="G171" s="38">
        <f>(VLOOKUP($A171,'The List'!$B1:$AH730,19,FALSE)-AVERAGE('The List'!T2:T730))/STDEV('The List'!T2:T730)</f>
        <v>4.0694506369733048E-2</v>
      </c>
      <c r="H171" s="38">
        <f>(VLOOKUP($A171,'The List'!$B1:$AH730,20,FALSE)-AVERAGE('The List'!U2:U730))/STDEV('The List'!U2:U730)</f>
        <v>0.51416662074550268</v>
      </c>
      <c r="I171" s="38">
        <f>(VLOOKUP($A171,'The List'!$B1:$AH730,21,FALSE)-AVERAGE('The List'!V2:V730))/STDEV('The List'!V2:V730)</f>
        <v>0.68736331590468625</v>
      </c>
      <c r="J171" s="38">
        <f>(VLOOKUP($A171,'The List'!$B1:$AH730,22,FALSE)-AVERAGE('The List'!W2:W730))/STDEV('The List'!W2:W730)</f>
        <v>0.86969957658001507</v>
      </c>
      <c r="K171" s="38">
        <f>(VLOOKUP($A171,'The List'!$B1:$AH730,23,FALSE)-AVERAGE('The List'!X2:X730))/STDEV('The List'!X2:X730)</f>
        <v>0.59455740642504162</v>
      </c>
      <c r="L171" s="38">
        <f>(VLOOKUP($A171,'The List'!$B1:$AH730,24,FALSE)-AVERAGE('The List'!Y2:Y730))/STDEV('The List'!Y2:Y730)</f>
        <v>-0.7105656742607469</v>
      </c>
      <c r="M171" s="38">
        <f>(VLOOKUP($A171,'The List'!$B1:$AH730,25,FALSE)-AVERAGE('The List'!Z2:Z730))/STDEV('The List'!Z2:Z730)</f>
        <v>-0.75021983959291316</v>
      </c>
      <c r="N171" s="38">
        <f>(VLOOKUP($A171,'The List'!$B1:$AH730,26,FALSE)-AVERAGE('The List'!AA2:AA730))/STDEV('The List'!AA2:AA730)</f>
        <v>-3.5849756279771848E-2</v>
      </c>
      <c r="O171" s="38">
        <f>(VLOOKUP($A171,'The List'!$B1:$AH730,27,FALSE)-AVERAGE('The List'!AB2:AB730))/STDEV('The List'!AB2:AB730)</f>
        <v>-1.1151286785378984</v>
      </c>
      <c r="P171" s="38">
        <f>(VLOOKUP($A171,'The List'!$B1:$AH730,28,FALSE)-AVERAGE('The List'!AC2:AC730))/STDEV('The List'!AC2:AC730)</f>
        <v>-1.5489544764239942</v>
      </c>
      <c r="Q171" s="38">
        <f>(VLOOKUP($A171,'The List'!$B1:$AH730,29,FALSE)-AVERAGE('The List'!AD2:AD730))/STDEV('The List'!AD2:AD730)</f>
        <v>-0.35994211705873558</v>
      </c>
      <c r="R171" s="38">
        <f>(VLOOKUP($A171,'The List'!$B1:$AH730,30,FALSE)-AVERAGE('The List'!AE2:AE730))/STDEV('The List'!AE2:AE730)</f>
        <v>0.26053724876138551</v>
      </c>
      <c r="S171" s="38">
        <f>(VLOOKUP($A171,'The List'!$B1:$AH730,31,FALSE)-AVERAGE('The List'!AF2:AF730))/STDEV('The List'!AF2:AF730)</f>
        <v>-0.56716206026324434</v>
      </c>
      <c r="T171" s="38">
        <f>(VLOOKUP($A171,'The List'!$B1:$AH730,32,FALSE)-AVERAGE('The List'!AG2:AG730))/STDEV('The List'!AG2:AG730)</f>
        <v>-0.61330936499136457</v>
      </c>
      <c r="U171" s="38">
        <f>(VLOOKUP($A171,'The List'!$B1:$AH730,33,FALSE)-AVERAGE('The List'!AH2:AH730))/STDEV('The List'!AH2:AH730)</f>
        <v>1.1750920075639903</v>
      </c>
      <c r="V171" s="38"/>
      <c r="W171" s="40"/>
      <c r="X171" s="38"/>
      <c r="Y171" s="38"/>
      <c r="Z171" s="38"/>
      <c r="AA171" s="38"/>
      <c r="AB171" s="38"/>
      <c r="AC171" s="38"/>
      <c r="AD171" s="38"/>
      <c r="AE171" s="38"/>
    </row>
    <row r="172" spans="1:31" ht="21.2" customHeight="1">
      <c r="A172" s="8" t="s">
        <v>352</v>
      </c>
      <c r="B172" s="34" t="str">
        <f>VLOOKUP(A172,'Player Data'!A1:B734,2,FALSE)</f>
        <v>LAK</v>
      </c>
      <c r="C172" s="36">
        <f>((E172)*Settings!$C$12)+(F172*Settings!$C$2)+(G172*Settings!$C$3)+(H172*Settings!$C$4)+(I172*Settings!$C$5)+(K172*Settings!$C$9)+(N172*Settings!$C$6)+(J172*Settings!$C$8)+(O172*Settings!$C$7)+(P172*Settings!$C$14)+(Q172*Settings!$C$15)+(R172*Settings!$C$16)+(S172*Settings!$C$17)+(T172*Settings!$C$18)+(U172*Settings!$C$19)+(L172*Settings!$C$10)+(Settings!$C$11*M172)</f>
        <v>2.1476600641781207</v>
      </c>
      <c r="D172" s="40">
        <f>IF(Settings!$E$12="YES",VLOOKUP(A172,'Player Data'!A1:E734,5,FALSE),82)</f>
        <v>82</v>
      </c>
      <c r="E172" s="38">
        <f>(VLOOKUP($A172,'The List'!$B1:$AH730,17,FALSE)-AVERAGE('The List'!R2:R730))/STDEV('The List'!R2:R730)</f>
        <v>0.37386976076021422</v>
      </c>
      <c r="F172" s="38">
        <f>(VLOOKUP($A172,'The List'!$B1:$AH730,18,FALSE)-AVERAGE('The List'!S2:S730))/STDEV('The List'!S2:S730)</f>
        <v>0.45078700976895542</v>
      </c>
      <c r="G172" s="38">
        <f>(VLOOKUP($A172,'The List'!$B1:$AH730,19,FALSE)-AVERAGE('The List'!T2:T730))/STDEV('The List'!T2:T730)</f>
        <v>0.48623840040810823</v>
      </c>
      <c r="H172" s="38">
        <f>(VLOOKUP($A172,'The List'!$B1:$AH730,20,FALSE)-AVERAGE('The List'!U2:U730))/STDEV('The List'!U2:U730)</f>
        <v>0.50837139123871633</v>
      </c>
      <c r="I172" s="38">
        <f>(VLOOKUP($A172,'The List'!$B1:$AH730,21,FALSE)-AVERAGE('The List'!V2:V730))/STDEV('The List'!V2:V730)</f>
        <v>0.1920027394900439</v>
      </c>
      <c r="J172" s="38">
        <f>(VLOOKUP($A172,'The List'!$B1:$AH730,22,FALSE)-AVERAGE('The List'!W2:W730))/STDEV('The List'!W2:W730)</f>
        <v>-4.4575469389847378E-3</v>
      </c>
      <c r="K172" s="38">
        <f>(VLOOKUP($A172,'The List'!$B1:$AH730,23,FALSE)-AVERAGE('The List'!X2:X730))/STDEV('The List'!X2:X730)</f>
        <v>0.51026052327229654</v>
      </c>
      <c r="L172" s="38">
        <f>(VLOOKUP($A172,'The List'!$B1:$AH730,24,FALSE)-AVERAGE('The List'!Y2:Y730))/STDEV('The List'!Y2:Y730)</f>
        <v>-0.49693897416441168</v>
      </c>
      <c r="M172" s="38">
        <f>(VLOOKUP($A172,'The List'!$B1:$AH730,25,FALSE)-AVERAGE('The List'!Z2:Z730))/STDEV('The List'!Z2:Z730)</f>
        <v>1.4296004194205219</v>
      </c>
      <c r="N172" s="38">
        <f>(VLOOKUP($A172,'The List'!$B1:$AH730,26,FALSE)-AVERAGE('The List'!AA2:AA730))/STDEV('The List'!AA2:AA730)</f>
        <v>-6.70991997890064E-2</v>
      </c>
      <c r="O172" s="38">
        <f>(VLOOKUP($A172,'The List'!$B1:$AH730,27,FALSE)-AVERAGE('The List'!AB2:AB730))/STDEV('The List'!AB2:AB730)</f>
        <v>-0.45696332710638998</v>
      </c>
      <c r="P172" s="38">
        <f>(VLOOKUP($A172,'The List'!$B1:$AH730,28,FALSE)-AVERAGE('The List'!AC2:AC730))/STDEV('The List'!AC2:AC730)</f>
        <v>7.4562364503974132E-2</v>
      </c>
      <c r="Q172" s="38">
        <f>(VLOOKUP($A172,'The List'!$B1:$AH730,29,FALSE)-AVERAGE('The List'!AD2:AD730))/STDEV('The List'!AD2:AD730)</f>
        <v>0.70981532046065821</v>
      </c>
      <c r="R172" s="38">
        <f>(VLOOKUP($A172,'The List'!$B1:$AH730,30,FALSE)-AVERAGE('The List'!AE2:AE730))/STDEV('The List'!AE2:AE730)</f>
        <v>0.50398362105278205</v>
      </c>
      <c r="S172" s="38">
        <f>(VLOOKUP($A172,'The List'!$B1:$AH730,31,FALSE)-AVERAGE('The List'!AF2:AF730))/STDEV('The List'!AF2:AF730)</f>
        <v>2.6406158889279263</v>
      </c>
      <c r="T172" s="38">
        <f>(VLOOKUP($A172,'The List'!$B1:$AH730,32,FALSE)-AVERAGE('The List'!AG2:AG730))/STDEV('The List'!AG2:AG730)</f>
        <v>2.2812142626143288</v>
      </c>
      <c r="U172" s="38">
        <f>(VLOOKUP($A172,'The List'!$B1:$AH730,33,FALSE)-AVERAGE('The List'!AH2:AH730))/STDEV('The List'!AH2:AH730)</f>
        <v>1.193294545700581</v>
      </c>
      <c r="V172" s="38"/>
      <c r="W172" s="42"/>
      <c r="X172" s="40"/>
      <c r="Y172" s="40"/>
      <c r="Z172" s="40"/>
      <c r="AA172" s="40"/>
      <c r="AB172" s="40"/>
      <c r="AC172" s="43"/>
      <c r="AD172" s="44"/>
      <c r="AE172" s="38"/>
    </row>
    <row r="173" spans="1:31" ht="21.2" customHeight="1">
      <c r="A173" s="8" t="s">
        <v>296</v>
      </c>
      <c r="B173" s="34" t="str">
        <f>VLOOKUP(A173,'Player Data'!A1:B734,2,FALSE)</f>
        <v>NYI</v>
      </c>
      <c r="C173" s="36">
        <f>((E173)*Settings!$C$12)+(F173*Settings!$C$2)+(G173*Settings!$C$3)+(H173*Settings!$C$4)+(I173*Settings!$C$5)+(K173*Settings!$C$9)+(N173*Settings!$C$6)+(J173*Settings!$C$8)+(O173*Settings!$C$7)+(P173*Settings!$C$14)+(Q173*Settings!$C$15)+(R173*Settings!$C$16)+(S173*Settings!$C$17)+(T173*Settings!$C$18)+(U173*Settings!$C$19)+(L173*Settings!$C$10)+(Settings!$C$11*M173)</f>
        <v>3.4793713744958863</v>
      </c>
      <c r="D173" s="40">
        <f>IF(Settings!$E$12="YES",VLOOKUP(A173,'Player Data'!A1:E734,5,FALSE),82)</f>
        <v>82</v>
      </c>
      <c r="E173" s="38">
        <f>(VLOOKUP($A173,'The List'!$B1:$AH730,17,FALSE)-AVERAGE('The List'!R2:R730))/STDEV('The List'!R2:R730)</f>
        <v>0.23798868672210191</v>
      </c>
      <c r="F173" s="38">
        <f>(VLOOKUP($A173,'The List'!$B1:$AH730,18,FALSE)-AVERAGE('The List'!S2:S730))/STDEV('The List'!S2:S730)</f>
        <v>1.2710989512789523</v>
      </c>
      <c r="G173" s="38">
        <f>(VLOOKUP($A173,'The List'!$B1:$AH730,19,FALSE)-AVERAGE('The List'!T2:T730))/STDEV('The List'!T2:T730)</f>
        <v>-0.14860609148980267</v>
      </c>
      <c r="H173" s="38">
        <f>(VLOOKUP($A173,'The List'!$B1:$AH730,20,FALSE)-AVERAGE('The List'!U2:U730))/STDEV('The List'!U2:U730)</f>
        <v>0.49957545499024353</v>
      </c>
      <c r="I173" s="38">
        <f>(VLOOKUP($A173,'The List'!$B1:$AH730,21,FALSE)-AVERAGE('The List'!V2:V730))/STDEV('The List'!V2:V730)</f>
        <v>1.0903618143669755</v>
      </c>
      <c r="J173" s="38">
        <f>(VLOOKUP($A173,'The List'!$B1:$AH730,22,FALSE)-AVERAGE('The List'!W2:W730))/STDEV('The List'!W2:W730)</f>
        <v>1.4152311853797181</v>
      </c>
      <c r="K173" s="38">
        <f>(VLOOKUP($A173,'The List'!$B1:$AH730,23,FALSE)-AVERAGE('The List'!X2:X730))/STDEV('The List'!X2:X730)</f>
        <v>0.76694124534951746</v>
      </c>
      <c r="L173" s="38">
        <f>(VLOOKUP($A173,'The List'!$B1:$AH730,24,FALSE)-AVERAGE('The List'!Y2:Y730))/STDEV('The List'!Y2:Y730)</f>
        <v>-0.51623720616658197</v>
      </c>
      <c r="M173" s="38">
        <f>(VLOOKUP($A173,'The List'!$B1:$AH730,25,FALSE)-AVERAGE('The List'!Z2:Z730))/STDEV('The List'!Z2:Z730)</f>
        <v>-0.69448634215115845</v>
      </c>
      <c r="N173" s="38">
        <f>(VLOOKUP($A173,'The List'!$B1:$AH730,26,FALSE)-AVERAGE('The List'!AA2:AA730))/STDEV('The List'!AA2:AA730)</f>
        <v>-0.40303173397228037</v>
      </c>
      <c r="O173" s="38">
        <f>(VLOOKUP($A173,'The List'!$B1:$AH730,27,FALSE)-AVERAGE('The List'!AB2:AB730))/STDEV('The List'!AB2:AB730)</f>
        <v>0.25322893175845451</v>
      </c>
      <c r="P173" s="38">
        <f>(VLOOKUP($A173,'The List'!$B1:$AH730,28,FALSE)-AVERAGE('The List'!AC2:AC730))/STDEV('The List'!AC2:AC730)</f>
        <v>0.50590018457259411</v>
      </c>
      <c r="Q173" s="38">
        <f>(VLOOKUP($A173,'The List'!$B1:$AH730,29,FALSE)-AVERAGE('The List'!AD2:AD730))/STDEV('The List'!AD2:AD730)</f>
        <v>0.57496236176154158</v>
      </c>
      <c r="R173" s="38">
        <f>(VLOOKUP($A173,'The List'!$B1:$AH730,30,FALSE)-AVERAGE('The List'!AE2:AE730))/STDEV('The List'!AE2:AE730)</f>
        <v>1.406047687166267</v>
      </c>
      <c r="S173" s="38">
        <f>(VLOOKUP($A173,'The List'!$B1:$AH730,31,FALSE)-AVERAGE('The List'!AF2:AF730))/STDEV('The List'!AF2:AF730)</f>
        <v>-0.36733286479409694</v>
      </c>
      <c r="T173" s="38">
        <f>(VLOOKUP($A173,'The List'!$B1:$AH730,32,FALSE)-AVERAGE('The List'!AG2:AG730))/STDEV('The List'!AG2:AG730)</f>
        <v>-0.41474687513340042</v>
      </c>
      <c r="U173" s="38">
        <f>(VLOOKUP($A173,'The List'!$B1:$AH730,33,FALSE)-AVERAGE('The List'!AH2:AH730))/STDEV('The List'!AH2:AH730)</f>
        <v>1.0856195048886614</v>
      </c>
      <c r="V173" s="38"/>
      <c r="W173" s="40"/>
      <c r="X173" s="38"/>
      <c r="Y173" s="38"/>
      <c r="Z173" s="38"/>
      <c r="AA173" s="38"/>
      <c r="AB173" s="38"/>
      <c r="AC173" s="38"/>
      <c r="AD173" s="38"/>
      <c r="AE173" s="38"/>
    </row>
    <row r="174" spans="1:31" ht="21.2" customHeight="1">
      <c r="A174" s="8" t="s">
        <v>319</v>
      </c>
      <c r="B174" s="34" t="str">
        <f>VLOOKUP(A174,'Player Data'!A1:B734,2,FALSE)</f>
        <v>TOR</v>
      </c>
      <c r="C174" s="36">
        <f>((E174)*Settings!$C$12)+(F174*Settings!$C$2)+(G174*Settings!$C$3)+(H174*Settings!$C$4)+(I174*Settings!$C$5)+(K174*Settings!$C$9)+(N174*Settings!$C$6)+(J174*Settings!$C$8)+(O174*Settings!$C$7)+(P174*Settings!$C$14)+(Q174*Settings!$C$15)+(R174*Settings!$C$16)+(S174*Settings!$C$17)+(T174*Settings!$C$18)+(U174*Settings!$C$19)+(L174*Settings!$C$10)+(Settings!$C$11*M174)</f>
        <v>3.9996377274450081</v>
      </c>
      <c r="D174" s="40">
        <f>IF(Settings!$E$12="YES",VLOOKUP(A174,'Player Data'!A1:E734,5,FALSE),82)</f>
        <v>82</v>
      </c>
      <c r="E174" s="38">
        <f>(VLOOKUP($A174,'The List'!$B1:$AH730,17,FALSE)-AVERAGE('The List'!R2:R730))/STDEV('The List'!R2:R730)</f>
        <v>-0.18908925629429751</v>
      </c>
      <c r="F174" s="38">
        <f>(VLOOKUP($A174,'The List'!$B1:$AH730,18,FALSE)-AVERAGE('The List'!S2:S730))/STDEV('The List'!S2:S730)</f>
        <v>0.89831245612750887</v>
      </c>
      <c r="G174" s="38">
        <f>(VLOOKUP($A174,'The List'!$B1:$AH730,19,FALSE)-AVERAGE('The List'!T2:T730))/STDEV('The List'!T2:T730)</f>
        <v>0.83639456139282575</v>
      </c>
      <c r="H174" s="38">
        <f>(VLOOKUP($A174,'The List'!$B1:$AH730,20,FALSE)-AVERAGE('The List'!U2:U730))/STDEV('The List'!U2:U730)</f>
        <v>0.93159868003185109</v>
      </c>
      <c r="I174" s="38">
        <f>(VLOOKUP($A174,'The List'!$B1:$AH730,21,FALSE)-AVERAGE('The List'!V2:V730))/STDEV('The List'!V2:V730)</f>
        <v>0.81402143406598237</v>
      </c>
      <c r="J174" s="38">
        <f>(VLOOKUP($A174,'The List'!$B1:$AH730,22,FALSE)-AVERAGE('The List'!W2:W730))/STDEV('The List'!W2:W730)</f>
        <v>0.7375117594276871</v>
      </c>
      <c r="K174" s="38">
        <f>(VLOOKUP($A174,'The List'!$B1:$AH730,23,FALSE)-AVERAGE('The List'!X2:X730))/STDEV('The List'!X2:X730)</f>
        <v>0.51931059582684003</v>
      </c>
      <c r="L174" s="38">
        <f>(VLOOKUP($A174,'The List'!$B1:$AH730,24,FALSE)-AVERAGE('The List'!Y2:Y730))/STDEV('The List'!Y2:Y730)</f>
        <v>-0.50261997543371761</v>
      </c>
      <c r="M174" s="38">
        <f>(VLOOKUP($A174,'The List'!$B1:$AH730,25,FALSE)-AVERAGE('The List'!Z2:Z730))/STDEV('The List'!Z2:Z730)</f>
        <v>-0.67624633431492198</v>
      </c>
      <c r="N174" s="38">
        <f>(VLOOKUP($A174,'The List'!$B1:$AH730,26,FALSE)-AVERAGE('The List'!AA2:AA730))/STDEV('The List'!AA2:AA730)</f>
        <v>-0.64443225299055618</v>
      </c>
      <c r="O174" s="38">
        <f>(VLOOKUP($A174,'The List'!$B1:$AH730,27,FALSE)-AVERAGE('The List'!AB2:AB730))/STDEV('The List'!AB2:AB730)</f>
        <v>-0.37810364582916867</v>
      </c>
      <c r="P174" s="38">
        <f>(VLOOKUP($A174,'The List'!$B1:$AH730,28,FALSE)-AVERAGE('The List'!AC2:AC730))/STDEV('The List'!AC2:AC730)</f>
        <v>1.2998317151342371</v>
      </c>
      <c r="Q174" s="38">
        <f>(VLOOKUP($A174,'The List'!$B1:$AH730,29,FALSE)-AVERAGE('The List'!AD2:AD730))/STDEV('The List'!AD2:AD730)</f>
        <v>-0.11878508252610291</v>
      </c>
      <c r="R174" s="38">
        <f>(VLOOKUP($A174,'The List'!$B1:$AH730,30,FALSE)-AVERAGE('The List'!AE2:AE730))/STDEV('The List'!AE2:AE730)</f>
        <v>1.1214408056002643</v>
      </c>
      <c r="S174" s="38">
        <f>(VLOOKUP($A174,'The List'!$B1:$AH730,31,FALSE)-AVERAGE('The List'!AF2:AF730))/STDEV('The List'!AF2:AF730)</f>
        <v>-0.53809740466475908</v>
      </c>
      <c r="T174" s="38">
        <f>(VLOOKUP($A174,'The List'!$B1:$AH730,32,FALSE)-AVERAGE('The List'!AG2:AG730))/STDEV('The List'!AG2:AG730)</f>
        <v>-0.52362617548837831</v>
      </c>
      <c r="U174" s="38">
        <f>(VLOOKUP($A174,'The List'!$B1:$AH730,33,FALSE)-AVERAGE('The List'!AH2:AH730))/STDEV('The List'!AH2:AH730)</f>
        <v>-4.9977620952259841E-2</v>
      </c>
      <c r="V174" s="38"/>
      <c r="W174" s="40"/>
      <c r="X174" s="40"/>
      <c r="Y174" s="40"/>
      <c r="Z174" s="40"/>
      <c r="AA174" s="40"/>
      <c r="AB174" s="40"/>
      <c r="AC174" s="43"/>
      <c r="AD174" s="44"/>
      <c r="AE174" s="38"/>
    </row>
    <row r="175" spans="1:31" ht="21.2" customHeight="1">
      <c r="A175" s="8" t="s">
        <v>491</v>
      </c>
      <c r="B175" s="34" t="str">
        <f>VLOOKUP(A175,'Player Data'!A1:B734,2,FALSE)</f>
        <v>WSH</v>
      </c>
      <c r="C175" s="36">
        <f>((E175)*Settings!$C$12)+(F175*Settings!$C$2)+(G175*Settings!$C$3)+(H175*Settings!$C$4)+(I175*Settings!$C$5)+(K175*Settings!$C$9)+(N175*Settings!$C$6)+(J175*Settings!$C$8)+(O175*Settings!$C$7)+(P175*Settings!$C$14)+(Q175*Settings!$C$15)+(R175*Settings!$C$16)+(S175*Settings!$C$17)+(T175*Settings!$C$18)+(U175*Settings!$C$19)+(L175*Settings!$C$10)+(Settings!$C$11*M175)</f>
        <v>2.3844870982587514</v>
      </c>
      <c r="D175" s="40">
        <f>IF(Settings!$E$12="YES",VLOOKUP(A175,'Player Data'!A1:E734,5,FALSE),82)</f>
        <v>82</v>
      </c>
      <c r="E175" s="38">
        <f>(VLOOKUP($A175,'The List'!$B1:$AH730,17,FALSE)-AVERAGE('The List'!R2:R730))/STDEV('The List'!R2:R730)</f>
        <v>0.1149954576247298</v>
      </c>
      <c r="F175" s="38">
        <f>(VLOOKUP($A175,'The List'!$B1:$AH730,18,FALSE)-AVERAGE('The List'!S2:S730))/STDEV('The List'!S2:S730)</f>
        <v>-9.6396986764963315E-3</v>
      </c>
      <c r="G175" s="38">
        <f>(VLOOKUP($A175,'The List'!$B1:$AH730,19,FALSE)-AVERAGE('The List'!T2:T730))/STDEV('The List'!T2:T730)</f>
        <v>0.79694745648782317</v>
      </c>
      <c r="H175" s="38">
        <f>(VLOOKUP($A175,'The List'!$B1:$AH730,20,FALSE)-AVERAGE('The List'!U2:U730))/STDEV('The List'!U2:U730)</f>
        <v>0.48527432508917917</v>
      </c>
      <c r="I175" s="38">
        <f>(VLOOKUP($A175,'The List'!$B1:$AH730,21,FALSE)-AVERAGE('The List'!V2:V730))/STDEV('The List'!V2:V730)</f>
        <v>-0.25111037391046426</v>
      </c>
      <c r="J175" s="38">
        <f>(VLOOKUP($A175,'The List'!$B1:$AH730,22,FALSE)-AVERAGE('The List'!W2:W730))/STDEV('The List'!W2:W730)</f>
        <v>0.86119937896061616</v>
      </c>
      <c r="K175" s="38">
        <f>(VLOOKUP($A175,'The List'!$B1:$AH730,23,FALSE)-AVERAGE('The List'!X2:X730))/STDEV('The List'!X2:X730)</f>
        <v>1.3630153892687098</v>
      </c>
      <c r="L175" s="38">
        <f>(VLOOKUP($A175,'The List'!$B1:$AH730,24,FALSE)-AVERAGE('The List'!Y2:Y730))/STDEV('The List'!Y2:Y730)</f>
        <v>-0.47314750709027237</v>
      </c>
      <c r="M175" s="38">
        <f>(VLOOKUP($A175,'The List'!$B1:$AH730,25,FALSE)-AVERAGE('The List'!Z2:Z730))/STDEV('The List'!Z2:Z730)</f>
        <v>-0.65799873642801543</v>
      </c>
      <c r="N175" s="38">
        <f>(VLOOKUP($A175,'The List'!$B1:$AH730,26,FALSE)-AVERAGE('The List'!AA2:AA730))/STDEV('The List'!AA2:AA730)</f>
        <v>-0.6063954720395226</v>
      </c>
      <c r="O175" s="38">
        <f>(VLOOKUP($A175,'The List'!$B1:$AH730,27,FALSE)-AVERAGE('The List'!AB2:AB730))/STDEV('The List'!AB2:AB730)</f>
        <v>-0.96737922367743778</v>
      </c>
      <c r="P175" s="38">
        <f>(VLOOKUP($A175,'The List'!$B1:$AH730,28,FALSE)-AVERAGE('The List'!AC2:AC730))/STDEV('The List'!AC2:AC730)</f>
        <v>-1.038792212248441</v>
      </c>
      <c r="Q175" s="38">
        <f>(VLOOKUP($A175,'The List'!$B1:$AH730,29,FALSE)-AVERAGE('The List'!AD2:AD730))/STDEV('The List'!AD2:AD730)</f>
        <v>-0.57042804478864562</v>
      </c>
      <c r="R175" s="38">
        <f>(VLOOKUP($A175,'The List'!$B1:$AH730,30,FALSE)-AVERAGE('The List'!AE2:AE730))/STDEV('The List'!AE2:AE730)</f>
        <v>-0.16191708076305464</v>
      </c>
      <c r="S175" s="38">
        <f>(VLOOKUP($A175,'The List'!$B1:$AH730,31,FALSE)-AVERAGE('The List'!AF2:AF730))/STDEV('The List'!AF2:AF730)</f>
        <v>1.8487637922052256</v>
      </c>
      <c r="T175" s="38">
        <f>(VLOOKUP($A175,'The List'!$B1:$AH730,32,FALSE)-AVERAGE('The List'!AG2:AG730))/STDEV('The List'!AG2:AG730)</f>
        <v>2.1006865391202609</v>
      </c>
      <c r="U175" s="38">
        <f>(VLOOKUP($A175,'The List'!$B1:$AH730,33,FALSE)-AVERAGE('The List'!AH2:AH730))/STDEV('The List'!AH2:AH730)</f>
        <v>0.94645203724438398</v>
      </c>
      <c r="V175" s="38"/>
      <c r="W175" s="42"/>
      <c r="X175" s="40"/>
      <c r="Y175" s="40"/>
      <c r="Z175" s="40"/>
      <c r="AA175" s="40"/>
      <c r="AB175" s="40"/>
      <c r="AC175" s="43"/>
      <c r="AD175" s="44"/>
      <c r="AE175" s="38"/>
    </row>
    <row r="176" spans="1:31" ht="21.2" customHeight="1">
      <c r="A176" s="8" t="s">
        <v>291</v>
      </c>
      <c r="B176" s="34" t="str">
        <f>VLOOKUP(A176,'Player Data'!A1:B734,2,FALSE)</f>
        <v>PIT</v>
      </c>
      <c r="C176" s="36">
        <f>((E176)*Settings!$C$12)+(F176*Settings!$C$2)+(G176*Settings!$C$3)+(H176*Settings!$C$4)+(I176*Settings!$C$5)+(K176*Settings!$C$9)+(N176*Settings!$C$6)+(J176*Settings!$C$8)+(O176*Settings!$C$7)+(P176*Settings!$C$14)+(Q176*Settings!$C$15)+(R176*Settings!$C$16)+(S176*Settings!$C$17)+(T176*Settings!$C$18)+(U176*Settings!$C$19)+(L176*Settings!$C$10)+(Settings!$C$11*M176)</f>
        <v>2.766194022323075</v>
      </c>
      <c r="D176" s="40">
        <f>IF(Settings!$E$12="YES",VLOOKUP(A176,'Player Data'!A1:E734,5,FALSE),82)</f>
        <v>82</v>
      </c>
      <c r="E176" s="38">
        <f>(VLOOKUP($A176,'The List'!$B1:$AH730,17,FALSE)-AVERAGE('The List'!R2:R730))/STDEV('The List'!R2:R730)</f>
        <v>0.35857228461500895</v>
      </c>
      <c r="F176" s="38">
        <f>(VLOOKUP($A176,'The List'!$B1:$AH730,18,FALSE)-AVERAGE('The List'!S2:S730))/STDEV('The List'!S2:S730)</f>
        <v>0.68737456345180659</v>
      </c>
      <c r="G176" s="38">
        <f>(VLOOKUP($A176,'The List'!$B1:$AH730,19,FALSE)-AVERAGE('The List'!T2:T730))/STDEV('The List'!T2:T730)</f>
        <v>0.25101716039163563</v>
      </c>
      <c r="H176" s="38">
        <f>(VLOOKUP($A176,'The List'!$B1:$AH730,20,FALSE)-AVERAGE('The List'!U2:U730))/STDEV('The List'!U2:U730)</f>
        <v>0.47380188207897295</v>
      </c>
      <c r="I176" s="38">
        <f>(VLOOKUP($A176,'The List'!$B1:$AH730,21,FALSE)-AVERAGE('The List'!V2:V730))/STDEV('The List'!V2:V730)</f>
        <v>1.0423855090910716</v>
      </c>
      <c r="J176" s="38">
        <f>(VLOOKUP($A176,'The List'!$B1:$AH730,22,FALSE)-AVERAGE('The List'!W2:W730))/STDEV('The List'!W2:W730)</f>
        <v>0.28173383689829196</v>
      </c>
      <c r="K176" s="38">
        <f>(VLOOKUP($A176,'The List'!$B1:$AH730,23,FALSE)-AVERAGE('The List'!X2:X730))/STDEV('The List'!X2:X730)</f>
        <v>0.31161490730958852</v>
      </c>
      <c r="L176" s="38">
        <f>(VLOOKUP($A176,'The List'!$B1:$AH730,24,FALSE)-AVERAGE('The List'!Y2:Y730))/STDEV('The List'!Y2:Y730)</f>
        <v>-0.43321340631581301</v>
      </c>
      <c r="M176" s="38">
        <f>(VLOOKUP($A176,'The List'!$B1:$AH730,25,FALSE)-AVERAGE('The List'!Z2:Z730))/STDEV('The List'!Z2:Z730)</f>
        <v>8.4168749374613147E-2</v>
      </c>
      <c r="N176" s="38">
        <f>(VLOOKUP($A176,'The List'!$B1:$AH730,26,FALSE)-AVERAGE('The List'!AA2:AA730))/STDEV('The List'!AA2:AA730)</f>
        <v>-0.38037038689537633</v>
      </c>
      <c r="O176" s="38">
        <f>(VLOOKUP($A176,'The List'!$B1:$AH730,27,FALSE)-AVERAGE('The List'!AB2:AB730))/STDEV('The List'!AB2:AB730)</f>
        <v>-0.26959142966316119</v>
      </c>
      <c r="P176" s="38">
        <f>(VLOOKUP($A176,'The List'!$B1:$AH730,28,FALSE)-AVERAGE('The List'!AC2:AC730))/STDEV('The List'!AC2:AC730)</f>
        <v>0.63102613241785876</v>
      </c>
      <c r="Q176" s="38">
        <f>(VLOOKUP($A176,'The List'!$B1:$AH730,29,FALSE)-AVERAGE('The List'!AD2:AD730))/STDEV('The List'!AD2:AD730)</f>
        <v>-0.44994067207168947</v>
      </c>
      <c r="R176" s="38">
        <f>(VLOOKUP($A176,'The List'!$B1:$AH730,30,FALSE)-AVERAGE('The List'!AE2:AE730))/STDEV('The List'!AE2:AE730)</f>
        <v>0.89902430027998181</v>
      </c>
      <c r="S176" s="38">
        <f>(VLOOKUP($A176,'The List'!$B1:$AH730,31,FALSE)-AVERAGE('The List'!AF2:AF730))/STDEV('The List'!AF2:AF730)</f>
        <v>-0.5513220234463343</v>
      </c>
      <c r="T176" s="38">
        <f>(VLOOKUP($A176,'The List'!$B1:$AH730,32,FALSE)-AVERAGE('The List'!AG2:AG730))/STDEV('The List'!AG2:AG730)</f>
        <v>-0.5867487938246404</v>
      </c>
      <c r="U176" s="38">
        <f>(VLOOKUP($A176,'The List'!$B1:$AH730,33,FALSE)-AVERAGE('The List'!AH2:AH730))/STDEV('The List'!AH2:AH730)</f>
        <v>0.55829944950813937</v>
      </c>
      <c r="V176" s="38"/>
      <c r="W176" s="40"/>
      <c r="X176" s="38"/>
      <c r="Y176" s="38"/>
      <c r="Z176" s="38"/>
      <c r="AA176" s="38"/>
      <c r="AB176" s="38"/>
      <c r="AC176" s="38"/>
      <c r="AD176" s="38"/>
      <c r="AE176" s="38"/>
    </row>
    <row r="177" spans="1:31" ht="21.2" customHeight="1">
      <c r="A177" s="8" t="s">
        <v>183</v>
      </c>
      <c r="B177" s="34" t="str">
        <f>VLOOKUP(A177,'Player Data'!A1:B734,2,FALSE)</f>
        <v>VGK</v>
      </c>
      <c r="C177" s="36">
        <f>((E177)*Settings!$C$12)+(F177*Settings!$C$2)+(G177*Settings!$C$3)+(H177*Settings!$C$4)+(I177*Settings!$C$5)+(K177*Settings!$C$9)+(N177*Settings!$C$6)+(J177*Settings!$C$8)+(O177*Settings!$C$7)+(P177*Settings!$C$14)+(Q177*Settings!$C$15)+(R177*Settings!$C$16)+(S177*Settings!$C$17)+(T177*Settings!$C$18)+(U177*Settings!$C$19)+(L177*Settings!$C$10)+(Settings!$C$11*M177)</f>
        <v>2.6590856762594255</v>
      </c>
      <c r="D177" s="40">
        <f>IF(Settings!$E$12="YES",VLOOKUP(A177,'Player Data'!A1:E734,5,FALSE),82)</f>
        <v>82</v>
      </c>
      <c r="E177" s="38">
        <f>(VLOOKUP($A177,'The List'!$B1:$AH730,17,FALSE)-AVERAGE('The List'!R2:R730))/STDEV('The List'!R2:R730)</f>
        <v>2.1628399551603796</v>
      </c>
      <c r="F177" s="38">
        <f>(VLOOKUP($A177,'The List'!$B1:$AH730,18,FALSE)-AVERAGE('The List'!S2:S730))/STDEV('The List'!S2:S730)</f>
        <v>-0.26131329921392282</v>
      </c>
      <c r="G177" s="38">
        <f>(VLOOKUP($A177,'The List'!$B1:$AH730,19,FALSE)-AVERAGE('The List'!T2:T730))/STDEV('The List'!T2:T730)</f>
        <v>0.95495320370303105</v>
      </c>
      <c r="H177" s="38">
        <f>(VLOOKUP($A177,'The List'!$B1:$AH730,20,FALSE)-AVERAGE('The List'!U2:U730))/STDEV('The List'!U2:U730)</f>
        <v>0.46537877868295086</v>
      </c>
      <c r="I177" s="38">
        <f>(VLOOKUP($A177,'The List'!$B1:$AH730,21,FALSE)-AVERAGE('The List'!V2:V730))/STDEV('The List'!V2:V730)</f>
        <v>1.0302080410278944</v>
      </c>
      <c r="J177" s="38">
        <f>(VLOOKUP($A177,'The List'!$B1:$AH730,22,FALSE)-AVERAGE('The List'!W2:W730))/STDEV('The List'!W2:W730)</f>
        <v>-0.28567263488613481</v>
      </c>
      <c r="K177" s="38">
        <f>(VLOOKUP($A177,'The List'!$B1:$AH730,23,FALSE)-AVERAGE('The List'!X2:X730))/STDEV('The List'!X2:X730)</f>
        <v>0.46985895205947226</v>
      </c>
      <c r="L177" s="38">
        <f>(VLOOKUP($A177,'The List'!$B1:$AH730,24,FALSE)-AVERAGE('The List'!Y2:Y730))/STDEV('The List'!Y2:Y730)</f>
        <v>-3.4266022320402767E-2</v>
      </c>
      <c r="M177" s="38">
        <f>(VLOOKUP($A177,'The List'!$B1:$AH730,25,FALSE)-AVERAGE('The List'!Z2:Z730))/STDEV('The List'!Z2:Z730)</f>
        <v>1.6833020032583013</v>
      </c>
      <c r="N177" s="38">
        <f>(VLOOKUP($A177,'The List'!$B1:$AH730,26,FALSE)-AVERAGE('The List'!AA2:AA730))/STDEV('The List'!AA2:AA730)</f>
        <v>2.849552920654562</v>
      </c>
      <c r="O177" s="38">
        <f>(VLOOKUP($A177,'The List'!$B1:$AH730,27,FALSE)-AVERAGE('The List'!AB2:AB730))/STDEV('The List'!AB2:AB730)</f>
        <v>-0.48655368981737995</v>
      </c>
      <c r="P177" s="38">
        <f>(VLOOKUP($A177,'The List'!$B1:$AH730,28,FALSE)-AVERAGE('The List'!AC2:AC730))/STDEV('The List'!AC2:AC730)</f>
        <v>1.2175120189981508</v>
      </c>
      <c r="Q177" s="38">
        <f>(VLOOKUP($A177,'The List'!$B1:$AH730,29,FALSE)-AVERAGE('The List'!AD2:AD730))/STDEV('The List'!AD2:AD730)</f>
        <v>-0.35478450497612724</v>
      </c>
      <c r="R177" s="38">
        <f>(VLOOKUP($A177,'The List'!$B1:$AH730,30,FALSE)-AVERAGE('The List'!AE2:AE730))/STDEV('The List'!AE2:AE730)</f>
        <v>-7.1681155186399489E-2</v>
      </c>
      <c r="S177" s="38">
        <f>(VLOOKUP($A177,'The List'!$B1:$AH730,31,FALSE)-AVERAGE('The List'!AF2:AF730))/STDEV('The List'!AF2:AF730)</f>
        <v>-0.56735707808768154</v>
      </c>
      <c r="T177" s="38">
        <f>(VLOOKUP($A177,'The List'!$B1:$AH730,32,FALSE)-AVERAGE('The List'!AG2:AG730))/STDEV('The List'!AG2:AG730)</f>
        <v>-0.61275283124744273</v>
      </c>
      <c r="U177" s="38">
        <f>(VLOOKUP($A177,'The List'!$B1:$AH730,33,FALSE)-AVERAGE('The List'!AH2:AH730))/STDEV('The List'!AH2:AH730)</f>
        <v>0.75249224344949672</v>
      </c>
      <c r="V177" s="38"/>
      <c r="W177" s="40"/>
      <c r="X177" s="38"/>
      <c r="Y177" s="38"/>
      <c r="Z177" s="38"/>
      <c r="AA177" s="38"/>
      <c r="AB177" s="38"/>
      <c r="AC177" s="38"/>
      <c r="AD177" s="38"/>
      <c r="AE177" s="38"/>
    </row>
    <row r="178" spans="1:31" ht="21.2" customHeight="1">
      <c r="A178" s="8" t="s">
        <v>384</v>
      </c>
      <c r="B178" s="34" t="str">
        <f>VLOOKUP(A178,'Player Data'!A1:B734,2,FALSE)</f>
        <v>VGK</v>
      </c>
      <c r="C178" s="36">
        <f>((E178)*Settings!$C$12)+(F178*Settings!$C$2)+(G178*Settings!$C$3)+(H178*Settings!$C$4)+(I178*Settings!$C$5)+(K178*Settings!$C$9)+(N178*Settings!$C$6)+(J178*Settings!$C$8)+(O178*Settings!$C$7)+(P178*Settings!$C$14)+(Q178*Settings!$C$15)+(R178*Settings!$C$16)+(S178*Settings!$C$17)+(T178*Settings!$C$18)+(U178*Settings!$C$19)+(L178*Settings!$C$10)+(Settings!$C$11*M178)</f>
        <v>1.4385726371349721</v>
      </c>
      <c r="D178" s="40">
        <f>IF(Settings!$E$12="YES",VLOOKUP(A178,'Player Data'!A1:E734,5,FALSE),82)</f>
        <v>82</v>
      </c>
      <c r="E178" s="38">
        <f>(VLOOKUP($A178,'The List'!$B1:$AH730,17,FALSE)-AVERAGE('The List'!R2:R730))/STDEV('The List'!R2:R730)</f>
        <v>0.39256853225884514</v>
      </c>
      <c r="F178" s="38">
        <f>(VLOOKUP($A178,'The List'!$B1:$AH730,18,FALSE)-AVERAGE('The List'!S2:S730))/STDEV('The List'!S2:S730)</f>
        <v>8.6703467680760288E-2</v>
      </c>
      <c r="G178" s="38">
        <f>(VLOOKUP($A178,'The List'!$B1:$AH730,19,FALSE)-AVERAGE('The List'!T2:T730))/STDEV('The List'!T2:T730)</f>
        <v>0.68583615078273719</v>
      </c>
      <c r="H178" s="38">
        <f>(VLOOKUP($A178,'The List'!$B1:$AH730,20,FALSE)-AVERAGE('The List'!U2:U730))/STDEV('The List'!U2:U730)</f>
        <v>0.46177940588367899</v>
      </c>
      <c r="I178" s="38">
        <f>(VLOOKUP($A178,'The List'!$B1:$AH730,21,FALSE)-AVERAGE('The List'!V2:V730))/STDEV('The List'!V2:V730)</f>
        <v>0.31921511451628526</v>
      </c>
      <c r="J178" s="38">
        <f>(VLOOKUP($A178,'The List'!$B1:$AH730,22,FALSE)-AVERAGE('The List'!W2:W730))/STDEV('The List'!W2:W730)</f>
        <v>-0.35557875320573362</v>
      </c>
      <c r="K178" s="38">
        <f>(VLOOKUP($A178,'The List'!$B1:$AH730,23,FALSE)-AVERAGE('The List'!X2:X730))/STDEV('The List'!X2:X730)</f>
        <v>-0.11496150172848962</v>
      </c>
      <c r="L178" s="38">
        <f>(VLOOKUP($A178,'The List'!$B1:$AH730,24,FALSE)-AVERAGE('The List'!Y2:Y730))/STDEV('The List'!Y2:Y730)</f>
        <v>2.120827879518755</v>
      </c>
      <c r="M178" s="38">
        <f>(VLOOKUP($A178,'The List'!$B1:$AH730,25,FALSE)-AVERAGE('The List'!Z2:Z730))/STDEV('The List'!Z2:Z730)</f>
        <v>3.0160461074756126</v>
      </c>
      <c r="N178" s="38">
        <f>(VLOOKUP($A178,'The List'!$B1:$AH730,26,FALSE)-AVERAGE('The List'!AA2:AA730))/STDEV('The List'!AA2:AA730)</f>
        <v>-0.36537539182294809</v>
      </c>
      <c r="O178" s="38">
        <f>(VLOOKUP($A178,'The List'!$B1:$AH730,27,FALSE)-AVERAGE('The List'!AB2:AB730))/STDEV('The List'!AB2:AB730)</f>
        <v>-0.93205955675055341</v>
      </c>
      <c r="P178" s="38">
        <f>(VLOOKUP($A178,'The List'!$B1:$AH730,28,FALSE)-AVERAGE('The List'!AC2:AC730))/STDEV('The List'!AC2:AC730)</f>
        <v>1.3605096292182686</v>
      </c>
      <c r="Q178" s="38">
        <f>(VLOOKUP($A178,'The List'!$B1:$AH730,29,FALSE)-AVERAGE('The List'!AD2:AD730))/STDEV('The List'!AD2:AD730)</f>
        <v>-1.346486999529499</v>
      </c>
      <c r="R178" s="38">
        <f>(VLOOKUP($A178,'The List'!$B1:$AH730,30,FALSE)-AVERAGE('The List'!AE2:AE730))/STDEV('The List'!AE2:AE730)</f>
        <v>0.29870134536431675</v>
      </c>
      <c r="S178" s="38">
        <f>(VLOOKUP($A178,'The List'!$B1:$AH730,31,FALSE)-AVERAGE('The List'!AF2:AF730))/STDEV('The List'!AF2:AF730)</f>
        <v>2.4510047263863939</v>
      </c>
      <c r="T178" s="38">
        <f>(VLOOKUP($A178,'The List'!$B1:$AH730,32,FALSE)-AVERAGE('The List'!AG2:AG730))/STDEV('The List'!AG2:AG730)</f>
        <v>2.0986118918596461</v>
      </c>
      <c r="U178" s="38">
        <f>(VLOOKUP($A178,'The List'!$B1:$AH730,33,FALSE)-AVERAGE('The List'!AH2:AH730))/STDEV('The List'!AH2:AH730)</f>
        <v>1.1980433493198019</v>
      </c>
      <c r="V178" s="38"/>
      <c r="W178" s="42"/>
      <c r="X178" s="40"/>
      <c r="Y178" s="40"/>
      <c r="Z178" s="40"/>
      <c r="AA178" s="40"/>
      <c r="AB178" s="40"/>
      <c r="AC178" s="43"/>
      <c r="AD178" s="44"/>
      <c r="AE178" s="38"/>
    </row>
    <row r="179" spans="1:31" ht="21.2" customHeight="1">
      <c r="A179" s="8" t="s">
        <v>363</v>
      </c>
      <c r="B179" s="34" t="str">
        <f>VLOOKUP(A179,'Player Data'!A1:B734,2,FALSE)</f>
        <v>CBJ</v>
      </c>
      <c r="C179" s="36">
        <f>((E179)*Settings!$C$12)+(F179*Settings!$C$2)+(G179*Settings!$C$3)+(H179*Settings!$C$4)+(I179*Settings!$C$5)+(K179*Settings!$C$9)+(N179*Settings!$C$6)+(J179*Settings!$C$8)+(O179*Settings!$C$7)+(P179*Settings!$C$14)+(Q179*Settings!$C$15)+(R179*Settings!$C$16)+(S179*Settings!$C$17)+(T179*Settings!$C$18)+(U179*Settings!$C$19)+(L179*Settings!$C$10)+(Settings!$C$11*M179)</f>
        <v>2.793472323315016</v>
      </c>
      <c r="D179" s="40">
        <f>IF(Settings!$E$12="YES",VLOOKUP(A179,'Player Data'!A1:E734,5,FALSE),82)</f>
        <v>82</v>
      </c>
      <c r="E179" s="38">
        <f>(VLOOKUP($A179,'The List'!$B1:$AH730,17,FALSE)-AVERAGE('The List'!R2:R730))/STDEV('The List'!R2:R730)</f>
        <v>0.45655736786590667</v>
      </c>
      <c r="F179" s="38">
        <f>(VLOOKUP($A179,'The List'!$B1:$AH730,18,FALSE)-AVERAGE('The List'!S2:S730))/STDEV('The List'!S2:S730)</f>
        <v>1.0567625453148957</v>
      </c>
      <c r="G179" s="38">
        <f>(VLOOKUP($A179,'The List'!$B1:$AH730,19,FALSE)-AVERAGE('The List'!T2:T730))/STDEV('The List'!T2:T730)</f>
        <v>-5.3656992837074133E-2</v>
      </c>
      <c r="H179" s="38">
        <f>(VLOOKUP($A179,'The List'!$B1:$AH730,20,FALSE)-AVERAGE('The List'!U2:U730))/STDEV('The List'!U2:U730)</f>
        <v>0.45828617593852877</v>
      </c>
      <c r="I179" s="38">
        <f>(VLOOKUP($A179,'The List'!$B1:$AH730,21,FALSE)-AVERAGE('The List'!V2:V730))/STDEV('The List'!V2:V730)</f>
        <v>1.2250080106454455</v>
      </c>
      <c r="J179" s="38">
        <f>(VLOOKUP($A179,'The List'!$B1:$AH730,22,FALSE)-AVERAGE('The List'!W2:W730))/STDEV('The List'!W2:W730)</f>
        <v>0.84135838236917537</v>
      </c>
      <c r="K179" s="38">
        <f>(VLOOKUP($A179,'The List'!$B1:$AH730,23,FALSE)-AVERAGE('The List'!X2:X730))/STDEV('The List'!X2:X730)</f>
        <v>0.10707258425322</v>
      </c>
      <c r="L179" s="38">
        <f>(VLOOKUP($A179,'The List'!$B1:$AH730,24,FALSE)-AVERAGE('The List'!Y2:Y730))/STDEV('The List'!Y2:Y730)</f>
        <v>-0.25913524600519988</v>
      </c>
      <c r="M179" s="38">
        <f>(VLOOKUP($A179,'The List'!$B1:$AH730,25,FALSE)-AVERAGE('The List'!Z2:Z730))/STDEV('The List'!Z2:Z730)</f>
        <v>-0.52896100454015849</v>
      </c>
      <c r="N179" s="38">
        <f>(VLOOKUP($A179,'The List'!$B1:$AH730,26,FALSE)-AVERAGE('The List'!AA2:AA730))/STDEV('The List'!AA2:AA730)</f>
        <v>0.17283136837632995</v>
      </c>
      <c r="O179" s="38">
        <f>(VLOOKUP($A179,'The List'!$B1:$AH730,27,FALSE)-AVERAGE('The List'!AB2:AB730))/STDEV('The List'!AB2:AB730)</f>
        <v>0.54195392173193502</v>
      </c>
      <c r="P179" s="38">
        <f>(VLOOKUP($A179,'The List'!$B1:$AH730,28,FALSE)-AVERAGE('The List'!AC2:AC730))/STDEV('The List'!AC2:AC730)</f>
        <v>-1.5137880948538223</v>
      </c>
      <c r="Q179" s="38">
        <f>(VLOOKUP($A179,'The List'!$B1:$AH730,29,FALSE)-AVERAGE('The List'!AD2:AD730))/STDEV('The List'!AD2:AD730)</f>
        <v>-9.3766706262730058E-3</v>
      </c>
      <c r="R179" s="38">
        <f>(VLOOKUP($A179,'The List'!$B1:$AH730,30,FALSE)-AVERAGE('The List'!AE2:AE730))/STDEV('The List'!AE2:AE730)</f>
        <v>0.44184126495977544</v>
      </c>
      <c r="S179" s="38">
        <f>(VLOOKUP($A179,'The List'!$B1:$AH730,31,FALSE)-AVERAGE('The List'!AF2:AF730))/STDEV('The List'!AF2:AF730)</f>
        <v>3.1707636972871196</v>
      </c>
      <c r="T179" s="38">
        <f>(VLOOKUP($A179,'The List'!$B1:$AH730,32,FALSE)-AVERAGE('The List'!AG2:AG730))/STDEV('The List'!AG2:AG730)</f>
        <v>2.6831314758049736</v>
      </c>
      <c r="U179" s="38">
        <f>(VLOOKUP($A179,'The List'!$B1:$AH730,33,FALSE)-AVERAGE('The List'!AH2:AH730))/STDEV('The List'!AH2:AH730)</f>
        <v>1.218999052480561</v>
      </c>
      <c r="V179" s="38"/>
      <c r="W179" s="42"/>
      <c r="X179" s="40"/>
      <c r="Y179" s="40"/>
      <c r="Z179" s="40"/>
      <c r="AA179" s="40"/>
      <c r="AB179" s="40"/>
      <c r="AC179" s="43"/>
      <c r="AD179" s="44"/>
      <c r="AE179" s="38"/>
    </row>
    <row r="180" spans="1:31" ht="21.2" customHeight="1">
      <c r="A180" s="8" t="s">
        <v>336</v>
      </c>
      <c r="B180" s="34" t="str">
        <f>VLOOKUP(A180,'Player Data'!A1:B734,2,FALSE)</f>
        <v>CAR</v>
      </c>
      <c r="C180" s="36">
        <f>((E180)*Settings!$C$12)+(F180*Settings!$C$2)+(G180*Settings!$C$3)+(H180*Settings!$C$4)+(I180*Settings!$C$5)+(K180*Settings!$C$9)+(N180*Settings!$C$6)+(J180*Settings!$C$8)+(O180*Settings!$C$7)+(P180*Settings!$C$14)+(Q180*Settings!$C$15)+(R180*Settings!$C$16)+(S180*Settings!$C$17)+(T180*Settings!$C$18)+(U180*Settings!$C$19)+(L180*Settings!$C$10)+(Settings!$C$11*M180)</f>
        <v>2.4864447378146495</v>
      </c>
      <c r="D180" s="40">
        <f>IF(Settings!$E$12="YES",VLOOKUP(A180,'Player Data'!A1:E734,5,FALSE),82)</f>
        <v>82</v>
      </c>
      <c r="E180" s="38">
        <f>(VLOOKUP($A180,'The List'!$B1:$AH730,17,FALSE)-AVERAGE('The List'!R2:R730))/STDEV('The List'!R2:R730)</f>
        <v>3.1044483412246249E-2</v>
      </c>
      <c r="F180" s="38">
        <f>(VLOOKUP($A180,'The List'!$B1:$AH730,18,FALSE)-AVERAGE('The List'!S2:S730))/STDEV('The List'!S2:S730)</f>
        <v>0.23594375805342779</v>
      </c>
      <c r="G180" s="38">
        <f>(VLOOKUP($A180,'The List'!$B1:$AH730,19,FALSE)-AVERAGE('The List'!T2:T730))/STDEV('The List'!T2:T730)</f>
        <v>0.56384394479331224</v>
      </c>
      <c r="H180" s="38">
        <f>(VLOOKUP($A180,'The List'!$B1:$AH730,20,FALSE)-AVERAGE('The List'!U2:U730))/STDEV('The List'!U2:U730)</f>
        <v>0.45618819686774137</v>
      </c>
      <c r="I180" s="38">
        <f>(VLOOKUP($A180,'The List'!$B1:$AH730,21,FALSE)-AVERAGE('The List'!V2:V730))/STDEV('The List'!V2:V730)</f>
        <v>0.48383932063709417</v>
      </c>
      <c r="J180" s="38">
        <f>(VLOOKUP($A180,'The List'!$B1:$AH730,22,FALSE)-AVERAGE('The List'!W2:W730))/STDEV('The List'!W2:W730)</f>
        <v>0.72244811241656959</v>
      </c>
      <c r="K180" s="38">
        <f>(VLOOKUP($A180,'The List'!$B1:$AH730,23,FALSE)-AVERAGE('The List'!X2:X730))/STDEV('The List'!X2:X730)</f>
        <v>0.74662951746307404</v>
      </c>
      <c r="L180" s="38">
        <f>(VLOOKUP($A180,'The List'!$B1:$AH730,24,FALSE)-AVERAGE('The List'!Y2:Y730))/STDEV('The List'!Y2:Y730)</f>
        <v>2.9207913586369161</v>
      </c>
      <c r="M180" s="38">
        <f>(VLOOKUP($A180,'The List'!$B1:$AH730,25,FALSE)-AVERAGE('The List'!Z2:Z730))/STDEV('The List'!Z2:Z730)</f>
        <v>2.4900289655710011</v>
      </c>
      <c r="N180" s="38">
        <f>(VLOOKUP($A180,'The List'!$B1:$AH730,26,FALSE)-AVERAGE('The List'!AA2:AA730))/STDEV('The List'!AA2:AA730)</f>
        <v>-0.91139355621080032</v>
      </c>
      <c r="O180" s="38">
        <f>(VLOOKUP($A180,'The List'!$B1:$AH730,27,FALSE)-AVERAGE('The List'!AB2:AB730))/STDEV('The List'!AB2:AB730)</f>
        <v>-1.4338899214182335</v>
      </c>
      <c r="P180" s="38">
        <f>(VLOOKUP($A180,'The List'!$B1:$AH730,28,FALSE)-AVERAGE('The List'!AC2:AC730))/STDEV('The List'!AC2:AC730)</f>
        <v>1.4429077302671727</v>
      </c>
      <c r="Q180" s="38">
        <f>(VLOOKUP($A180,'The List'!$B1:$AH730,29,FALSE)-AVERAGE('The List'!AD2:AD730))/STDEV('The List'!AD2:AD730)</f>
        <v>-0.69868763655506994</v>
      </c>
      <c r="R180" s="38">
        <f>(VLOOKUP($A180,'The List'!$B1:$AH730,30,FALSE)-AVERAGE('The List'!AE2:AE730))/STDEV('The List'!AE2:AE730)</f>
        <v>0.62481030914794622</v>
      </c>
      <c r="S180" s="38">
        <f>(VLOOKUP($A180,'The List'!$B1:$AH730,31,FALSE)-AVERAGE('The List'!AF2:AF730))/STDEV('The List'!AF2:AF730)</f>
        <v>-0.40654966995990127</v>
      </c>
      <c r="T180" s="38">
        <f>(VLOOKUP($A180,'The List'!$B1:$AH730,32,FALSE)-AVERAGE('The List'!AG2:AG730))/STDEV('The List'!AG2:AG730)</f>
        <v>-0.49462632330653905</v>
      </c>
      <c r="U180" s="38">
        <f>(VLOOKUP($A180,'The List'!$B1:$AH730,33,FALSE)-AVERAGE('The List'!AH2:AH730))/STDEV('The List'!AH2:AH730)</f>
        <v>1.4119851860529435</v>
      </c>
      <c r="V180" s="38"/>
      <c r="W180" s="42"/>
      <c r="X180" s="40"/>
      <c r="Y180" s="40"/>
      <c r="Z180" s="40"/>
      <c r="AA180" s="40"/>
      <c r="AB180" s="40"/>
      <c r="AC180" s="43"/>
      <c r="AD180" s="44"/>
      <c r="AE180" s="38"/>
    </row>
    <row r="181" spans="1:31" ht="21.2" customHeight="1">
      <c r="A181" s="8" t="s">
        <v>335</v>
      </c>
      <c r="B181" s="34" t="str">
        <f>VLOOKUP(A181,'Player Data'!A1:B734,2,FALSE)</f>
        <v>VAN</v>
      </c>
      <c r="C181" s="36">
        <f>((E181)*Settings!$C$12)+(F181*Settings!$C$2)+(G181*Settings!$C$3)+(H181*Settings!$C$4)+(I181*Settings!$C$5)+(K181*Settings!$C$9)+(N181*Settings!$C$6)+(J181*Settings!$C$8)+(O181*Settings!$C$7)+(P181*Settings!$C$14)+(Q181*Settings!$C$15)+(R181*Settings!$C$16)+(S181*Settings!$C$17)+(T181*Settings!$C$18)+(U181*Settings!$C$19)+(L181*Settings!$C$10)+(Settings!$C$11*M181)</f>
        <v>1.8195772606404146</v>
      </c>
      <c r="D181" s="40">
        <f>IF(Settings!$E$12="YES",VLOOKUP(A181,'Player Data'!A1:E734,5,FALSE),82)</f>
        <v>82</v>
      </c>
      <c r="E181" s="38">
        <f>(VLOOKUP($A181,'The List'!$B1:$AH730,17,FALSE)-AVERAGE('The List'!R2:R730))/STDEV('The List'!R2:R730)</f>
        <v>-0.35445068145965564</v>
      </c>
      <c r="F181" s="38">
        <f>(VLOOKUP($A181,'The List'!$B1:$AH730,18,FALSE)-AVERAGE('The List'!S2:S730))/STDEV('The List'!S2:S730)</f>
        <v>0.34111560319407919</v>
      </c>
      <c r="G181" s="38">
        <f>(VLOOKUP($A181,'The List'!$B1:$AH730,19,FALSE)-AVERAGE('The List'!T2:T730))/STDEV('The List'!T2:T730)</f>
        <v>0.48388784456402462</v>
      </c>
      <c r="H181" s="38">
        <f>(VLOOKUP($A181,'The List'!$B1:$AH730,20,FALSE)-AVERAGE('The List'!U2:U730))/STDEV('The List'!U2:U730)</f>
        <v>0.45594359250781363</v>
      </c>
      <c r="I181" s="38">
        <f>(VLOOKUP($A181,'The List'!$B1:$AH730,21,FALSE)-AVERAGE('The List'!V2:V730))/STDEV('The List'!V2:V730)</f>
        <v>0.44700224588854359</v>
      </c>
      <c r="J181" s="38">
        <f>(VLOOKUP($A181,'The List'!$B1:$AH730,22,FALSE)-AVERAGE('The List'!W2:W730))/STDEV('The List'!W2:W730)</f>
        <v>-0.14157474375719073</v>
      </c>
      <c r="K181" s="38">
        <f>(VLOOKUP($A181,'The List'!$B1:$AH730,23,FALSE)-AVERAGE('The List'!X2:X730))/STDEV('The List'!X2:X730)</f>
        <v>9.1627974485953292E-2</v>
      </c>
      <c r="L181" s="38">
        <f>(VLOOKUP($A181,'The List'!$B1:$AH730,24,FALSE)-AVERAGE('The List'!Y2:Y730))/STDEV('The List'!Y2:Y730)</f>
        <v>-0.51568257011294916</v>
      </c>
      <c r="M181" s="38">
        <f>(VLOOKUP($A181,'The List'!$B1:$AH730,25,FALSE)-AVERAGE('The List'!Z2:Z730))/STDEV('The List'!Z2:Z730)</f>
        <v>-0.69274211940604513</v>
      </c>
      <c r="N181" s="38">
        <f>(VLOOKUP($A181,'The List'!$B1:$AH730,26,FALSE)-AVERAGE('The List'!AA2:AA730))/STDEV('The List'!AA2:AA730)</f>
        <v>-1.038612155623696</v>
      </c>
      <c r="O181" s="38">
        <f>(VLOOKUP($A181,'The List'!$B1:$AH730,27,FALSE)-AVERAGE('The List'!AB2:AB730))/STDEV('The List'!AB2:AB730)</f>
        <v>-0.97147038508991002</v>
      </c>
      <c r="P181" s="38">
        <f>(VLOOKUP($A181,'The List'!$B1:$AH730,28,FALSE)-AVERAGE('The List'!AC2:AC730))/STDEV('The List'!AC2:AC730)</f>
        <v>0.3469271345785811</v>
      </c>
      <c r="Q181" s="38">
        <f>(VLOOKUP($A181,'The List'!$B1:$AH730,29,FALSE)-AVERAGE('The List'!AD2:AD730))/STDEV('The List'!AD2:AD730)</f>
        <v>-0.5108591074570743</v>
      </c>
      <c r="R181" s="38">
        <f>(VLOOKUP($A181,'The List'!$B1:$AH730,30,FALSE)-AVERAGE('The List'!AE2:AE730))/STDEV('The List'!AE2:AE730)</f>
        <v>0.32579378463285219</v>
      </c>
      <c r="S181" s="38">
        <f>(VLOOKUP($A181,'The List'!$B1:$AH730,31,FALSE)-AVERAGE('The List'!AF2:AF730))/STDEV('The List'!AF2:AF730)</f>
        <v>-0.54456748332471383</v>
      </c>
      <c r="T181" s="38">
        <f>(VLOOKUP($A181,'The List'!$B1:$AH730,32,FALSE)-AVERAGE('The List'!AG2:AG730))/STDEV('The List'!AG2:AG730)</f>
        <v>-0.56583608648742556</v>
      </c>
      <c r="U181" s="38">
        <f>(VLOOKUP($A181,'The List'!$B1:$AH730,33,FALSE)-AVERAGE('The List'!AH2:AH730))/STDEV('The List'!AH2:AH730)</f>
        <v>0.31560609406114876</v>
      </c>
      <c r="V181" s="38"/>
      <c r="W181" s="42"/>
      <c r="X181" s="40"/>
      <c r="Y181" s="40"/>
      <c r="Z181" s="40"/>
      <c r="AA181" s="40"/>
      <c r="AB181" s="40"/>
      <c r="AC181" s="43"/>
      <c r="AD181" s="44"/>
      <c r="AE181" s="38"/>
    </row>
    <row r="182" spans="1:31" ht="21.2" customHeight="1">
      <c r="A182" s="8" t="s">
        <v>226</v>
      </c>
      <c r="B182" s="34" t="str">
        <f>VLOOKUP(A182,'Player Data'!A1:B734,2,FALSE)</f>
        <v>OTT</v>
      </c>
      <c r="C182" s="36">
        <f>((E182)*Settings!$C$12)+(F182*Settings!$C$2)+(G182*Settings!$C$3)+(H182*Settings!$C$4)+(I182*Settings!$C$5)+(K182*Settings!$C$9)+(N182*Settings!$C$6)+(J182*Settings!$C$8)+(O182*Settings!$C$7)+(P182*Settings!$C$14)+(Q182*Settings!$C$15)+(R182*Settings!$C$16)+(S182*Settings!$C$17)+(T182*Settings!$C$18)+(U182*Settings!$C$19)+(L182*Settings!$C$10)+(Settings!$C$11*M182)</f>
        <v>2.5990839610045353</v>
      </c>
      <c r="D182" s="40">
        <f>IF(Settings!$E$12="YES",VLOOKUP(A182,'Player Data'!A1:E734,5,FALSE),82)</f>
        <v>82</v>
      </c>
      <c r="E182" s="38">
        <f>(VLOOKUP($A182,'The List'!$B1:$AH730,17,FALSE)-AVERAGE('The List'!R2:R730))/STDEV('The List'!R2:R730)</f>
        <v>1.5513974020926791</v>
      </c>
      <c r="F182" s="38">
        <f>(VLOOKUP($A182,'The List'!$B1:$AH730,18,FALSE)-AVERAGE('The List'!S2:S730))/STDEV('The List'!S2:S730)</f>
        <v>8.5621704571180179E-2</v>
      </c>
      <c r="G182" s="38">
        <f>(VLOOKUP($A182,'The List'!$B1:$AH730,19,FALSE)-AVERAGE('The List'!T2:T730))/STDEV('The List'!T2:T730)</f>
        <v>0.66705310485801061</v>
      </c>
      <c r="H182" s="38">
        <f>(VLOOKUP($A182,'The List'!$B1:$AH730,20,FALSE)-AVERAGE('The List'!U2:U730))/STDEV('The List'!U2:U730)</f>
        <v>0.4497336026850845</v>
      </c>
      <c r="I182" s="38">
        <f>(VLOOKUP($A182,'The List'!$B1:$AH730,21,FALSE)-AVERAGE('The List'!V2:V730))/STDEV('The List'!V2:V730)</f>
        <v>1.3082295816395642</v>
      </c>
      <c r="J182" s="38">
        <f>(VLOOKUP($A182,'The List'!$B1:$AH730,22,FALSE)-AVERAGE('The List'!W2:W730))/STDEV('The List'!W2:W730)</f>
        <v>0.24210331123050075</v>
      </c>
      <c r="K182" s="38">
        <f>(VLOOKUP($A182,'The List'!$B1:$AH730,23,FALSE)-AVERAGE('The List'!X2:X730))/STDEV('The List'!X2:X730)</f>
        <v>8.8445967250695909E-2</v>
      </c>
      <c r="L182" s="38">
        <f>(VLOOKUP($A182,'The List'!$B1:$AH730,24,FALSE)-AVERAGE('The List'!Y2:Y730))/STDEV('The List'!Y2:Y730)</f>
        <v>-0.45175660604584689</v>
      </c>
      <c r="M182" s="38">
        <f>(VLOOKUP($A182,'The List'!$B1:$AH730,25,FALSE)-AVERAGE('The List'!Z2:Z730))/STDEV('The List'!Z2:Z730)</f>
        <v>-0.47769837471863053</v>
      </c>
      <c r="N182" s="38">
        <f>(VLOOKUP($A182,'The List'!$B1:$AH730,26,FALSE)-AVERAGE('The List'!AA2:AA730))/STDEV('The List'!AA2:AA730)</f>
        <v>1.5456570321961698</v>
      </c>
      <c r="O182" s="38">
        <f>(VLOOKUP($A182,'The List'!$B1:$AH730,27,FALSE)-AVERAGE('The List'!AB2:AB730))/STDEV('The List'!AB2:AB730)</f>
        <v>-0.21054238513499099</v>
      </c>
      <c r="P182" s="38">
        <f>(VLOOKUP($A182,'The List'!$B1:$AH730,28,FALSE)-AVERAGE('The List'!AC2:AC730))/STDEV('The List'!AC2:AC730)</f>
        <v>0.29026929352970449</v>
      </c>
      <c r="Q182" s="38">
        <f>(VLOOKUP($A182,'The List'!$B1:$AH730,29,FALSE)-AVERAGE('The List'!AD2:AD730))/STDEV('The List'!AD2:AD730)</f>
        <v>1.3295904709278035</v>
      </c>
      <c r="R182" s="38">
        <f>(VLOOKUP($A182,'The List'!$B1:$AH730,30,FALSE)-AVERAGE('The List'!AE2:AE730))/STDEV('The List'!AE2:AE730)</f>
        <v>0.1739292492490743</v>
      </c>
      <c r="S182" s="38">
        <f>(VLOOKUP($A182,'The List'!$B1:$AH730,31,FALSE)-AVERAGE('The List'!AF2:AF730))/STDEV('The List'!AF2:AF730)</f>
        <v>-0.56911587195029545</v>
      </c>
      <c r="T182" s="38">
        <f>(VLOOKUP($A182,'The List'!$B1:$AH730,32,FALSE)-AVERAGE('The List'!AG2:AG730))/STDEV('The List'!AG2:AG730)</f>
        <v>-0.61510119871956948</v>
      </c>
      <c r="U182" s="38">
        <f>(VLOOKUP($A182,'The List'!$B1:$AH730,33,FALSE)-AVERAGE('The List'!AH2:AH730))/STDEV('The List'!AH2:AH730)</f>
        <v>-1.2363238714825984</v>
      </c>
      <c r="V182" s="38"/>
      <c r="W182" s="42"/>
      <c r="X182" s="40"/>
      <c r="Y182" s="40"/>
      <c r="Z182" s="40"/>
      <c r="AA182" s="40"/>
      <c r="AB182" s="40"/>
      <c r="AC182" s="43"/>
      <c r="AD182" s="44"/>
      <c r="AE182" s="38"/>
    </row>
    <row r="183" spans="1:31" ht="21.2" customHeight="1">
      <c r="A183" s="8" t="s">
        <v>374</v>
      </c>
      <c r="B183" s="34" t="str">
        <f>VLOOKUP(A183,'Player Data'!A1:B734,2,FALSE)</f>
        <v>FLA</v>
      </c>
      <c r="C183" s="36">
        <f>((E183)*Settings!$C$12)+(F183*Settings!$C$2)+(G183*Settings!$C$3)+(H183*Settings!$C$4)+(I183*Settings!$C$5)+(K183*Settings!$C$9)+(N183*Settings!$C$6)+(J183*Settings!$C$8)+(O183*Settings!$C$7)+(P183*Settings!$C$14)+(Q183*Settings!$C$15)+(R183*Settings!$C$16)+(S183*Settings!$C$17)+(T183*Settings!$C$18)+(U183*Settings!$C$19)+(L183*Settings!$C$10)+(Settings!$C$11*M183)</f>
        <v>1.6094259932220911</v>
      </c>
      <c r="D183" s="40">
        <f>IF(Settings!$E$12="YES",VLOOKUP(A183,'Player Data'!A1:E734,5,FALSE),82)</f>
        <v>82</v>
      </c>
      <c r="E183" s="38">
        <f>(VLOOKUP($A183,'The List'!$B1:$AH730,17,FALSE)-AVERAGE('The List'!R2:R730))/STDEV('The List'!R2:R730)</f>
        <v>3.982411025247054E-2</v>
      </c>
      <c r="F183" s="38">
        <f>(VLOOKUP($A183,'The List'!$B1:$AH730,18,FALSE)-AVERAGE('The List'!S2:S730))/STDEV('The List'!S2:S730)</f>
        <v>0.48121276525044199</v>
      </c>
      <c r="G183" s="38">
        <f>(VLOOKUP($A183,'The List'!$B1:$AH730,19,FALSE)-AVERAGE('The List'!T2:T730))/STDEV('The List'!T2:T730)</f>
        <v>0.36627752623684795</v>
      </c>
      <c r="H183" s="38">
        <f>(VLOOKUP($A183,'The List'!$B1:$AH730,20,FALSE)-AVERAGE('The List'!U2:U730))/STDEV('The List'!U2:U730)</f>
        <v>0.44879483118343577</v>
      </c>
      <c r="I183" s="38">
        <f>(VLOOKUP($A183,'The List'!$B1:$AH730,21,FALSE)-AVERAGE('The List'!V2:V730))/STDEV('The List'!V2:V730)</f>
        <v>0.46900274266797271</v>
      </c>
      <c r="J183" s="38">
        <f>(VLOOKUP($A183,'The List'!$B1:$AH730,22,FALSE)-AVERAGE('The List'!W2:W730))/STDEV('The List'!W2:W730)</f>
        <v>-0.38460262434924869</v>
      </c>
      <c r="K183" s="38">
        <f>(VLOOKUP($A183,'The List'!$B1:$AH730,23,FALSE)-AVERAGE('The List'!X2:X730))/STDEV('The List'!X2:X730)</f>
        <v>-0.15586187211660729</v>
      </c>
      <c r="L183" s="38">
        <f>(VLOOKUP($A183,'The List'!$B1:$AH730,24,FALSE)-AVERAGE('The List'!Y2:Y730))/STDEV('The List'!Y2:Y730)</f>
        <v>2.4664831719301641</v>
      </c>
      <c r="M183" s="38">
        <f>(VLOOKUP($A183,'The List'!$B1:$AH730,25,FALSE)-AVERAGE('The List'!Z2:Z730))/STDEV('The List'!Z2:Z730)</f>
        <v>2.5828568181050864</v>
      </c>
      <c r="N183" s="38">
        <f>(VLOOKUP($A183,'The List'!$B1:$AH730,26,FALSE)-AVERAGE('The List'!AA2:AA730))/STDEV('The List'!AA2:AA730)</f>
        <v>-0.46716081038175655</v>
      </c>
      <c r="O183" s="38">
        <f>(VLOOKUP($A183,'The List'!$B1:$AH730,27,FALSE)-AVERAGE('The List'!AB2:AB730))/STDEV('The List'!AB2:AB730)</f>
        <v>-1.147632538466842</v>
      </c>
      <c r="P183" s="38">
        <f>(VLOOKUP($A183,'The List'!$B1:$AH730,28,FALSE)-AVERAGE('The List'!AC2:AC730))/STDEV('The List'!AC2:AC730)</f>
        <v>1.0177705603450931</v>
      </c>
      <c r="Q183" s="38">
        <f>(VLOOKUP($A183,'The List'!$B1:$AH730,29,FALSE)-AVERAGE('The List'!AD2:AD730))/STDEV('The List'!AD2:AD730)</f>
        <v>0.25848938904093272</v>
      </c>
      <c r="R183" s="38">
        <f>(VLOOKUP($A183,'The List'!$B1:$AH730,30,FALSE)-AVERAGE('The List'!AE2:AE730))/STDEV('The List'!AE2:AE730)</f>
        <v>0.47776003085741403</v>
      </c>
      <c r="S183" s="38">
        <f>(VLOOKUP($A183,'The List'!$B1:$AH730,31,FALSE)-AVERAGE('The List'!AF2:AF730))/STDEV('The List'!AF2:AF730)</f>
        <v>0.95553746600530909</v>
      </c>
      <c r="T183" s="38">
        <f>(VLOOKUP($A183,'The List'!$B1:$AH730,32,FALSE)-AVERAGE('The List'!AG2:AG730))/STDEV('The List'!AG2:AG730)</f>
        <v>1.283878475579538</v>
      </c>
      <c r="U183" s="38">
        <f>(VLOOKUP($A183,'The List'!$B1:$AH730,33,FALSE)-AVERAGE('The List'!AH2:AH730))/STDEV('The List'!AH2:AH730)</f>
        <v>0.83018545260956078</v>
      </c>
      <c r="V183" s="38"/>
      <c r="W183" s="42"/>
      <c r="X183" s="40"/>
      <c r="Y183" s="40"/>
      <c r="Z183" s="40"/>
      <c r="AA183" s="40"/>
      <c r="AB183" s="40"/>
      <c r="AC183" s="43"/>
      <c r="AD183" s="44"/>
      <c r="AE183" s="38"/>
    </row>
    <row r="184" spans="1:31" ht="21.2" customHeight="1">
      <c r="A184" s="8" t="s">
        <v>213</v>
      </c>
      <c r="B184" s="34" t="str">
        <f>VLOOKUP(A184,'Player Data'!A1:B734,2,FALSE)</f>
        <v>OTT</v>
      </c>
      <c r="C184" s="36">
        <f>((E184)*Settings!$C$12)+(F184*Settings!$C$2)+(G184*Settings!$C$3)+(H184*Settings!$C$4)+(I184*Settings!$C$5)+(K184*Settings!$C$9)+(N184*Settings!$C$6)+(J184*Settings!$C$8)+(O184*Settings!$C$7)+(P184*Settings!$C$14)+(Q184*Settings!$C$15)+(R184*Settings!$C$16)+(S184*Settings!$C$17)+(T184*Settings!$C$18)+(U184*Settings!$C$19)+(L184*Settings!$C$10)+(Settings!$C$11*M184)</f>
        <v>2.7360670159639824</v>
      </c>
      <c r="D184" s="40">
        <f>IF(Settings!$E$12="YES",VLOOKUP(A184,'Player Data'!A1:E734,5,FALSE),82)</f>
        <v>82</v>
      </c>
      <c r="E184" s="38">
        <f>(VLOOKUP($A184,'The List'!$B1:$AH730,17,FALSE)-AVERAGE('The List'!R2:R730))/STDEV('The List'!R2:R730)</f>
        <v>1.8066851134170085</v>
      </c>
      <c r="F184" s="38">
        <f>(VLOOKUP($A184,'The List'!$B1:$AH730,18,FALSE)-AVERAGE('The List'!S2:S730))/STDEV('The List'!S2:S730)</f>
        <v>-0.33627400146165359</v>
      </c>
      <c r="G184" s="38">
        <f>(VLOOKUP($A184,'The List'!$B1:$AH730,19,FALSE)-AVERAGE('The List'!T2:T730))/STDEV('The List'!T2:T730)</f>
        <v>0.98025261450700607</v>
      </c>
      <c r="H184" s="38">
        <f>(VLOOKUP($A184,'The List'!$B1:$AH730,20,FALSE)-AVERAGE('The List'!U2:U730))/STDEV('The List'!U2:U730)</f>
        <v>0.44607904579407931</v>
      </c>
      <c r="I184" s="38">
        <f>(VLOOKUP($A184,'The List'!$B1:$AH730,21,FALSE)-AVERAGE('The List'!V2:V730))/STDEV('The List'!V2:V730)</f>
        <v>0.71841725340453777</v>
      </c>
      <c r="J184" s="38">
        <f>(VLOOKUP($A184,'The List'!$B1:$AH730,22,FALSE)-AVERAGE('The List'!W2:W730))/STDEV('The List'!W2:W730)</f>
        <v>0.15536219295602771</v>
      </c>
      <c r="K184" s="38">
        <f>(VLOOKUP($A184,'The List'!$B1:$AH730,23,FALSE)-AVERAGE('The List'!X2:X730))/STDEV('The List'!X2:X730)</f>
        <v>0.92759210372001299</v>
      </c>
      <c r="L184" s="38">
        <f>(VLOOKUP($A184,'The List'!$B1:$AH730,24,FALSE)-AVERAGE('The List'!Y2:Y730))/STDEV('The List'!Y2:Y730)</f>
        <v>-0.50587390282446487</v>
      </c>
      <c r="M184" s="38">
        <f>(VLOOKUP($A184,'The List'!$B1:$AH730,25,FALSE)-AVERAGE('The List'!Z2:Z730))/STDEV('The List'!Z2:Z730)</f>
        <v>-0.65239374968293695</v>
      </c>
      <c r="N184" s="38">
        <f>(VLOOKUP($A184,'The List'!$B1:$AH730,26,FALSE)-AVERAGE('The List'!AA2:AA730))/STDEV('The List'!AA2:AA730)</f>
        <v>1.4860446792991135</v>
      </c>
      <c r="O184" s="38">
        <f>(VLOOKUP($A184,'The List'!$B1:$AH730,27,FALSE)-AVERAGE('The List'!AB2:AB730))/STDEV('The List'!AB2:AB730)</f>
        <v>-0.19495772664087779</v>
      </c>
      <c r="P184" s="38">
        <f>(VLOOKUP($A184,'The List'!$B1:$AH730,28,FALSE)-AVERAGE('The List'!AC2:AC730))/STDEV('The List'!AC2:AC730)</f>
        <v>0.21178146839599321</v>
      </c>
      <c r="Q184" s="38">
        <f>(VLOOKUP($A184,'The List'!$B1:$AH730,29,FALSE)-AVERAGE('The List'!AD2:AD730))/STDEV('The List'!AD2:AD730)</f>
        <v>0.95568921917895344</v>
      </c>
      <c r="R184" s="38">
        <f>(VLOOKUP($A184,'The List'!$B1:$AH730,30,FALSE)-AVERAGE('The List'!AE2:AE730))/STDEV('The List'!AE2:AE730)</f>
        <v>-0.23924949756366967</v>
      </c>
      <c r="S184" s="38">
        <f>(VLOOKUP($A184,'The List'!$B1:$AH730,31,FALSE)-AVERAGE('The List'!AF2:AF730))/STDEV('The List'!AF2:AF730)</f>
        <v>-0.56911587195029545</v>
      </c>
      <c r="T184" s="38">
        <f>(VLOOKUP($A184,'The List'!$B1:$AH730,32,FALSE)-AVERAGE('The List'!AG2:AG730))/STDEV('The List'!AG2:AG730)</f>
        <v>-0.61510119871956948</v>
      </c>
      <c r="U184" s="38">
        <f>(VLOOKUP($A184,'The List'!$B1:$AH730,33,FALSE)-AVERAGE('The List'!AH2:AH730))/STDEV('The List'!AH2:AH730)</f>
        <v>-1.2363238714825984</v>
      </c>
      <c r="V184" s="38"/>
      <c r="W184" s="40"/>
      <c r="X184" s="40"/>
      <c r="Y184" s="40"/>
      <c r="Z184" s="40"/>
      <c r="AA184" s="40"/>
      <c r="AB184" s="40"/>
      <c r="AC184" s="43"/>
      <c r="AD184" s="44"/>
      <c r="AE184" s="38"/>
    </row>
    <row r="185" spans="1:31" ht="21.2" customHeight="1">
      <c r="A185" s="8" t="s">
        <v>309</v>
      </c>
      <c r="B185" s="34" t="str">
        <f>VLOOKUP(A185,'Player Data'!A1:B734,2,FALSE)</f>
        <v>CBJ</v>
      </c>
      <c r="C185" s="36">
        <f>((E185)*Settings!$C$12)+(F185*Settings!$C$2)+(G185*Settings!$C$3)+(H185*Settings!$C$4)+(I185*Settings!$C$5)+(K185*Settings!$C$9)+(N185*Settings!$C$6)+(J185*Settings!$C$8)+(O185*Settings!$C$7)+(P185*Settings!$C$14)+(Q185*Settings!$C$15)+(R185*Settings!$C$16)+(S185*Settings!$C$17)+(T185*Settings!$C$18)+(U185*Settings!$C$19)+(L185*Settings!$C$10)+(Settings!$C$11*M185)</f>
        <v>2.2297803244112213</v>
      </c>
      <c r="D185" s="40">
        <f>IF(Settings!$E$12="YES",VLOOKUP(A185,'Player Data'!A1:E734,5,FALSE),82)</f>
        <v>82</v>
      </c>
      <c r="E185" s="38">
        <f>(VLOOKUP($A185,'The List'!$B1:$AH730,17,FALSE)-AVERAGE('The List'!R2:R730))/STDEV('The List'!R2:R730)</f>
        <v>-0.14212711782041079</v>
      </c>
      <c r="F185" s="38">
        <f>(VLOOKUP($A185,'The List'!$B1:$AH730,18,FALSE)-AVERAGE('The List'!S2:S730))/STDEV('The List'!S2:S730)</f>
        <v>0.59475285242655207</v>
      </c>
      <c r="G185" s="38">
        <f>(VLOOKUP($A185,'The List'!$B1:$AH730,19,FALSE)-AVERAGE('The List'!T2:T730))/STDEV('The List'!T2:T730)</f>
        <v>0.4456334167437575</v>
      </c>
      <c r="H185" s="38">
        <f>(VLOOKUP($A185,'The List'!$B1:$AH730,20,FALSE)-AVERAGE('The List'!U2:U730))/STDEV('The List'!U2:U730)</f>
        <v>0.55034388291201142</v>
      </c>
      <c r="I185" s="38">
        <f>(VLOOKUP($A185,'The List'!$B1:$AH730,21,FALSE)-AVERAGE('The List'!V2:V730))/STDEV('The List'!V2:V730)</f>
        <v>8.1683794536680732E-2</v>
      </c>
      <c r="J185" s="38">
        <f>(VLOOKUP($A185,'The List'!$B1:$AH730,22,FALSE)-AVERAGE('The List'!W2:W730))/STDEV('The List'!W2:W730)</f>
        <v>0.48795291275962488</v>
      </c>
      <c r="K185" s="38">
        <f>(VLOOKUP($A185,'The List'!$B1:$AH730,23,FALSE)-AVERAGE('The List'!X2:X730))/STDEV('The List'!X2:X730)</f>
        <v>0.55736637779221909</v>
      </c>
      <c r="L185" s="38">
        <f>(VLOOKUP($A185,'The List'!$B1:$AH730,24,FALSE)-AVERAGE('The List'!Y2:Y730))/STDEV('The List'!Y2:Y730)</f>
        <v>-0.51702582741933978</v>
      </c>
      <c r="M185" s="38">
        <f>(VLOOKUP($A185,'The List'!$B1:$AH730,25,FALSE)-AVERAGE('The List'!Z2:Z730))/STDEV('The List'!Z2:Z730)</f>
        <v>-0.69362228609099486</v>
      </c>
      <c r="N185" s="38">
        <f>(VLOOKUP($A185,'The List'!$B1:$AH730,26,FALSE)-AVERAGE('The List'!AA2:AA730))/STDEV('The List'!AA2:AA730)</f>
        <v>-0.7606144730397898</v>
      </c>
      <c r="O185" s="38">
        <f>(VLOOKUP($A185,'The List'!$B1:$AH730,27,FALSE)-AVERAGE('The List'!AB2:AB730))/STDEV('The List'!AB2:AB730)</f>
        <v>-1.438285227698707</v>
      </c>
      <c r="P185" s="38">
        <f>(VLOOKUP($A185,'The List'!$B1:$AH730,28,FALSE)-AVERAGE('The List'!AC2:AC730))/STDEV('The List'!AC2:AC730)</f>
        <v>-1.4982561373798873</v>
      </c>
      <c r="Q185" s="38">
        <f>(VLOOKUP($A185,'The List'!$B1:$AH730,29,FALSE)-AVERAGE('The List'!AD2:AD730))/STDEV('The List'!AD2:AD730)</f>
        <v>-0.85277487266526686</v>
      </c>
      <c r="R185" s="38">
        <f>(VLOOKUP($A185,'The List'!$B1:$AH730,30,FALSE)-AVERAGE('The List'!AE2:AE730))/STDEV('The List'!AE2:AE730)</f>
        <v>0.11943988330056048</v>
      </c>
      <c r="S185" s="38">
        <f>(VLOOKUP($A185,'The List'!$B1:$AH730,31,FALSE)-AVERAGE('The List'!AF2:AF730))/STDEV('The List'!AF2:AF730)</f>
        <v>-0.37008464268094615</v>
      </c>
      <c r="T185" s="38">
        <f>(VLOOKUP($A185,'The List'!$B1:$AH730,32,FALSE)-AVERAGE('The List'!AG2:AG730))/STDEV('The List'!AG2:AG730)</f>
        <v>-5.7865148279981279E-2</v>
      </c>
      <c r="U185" s="38">
        <f>(VLOOKUP($A185,'The List'!$B1:$AH730,33,FALSE)-AVERAGE('The List'!AH2:AH730))/STDEV('The List'!AH2:AH730)</f>
        <v>-3.9738199833771809E-3</v>
      </c>
      <c r="V185" s="38"/>
      <c r="W185" s="40"/>
      <c r="X185" s="38"/>
      <c r="Y185" s="38"/>
      <c r="Z185" s="38"/>
      <c r="AA185" s="38"/>
      <c r="AB185" s="38"/>
      <c r="AC185" s="38"/>
      <c r="AD185" s="38"/>
      <c r="AE185" s="38"/>
    </row>
    <row r="186" spans="1:31" ht="21.2" customHeight="1">
      <c r="A186" s="8" t="s">
        <v>216</v>
      </c>
      <c r="B186" s="34" t="str">
        <f>VLOOKUP(A186,'Player Data'!A1:B734,2,FALSE)</f>
        <v>ANA</v>
      </c>
      <c r="C186" s="36">
        <f>((E186)*Settings!$C$12)+(F186*Settings!$C$2)+(G186*Settings!$C$3)+(H186*Settings!$C$4)+(I186*Settings!$C$5)+(K186*Settings!$C$9)+(N186*Settings!$C$6)+(J186*Settings!$C$8)+(O186*Settings!$C$7)+(P186*Settings!$C$14)+(Q186*Settings!$C$15)+(R186*Settings!$C$16)+(S186*Settings!$C$17)+(T186*Settings!$C$18)+(U186*Settings!$C$19)+(L186*Settings!$C$10)+(Settings!$C$11*M186)</f>
        <v>2.1004180628144611</v>
      </c>
      <c r="D186" s="40">
        <f>IF(Settings!$E$12="YES",VLOOKUP(A186,'Player Data'!A1:E734,5,FALSE),82)</f>
        <v>82</v>
      </c>
      <c r="E186" s="38">
        <f>(VLOOKUP($A186,'The List'!$B1:$AH730,17,FALSE)-AVERAGE('The List'!R2:R730))/STDEV('The List'!R2:R730)</f>
        <v>2.1659162690450078</v>
      </c>
      <c r="F186" s="38">
        <f>(VLOOKUP($A186,'The List'!$B1:$AH730,18,FALSE)-AVERAGE('The List'!S2:S730))/STDEV('The List'!S2:S730)</f>
        <v>-0.37740690271489785</v>
      </c>
      <c r="G186" s="38">
        <f>(VLOOKUP($A186,'The List'!$B1:$AH730,19,FALSE)-AVERAGE('The List'!T2:T730))/STDEV('The List'!T2:T730)</f>
        <v>1.0020653494878347</v>
      </c>
      <c r="H186" s="38">
        <f>(VLOOKUP($A186,'The List'!$B1:$AH730,20,FALSE)-AVERAGE('The List'!U2:U730))/STDEV('The List'!U2:U730)</f>
        <v>0.4403622490771823</v>
      </c>
      <c r="I186" s="38">
        <f>(VLOOKUP($A186,'The List'!$B1:$AH730,21,FALSE)-AVERAGE('The List'!V2:V730))/STDEV('The List'!V2:V730)</f>
        <v>-3.8877776274346215E-2</v>
      </c>
      <c r="J186" s="38">
        <f>(VLOOKUP($A186,'The List'!$B1:$AH730,22,FALSE)-AVERAGE('The List'!W2:W730))/STDEV('The List'!W2:W730)</f>
        <v>0.58349610932008911</v>
      </c>
      <c r="K186" s="38">
        <f>(VLOOKUP($A186,'The List'!$B1:$AH730,23,FALSE)-AVERAGE('The List'!X2:X730))/STDEV('The List'!X2:X730)</f>
        <v>1.0742751432386881</v>
      </c>
      <c r="L186" s="38">
        <f>(VLOOKUP($A186,'The List'!$B1:$AH730,24,FALSE)-AVERAGE('The List'!Y2:Y730))/STDEV('The List'!Y2:Y730)</f>
        <v>-0.54712745463807699</v>
      </c>
      <c r="M186" s="38">
        <f>(VLOOKUP($A186,'The List'!$B1:$AH730,25,FALSE)-AVERAGE('The List'!Z2:Z730))/STDEV('The List'!Z2:Z730)</f>
        <v>-0.75398857766773086</v>
      </c>
      <c r="N186" s="38">
        <f>(VLOOKUP($A186,'The List'!$B1:$AH730,26,FALSE)-AVERAGE('The List'!AA2:AA730))/STDEV('The List'!AA2:AA730)</f>
        <v>1.1018731091675249</v>
      </c>
      <c r="O186" s="38">
        <f>(VLOOKUP($A186,'The List'!$B1:$AH730,27,FALSE)-AVERAGE('The List'!AB2:AB730))/STDEV('The List'!AB2:AB730)</f>
        <v>-1.2184451750061518</v>
      </c>
      <c r="P186" s="38">
        <f>(VLOOKUP($A186,'The List'!$B1:$AH730,28,FALSE)-AVERAGE('The List'!AC2:AC730))/STDEV('The List'!AC2:AC730)</f>
        <v>-2.0243150251629731</v>
      </c>
      <c r="Q186" s="38">
        <f>(VLOOKUP($A186,'The List'!$B1:$AH730,29,FALSE)-AVERAGE('The List'!AD2:AD730))/STDEV('The List'!AD2:AD730)</f>
        <v>-0.71376349684637097</v>
      </c>
      <c r="R186" s="38">
        <f>(VLOOKUP($A186,'The List'!$B1:$AH730,30,FALSE)-AVERAGE('The List'!AE2:AE730))/STDEV('The List'!AE2:AE730)</f>
        <v>-0.63195764893688577</v>
      </c>
      <c r="S186" s="38">
        <f>(VLOOKUP($A186,'The List'!$B1:$AH730,31,FALSE)-AVERAGE('The List'!AF2:AF730))/STDEV('The List'!AF2:AF730)</f>
        <v>-0.56911587195029545</v>
      </c>
      <c r="T186" s="38">
        <f>(VLOOKUP($A186,'The List'!$B1:$AH730,32,FALSE)-AVERAGE('The List'!AG2:AG730))/STDEV('The List'!AG2:AG730)</f>
        <v>-0.61510119871956948</v>
      </c>
      <c r="U186" s="38">
        <f>(VLOOKUP($A186,'The List'!$B1:$AH730,33,FALSE)-AVERAGE('The List'!AH2:AH730))/STDEV('The List'!AH2:AH730)</f>
        <v>-1.2363238714825984</v>
      </c>
      <c r="V186" s="38"/>
      <c r="W186" s="40"/>
      <c r="X186" s="38"/>
      <c r="Y186" s="38"/>
      <c r="Z186" s="38"/>
      <c r="AA186" s="38"/>
      <c r="AB186" s="38"/>
      <c r="AC186" s="38"/>
      <c r="AD186" s="38"/>
      <c r="AE186" s="38"/>
    </row>
    <row r="187" spans="1:31" ht="21.2" customHeight="1">
      <c r="A187" s="8" t="s">
        <v>369</v>
      </c>
      <c r="B187" s="34" t="str">
        <f>VLOOKUP(A187,'Player Data'!A1:B734,2,FALSE)</f>
        <v>DAL</v>
      </c>
      <c r="C187" s="36">
        <f>((E187)*Settings!$C$12)+(F187*Settings!$C$2)+(G187*Settings!$C$3)+(H187*Settings!$C$4)+(I187*Settings!$C$5)+(K187*Settings!$C$9)+(N187*Settings!$C$6)+(J187*Settings!$C$8)+(O187*Settings!$C$7)+(P187*Settings!$C$14)+(Q187*Settings!$C$15)+(R187*Settings!$C$16)+(S187*Settings!$C$17)+(T187*Settings!$C$18)+(U187*Settings!$C$19)+(L187*Settings!$C$10)+(Settings!$C$11*M187)</f>
        <v>2.1771678867997832</v>
      </c>
      <c r="D187" s="40">
        <f>IF(Settings!$E$12="YES",VLOOKUP(A187,'Player Data'!A1:E734,5,FALSE),82)</f>
        <v>82</v>
      </c>
      <c r="E187" s="38">
        <f>(VLOOKUP($A187,'The List'!$B1:$AH730,17,FALSE)-AVERAGE('The List'!R2:R730))/STDEV('The List'!R2:R730)</f>
        <v>-5.1863944784573103E-2</v>
      </c>
      <c r="F187" s="38">
        <f>(VLOOKUP($A187,'The List'!$B1:$AH730,18,FALSE)-AVERAGE('The List'!S2:S730))/STDEV('The List'!S2:S730)</f>
        <v>1.2146262011119233</v>
      </c>
      <c r="G187" s="38">
        <f>(VLOOKUP($A187,'The List'!$B1:$AH730,19,FALSE)-AVERAGE('The List'!T2:T730))/STDEV('The List'!T2:T730)</f>
        <v>-4.6254237988490696E-2</v>
      </c>
      <c r="H187" s="38">
        <f>(VLOOKUP($A187,'The List'!$B1:$AH730,20,FALSE)-AVERAGE('The List'!U2:U730))/STDEV('The List'!U2:U730)</f>
        <v>0.53622203128418233</v>
      </c>
      <c r="I187" s="38">
        <f>(VLOOKUP($A187,'The List'!$B1:$AH730,21,FALSE)-AVERAGE('The List'!V2:V730))/STDEV('The List'!V2:V730)</f>
        <v>0.44356022525795136</v>
      </c>
      <c r="J187" s="38">
        <f>(VLOOKUP($A187,'The List'!$B1:$AH730,22,FALSE)-AVERAGE('The List'!W2:W730))/STDEV('The List'!W2:W730)</f>
        <v>0.22687683503619752</v>
      </c>
      <c r="K187" s="38">
        <f>(VLOOKUP($A187,'The List'!$B1:$AH730,23,FALSE)-AVERAGE('The List'!X2:X730))/STDEV('The List'!X2:X730)</f>
        <v>2.9013667134216894E-2</v>
      </c>
      <c r="L187" s="38">
        <f>(VLOOKUP($A187,'The List'!$B1:$AH730,24,FALSE)-AVERAGE('The List'!Y2:Y730))/STDEV('The List'!Y2:Y730)</f>
        <v>-0.16315915470243331</v>
      </c>
      <c r="M187" s="38">
        <f>(VLOOKUP($A187,'The List'!$B1:$AH730,25,FALSE)-AVERAGE('The List'!Z2:Z730))/STDEV('The List'!Z2:Z730)</f>
        <v>-0.21608226888835705</v>
      </c>
      <c r="N187" s="38">
        <f>(VLOOKUP($A187,'The List'!$B1:$AH730,26,FALSE)-AVERAGE('The List'!AA2:AA730))/STDEV('The List'!AA2:AA730)</f>
        <v>-0.76063534749496164</v>
      </c>
      <c r="O187" s="38">
        <f>(VLOOKUP($A187,'The List'!$B1:$AH730,27,FALSE)-AVERAGE('The List'!AB2:AB730))/STDEV('The List'!AB2:AB730)</f>
        <v>-1.3641829416150133</v>
      </c>
      <c r="P187" s="38">
        <f>(VLOOKUP($A187,'The List'!$B1:$AH730,28,FALSE)-AVERAGE('The List'!AC2:AC730))/STDEV('The List'!AC2:AC730)</f>
        <v>1.1943002570863934</v>
      </c>
      <c r="Q187" s="38">
        <f>(VLOOKUP($A187,'The List'!$B1:$AH730,29,FALSE)-AVERAGE('The List'!AD2:AD730))/STDEV('The List'!AD2:AD730)</f>
        <v>-0.63479715375909218</v>
      </c>
      <c r="R187" s="38">
        <f>(VLOOKUP($A187,'The List'!$B1:$AH730,30,FALSE)-AVERAGE('The List'!AE2:AE730))/STDEV('The List'!AE2:AE730)</f>
        <v>1.4413061545526045</v>
      </c>
      <c r="S187" s="38">
        <f>(VLOOKUP($A187,'The List'!$B1:$AH730,31,FALSE)-AVERAGE('The List'!AF2:AF730))/STDEV('The List'!AF2:AF730)</f>
        <v>0.14681669432581548</v>
      </c>
      <c r="T187" s="38">
        <f>(VLOOKUP($A187,'The List'!$B1:$AH730,32,FALSE)-AVERAGE('The List'!AG2:AG730))/STDEV('The List'!AG2:AG730)</f>
        <v>0.37051357015416903</v>
      </c>
      <c r="U187" s="38">
        <f>(VLOOKUP($A187,'The List'!$B1:$AH730,33,FALSE)-AVERAGE('The List'!AH2:AH730))/STDEV('The List'!AH2:AH730)</f>
        <v>0.71851235599673935</v>
      </c>
      <c r="V187" s="38"/>
      <c r="W187" s="42"/>
      <c r="X187" s="40"/>
      <c r="Y187" s="40"/>
      <c r="Z187" s="40"/>
      <c r="AA187" s="40"/>
      <c r="AB187" s="40"/>
      <c r="AC187" s="43"/>
      <c r="AD187" s="44"/>
      <c r="AE187" s="38"/>
    </row>
    <row r="188" spans="1:31" ht="21.2" customHeight="1">
      <c r="A188" s="8" t="s">
        <v>367</v>
      </c>
      <c r="B188" s="34" t="str">
        <f>VLOOKUP(A188,'Player Data'!A1:B734,2,FALSE)</f>
        <v>NSH</v>
      </c>
      <c r="C188" s="36">
        <f>((E188)*Settings!$C$12)+(F188*Settings!$C$2)+(G188*Settings!$C$3)+(H188*Settings!$C$4)+(I188*Settings!$C$5)+(K188*Settings!$C$9)+(N188*Settings!$C$6)+(J188*Settings!$C$8)+(O188*Settings!$C$7)+(P188*Settings!$C$14)+(Q188*Settings!$C$15)+(R188*Settings!$C$16)+(S188*Settings!$C$17)+(T188*Settings!$C$18)+(U188*Settings!$C$19)+(L188*Settings!$C$10)+(Settings!$C$11*M188)</f>
        <v>2.5671777929696864</v>
      </c>
      <c r="D188" s="40">
        <f>IF(Settings!$E$12="YES",VLOOKUP(A188,'Player Data'!A1:E734,5,FALSE),82)</f>
        <v>82</v>
      </c>
      <c r="E188" s="38">
        <f>(VLOOKUP($A188,'The List'!$B1:$AH730,17,FALSE)-AVERAGE('The List'!R2:R730))/STDEV('The List'!R2:R730)</f>
        <v>-3.5409448358782159E-3</v>
      </c>
      <c r="F188" s="38">
        <f>(VLOOKUP($A188,'The List'!$B1:$AH730,18,FALSE)-AVERAGE('The List'!S2:S730))/STDEV('The List'!S2:S730)</f>
        <v>0.58872181875286467</v>
      </c>
      <c r="G188" s="38">
        <f>(VLOOKUP($A188,'The List'!$B1:$AH730,19,FALSE)-AVERAGE('The List'!T2:T730))/STDEV('The List'!T2:T730)</f>
        <v>0.41076754208187205</v>
      </c>
      <c r="H188" s="38">
        <f>(VLOOKUP($A188,'The List'!$B1:$AH730,20,FALSE)-AVERAGE('The List'!U2:U730))/STDEV('The List'!U2:U730)</f>
        <v>0.52611376591298009</v>
      </c>
      <c r="I188" s="38">
        <f>(VLOOKUP($A188,'The List'!$B1:$AH730,21,FALSE)-AVERAGE('The List'!V2:V730))/STDEV('The List'!V2:V730)</f>
        <v>0.40916223968048365</v>
      </c>
      <c r="J188" s="38">
        <f>(VLOOKUP($A188,'The List'!$B1:$AH730,22,FALSE)-AVERAGE('The List'!W2:W730))/STDEV('The List'!W2:W730)</f>
        <v>1.5188754880932001</v>
      </c>
      <c r="K188" s="38">
        <f>(VLOOKUP($A188,'The List'!$B1:$AH730,23,FALSE)-AVERAGE('The List'!X2:X730))/STDEV('The List'!X2:X730)</f>
        <v>0.63241242654148566</v>
      </c>
      <c r="L188" s="38">
        <f>(VLOOKUP($A188,'The List'!$B1:$AH730,24,FALSE)-AVERAGE('The List'!Y2:Y730))/STDEV('The List'!Y2:Y730)</f>
        <v>-0.40637236014629691</v>
      </c>
      <c r="M188" s="38">
        <f>(VLOOKUP($A188,'The List'!$B1:$AH730,25,FALSE)-AVERAGE('The List'!Z2:Z730))/STDEV('The List'!Z2:Z730)</f>
        <v>-0.55704909765378963</v>
      </c>
      <c r="N188" s="38">
        <f>(VLOOKUP($A188,'The List'!$B1:$AH730,26,FALSE)-AVERAGE('The List'!AA2:AA730))/STDEV('The List'!AA2:AA730)</f>
        <v>-0.63120238682393626</v>
      </c>
      <c r="O188" s="38">
        <f>(VLOOKUP($A188,'The List'!$B1:$AH730,27,FALSE)-AVERAGE('The List'!AB2:AB730))/STDEV('The List'!AB2:AB730)</f>
        <v>-0.42251516867093902</v>
      </c>
      <c r="P188" s="38">
        <f>(VLOOKUP($A188,'The List'!$B1:$AH730,28,FALSE)-AVERAGE('The List'!AC2:AC730))/STDEV('The List'!AC2:AC730)</f>
        <v>0.19961334186964921</v>
      </c>
      <c r="Q188" s="38">
        <f>(VLOOKUP($A188,'The List'!$B1:$AH730,29,FALSE)-AVERAGE('The List'!AD2:AD730))/STDEV('The List'!AD2:AD730)</f>
        <v>-0.47536274896030334</v>
      </c>
      <c r="R188" s="38">
        <f>(VLOOKUP($A188,'The List'!$B1:$AH730,30,FALSE)-AVERAGE('The List'!AE2:AE730))/STDEV('The List'!AE2:AE730)</f>
        <v>0.61102421568437759</v>
      </c>
      <c r="S188" s="38">
        <f>(VLOOKUP($A188,'The List'!$B1:$AH730,31,FALSE)-AVERAGE('The List'!AF2:AF730))/STDEV('The List'!AF2:AF730)</f>
        <v>1.4869726309595068</v>
      </c>
      <c r="T188" s="38">
        <f>(VLOOKUP($A188,'The List'!$B1:$AH730,32,FALSE)-AVERAGE('The List'!AG2:AG730))/STDEV('The List'!AG2:AG730)</f>
        <v>1.7540832852547492</v>
      </c>
      <c r="U188" s="38">
        <f>(VLOOKUP($A188,'The List'!$B1:$AH730,33,FALSE)-AVERAGE('The List'!AH2:AH730))/STDEV('The List'!AH2:AH730)</f>
        <v>0.91765064114807238</v>
      </c>
      <c r="V188" s="38"/>
      <c r="W188" s="42"/>
      <c r="X188" s="40"/>
      <c r="Y188" s="40"/>
      <c r="Z188" s="40"/>
      <c r="AA188" s="40"/>
      <c r="AB188" s="40"/>
      <c r="AC188" s="43"/>
      <c r="AD188" s="44"/>
      <c r="AE188" s="38"/>
    </row>
    <row r="189" spans="1:31" ht="21.2" customHeight="1">
      <c r="A189" s="8" t="s">
        <v>349</v>
      </c>
      <c r="B189" s="34" t="str">
        <f>VLOOKUP(A189,'Player Data'!A1:B734,2,FALSE)</f>
        <v>DAL</v>
      </c>
      <c r="C189" s="36">
        <f>((E189)*Settings!$C$12)+(F189*Settings!$C$2)+(G189*Settings!$C$3)+(H189*Settings!$C$4)+(I189*Settings!$C$5)+(K189*Settings!$C$9)+(N189*Settings!$C$6)+(J189*Settings!$C$8)+(O189*Settings!$C$7)+(P189*Settings!$C$14)+(Q189*Settings!$C$15)+(R189*Settings!$C$16)+(S189*Settings!$C$17)+(T189*Settings!$C$18)+(U189*Settings!$C$19)+(L189*Settings!$C$10)+(Settings!$C$11*M189)</f>
        <v>2.348789467429456</v>
      </c>
      <c r="D189" s="40">
        <f>IF(Settings!$E$12="YES",VLOOKUP(A189,'Player Data'!A1:E734,5,FALSE),82)</f>
        <v>82</v>
      </c>
      <c r="E189" s="38">
        <f>(VLOOKUP($A189,'The List'!$B1:$AH730,17,FALSE)-AVERAGE('The List'!R2:R730))/STDEV('The List'!R2:R730)</f>
        <v>9.1089493097342628E-2</v>
      </c>
      <c r="F189" s="38">
        <f>(VLOOKUP($A189,'The List'!$B1:$AH730,18,FALSE)-AVERAGE('The List'!S2:S730))/STDEV('The List'!S2:S730)</f>
        <v>0.67187420431515021</v>
      </c>
      <c r="G189" s="38">
        <f>(VLOOKUP($A189,'The List'!$B1:$AH730,19,FALSE)-AVERAGE('The List'!T2:T730))/STDEV('The List'!T2:T730)</f>
        <v>0.16701508895058306</v>
      </c>
      <c r="H189" s="38">
        <f>(VLOOKUP($A189,'The List'!$B1:$AH730,20,FALSE)-AVERAGE('The List'!U2:U730))/STDEV('The List'!U2:U730)</f>
        <v>0.41497360432556346</v>
      </c>
      <c r="I189" s="38">
        <f>(VLOOKUP($A189,'The List'!$B1:$AH730,21,FALSE)-AVERAGE('The List'!V2:V730))/STDEV('The List'!V2:V730)</f>
        <v>0.88673671734802861</v>
      </c>
      <c r="J189" s="38">
        <f>(VLOOKUP($A189,'The List'!$B1:$AH730,22,FALSE)-AVERAGE('The List'!W2:W730))/STDEV('The List'!W2:W730)</f>
        <v>0.53112263100563029</v>
      </c>
      <c r="K189" s="38">
        <f>(VLOOKUP($A189,'The List'!$B1:$AH730,23,FALSE)-AVERAGE('The List'!X2:X730))/STDEV('The List'!X2:X730)</f>
        <v>0.20818985249013092</v>
      </c>
      <c r="L189" s="38">
        <f>(VLOOKUP($A189,'The List'!$B1:$AH730,24,FALSE)-AVERAGE('The List'!Y2:Y730))/STDEV('The List'!Y2:Y730)</f>
        <v>1.121157396188448</v>
      </c>
      <c r="M189" s="38">
        <f>(VLOOKUP($A189,'The List'!$B1:$AH730,25,FALSE)-AVERAGE('The List'!Z2:Z730))/STDEV('The List'!Z2:Z730)</f>
        <v>1.2925898740477302</v>
      </c>
      <c r="N189" s="38">
        <f>(VLOOKUP($A189,'The List'!$B1:$AH730,26,FALSE)-AVERAGE('The List'!AA2:AA730))/STDEV('The List'!AA2:AA730)</f>
        <v>-0.86059143856676668</v>
      </c>
      <c r="O189" s="38">
        <f>(VLOOKUP($A189,'The List'!$B1:$AH730,27,FALSE)-AVERAGE('The List'!AB2:AB730))/STDEV('The List'!AB2:AB730)</f>
        <v>-0.22432657738139564</v>
      </c>
      <c r="P189" s="38">
        <f>(VLOOKUP($A189,'The List'!$B1:$AH730,28,FALSE)-AVERAGE('The List'!AC2:AC730))/STDEV('The List'!AC2:AC730)</f>
        <v>0.79327718306803086</v>
      </c>
      <c r="Q189" s="38">
        <f>(VLOOKUP($A189,'The List'!$B1:$AH730,29,FALSE)-AVERAGE('The List'!AD2:AD730))/STDEV('The List'!AD2:AD730)</f>
        <v>-0.39706416515114912</v>
      </c>
      <c r="R189" s="38">
        <f>(VLOOKUP($A189,'The List'!$B1:$AH730,30,FALSE)-AVERAGE('The List'!AE2:AE730))/STDEV('The List'!AE2:AE730)</f>
        <v>0.87581229155066442</v>
      </c>
      <c r="S189" s="38">
        <f>(VLOOKUP($A189,'The List'!$B1:$AH730,31,FALSE)-AVERAGE('The List'!AF2:AF730))/STDEV('The List'!AF2:AF730)</f>
        <v>1.8206035428585059</v>
      </c>
      <c r="T189" s="38">
        <f>(VLOOKUP($A189,'The List'!$B1:$AH730,32,FALSE)-AVERAGE('The List'!AG2:AG730))/STDEV('The List'!AG2:AG730)</f>
        <v>1.4106554427709559</v>
      </c>
      <c r="U189" s="38">
        <f>(VLOOKUP($A189,'The List'!$B1:$AH730,33,FALSE)-AVERAGE('The List'!AH2:AH730))/STDEV('The List'!AH2:AH730)</f>
        <v>1.2632498218274495</v>
      </c>
      <c r="V189" s="38"/>
      <c r="W189" s="42"/>
      <c r="X189" s="40"/>
      <c r="Y189" s="40"/>
      <c r="Z189" s="40"/>
      <c r="AA189" s="40"/>
      <c r="AB189" s="40"/>
      <c r="AC189" s="43"/>
      <c r="AD189" s="44"/>
      <c r="AE189" s="38"/>
    </row>
    <row r="190" spans="1:31" ht="21.2" customHeight="1">
      <c r="A190" s="8" t="s">
        <v>391</v>
      </c>
      <c r="B190" s="34" t="str">
        <f>VLOOKUP(A190,'Player Data'!A1:B734,2,FALSE)</f>
        <v>PHI</v>
      </c>
      <c r="C190" s="36">
        <f>((E190)*Settings!$C$12)+(F190*Settings!$C$2)+(G190*Settings!$C$3)+(H190*Settings!$C$4)+(I190*Settings!$C$5)+(K190*Settings!$C$9)+(N190*Settings!$C$6)+(J190*Settings!$C$8)+(O190*Settings!$C$7)+(P190*Settings!$C$14)+(Q190*Settings!$C$15)+(R190*Settings!$C$16)+(S190*Settings!$C$17)+(T190*Settings!$C$18)+(U190*Settings!$C$19)+(L190*Settings!$C$10)+(Settings!$C$11*M190)</f>
        <v>2.4729723519051721</v>
      </c>
      <c r="D190" s="40">
        <f>IF(Settings!$E$12="YES",VLOOKUP(A190,'Player Data'!A1:E734,5,FALSE),82)</f>
        <v>82</v>
      </c>
      <c r="E190" s="38">
        <f>(VLOOKUP($A190,'The List'!$B1:$AH730,17,FALSE)-AVERAGE('The List'!R2:R730))/STDEV('The List'!R2:R730)</f>
        <v>-5.3184791367248713E-2</v>
      </c>
      <c r="F190" s="38">
        <f>(VLOOKUP($A190,'The List'!$B1:$AH730,18,FALSE)-AVERAGE('The List'!S2:S730))/STDEV('The List'!S2:S730)</f>
        <v>0.4642194852065295</v>
      </c>
      <c r="G190" s="38">
        <f>(VLOOKUP($A190,'The List'!$B1:$AH730,19,FALSE)-AVERAGE('The List'!T2:T730))/STDEV('The List'!T2:T730)</f>
        <v>0.32208194163773135</v>
      </c>
      <c r="H190" s="38">
        <f>(VLOOKUP($A190,'The List'!$B1:$AH730,20,FALSE)-AVERAGE('The List'!U2:U730))/STDEV('The List'!U2:U730)</f>
        <v>0.41373518667290626</v>
      </c>
      <c r="I190" s="38">
        <f>(VLOOKUP($A190,'The List'!$B1:$AH730,21,FALSE)-AVERAGE('The List'!V2:V730))/STDEV('The List'!V2:V730)</f>
        <v>1.0002984084635986</v>
      </c>
      <c r="J190" s="38">
        <f>(VLOOKUP($A190,'The List'!$B1:$AH730,22,FALSE)-AVERAGE('The List'!W2:W730))/STDEV('The List'!W2:W730)</f>
        <v>0.16697067532944565</v>
      </c>
      <c r="K190" s="38">
        <f>(VLOOKUP($A190,'The List'!$B1:$AH730,23,FALSE)-AVERAGE('The List'!X2:X730))/STDEV('The List'!X2:X730)</f>
        <v>0.2726373299244067</v>
      </c>
      <c r="L190" s="38">
        <f>(VLOOKUP($A190,'The List'!$B1:$AH730,24,FALSE)-AVERAGE('The List'!Y2:Y730))/STDEV('The List'!Y2:Y730)</f>
        <v>-0.38877853150478314</v>
      </c>
      <c r="M190" s="38">
        <f>(VLOOKUP($A190,'The List'!$B1:$AH730,25,FALSE)-AVERAGE('The List'!Z2:Z730))/STDEV('The List'!Z2:Z730)</f>
        <v>-0.62187498096058691</v>
      </c>
      <c r="N190" s="38">
        <f>(VLOOKUP($A190,'The List'!$B1:$AH730,26,FALSE)-AVERAGE('The List'!AA2:AA730))/STDEV('The List'!AA2:AA730)</f>
        <v>-0.60582832866113245</v>
      </c>
      <c r="O190" s="38">
        <f>(VLOOKUP($A190,'The List'!$B1:$AH730,27,FALSE)-AVERAGE('The List'!AB2:AB730))/STDEV('The List'!AB2:AB730)</f>
        <v>-1.1041913883121799</v>
      </c>
      <c r="P190" s="38">
        <f>(VLOOKUP($A190,'The List'!$B1:$AH730,28,FALSE)-AVERAGE('The List'!AC2:AC730))/STDEV('The List'!AC2:AC730)</f>
        <v>-1.1811015896403176</v>
      </c>
      <c r="Q190" s="38">
        <f>(VLOOKUP($A190,'The List'!$B1:$AH730,29,FALSE)-AVERAGE('The List'!AD2:AD730))/STDEV('The List'!AD2:AD730)</f>
        <v>-2.2894574457896004</v>
      </c>
      <c r="R190" s="38">
        <f>(VLOOKUP($A190,'The List'!$B1:$AH730,30,FALSE)-AVERAGE('The List'!AE2:AE730))/STDEV('The List'!AE2:AE730)</f>
        <v>0.15244030256880553</v>
      </c>
      <c r="S190" s="38">
        <f>(VLOOKUP($A190,'The List'!$B1:$AH730,31,FALSE)-AVERAGE('The List'!AF2:AF730))/STDEV('The List'!AF2:AF730)</f>
        <v>-0.53560902148933887</v>
      </c>
      <c r="T190" s="38">
        <f>(VLOOKUP($A190,'The List'!$B1:$AH730,32,FALSE)-AVERAGE('The List'!AG2:AG730))/STDEV('The List'!AG2:AG730)</f>
        <v>-0.52096848834137555</v>
      </c>
      <c r="U190" s="38">
        <f>(VLOOKUP($A190,'The List'!$B1:$AH730,33,FALSE)-AVERAGE('The List'!AH2:AH730))/STDEV('The List'!AH2:AH730)</f>
        <v>-7.0436505517841551E-3</v>
      </c>
      <c r="V190" s="38"/>
      <c r="W190" s="42"/>
      <c r="X190" s="40"/>
      <c r="Y190" s="40"/>
      <c r="Z190" s="40"/>
      <c r="AA190" s="40"/>
      <c r="AB190" s="40"/>
      <c r="AC190" s="43"/>
      <c r="AD190" s="44"/>
      <c r="AE190" s="38"/>
    </row>
    <row r="191" spans="1:31" ht="21.2" customHeight="1">
      <c r="A191" s="8" t="s">
        <v>398</v>
      </c>
      <c r="B191" s="34" t="str">
        <f>VLOOKUP(A191,'Player Data'!A1:B734,2,FALSE)</f>
        <v>VAN</v>
      </c>
      <c r="C191" s="36">
        <f>((E191)*Settings!$C$12)+(F191*Settings!$C$2)+(G191*Settings!$C$3)+(H191*Settings!$C$4)+(I191*Settings!$C$5)+(K191*Settings!$C$9)+(N191*Settings!$C$6)+(J191*Settings!$C$8)+(O191*Settings!$C$7)+(P191*Settings!$C$14)+(Q191*Settings!$C$15)+(R191*Settings!$C$16)+(S191*Settings!$C$17)+(T191*Settings!$C$18)+(U191*Settings!$C$19)+(L191*Settings!$C$10)+(Settings!$C$11*M191)</f>
        <v>1.496402365959153</v>
      </c>
      <c r="D191" s="40">
        <f>IF(Settings!$E$12="YES",VLOOKUP(A191,'Player Data'!A1:E734,5,FALSE),82)</f>
        <v>82</v>
      </c>
      <c r="E191" s="38">
        <f>(VLOOKUP($A191,'The List'!$B1:$AH730,17,FALSE)-AVERAGE('The List'!R2:R730))/STDEV('The List'!R2:R730)</f>
        <v>0.13493216354508958</v>
      </c>
      <c r="F191" s="38">
        <f>(VLOOKUP($A191,'The List'!$B1:$AH730,18,FALSE)-AVERAGE('The List'!S2:S730))/STDEV('The List'!S2:S730)</f>
        <v>0.91443459579511566</v>
      </c>
      <c r="G191" s="38">
        <f>(VLOOKUP($A191,'The List'!$B1:$AH730,19,FALSE)-AVERAGE('The List'!T2:T730))/STDEV('The List'!T2:T730)</f>
        <v>-5.2204025098857049E-2</v>
      </c>
      <c r="H191" s="38">
        <f>(VLOOKUP($A191,'The List'!$B1:$AH730,20,FALSE)-AVERAGE('The List'!U2:U730))/STDEV('The List'!U2:U730)</f>
        <v>0.39301464283950782</v>
      </c>
      <c r="I191" s="38">
        <f>(VLOOKUP($A191,'The List'!$B1:$AH730,21,FALSE)-AVERAGE('The List'!V2:V730))/STDEV('The List'!V2:V730)</f>
        <v>0.6149285430916217</v>
      </c>
      <c r="J191" s="38">
        <f>(VLOOKUP($A191,'The List'!$B1:$AH730,22,FALSE)-AVERAGE('The List'!W2:W730))/STDEV('The List'!W2:W730)</f>
        <v>-0.13750513740536294</v>
      </c>
      <c r="K191" s="38">
        <f>(VLOOKUP($A191,'The List'!$B1:$AH730,23,FALSE)-AVERAGE('The List'!X2:X730))/STDEV('The List'!X2:X730)</f>
        <v>-0.37377139066823512</v>
      </c>
      <c r="L191" s="38">
        <f>(VLOOKUP($A191,'The List'!$B1:$AH730,24,FALSE)-AVERAGE('The List'!Y2:Y730))/STDEV('The List'!Y2:Y730)</f>
        <v>3.040984344177919</v>
      </c>
      <c r="M191" s="38">
        <f>(VLOOKUP($A191,'The List'!$B1:$AH730,25,FALSE)-AVERAGE('The List'!Z2:Z730))/STDEV('The List'!Z2:Z730)</f>
        <v>1.9453740163449209</v>
      </c>
      <c r="N191" s="38">
        <f>(VLOOKUP($A191,'The List'!$B1:$AH730,26,FALSE)-AVERAGE('The List'!AA2:AA730))/STDEV('The List'!AA2:AA730)</f>
        <v>-0.8226380446817444</v>
      </c>
      <c r="O191" s="38">
        <f>(VLOOKUP($A191,'The List'!$B1:$AH730,27,FALSE)-AVERAGE('The List'!AB2:AB730))/STDEV('The List'!AB2:AB730)</f>
        <v>-0.98070814071544621</v>
      </c>
      <c r="P191" s="38">
        <f>(VLOOKUP($A191,'The List'!$B1:$AH730,28,FALSE)-AVERAGE('The List'!AC2:AC730))/STDEV('The List'!AC2:AC730)</f>
        <v>0.16529961313335734</v>
      </c>
      <c r="Q191" s="38">
        <f>(VLOOKUP($A191,'The List'!$B1:$AH730,29,FALSE)-AVERAGE('The List'!AD2:AD730))/STDEV('The List'!AD2:AD730)</f>
        <v>-1.0731586439686989</v>
      </c>
      <c r="R191" s="38">
        <f>(VLOOKUP($A191,'The List'!$B1:$AH730,30,FALSE)-AVERAGE('The List'!AE2:AE730))/STDEV('The List'!AE2:AE730)</f>
        <v>0.85431391344308316</v>
      </c>
      <c r="S191" s="38">
        <f>(VLOOKUP($A191,'The List'!$B1:$AH730,31,FALSE)-AVERAGE('The List'!AF2:AF730))/STDEV('The List'!AF2:AF730)</f>
        <v>-0.54862077446563295</v>
      </c>
      <c r="T191" s="38">
        <f>(VLOOKUP($A191,'The List'!$B1:$AH730,32,FALSE)-AVERAGE('The List'!AG2:AG730))/STDEV('The List'!AG2:AG730)</f>
        <v>-0.56922413675239769</v>
      </c>
      <c r="U191" s="38">
        <f>(VLOOKUP($A191,'The List'!$B1:$AH730,33,FALSE)-AVERAGE('The List'!AH2:AH730))/STDEV('The List'!AH2:AH730)</f>
        <v>0.20633466465830139</v>
      </c>
      <c r="V191" s="38"/>
      <c r="W191" s="40"/>
      <c r="X191" s="38"/>
      <c r="Y191" s="38"/>
      <c r="Z191" s="38"/>
      <c r="AA191" s="38"/>
      <c r="AB191" s="38"/>
      <c r="AC191" s="38"/>
      <c r="AD191" s="38"/>
      <c r="AE191" s="38"/>
    </row>
    <row r="192" spans="1:31" ht="21.2" customHeight="1">
      <c r="A192" s="8" t="s">
        <v>410</v>
      </c>
      <c r="B192" s="34" t="str">
        <f>VLOOKUP(A192,'Player Data'!A1:B734,2,FALSE)</f>
        <v>CBJ</v>
      </c>
      <c r="C192" s="36">
        <f>((E192)*Settings!$C$12)+(F192*Settings!$C$2)+(G192*Settings!$C$3)+(H192*Settings!$C$4)+(I192*Settings!$C$5)+(K192*Settings!$C$9)+(N192*Settings!$C$6)+(J192*Settings!$C$8)+(O192*Settings!$C$7)+(P192*Settings!$C$14)+(Q192*Settings!$C$15)+(R192*Settings!$C$16)+(S192*Settings!$C$17)+(T192*Settings!$C$18)+(U192*Settings!$C$19)+(L192*Settings!$C$10)+(Settings!$C$11*M192)</f>
        <v>1.0345234903989839</v>
      </c>
      <c r="D192" s="40">
        <f>IF(Settings!$E$12="YES",VLOOKUP(A192,'Player Data'!A1:E734,5,FALSE),82)</f>
        <v>82</v>
      </c>
      <c r="E192" s="38">
        <f>(VLOOKUP($A192,'The List'!$B1:$AH730,17,FALSE)-AVERAGE('The List'!R2:R730))/STDEV('The List'!R2:R730)</f>
        <v>-8.5722693146517842E-2</v>
      </c>
      <c r="F192" s="38">
        <f>(VLOOKUP($A192,'The List'!$B1:$AH730,18,FALSE)-AVERAGE('The List'!S2:S730))/STDEV('The List'!S2:S730)</f>
        <v>0.26518156777235069</v>
      </c>
      <c r="G192" s="38">
        <f>(VLOOKUP($A192,'The List'!$B1:$AH730,19,FALSE)-AVERAGE('The List'!T2:T730))/STDEV('The List'!T2:T730)</f>
        <v>0.43667032631765201</v>
      </c>
      <c r="H192" s="38">
        <f>(VLOOKUP($A192,'The List'!$B1:$AH730,20,FALSE)-AVERAGE('The List'!U2:U730))/STDEV('The List'!U2:U730)</f>
        <v>0.39162687764471288</v>
      </c>
      <c r="I192" s="38">
        <f>(VLOOKUP($A192,'The List'!$B1:$AH730,21,FALSE)-AVERAGE('The List'!V2:V730))/STDEV('The List'!V2:V730)</f>
        <v>-0.14920150637648744</v>
      </c>
      <c r="J192" s="38">
        <f>(VLOOKUP($A192,'The List'!$B1:$AH730,22,FALSE)-AVERAGE('The List'!W2:W730))/STDEV('The List'!W2:W730)</f>
        <v>0.11619717659604394</v>
      </c>
      <c r="K192" s="38">
        <f>(VLOOKUP($A192,'The List'!$B1:$AH730,23,FALSE)-AVERAGE('The List'!X2:X730))/STDEV('The List'!X2:X730)</f>
        <v>9.0246225040755773E-2</v>
      </c>
      <c r="L192" s="38">
        <f>(VLOOKUP($A192,'The List'!$B1:$AH730,24,FALSE)-AVERAGE('The List'!Y2:Y730))/STDEV('The List'!Y2:Y730)</f>
        <v>2.2476155380648799</v>
      </c>
      <c r="M192" s="38">
        <f>(VLOOKUP($A192,'The List'!$B1:$AH730,25,FALSE)-AVERAGE('The List'!Z2:Z730))/STDEV('The List'!Z2:Z730)</f>
        <v>1.9776825077448719</v>
      </c>
      <c r="N192" s="38">
        <f>(VLOOKUP($A192,'The List'!$B1:$AH730,26,FALSE)-AVERAGE('The List'!AA2:AA730))/STDEV('The List'!AA2:AA730)</f>
        <v>-0.39609223055144283</v>
      </c>
      <c r="O192" s="38">
        <f>(VLOOKUP($A192,'The List'!$B1:$AH730,27,FALSE)-AVERAGE('The List'!AB2:AB730))/STDEV('The List'!AB2:AB730)</f>
        <v>-0.89767815524370154</v>
      </c>
      <c r="P192" s="38">
        <f>(VLOOKUP($A192,'The List'!$B1:$AH730,28,FALSE)-AVERAGE('The List'!AC2:AC730))/STDEV('The List'!AC2:AC730)</f>
        <v>-1.3651023862225518</v>
      </c>
      <c r="Q192" s="38">
        <f>(VLOOKUP($A192,'The List'!$B1:$AH730,29,FALSE)-AVERAGE('The List'!AD2:AD730))/STDEV('The List'!AD2:AD730)</f>
        <v>-1.1399588598401162</v>
      </c>
      <c r="R192" s="38">
        <f>(VLOOKUP($A192,'The List'!$B1:$AH730,30,FALSE)-AVERAGE('The List'!AE2:AE730))/STDEV('The List'!AE2:AE730)</f>
        <v>-0.11054281871473569</v>
      </c>
      <c r="S192" s="38">
        <f>(VLOOKUP($A192,'The List'!$B1:$AH730,31,FALSE)-AVERAGE('The List'!AF2:AF730))/STDEV('The List'!AF2:AF730)</f>
        <v>1.3469104309926536</v>
      </c>
      <c r="T192" s="38">
        <f>(VLOOKUP($A192,'The List'!$B1:$AH730,32,FALSE)-AVERAGE('The List'!AG2:AG730))/STDEV('The List'!AG2:AG730)</f>
        <v>2.0125699065944742</v>
      </c>
      <c r="U192" s="38">
        <f>(VLOOKUP($A192,'The List'!$B1:$AH730,33,FALSE)-AVERAGE('The List'!AH2:AH730))/STDEV('The List'!AH2:AH730)</f>
        <v>0.72276542845204272</v>
      </c>
      <c r="V192" s="38"/>
      <c r="W192" s="40"/>
      <c r="X192" s="38"/>
      <c r="Y192" s="38"/>
      <c r="Z192" s="38"/>
      <c r="AA192" s="38"/>
      <c r="AB192" s="38"/>
      <c r="AC192" s="38"/>
      <c r="AD192" s="38"/>
      <c r="AE192" s="38"/>
    </row>
    <row r="193" spans="1:31" ht="21.2" customHeight="1">
      <c r="A193" s="8" t="s">
        <v>400</v>
      </c>
      <c r="B193" s="34" t="str">
        <f>VLOOKUP(A193,'Player Data'!A1:B734,2,FALSE)</f>
        <v>PHI</v>
      </c>
      <c r="C193" s="36">
        <f>((E193)*Settings!$C$12)+(F193*Settings!$C$2)+(G193*Settings!$C$3)+(H193*Settings!$C$4)+(I193*Settings!$C$5)+(K193*Settings!$C$9)+(N193*Settings!$C$6)+(J193*Settings!$C$8)+(O193*Settings!$C$7)+(P193*Settings!$C$14)+(Q193*Settings!$C$15)+(R193*Settings!$C$16)+(S193*Settings!$C$17)+(T193*Settings!$C$18)+(U193*Settings!$C$19)+(L193*Settings!$C$10)+(Settings!$C$11*M193)</f>
        <v>1.0440946871425323</v>
      </c>
      <c r="D193" s="40">
        <f>IF(Settings!$E$12="YES",VLOOKUP(A193,'Player Data'!A1:E734,5,FALSE),82)</f>
        <v>82</v>
      </c>
      <c r="E193" s="38">
        <f>(VLOOKUP($A193,'The List'!$B1:$AH730,17,FALSE)-AVERAGE('The List'!R2:R730))/STDEV('The List'!R2:R730)</f>
        <v>0.18599472714262374</v>
      </c>
      <c r="F193" s="38">
        <f>(VLOOKUP($A193,'The List'!$B1:$AH730,18,FALSE)-AVERAGE('The List'!S2:S730))/STDEV('The List'!S2:S730)</f>
        <v>0.6006427253517026</v>
      </c>
      <c r="G193" s="38">
        <f>(VLOOKUP($A193,'The List'!$B1:$AH730,19,FALSE)-AVERAGE('The List'!T2:T730))/STDEV('The List'!T2:T730)</f>
        <v>0.16076757506620848</v>
      </c>
      <c r="H193" s="38">
        <f>(VLOOKUP($A193,'The List'!$B1:$AH730,20,FALSE)-AVERAGE('The List'!U2:U730))/STDEV('The List'!U2:U730)</f>
        <v>0.37802066092652237</v>
      </c>
      <c r="I193" s="38">
        <f>(VLOOKUP($A193,'The List'!$B1:$AH730,21,FALSE)-AVERAGE('The List'!V2:V730))/STDEV('The List'!V2:V730)</f>
        <v>0.1985375480123765</v>
      </c>
      <c r="J193" s="38">
        <f>(VLOOKUP($A193,'The List'!$B1:$AH730,22,FALSE)-AVERAGE('The List'!W2:W730))/STDEV('The List'!W2:W730)</f>
        <v>-0.28793674386751916</v>
      </c>
      <c r="K193" s="38">
        <f>(VLOOKUP($A193,'The List'!$B1:$AH730,23,FALSE)-AVERAGE('The List'!X2:X730))/STDEV('The List'!X2:X730)</f>
        <v>-0.29387382221427788</v>
      </c>
      <c r="L193" s="38">
        <f>(VLOOKUP($A193,'The List'!$B1:$AH730,24,FALSE)-AVERAGE('The List'!Y2:Y730))/STDEV('The List'!Y2:Y730)</f>
        <v>6.2957644084544809E-2</v>
      </c>
      <c r="M193" s="38">
        <f>(VLOOKUP($A193,'The List'!$B1:$AH730,25,FALSE)-AVERAGE('The List'!Z2:Z730))/STDEV('The List'!Z2:Z730)</f>
        <v>-0.13591400433133627</v>
      </c>
      <c r="N193" s="38">
        <f>(VLOOKUP($A193,'The List'!$B1:$AH730,26,FALSE)-AVERAGE('The List'!AA2:AA730))/STDEV('The List'!AA2:AA730)</f>
        <v>-0.51035143854631027</v>
      </c>
      <c r="O193" s="38">
        <f>(VLOOKUP($A193,'The List'!$B1:$AH730,27,FALSE)-AVERAGE('The List'!AB2:AB730))/STDEV('The List'!AB2:AB730)</f>
        <v>-0.46726150781285047</v>
      </c>
      <c r="P193" s="38">
        <f>(VLOOKUP($A193,'The List'!$B1:$AH730,28,FALSE)-AVERAGE('The List'!AC2:AC730))/STDEV('The List'!AC2:AC730)</f>
        <v>-1.2953724028454119</v>
      </c>
      <c r="Q193" s="38">
        <f>(VLOOKUP($A193,'The List'!$B1:$AH730,29,FALSE)-AVERAGE('The List'!AD2:AD730))/STDEV('The List'!AD2:AD730)</f>
        <v>0.58307803585582385</v>
      </c>
      <c r="R193" s="38">
        <f>(VLOOKUP($A193,'The List'!$B1:$AH730,30,FALSE)-AVERAGE('The List'!AE2:AE730))/STDEV('The List'!AE2:AE730)</f>
        <v>0.25686918251586627</v>
      </c>
      <c r="S193" s="38">
        <f>(VLOOKUP($A193,'The List'!$B1:$AH730,31,FALSE)-AVERAGE('The List'!AF2:AF730))/STDEV('The List'!AF2:AF730)</f>
        <v>-0.47218419911676829</v>
      </c>
      <c r="T193" s="38">
        <f>(VLOOKUP($A193,'The List'!$B1:$AH730,32,FALSE)-AVERAGE('The List'!AG2:AG730))/STDEV('The List'!AG2:AG730)</f>
        <v>-0.41859729710542137</v>
      </c>
      <c r="U193" s="38">
        <f>(VLOOKUP($A193,'The List'!$B1:$AH730,33,FALSE)-AVERAGE('The List'!AH2:AH730))/STDEV('The List'!AH2:AH730)</f>
        <v>0.30532796155598968</v>
      </c>
      <c r="V193" s="38"/>
      <c r="W193" s="42"/>
      <c r="X193" s="40"/>
      <c r="Y193" s="40"/>
      <c r="Z193" s="40"/>
      <c r="AA193" s="40"/>
      <c r="AB193" s="40"/>
      <c r="AC193" s="43"/>
      <c r="AD193" s="44"/>
      <c r="AE193" s="38"/>
    </row>
    <row r="194" spans="1:31" ht="21.2" customHeight="1">
      <c r="A194" s="8" t="s">
        <v>171</v>
      </c>
      <c r="B194" s="34" t="str">
        <f>VLOOKUP(A194,'Player Data'!A1:B734,2,FALSE)</f>
        <v>CHI</v>
      </c>
      <c r="C194" s="36">
        <f>((E194)*Settings!$C$12)+(F194*Settings!$C$2)+(G194*Settings!$C$3)+(H194*Settings!$C$4)+(I194*Settings!$C$5)+(K194*Settings!$C$9)+(N194*Settings!$C$6)+(J194*Settings!$C$8)+(O194*Settings!$C$7)+(P194*Settings!$C$14)+(Q194*Settings!$C$15)+(R194*Settings!$C$16)+(S194*Settings!$C$17)+(T194*Settings!$C$18)+(U194*Settings!$C$19)+(L194*Settings!$C$10)+(Settings!$C$11*M194)</f>
        <v>3.1780942166383763</v>
      </c>
      <c r="D194" s="40">
        <f>IF(Settings!$E$12="YES",VLOOKUP(A194,'Player Data'!A1:E734,5,FALSE),82)</f>
        <v>82</v>
      </c>
      <c r="E194" s="38">
        <f>(VLOOKUP($A194,'The List'!$B1:$AH730,17,FALSE)-AVERAGE('The List'!R2:R730))/STDEV('The List'!R2:R730)</f>
        <v>2.2334796299334534</v>
      </c>
      <c r="F194" s="38">
        <f>(VLOOKUP($A194,'The List'!$B1:$AH730,18,FALSE)-AVERAGE('The List'!S2:S730))/STDEV('The List'!S2:S730)</f>
        <v>-0.46894209820383631</v>
      </c>
      <c r="G194" s="38">
        <f>(VLOOKUP($A194,'The List'!$B1:$AH730,19,FALSE)-AVERAGE('The List'!T2:T730))/STDEV('The List'!T2:T730)</f>
        <v>1.1360085179053525</v>
      </c>
      <c r="H194" s="38">
        <f>(VLOOKUP($A194,'The List'!$B1:$AH730,20,FALSE)-AVERAGE('The List'!U2:U730))/STDEV('The List'!U2:U730)</f>
        <v>0.48012334251983479</v>
      </c>
      <c r="I194" s="38">
        <f>(VLOOKUP($A194,'The List'!$B1:$AH730,21,FALSE)-AVERAGE('The List'!V2:V730))/STDEV('The List'!V2:V730)</f>
        <v>1.0249489760946691</v>
      </c>
      <c r="J194" s="38">
        <f>(VLOOKUP($A194,'The List'!$B1:$AH730,22,FALSE)-AVERAGE('The List'!W2:W730))/STDEV('The List'!W2:W730)</f>
        <v>-0.22345313821798218</v>
      </c>
      <c r="K194" s="38">
        <f>(VLOOKUP($A194,'The List'!$B1:$AH730,23,FALSE)-AVERAGE('The List'!X2:X730))/STDEV('The List'!X2:X730)</f>
        <v>1.0059554783223563</v>
      </c>
      <c r="L194" s="38">
        <f>(VLOOKUP($A194,'The List'!$B1:$AH730,24,FALSE)-AVERAGE('The List'!Y2:Y730))/STDEV('The List'!Y2:Y730)</f>
        <v>-0.49429902920682073</v>
      </c>
      <c r="M194" s="38">
        <f>(VLOOKUP($A194,'The List'!$B1:$AH730,25,FALSE)-AVERAGE('The List'!Z2:Z730))/STDEV('The List'!Z2:Z730)</f>
        <v>0.35740628696942645</v>
      </c>
      <c r="N194" s="38">
        <f>(VLOOKUP($A194,'The List'!$B1:$AH730,26,FALSE)-AVERAGE('The List'!AA2:AA730))/STDEV('The List'!AA2:AA730)</f>
        <v>1.9551819125648897</v>
      </c>
      <c r="O194" s="38">
        <f>(VLOOKUP($A194,'The List'!$B1:$AH730,27,FALSE)-AVERAGE('The List'!AB2:AB730))/STDEV('The List'!AB2:AB730)</f>
        <v>0.20882926065410728</v>
      </c>
      <c r="P194" s="38">
        <f>(VLOOKUP($A194,'The List'!$B1:$AH730,28,FALSE)-AVERAGE('The List'!AC2:AC730))/STDEV('The List'!AC2:AC730)</f>
        <v>-2.2103964980130577</v>
      </c>
      <c r="Q194" s="38">
        <f>(VLOOKUP($A194,'The List'!$B1:$AH730,29,FALSE)-AVERAGE('The List'!AD2:AD730))/STDEV('The List'!AD2:AD730)</f>
        <v>3.3309256855971865E-2</v>
      </c>
      <c r="R194" s="38">
        <f>(VLOOKUP($A194,'The List'!$B1:$AH730,30,FALSE)-AVERAGE('The List'!AE2:AE730))/STDEV('The List'!AE2:AE730)</f>
        <v>-0.56400999078389402</v>
      </c>
      <c r="S194" s="38">
        <f>(VLOOKUP($A194,'The List'!$B1:$AH730,31,FALSE)-AVERAGE('The List'!AF2:AF730))/STDEV('The List'!AF2:AF730)</f>
        <v>-0.56911587195029545</v>
      </c>
      <c r="T194" s="38">
        <f>(VLOOKUP($A194,'The List'!$B1:$AH730,32,FALSE)-AVERAGE('The List'!AG2:AG730))/STDEV('The List'!AG2:AG730)</f>
        <v>-0.61510119871956948</v>
      </c>
      <c r="U194" s="38">
        <f>(VLOOKUP($A194,'The List'!$B1:$AH730,33,FALSE)-AVERAGE('The List'!AH2:AH730))/STDEV('The List'!AH2:AH730)</f>
        <v>-1.2363238714825984</v>
      </c>
      <c r="V194" s="38"/>
      <c r="W194" s="42"/>
      <c r="X194" s="40"/>
      <c r="Y194" s="40"/>
      <c r="Z194" s="40"/>
      <c r="AA194" s="40"/>
      <c r="AB194" s="40"/>
      <c r="AC194" s="43"/>
      <c r="AD194" s="44"/>
      <c r="AE194" s="38"/>
    </row>
    <row r="195" spans="1:31" ht="21.2" customHeight="1">
      <c r="A195" s="8" t="s">
        <v>165</v>
      </c>
      <c r="B195" s="34" t="str">
        <f>VLOOKUP(A195,'Player Data'!A1:B734,2,FALSE)</f>
        <v>CAR</v>
      </c>
      <c r="C195" s="36">
        <f>((E195)*Settings!$C$12)+(F195*Settings!$C$2)+(G195*Settings!$C$3)+(H195*Settings!$C$4)+(I195*Settings!$C$5)+(K195*Settings!$C$9)+(N195*Settings!$C$6)+(J195*Settings!$C$8)+(O195*Settings!$C$7)+(P195*Settings!$C$14)+(Q195*Settings!$C$15)+(R195*Settings!$C$16)+(S195*Settings!$C$17)+(T195*Settings!$C$18)+(U195*Settings!$C$19)+(L195*Settings!$C$10)+(Settings!$C$11*M195)</f>
        <v>3.5395878426656182</v>
      </c>
      <c r="D195" s="40">
        <f>IF(Settings!$E$12="YES",VLOOKUP(A195,'Player Data'!A1:E734,5,FALSE),82)</f>
        <v>82</v>
      </c>
      <c r="E195" s="38">
        <f>(VLOOKUP($A195,'The List'!$B1:$AH730,17,FALSE)-AVERAGE('The List'!R2:R730))/STDEV('The List'!R2:R730)</f>
        <v>1.3204544787124706</v>
      </c>
      <c r="F195" s="38">
        <f>(VLOOKUP($A195,'The List'!$B1:$AH730,18,FALSE)-AVERAGE('The List'!S2:S730))/STDEV('The List'!S2:S730)</f>
        <v>-0.2986667490034039</v>
      </c>
      <c r="G195" s="38">
        <f>(VLOOKUP($A195,'The List'!$B1:$AH730,19,FALSE)-AVERAGE('The List'!T2:T730))/STDEV('The List'!T2:T730)</f>
        <v>0.97504749570821669</v>
      </c>
      <c r="H195" s="38">
        <f>(VLOOKUP($A195,'The List'!$B1:$AH730,20,FALSE)-AVERAGE('The List'!U2:U730))/STDEV('The List'!U2:U730)</f>
        <v>0.46036289657793078</v>
      </c>
      <c r="I195" s="38">
        <f>(VLOOKUP($A195,'The List'!$B1:$AH730,21,FALSE)-AVERAGE('The List'!V2:V730))/STDEV('The List'!V2:V730)</f>
        <v>1.1765874071858213</v>
      </c>
      <c r="J195" s="38">
        <f>(VLOOKUP($A195,'The List'!$B1:$AH730,22,FALSE)-AVERAGE('The List'!W2:W730))/STDEV('The List'!W2:W730)</f>
        <v>0.29562559503322638</v>
      </c>
      <c r="K195" s="38">
        <f>(VLOOKUP($A195,'The List'!$B1:$AH730,23,FALSE)-AVERAGE('The List'!X2:X730))/STDEV('The List'!X2:X730)</f>
        <v>1.2262567921970531</v>
      </c>
      <c r="L195" s="38">
        <f>(VLOOKUP($A195,'The List'!$B1:$AH730,24,FALSE)-AVERAGE('The List'!Y2:Y730))/STDEV('The List'!Y2:Y730)</f>
        <v>-0.61805781509485735</v>
      </c>
      <c r="M195" s="38">
        <f>(VLOOKUP($A195,'The List'!$B1:$AH730,25,FALSE)-AVERAGE('The List'!Z2:Z730))/STDEV('The List'!Z2:Z730)</f>
        <v>-0.72618936073122653</v>
      </c>
      <c r="N195" s="38">
        <f>(VLOOKUP($A195,'The List'!$B1:$AH730,26,FALSE)-AVERAGE('The List'!AA2:AA730))/STDEV('The List'!AA2:AA730)</f>
        <v>0.79796469946793658</v>
      </c>
      <c r="O195" s="38">
        <f>(VLOOKUP($A195,'The List'!$B1:$AH730,27,FALSE)-AVERAGE('The List'!AB2:AB730))/STDEV('The List'!AB2:AB730)</f>
        <v>-0.92979047592026853</v>
      </c>
      <c r="P195" s="38">
        <f>(VLOOKUP($A195,'The List'!$B1:$AH730,28,FALSE)-AVERAGE('The List'!AC2:AC730))/STDEV('The List'!AC2:AC730)</f>
        <v>1.8912937610387335</v>
      </c>
      <c r="Q195" s="38">
        <f>(VLOOKUP($A195,'The List'!$B1:$AH730,29,FALSE)-AVERAGE('The List'!AD2:AD730))/STDEV('The List'!AD2:AD730)</f>
        <v>0.36629405865225467</v>
      </c>
      <c r="R195" s="38">
        <f>(VLOOKUP($A195,'The List'!$B1:$AH730,30,FALSE)-AVERAGE('The List'!AE2:AE730))/STDEV('The List'!AE2:AE730)</f>
        <v>1.558312812896721E-4</v>
      </c>
      <c r="S195" s="38">
        <f>(VLOOKUP($A195,'The List'!$B1:$AH730,31,FALSE)-AVERAGE('The List'!AF2:AF730))/STDEV('The List'!AF2:AF730)</f>
        <v>-0.56754419231944309</v>
      </c>
      <c r="T195" s="38">
        <f>(VLOOKUP($A195,'The List'!$B1:$AH730,32,FALSE)-AVERAGE('The List'!AG2:AG730))/STDEV('The List'!AG2:AG730)</f>
        <v>-0.61281219431853551</v>
      </c>
      <c r="U195" s="38">
        <f>(VLOOKUP($A195,'The List'!$B1:$AH730,33,FALSE)-AVERAGE('The List'!AH2:AH730))/STDEV('The List'!AH2:AH730)</f>
        <v>0.65635156788714311</v>
      </c>
      <c r="V195" s="38"/>
      <c r="W195" s="42"/>
      <c r="X195" s="40"/>
      <c r="Y195" s="40"/>
      <c r="Z195" s="40"/>
      <c r="AA195" s="40"/>
      <c r="AB195" s="40"/>
      <c r="AC195" s="43"/>
      <c r="AD195" s="44"/>
      <c r="AE195" s="38"/>
    </row>
    <row r="196" spans="1:31" ht="21.2" customHeight="1">
      <c r="A196" s="8" t="s">
        <v>210</v>
      </c>
      <c r="B196" s="34" t="str">
        <f>VLOOKUP(A196,'Player Data'!A1:B734,2,FALSE)</f>
        <v>STL</v>
      </c>
      <c r="C196" s="36">
        <f>((E196)*Settings!$C$12)+(F196*Settings!$C$2)+(G196*Settings!$C$3)+(H196*Settings!$C$4)+(I196*Settings!$C$5)+(K196*Settings!$C$9)+(N196*Settings!$C$6)+(J196*Settings!$C$8)+(O196*Settings!$C$7)+(P196*Settings!$C$14)+(Q196*Settings!$C$15)+(R196*Settings!$C$16)+(S196*Settings!$C$17)+(T196*Settings!$C$18)+(U196*Settings!$C$19)+(L196*Settings!$C$10)+(Settings!$C$11*M196)</f>
        <v>1.8653500083398147</v>
      </c>
      <c r="D196" s="40">
        <f>IF(Settings!$E$12="YES",VLOOKUP(A196,'Player Data'!A1:E734,5,FALSE),82)</f>
        <v>82</v>
      </c>
      <c r="E196" s="38">
        <f>(VLOOKUP($A196,'The List'!$B1:$AH730,17,FALSE)-AVERAGE('The List'!R2:R730))/STDEV('The List'!R2:R730)</f>
        <v>1.89255855018551</v>
      </c>
      <c r="F196" s="38">
        <f>(VLOOKUP($A196,'The List'!$B1:$AH730,18,FALSE)-AVERAGE('The List'!S2:S730))/STDEV('The List'!S2:S730)</f>
        <v>-0.19067152185709202</v>
      </c>
      <c r="G196" s="38">
        <f>(VLOOKUP($A196,'The List'!$B1:$AH730,19,FALSE)-AVERAGE('The List'!T2:T730))/STDEV('The List'!T2:T730)</f>
        <v>0.71744165638172952</v>
      </c>
      <c r="H196" s="38">
        <f>(VLOOKUP($A196,'The List'!$B1:$AH730,20,FALSE)-AVERAGE('The List'!U2:U730))/STDEV('The List'!U2:U730)</f>
        <v>0.35225805366241036</v>
      </c>
      <c r="I196" s="38">
        <f>(VLOOKUP($A196,'The List'!$B1:$AH730,21,FALSE)-AVERAGE('The List'!V2:V730))/STDEV('The List'!V2:V730)</f>
        <v>0.72949273934697101</v>
      </c>
      <c r="J196" s="38">
        <f>(VLOOKUP($A196,'The List'!$B1:$AH730,22,FALSE)-AVERAGE('The List'!W2:W730))/STDEV('The List'!W2:W730)</f>
        <v>-0.23290888048025582</v>
      </c>
      <c r="K196" s="38">
        <f>(VLOOKUP($A196,'The List'!$B1:$AH730,23,FALSE)-AVERAGE('The List'!X2:X730))/STDEV('The List'!X2:X730)</f>
        <v>0.25682908080579581</v>
      </c>
      <c r="L196" s="38">
        <f>(VLOOKUP($A196,'The List'!$B1:$AH730,24,FALSE)-AVERAGE('The List'!Y2:Y730))/STDEV('The List'!Y2:Y730)</f>
        <v>-0.54971660098850339</v>
      </c>
      <c r="M196" s="38">
        <f>(VLOOKUP($A196,'The List'!$B1:$AH730,25,FALSE)-AVERAGE('The List'!Z2:Z730))/STDEV('The List'!Z2:Z730)</f>
        <v>-0.53866759616489479</v>
      </c>
      <c r="N196" s="38">
        <f>(VLOOKUP($A196,'The List'!$B1:$AH730,26,FALSE)-AVERAGE('The List'!AA2:AA730))/STDEV('The List'!AA2:AA730)</f>
        <v>1.6431749115831169</v>
      </c>
      <c r="O196" s="38">
        <f>(VLOOKUP($A196,'The List'!$B1:$AH730,27,FALSE)-AVERAGE('The List'!AB2:AB730))/STDEV('The List'!AB2:AB730)</f>
        <v>0.39494041034310623</v>
      </c>
      <c r="P196" s="38">
        <f>(VLOOKUP($A196,'The List'!$B1:$AH730,28,FALSE)-AVERAGE('The List'!AC2:AC730))/STDEV('The List'!AC2:AC730)</f>
        <v>-1.0314571861781028</v>
      </c>
      <c r="Q196" s="38">
        <f>(VLOOKUP($A196,'The List'!$B1:$AH730,29,FALSE)-AVERAGE('The List'!AD2:AD730))/STDEV('The List'!AD2:AD730)</f>
        <v>0.31592432959316918</v>
      </c>
      <c r="R196" s="38">
        <f>(VLOOKUP($A196,'The List'!$B1:$AH730,30,FALSE)-AVERAGE('The List'!AE2:AE730))/STDEV('The List'!AE2:AE730)</f>
        <v>-0.36785542675822624</v>
      </c>
      <c r="S196" s="38">
        <f>(VLOOKUP($A196,'The List'!$B1:$AH730,31,FALSE)-AVERAGE('The List'!AF2:AF730))/STDEV('The List'!AF2:AF730)</f>
        <v>-0.56911587195029545</v>
      </c>
      <c r="T196" s="38">
        <f>(VLOOKUP($A196,'The List'!$B1:$AH730,32,FALSE)-AVERAGE('The List'!AG2:AG730))/STDEV('The List'!AG2:AG730)</f>
        <v>-0.61510119871956948</v>
      </c>
      <c r="U196" s="38">
        <f>(VLOOKUP($A196,'The List'!$B1:$AH730,33,FALSE)-AVERAGE('The List'!AH2:AH730))/STDEV('The List'!AH2:AH730)</f>
        <v>-1.2363238714825984</v>
      </c>
      <c r="V196" s="38"/>
      <c r="W196" s="42"/>
      <c r="X196" s="40"/>
      <c r="Y196" s="40"/>
      <c r="Z196" s="40"/>
      <c r="AA196" s="40"/>
      <c r="AB196" s="40"/>
      <c r="AC196" s="43"/>
      <c r="AD196" s="44"/>
      <c r="AE196" s="38"/>
    </row>
    <row r="197" spans="1:31" ht="21.2" customHeight="1">
      <c r="A197" s="8" t="s">
        <v>404</v>
      </c>
      <c r="B197" s="34" t="str">
        <f>VLOOKUP(A197,'Player Data'!A1:B734,2,FALSE)</f>
        <v>ARI</v>
      </c>
      <c r="C197" s="36">
        <f>((E197)*Settings!$C$12)+(F197*Settings!$C$2)+(G197*Settings!$C$3)+(H197*Settings!$C$4)+(I197*Settings!$C$5)+(K197*Settings!$C$9)+(N197*Settings!$C$6)+(J197*Settings!$C$8)+(O197*Settings!$C$7)+(P197*Settings!$C$14)+(Q197*Settings!$C$15)+(R197*Settings!$C$16)+(S197*Settings!$C$17)+(T197*Settings!$C$18)+(U197*Settings!$C$19)+(L197*Settings!$C$10)+(Settings!$C$11*M197)</f>
        <v>1.8735331282164676</v>
      </c>
      <c r="D197" s="40">
        <f>IF(Settings!$E$12="YES",VLOOKUP(A197,'Player Data'!A1:E734,5,FALSE),82)</f>
        <v>82</v>
      </c>
      <c r="E197" s="38">
        <f>(VLOOKUP($A197,'The List'!$B1:$AH730,17,FALSE)-AVERAGE('The List'!R2:R730))/STDEV('The List'!R2:R730)</f>
        <v>0.3710972551253181</v>
      </c>
      <c r="F197" s="38">
        <f>(VLOOKUP($A197,'The List'!$B1:$AH730,18,FALSE)-AVERAGE('The List'!S2:S730))/STDEV('The List'!S2:S730)</f>
        <v>0.55499399613563183</v>
      </c>
      <c r="G197" s="38">
        <f>(VLOOKUP($A197,'The List'!$B1:$AH730,19,FALSE)-AVERAGE('The List'!T2:T730))/STDEV('The List'!T2:T730)</f>
        <v>0.14858706387568629</v>
      </c>
      <c r="H197" s="38">
        <f>(VLOOKUP($A197,'The List'!$B1:$AH730,20,FALSE)-AVERAGE('The List'!U2:U730))/STDEV('The List'!U2:U730)</f>
        <v>0.34931439016169208</v>
      </c>
      <c r="I197" s="38">
        <f>(VLOOKUP($A197,'The List'!$B1:$AH730,21,FALSE)-AVERAGE('The List'!V2:V730))/STDEV('The List'!V2:V730)</f>
        <v>0.49163286548853707</v>
      </c>
      <c r="J197" s="38">
        <f>(VLOOKUP($A197,'The List'!$B1:$AH730,22,FALSE)-AVERAGE('The List'!W2:W730))/STDEV('The List'!W2:W730)</f>
        <v>0.42852377769762084</v>
      </c>
      <c r="K197" s="38">
        <f>(VLOOKUP($A197,'The List'!$B1:$AH730,23,FALSE)-AVERAGE('The List'!X2:X730))/STDEV('The List'!X2:X730)</f>
        <v>0.32900481255492015</v>
      </c>
      <c r="L197" s="38">
        <f>(VLOOKUP($A197,'The List'!$B1:$AH730,24,FALSE)-AVERAGE('The List'!Y2:Y730))/STDEV('The List'!Y2:Y730)</f>
        <v>-0.22727407067870825</v>
      </c>
      <c r="M197" s="38">
        <f>(VLOOKUP($A197,'The List'!$B1:$AH730,25,FALSE)-AVERAGE('The List'!Z2:Z730))/STDEV('The List'!Z2:Z730)</f>
        <v>0.29873526517319987</v>
      </c>
      <c r="N197" s="38">
        <f>(VLOOKUP($A197,'The List'!$B1:$AH730,26,FALSE)-AVERAGE('The List'!AA2:AA730))/STDEV('The List'!AA2:AA730)</f>
        <v>-0.68959868508698963</v>
      </c>
      <c r="O197" s="38">
        <f>(VLOOKUP($A197,'The List'!$B1:$AH730,27,FALSE)-AVERAGE('The List'!AB2:AB730))/STDEV('The List'!AB2:AB730)</f>
        <v>-0.17346988076984537</v>
      </c>
      <c r="P197" s="38">
        <f>(VLOOKUP($A197,'The List'!$B1:$AH730,28,FALSE)-AVERAGE('The List'!AC2:AC730))/STDEV('The List'!AC2:AC730)</f>
        <v>-0.69151074564428405</v>
      </c>
      <c r="Q197" s="38">
        <f>(VLOOKUP($A197,'The List'!$B1:$AH730,29,FALSE)-AVERAGE('The List'!AD2:AD730))/STDEV('The List'!AD2:AD730)</f>
        <v>0.17463808000853967</v>
      </c>
      <c r="R197" s="38">
        <f>(VLOOKUP($A197,'The List'!$B1:$AH730,30,FALSE)-AVERAGE('The List'!AE2:AE730))/STDEV('The List'!AE2:AE730)</f>
        <v>0.33037238017259929</v>
      </c>
      <c r="S197" s="38">
        <f>(VLOOKUP($A197,'The List'!$B1:$AH730,31,FALSE)-AVERAGE('The List'!AF2:AF730))/STDEV('The List'!AF2:AF730)</f>
        <v>2.3671216943969773</v>
      </c>
      <c r="T197" s="38">
        <f>(VLOOKUP($A197,'The List'!$B1:$AH730,32,FALSE)-AVERAGE('The List'!AG2:AG730))/STDEV('The List'!AG2:AG730)</f>
        <v>2.4683357684654887</v>
      </c>
      <c r="U197" s="38">
        <f>(VLOOKUP($A197,'The List'!$B1:$AH730,33,FALSE)-AVERAGE('The List'!AH2:AH730))/STDEV('The List'!AH2:AH730)</f>
        <v>1.0223835388957037</v>
      </c>
      <c r="V197" s="38"/>
      <c r="W197" s="40"/>
      <c r="X197" s="38"/>
      <c r="Y197" s="38"/>
      <c r="Z197" s="38"/>
      <c r="AA197" s="38"/>
      <c r="AB197" s="38"/>
      <c r="AC197" s="38"/>
      <c r="AD197" s="38"/>
      <c r="AE197" s="38"/>
    </row>
    <row r="198" spans="1:31" ht="21.2" customHeight="1">
      <c r="A198" s="8" t="s">
        <v>401</v>
      </c>
      <c r="B198" s="34" t="str">
        <f>VLOOKUP(A198,'Player Data'!A1:B734,2,FALSE)</f>
        <v>WSH</v>
      </c>
      <c r="C198" s="36">
        <f>((E198)*Settings!$C$12)+(F198*Settings!$C$2)+(G198*Settings!$C$3)+(H198*Settings!$C$4)+(I198*Settings!$C$5)+(K198*Settings!$C$9)+(N198*Settings!$C$6)+(J198*Settings!$C$8)+(O198*Settings!$C$7)+(P198*Settings!$C$14)+(Q198*Settings!$C$15)+(R198*Settings!$C$16)+(S198*Settings!$C$17)+(T198*Settings!$C$18)+(U198*Settings!$C$19)+(L198*Settings!$C$10)+(Settings!$C$11*M198)</f>
        <v>1.573525419067165</v>
      </c>
      <c r="D198" s="40">
        <f>IF(Settings!$E$12="YES",VLOOKUP(A198,'Player Data'!A1:E734,5,FALSE),82)</f>
        <v>82</v>
      </c>
      <c r="E198" s="38">
        <f>(VLOOKUP($A198,'The List'!$B1:$AH730,17,FALSE)-AVERAGE('The List'!R2:R730))/STDEV('The List'!R2:R730)</f>
        <v>2.999862487307103E-2</v>
      </c>
      <c r="F198" s="38">
        <f>(VLOOKUP($A198,'The List'!$B1:$AH730,18,FALSE)-AVERAGE('The List'!S2:S730))/STDEV('The List'!S2:S730)</f>
        <v>0.85458030173668564</v>
      </c>
      <c r="G198" s="38">
        <f>(VLOOKUP($A198,'The List'!$B1:$AH730,19,FALSE)-AVERAGE('The List'!T2:T730))/STDEV('The List'!T2:T730)</f>
        <v>-8.1441389452217336E-2</v>
      </c>
      <c r="H198" s="38">
        <f>(VLOOKUP($A198,'The List'!$B1:$AH730,20,FALSE)-AVERAGE('The List'!U2:U730))/STDEV('The List'!U2:U730)</f>
        <v>0.34722247948484442</v>
      </c>
      <c r="I198" s="38">
        <f>(VLOOKUP($A198,'The List'!$B1:$AH730,21,FALSE)-AVERAGE('The List'!V2:V730))/STDEV('The List'!V2:V730)</f>
        <v>9.7230170513025821E-2</v>
      </c>
      <c r="J198" s="38">
        <f>(VLOOKUP($A198,'The List'!$B1:$AH730,22,FALSE)-AVERAGE('The List'!W2:W730))/STDEV('The List'!W2:W730)</f>
        <v>1.4861316004811003</v>
      </c>
      <c r="K198" s="38">
        <f>(VLOOKUP($A198,'The List'!$B1:$AH730,23,FALSE)-AVERAGE('The List'!X2:X730))/STDEV('The List'!X2:X730)</f>
        <v>0.35593385678482642</v>
      </c>
      <c r="L198" s="38">
        <f>(VLOOKUP($A198,'The List'!$B1:$AH730,24,FALSE)-AVERAGE('The List'!Y2:Y730))/STDEV('The List'!Y2:Y730)</f>
        <v>-0.50085218127655673</v>
      </c>
      <c r="M198" s="38">
        <f>(VLOOKUP($A198,'The List'!$B1:$AH730,25,FALSE)-AVERAGE('The List'!Z2:Z730))/STDEV('The List'!Z2:Z730)</f>
        <v>-0.61527147588405984</v>
      </c>
      <c r="N198" s="38">
        <f>(VLOOKUP($A198,'The List'!$B1:$AH730,26,FALSE)-AVERAGE('The List'!AA2:AA730))/STDEV('The List'!AA2:AA730)</f>
        <v>-0.45281081865683143</v>
      </c>
      <c r="O198" s="38">
        <f>(VLOOKUP($A198,'The List'!$B1:$AH730,27,FALSE)-AVERAGE('The List'!AB2:AB730))/STDEV('The List'!AB2:AB730)</f>
        <v>0.94948675856380216</v>
      </c>
      <c r="P198" s="38">
        <f>(VLOOKUP($A198,'The List'!$B1:$AH730,28,FALSE)-AVERAGE('The List'!AC2:AC730))/STDEV('The List'!AC2:AC730)</f>
        <v>-1.0601577918365728</v>
      </c>
      <c r="Q198" s="38">
        <f>(VLOOKUP($A198,'The List'!$B1:$AH730,29,FALSE)-AVERAGE('The List'!AD2:AD730))/STDEV('The List'!AD2:AD730)</f>
        <v>0.67446208177761258</v>
      </c>
      <c r="R198" s="38">
        <f>(VLOOKUP($A198,'The List'!$B1:$AH730,30,FALSE)-AVERAGE('The List'!AE2:AE730))/STDEV('The List'!AE2:AE730)</f>
        <v>0.53035359405666704</v>
      </c>
      <c r="S198" s="38">
        <f>(VLOOKUP($A198,'The List'!$B1:$AH730,31,FALSE)-AVERAGE('The List'!AF2:AF730))/STDEV('The List'!AF2:AF730)</f>
        <v>3.3431387795551021E-2</v>
      </c>
      <c r="T198" s="38">
        <f>(VLOOKUP($A198,'The List'!$B1:$AH730,32,FALSE)-AVERAGE('The List'!AG2:AG730))/STDEV('The List'!AG2:AG730)</f>
        <v>0.14152144023193197</v>
      </c>
      <c r="U198" s="38">
        <f>(VLOOKUP($A198,'The List'!$B1:$AH730,33,FALSE)-AVERAGE('The List'!AH2:AH730))/STDEV('The List'!AH2:AH730)</f>
        <v>0.82105416506261708</v>
      </c>
      <c r="V198" s="38"/>
      <c r="W198" s="40"/>
      <c r="X198" s="38"/>
      <c r="Y198" s="38"/>
      <c r="Z198" s="38"/>
      <c r="AA198" s="38"/>
      <c r="AB198" s="38"/>
      <c r="AC198" s="38"/>
      <c r="AD198" s="38"/>
      <c r="AE198" s="38"/>
    </row>
    <row r="199" spans="1:31" ht="21.2" customHeight="1">
      <c r="A199" s="8" t="s">
        <v>219</v>
      </c>
      <c r="B199" s="34" t="str">
        <f>VLOOKUP(A199,'Player Data'!A1:B734,2,FALSE)</f>
        <v>ARI</v>
      </c>
      <c r="C199" s="36">
        <f>((E199)*Settings!$C$12)+(F199*Settings!$C$2)+(G199*Settings!$C$3)+(H199*Settings!$C$4)+(I199*Settings!$C$5)+(K199*Settings!$C$9)+(N199*Settings!$C$6)+(J199*Settings!$C$8)+(O199*Settings!$C$7)+(P199*Settings!$C$14)+(Q199*Settings!$C$15)+(R199*Settings!$C$16)+(S199*Settings!$C$17)+(T199*Settings!$C$18)+(U199*Settings!$C$19)+(L199*Settings!$C$10)+(Settings!$C$11*M199)</f>
        <v>2.2981287010375118</v>
      </c>
      <c r="D199" s="40">
        <f>IF(Settings!$E$12="YES",VLOOKUP(A199,'Player Data'!A1:E734,5,FALSE),82)</f>
        <v>82</v>
      </c>
      <c r="E199" s="38">
        <f>(VLOOKUP($A199,'The List'!$B1:$AH730,17,FALSE)-AVERAGE('The List'!R2:R730))/STDEV('The List'!R2:R730)</f>
        <v>1.3460492713172005</v>
      </c>
      <c r="F199" s="38">
        <f>(VLOOKUP($A199,'The List'!$B1:$AH730,18,FALSE)-AVERAGE('The List'!S2:S730))/STDEV('The List'!S2:S730)</f>
        <v>-0.52556029883179434</v>
      </c>
      <c r="G199" s="38">
        <f>(VLOOKUP($A199,'The List'!$B1:$AH730,19,FALSE)-AVERAGE('The List'!T2:T730))/STDEV('The List'!T2:T730)</f>
        <v>0.95408735419600965</v>
      </c>
      <c r="H199" s="38">
        <f>(VLOOKUP($A199,'The List'!$B1:$AH730,20,FALSE)-AVERAGE('The List'!U2:U730))/STDEV('The List'!U2:U730)</f>
        <v>0.34200535112944858</v>
      </c>
      <c r="I199" s="38">
        <f>(VLOOKUP($A199,'The List'!$B1:$AH730,21,FALSE)-AVERAGE('The List'!V2:V730))/STDEV('The List'!V2:V730)</f>
        <v>9.0399938964821139E-2</v>
      </c>
      <c r="J199" s="38">
        <f>(VLOOKUP($A199,'The List'!$B1:$AH730,22,FALSE)-AVERAGE('The List'!W2:W730))/STDEV('The List'!W2:W730)</f>
        <v>-0.12213620877090381</v>
      </c>
      <c r="K199" s="38">
        <f>(VLOOKUP($A199,'The List'!$B1:$AH730,23,FALSE)-AVERAGE('The List'!X2:X730))/STDEV('The List'!X2:X730)</f>
        <v>1.4371963555790266</v>
      </c>
      <c r="L199" s="38">
        <f>(VLOOKUP($A199,'The List'!$B1:$AH730,24,FALSE)-AVERAGE('The List'!Y2:Y730))/STDEV('The List'!Y2:Y730)</f>
        <v>-0.43903855459662955</v>
      </c>
      <c r="M199" s="38">
        <f>(VLOOKUP($A199,'The List'!$B1:$AH730,25,FALSE)-AVERAGE('The List'!Z2:Z730))/STDEV('The List'!Z2:Z730)</f>
        <v>-7.9764773304680167E-2</v>
      </c>
      <c r="N199" s="38">
        <f>(VLOOKUP($A199,'The List'!$B1:$AH730,26,FALSE)-AVERAGE('The List'!AA2:AA730))/STDEV('The List'!AA2:AA730)</f>
        <v>2.3383655549126892</v>
      </c>
      <c r="O199" s="38">
        <f>(VLOOKUP($A199,'The List'!$B1:$AH730,27,FALSE)-AVERAGE('The List'!AB2:AB730))/STDEV('The List'!AB2:AB730)</f>
        <v>-5.3240625209599837E-2</v>
      </c>
      <c r="P199" s="38">
        <f>(VLOOKUP($A199,'The List'!$B1:$AH730,28,FALSE)-AVERAGE('The List'!AC2:AC730))/STDEV('The List'!AC2:AC730)</f>
        <v>-0.95737356326480649</v>
      </c>
      <c r="Q199" s="38">
        <f>(VLOOKUP($A199,'The List'!$B1:$AH730,29,FALSE)-AVERAGE('The List'!AD2:AD730))/STDEV('The List'!AD2:AD730)</f>
        <v>1.9177289494896381</v>
      </c>
      <c r="R199" s="38">
        <f>(VLOOKUP($A199,'The List'!$B1:$AH730,30,FALSE)-AVERAGE('The List'!AE2:AE730))/STDEV('The List'!AE2:AE730)</f>
        <v>-0.55764193534988538</v>
      </c>
      <c r="S199" s="38">
        <f>(VLOOKUP($A199,'The List'!$B1:$AH730,31,FALSE)-AVERAGE('The List'!AF2:AF730))/STDEV('The List'!AF2:AF730)</f>
        <v>-0.56911587195029545</v>
      </c>
      <c r="T199" s="38">
        <f>(VLOOKUP($A199,'The List'!$B1:$AH730,32,FALSE)-AVERAGE('The List'!AG2:AG730))/STDEV('The List'!AG2:AG730)</f>
        <v>-0.61510119871956948</v>
      </c>
      <c r="U199" s="38">
        <f>(VLOOKUP($A199,'The List'!$B1:$AH730,33,FALSE)-AVERAGE('The List'!AH2:AH730))/STDEV('The List'!AH2:AH730)</f>
        <v>-1.2363238714825984</v>
      </c>
      <c r="V199" s="38"/>
      <c r="W199" s="42"/>
      <c r="X199" s="40"/>
      <c r="Y199" s="40"/>
      <c r="Z199" s="40"/>
      <c r="AA199" s="40"/>
      <c r="AB199" s="40"/>
      <c r="AC199" s="43"/>
      <c r="AD199" s="44"/>
      <c r="AE199" s="38"/>
    </row>
    <row r="200" spans="1:31" ht="21.2" customHeight="1">
      <c r="A200" s="8" t="s">
        <v>329</v>
      </c>
      <c r="B200" s="34" t="str">
        <f>VLOOKUP(A200,'Player Data'!A1:B734,2,FALSE)</f>
        <v>VAN</v>
      </c>
      <c r="C200" s="36">
        <f>((E200)*Settings!$C$12)+(F200*Settings!$C$2)+(G200*Settings!$C$3)+(H200*Settings!$C$4)+(I200*Settings!$C$5)+(K200*Settings!$C$9)+(N200*Settings!$C$6)+(J200*Settings!$C$8)+(O200*Settings!$C$7)+(P200*Settings!$C$14)+(Q200*Settings!$C$15)+(R200*Settings!$C$16)+(S200*Settings!$C$17)+(T200*Settings!$C$18)+(U200*Settings!$C$19)+(L200*Settings!$C$10)+(Settings!$C$11*M200)</f>
        <v>2.0269604016104097</v>
      </c>
      <c r="D200" s="40">
        <f>IF(Settings!$E$12="YES",VLOOKUP(A200,'Player Data'!A1:E734,5,FALSE),82)</f>
        <v>82</v>
      </c>
      <c r="E200" s="38">
        <f>(VLOOKUP($A200,'The List'!$B1:$AH730,17,FALSE)-AVERAGE('The List'!R2:R730))/STDEV('The List'!R2:R730)</f>
        <v>0.15286153815090206</v>
      </c>
      <c r="F200" s="38">
        <f>(VLOOKUP($A200,'The List'!$B1:$AH730,18,FALSE)-AVERAGE('The List'!S2:S730))/STDEV('The List'!S2:S730)</f>
        <v>0.55529506381118332</v>
      </c>
      <c r="G200" s="38">
        <f>(VLOOKUP($A200,'The List'!$B1:$AH730,19,FALSE)-AVERAGE('The List'!T2:T730))/STDEV('The List'!T2:T730)</f>
        <v>0.12176503979218534</v>
      </c>
      <c r="H200" s="38">
        <f>(VLOOKUP($A200,'The List'!$B1:$AH730,20,FALSE)-AVERAGE('The List'!U2:U730))/STDEV('The List'!U2:U730)</f>
        <v>0.33297115952197953</v>
      </c>
      <c r="I200" s="38">
        <f>(VLOOKUP($A200,'The List'!$B1:$AH730,21,FALSE)-AVERAGE('The List'!V2:V730))/STDEV('The List'!V2:V730)</f>
        <v>0.70077963159965273</v>
      </c>
      <c r="J200" s="38">
        <f>(VLOOKUP($A200,'The List'!$B1:$AH730,22,FALSE)-AVERAGE('The List'!W2:W730))/STDEV('The List'!W2:W730)</f>
        <v>0.8418732849652113</v>
      </c>
      <c r="K200" s="38">
        <f>(VLOOKUP($A200,'The List'!$B1:$AH730,23,FALSE)-AVERAGE('The List'!X2:X730))/STDEV('The List'!X2:X730)</f>
        <v>0.3161495068854086</v>
      </c>
      <c r="L200" s="38">
        <f>(VLOOKUP($A200,'The List'!$B1:$AH730,24,FALSE)-AVERAGE('The List'!Y2:Y730))/STDEV('The List'!Y2:Y730)</f>
        <v>-0.42168219737476498</v>
      </c>
      <c r="M200" s="38">
        <f>(VLOOKUP($A200,'The List'!$B1:$AH730,25,FALSE)-AVERAGE('The List'!Z2:Z730))/STDEV('The List'!Z2:Z730)</f>
        <v>-0.57316863626974202</v>
      </c>
      <c r="N200" s="38">
        <f>(VLOOKUP($A200,'The List'!$B1:$AH730,26,FALSE)-AVERAGE('The List'!AA2:AA730))/STDEV('The List'!AA2:AA730)</f>
        <v>-0.89534577921372105</v>
      </c>
      <c r="O200" s="38">
        <f>(VLOOKUP($A200,'The List'!$B1:$AH730,27,FALSE)-AVERAGE('The List'!AB2:AB730))/STDEV('The List'!AB2:AB730)</f>
        <v>-0.62850719090193041</v>
      </c>
      <c r="P200" s="38">
        <f>(VLOOKUP($A200,'The List'!$B1:$AH730,28,FALSE)-AVERAGE('The List'!AC2:AC730))/STDEV('The List'!AC2:AC730)</f>
        <v>-0.16719125262659396</v>
      </c>
      <c r="Q200" s="38">
        <f>(VLOOKUP($A200,'The List'!$B1:$AH730,29,FALSE)-AVERAGE('The List'!AD2:AD730))/STDEV('The List'!AD2:AD730)</f>
        <v>-0.75499559407292538</v>
      </c>
      <c r="R200" s="38">
        <f>(VLOOKUP($A200,'The List'!$B1:$AH730,30,FALSE)-AVERAGE('The List'!AE2:AE730))/STDEV('The List'!AE2:AE730)</f>
        <v>0.52323736765510087</v>
      </c>
      <c r="S200" s="38">
        <f>(VLOOKUP($A200,'The List'!$B1:$AH730,31,FALSE)-AVERAGE('The List'!AF2:AF730))/STDEV('The List'!AF2:AF730)</f>
        <v>-0.55045095687627765</v>
      </c>
      <c r="T200" s="38">
        <f>(VLOOKUP($A200,'The List'!$B1:$AH730,32,FALSE)-AVERAGE('The List'!AG2:AG730))/STDEV('The List'!AG2:AG730)</f>
        <v>-0.56979672561197126</v>
      </c>
      <c r="U200" s="38">
        <f>(VLOOKUP($A200,'The List'!$B1:$AH730,33,FALSE)-AVERAGE('The List'!AH2:AH730))/STDEV('The List'!AH2:AH730)</f>
        <v>0.12801352261933813</v>
      </c>
      <c r="V200" s="38"/>
      <c r="W200" s="40"/>
      <c r="X200" s="38"/>
      <c r="Y200" s="38"/>
      <c r="Z200" s="38"/>
      <c r="AA200" s="38"/>
      <c r="AB200" s="38"/>
      <c r="AC200" s="38"/>
      <c r="AD200" s="38"/>
      <c r="AE200" s="38"/>
    </row>
    <row r="201" spans="1:31" ht="21.2" customHeight="1">
      <c r="A201" s="8" t="s">
        <v>429</v>
      </c>
      <c r="B201" s="34" t="str">
        <f>VLOOKUP(A201,'Player Data'!A1:B734,2,FALSE)</f>
        <v>CAR</v>
      </c>
      <c r="C201" s="36">
        <f>((E201)*Settings!$C$12)+(F201*Settings!$C$2)+(G201*Settings!$C$3)+(H201*Settings!$C$4)+(I201*Settings!$C$5)+(K201*Settings!$C$9)+(N201*Settings!$C$6)+(J201*Settings!$C$8)+(O201*Settings!$C$7)+(P201*Settings!$C$14)+(Q201*Settings!$C$15)+(R201*Settings!$C$16)+(S201*Settings!$C$17)+(T201*Settings!$C$18)+(U201*Settings!$C$19)+(L201*Settings!$C$10)+(Settings!$C$11*M201)</f>
        <v>0.78602511540802422</v>
      </c>
      <c r="D201" s="40">
        <f>IF(Settings!$E$12="YES",VLOOKUP(A201,'Player Data'!A1:E734,5,FALSE),82)</f>
        <v>82</v>
      </c>
      <c r="E201" s="38">
        <f>(VLOOKUP($A201,'The List'!$B1:$AH730,17,FALSE)-AVERAGE('The List'!R2:R730))/STDEV('The List'!R2:R730)</f>
        <v>-0.2587951858039706</v>
      </c>
      <c r="F201" s="38">
        <f>(VLOOKUP($A201,'The List'!$B1:$AH730,18,FALSE)-AVERAGE('The List'!S2:S730))/STDEV('The List'!S2:S730)</f>
        <v>0.43724024492080771</v>
      </c>
      <c r="G201" s="38">
        <f>(VLOOKUP($A201,'The List'!$B1:$AH730,19,FALSE)-AVERAGE('The List'!T2:T730))/STDEV('The List'!T2:T730)</f>
        <v>0.21065964937769982</v>
      </c>
      <c r="H201" s="38">
        <f>(VLOOKUP($A201,'The List'!$B1:$AH730,20,FALSE)-AVERAGE('The List'!U2:U730))/STDEV('The List'!U2:U730)</f>
        <v>0.33271988121011004</v>
      </c>
      <c r="I201" s="38">
        <f>(VLOOKUP($A201,'The List'!$B1:$AH730,21,FALSE)-AVERAGE('The List'!V2:V730))/STDEV('The List'!V2:V730)</f>
        <v>-0.18070356192123829</v>
      </c>
      <c r="J201" s="38">
        <f>(VLOOKUP($A201,'The List'!$B1:$AH730,22,FALSE)-AVERAGE('The List'!W2:W730))/STDEV('The List'!W2:W730)</f>
        <v>-0.20596052957098204</v>
      </c>
      <c r="K201" s="38">
        <f>(VLOOKUP($A201,'The List'!$B1:$AH730,23,FALSE)-AVERAGE('The List'!X2:X730))/STDEV('The List'!X2:X730)</f>
        <v>-1.389109817935494E-2</v>
      </c>
      <c r="L201" s="38">
        <f>(VLOOKUP($A201,'The List'!$B1:$AH730,24,FALSE)-AVERAGE('The List'!Y2:Y730))/STDEV('The List'!Y2:Y730)</f>
        <v>4.7297467675536629E-2</v>
      </c>
      <c r="M201" s="38">
        <f>(VLOOKUP($A201,'The List'!$B1:$AH730,25,FALSE)-AVERAGE('The List'!Z2:Z730))/STDEV('The List'!Z2:Z730)</f>
        <v>-0.28455213900216425</v>
      </c>
      <c r="N201" s="38">
        <f>(VLOOKUP($A201,'The List'!$B1:$AH730,26,FALSE)-AVERAGE('The List'!AA2:AA730))/STDEV('The List'!AA2:AA730)</f>
        <v>-0.95852334958028784</v>
      </c>
      <c r="O201" s="38">
        <f>(VLOOKUP($A201,'The List'!$B1:$AH730,27,FALSE)-AVERAGE('The List'!AB2:AB730))/STDEV('The List'!AB2:AB730)</f>
        <v>0.15017731470353823</v>
      </c>
      <c r="P201" s="38">
        <f>(VLOOKUP($A201,'The List'!$B1:$AH730,28,FALSE)-AVERAGE('The List'!AC2:AC730))/STDEV('The List'!AC2:AC730)</f>
        <v>1.5458879522891689</v>
      </c>
      <c r="Q201" s="38">
        <f>(VLOOKUP($A201,'The List'!$B1:$AH730,29,FALSE)-AVERAGE('The List'!AD2:AD730))/STDEV('The List'!AD2:AD730)</f>
        <v>0.42373291945760738</v>
      </c>
      <c r="R201" s="38">
        <f>(VLOOKUP($A201,'The List'!$B1:$AH730,30,FALSE)-AVERAGE('The List'!AE2:AE730))/STDEV('The List'!AE2:AE730)</f>
        <v>0.86001098373397222</v>
      </c>
      <c r="S201" s="38">
        <f>(VLOOKUP($A201,'The List'!$B1:$AH730,31,FALSE)-AVERAGE('The List'!AF2:AF730))/STDEV('The List'!AF2:AF730)</f>
        <v>1.1627210964155359</v>
      </c>
      <c r="T201" s="38">
        <f>(VLOOKUP($A201,'The List'!$B1:$AH730,32,FALSE)-AVERAGE('The List'!AG2:AG730))/STDEV('The List'!AG2:AG730)</f>
        <v>1.1568317777474029</v>
      </c>
      <c r="U201" s="38">
        <f>(VLOOKUP($A201,'The List'!$B1:$AH730,33,FALSE)-AVERAGE('The List'!AH2:AH730))/STDEV('The List'!AH2:AH730)</f>
        <v>1.051769084780164</v>
      </c>
      <c r="V201" s="38"/>
      <c r="W201" s="42"/>
      <c r="X201" s="40"/>
      <c r="Y201" s="40"/>
      <c r="Z201" s="40"/>
      <c r="AA201" s="40"/>
      <c r="AB201" s="40"/>
      <c r="AC201" s="43"/>
      <c r="AD201" s="44"/>
      <c r="AE201" s="38"/>
    </row>
    <row r="202" spans="1:31" ht="21.2" customHeight="1">
      <c r="A202" s="8" t="s">
        <v>312</v>
      </c>
      <c r="B202" s="34" t="str">
        <f>VLOOKUP(A202,'Player Data'!A1:B734,2,FALSE)</f>
        <v>SEA</v>
      </c>
      <c r="C202" s="36">
        <f>((E202)*Settings!$C$12)+(F202*Settings!$C$2)+(G202*Settings!$C$3)+(H202*Settings!$C$4)+(I202*Settings!$C$5)+(K202*Settings!$C$9)+(N202*Settings!$C$6)+(J202*Settings!$C$8)+(O202*Settings!$C$7)+(P202*Settings!$C$14)+(Q202*Settings!$C$15)+(R202*Settings!$C$16)+(S202*Settings!$C$17)+(T202*Settings!$C$18)+(U202*Settings!$C$19)+(L202*Settings!$C$10)+(Settings!$C$11*M202)</f>
        <v>1.9427837536120243</v>
      </c>
      <c r="D202" s="40">
        <f>IF(Settings!$E$12="YES",VLOOKUP(A202,'Player Data'!A1:E734,5,FALSE),82)</f>
        <v>82</v>
      </c>
      <c r="E202" s="38">
        <f>(VLOOKUP($A202,'The List'!$B1:$AH730,17,FALSE)-AVERAGE('The List'!R2:R730))/STDEV('The List'!R2:R730)</f>
        <v>-0.31669646038483085</v>
      </c>
      <c r="F202" s="38">
        <f>(VLOOKUP($A202,'The List'!$B1:$AH730,18,FALSE)-AVERAGE('The List'!S2:S730))/STDEV('The List'!S2:S730)</f>
        <v>0.6064734607769926</v>
      </c>
      <c r="G202" s="38">
        <f>(VLOOKUP($A202,'The List'!$B1:$AH730,19,FALSE)-AVERAGE('The List'!T2:T730))/STDEV('The List'!T2:T730)</f>
        <v>7.8428296764869648E-2</v>
      </c>
      <c r="H202" s="38">
        <f>(VLOOKUP($A202,'The List'!$B1:$AH730,20,FALSE)-AVERAGE('The List'!U2:U730))/STDEV('The List'!U2:U730)</f>
        <v>0.33013048759561964</v>
      </c>
      <c r="I202" s="38">
        <f>(VLOOKUP($A202,'The List'!$B1:$AH730,21,FALSE)-AVERAGE('The List'!V2:V730))/STDEV('The List'!V2:V730)</f>
        <v>0.73447516589944406</v>
      </c>
      <c r="J202" s="38">
        <f>(VLOOKUP($A202,'The List'!$B1:$AH730,22,FALSE)-AVERAGE('The List'!W2:W730))/STDEV('The List'!W2:W730)</f>
        <v>0.45891187296641789</v>
      </c>
      <c r="K202" s="38">
        <f>(VLOOKUP($A202,'The List'!$B1:$AH730,23,FALSE)-AVERAGE('The List'!X2:X730))/STDEV('The List'!X2:X730)</f>
        <v>0.19327634257509854</v>
      </c>
      <c r="L202" s="38">
        <f>(VLOOKUP($A202,'The List'!$B1:$AH730,24,FALSE)-AVERAGE('The List'!Y2:Y730))/STDEV('The List'!Y2:Y730)</f>
        <v>-0.52141164190891132</v>
      </c>
      <c r="M202" s="38">
        <f>(VLOOKUP($A202,'The List'!$B1:$AH730,25,FALSE)-AVERAGE('The List'!Z2:Z730))/STDEV('The List'!Z2:Z730)</f>
        <v>-0.6994675098962817</v>
      </c>
      <c r="N202" s="38">
        <f>(VLOOKUP($A202,'The List'!$B1:$AH730,26,FALSE)-AVERAGE('The List'!AA2:AA730))/STDEV('The List'!AA2:AA730)</f>
        <v>-0.71425715425694669</v>
      </c>
      <c r="O202" s="38">
        <f>(VLOOKUP($A202,'The List'!$B1:$AH730,27,FALSE)-AVERAGE('The List'!AB2:AB730))/STDEV('The List'!AB2:AB730)</f>
        <v>-0.61361163119515627</v>
      </c>
      <c r="P202" s="38">
        <f>(VLOOKUP($A202,'The List'!$B1:$AH730,28,FALSE)-AVERAGE('The List'!AC2:AC730))/STDEV('The List'!AC2:AC730)</f>
        <v>-0.26304370175633723</v>
      </c>
      <c r="Q202" s="38">
        <f>(VLOOKUP($A202,'The List'!$B1:$AH730,29,FALSE)-AVERAGE('The List'!AD2:AD730))/STDEV('The List'!AD2:AD730)</f>
        <v>-1.0953892645927352</v>
      </c>
      <c r="R202" s="38">
        <f>(VLOOKUP($A202,'The List'!$B1:$AH730,30,FALSE)-AVERAGE('The List'!AE2:AE730))/STDEV('The List'!AE2:AE730)</f>
        <v>0.55756279435410316</v>
      </c>
      <c r="S202" s="38">
        <f>(VLOOKUP($A202,'The List'!$B1:$AH730,31,FALSE)-AVERAGE('The List'!AF2:AF730))/STDEV('The List'!AF2:AF730)</f>
        <v>-0.48653960560907783</v>
      </c>
      <c r="T202" s="38">
        <f>(VLOOKUP($A202,'The List'!$B1:$AH730,32,FALSE)-AVERAGE('The List'!AG2:AG730))/STDEV('The List'!AG2:AG730)</f>
        <v>-0.47327671856321757</v>
      </c>
      <c r="U202" s="38">
        <f>(VLOOKUP($A202,'The List'!$B1:$AH730,33,FALSE)-AVERAGE('The List'!AH2:AH730))/STDEV('The List'!AH2:AH730)</f>
        <v>0.47783391015819615</v>
      </c>
      <c r="V202" s="38"/>
      <c r="W202" s="40"/>
      <c r="X202" s="38"/>
      <c r="Y202" s="38"/>
      <c r="Z202" s="38"/>
      <c r="AA202" s="38"/>
      <c r="AB202" s="38"/>
      <c r="AC202" s="38"/>
      <c r="AD202" s="38"/>
      <c r="AE202" s="38"/>
    </row>
    <row r="203" spans="1:31" ht="21.2" customHeight="1">
      <c r="A203" s="8" t="s">
        <v>439</v>
      </c>
      <c r="B203" s="34" t="str">
        <f>VLOOKUP(A203,'Player Data'!A1:B734,2,FALSE)</f>
        <v>NSH</v>
      </c>
      <c r="C203" s="36">
        <f>((E203)*Settings!$C$12)+(F203*Settings!$C$2)+(G203*Settings!$C$3)+(H203*Settings!$C$4)+(I203*Settings!$C$5)+(K203*Settings!$C$9)+(N203*Settings!$C$6)+(J203*Settings!$C$8)+(O203*Settings!$C$7)+(P203*Settings!$C$14)+(Q203*Settings!$C$15)+(R203*Settings!$C$16)+(S203*Settings!$C$17)+(T203*Settings!$C$18)+(U203*Settings!$C$19)+(L203*Settings!$C$10)+(Settings!$C$11*M203)</f>
        <v>1.2573624174413993</v>
      </c>
      <c r="D203" s="40">
        <f>IF(Settings!$E$12="YES",VLOOKUP(A203,'Player Data'!A1:E734,5,FALSE),82)</f>
        <v>82</v>
      </c>
      <c r="E203" s="38">
        <f>(VLOOKUP($A203,'The List'!$B1:$AH730,17,FALSE)-AVERAGE('The List'!R2:R730))/STDEV('The List'!R2:R730)</f>
        <v>-0.46655755698054319</v>
      </c>
      <c r="F203" s="38">
        <f>(VLOOKUP($A203,'The List'!$B1:$AH730,18,FALSE)-AVERAGE('The List'!S2:S730))/STDEV('The List'!S2:S730)</f>
        <v>0.15064366807820875</v>
      </c>
      <c r="G203" s="38">
        <f>(VLOOKUP($A203,'The List'!$B1:$AH730,19,FALSE)-AVERAGE('The List'!T2:T730))/STDEV('The List'!T2:T730)</f>
        <v>0.39681207312957184</v>
      </c>
      <c r="H203" s="38">
        <f>(VLOOKUP($A203,'The List'!$B1:$AH730,20,FALSE)-AVERAGE('The List'!U2:U730))/STDEV('The List'!U2:U730)</f>
        <v>0.31388682156271602</v>
      </c>
      <c r="I203" s="38">
        <f>(VLOOKUP($A203,'The List'!$B1:$AH730,21,FALSE)-AVERAGE('The List'!V2:V730))/STDEV('The List'!V2:V730)</f>
        <v>-1.587769478041277E-2</v>
      </c>
      <c r="J203" s="38">
        <f>(VLOOKUP($A203,'The List'!$B1:$AH730,22,FALSE)-AVERAGE('The List'!W2:W730))/STDEV('The List'!W2:W730)</f>
        <v>0.86171618523992466</v>
      </c>
      <c r="K203" s="38">
        <f>(VLOOKUP($A203,'The List'!$B1:$AH730,23,FALSE)-AVERAGE('The List'!X2:X730))/STDEV('The List'!X2:X730)</f>
        <v>0.41189754945131546</v>
      </c>
      <c r="L203" s="38">
        <f>(VLOOKUP($A203,'The List'!$B1:$AH730,24,FALSE)-AVERAGE('The List'!Y2:Y730))/STDEV('The List'!Y2:Y730)</f>
        <v>-0.52401577701259971</v>
      </c>
      <c r="M203" s="38">
        <f>(VLOOKUP($A203,'The List'!$B1:$AH730,25,FALSE)-AVERAGE('The List'!Z2:Z730))/STDEV('The List'!Z2:Z730)</f>
        <v>-0.70237754708339306</v>
      </c>
      <c r="N203" s="38">
        <f>(VLOOKUP($A203,'The List'!$B1:$AH730,26,FALSE)-AVERAGE('The List'!AA2:AA730))/STDEV('The List'!AA2:AA730)</f>
        <v>-0.63780329727069118</v>
      </c>
      <c r="O203" s="38">
        <f>(VLOOKUP($A203,'The List'!$B1:$AH730,27,FALSE)-AVERAGE('The List'!AB2:AB730))/STDEV('The List'!AB2:AB730)</f>
        <v>-0.5250751444530074</v>
      </c>
      <c r="P203" s="38">
        <f>(VLOOKUP($A203,'The List'!$B1:$AH730,28,FALSE)-AVERAGE('The List'!AC2:AC730))/STDEV('The List'!AC2:AC730)</f>
        <v>-0.30358816988707482</v>
      </c>
      <c r="Q203" s="38">
        <f>(VLOOKUP($A203,'The List'!$B1:$AH730,29,FALSE)-AVERAGE('The List'!AD2:AD730))/STDEV('The List'!AD2:AD730)</f>
        <v>-0.97999073255748426</v>
      </c>
      <c r="R203" s="38">
        <f>(VLOOKUP($A203,'The List'!$B1:$AH730,30,FALSE)-AVERAGE('The List'!AE2:AE730))/STDEV('The List'!AE2:AE730)</f>
        <v>0.19443505434202588</v>
      </c>
      <c r="S203" s="38">
        <f>(VLOOKUP($A203,'The List'!$B1:$AH730,31,FALSE)-AVERAGE('The List'!AF2:AF730))/STDEV('The List'!AF2:AF730)</f>
        <v>-0.45576796271901726</v>
      </c>
      <c r="T203" s="38">
        <f>(VLOOKUP($A203,'The List'!$B1:$AH730,32,FALSE)-AVERAGE('The List'!AG2:AG730))/STDEV('The List'!AG2:AG730)</f>
        <v>-0.47271184043792741</v>
      </c>
      <c r="U203" s="38">
        <f>(VLOOKUP($A203,'The List'!$B1:$AH730,33,FALSE)-AVERAGE('The List'!AH2:AH730))/STDEV('The List'!AH2:AH730)</f>
        <v>0.82060073113891296</v>
      </c>
      <c r="V203" s="38"/>
      <c r="W203" s="42"/>
      <c r="X203" s="40"/>
      <c r="Y203" s="40"/>
      <c r="Z203" s="40"/>
      <c r="AA203" s="40"/>
      <c r="AB203" s="40"/>
      <c r="AC203" s="43"/>
      <c r="AD203" s="44"/>
      <c r="AE203" s="38"/>
    </row>
    <row r="204" spans="1:31" ht="21.2" customHeight="1">
      <c r="A204" s="8" t="s">
        <v>311</v>
      </c>
      <c r="B204" s="34" t="str">
        <f>VLOOKUP(A204,'Player Data'!A1:B734,2,FALSE)</f>
        <v>CGY</v>
      </c>
      <c r="C204" s="36">
        <f>((E204)*Settings!$C$12)+(F204*Settings!$C$2)+(G204*Settings!$C$3)+(H204*Settings!$C$4)+(I204*Settings!$C$5)+(K204*Settings!$C$9)+(N204*Settings!$C$6)+(J204*Settings!$C$8)+(O204*Settings!$C$7)+(P204*Settings!$C$14)+(Q204*Settings!$C$15)+(R204*Settings!$C$16)+(S204*Settings!$C$17)+(T204*Settings!$C$18)+(U204*Settings!$C$19)+(L204*Settings!$C$10)+(Settings!$C$11*M204)</f>
        <v>2.5440194089903927</v>
      </c>
      <c r="D204" s="40">
        <f>IF(Settings!$E$12="YES",VLOOKUP(A204,'Player Data'!A1:E734,5,FALSE),82)</f>
        <v>82</v>
      </c>
      <c r="E204" s="38">
        <f>(VLOOKUP($A204,'The List'!$B1:$AH730,17,FALSE)-AVERAGE('The List'!R2:R730))/STDEV('The List'!R2:R730)</f>
        <v>0.33792898589218451</v>
      </c>
      <c r="F204" s="38">
        <f>(VLOOKUP($A204,'The List'!$B1:$AH730,18,FALSE)-AVERAGE('The List'!S2:S730))/STDEV('The List'!S2:S730)</f>
        <v>3.7368792586645889E-2</v>
      </c>
      <c r="G204" s="38">
        <f>(VLOOKUP($A204,'The List'!$B1:$AH730,19,FALSE)-AVERAGE('The List'!T2:T730))/STDEV('The List'!T2:T730)</f>
        <v>0.47938605785624822</v>
      </c>
      <c r="H204" s="38">
        <f>(VLOOKUP($A204,'The List'!$B1:$AH730,20,FALSE)-AVERAGE('The List'!U2:U730))/STDEV('The List'!U2:U730)</f>
        <v>0.31197333787126791</v>
      </c>
      <c r="I204" s="38">
        <f>(VLOOKUP($A204,'The List'!$B1:$AH730,21,FALSE)-AVERAGE('The List'!V2:V730))/STDEV('The List'!V2:V730)</f>
        <v>1.5460707621530589</v>
      </c>
      <c r="J204" s="38">
        <f>(VLOOKUP($A204,'The List'!$B1:$AH730,22,FALSE)-AVERAGE('The List'!W2:W730))/STDEV('The List'!W2:W730)</f>
        <v>-3.1164946785264777E-3</v>
      </c>
      <c r="K204" s="38">
        <f>(VLOOKUP($A204,'The List'!$B1:$AH730,23,FALSE)-AVERAGE('The List'!X2:X730))/STDEV('The List'!X2:X730)</f>
        <v>0.16922045852317169</v>
      </c>
      <c r="L204" s="38">
        <f>(VLOOKUP($A204,'The List'!$B1:$AH730,24,FALSE)-AVERAGE('The List'!Y2:Y730))/STDEV('The List'!Y2:Y730)</f>
        <v>0.35185932719897656</v>
      </c>
      <c r="M204" s="38">
        <f>(VLOOKUP($A204,'The List'!$B1:$AH730,25,FALSE)-AVERAGE('The List'!Z2:Z730))/STDEV('The List'!Z2:Z730)</f>
        <v>1.370920306242603</v>
      </c>
      <c r="N204" s="38">
        <f>(VLOOKUP($A204,'The List'!$B1:$AH730,26,FALSE)-AVERAGE('The List'!AA2:AA730))/STDEV('The List'!AA2:AA730)</f>
        <v>-0.81819368612553833</v>
      </c>
      <c r="O204" s="38">
        <f>(VLOOKUP($A204,'The List'!$B1:$AH730,27,FALSE)-AVERAGE('The List'!AB2:AB730))/STDEV('The List'!AB2:AB730)</f>
        <v>-0.33301686753886112</v>
      </c>
      <c r="P204" s="38">
        <f>(VLOOKUP($A204,'The List'!$B1:$AH730,28,FALSE)-AVERAGE('The List'!AC2:AC730))/STDEV('The List'!AC2:AC730)</f>
        <v>1.1826527103216238</v>
      </c>
      <c r="Q204" s="38">
        <f>(VLOOKUP($A204,'The List'!$B1:$AH730,29,FALSE)-AVERAGE('The List'!AD2:AD730))/STDEV('The List'!AD2:AD730)</f>
        <v>9.5998751720091355E-2</v>
      </c>
      <c r="R204" s="38">
        <f>(VLOOKUP($A204,'The List'!$B1:$AH730,30,FALSE)-AVERAGE('The List'!AE2:AE730))/STDEV('The List'!AE2:AE730)</f>
        <v>0.27984011522241964</v>
      </c>
      <c r="S204" s="38">
        <f>(VLOOKUP($A204,'The List'!$B1:$AH730,31,FALSE)-AVERAGE('The List'!AF2:AF730))/STDEV('The List'!AF2:AF730)</f>
        <v>2.5876758057096869</v>
      </c>
      <c r="T204" s="38">
        <f>(VLOOKUP($A204,'The List'!$B1:$AH730,32,FALSE)-AVERAGE('The List'!AG2:AG730))/STDEV('The List'!AG2:AG730)</f>
        <v>2.5801775273719794</v>
      </c>
      <c r="U204" s="38">
        <f>(VLOOKUP($A204,'The List'!$B1:$AH730,33,FALSE)-AVERAGE('The List'!AH2:AH730))/STDEV('The List'!AH2:AH730)</f>
        <v>1.0639265070287922</v>
      </c>
      <c r="V204" s="38"/>
      <c r="W204" s="42"/>
      <c r="X204" s="40"/>
      <c r="Y204" s="40"/>
      <c r="Z204" s="40"/>
      <c r="AA204" s="40"/>
      <c r="AB204" s="40"/>
      <c r="AC204" s="43"/>
      <c r="AD204" s="44"/>
      <c r="AE204" s="38"/>
    </row>
    <row r="205" spans="1:31" ht="21.2" customHeight="1">
      <c r="A205" s="8" t="s">
        <v>468</v>
      </c>
      <c r="B205" s="34" t="str">
        <f>VLOOKUP(A205,'Player Data'!A1:B734,2,FALSE)</f>
        <v>PHI</v>
      </c>
      <c r="C205" s="36">
        <f>((E205)*Settings!$C$12)+(F205*Settings!$C$2)+(G205*Settings!$C$3)+(H205*Settings!$C$4)+(I205*Settings!$C$5)+(K205*Settings!$C$9)+(N205*Settings!$C$6)+(J205*Settings!$C$8)+(O205*Settings!$C$7)+(P205*Settings!$C$14)+(Q205*Settings!$C$15)+(R205*Settings!$C$16)+(S205*Settings!$C$17)+(T205*Settings!$C$18)+(U205*Settings!$C$19)+(L205*Settings!$C$10)+(Settings!$C$11*M205)</f>
        <v>0.53953715834264759</v>
      </c>
      <c r="D205" s="40">
        <f>IF(Settings!$E$12="YES",VLOOKUP(A205,'Player Data'!A1:E734,5,FALSE),82)</f>
        <v>82</v>
      </c>
      <c r="E205" s="38">
        <f>(VLOOKUP($A205,'The List'!$B1:$AH730,17,FALSE)-AVERAGE('The List'!R2:R730))/STDEV('The List'!R2:R730)</f>
        <v>0.40818921562025862</v>
      </c>
      <c r="F205" s="38">
        <f>(VLOOKUP($A205,'The List'!$B1:$AH730,18,FALSE)-AVERAGE('The List'!S2:S730))/STDEV('The List'!S2:S730)</f>
        <v>0.31003517980389655</v>
      </c>
      <c r="G205" s="38">
        <f>(VLOOKUP($A205,'The List'!$B1:$AH730,19,FALSE)-AVERAGE('The List'!T2:T730))/STDEV('The List'!T2:T730)</f>
        <v>0.2484407405156609</v>
      </c>
      <c r="H205" s="38">
        <f>(VLOOKUP($A205,'The List'!$B1:$AH730,20,FALSE)-AVERAGE('The List'!U2:U730))/STDEV('The List'!U2:U730)</f>
        <v>0.29680363155804373</v>
      </c>
      <c r="I205" s="38">
        <f>(VLOOKUP($A205,'The List'!$B1:$AH730,21,FALSE)-AVERAGE('The List'!V2:V730))/STDEV('The List'!V2:V730)</f>
        <v>-0.41707441029482517</v>
      </c>
      <c r="J205" s="38">
        <f>(VLOOKUP($A205,'The List'!$B1:$AH730,22,FALSE)-AVERAGE('The List'!W2:W730))/STDEV('The List'!W2:W730)</f>
        <v>0.2839010502868331</v>
      </c>
      <c r="K205" s="38">
        <f>(VLOOKUP($A205,'The List'!$B1:$AH730,23,FALSE)-AVERAGE('The List'!X2:X730))/STDEV('The List'!X2:X730)</f>
        <v>0.10133201675987145</v>
      </c>
      <c r="L205" s="38">
        <f>(VLOOKUP($A205,'The List'!$B1:$AH730,24,FALSE)-AVERAGE('The List'!Y2:Y730))/STDEV('The List'!Y2:Y730)</f>
        <v>1.3744501747994078</v>
      </c>
      <c r="M205" s="38">
        <f>(VLOOKUP($A205,'The List'!$B1:$AH730,25,FALSE)-AVERAGE('The List'!Z2:Z730))/STDEV('The List'!Z2:Z730)</f>
        <v>1.6942443914577996</v>
      </c>
      <c r="N205" s="38">
        <f>(VLOOKUP($A205,'The List'!$B1:$AH730,26,FALSE)-AVERAGE('The List'!AA2:AA730))/STDEV('The List'!AA2:AA730)</f>
        <v>-0.1069351889103627</v>
      </c>
      <c r="O205" s="38">
        <f>(VLOOKUP($A205,'The List'!$B1:$AH730,27,FALSE)-AVERAGE('The List'!AB2:AB730))/STDEV('The List'!AB2:AB730)</f>
        <v>-0.25554436757294363</v>
      </c>
      <c r="P205" s="38">
        <f>(VLOOKUP($A205,'The List'!$B1:$AH730,28,FALSE)-AVERAGE('The List'!AC2:AC730))/STDEV('The List'!AC2:AC730)</f>
        <v>-1.0710543173602833</v>
      </c>
      <c r="Q205" s="38">
        <f>(VLOOKUP($A205,'The List'!$B1:$AH730,29,FALSE)-AVERAGE('The List'!AD2:AD730))/STDEV('The List'!AD2:AD730)</f>
        <v>-0.97995119652657736</v>
      </c>
      <c r="R205" s="38">
        <f>(VLOOKUP($A205,'The List'!$B1:$AH730,30,FALSE)-AVERAGE('The List'!AE2:AE730))/STDEV('The List'!AE2:AE730)</f>
        <v>3.441573211087063E-2</v>
      </c>
      <c r="S205" s="38">
        <f>(VLOOKUP($A205,'The List'!$B1:$AH730,31,FALSE)-AVERAGE('The List'!AF2:AF730))/STDEV('The List'!AF2:AF730)</f>
        <v>1.1420556948876084</v>
      </c>
      <c r="T205" s="38">
        <f>(VLOOKUP($A205,'The List'!$B1:$AH730,32,FALSE)-AVERAGE('The List'!AG2:AG730))/STDEV('The List'!AG2:AG730)</f>
        <v>2.6989390145695467</v>
      </c>
      <c r="U205" s="38">
        <f>(VLOOKUP($A205,'The List'!$B1:$AH730,33,FALSE)-AVERAGE('The List'!AH2:AH730))/STDEV('The List'!AH2:AH730)</f>
        <v>0.35204866401393026</v>
      </c>
      <c r="V205" s="38"/>
      <c r="W205" s="42"/>
      <c r="X205" s="40"/>
      <c r="Y205" s="40"/>
      <c r="Z205" s="40"/>
      <c r="AA205" s="40"/>
      <c r="AB205" s="40"/>
      <c r="AC205" s="43"/>
      <c r="AD205" s="44"/>
      <c r="AE205" s="38"/>
    </row>
    <row r="206" spans="1:31" ht="21.2" customHeight="1">
      <c r="A206" s="8" t="s">
        <v>357</v>
      </c>
      <c r="B206" s="34" t="str">
        <f>VLOOKUP(A206,'Player Data'!A1:B734,2,FALSE)</f>
        <v>WPG</v>
      </c>
      <c r="C206" s="36">
        <f>((E206)*Settings!$C$12)+(F206*Settings!$C$2)+(G206*Settings!$C$3)+(H206*Settings!$C$4)+(I206*Settings!$C$5)+(K206*Settings!$C$9)+(N206*Settings!$C$6)+(J206*Settings!$C$8)+(O206*Settings!$C$7)+(P206*Settings!$C$14)+(Q206*Settings!$C$15)+(R206*Settings!$C$16)+(S206*Settings!$C$17)+(T206*Settings!$C$18)+(U206*Settings!$C$19)+(L206*Settings!$C$10)+(Settings!$C$11*M206)</f>
        <v>1.4803147672945323</v>
      </c>
      <c r="D206" s="40">
        <f>IF(Settings!$E$12="YES",VLOOKUP(A206,'Player Data'!A1:E734,5,FALSE),82)</f>
        <v>82</v>
      </c>
      <c r="E206" s="38">
        <f>(VLOOKUP($A206,'The List'!$B1:$AH730,17,FALSE)-AVERAGE('The List'!R2:R730))/STDEV('The List'!R2:R730)</f>
        <v>-0.14418649054776625</v>
      </c>
      <c r="F206" s="38">
        <f>(VLOOKUP($A206,'The List'!$B1:$AH730,18,FALSE)-AVERAGE('The List'!S2:S730))/STDEV('The List'!S2:S730)</f>
        <v>0.98254294858841473</v>
      </c>
      <c r="G206" s="38">
        <f>(VLOOKUP($A206,'The List'!$B1:$AH730,19,FALSE)-AVERAGE('The List'!T2:T730))/STDEV('The List'!T2:T730)</f>
        <v>-0.28017619433477642</v>
      </c>
      <c r="H206" s="38">
        <f>(VLOOKUP($A206,'The List'!$B1:$AH730,20,FALSE)-AVERAGE('The List'!U2:U730))/STDEV('The List'!U2:U730)</f>
        <v>0.28457851990952032</v>
      </c>
      <c r="I206" s="38">
        <f>(VLOOKUP($A206,'The List'!$B1:$AH730,21,FALSE)-AVERAGE('The List'!V2:V730))/STDEV('The List'!V2:V730)</f>
        <v>0.63256485690835396</v>
      </c>
      <c r="J206" s="38">
        <f>(VLOOKUP($A206,'The List'!$B1:$AH730,22,FALSE)-AVERAGE('The List'!W2:W730))/STDEV('The List'!W2:W730)</f>
        <v>0.2954833217293345</v>
      </c>
      <c r="K206" s="38">
        <f>(VLOOKUP($A206,'The List'!$B1:$AH730,23,FALSE)-AVERAGE('The List'!X2:X730))/STDEV('The List'!X2:X730)</f>
        <v>-0.13919536377698022</v>
      </c>
      <c r="L206" s="38">
        <f>(VLOOKUP($A206,'The List'!$B1:$AH730,24,FALSE)-AVERAGE('The List'!Y2:Y730))/STDEV('The List'!Y2:Y730)</f>
        <v>-0.51054876183394715</v>
      </c>
      <c r="M206" s="38">
        <f>(VLOOKUP($A206,'The List'!$B1:$AH730,25,FALSE)-AVERAGE('The List'!Z2:Z730))/STDEV('The List'!Z2:Z730)</f>
        <v>-0.68783909232504259</v>
      </c>
      <c r="N206" s="38">
        <f>(VLOOKUP($A206,'The List'!$B1:$AH730,26,FALSE)-AVERAGE('The List'!AA2:AA730))/STDEV('The List'!AA2:AA730)</f>
        <v>-0.82947616644875855</v>
      </c>
      <c r="O206" s="38">
        <f>(VLOOKUP($A206,'The List'!$B1:$AH730,27,FALSE)-AVERAGE('The List'!AB2:AB730))/STDEV('The List'!AB2:AB730)</f>
        <v>0.95277193535477356</v>
      </c>
      <c r="P206" s="38">
        <f>(VLOOKUP($A206,'The List'!$B1:$AH730,28,FALSE)-AVERAGE('The List'!AC2:AC730))/STDEV('The List'!AC2:AC730)</f>
        <v>0.91281772612969281</v>
      </c>
      <c r="Q206" s="38">
        <f>(VLOOKUP($A206,'The List'!$B1:$AH730,29,FALSE)-AVERAGE('The List'!AD2:AD730))/STDEV('The List'!AD2:AD730)</f>
        <v>-0.34725248399155212</v>
      </c>
      <c r="R206" s="38">
        <f>(VLOOKUP($A206,'The List'!$B1:$AH730,30,FALSE)-AVERAGE('The List'!AE2:AE730))/STDEV('The List'!AE2:AE730)</f>
        <v>1.1383781527471459</v>
      </c>
      <c r="S206" s="38">
        <f>(VLOOKUP($A206,'The List'!$B1:$AH730,31,FALSE)-AVERAGE('The List'!AF2:AF730))/STDEV('The List'!AF2:AF730)</f>
        <v>-0.52961196201022986</v>
      </c>
      <c r="T206" s="38">
        <f>(VLOOKUP($A206,'The List'!$B1:$AH730,32,FALSE)-AVERAGE('The List'!AG2:AG730))/STDEV('The List'!AG2:AG730)</f>
        <v>-0.57040648199230581</v>
      </c>
      <c r="U206" s="38">
        <f>(VLOOKUP($A206,'The List'!$B1:$AH730,33,FALSE)-AVERAGE('The List'!AH2:AH730))/STDEV('The List'!AH2:AH730)</f>
        <v>0.93825987427368884</v>
      </c>
      <c r="V206" s="38"/>
      <c r="W206" s="40"/>
      <c r="X206" s="38"/>
      <c r="Y206" s="38"/>
      <c r="Z206" s="38"/>
      <c r="AA206" s="38"/>
      <c r="AB206" s="38"/>
      <c r="AC206" s="38"/>
      <c r="AD206" s="38"/>
      <c r="AE206" s="38"/>
    </row>
    <row r="207" spans="1:31" ht="21.2" customHeight="1">
      <c r="A207" s="8" t="s">
        <v>428</v>
      </c>
      <c r="B207" s="34" t="str">
        <f>VLOOKUP(A207,'Player Data'!A1:B734,2,FALSE)</f>
        <v>LAK</v>
      </c>
      <c r="C207" s="36">
        <f>((E207)*Settings!$C$12)+(F207*Settings!$C$2)+(G207*Settings!$C$3)+(H207*Settings!$C$4)+(I207*Settings!$C$5)+(K207*Settings!$C$9)+(N207*Settings!$C$6)+(J207*Settings!$C$8)+(O207*Settings!$C$7)+(P207*Settings!$C$14)+(Q207*Settings!$C$15)+(R207*Settings!$C$16)+(S207*Settings!$C$17)+(T207*Settings!$C$18)+(U207*Settings!$C$19)+(L207*Settings!$C$10)+(Settings!$C$11*M207)</f>
        <v>1.772556233377534</v>
      </c>
      <c r="D207" s="40">
        <f>IF(Settings!$E$12="YES",VLOOKUP(A207,'Player Data'!A1:E734,5,FALSE),82)</f>
        <v>82</v>
      </c>
      <c r="E207" s="38">
        <f>(VLOOKUP($A207,'The List'!$B1:$AH730,17,FALSE)-AVERAGE('The List'!R2:R730))/STDEV('The List'!R2:R730)</f>
        <v>9.6658176351213598E-2</v>
      </c>
      <c r="F207" s="38">
        <f>(VLOOKUP($A207,'The List'!$B1:$AH730,18,FALSE)-AVERAGE('The List'!S2:S730))/STDEV('The List'!S2:S730)</f>
        <v>0.26183589589215167</v>
      </c>
      <c r="G207" s="38">
        <f>(VLOOKUP($A207,'The List'!$B1:$AH730,19,FALSE)-AVERAGE('The List'!T2:T730))/STDEV('The List'!T2:T730)</f>
        <v>0.91460167898508282</v>
      </c>
      <c r="H207" s="38">
        <f>(VLOOKUP($A207,'The List'!$B1:$AH730,20,FALSE)-AVERAGE('The List'!U2:U730))/STDEV('The List'!U2:U730)</f>
        <v>0.68377918154853223</v>
      </c>
      <c r="I207" s="38">
        <f>(VLOOKUP($A207,'The List'!$B1:$AH730,21,FALSE)-AVERAGE('The List'!V2:V730))/STDEV('The List'!V2:V730)</f>
        <v>3.3384419616623367E-3</v>
      </c>
      <c r="J207" s="38">
        <f>(VLOOKUP($A207,'The List'!$B1:$AH730,22,FALSE)-AVERAGE('The List'!W2:W730))/STDEV('The List'!W2:W730)</f>
        <v>0.21997575324041163</v>
      </c>
      <c r="K207" s="38">
        <f>(VLOOKUP($A207,'The List'!$B1:$AH730,23,FALSE)-AVERAGE('The List'!X2:X730))/STDEV('The List'!X2:X730)</f>
        <v>-9.0998965009895127E-2</v>
      </c>
      <c r="L207" s="38">
        <f>(VLOOKUP($A207,'The List'!$B1:$AH730,24,FALSE)-AVERAGE('The List'!Y2:Y730))/STDEV('The List'!Y2:Y730)</f>
        <v>-0.43617204269718818</v>
      </c>
      <c r="M207" s="38">
        <f>(VLOOKUP($A207,'The List'!$B1:$AH730,25,FALSE)-AVERAGE('The List'!Z2:Z730))/STDEV('The List'!Z2:Z730)</f>
        <v>-0.59406324368544094</v>
      </c>
      <c r="N207" s="38">
        <f>(VLOOKUP($A207,'The List'!$B1:$AH730,26,FALSE)-AVERAGE('The List'!AA2:AA730))/STDEV('The List'!AA2:AA730)</f>
        <v>-0.88606786337617238</v>
      </c>
      <c r="O207" s="38">
        <f>(VLOOKUP($A207,'The List'!$B1:$AH730,27,FALSE)-AVERAGE('The List'!AB2:AB730))/STDEV('The List'!AB2:AB730)</f>
        <v>-0.44061643547859847</v>
      </c>
      <c r="P207" s="38">
        <f>(VLOOKUP($A207,'The List'!$B1:$AH730,28,FALSE)-AVERAGE('The List'!AC2:AC730))/STDEV('The List'!AC2:AC730)</f>
        <v>0.1345072394814272</v>
      </c>
      <c r="Q207" s="38">
        <f>(VLOOKUP($A207,'The List'!$B1:$AH730,29,FALSE)-AVERAGE('The List'!AD2:AD730))/STDEV('The List'!AD2:AD730)</f>
        <v>0.91941524028349308</v>
      </c>
      <c r="R207" s="38">
        <f>(VLOOKUP($A207,'The List'!$B1:$AH730,30,FALSE)-AVERAGE('The List'!AE2:AE730))/STDEV('The List'!AE2:AE730)</f>
        <v>0.32179719171228605</v>
      </c>
      <c r="S207" s="38">
        <f>(VLOOKUP($A207,'The List'!$B1:$AH730,31,FALSE)-AVERAGE('The List'!AF2:AF730))/STDEV('The List'!AF2:AF730)</f>
        <v>4.7960781609221924E-2</v>
      </c>
      <c r="T207" s="38">
        <f>(VLOOKUP($A207,'The List'!$B1:$AH730,32,FALSE)-AVERAGE('The List'!AG2:AG730))/STDEV('The List'!AG2:AG730)</f>
        <v>0.13766311340406803</v>
      </c>
      <c r="U207" s="38">
        <f>(VLOOKUP($A207,'The List'!$B1:$AH730,33,FALSE)-AVERAGE('The List'!AH2:AH730))/STDEV('The List'!AH2:AH730)</f>
        <v>0.85351062283541368</v>
      </c>
      <c r="V207" s="38"/>
      <c r="W207" s="42"/>
      <c r="X207" s="40"/>
      <c r="Y207" s="40"/>
      <c r="Z207" s="40"/>
      <c r="AA207" s="40"/>
      <c r="AB207" s="40"/>
      <c r="AC207" s="43"/>
      <c r="AD207" s="44"/>
      <c r="AE207" s="38"/>
    </row>
    <row r="208" spans="1:31" ht="21.2" customHeight="1">
      <c r="A208" s="8" t="s">
        <v>437</v>
      </c>
      <c r="B208" s="34" t="str">
        <f>VLOOKUP(A208,'Player Data'!A1:B734,2,FALSE)</f>
        <v>NYR</v>
      </c>
      <c r="C208" s="36">
        <f>((E208)*Settings!$C$12)+(F208*Settings!$C$2)+(G208*Settings!$C$3)+(H208*Settings!$C$4)+(I208*Settings!$C$5)+(K208*Settings!$C$9)+(N208*Settings!$C$6)+(J208*Settings!$C$8)+(O208*Settings!$C$7)+(P208*Settings!$C$14)+(Q208*Settings!$C$15)+(R208*Settings!$C$16)+(S208*Settings!$C$17)+(T208*Settings!$C$18)+(U208*Settings!$C$19)+(L208*Settings!$C$10)+(Settings!$C$11*M208)</f>
        <v>1.2915016150561998</v>
      </c>
      <c r="D208" s="40">
        <f>IF(Settings!$E$12="YES",VLOOKUP(A208,'Player Data'!A1:E734,5,FALSE),82)</f>
        <v>82</v>
      </c>
      <c r="E208" s="38">
        <f>(VLOOKUP($A208,'The List'!$B1:$AH730,17,FALSE)-AVERAGE('The List'!R2:R730))/STDEV('The List'!R2:R730)</f>
        <v>-0.4421948276055086</v>
      </c>
      <c r="F208" s="38">
        <f>(VLOOKUP($A208,'The List'!$B1:$AH730,18,FALSE)-AVERAGE('The List'!S2:S730))/STDEV('The List'!S2:S730)</f>
        <v>0.53472220286662442</v>
      </c>
      <c r="G208" s="38">
        <f>(VLOOKUP($A208,'The List'!$B1:$AH730,19,FALSE)-AVERAGE('The List'!T2:T730))/STDEV('The List'!T2:T730)</f>
        <v>5.3934344083011378E-2</v>
      </c>
      <c r="H208" s="38">
        <f>(VLOOKUP($A208,'The List'!$B1:$AH730,20,FALSE)-AVERAGE('The List'!U2:U730))/STDEV('The List'!U2:U730)</f>
        <v>0.28172275852140377</v>
      </c>
      <c r="I208" s="38">
        <f>(VLOOKUP($A208,'The List'!$B1:$AH730,21,FALSE)-AVERAGE('The List'!V2:V730))/STDEV('The List'!V2:V730)</f>
        <v>0.8334930825230209</v>
      </c>
      <c r="J208" s="38">
        <f>(VLOOKUP($A208,'The List'!$B1:$AH730,22,FALSE)-AVERAGE('The List'!W2:W730))/STDEV('The List'!W2:W730)</f>
        <v>-0.3578151748871588</v>
      </c>
      <c r="K208" s="38">
        <f>(VLOOKUP($A208,'The List'!$B1:$AH730,23,FALSE)-AVERAGE('The List'!X2:X730))/STDEV('The List'!X2:X730)</f>
        <v>-0.41237077293786067</v>
      </c>
      <c r="L208" s="38">
        <f>(VLOOKUP($A208,'The List'!$B1:$AH730,24,FALSE)-AVERAGE('The List'!Y2:Y730))/STDEV('The List'!Y2:Y730)</f>
        <v>-0.48563692455717672</v>
      </c>
      <c r="M208" s="38">
        <f>(VLOOKUP($A208,'The List'!$B1:$AH730,25,FALSE)-AVERAGE('The List'!Z2:Z730))/STDEV('The List'!Z2:Z730)</f>
        <v>-0.65571624892299751</v>
      </c>
      <c r="N208" s="38">
        <f>(VLOOKUP($A208,'The List'!$B1:$AH730,26,FALSE)-AVERAGE('The List'!AA2:AA730))/STDEV('The List'!AA2:AA730)</f>
        <v>-0.58334056768158149</v>
      </c>
      <c r="O208" s="38">
        <f>(VLOOKUP($A208,'The List'!$B1:$AH730,27,FALSE)-AVERAGE('The List'!AB2:AB730))/STDEV('The List'!AB2:AB730)</f>
        <v>-1.127076451552139</v>
      </c>
      <c r="P208" s="38">
        <f>(VLOOKUP($A208,'The List'!$B1:$AH730,28,FALSE)-AVERAGE('The List'!AC2:AC730))/STDEV('The List'!AC2:AC730)</f>
        <v>1.1103138234834102</v>
      </c>
      <c r="Q208" s="38">
        <f>(VLOOKUP($A208,'The List'!$B1:$AH730,29,FALSE)-AVERAGE('The List'!AD2:AD730))/STDEV('The List'!AD2:AD730)</f>
        <v>-0.42778668333178593</v>
      </c>
      <c r="R208" s="38">
        <f>(VLOOKUP($A208,'The List'!$B1:$AH730,30,FALSE)-AVERAGE('The List'!AE2:AE730))/STDEV('The List'!AE2:AE730)</f>
        <v>0.86197716240704669</v>
      </c>
      <c r="S208" s="38">
        <f>(VLOOKUP($A208,'The List'!$B1:$AH730,31,FALSE)-AVERAGE('The List'!AF2:AF730))/STDEV('The List'!AF2:AF730)</f>
        <v>0.72826843927905494</v>
      </c>
      <c r="T208" s="38">
        <f>(VLOOKUP($A208,'The List'!$B1:$AH730,32,FALSE)-AVERAGE('The List'!AG2:AG730))/STDEV('The List'!AG2:AG730)</f>
        <v>1.3085871207399238</v>
      </c>
      <c r="U208" s="38">
        <f>(VLOOKUP($A208,'The List'!$B1:$AH730,33,FALSE)-AVERAGE('The List'!AH2:AH730))/STDEV('The List'!AH2:AH730)</f>
        <v>0.63667516355800879</v>
      </c>
      <c r="V208" s="38"/>
      <c r="W208" s="40"/>
      <c r="X208" s="38"/>
      <c r="Y208" s="38"/>
      <c r="Z208" s="38"/>
      <c r="AA208" s="38"/>
      <c r="AB208" s="38"/>
      <c r="AC208" s="38"/>
      <c r="AD208" s="38"/>
      <c r="AE208" s="38"/>
    </row>
    <row r="209" spans="1:31" ht="21.2" customHeight="1">
      <c r="A209" s="8" t="s">
        <v>365</v>
      </c>
      <c r="B209" s="34" t="str">
        <f>VLOOKUP(A209,'Player Data'!A1:B734,2,FALSE)</f>
        <v>BOS</v>
      </c>
      <c r="C209" s="36">
        <f>((E209)*Settings!$C$12)+(F209*Settings!$C$2)+(G209*Settings!$C$3)+(H209*Settings!$C$4)+(I209*Settings!$C$5)+(K209*Settings!$C$9)+(N209*Settings!$C$6)+(J209*Settings!$C$8)+(O209*Settings!$C$7)+(P209*Settings!$C$14)+(Q209*Settings!$C$15)+(R209*Settings!$C$16)+(S209*Settings!$C$17)+(T209*Settings!$C$18)+(U209*Settings!$C$19)+(L209*Settings!$C$10)+(Settings!$C$11*M209)</f>
        <v>0.61619896704392985</v>
      </c>
      <c r="D209" s="40">
        <f>IF(Settings!$E$12="YES",VLOOKUP(A209,'Player Data'!A1:E734,5,FALSE),82)</f>
        <v>82</v>
      </c>
      <c r="E209" s="38">
        <f>(VLOOKUP($A209,'The List'!$B1:$AH730,17,FALSE)-AVERAGE('The List'!R2:R730))/STDEV('The List'!R2:R730)</f>
        <v>0.60358300891809791</v>
      </c>
      <c r="F209" s="38">
        <f>(VLOOKUP($A209,'The List'!$B1:$AH730,18,FALSE)-AVERAGE('The List'!S2:S730))/STDEV('The List'!S2:S730)</f>
        <v>0.16818576827683498</v>
      </c>
      <c r="G209" s="38">
        <f>(VLOOKUP($A209,'The List'!$B1:$AH730,19,FALSE)-AVERAGE('The List'!T2:T730))/STDEV('The List'!T2:T730)</f>
        <v>0.33030612436973722</v>
      </c>
      <c r="H209" s="38">
        <f>(VLOOKUP($A209,'The List'!$B1:$AH730,20,FALSE)-AVERAGE('The List'!U2:U730))/STDEV('The List'!U2:U730)</f>
        <v>0.28117115084088534</v>
      </c>
      <c r="I209" s="38">
        <f>(VLOOKUP($A209,'The List'!$B1:$AH730,21,FALSE)-AVERAGE('The List'!V2:V730))/STDEV('The List'!V2:V730)</f>
        <v>0.14806197794321499</v>
      </c>
      <c r="J209" s="38">
        <f>(VLOOKUP($A209,'The List'!$B1:$AH730,22,FALSE)-AVERAGE('The List'!W2:W730))/STDEV('The List'!W2:W730)</f>
        <v>-0.29604072476601678</v>
      </c>
      <c r="K209" s="38">
        <f>(VLOOKUP($A209,'The List'!$B1:$AH730,23,FALSE)-AVERAGE('The List'!X2:X730))/STDEV('The List'!X2:X730)</f>
        <v>-0.31152605438674269</v>
      </c>
      <c r="L209" s="38">
        <f>(VLOOKUP($A209,'The List'!$B1:$AH730,24,FALSE)-AVERAGE('The List'!Y2:Y730))/STDEV('The List'!Y2:Y730)</f>
        <v>0.25331276606536474</v>
      </c>
      <c r="M209" s="38">
        <f>(VLOOKUP($A209,'The List'!$B1:$AH730,25,FALSE)-AVERAGE('The List'!Z2:Z730))/STDEV('The List'!Z2:Z730)</f>
        <v>1.4257923497559124</v>
      </c>
      <c r="N209" s="38">
        <f>(VLOOKUP($A209,'The List'!$B1:$AH730,26,FALSE)-AVERAGE('The List'!AA2:AA730))/STDEV('The List'!AA2:AA730)</f>
        <v>-0.18554215371177563</v>
      </c>
      <c r="O209" s="38">
        <f>(VLOOKUP($A209,'The List'!$B1:$AH730,27,FALSE)-AVERAGE('The List'!AB2:AB730))/STDEV('The List'!AB2:AB730)</f>
        <v>-0.44341983124152012</v>
      </c>
      <c r="P209" s="38">
        <f>(VLOOKUP($A209,'The List'!$B1:$AH730,28,FALSE)-AVERAGE('The List'!AC2:AC730))/STDEV('The List'!AC2:AC730)</f>
        <v>0.58340135386027092</v>
      </c>
      <c r="Q209" s="38">
        <f>(VLOOKUP($A209,'The List'!$B1:$AH730,29,FALSE)-AVERAGE('The List'!AD2:AD730))/STDEV('The List'!AD2:AD730)</f>
        <v>-0.17986193755027141</v>
      </c>
      <c r="R209" s="38">
        <f>(VLOOKUP($A209,'The List'!$B1:$AH730,30,FALSE)-AVERAGE('The List'!AE2:AE730))/STDEV('The List'!AE2:AE730)</f>
        <v>0.4300253516610606</v>
      </c>
      <c r="S209" s="38">
        <f>(VLOOKUP($A209,'The List'!$B1:$AH730,31,FALSE)-AVERAGE('The List'!AF2:AF730))/STDEV('The List'!AF2:AF730)</f>
        <v>2.0806456652148153</v>
      </c>
      <c r="T209" s="38">
        <f>(VLOOKUP($A209,'The List'!$B1:$AH730,32,FALSE)-AVERAGE('The List'!AG2:AG730))/STDEV('The List'!AG2:AG730)</f>
        <v>2.1079223573850965</v>
      </c>
      <c r="U209" s="38">
        <f>(VLOOKUP($A209,'The List'!$B1:$AH730,33,FALSE)-AVERAGE('The List'!AH2:AH730))/STDEV('The List'!AH2:AH730)</f>
        <v>1.0468189284083571</v>
      </c>
      <c r="V209" s="38"/>
      <c r="W209" s="42"/>
      <c r="X209" s="40"/>
      <c r="Y209" s="40"/>
      <c r="Z209" s="40"/>
      <c r="AA209" s="40"/>
      <c r="AB209" s="40"/>
      <c r="AC209" s="43"/>
      <c r="AD209" s="44"/>
      <c r="AE209" s="38"/>
    </row>
    <row r="210" spans="1:31" ht="21.2" customHeight="1">
      <c r="A210" s="8" t="s">
        <v>412</v>
      </c>
      <c r="B210" s="34" t="str">
        <f>VLOOKUP(A210,'Player Data'!A1:B734,2,FALSE)</f>
        <v>STL</v>
      </c>
      <c r="C210" s="36">
        <f>((E210)*Settings!$C$12)+(F210*Settings!$C$2)+(G210*Settings!$C$3)+(H210*Settings!$C$4)+(I210*Settings!$C$5)+(K210*Settings!$C$9)+(N210*Settings!$C$6)+(J210*Settings!$C$8)+(O210*Settings!$C$7)+(P210*Settings!$C$14)+(Q210*Settings!$C$15)+(R210*Settings!$C$16)+(S210*Settings!$C$17)+(T210*Settings!$C$18)+(U210*Settings!$C$19)+(L210*Settings!$C$10)+(Settings!$C$11*M210)</f>
        <v>0.98596496014632373</v>
      </c>
      <c r="D210" s="40">
        <f>IF(Settings!$E$12="YES",VLOOKUP(A210,'Player Data'!A1:E734,5,FALSE),82)</f>
        <v>82</v>
      </c>
      <c r="E210" s="38">
        <f>(VLOOKUP($A210,'The List'!$B1:$AH730,17,FALSE)-AVERAGE('The List'!R2:R730))/STDEV('The List'!R2:R730)</f>
        <v>-1.6412235117146384E-2</v>
      </c>
      <c r="F210" s="38">
        <f>(VLOOKUP($A210,'The List'!$B1:$AH730,18,FALSE)-AVERAGE('The List'!S2:S730))/STDEV('The List'!S2:S730)</f>
        <v>0.7668128350547132</v>
      </c>
      <c r="G210" s="38">
        <f>(VLOOKUP($A210,'The List'!$B1:$AH730,19,FALSE)-AVERAGE('The List'!T2:T730))/STDEV('The List'!T2:T730)</f>
        <v>-0.12641388954629376</v>
      </c>
      <c r="H210" s="38">
        <f>(VLOOKUP($A210,'The List'!$B1:$AH730,20,FALSE)-AVERAGE('The List'!U2:U730))/STDEV('The List'!U2:U730)</f>
        <v>0.27878437239857118</v>
      </c>
      <c r="I210" s="38">
        <f>(VLOOKUP($A210,'The List'!$B1:$AH730,21,FALSE)-AVERAGE('The List'!V2:V730))/STDEV('The List'!V2:V730)</f>
        <v>0.12298325682765361</v>
      </c>
      <c r="J210" s="38">
        <f>(VLOOKUP($A210,'The List'!$B1:$AH730,22,FALSE)-AVERAGE('The List'!W2:W730))/STDEV('The List'!W2:W730)</f>
        <v>0.3534308288263035</v>
      </c>
      <c r="K210" s="38">
        <f>(VLOOKUP($A210,'The List'!$B1:$AH730,23,FALSE)-AVERAGE('The List'!X2:X730))/STDEV('The List'!X2:X730)</f>
        <v>-5.6201614588320473E-2</v>
      </c>
      <c r="L210" s="38">
        <f>(VLOOKUP($A210,'The List'!$B1:$AH730,24,FALSE)-AVERAGE('The List'!Y2:Y730))/STDEV('The List'!Y2:Y730)</f>
        <v>1.8746355969915187</v>
      </c>
      <c r="M210" s="38">
        <f>(VLOOKUP($A210,'The List'!$B1:$AH730,25,FALSE)-AVERAGE('The List'!Z2:Z730))/STDEV('The List'!Z2:Z730)</f>
        <v>2.0227161677327423</v>
      </c>
      <c r="N210" s="38">
        <f>(VLOOKUP($A210,'The List'!$B1:$AH730,26,FALSE)-AVERAGE('The List'!AA2:AA730))/STDEV('The List'!AA2:AA730)</f>
        <v>-0.79917800117722648</v>
      </c>
      <c r="O210" s="38">
        <f>(VLOOKUP($A210,'The List'!$B1:$AH730,27,FALSE)-AVERAGE('The List'!AB2:AB730))/STDEV('The List'!AB2:AB730)</f>
        <v>-1.3517540253140212</v>
      </c>
      <c r="P210" s="38">
        <f>(VLOOKUP($A210,'The List'!$B1:$AH730,28,FALSE)-AVERAGE('The List'!AC2:AC730))/STDEV('The List'!AC2:AC730)</f>
        <v>-0.95132766131073276</v>
      </c>
      <c r="Q210" s="38">
        <f>(VLOOKUP($A210,'The List'!$B1:$AH730,29,FALSE)-AVERAGE('The List'!AD2:AD730))/STDEV('The List'!AD2:AD730)</f>
        <v>-1.0363127299459622</v>
      </c>
      <c r="R210" s="38">
        <f>(VLOOKUP($A210,'The List'!$B1:$AH730,30,FALSE)-AVERAGE('The List'!AE2:AE730))/STDEV('The List'!AE2:AE730)</f>
        <v>0.34965767582337787</v>
      </c>
      <c r="S210" s="38">
        <f>(VLOOKUP($A210,'The List'!$B1:$AH730,31,FALSE)-AVERAGE('The List'!AF2:AF730))/STDEV('The List'!AF2:AF730)</f>
        <v>-0.52358450920757083</v>
      </c>
      <c r="T210" s="38">
        <f>(VLOOKUP($A210,'The List'!$B1:$AH730,32,FALSE)-AVERAGE('The List'!AG2:AG730))/STDEV('The List'!AG2:AG730)</f>
        <v>-0.55871755418568447</v>
      </c>
      <c r="U210" s="38">
        <f>(VLOOKUP($A210,'The List'!$B1:$AH730,33,FALSE)-AVERAGE('The List'!AH2:AH730))/STDEV('The List'!AH2:AH730)</f>
        <v>0.83665706584552779</v>
      </c>
      <c r="V210" s="38"/>
      <c r="W210" s="40"/>
      <c r="X210" s="40"/>
      <c r="Y210" s="40"/>
      <c r="Z210" s="40"/>
      <c r="AA210" s="40"/>
      <c r="AB210" s="40"/>
      <c r="AC210" s="43"/>
      <c r="AD210" s="44"/>
      <c r="AE210" s="38"/>
    </row>
    <row r="211" spans="1:31" ht="21.2" customHeight="1">
      <c r="A211" s="8" t="s">
        <v>478</v>
      </c>
      <c r="B211" s="34" t="str">
        <f>VLOOKUP(A211,'Player Data'!A1:B734,2,FALSE)</f>
        <v>SEA</v>
      </c>
      <c r="C211" s="36">
        <f>((E211)*Settings!$C$12)+(F211*Settings!$C$2)+(G211*Settings!$C$3)+(H211*Settings!$C$4)+(I211*Settings!$C$5)+(K211*Settings!$C$9)+(N211*Settings!$C$6)+(J211*Settings!$C$8)+(O211*Settings!$C$7)+(P211*Settings!$C$14)+(Q211*Settings!$C$15)+(R211*Settings!$C$16)+(S211*Settings!$C$17)+(T211*Settings!$C$18)+(U211*Settings!$C$19)+(L211*Settings!$C$10)+(Settings!$C$11*M211)</f>
        <v>0.10607561065742976</v>
      </c>
      <c r="D211" s="40">
        <f>IF(Settings!$E$12="YES",VLOOKUP(A211,'Player Data'!A1:E734,5,FALSE),82)</f>
        <v>82</v>
      </c>
      <c r="E211" s="38">
        <f>(VLOOKUP($A211,'The List'!$B1:$AH730,17,FALSE)-AVERAGE('The List'!R2:R730))/STDEV('The List'!R2:R730)</f>
        <v>0.21629117449052285</v>
      </c>
      <c r="F211" s="38">
        <f>(VLOOKUP($A211,'The List'!$B1:$AH730,18,FALSE)-AVERAGE('The List'!S2:S730))/STDEV('The List'!S2:S730)</f>
        <v>0.15966390896891619</v>
      </c>
      <c r="G211" s="38">
        <f>(VLOOKUP($A211,'The List'!$B1:$AH730,19,FALSE)-AVERAGE('The List'!T2:T730))/STDEV('The List'!T2:T730)</f>
        <v>0.31552804743308516</v>
      </c>
      <c r="H211" s="38">
        <f>(VLOOKUP($A211,'The List'!$B1:$AH730,20,FALSE)-AVERAGE('The List'!U2:U730))/STDEV('The List'!U2:U730)</f>
        <v>0.2681278578473133</v>
      </c>
      <c r="I211" s="38">
        <f>(VLOOKUP($A211,'The List'!$B1:$AH730,21,FALSE)-AVERAGE('The List'!V2:V730))/STDEV('The List'!V2:V730)</f>
        <v>-2.1103895472519729E-2</v>
      </c>
      <c r="J211" s="38">
        <f>(VLOOKUP($A211,'The List'!$B1:$AH730,22,FALSE)-AVERAGE('The List'!W2:W730))/STDEV('The List'!W2:W730)</f>
        <v>-0.47505485322862945</v>
      </c>
      <c r="K211" s="38">
        <f>(VLOOKUP($A211,'The List'!$B1:$AH730,23,FALSE)-AVERAGE('The List'!X2:X730))/STDEV('The List'!X2:X730)</f>
        <v>-0.61614030811936515</v>
      </c>
      <c r="L211" s="38">
        <f>(VLOOKUP($A211,'The List'!$B1:$AH730,24,FALSE)-AVERAGE('The List'!Y2:Y730))/STDEV('The List'!Y2:Y730)</f>
        <v>1.0311625875577344</v>
      </c>
      <c r="M211" s="38">
        <f>(VLOOKUP($A211,'The List'!$B1:$AH730,25,FALSE)-AVERAGE('The List'!Z2:Z730))/STDEV('The List'!Z2:Z730)</f>
        <v>1.2797014677751297</v>
      </c>
      <c r="N211" s="38">
        <f>(VLOOKUP($A211,'The List'!$B1:$AH730,26,FALSE)-AVERAGE('The List'!AA2:AA730))/STDEV('The List'!AA2:AA730)</f>
        <v>-0.39143158184496463</v>
      </c>
      <c r="O211" s="38">
        <f>(VLOOKUP($A211,'The List'!$B1:$AH730,27,FALSE)-AVERAGE('The List'!AB2:AB730))/STDEV('The List'!AB2:AB730)</f>
        <v>0.11308716477731379</v>
      </c>
      <c r="P211" s="38">
        <f>(VLOOKUP($A211,'The List'!$B1:$AH730,28,FALSE)-AVERAGE('The List'!AC2:AC730))/STDEV('The List'!AC2:AC730)</f>
        <v>0.11871149999991989</v>
      </c>
      <c r="Q211" s="38">
        <f>(VLOOKUP($A211,'The List'!$B1:$AH730,29,FALSE)-AVERAGE('The List'!AD2:AD730))/STDEV('The List'!AD2:AD730)</f>
        <v>1.2827022651418822</v>
      </c>
      <c r="R211" s="38">
        <f>(VLOOKUP($A211,'The List'!$B1:$AH730,30,FALSE)-AVERAGE('The List'!AE2:AE730))/STDEV('The List'!AE2:AE730)</f>
        <v>0.14857255886998413</v>
      </c>
      <c r="S211" s="38">
        <f>(VLOOKUP($A211,'The List'!$B1:$AH730,31,FALSE)-AVERAGE('The List'!AF2:AF730))/STDEV('The List'!AF2:AF730)</f>
        <v>1.7018277989922079</v>
      </c>
      <c r="T211" s="38">
        <f>(VLOOKUP($A211,'The List'!$B1:$AH730,32,FALSE)-AVERAGE('The List'!AG2:AG730))/STDEV('The List'!AG2:AG730)</f>
        <v>1.8273507859839699</v>
      </c>
      <c r="U211" s="38">
        <f>(VLOOKUP($A211,'The List'!$B1:$AH730,33,FALSE)-AVERAGE('The List'!AH2:AH730))/STDEV('The List'!AH2:AH730)</f>
        <v>0.99540958887606534</v>
      </c>
      <c r="V211" s="38"/>
      <c r="W211" s="42"/>
      <c r="X211" s="40"/>
      <c r="Y211" s="40"/>
      <c r="Z211" s="40"/>
      <c r="AA211" s="40"/>
      <c r="AB211" s="40"/>
      <c r="AC211" s="43"/>
      <c r="AD211" s="44"/>
      <c r="AE211" s="38"/>
    </row>
    <row r="212" spans="1:31" ht="21.2" customHeight="1">
      <c r="A212" s="8" t="s">
        <v>235</v>
      </c>
      <c r="B212" s="34" t="str">
        <f>VLOOKUP(A212,'Player Data'!A1:B734,2,FALSE)</f>
        <v>STL</v>
      </c>
      <c r="C212" s="36">
        <f>((E212)*Settings!$C$12)+(F212*Settings!$C$2)+(G212*Settings!$C$3)+(H212*Settings!$C$4)+(I212*Settings!$C$5)+(K212*Settings!$C$9)+(N212*Settings!$C$6)+(J212*Settings!$C$8)+(O212*Settings!$C$7)+(P212*Settings!$C$14)+(Q212*Settings!$C$15)+(R212*Settings!$C$16)+(S212*Settings!$C$17)+(T212*Settings!$C$18)+(U212*Settings!$C$19)+(L212*Settings!$C$10)+(Settings!$C$11*M212)</f>
        <v>1.9417405436343107</v>
      </c>
      <c r="D212" s="40">
        <f>IF(Settings!$E$12="YES",VLOOKUP(A212,'Player Data'!A1:E734,5,FALSE),82)</f>
        <v>82</v>
      </c>
      <c r="E212" s="38">
        <f>(VLOOKUP($A212,'The List'!$B1:$AH730,17,FALSE)-AVERAGE('The List'!R2:R730))/STDEV('The List'!R2:R730)</f>
        <v>0.8048606119154551</v>
      </c>
      <c r="F212" s="38">
        <f>(VLOOKUP($A212,'The List'!$B1:$AH730,18,FALSE)-AVERAGE('The List'!S2:S730))/STDEV('The List'!S2:S730)</f>
        <v>-0.59615245168568387</v>
      </c>
      <c r="G212" s="38">
        <f>(VLOOKUP($A212,'The List'!$B1:$AH730,19,FALSE)-AVERAGE('The List'!T2:T730))/STDEV('The List'!T2:T730)</f>
        <v>0.87048739087859672</v>
      </c>
      <c r="H212" s="38">
        <f>(VLOOKUP($A212,'The List'!$B1:$AH730,20,FALSE)-AVERAGE('The List'!U2:U730))/STDEV('The List'!U2:U730)</f>
        <v>0.25781349022727362</v>
      </c>
      <c r="I212" s="38">
        <f>(VLOOKUP($A212,'The List'!$B1:$AH730,21,FALSE)-AVERAGE('The List'!V2:V730))/STDEV('The List'!V2:V730)</f>
        <v>0.22401602611568935</v>
      </c>
      <c r="J212" s="38">
        <f>(VLOOKUP($A212,'The List'!$B1:$AH730,22,FALSE)-AVERAGE('The List'!W2:W730))/STDEV('The List'!W2:W730)</f>
        <v>0.25783439016282766</v>
      </c>
      <c r="K212" s="38">
        <f>(VLOOKUP($A212,'The List'!$B1:$AH730,23,FALSE)-AVERAGE('The List'!X2:X730))/STDEV('The List'!X2:X730)</f>
        <v>1.1855760880984347</v>
      </c>
      <c r="L212" s="38">
        <f>(VLOOKUP($A212,'The List'!$B1:$AH730,24,FALSE)-AVERAGE('The List'!Y2:Y730))/STDEV('The List'!Y2:Y730)</f>
        <v>-0.52118070920694792</v>
      </c>
      <c r="M212" s="38">
        <f>(VLOOKUP($A212,'The List'!$B1:$AH730,25,FALSE)-AVERAGE('The List'!Z2:Z730))/STDEV('The List'!Z2:Z730)</f>
        <v>-0.6951998574622863</v>
      </c>
      <c r="N212" s="38">
        <f>(VLOOKUP($A212,'The List'!$B1:$AH730,26,FALSE)-AVERAGE('The List'!AA2:AA730))/STDEV('The List'!AA2:AA730)</f>
        <v>0.97813680417571469</v>
      </c>
      <c r="O212" s="38">
        <f>(VLOOKUP($A212,'The List'!$B1:$AH730,27,FALSE)-AVERAGE('The List'!AB2:AB730))/STDEV('The List'!AB2:AB730)</f>
        <v>-0.55584568430316783</v>
      </c>
      <c r="P212" s="38">
        <f>(VLOOKUP($A212,'The List'!$B1:$AH730,28,FALSE)-AVERAGE('The List'!AC2:AC730))/STDEV('The List'!AC2:AC730)</f>
        <v>-1.0547289922040528</v>
      </c>
      <c r="Q212" s="38">
        <f>(VLOOKUP($A212,'The List'!$B1:$AH730,29,FALSE)-AVERAGE('The List'!AD2:AD730))/STDEV('The List'!AD2:AD730)</f>
        <v>0.63552578939634941</v>
      </c>
      <c r="R212" s="38">
        <f>(VLOOKUP($A212,'The List'!$B1:$AH730,30,FALSE)-AVERAGE('The List'!AE2:AE730))/STDEV('The List'!AE2:AE730)</f>
        <v>-0.67171196279329348</v>
      </c>
      <c r="S212" s="38">
        <f>(VLOOKUP($A212,'The List'!$B1:$AH730,31,FALSE)-AVERAGE('The List'!AF2:AF730))/STDEV('The List'!AF2:AF730)</f>
        <v>-0.56911587195029545</v>
      </c>
      <c r="T212" s="38">
        <f>(VLOOKUP($A212,'The List'!$B1:$AH730,32,FALSE)-AVERAGE('The List'!AG2:AG730))/STDEV('The List'!AG2:AG730)</f>
        <v>-0.61510119871956948</v>
      </c>
      <c r="U212" s="38">
        <f>(VLOOKUP($A212,'The List'!$B1:$AH730,33,FALSE)-AVERAGE('The List'!AH2:AH730))/STDEV('The List'!AH2:AH730)</f>
        <v>-1.2363238714825984</v>
      </c>
      <c r="V212" s="38"/>
      <c r="W212" s="40"/>
      <c r="X212" s="38"/>
      <c r="Y212" s="38"/>
      <c r="Z212" s="38"/>
      <c r="AA212" s="38"/>
      <c r="AB212" s="38"/>
      <c r="AC212" s="38"/>
      <c r="AD212" s="38"/>
      <c r="AE212" s="38"/>
    </row>
    <row r="213" spans="1:31" ht="21.2" customHeight="1">
      <c r="A213" s="8" t="s">
        <v>413</v>
      </c>
      <c r="B213" s="34" t="str">
        <f>VLOOKUP(A213,'Player Data'!A1:B734,2,FALSE)</f>
        <v>STL</v>
      </c>
      <c r="C213" s="36">
        <f>((E213)*Settings!$C$12)+(F213*Settings!$C$2)+(G213*Settings!$C$3)+(H213*Settings!$C$4)+(I213*Settings!$C$5)+(K213*Settings!$C$9)+(N213*Settings!$C$6)+(J213*Settings!$C$8)+(O213*Settings!$C$7)+(P213*Settings!$C$14)+(Q213*Settings!$C$15)+(R213*Settings!$C$16)+(S213*Settings!$C$17)+(T213*Settings!$C$18)+(U213*Settings!$C$19)+(L213*Settings!$C$10)+(Settings!$C$11*M213)</f>
        <v>1.628679847574904</v>
      </c>
      <c r="D213" s="40">
        <f>IF(Settings!$E$12="YES",VLOOKUP(A213,'Player Data'!A1:E734,5,FALSE),82)</f>
        <v>82</v>
      </c>
      <c r="E213" s="38">
        <f>(VLOOKUP($A213,'The List'!$B1:$AH730,17,FALSE)-AVERAGE('The List'!R2:R730))/STDEV('The List'!R2:R730)</f>
        <v>-0.20695373392850702</v>
      </c>
      <c r="F213" s="38">
        <f>(VLOOKUP($A213,'The List'!$B1:$AH730,18,FALSE)-AVERAGE('The List'!S2:S730))/STDEV('The List'!S2:S730)</f>
        <v>7.9750358611338695E-2</v>
      </c>
      <c r="G213" s="38">
        <f>(VLOOKUP($A213,'The List'!$B1:$AH730,19,FALSE)-AVERAGE('The List'!T2:T730))/STDEV('The List'!T2:T730)</f>
        <v>0.35858836154889601</v>
      </c>
      <c r="H213" s="38">
        <f>(VLOOKUP($A213,'The List'!$B1:$AH730,20,FALSE)-AVERAGE('The List'!U2:U730))/STDEV('The List'!U2:U730)</f>
        <v>0.25744045272599841</v>
      </c>
      <c r="I213" s="38">
        <f>(VLOOKUP($A213,'The List'!$B1:$AH730,21,FALSE)-AVERAGE('The List'!V2:V730))/STDEV('The List'!V2:V730)</f>
        <v>0.68972312675453962</v>
      </c>
      <c r="J213" s="38">
        <f>(VLOOKUP($A213,'The List'!$B1:$AH730,22,FALSE)-AVERAGE('The List'!W2:W730))/STDEV('The List'!W2:W730)</f>
        <v>0.27547574287453508</v>
      </c>
      <c r="K213" s="38">
        <f>(VLOOKUP($A213,'The List'!$B1:$AH730,23,FALSE)-AVERAGE('The List'!X2:X730))/STDEV('The List'!X2:X730)</f>
        <v>0.24317754793413129</v>
      </c>
      <c r="L213" s="38">
        <f>(VLOOKUP($A213,'The List'!$B1:$AH730,24,FALSE)-AVERAGE('The List'!Y2:Y730))/STDEV('The List'!Y2:Y730)</f>
        <v>-0.50064767550706168</v>
      </c>
      <c r="M213" s="38">
        <f>(VLOOKUP($A213,'The List'!$B1:$AH730,25,FALSE)-AVERAGE('The List'!Z2:Z730))/STDEV('The List'!Z2:Z730)</f>
        <v>-0.6075062472818713</v>
      </c>
      <c r="N213" s="38">
        <f>(VLOOKUP($A213,'The List'!$B1:$AH730,26,FALSE)-AVERAGE('The List'!AA2:AA730))/STDEV('The List'!AA2:AA730)</f>
        <v>-1.0348071893423545</v>
      </c>
      <c r="O213" s="38">
        <f>(VLOOKUP($A213,'The List'!$B1:$AH730,27,FALSE)-AVERAGE('The List'!AB2:AB730))/STDEV('The List'!AB2:AB730)</f>
        <v>-0.88287354662857331</v>
      </c>
      <c r="P213" s="38">
        <f>(VLOOKUP($A213,'The List'!$B1:$AH730,28,FALSE)-AVERAGE('The List'!AC2:AC730))/STDEV('The List'!AC2:AC730)</f>
        <v>-1.0430252992531506</v>
      </c>
      <c r="Q213" s="38">
        <f>(VLOOKUP($A213,'The List'!$B1:$AH730,29,FALSE)-AVERAGE('The List'!AD2:AD730))/STDEV('The List'!AD2:AD730)</f>
        <v>-0.62668067460470189</v>
      </c>
      <c r="R213" s="38">
        <f>(VLOOKUP($A213,'The List'!$B1:$AH730,30,FALSE)-AVERAGE('The List'!AE2:AE730))/STDEV('The List'!AE2:AE730)</f>
        <v>-0.16520852076942263</v>
      </c>
      <c r="S213" s="38">
        <f>(VLOOKUP($A213,'The List'!$B1:$AH730,31,FALSE)-AVERAGE('The List'!AF2:AF730))/STDEV('The List'!AF2:AF730)</f>
        <v>0.86977558184838033</v>
      </c>
      <c r="T213" s="38">
        <f>(VLOOKUP($A213,'The List'!$B1:$AH730,32,FALSE)-AVERAGE('The List'!AG2:AG730))/STDEV('The List'!AG2:AG730)</f>
        <v>1.0506012740690314</v>
      </c>
      <c r="U213" s="38">
        <f>(VLOOKUP($A213,'The List'!$B1:$AH730,33,FALSE)-AVERAGE('The List'!AH2:AH730))/STDEV('The List'!AH2:AH730)</f>
        <v>0.91243067680867873</v>
      </c>
      <c r="V213" s="38"/>
      <c r="W213" s="42"/>
      <c r="X213" s="40"/>
      <c r="Y213" s="40"/>
      <c r="Z213" s="40"/>
      <c r="AA213" s="40"/>
      <c r="AB213" s="40"/>
      <c r="AC213" s="43"/>
      <c r="AD213" s="44"/>
      <c r="AE213" s="38"/>
    </row>
    <row r="214" spans="1:31" ht="21.2" customHeight="1">
      <c r="A214" s="8" t="s">
        <v>381</v>
      </c>
      <c r="B214" s="34" t="str">
        <f>VLOOKUP(A214,'Player Data'!A1:B734,2,FALSE)</f>
        <v>CGY</v>
      </c>
      <c r="C214" s="36">
        <f>((E214)*Settings!$C$12)+(F214*Settings!$C$2)+(G214*Settings!$C$3)+(H214*Settings!$C$4)+(I214*Settings!$C$5)+(K214*Settings!$C$9)+(N214*Settings!$C$6)+(J214*Settings!$C$8)+(O214*Settings!$C$7)+(P214*Settings!$C$14)+(Q214*Settings!$C$15)+(R214*Settings!$C$16)+(S214*Settings!$C$17)+(T214*Settings!$C$18)+(U214*Settings!$C$19)+(L214*Settings!$C$10)+(Settings!$C$11*M214)</f>
        <v>0.73644007223529417</v>
      </c>
      <c r="D214" s="40">
        <f>IF(Settings!$E$12="YES",VLOOKUP(A214,'Player Data'!A1:E734,5,FALSE),82)</f>
        <v>82</v>
      </c>
      <c r="E214" s="38">
        <f>(VLOOKUP($A214,'The List'!$B1:$AH730,17,FALSE)-AVERAGE('The List'!R2:R730))/STDEV('The List'!R2:R730)</f>
        <v>-0.22960524543301894</v>
      </c>
      <c r="F214" s="38">
        <f>(VLOOKUP($A214,'The List'!$B1:$AH730,18,FALSE)-AVERAGE('The List'!S2:S730))/STDEV('The List'!S2:S730)</f>
        <v>0.55125089399833926</v>
      </c>
      <c r="G214" s="38">
        <f>(VLOOKUP($A214,'The List'!$B1:$AH730,19,FALSE)-AVERAGE('The List'!T2:T730))/STDEV('The List'!T2:T730)</f>
        <v>-8.7338574467583051E-3</v>
      </c>
      <c r="H214" s="38">
        <f>(VLOOKUP($A214,'The List'!$B1:$AH730,20,FALSE)-AVERAGE('The List'!U2:U730))/STDEV('The List'!U2:U730)</f>
        <v>0.25089442779823218</v>
      </c>
      <c r="I214" s="38">
        <f>(VLOOKUP($A214,'The List'!$B1:$AH730,21,FALSE)-AVERAGE('The List'!V2:V730))/STDEV('The List'!V2:V730)</f>
        <v>0.25506156710694161</v>
      </c>
      <c r="J214" s="38">
        <f>(VLOOKUP($A214,'The List'!$B1:$AH730,22,FALSE)-AVERAGE('The List'!W2:W730))/STDEV('The List'!W2:W730)</f>
        <v>-0.15468475353464428</v>
      </c>
      <c r="K214" s="38">
        <f>(VLOOKUP($A214,'The List'!$B1:$AH730,23,FALSE)-AVERAGE('The List'!X2:X730))/STDEV('The List'!X2:X730)</f>
        <v>-0.31203295922146063</v>
      </c>
      <c r="L214" s="38">
        <f>(VLOOKUP($A214,'The List'!$B1:$AH730,24,FALSE)-AVERAGE('The List'!Y2:Y730))/STDEV('The List'!Y2:Y730)</f>
        <v>2.1606115323612194</v>
      </c>
      <c r="M214" s="38">
        <f>(VLOOKUP($A214,'The List'!$B1:$AH730,25,FALSE)-AVERAGE('The List'!Z2:Z730))/STDEV('The List'!Z2:Z730)</f>
        <v>1.4755445178212769</v>
      </c>
      <c r="N214" s="38">
        <f>(VLOOKUP($A214,'The List'!$B1:$AH730,26,FALSE)-AVERAGE('The List'!AA2:AA730))/STDEV('The List'!AA2:AA730)</f>
        <v>-1.0002244126012438</v>
      </c>
      <c r="O214" s="38">
        <f>(VLOOKUP($A214,'The List'!$B1:$AH730,27,FALSE)-AVERAGE('The List'!AB2:AB730))/STDEV('The List'!AB2:AB730)</f>
        <v>0.50598272152083335</v>
      </c>
      <c r="P214" s="38">
        <f>(VLOOKUP($A214,'The List'!$B1:$AH730,28,FALSE)-AVERAGE('The List'!AC2:AC730))/STDEV('The List'!AC2:AC730)</f>
        <v>8.2524550754187853E-2</v>
      </c>
      <c r="Q214" s="38">
        <f>(VLOOKUP($A214,'The List'!$B1:$AH730,29,FALSE)-AVERAGE('The List'!AD2:AD730))/STDEV('The List'!AD2:AD730)</f>
        <v>-5.3994196828562949E-2</v>
      </c>
      <c r="R214" s="38">
        <f>(VLOOKUP($A214,'The List'!$B1:$AH730,30,FALSE)-AVERAGE('The List'!AE2:AE730))/STDEV('The List'!AE2:AE730)</f>
        <v>0.8390323336654687</v>
      </c>
      <c r="S214" s="38">
        <f>(VLOOKUP($A214,'The List'!$B1:$AH730,31,FALSE)-AVERAGE('The List'!AF2:AF730))/STDEV('The List'!AF2:AF730)</f>
        <v>-0.31437730172950906</v>
      </c>
      <c r="T214" s="38">
        <f>(VLOOKUP($A214,'The List'!$B1:$AH730,32,FALSE)-AVERAGE('The List'!AG2:AG730))/STDEV('The List'!AG2:AG730)</f>
        <v>-0.31474794891825625</v>
      </c>
      <c r="U214" s="38">
        <f>(VLOOKUP($A214,'The List'!$B1:$AH730,33,FALSE)-AVERAGE('The List'!AH2:AH730))/STDEV('The List'!AH2:AH730)</f>
        <v>0.89177312864045233</v>
      </c>
      <c r="V214" s="38"/>
      <c r="W214" s="40"/>
      <c r="X214" s="38"/>
      <c r="Y214" s="38"/>
      <c r="Z214" s="38"/>
      <c r="AA214" s="38"/>
      <c r="AB214" s="38"/>
      <c r="AC214" s="38"/>
      <c r="AD214" s="38"/>
      <c r="AE214" s="38"/>
    </row>
    <row r="215" spans="1:31" ht="21.2" customHeight="1">
      <c r="A215" s="8" t="s">
        <v>385</v>
      </c>
      <c r="B215" s="34" t="str">
        <f>VLOOKUP(A215,'Player Data'!A1:B734,2,FALSE)</f>
        <v>DET</v>
      </c>
      <c r="C215" s="36">
        <f>((E215)*Settings!$C$12)+(F215*Settings!$C$2)+(G215*Settings!$C$3)+(H215*Settings!$C$4)+(I215*Settings!$C$5)+(K215*Settings!$C$9)+(N215*Settings!$C$6)+(J215*Settings!$C$8)+(O215*Settings!$C$7)+(P215*Settings!$C$14)+(Q215*Settings!$C$15)+(R215*Settings!$C$16)+(S215*Settings!$C$17)+(T215*Settings!$C$18)+(U215*Settings!$C$19)+(L215*Settings!$C$10)+(Settings!$C$11*M215)</f>
        <v>1.6891318392193773</v>
      </c>
      <c r="D215" s="40">
        <f>IF(Settings!$E$12="YES",VLOOKUP(A215,'Player Data'!A1:E734,5,FALSE),82)</f>
        <v>82</v>
      </c>
      <c r="E215" s="38">
        <f>(VLOOKUP($A215,'The List'!$B1:$AH730,17,FALSE)-AVERAGE('The List'!R2:R730))/STDEV('The List'!R2:R730)</f>
        <v>-1.0118631203218136</v>
      </c>
      <c r="F215" s="38">
        <f>(VLOOKUP($A215,'The List'!$B1:$AH730,18,FALSE)-AVERAGE('The List'!S2:S730))/STDEV('The List'!S2:S730)</f>
        <v>0.77665773960132523</v>
      </c>
      <c r="G215" s="38">
        <f>(VLOOKUP($A215,'The List'!$B1:$AH730,19,FALSE)-AVERAGE('The List'!T2:T730))/STDEV('The List'!T2:T730)</f>
        <v>-0.1836865880752736</v>
      </c>
      <c r="H215" s="38">
        <f>(VLOOKUP($A215,'The List'!$B1:$AH730,20,FALSE)-AVERAGE('The List'!U2:U730))/STDEV('The List'!U2:U730)</f>
        <v>0.24816467774617249</v>
      </c>
      <c r="I215" s="38">
        <f>(VLOOKUP($A215,'The List'!$B1:$AH730,21,FALSE)-AVERAGE('The List'!V2:V730))/STDEV('The List'!V2:V730)</f>
        <v>0.67114266798488476</v>
      </c>
      <c r="J215" s="38">
        <f>(VLOOKUP($A215,'The List'!$B1:$AH730,22,FALSE)-AVERAGE('The List'!W2:W730))/STDEV('The List'!W2:W730)</f>
        <v>0.47224100209715753</v>
      </c>
      <c r="K215" s="38">
        <f>(VLOOKUP($A215,'The List'!$B1:$AH730,23,FALSE)-AVERAGE('The List'!X2:X730))/STDEV('The List'!X2:X730)</f>
        <v>0.17685334196226848</v>
      </c>
      <c r="L215" s="38">
        <f>(VLOOKUP($A215,'The List'!$B1:$AH730,24,FALSE)-AVERAGE('The List'!Y2:Y730))/STDEV('The List'!Y2:Y730)</f>
        <v>-0.52278549254972351</v>
      </c>
      <c r="M215" s="38">
        <f>(VLOOKUP($A215,'The List'!$B1:$AH730,25,FALSE)-AVERAGE('The List'!Z2:Z730))/STDEV('The List'!Z2:Z730)</f>
        <v>-0.70098191928359366</v>
      </c>
      <c r="N215" s="38">
        <f>(VLOOKUP($A215,'The List'!$B1:$AH730,26,FALSE)-AVERAGE('The List'!AA2:AA730))/STDEV('The List'!AA2:AA730)</f>
        <v>-1.0199149877723284</v>
      </c>
      <c r="O215" s="38">
        <f>(VLOOKUP($A215,'The List'!$B1:$AH730,27,FALSE)-AVERAGE('The List'!AB2:AB730))/STDEV('The List'!AB2:AB730)</f>
        <v>-0.81984608347393662</v>
      </c>
      <c r="P215" s="38">
        <f>(VLOOKUP($A215,'The List'!$B1:$AH730,28,FALSE)-AVERAGE('The List'!AC2:AC730))/STDEV('The List'!AC2:AC730)</f>
        <v>7.3738569816349173E-2</v>
      </c>
      <c r="Q215" s="38">
        <f>(VLOOKUP($A215,'The List'!$B1:$AH730,29,FALSE)-AVERAGE('The List'!AD2:AD730))/STDEV('The List'!AD2:AD730)</f>
        <v>-0.99592884827388062</v>
      </c>
      <c r="R215" s="38">
        <f>(VLOOKUP($A215,'The List'!$B1:$AH730,30,FALSE)-AVERAGE('The List'!AE2:AE730))/STDEV('The List'!AE2:AE730)</f>
        <v>0.59836106114982046</v>
      </c>
      <c r="S215" s="38">
        <f>(VLOOKUP($A215,'The List'!$B1:$AH730,31,FALSE)-AVERAGE('The List'!AF2:AF730))/STDEV('The List'!AF2:AF730)</f>
        <v>-0.55985906170994004</v>
      </c>
      <c r="T215" s="38">
        <f>(VLOOKUP($A215,'The List'!$B1:$AH730,32,FALSE)-AVERAGE('The List'!AG2:AG730))/STDEV('The List'!AG2:AG730)</f>
        <v>-0.58727293649197598</v>
      </c>
      <c r="U215" s="38">
        <f>(VLOOKUP($A215,'The List'!$B1:$AH730,33,FALSE)-AVERAGE('The List'!AH2:AH730))/STDEV('The List'!AH2:AH730)</f>
        <v>-6.6703669499805662E-2</v>
      </c>
      <c r="V215" s="38"/>
      <c r="W215" s="42"/>
      <c r="X215" s="40"/>
      <c r="Y215" s="40"/>
      <c r="Z215" s="40"/>
      <c r="AA215" s="40"/>
      <c r="AB215" s="40"/>
      <c r="AC215" s="43"/>
      <c r="AD215" s="44"/>
      <c r="AE215" s="38"/>
    </row>
    <row r="216" spans="1:31" ht="21.2" customHeight="1">
      <c r="A216" s="8" t="s">
        <v>431</v>
      </c>
      <c r="B216" s="34" t="str">
        <f>VLOOKUP(A216,'Player Data'!A1:B734,2,FALSE)</f>
        <v>TOR</v>
      </c>
      <c r="C216" s="36">
        <f>((E216)*Settings!$C$12)+(F216*Settings!$C$2)+(G216*Settings!$C$3)+(H216*Settings!$C$4)+(I216*Settings!$C$5)+(K216*Settings!$C$9)+(N216*Settings!$C$6)+(J216*Settings!$C$8)+(O216*Settings!$C$7)+(P216*Settings!$C$14)+(Q216*Settings!$C$15)+(R216*Settings!$C$16)+(S216*Settings!$C$17)+(T216*Settings!$C$18)+(U216*Settings!$C$19)+(L216*Settings!$C$10)+(Settings!$C$11*M216)</f>
        <v>0.63989116236940913</v>
      </c>
      <c r="D216" s="40">
        <f>IF(Settings!$E$12="YES",VLOOKUP(A216,'Player Data'!A1:E734,5,FALSE),82)</f>
        <v>82</v>
      </c>
      <c r="E216" s="38">
        <f>(VLOOKUP($A216,'The List'!$B1:$AH730,17,FALSE)-AVERAGE('The List'!R2:R730))/STDEV('The List'!R2:R730)</f>
        <v>-0.45063693223197793</v>
      </c>
      <c r="F216" s="38">
        <f>(VLOOKUP($A216,'The List'!$B1:$AH730,18,FALSE)-AVERAGE('The List'!S2:S730))/STDEV('The List'!S2:S730)</f>
        <v>8.1844079686542878E-2</v>
      </c>
      <c r="G216" s="38">
        <f>(VLOOKUP($A216,'The List'!$B1:$AH730,19,FALSE)-AVERAGE('The List'!T2:T730))/STDEV('The List'!T2:T730)</f>
        <v>0.34083494125836533</v>
      </c>
      <c r="H216" s="38">
        <f>(VLOOKUP($A216,'The List'!$B1:$AH730,20,FALSE)-AVERAGE('The List'!U2:U730))/STDEV('The List'!U2:U730)</f>
        <v>0.24750359224476343</v>
      </c>
      <c r="I216" s="38">
        <f>(VLOOKUP($A216,'The List'!$B1:$AH730,21,FALSE)-AVERAGE('The List'!V2:V730))/STDEV('The List'!V2:V730)</f>
        <v>4.2391190437518385E-2</v>
      </c>
      <c r="J216" s="38">
        <f>(VLOOKUP($A216,'The List'!$B1:$AH730,22,FALSE)-AVERAGE('The List'!W2:W730))/STDEV('The List'!W2:W730)</f>
        <v>1.0179050281784625E-2</v>
      </c>
      <c r="K216" s="38">
        <f>(VLOOKUP($A216,'The List'!$B1:$AH730,23,FALSE)-AVERAGE('The List'!X2:X730))/STDEV('The List'!X2:X730)</f>
        <v>-7.2682641257780872E-2</v>
      </c>
      <c r="L216" s="38">
        <f>(VLOOKUP($A216,'The List'!$B1:$AH730,24,FALSE)-AVERAGE('The List'!Y2:Y730))/STDEV('The List'!Y2:Y730)</f>
        <v>-0.50469942870056894</v>
      </c>
      <c r="M216" s="38">
        <f>(VLOOKUP($A216,'The List'!$B1:$AH730,25,FALSE)-AVERAGE('The List'!Z2:Z730))/STDEV('The List'!Z2:Z730)</f>
        <v>-0.68019695219465004</v>
      </c>
      <c r="N216" s="38">
        <f>(VLOOKUP($A216,'The List'!$B1:$AH730,26,FALSE)-AVERAGE('The List'!AA2:AA730))/STDEV('The List'!AA2:AA730)</f>
        <v>-1.0523361283549313</v>
      </c>
      <c r="O216" s="38">
        <f>(VLOOKUP($A216,'The List'!$B1:$AH730,27,FALSE)-AVERAGE('The List'!AB2:AB730))/STDEV('The List'!AB2:AB730)</f>
        <v>-1.4208989588626153</v>
      </c>
      <c r="P216" s="38">
        <f>(VLOOKUP($A216,'The List'!$B1:$AH730,28,FALSE)-AVERAGE('The List'!AC2:AC730))/STDEV('The List'!AC2:AC730)</f>
        <v>0.75781802271439136</v>
      </c>
      <c r="Q216" s="38">
        <f>(VLOOKUP($A216,'The List'!$B1:$AH730,29,FALSE)-AVERAGE('The List'!AD2:AD730))/STDEV('The List'!AD2:AD730)</f>
        <v>0.95610945504620481</v>
      </c>
      <c r="R216" s="38">
        <f>(VLOOKUP($A216,'The List'!$B1:$AH730,30,FALSE)-AVERAGE('The List'!AE2:AE730))/STDEV('The List'!AE2:AE730)</f>
        <v>0.26726924880038366</v>
      </c>
      <c r="S216" s="38">
        <f>(VLOOKUP($A216,'The List'!$B1:$AH730,31,FALSE)-AVERAGE('The List'!AF2:AF730))/STDEV('The List'!AF2:AF730)</f>
        <v>1.1132759912686698</v>
      </c>
      <c r="T216" s="38">
        <f>(VLOOKUP($A216,'The List'!$B1:$AH730,32,FALSE)-AVERAGE('The List'!AG2:AG730))/STDEV('The List'!AG2:AG730)</f>
        <v>1.1371048024950248</v>
      </c>
      <c r="U216" s="38">
        <f>(VLOOKUP($A216,'The List'!$B1:$AH730,33,FALSE)-AVERAGE('The List'!AH2:AH730))/STDEV('The List'!AH2:AH730)</f>
        <v>1.0317061100064242</v>
      </c>
      <c r="V216" s="38"/>
      <c r="W216" s="40"/>
      <c r="X216" s="38"/>
      <c r="Y216" s="38"/>
      <c r="Z216" s="38"/>
      <c r="AA216" s="38"/>
      <c r="AB216" s="38"/>
      <c r="AC216" s="38"/>
      <c r="AD216" s="38"/>
      <c r="AE216" s="38"/>
    </row>
    <row r="217" spans="1:31" ht="21.2" customHeight="1">
      <c r="A217" s="8" t="s">
        <v>458</v>
      </c>
      <c r="B217" s="34" t="str">
        <f>VLOOKUP(A217,'Player Data'!A1:B734,2,FALSE)</f>
        <v>DET</v>
      </c>
      <c r="C217" s="36">
        <f>((E217)*Settings!$C$12)+(F217*Settings!$C$2)+(G217*Settings!$C$3)+(H217*Settings!$C$4)+(I217*Settings!$C$5)+(K217*Settings!$C$9)+(N217*Settings!$C$6)+(J217*Settings!$C$8)+(O217*Settings!$C$7)+(P217*Settings!$C$14)+(Q217*Settings!$C$15)+(R217*Settings!$C$16)+(S217*Settings!$C$17)+(T217*Settings!$C$18)+(U217*Settings!$C$19)+(L217*Settings!$C$10)+(Settings!$C$11*M217)</f>
        <v>5.791815359645458E-2</v>
      </c>
      <c r="D217" s="40">
        <f>IF(Settings!$E$12="YES",VLOOKUP(A217,'Player Data'!A1:E734,5,FALSE),82)</f>
        <v>82</v>
      </c>
      <c r="E217" s="38">
        <f>(VLOOKUP($A217,'The List'!$B1:$AH730,17,FALSE)-AVERAGE('The List'!R2:R730))/STDEV('The List'!R2:R730)</f>
        <v>0.48880653518012251</v>
      </c>
      <c r="F217" s="38">
        <f>(VLOOKUP($A217,'The List'!$B1:$AH730,18,FALSE)-AVERAGE('The List'!S2:S730))/STDEV('The List'!S2:S730)</f>
        <v>0.31594130254253527</v>
      </c>
      <c r="G217" s="38">
        <f>(VLOOKUP($A217,'The List'!$B1:$AH730,19,FALSE)-AVERAGE('The List'!T2:T730))/STDEV('The List'!T2:T730)</f>
        <v>0.15579353331729653</v>
      </c>
      <c r="H217" s="38">
        <f>(VLOOKUP($A217,'The List'!$B1:$AH730,20,FALSE)-AVERAGE('The List'!U2:U730))/STDEV('The List'!U2:U730)</f>
        <v>0.24261387596755693</v>
      </c>
      <c r="I217" s="38">
        <f>(VLOOKUP($A217,'The List'!$B1:$AH730,21,FALSE)-AVERAGE('The List'!V2:V730))/STDEV('The List'!V2:V730)</f>
        <v>-0.32447667995714763</v>
      </c>
      <c r="J217" s="38">
        <f>(VLOOKUP($A217,'The List'!$B1:$AH730,22,FALSE)-AVERAGE('The List'!W2:W730))/STDEV('The List'!W2:W730)</f>
        <v>-0.18462599697203211</v>
      </c>
      <c r="K217" s="38">
        <f>(VLOOKUP($A217,'The List'!$B1:$AH730,23,FALSE)-AVERAGE('The List'!X2:X730))/STDEV('The List'!X2:X730)</f>
        <v>-0.33195387827378647</v>
      </c>
      <c r="L217" s="38">
        <f>(VLOOKUP($A217,'The List'!$B1:$AH730,24,FALSE)-AVERAGE('The List'!Y2:Y730))/STDEV('The List'!Y2:Y730)</f>
        <v>0.18972419685452963</v>
      </c>
      <c r="M217" s="38">
        <f>(VLOOKUP($A217,'The List'!$B1:$AH730,25,FALSE)-AVERAGE('The List'!Z2:Z730))/STDEV('The List'!Z2:Z730)</f>
        <v>-0.18102622082647171</v>
      </c>
      <c r="N217" s="38">
        <f>(VLOOKUP($A217,'The List'!$B1:$AH730,26,FALSE)-AVERAGE('The List'!AA2:AA730))/STDEV('The List'!AA2:AA730)</f>
        <v>0.14601758251749977</v>
      </c>
      <c r="O217" s="38">
        <f>(VLOOKUP($A217,'The List'!$B1:$AH730,27,FALSE)-AVERAGE('The List'!AB2:AB730))/STDEV('The List'!AB2:AB730)</f>
        <v>-1.2059672501603651</v>
      </c>
      <c r="P217" s="38">
        <f>(VLOOKUP($A217,'The List'!$B1:$AH730,28,FALSE)-AVERAGE('The List'!AC2:AC730))/STDEV('The List'!AC2:AC730)</f>
        <v>-0.25758049697226154</v>
      </c>
      <c r="Q217" s="38">
        <f>(VLOOKUP($A217,'The List'!$B1:$AH730,29,FALSE)-AVERAGE('The List'!AD2:AD730))/STDEV('The List'!AD2:AD730)</f>
        <v>-9.6988401078324821E-2</v>
      </c>
      <c r="R217" s="38">
        <f>(VLOOKUP($A217,'The List'!$B1:$AH730,30,FALSE)-AVERAGE('The List'!AE2:AE730))/STDEV('The List'!AE2:AE730)</f>
        <v>0.20131857979761106</v>
      </c>
      <c r="S217" s="38">
        <f>(VLOOKUP($A217,'The List'!$B1:$AH730,31,FALSE)-AVERAGE('The List'!AF2:AF730))/STDEV('The List'!AF2:AF730)</f>
        <v>2.6257581716984517</v>
      </c>
      <c r="T217" s="38">
        <f>(VLOOKUP($A217,'The List'!$B1:$AH730,32,FALSE)-AVERAGE('The List'!AG2:AG730))/STDEV('The List'!AG2:AG730)</f>
        <v>2.8455194779852406</v>
      </c>
      <c r="U217" s="38">
        <f>(VLOOKUP($A217,'The List'!$B1:$AH730,33,FALSE)-AVERAGE('The List'!AH2:AH730))/STDEV('The List'!AH2:AH730)</f>
        <v>0.98740209507805043</v>
      </c>
      <c r="V217" s="38"/>
      <c r="W217" s="42"/>
      <c r="X217" s="40"/>
      <c r="Y217" s="40"/>
      <c r="Z217" s="40"/>
      <c r="AA217" s="40"/>
      <c r="AB217" s="40"/>
      <c r="AC217" s="43"/>
      <c r="AD217" s="44"/>
      <c r="AE217" s="38"/>
    </row>
    <row r="218" spans="1:31" ht="21.2" customHeight="1">
      <c r="A218" s="8" t="s">
        <v>537</v>
      </c>
      <c r="B218" s="34" t="str">
        <f>VLOOKUP(A218,'Player Data'!A1:B734,2,FALSE)</f>
        <v>NSH</v>
      </c>
      <c r="C218" s="36">
        <f>((E218)*Settings!$C$12)+(F218*Settings!$C$2)+(G218*Settings!$C$3)+(H218*Settings!$C$4)+(I218*Settings!$C$5)+(K218*Settings!$C$9)+(N218*Settings!$C$6)+(J218*Settings!$C$8)+(O218*Settings!$C$7)+(P218*Settings!$C$14)+(Q218*Settings!$C$15)+(R218*Settings!$C$16)+(S218*Settings!$C$17)+(T218*Settings!$C$18)+(U218*Settings!$C$19)+(L218*Settings!$C$10)+(Settings!$C$11*M218)</f>
        <v>0.20281027208889657</v>
      </c>
      <c r="D218" s="40">
        <f>IF(Settings!$E$12="YES",VLOOKUP(A218,'Player Data'!A1:E734,5,FALSE),82)</f>
        <v>82</v>
      </c>
      <c r="E218" s="38">
        <f>(VLOOKUP($A218,'The List'!$B1:$AH730,17,FALSE)-AVERAGE('The List'!R2:R730))/STDEV('The List'!R2:R730)</f>
        <v>-0.6334974086089481</v>
      </c>
      <c r="F218" s="38">
        <f>(VLOOKUP($A218,'The List'!$B1:$AH730,18,FALSE)-AVERAGE('The List'!S2:S730))/STDEV('The List'!S2:S730)</f>
        <v>-4.4507006733995456E-2</v>
      </c>
      <c r="G218" s="38">
        <f>(VLOOKUP($A218,'The List'!$B1:$AH730,19,FALSE)-AVERAGE('The List'!T2:T730))/STDEV('The List'!T2:T730)</f>
        <v>0.42483071677698447</v>
      </c>
      <c r="H218" s="38">
        <f>(VLOOKUP($A218,'The List'!$B1:$AH730,20,FALSE)-AVERAGE('The List'!U2:U730))/STDEV('The List'!U2:U730)</f>
        <v>0.24038507586289704</v>
      </c>
      <c r="I218" s="38">
        <f>(VLOOKUP($A218,'The List'!$B1:$AH730,21,FALSE)-AVERAGE('The List'!V2:V730))/STDEV('The List'!V2:V730)</f>
        <v>-0.70097354645868926</v>
      </c>
      <c r="J218" s="38">
        <f>(VLOOKUP($A218,'The List'!$B1:$AH730,22,FALSE)-AVERAGE('The List'!W2:W730))/STDEV('The List'!W2:W730)</f>
        <v>-9.4725587523027788E-2</v>
      </c>
      <c r="K218" s="38">
        <f>(VLOOKUP($A218,'The List'!$B1:$AH730,23,FALSE)-AVERAGE('The List'!X2:X730))/STDEV('The List'!X2:X730)</f>
        <v>0.28307503264169975</v>
      </c>
      <c r="L218" s="38">
        <f>(VLOOKUP($A218,'The List'!$B1:$AH730,24,FALSE)-AVERAGE('The List'!Y2:Y730))/STDEV('The List'!Y2:Y730)</f>
        <v>-0.49375004095755953</v>
      </c>
      <c r="M218" s="38">
        <f>(VLOOKUP($A218,'The List'!$B1:$AH730,25,FALSE)-AVERAGE('The List'!Z2:Z730))/STDEV('The List'!Z2:Z730)</f>
        <v>-0.66479704546323204</v>
      </c>
      <c r="N218" s="38">
        <f>(VLOOKUP($A218,'The List'!$B1:$AH730,26,FALSE)-AVERAGE('The List'!AA2:AA730))/STDEV('The List'!AA2:AA730)</f>
        <v>-0.76382511030067868</v>
      </c>
      <c r="O218" s="38">
        <f>(VLOOKUP($A218,'The List'!$B1:$AH730,27,FALSE)-AVERAGE('The List'!AB2:AB730))/STDEV('The List'!AB2:AB730)</f>
        <v>0.4552669837351519</v>
      </c>
      <c r="P218" s="38">
        <f>(VLOOKUP($A218,'The List'!$B1:$AH730,28,FALSE)-AVERAGE('The List'!AC2:AC730))/STDEV('The List'!AC2:AC730)</f>
        <v>-0.12331628739865076</v>
      </c>
      <c r="Q218" s="38">
        <f>(VLOOKUP($A218,'The List'!$B1:$AH730,29,FALSE)-AVERAGE('The List'!AD2:AD730))/STDEV('The List'!AD2:AD730)</f>
        <v>-0.42897071780502194</v>
      </c>
      <c r="R218" s="38">
        <f>(VLOOKUP($A218,'The List'!$B1:$AH730,30,FALSE)-AVERAGE('The List'!AE2:AE730))/STDEV('The List'!AE2:AE730)</f>
        <v>8.857079658270128E-3</v>
      </c>
      <c r="S218" s="38">
        <f>(VLOOKUP($A218,'The List'!$B1:$AH730,31,FALSE)-AVERAGE('The List'!AF2:AF730))/STDEV('The List'!AF2:AF730)</f>
        <v>0.73714824349688779</v>
      </c>
      <c r="T218" s="38">
        <f>(VLOOKUP($A218,'The List'!$B1:$AH730,32,FALSE)-AVERAGE('The List'!AG2:AG730))/STDEV('The List'!AG2:AG730)</f>
        <v>0.76615227241582196</v>
      </c>
      <c r="U218" s="38">
        <f>(VLOOKUP($A218,'The List'!$B1:$AH730,33,FALSE)-AVERAGE('The List'!AH2:AH730))/STDEV('The List'!AH2:AH730)</f>
        <v>1.0145880059287469</v>
      </c>
      <c r="V218" s="38"/>
      <c r="W218" s="40"/>
      <c r="X218" s="38"/>
      <c r="Y218" s="38"/>
      <c r="Z218" s="38"/>
      <c r="AA218" s="38"/>
      <c r="AB218" s="38"/>
      <c r="AC218" s="38"/>
      <c r="AD218" s="38"/>
      <c r="AE218" s="38"/>
    </row>
    <row r="219" spans="1:31" ht="21.2" customHeight="1">
      <c r="A219" s="8" t="s">
        <v>463</v>
      </c>
      <c r="B219" s="34" t="str">
        <f>VLOOKUP(A219,'Player Data'!A1:B734,2,FALSE)</f>
        <v>TBL</v>
      </c>
      <c r="C219" s="36">
        <f>((E219)*Settings!$C$12)+(F219*Settings!$C$2)+(G219*Settings!$C$3)+(H219*Settings!$C$4)+(I219*Settings!$C$5)+(K219*Settings!$C$9)+(N219*Settings!$C$6)+(J219*Settings!$C$8)+(O219*Settings!$C$7)+(P219*Settings!$C$14)+(Q219*Settings!$C$15)+(R219*Settings!$C$16)+(S219*Settings!$C$17)+(T219*Settings!$C$18)+(U219*Settings!$C$19)+(L219*Settings!$C$10)+(Settings!$C$11*M219)</f>
        <v>0.73936425661006222</v>
      </c>
      <c r="D219" s="40">
        <f>IF(Settings!$E$12="YES",VLOOKUP(A219,'Player Data'!A1:E734,5,FALSE),82)</f>
        <v>82</v>
      </c>
      <c r="E219" s="38">
        <f>(VLOOKUP($A219,'The List'!$B1:$AH730,17,FALSE)-AVERAGE('The List'!R2:R730))/STDEV('The List'!R2:R730)</f>
        <v>0.22680066893983331</v>
      </c>
      <c r="F219" s="38">
        <f>(VLOOKUP($A219,'The List'!$B1:$AH730,18,FALSE)-AVERAGE('The List'!S2:S730))/STDEV('The List'!S2:S730)</f>
        <v>0.30478191033045821</v>
      </c>
      <c r="G219" s="38">
        <f>(VLOOKUP($A219,'The List'!$B1:$AH730,19,FALSE)-AVERAGE('The List'!T2:T730))/STDEV('The List'!T2:T730)</f>
        <v>0.15108777481606972</v>
      </c>
      <c r="H219" s="38">
        <f>(VLOOKUP($A219,'The List'!$B1:$AH730,20,FALSE)-AVERAGE('The List'!U2:U730))/STDEV('The List'!U2:U730)</f>
        <v>0.23453430070435743</v>
      </c>
      <c r="I219" s="38">
        <f>(VLOOKUP($A219,'The List'!$B1:$AH730,21,FALSE)-AVERAGE('The List'!V2:V730))/STDEV('The List'!V2:V730)</f>
        <v>0.20766209797500926</v>
      </c>
      <c r="J219" s="38">
        <f>(VLOOKUP($A219,'The List'!$B1:$AH730,22,FALSE)-AVERAGE('The List'!W2:W730))/STDEV('The List'!W2:W730)</f>
        <v>-4.6501667522898263E-2</v>
      </c>
      <c r="K219" s="38">
        <f>(VLOOKUP($A219,'The List'!$B1:$AH730,23,FALSE)-AVERAGE('The List'!X2:X730))/STDEV('The List'!X2:X730)</f>
        <v>-0.15870182721583237</v>
      </c>
      <c r="L219" s="38">
        <f>(VLOOKUP($A219,'The List'!$B1:$AH730,24,FALSE)-AVERAGE('The List'!Y2:Y730))/STDEV('The List'!Y2:Y730)</f>
        <v>3.1757431199080455</v>
      </c>
      <c r="M219" s="38">
        <f>(VLOOKUP($A219,'The List'!$B1:$AH730,25,FALSE)-AVERAGE('The List'!Z2:Z730))/STDEV('The List'!Z2:Z730)</f>
        <v>1.8001620983188267</v>
      </c>
      <c r="N219" s="38">
        <f>(VLOOKUP($A219,'The List'!$B1:$AH730,26,FALSE)-AVERAGE('The List'!AA2:AA730))/STDEV('The List'!AA2:AA730)</f>
        <v>-3.3707200006178807E-2</v>
      </c>
      <c r="O219" s="38">
        <f>(VLOOKUP($A219,'The List'!$B1:$AH730,27,FALSE)-AVERAGE('The List'!AB2:AB730))/STDEV('The List'!AB2:AB730)</f>
        <v>-0.74348772450562417</v>
      </c>
      <c r="P219" s="38">
        <f>(VLOOKUP($A219,'The List'!$B1:$AH730,28,FALSE)-AVERAGE('The List'!AC2:AC730))/STDEV('The List'!AC2:AC730)</f>
        <v>6.5570196204676398E-2</v>
      </c>
      <c r="Q219" s="38">
        <f>(VLOOKUP($A219,'The List'!$B1:$AH730,29,FALSE)-AVERAGE('The List'!AD2:AD730))/STDEV('The List'!AD2:AD730)</f>
        <v>0.16306575913700122</v>
      </c>
      <c r="R219" s="38">
        <f>(VLOOKUP($A219,'The List'!$B1:$AH730,30,FALSE)-AVERAGE('The List'!AE2:AE730))/STDEV('The List'!AE2:AE730)</f>
        <v>0.45524757063966304</v>
      </c>
      <c r="S219" s="38">
        <f>(VLOOKUP($A219,'The List'!$B1:$AH730,31,FALSE)-AVERAGE('The List'!AF2:AF730))/STDEV('The List'!AF2:AF730)</f>
        <v>1.9805815856381059</v>
      </c>
      <c r="T219" s="38">
        <f>(VLOOKUP($A219,'The List'!$B1:$AH730,32,FALSE)-AVERAGE('The List'!AG2:AG730))/STDEV('The List'!AG2:AG730)</f>
        <v>2.1993718532965252</v>
      </c>
      <c r="U219" s="38">
        <f>(VLOOKUP($A219,'The List'!$B1:$AH730,33,FALSE)-AVERAGE('The List'!AH2:AH730))/STDEV('The List'!AH2:AH730)</f>
        <v>0.96607098281997228</v>
      </c>
      <c r="V219" s="38"/>
      <c r="W219" s="40"/>
      <c r="X219" s="38"/>
      <c r="Y219" s="38"/>
      <c r="Z219" s="38"/>
      <c r="AA219" s="38"/>
      <c r="AB219" s="38"/>
      <c r="AC219" s="38"/>
      <c r="AD219" s="38"/>
      <c r="AE219" s="38"/>
    </row>
    <row r="220" spans="1:31" ht="21.2" customHeight="1">
      <c r="A220" s="8" t="s">
        <v>501</v>
      </c>
      <c r="B220" s="34" t="str">
        <f>VLOOKUP(A220,'Player Data'!A1:B734,2,FALSE)</f>
        <v>PHI</v>
      </c>
      <c r="C220" s="36">
        <f>((E220)*Settings!$C$12)+(F220*Settings!$C$2)+(G220*Settings!$C$3)+(H220*Settings!$C$4)+(I220*Settings!$C$5)+(K220*Settings!$C$9)+(N220*Settings!$C$6)+(J220*Settings!$C$8)+(O220*Settings!$C$7)+(P220*Settings!$C$14)+(Q220*Settings!$C$15)+(R220*Settings!$C$16)+(S220*Settings!$C$17)+(T220*Settings!$C$18)+(U220*Settings!$C$19)+(L220*Settings!$C$10)+(Settings!$C$11*M220)</f>
        <v>0.68763210299067468</v>
      </c>
      <c r="D220" s="40">
        <f>IF(Settings!$E$12="YES",VLOOKUP(A220,'Player Data'!A1:E734,5,FALSE),82)</f>
        <v>82</v>
      </c>
      <c r="E220" s="38">
        <f>(VLOOKUP($A220,'The List'!$B1:$AH730,17,FALSE)-AVERAGE('The List'!R2:R730))/STDEV('The List'!R2:R730)</f>
        <v>-9.416180474017978E-2</v>
      </c>
      <c r="F220" s="38">
        <f>(VLOOKUP($A220,'The List'!$B1:$AH730,18,FALSE)-AVERAGE('The List'!S2:S730))/STDEV('The List'!S2:S730)</f>
        <v>0.29856274313874542</v>
      </c>
      <c r="G220" s="38">
        <f>(VLOOKUP($A220,'The List'!$B1:$AH730,19,FALSE)-AVERAGE('The List'!T2:T730))/STDEV('The List'!T2:T730)</f>
        <v>0.15352392567633702</v>
      </c>
      <c r="H220" s="38">
        <f>(VLOOKUP($A220,'The List'!$B1:$AH730,20,FALSE)-AVERAGE('The List'!U2:U730))/STDEV('The List'!U2:U730)</f>
        <v>0.23314028754137817</v>
      </c>
      <c r="I220" s="38">
        <f>(VLOOKUP($A220,'The List'!$B1:$AH730,21,FALSE)-AVERAGE('The List'!V2:V730))/STDEV('The List'!V2:V730)</f>
        <v>0.18605437618043924</v>
      </c>
      <c r="J220" s="38">
        <f>(VLOOKUP($A220,'The List'!$B1:$AH730,22,FALSE)-AVERAGE('The List'!W2:W730))/STDEV('The List'!W2:W730)</f>
        <v>-0.20375435929627336</v>
      </c>
      <c r="K220" s="38">
        <f>(VLOOKUP($A220,'The List'!$B1:$AH730,23,FALSE)-AVERAGE('The List'!X2:X730))/STDEV('The List'!X2:X730)</f>
        <v>-0.18364922954622509</v>
      </c>
      <c r="L220" s="38">
        <f>(VLOOKUP($A220,'The List'!$B1:$AH730,24,FALSE)-AVERAGE('The List'!Y2:Y730))/STDEV('The List'!Y2:Y730)</f>
        <v>-0.38596783336631996</v>
      </c>
      <c r="M220" s="38">
        <f>(VLOOKUP($A220,'The List'!$B1:$AH730,25,FALSE)-AVERAGE('The List'!Z2:Z730))/STDEV('The List'!Z2:Z730)</f>
        <v>-0.52865321605811844</v>
      </c>
      <c r="N220" s="38">
        <f>(VLOOKUP($A220,'The List'!$B1:$AH730,26,FALSE)-AVERAGE('The List'!AA2:AA730))/STDEV('The List'!AA2:AA730)</f>
        <v>-0.36996423288894031</v>
      </c>
      <c r="O220" s="38">
        <f>(VLOOKUP($A220,'The List'!$B1:$AH730,27,FALSE)-AVERAGE('The List'!AB2:AB730))/STDEV('The List'!AB2:AB730)</f>
        <v>-0.38698012499099038</v>
      </c>
      <c r="P220" s="38">
        <f>(VLOOKUP($A220,'The List'!$B1:$AH730,28,FALSE)-AVERAGE('The List'!AC2:AC730))/STDEV('The List'!AC2:AC730)</f>
        <v>-1.3285512726041704</v>
      </c>
      <c r="Q220" s="38">
        <f>(VLOOKUP($A220,'The List'!$B1:$AH730,29,FALSE)-AVERAGE('The List'!AD2:AD730))/STDEV('The List'!AD2:AD730)</f>
        <v>-0.55868580927545186</v>
      </c>
      <c r="R220" s="38">
        <f>(VLOOKUP($A220,'The List'!$B1:$AH730,30,FALSE)-AVERAGE('The List'!AE2:AE730))/STDEV('The List'!AE2:AE730)</f>
        <v>2.5633843409711587E-2</v>
      </c>
      <c r="S220" s="38">
        <f>(VLOOKUP($A220,'The List'!$B1:$AH730,31,FALSE)-AVERAGE('The List'!AF2:AF730))/STDEV('The List'!AF2:AF730)</f>
        <v>1.4818666404138141</v>
      </c>
      <c r="T220" s="38">
        <f>(VLOOKUP($A220,'The List'!$B1:$AH730,32,FALSE)-AVERAGE('The List'!AG2:AG730))/STDEV('The List'!AG2:AG730)</f>
        <v>1.8449713423526333</v>
      </c>
      <c r="U220" s="38">
        <f>(VLOOKUP($A220,'The List'!$B1:$AH730,33,FALSE)-AVERAGE('The List'!AH2:AH730))/STDEV('The List'!AH2:AH730)</f>
        <v>0.87248308751701631</v>
      </c>
      <c r="V220" s="38"/>
      <c r="W220" s="42"/>
      <c r="X220" s="40"/>
      <c r="Y220" s="40"/>
      <c r="Z220" s="40"/>
      <c r="AA220" s="40"/>
      <c r="AB220" s="40"/>
      <c r="AC220" s="43"/>
      <c r="AD220" s="44"/>
      <c r="AE220" s="38"/>
    </row>
    <row r="221" spans="1:31" ht="21.2" customHeight="1">
      <c r="A221" s="8" t="s">
        <v>338</v>
      </c>
      <c r="B221" s="34" t="str">
        <f>VLOOKUP(A221,'Player Data'!A1:B734,2,FALSE)</f>
        <v>LAK</v>
      </c>
      <c r="C221" s="36">
        <f>((E221)*Settings!$C$12)+(F221*Settings!$C$2)+(G221*Settings!$C$3)+(H221*Settings!$C$4)+(I221*Settings!$C$5)+(K221*Settings!$C$9)+(N221*Settings!$C$6)+(J221*Settings!$C$8)+(O221*Settings!$C$7)+(P221*Settings!$C$14)+(Q221*Settings!$C$15)+(R221*Settings!$C$16)+(S221*Settings!$C$17)+(T221*Settings!$C$18)+(U221*Settings!$C$19)+(L221*Settings!$C$10)+(Settings!$C$11*M221)</f>
        <v>1.532331179249053</v>
      </c>
      <c r="D221" s="40">
        <f>IF(Settings!$E$12="YES",VLOOKUP(A221,'Player Data'!A1:E734,5,FALSE),82)</f>
        <v>82</v>
      </c>
      <c r="E221" s="38">
        <f>(VLOOKUP($A221,'The List'!$B1:$AH730,17,FALSE)-AVERAGE('The List'!R2:R730))/STDEV('The List'!R2:R730)</f>
        <v>1.7081325137806686E-3</v>
      </c>
      <c r="F221" s="38">
        <f>(VLOOKUP($A221,'The List'!$B1:$AH730,18,FALSE)-AVERAGE('The List'!S2:S730))/STDEV('The List'!S2:S730)</f>
        <v>0.14113148359744698</v>
      </c>
      <c r="G221" s="38">
        <f>(VLOOKUP($A221,'The List'!$B1:$AH730,19,FALSE)-AVERAGE('The List'!T2:T730))/STDEV('The List'!T2:T730)</f>
        <v>0.24212856446156872</v>
      </c>
      <c r="H221" s="38">
        <f>(VLOOKUP($A221,'The List'!$B1:$AH730,20,FALSE)-AVERAGE('The List'!U2:U730))/STDEV('The List'!U2:U730)</f>
        <v>0.21440576167668521</v>
      </c>
      <c r="I221" s="38">
        <f>(VLOOKUP($A221,'The List'!$B1:$AH730,21,FALSE)-AVERAGE('The List'!V2:V730))/STDEV('The List'!V2:V730)</f>
        <v>0.99875286384901529</v>
      </c>
      <c r="J221" s="38">
        <f>(VLOOKUP($A221,'The List'!$B1:$AH730,22,FALSE)-AVERAGE('The List'!W2:W730))/STDEV('The List'!W2:W730)</f>
        <v>-4.3417159981551399E-2</v>
      </c>
      <c r="K221" s="38">
        <f>(VLOOKUP($A221,'The List'!$B1:$AH730,23,FALSE)-AVERAGE('The List'!X2:X730))/STDEV('The List'!X2:X730)</f>
        <v>-6.4087494335663353E-2</v>
      </c>
      <c r="L221" s="38">
        <f>(VLOOKUP($A221,'The List'!$B1:$AH730,24,FALSE)-AVERAGE('The List'!Y2:Y730))/STDEV('The List'!Y2:Y730)</f>
        <v>3.9114241961516605</v>
      </c>
      <c r="M221" s="38">
        <f>(VLOOKUP($A221,'The List'!$B1:$AH730,25,FALSE)-AVERAGE('The List'!Z2:Z730))/STDEV('The List'!Z2:Z730)</f>
        <v>3.076513412659311</v>
      </c>
      <c r="N221" s="38">
        <f>(VLOOKUP($A221,'The List'!$B1:$AH730,26,FALSE)-AVERAGE('The List'!AA2:AA730))/STDEV('The List'!AA2:AA730)</f>
        <v>-0.78423121073782898</v>
      </c>
      <c r="O221" s="38">
        <f>(VLOOKUP($A221,'The List'!$B1:$AH730,27,FALSE)-AVERAGE('The List'!AB2:AB730))/STDEV('The List'!AB2:AB730)</f>
        <v>-0.42298348481560244</v>
      </c>
      <c r="P221" s="38">
        <f>(VLOOKUP($A221,'The List'!$B1:$AH730,28,FALSE)-AVERAGE('The List'!AC2:AC730))/STDEV('The List'!AC2:AC730)</f>
        <v>-3.2375360189389889E-3</v>
      </c>
      <c r="Q221" s="38">
        <f>(VLOOKUP($A221,'The List'!$B1:$AH730,29,FALSE)-AVERAGE('The List'!AD2:AD730))/STDEV('The List'!AD2:AD730)</f>
        <v>-0.67657762165030477</v>
      </c>
      <c r="R221" s="38">
        <f>(VLOOKUP($A221,'The List'!$B1:$AH730,30,FALSE)-AVERAGE('The List'!AE2:AE730))/STDEV('The List'!AE2:AE730)</f>
        <v>0.20541414728125373</v>
      </c>
      <c r="S221" s="38">
        <f>(VLOOKUP($A221,'The List'!$B1:$AH730,31,FALSE)-AVERAGE('The List'!AF2:AF730))/STDEV('The List'!AF2:AF730)</f>
        <v>-0.47739282418149565</v>
      </c>
      <c r="T221" s="38">
        <f>(VLOOKUP($A221,'The List'!$B1:$AH730,32,FALSE)-AVERAGE('The List'!AG2:AG730))/STDEV('The List'!AG2:AG730)</f>
        <v>-0.45695679741051687</v>
      </c>
      <c r="U221" s="38">
        <f>(VLOOKUP($A221,'The List'!$B1:$AH730,33,FALSE)-AVERAGE('The List'!AH2:AH730))/STDEV('The List'!AH2:AH730)</f>
        <v>0.47372312804600664</v>
      </c>
      <c r="V221" s="38"/>
      <c r="W221" s="40"/>
      <c r="X221" s="38"/>
      <c r="Y221" s="38"/>
      <c r="Z221" s="38"/>
      <c r="AA221" s="38"/>
      <c r="AB221" s="38"/>
      <c r="AC221" s="38"/>
      <c r="AD221" s="38"/>
      <c r="AE221" s="38"/>
    </row>
    <row r="222" spans="1:31" ht="21.2" customHeight="1">
      <c r="A222" s="8" t="s">
        <v>273</v>
      </c>
      <c r="B222" s="34" t="str">
        <f>VLOOKUP(A222,'Player Data'!A1:B734,2,FALSE)</f>
        <v>FLA</v>
      </c>
      <c r="C222" s="36">
        <f>((E222)*Settings!$C$12)+(F222*Settings!$C$2)+(G222*Settings!$C$3)+(H222*Settings!$C$4)+(I222*Settings!$C$5)+(K222*Settings!$C$9)+(N222*Settings!$C$6)+(J222*Settings!$C$8)+(O222*Settings!$C$7)+(P222*Settings!$C$14)+(Q222*Settings!$C$15)+(R222*Settings!$C$16)+(S222*Settings!$C$17)+(T222*Settings!$C$18)+(U222*Settings!$C$19)+(L222*Settings!$C$10)+(Settings!$C$11*M222)</f>
        <v>1.9666695015994498</v>
      </c>
      <c r="D222" s="40">
        <f>IF(Settings!$E$12="YES",VLOOKUP(A222,'Player Data'!A1:E734,5,FALSE),82)</f>
        <v>82</v>
      </c>
      <c r="E222" s="38">
        <f>(VLOOKUP($A222,'The List'!$B1:$AH730,17,FALSE)-AVERAGE('The List'!R2:R730))/STDEV('The List'!R2:R730)</f>
        <v>1.3780623407906196</v>
      </c>
      <c r="F222" s="38">
        <f>(VLOOKUP($A222,'The List'!$B1:$AH730,18,FALSE)-AVERAGE('The List'!S2:S730))/STDEV('The List'!S2:S730)</f>
        <v>-2.0174104131568435E-2</v>
      </c>
      <c r="G222" s="38">
        <f>(VLOOKUP($A222,'The List'!$B1:$AH730,19,FALSE)-AVERAGE('The List'!T2:T730))/STDEV('The List'!T2:T730)</f>
        <v>0.3569821384993021</v>
      </c>
      <c r="H222" s="38">
        <f>(VLOOKUP($A222,'The List'!$B1:$AH730,20,FALSE)-AVERAGE('The List'!U2:U730))/STDEV('The List'!U2:U730)</f>
        <v>0.21000116803384555</v>
      </c>
      <c r="I222" s="38">
        <f>(VLOOKUP($A222,'The List'!$B1:$AH730,21,FALSE)-AVERAGE('The List'!V2:V730))/STDEV('The List'!V2:V730)</f>
        <v>0.9937295968462232</v>
      </c>
      <c r="J222" s="38">
        <f>(VLOOKUP($A222,'The List'!$B1:$AH730,22,FALSE)-AVERAGE('The List'!W2:W730))/STDEV('The List'!W2:W730)</f>
        <v>0.37332945494312586</v>
      </c>
      <c r="K222" s="38">
        <f>(VLOOKUP($A222,'The List'!$B1:$AH730,23,FALSE)-AVERAGE('The List'!X2:X730))/STDEV('The List'!X2:X730)</f>
        <v>0.42613070235164746</v>
      </c>
      <c r="L222" s="38">
        <f>(VLOOKUP($A222,'The List'!$B1:$AH730,24,FALSE)-AVERAGE('The List'!Y2:Y730))/STDEV('The List'!Y2:Y730)</f>
        <v>0.37341611411788722</v>
      </c>
      <c r="M222" s="38">
        <f>(VLOOKUP($A222,'The List'!$B1:$AH730,25,FALSE)-AVERAGE('The List'!Z2:Z730))/STDEV('The List'!Z2:Z730)</f>
        <v>0.93957308227239322</v>
      </c>
      <c r="N222" s="38">
        <f>(VLOOKUP($A222,'The List'!$B1:$AH730,26,FALSE)-AVERAGE('The List'!AA2:AA730))/STDEV('The List'!AA2:AA730)</f>
        <v>0.79820592523295286</v>
      </c>
      <c r="O222" s="38">
        <f>(VLOOKUP($A222,'The List'!$B1:$AH730,27,FALSE)-AVERAGE('The List'!AB2:AB730))/STDEV('The List'!AB2:AB730)</f>
        <v>-0.19156844428380032</v>
      </c>
      <c r="P222" s="38">
        <f>(VLOOKUP($A222,'The List'!$B1:$AH730,28,FALSE)-AVERAGE('The List'!AC2:AC730))/STDEV('The List'!AC2:AC730)</f>
        <v>0.5147636453833373</v>
      </c>
      <c r="Q222" s="38">
        <f>(VLOOKUP($A222,'The List'!$B1:$AH730,29,FALSE)-AVERAGE('The List'!AD2:AD730))/STDEV('The List'!AD2:AD730)</f>
        <v>1.095334137324868</v>
      </c>
      <c r="R222" s="38">
        <f>(VLOOKUP($A222,'The List'!$B1:$AH730,30,FALSE)-AVERAGE('The List'!AE2:AE730))/STDEV('The List'!AE2:AE730)</f>
        <v>9.3716205002804722E-3</v>
      </c>
      <c r="S222" s="38">
        <f>(VLOOKUP($A222,'The List'!$B1:$AH730,31,FALSE)-AVERAGE('The List'!AF2:AF730))/STDEV('The List'!AF2:AF730)</f>
        <v>-0.56911587195029545</v>
      </c>
      <c r="T222" s="38">
        <f>(VLOOKUP($A222,'The List'!$B1:$AH730,32,FALSE)-AVERAGE('The List'!AG2:AG730))/STDEV('The List'!AG2:AG730)</f>
        <v>-0.61510119871956948</v>
      </c>
      <c r="U222" s="38">
        <f>(VLOOKUP($A222,'The List'!$B1:$AH730,33,FALSE)-AVERAGE('The List'!AH2:AH730))/STDEV('The List'!AH2:AH730)</f>
        <v>-1.2363238714825984</v>
      </c>
      <c r="V222" s="38"/>
      <c r="W222" s="40"/>
      <c r="X222" s="38"/>
      <c r="Y222" s="38"/>
      <c r="Z222" s="38"/>
      <c r="AA222" s="38"/>
      <c r="AB222" s="38"/>
      <c r="AC222" s="38"/>
      <c r="AD222" s="38"/>
      <c r="AE222" s="38"/>
    </row>
    <row r="223" spans="1:31" ht="21.2" customHeight="1">
      <c r="A223" s="8" t="s">
        <v>545</v>
      </c>
      <c r="B223" s="34" t="str">
        <f>VLOOKUP(A223,'Player Data'!A1:B734,2,FALSE)</f>
        <v>MTL</v>
      </c>
      <c r="C223" s="36">
        <f>((E223)*Settings!$C$12)+(F223*Settings!$C$2)+(G223*Settings!$C$3)+(H223*Settings!$C$4)+(I223*Settings!$C$5)+(K223*Settings!$C$9)+(N223*Settings!$C$6)+(J223*Settings!$C$8)+(O223*Settings!$C$7)+(P223*Settings!$C$14)+(Q223*Settings!$C$15)+(R223*Settings!$C$16)+(S223*Settings!$C$17)+(T223*Settings!$C$18)+(U223*Settings!$C$19)+(L223*Settings!$C$10)+(Settings!$C$11*M223)</f>
        <v>0.17106985975741568</v>
      </c>
      <c r="D223" s="40">
        <f>IF(Settings!$E$12="YES",VLOOKUP(A223,'Player Data'!A1:E734,5,FALSE),82)</f>
        <v>82</v>
      </c>
      <c r="E223" s="38">
        <f>(VLOOKUP($A223,'The List'!$B1:$AH730,17,FALSE)-AVERAGE('The List'!R2:R730))/STDEV('The List'!R2:R730)</f>
        <v>-0.25413144406481813</v>
      </c>
      <c r="F223" s="38">
        <f>(VLOOKUP($A223,'The List'!$B1:$AH730,18,FALSE)-AVERAGE('The List'!S2:S730))/STDEV('The List'!S2:S730)</f>
        <v>1.0444113880779988</v>
      </c>
      <c r="G223" s="38">
        <f>(VLOOKUP($A223,'The List'!$B1:$AH730,19,FALSE)-AVERAGE('The List'!T2:T730))/STDEV('The List'!T2:T730)</f>
        <v>-0.45762398557058825</v>
      </c>
      <c r="H223" s="38">
        <f>(VLOOKUP($A223,'The List'!$B1:$AH730,20,FALSE)-AVERAGE('The List'!U2:U730))/STDEV('The List'!U2:U730)</f>
        <v>0.2042908467560153</v>
      </c>
      <c r="I223" s="38">
        <f>(VLOOKUP($A223,'The List'!$B1:$AH730,21,FALSE)-AVERAGE('The List'!V2:V730))/STDEV('The List'!V2:V730)</f>
        <v>-0.27722190109546357</v>
      </c>
      <c r="J223" s="38">
        <f>(VLOOKUP($A223,'The List'!$B1:$AH730,22,FALSE)-AVERAGE('The List'!W2:W730))/STDEV('The List'!W2:W730)</f>
        <v>0.16631995644518249</v>
      </c>
      <c r="K223" s="38">
        <f>(VLOOKUP($A223,'The List'!$B1:$AH730,23,FALSE)-AVERAGE('The List'!X2:X730))/STDEV('The List'!X2:X730)</f>
        <v>-0.34278648841054665</v>
      </c>
      <c r="L223" s="38">
        <f>(VLOOKUP($A223,'The List'!$B1:$AH730,24,FALSE)-AVERAGE('The List'!Y2:Y730))/STDEV('The List'!Y2:Y730)</f>
        <v>1.7895671199074252</v>
      </c>
      <c r="M223" s="38">
        <f>(VLOOKUP($A223,'The List'!$B1:$AH730,25,FALSE)-AVERAGE('The List'!Z2:Z730))/STDEV('The List'!Z2:Z730)</f>
        <v>1.0349454060535914</v>
      </c>
      <c r="N223" s="38">
        <f>(VLOOKUP($A223,'The List'!$B1:$AH730,26,FALSE)-AVERAGE('The List'!AA2:AA730))/STDEV('The List'!AA2:AA730)</f>
        <v>0.75379789178452805</v>
      </c>
      <c r="O223" s="38">
        <f>(VLOOKUP($A223,'The List'!$B1:$AH730,27,FALSE)-AVERAGE('The List'!AB2:AB730))/STDEV('The List'!AB2:AB730)</f>
        <v>0.41290556936309197</v>
      </c>
      <c r="P223" s="38">
        <f>(VLOOKUP($A223,'The List'!$B1:$AH730,28,FALSE)-AVERAGE('The List'!AC2:AC730))/STDEV('The List'!AC2:AC730)</f>
        <v>-1.3768307893938372</v>
      </c>
      <c r="Q223" s="38">
        <f>(VLOOKUP($A223,'The List'!$B1:$AH730,29,FALSE)-AVERAGE('The List'!AD2:AD730))/STDEV('The List'!AD2:AD730)</f>
        <v>-0.56458857441176602</v>
      </c>
      <c r="R223" s="38">
        <f>(VLOOKUP($A223,'The List'!$B1:$AH730,30,FALSE)-AVERAGE('The List'!AE2:AE730))/STDEV('The List'!AE2:AE730)</f>
        <v>0.3590923516113968</v>
      </c>
      <c r="S223" s="38">
        <f>(VLOOKUP($A223,'The List'!$B1:$AH730,31,FALSE)-AVERAGE('The List'!AF2:AF730))/STDEV('The List'!AF2:AF730)</f>
        <v>-0.56911587195029545</v>
      </c>
      <c r="T223" s="38">
        <f>(VLOOKUP($A223,'The List'!$B1:$AH730,32,FALSE)-AVERAGE('The List'!AG2:AG730))/STDEV('The List'!AG2:AG730)</f>
        <v>-0.60240409693389541</v>
      </c>
      <c r="U223" s="38">
        <f>(VLOOKUP($A223,'The List'!$B1:$AH730,33,FALSE)-AVERAGE('The List'!AH2:AH730))/STDEV('The List'!AH2:AH730)</f>
        <v>-1.2363238714825984</v>
      </c>
      <c r="V223" s="38"/>
      <c r="W223" s="40"/>
      <c r="X223" s="40"/>
      <c r="Y223" s="40"/>
      <c r="Z223" s="40"/>
      <c r="AA223" s="40"/>
      <c r="AB223" s="40"/>
      <c r="AC223" s="43"/>
      <c r="AD223" s="44"/>
      <c r="AE223" s="38"/>
    </row>
    <row r="224" spans="1:31" ht="21.2" customHeight="1">
      <c r="A224" s="8" t="s">
        <v>388</v>
      </c>
      <c r="B224" s="34" t="str">
        <f>VLOOKUP(A224,'Player Data'!A1:B734,2,FALSE)</f>
        <v>PHI</v>
      </c>
      <c r="C224" s="36">
        <f>((E224)*Settings!$C$12)+(F224*Settings!$C$2)+(G224*Settings!$C$3)+(H224*Settings!$C$4)+(I224*Settings!$C$5)+(K224*Settings!$C$9)+(N224*Settings!$C$6)+(J224*Settings!$C$8)+(O224*Settings!$C$7)+(P224*Settings!$C$14)+(Q224*Settings!$C$15)+(R224*Settings!$C$16)+(S224*Settings!$C$17)+(T224*Settings!$C$18)+(U224*Settings!$C$19)+(L224*Settings!$C$10)+(Settings!$C$11*M224)</f>
        <v>0.92653645545850416</v>
      </c>
      <c r="D224" s="40">
        <f>IF(Settings!$E$12="YES",VLOOKUP(A224,'Player Data'!A1:E734,5,FALSE),82)</f>
        <v>82</v>
      </c>
      <c r="E224" s="38">
        <f>(VLOOKUP($A224,'The List'!$B1:$AH730,17,FALSE)-AVERAGE('The List'!R2:R730))/STDEV('The List'!R2:R730)</f>
        <v>0.31680658292333658</v>
      </c>
      <c r="F224" s="38">
        <f>(VLOOKUP($A224,'The List'!$B1:$AH730,18,FALSE)-AVERAGE('The List'!S2:S730))/STDEV('The List'!S2:S730)</f>
        <v>0.31233248135402047</v>
      </c>
      <c r="G224" s="38">
        <f>(VLOOKUP($A224,'The List'!$B1:$AH730,19,FALSE)-AVERAGE('The List'!T2:T730))/STDEV('The List'!T2:T730)</f>
        <v>6.6161998526273816E-2</v>
      </c>
      <c r="H224" s="38">
        <f>(VLOOKUP($A224,'The List'!$B1:$AH730,20,FALSE)-AVERAGE('The List'!U2:U730))/STDEV('The List'!U2:U730)</f>
        <v>0.18585412796533443</v>
      </c>
      <c r="I224" s="38">
        <f>(VLOOKUP($A224,'The List'!$B1:$AH730,21,FALSE)-AVERAGE('The List'!V2:V730))/STDEV('The List'!V2:V730)</f>
        <v>0.41372112879553669</v>
      </c>
      <c r="J224" s="38">
        <f>(VLOOKUP($A224,'The List'!$B1:$AH730,22,FALSE)-AVERAGE('The List'!W2:W730))/STDEV('The List'!W2:W730)</f>
        <v>0.3379533577631616</v>
      </c>
      <c r="K224" s="38">
        <f>(VLOOKUP($A224,'The List'!$B1:$AH730,23,FALSE)-AVERAGE('The List'!X2:X730))/STDEV('The List'!X2:X730)</f>
        <v>-5.1533281182661227E-2</v>
      </c>
      <c r="L224" s="38">
        <f>(VLOOKUP($A224,'The List'!$B1:$AH730,24,FALSE)-AVERAGE('The List'!Y2:Y730))/STDEV('The List'!Y2:Y730)</f>
        <v>3.5666907269297035</v>
      </c>
      <c r="M224" s="38">
        <f>(VLOOKUP($A224,'The List'!$B1:$AH730,25,FALSE)-AVERAGE('The List'!Z2:Z730))/STDEV('The List'!Z2:Z730)</f>
        <v>4.0821525283728892</v>
      </c>
      <c r="N224" s="38">
        <f>(VLOOKUP($A224,'The List'!$B1:$AH730,26,FALSE)-AVERAGE('The List'!AA2:AA730))/STDEV('The List'!AA2:AA730)</f>
        <v>-0.2183643507287869</v>
      </c>
      <c r="O224" s="38">
        <f>(VLOOKUP($A224,'The List'!$B1:$AH730,27,FALSE)-AVERAGE('The List'!AB2:AB730))/STDEV('The List'!AB2:AB730)</f>
        <v>1.1273854129211323</v>
      </c>
      <c r="P224" s="38">
        <f>(VLOOKUP($A224,'The List'!$B1:$AH730,28,FALSE)-AVERAGE('The List'!AC2:AC730))/STDEV('The List'!AC2:AC730)</f>
        <v>-1.4883946743298406</v>
      </c>
      <c r="Q224" s="38">
        <f>(VLOOKUP($A224,'The List'!$B1:$AH730,29,FALSE)-AVERAGE('The List'!AD2:AD730))/STDEV('The List'!AD2:AD730)</f>
        <v>0.55542598999314474</v>
      </c>
      <c r="R224" s="38">
        <f>(VLOOKUP($A224,'The List'!$B1:$AH730,30,FALSE)-AVERAGE('The List'!AE2:AE730))/STDEV('The List'!AE2:AE730)</f>
        <v>3.6174264070118901E-2</v>
      </c>
      <c r="S224" s="38">
        <f>(VLOOKUP($A224,'The List'!$B1:$AH730,31,FALSE)-AVERAGE('The List'!AF2:AF730))/STDEV('The List'!AF2:AF730)</f>
        <v>1.8451562778050161</v>
      </c>
      <c r="T224" s="38">
        <f>(VLOOKUP($A224,'The List'!$B1:$AH730,32,FALSE)-AVERAGE('The List'!AG2:AG730))/STDEV('The List'!AG2:AG730)</f>
        <v>2.0466256580739386</v>
      </c>
      <c r="U224" s="38">
        <f>(VLOOKUP($A224,'The List'!$B1:$AH730,33,FALSE)-AVERAGE('The List'!AH2:AH730))/STDEV('The List'!AH2:AH730)</f>
        <v>0.96745113652253478</v>
      </c>
      <c r="V224" s="38"/>
      <c r="W224" s="42"/>
      <c r="X224" s="40"/>
      <c r="Y224" s="40"/>
      <c r="Z224" s="40"/>
      <c r="AA224" s="40"/>
      <c r="AB224" s="40"/>
      <c r="AC224" s="43"/>
      <c r="AD224" s="44"/>
      <c r="AE224" s="38"/>
    </row>
    <row r="225" spans="1:31" ht="21.2" customHeight="1">
      <c r="A225" s="8" t="s">
        <v>648</v>
      </c>
      <c r="B225" s="34" t="str">
        <f>VLOOKUP(A225,'Player Data'!A1:B734,2,FALSE)</f>
        <v>BUF</v>
      </c>
      <c r="C225" s="36">
        <f>((E225)*Settings!$C$12)+(F225*Settings!$C$2)+(G225*Settings!$C$3)+(H225*Settings!$C$4)+(I225*Settings!$C$5)+(K225*Settings!$C$9)+(N225*Settings!$C$6)+(J225*Settings!$C$8)+(O225*Settings!$C$7)+(P225*Settings!$C$14)+(Q225*Settings!$C$15)+(R225*Settings!$C$16)+(S225*Settings!$C$17)+(T225*Settings!$C$18)+(U225*Settings!$C$19)+(L225*Settings!$C$10)+(Settings!$C$11*M225)</f>
        <v>0.45010488439175816</v>
      </c>
      <c r="D225" s="40">
        <f>IF(Settings!$E$12="YES",VLOOKUP(A225,'Player Data'!A1:E734,5,FALSE),82)</f>
        <v>82</v>
      </c>
      <c r="E225" s="38">
        <f>(VLOOKUP($A225,'The List'!$B1:$AH730,17,FALSE)-AVERAGE('The List'!R2:R730))/STDEV('The List'!R2:R730)</f>
        <v>-0.64936842608552758</v>
      </c>
      <c r="F225" s="38">
        <f>(VLOOKUP($A225,'The List'!$B1:$AH730,18,FALSE)-AVERAGE('The List'!S2:S730))/STDEV('The List'!S2:S730)</f>
        <v>0.269715912620278</v>
      </c>
      <c r="G225" s="38">
        <f>(VLOOKUP($A225,'The List'!$B1:$AH730,19,FALSE)-AVERAGE('The List'!T2:T730))/STDEV('The List'!T2:T730)</f>
        <v>9.3819117215335326E-2</v>
      </c>
      <c r="H225" s="38">
        <f>(VLOOKUP($A225,'The List'!$B1:$AH730,20,FALSE)-AVERAGE('The List'!U2:U730))/STDEV('The List'!U2:U730)</f>
        <v>0.18303921779990165</v>
      </c>
      <c r="I225" s="38">
        <f>(VLOOKUP($A225,'The List'!$B1:$AH730,21,FALSE)-AVERAGE('The List'!V2:V730))/STDEV('The List'!V2:V730)</f>
        <v>8.5934053279725212E-2</v>
      </c>
      <c r="J225" s="38">
        <f>(VLOOKUP($A225,'The List'!$B1:$AH730,22,FALSE)-AVERAGE('The List'!W2:W730))/STDEV('The List'!W2:W730)</f>
        <v>-0.16425567066692778</v>
      </c>
      <c r="K225" s="38">
        <f>(VLOOKUP($A225,'The List'!$B1:$AH730,23,FALSE)-AVERAGE('The List'!X2:X730))/STDEV('The List'!X2:X730)</f>
        <v>-0.18240341652348208</v>
      </c>
      <c r="L225" s="38">
        <f>(VLOOKUP($A225,'The List'!$B1:$AH730,24,FALSE)-AVERAGE('The List'!Y2:Y730))/STDEV('The List'!Y2:Y730)</f>
        <v>-0.41133193046358185</v>
      </c>
      <c r="M225" s="38">
        <f>(VLOOKUP($A225,'The List'!$B1:$AH730,25,FALSE)-AVERAGE('The List'!Z2:Z730))/STDEV('The List'!Z2:Z730)</f>
        <v>-0.29401171398309961</v>
      </c>
      <c r="N225" s="38">
        <f>(VLOOKUP($A225,'The List'!$B1:$AH730,26,FALSE)-AVERAGE('The List'!AA2:AA730))/STDEV('The List'!AA2:AA730)</f>
        <v>-0.95398822400728223</v>
      </c>
      <c r="O225" s="38">
        <f>(VLOOKUP($A225,'The List'!$B1:$AH730,27,FALSE)-AVERAGE('The List'!AB2:AB730))/STDEV('The List'!AB2:AB730)</f>
        <v>-0.82090990603807412</v>
      </c>
      <c r="P225" s="38">
        <f>(VLOOKUP($A225,'The List'!$B1:$AH730,28,FALSE)-AVERAGE('The List'!AC2:AC730))/STDEV('The List'!AC2:AC730)</f>
        <v>-0.27359819864494334</v>
      </c>
      <c r="Q225" s="38">
        <f>(VLOOKUP($A225,'The List'!$B1:$AH730,29,FALSE)-AVERAGE('The List'!AD2:AD730))/STDEV('The List'!AD2:AD730)</f>
        <v>-0.91234939369286938</v>
      </c>
      <c r="R225" s="38">
        <f>(VLOOKUP($A225,'The List'!$B1:$AH730,30,FALSE)-AVERAGE('The List'!AE2:AE730))/STDEV('The List'!AE2:AE730)</f>
        <v>0.11538711363279273</v>
      </c>
      <c r="S225" s="38">
        <f>(VLOOKUP($A225,'The List'!$B1:$AH730,31,FALSE)-AVERAGE('The List'!AF2:AF730))/STDEV('The List'!AF2:AF730)</f>
        <v>-0.51344070970470868</v>
      </c>
      <c r="T225" s="38">
        <f>(VLOOKUP($A225,'The List'!$B1:$AH730,32,FALSE)-AVERAGE('The List'!AG2:AG730))/STDEV('The List'!AG2:AG730)</f>
        <v>-0.49394378023091551</v>
      </c>
      <c r="U225" s="38">
        <f>(VLOOKUP($A225,'The List'!$B1:$AH730,33,FALSE)-AVERAGE('The List'!AH2:AH730))/STDEV('The List'!AH2:AH730)</f>
        <v>0.23418490893538152</v>
      </c>
      <c r="V225" s="38"/>
      <c r="W225" s="42"/>
      <c r="X225" s="40"/>
      <c r="Y225" s="40"/>
      <c r="Z225" s="40"/>
      <c r="AA225" s="40"/>
      <c r="AB225" s="40"/>
      <c r="AC225" s="43"/>
      <c r="AD225" s="44"/>
      <c r="AE225" s="38"/>
    </row>
    <row r="226" spans="1:31" ht="21.2" customHeight="1">
      <c r="A226" s="8" t="s">
        <v>430</v>
      </c>
      <c r="B226" s="34" t="str">
        <f>VLOOKUP(A226,'Player Data'!A1:B734,2,FALSE)</f>
        <v>NSH</v>
      </c>
      <c r="C226" s="36">
        <f>((E226)*Settings!$C$12)+(F226*Settings!$C$2)+(G226*Settings!$C$3)+(H226*Settings!$C$4)+(I226*Settings!$C$5)+(K226*Settings!$C$9)+(N226*Settings!$C$6)+(J226*Settings!$C$8)+(O226*Settings!$C$7)+(P226*Settings!$C$14)+(Q226*Settings!$C$15)+(R226*Settings!$C$16)+(S226*Settings!$C$17)+(T226*Settings!$C$18)+(U226*Settings!$C$19)+(L226*Settings!$C$10)+(Settings!$C$11*M226)</f>
        <v>0.30395373302398276</v>
      </c>
      <c r="D226" s="40">
        <f>IF(Settings!$E$12="YES",VLOOKUP(A226,'Player Data'!A1:E734,5,FALSE),82)</f>
        <v>82</v>
      </c>
      <c r="E226" s="38">
        <f>(VLOOKUP($A226,'The List'!$B1:$AH730,17,FALSE)-AVERAGE('The List'!R2:R730))/STDEV('The List'!R2:R730)</f>
        <v>4.5024754177781803E-2</v>
      </c>
      <c r="F226" s="38">
        <f>(VLOOKUP($A226,'The List'!$B1:$AH730,18,FALSE)-AVERAGE('The List'!S2:S730))/STDEV('The List'!S2:S730)</f>
        <v>0.1040024434057515</v>
      </c>
      <c r="G226" s="38">
        <f>(VLOOKUP($A226,'The List'!$B1:$AH730,19,FALSE)-AVERAGE('The List'!T2:T730))/STDEV('The List'!T2:T730)</f>
        <v>0.21884439296576808</v>
      </c>
      <c r="H226" s="38">
        <f>(VLOOKUP($A226,'The List'!$B1:$AH730,20,FALSE)-AVERAGE('The List'!U2:U730))/STDEV('The List'!U2:U730)</f>
        <v>0.18283642934019795</v>
      </c>
      <c r="I226" s="38">
        <f>(VLOOKUP($A226,'The List'!$B1:$AH730,21,FALSE)-AVERAGE('The List'!V2:V730))/STDEV('The List'!V2:V730)</f>
        <v>2.9619669340077755E-2</v>
      </c>
      <c r="J226" s="38">
        <f>(VLOOKUP($A226,'The List'!$B1:$AH730,22,FALSE)-AVERAGE('The List'!W2:W730))/STDEV('The List'!W2:W730)</f>
        <v>-0.18791942542084333</v>
      </c>
      <c r="K226" s="38">
        <f>(VLOOKUP($A226,'The List'!$B1:$AH730,23,FALSE)-AVERAGE('The List'!X2:X730))/STDEV('The List'!X2:X730)</f>
        <v>-0.23134920202781253</v>
      </c>
      <c r="L226" s="38">
        <f>(VLOOKUP($A226,'The List'!$B1:$AH730,24,FALSE)-AVERAGE('The List'!Y2:Y730))/STDEV('The List'!Y2:Y730)</f>
        <v>2.4652944774060415</v>
      </c>
      <c r="M226" s="38">
        <f>(VLOOKUP($A226,'The List'!$B1:$AH730,25,FALSE)-AVERAGE('The List'!Z2:Z730))/STDEV('The List'!Z2:Z730)</f>
        <v>1.0246802116703491</v>
      </c>
      <c r="N226" s="38">
        <f>(VLOOKUP($A226,'The List'!$B1:$AH730,26,FALSE)-AVERAGE('The List'!AA2:AA730))/STDEV('The List'!AA2:AA730)</f>
        <v>-0.48723988941885066</v>
      </c>
      <c r="O226" s="38">
        <f>(VLOOKUP($A226,'The List'!$B1:$AH730,27,FALSE)-AVERAGE('The List'!AB2:AB730))/STDEV('The List'!AB2:AB730)</f>
        <v>-0.87507860334753163</v>
      </c>
      <c r="P226" s="38">
        <f>(VLOOKUP($A226,'The List'!$B1:$AH730,28,FALSE)-AVERAGE('The List'!AC2:AC730))/STDEV('The List'!AC2:AC730)</f>
        <v>-0.51518636040662213</v>
      </c>
      <c r="Q226" s="38">
        <f>(VLOOKUP($A226,'The List'!$B1:$AH730,29,FALSE)-AVERAGE('The List'!AD2:AD730))/STDEV('The List'!AD2:AD730)</f>
        <v>-0.52629370898795336</v>
      </c>
      <c r="R226" s="38">
        <f>(VLOOKUP($A226,'The List'!$B1:$AH730,30,FALSE)-AVERAGE('The List'!AE2:AE730))/STDEV('The List'!AE2:AE730)</f>
        <v>0.15008171546777507</v>
      </c>
      <c r="S226" s="38">
        <f>(VLOOKUP($A226,'The List'!$B1:$AH730,31,FALSE)-AVERAGE('The List'!AF2:AF730))/STDEV('The List'!AF2:AF730)</f>
        <v>-0.47651341493483529</v>
      </c>
      <c r="T226" s="38">
        <f>(VLOOKUP($A226,'The List'!$B1:$AH730,32,FALSE)-AVERAGE('The List'!AG2:AG730))/STDEV('The List'!AG2:AG730)</f>
        <v>-0.49821630937962824</v>
      </c>
      <c r="U226" s="38">
        <f>(VLOOKUP($A226,'The List'!$B1:$AH730,33,FALSE)-AVERAGE('The List'!AH2:AH730))/STDEV('The List'!AH2:AH730)</f>
        <v>0.81525824899920851</v>
      </c>
      <c r="V226" s="38"/>
      <c r="W226" s="40"/>
      <c r="X226" s="38"/>
      <c r="Y226" s="38"/>
      <c r="Z226" s="38"/>
      <c r="AA226" s="38"/>
      <c r="AB226" s="38"/>
      <c r="AC226" s="38"/>
      <c r="AD226" s="38"/>
      <c r="AE226" s="38"/>
    </row>
    <row r="227" spans="1:31" ht="21.2" customHeight="1">
      <c r="A227" s="8" t="s">
        <v>471</v>
      </c>
      <c r="B227" s="34" t="str">
        <f>VLOOKUP(A227,'Player Data'!A1:B734,2,FALSE)</f>
        <v>CHI</v>
      </c>
      <c r="C227" s="36">
        <f>((E227)*Settings!$C$12)+(F227*Settings!$C$2)+(G227*Settings!$C$3)+(H227*Settings!$C$4)+(I227*Settings!$C$5)+(K227*Settings!$C$9)+(N227*Settings!$C$6)+(J227*Settings!$C$8)+(O227*Settings!$C$7)+(P227*Settings!$C$14)+(Q227*Settings!$C$15)+(R227*Settings!$C$16)+(S227*Settings!$C$17)+(T227*Settings!$C$18)+(U227*Settings!$C$19)+(L227*Settings!$C$10)+(Settings!$C$11*M227)</f>
        <v>0.83890492506299474</v>
      </c>
      <c r="D227" s="40">
        <f>IF(Settings!$E$12="YES",VLOOKUP(A227,'Player Data'!A1:E734,5,FALSE),82)</f>
        <v>82</v>
      </c>
      <c r="E227" s="38">
        <f>(VLOOKUP($A227,'The List'!$B1:$AH730,17,FALSE)-AVERAGE('The List'!R2:R730))/STDEV('The List'!R2:R730)</f>
        <v>-0.10095192103701607</v>
      </c>
      <c r="F227" s="38">
        <f>(VLOOKUP($A227,'The List'!$B1:$AH730,18,FALSE)-AVERAGE('The List'!S2:S730))/STDEV('The List'!S2:S730)</f>
        <v>0.65568258231283305</v>
      </c>
      <c r="G227" s="38">
        <f>(VLOOKUP($A227,'The List'!$B1:$AH730,19,FALSE)-AVERAGE('The List'!T2:T730))/STDEV('The List'!T2:T730)</f>
        <v>-0.20217329663165298</v>
      </c>
      <c r="H227" s="38">
        <f>(VLOOKUP($A227,'The List'!$B1:$AH730,20,FALSE)-AVERAGE('The List'!U2:U730))/STDEV('The List'!U2:U730)</f>
        <v>0.18056576847791819</v>
      </c>
      <c r="I227" s="38">
        <f>(VLOOKUP($A227,'The List'!$B1:$AH730,21,FALSE)-AVERAGE('The List'!V2:V730))/STDEV('The List'!V2:V730)</f>
        <v>0.45524500643388283</v>
      </c>
      <c r="J227" s="38">
        <f>(VLOOKUP($A227,'The List'!$B1:$AH730,22,FALSE)-AVERAGE('The List'!W2:W730))/STDEV('The List'!W2:W730)</f>
        <v>-0.15959236364203272</v>
      </c>
      <c r="K227" s="38">
        <f>(VLOOKUP($A227,'The List'!$B1:$AH730,23,FALSE)-AVERAGE('The List'!X2:X730))/STDEV('The List'!X2:X730)</f>
        <v>-0.2504151355299864</v>
      </c>
      <c r="L227" s="38">
        <f>(VLOOKUP($A227,'The List'!$B1:$AH730,24,FALSE)-AVERAGE('The List'!Y2:Y730))/STDEV('The List'!Y2:Y730)</f>
        <v>-0.35036424296255458</v>
      </c>
      <c r="M227" s="38">
        <f>(VLOOKUP($A227,'The List'!$B1:$AH730,25,FALSE)-AVERAGE('The List'!Z2:Z730))/STDEV('The List'!Z2:Z730)</f>
        <v>-0.50542830796107718</v>
      </c>
      <c r="N227" s="38">
        <f>(VLOOKUP($A227,'The List'!$B1:$AH730,26,FALSE)-AVERAGE('The List'!AA2:AA730))/STDEV('The List'!AA2:AA730)</f>
        <v>-0.57838079088342864</v>
      </c>
      <c r="O227" s="38">
        <f>(VLOOKUP($A227,'The List'!$B1:$AH730,27,FALSE)-AVERAGE('The List'!AB2:AB730))/STDEV('The List'!AB2:AB730)</f>
        <v>-1.1039921517687425</v>
      </c>
      <c r="P227" s="38">
        <f>(VLOOKUP($A227,'The List'!$B1:$AH730,28,FALSE)-AVERAGE('The List'!AC2:AC730))/STDEV('The List'!AC2:AC730)</f>
        <v>-1.7496604103308151</v>
      </c>
      <c r="Q227" s="38">
        <f>(VLOOKUP($A227,'The List'!$B1:$AH730,29,FALSE)-AVERAGE('The List'!AD2:AD730))/STDEV('The List'!AD2:AD730)</f>
        <v>-0.3546634726903054</v>
      </c>
      <c r="R227" s="38">
        <f>(VLOOKUP($A227,'The List'!$B1:$AH730,30,FALSE)-AVERAGE('The List'!AE2:AE730))/STDEV('The List'!AE2:AE730)</f>
        <v>0.29419805488595185</v>
      </c>
      <c r="S227" s="38">
        <f>(VLOOKUP($A227,'The List'!$B1:$AH730,31,FALSE)-AVERAGE('The List'!AF2:AF730))/STDEV('The List'!AF2:AF730)</f>
        <v>-0.1307788984557601</v>
      </c>
      <c r="T227" s="38">
        <f>(VLOOKUP($A227,'The List'!$B1:$AH730,32,FALSE)-AVERAGE('The List'!AG2:AG730))/STDEV('The List'!AG2:AG730)</f>
        <v>-0.31343092471383149</v>
      </c>
      <c r="U227" s="38">
        <f>(VLOOKUP($A227,'The List'!$B1:$AH730,33,FALSE)-AVERAGE('The List'!AH2:AH730))/STDEV('The List'!AH2:AH730)</f>
        <v>1.4925023311087349</v>
      </c>
      <c r="V227" s="38"/>
      <c r="W227" s="40"/>
      <c r="X227" s="38"/>
      <c r="Y227" s="38"/>
      <c r="Z227" s="38"/>
      <c r="AA227" s="38"/>
      <c r="AB227" s="38"/>
      <c r="AC227" s="38"/>
      <c r="AD227" s="38"/>
      <c r="AE227" s="38"/>
    </row>
    <row r="228" spans="1:31" ht="21.2" customHeight="1">
      <c r="A228" s="8" t="s">
        <v>434</v>
      </c>
      <c r="B228" s="34" t="str">
        <f>VLOOKUP(A228,'Player Data'!A1:B734,2,FALSE)</f>
        <v>DET</v>
      </c>
      <c r="C228" s="36">
        <f>((E228)*Settings!$C$12)+(F228*Settings!$C$2)+(G228*Settings!$C$3)+(H228*Settings!$C$4)+(I228*Settings!$C$5)+(K228*Settings!$C$9)+(N228*Settings!$C$6)+(J228*Settings!$C$8)+(O228*Settings!$C$7)+(P228*Settings!$C$14)+(Q228*Settings!$C$15)+(R228*Settings!$C$16)+(S228*Settings!$C$17)+(T228*Settings!$C$18)+(U228*Settings!$C$19)+(L228*Settings!$C$10)+(Settings!$C$11*M228)</f>
        <v>-0.40479022619704474</v>
      </c>
      <c r="D228" s="40">
        <f>IF(Settings!$E$12="YES",VLOOKUP(A228,'Player Data'!A1:E734,5,FALSE),82)</f>
        <v>82</v>
      </c>
      <c r="E228" s="38">
        <f>(VLOOKUP($A228,'The List'!$B1:$AH730,17,FALSE)-AVERAGE('The List'!R2:R730))/STDEV('The List'!R2:R730)</f>
        <v>0.10307087155799763</v>
      </c>
      <c r="F228" s="38">
        <f>(VLOOKUP($A228,'The List'!$B1:$AH730,18,FALSE)-AVERAGE('The List'!S2:S730))/STDEV('The List'!S2:S730)</f>
        <v>-0.10322147903819917</v>
      </c>
      <c r="G228" s="38">
        <f>(VLOOKUP($A228,'The List'!$B1:$AH730,19,FALSE)-AVERAGE('The List'!T2:T730))/STDEV('The List'!T2:T730)</f>
        <v>0.351176857311913</v>
      </c>
      <c r="H228" s="38">
        <f>(VLOOKUP($A228,'The List'!$B1:$AH730,20,FALSE)-AVERAGE('The List'!U2:U730))/STDEV('The List'!U2:U730)</f>
        <v>0.16782710152989239</v>
      </c>
      <c r="I228" s="38">
        <f>(VLOOKUP($A228,'The List'!$B1:$AH730,21,FALSE)-AVERAGE('The List'!V2:V730))/STDEV('The List'!V2:V730)</f>
        <v>-0.20747940853994271</v>
      </c>
      <c r="J228" s="38">
        <f>(VLOOKUP($A228,'The List'!$B1:$AH730,22,FALSE)-AVERAGE('The List'!W2:W730))/STDEV('The List'!W2:W730)</f>
        <v>-0.54344292259370941</v>
      </c>
      <c r="K228" s="38">
        <f>(VLOOKUP($A228,'The List'!$B1:$AH730,23,FALSE)-AVERAGE('The List'!X2:X730))/STDEV('The List'!X2:X730)</f>
        <v>-0.61309329746070829</v>
      </c>
      <c r="L228" s="38">
        <f>(VLOOKUP($A228,'The List'!$B1:$AH730,24,FALSE)-AVERAGE('The List'!Y2:Y730))/STDEV('The List'!Y2:Y730)</f>
        <v>0.8546649920335404</v>
      </c>
      <c r="M228" s="38">
        <f>(VLOOKUP($A228,'The List'!$B1:$AH730,25,FALSE)-AVERAGE('The List'!Z2:Z730))/STDEV('The List'!Z2:Z730)</f>
        <v>0.6435271489068638</v>
      </c>
      <c r="N228" s="38">
        <f>(VLOOKUP($A228,'The List'!$B1:$AH730,26,FALSE)-AVERAGE('The List'!AA2:AA730))/STDEV('The List'!AA2:AA730)</f>
        <v>-0.46219763434686256</v>
      </c>
      <c r="O228" s="38">
        <f>(VLOOKUP($A228,'The List'!$B1:$AH730,27,FALSE)-AVERAGE('The List'!AB2:AB730))/STDEV('The List'!AB2:AB730)</f>
        <v>-1.1396321994073084</v>
      </c>
      <c r="P228" s="38">
        <f>(VLOOKUP($A228,'The List'!$B1:$AH730,28,FALSE)-AVERAGE('The List'!AC2:AC730))/STDEV('The List'!AC2:AC730)</f>
        <v>-0.558162446216666</v>
      </c>
      <c r="Q228" s="38">
        <f>(VLOOKUP($A228,'The List'!$B1:$AH730,29,FALSE)-AVERAGE('The List'!AD2:AD730))/STDEV('The List'!AD2:AD730)</f>
        <v>-0.71256493311192959</v>
      </c>
      <c r="R228" s="38">
        <f>(VLOOKUP($A228,'The List'!$B1:$AH730,30,FALSE)-AVERAGE('The List'!AE2:AE730))/STDEV('The List'!AE2:AE730)</f>
        <v>-0.15991322680291944</v>
      </c>
      <c r="S228" s="38">
        <f>(VLOOKUP($A228,'The List'!$B1:$AH730,31,FALSE)-AVERAGE('The List'!AF2:AF730))/STDEV('The List'!AF2:AF730)</f>
        <v>1.955465830360706</v>
      </c>
      <c r="T228" s="38">
        <f>(VLOOKUP($A228,'The List'!$B1:$AH730,32,FALSE)-AVERAGE('The List'!AG2:AG730))/STDEV('The List'!AG2:AG730)</f>
        <v>1.8737196208464653</v>
      </c>
      <c r="U228" s="38">
        <f>(VLOOKUP($A228,'The List'!$B1:$AH730,33,FALSE)-AVERAGE('The List'!AH2:AH730))/STDEV('The List'!AH2:AH730)</f>
        <v>1.0936974510892972</v>
      </c>
      <c r="V228" s="38"/>
      <c r="W228" s="42"/>
      <c r="X228" s="40"/>
      <c r="Y228" s="40"/>
      <c r="Z228" s="40"/>
      <c r="AA228" s="40"/>
      <c r="AB228" s="40"/>
      <c r="AC228" s="43"/>
      <c r="AD228" s="44"/>
      <c r="AE228" s="38"/>
    </row>
    <row r="229" spans="1:31" ht="21.2" customHeight="1">
      <c r="A229" s="8" t="s">
        <v>527</v>
      </c>
      <c r="B229" s="34" t="str">
        <f>VLOOKUP(A229,'Player Data'!A1:B734,2,FALSE)</f>
        <v>COL</v>
      </c>
      <c r="C229" s="36">
        <f>((E229)*Settings!$C$12)+(F229*Settings!$C$2)+(G229*Settings!$C$3)+(H229*Settings!$C$4)+(I229*Settings!$C$5)+(K229*Settings!$C$9)+(N229*Settings!$C$6)+(J229*Settings!$C$8)+(O229*Settings!$C$7)+(P229*Settings!$C$14)+(Q229*Settings!$C$15)+(R229*Settings!$C$16)+(S229*Settings!$C$17)+(T229*Settings!$C$18)+(U229*Settings!$C$19)+(L229*Settings!$C$10)+(Settings!$C$11*M229)</f>
        <v>0.60828126035906882</v>
      </c>
      <c r="D229" s="40">
        <f>IF(Settings!$E$12="YES",VLOOKUP(A229,'Player Data'!A1:E734,5,FALSE),82)</f>
        <v>82</v>
      </c>
      <c r="E229" s="38">
        <f>(VLOOKUP($A229,'The List'!$B1:$AH730,17,FALSE)-AVERAGE('The List'!R2:R730))/STDEV('The List'!R2:R730)</f>
        <v>-0.24395110907464237</v>
      </c>
      <c r="F229" s="38">
        <f>(VLOOKUP($A229,'The List'!$B1:$AH730,18,FALSE)-AVERAGE('The List'!S2:S730))/STDEV('The List'!S2:S730)</f>
        <v>0.22497152501852585</v>
      </c>
      <c r="G229" s="38">
        <f>(VLOOKUP($A229,'The List'!$B1:$AH730,19,FALSE)-AVERAGE('The List'!T2:T730))/STDEV('The List'!T2:T730)</f>
        <v>0.10222446893004447</v>
      </c>
      <c r="H229" s="38">
        <f>(VLOOKUP($A229,'The List'!$B1:$AH730,20,FALSE)-AVERAGE('The List'!U2:U730))/STDEV('The List'!U2:U730)</f>
        <v>0.16740417370127883</v>
      </c>
      <c r="I229" s="38">
        <f>(VLOOKUP($A229,'The List'!$B1:$AH730,21,FALSE)-AVERAGE('The List'!V2:V730))/STDEV('The List'!V2:V730)</f>
        <v>-0.27839730585738565</v>
      </c>
      <c r="J229" s="38">
        <f>(VLOOKUP($A229,'The List'!$B1:$AH730,22,FALSE)-AVERAGE('The List'!W2:W730))/STDEV('The List'!W2:W730)</f>
        <v>0.67524932608909316</v>
      </c>
      <c r="K229" s="38">
        <f>(VLOOKUP($A229,'The List'!$B1:$AH730,23,FALSE)-AVERAGE('The List'!X2:X730))/STDEV('The List'!X2:X730)</f>
        <v>0.39207839856660531</v>
      </c>
      <c r="L229" s="38">
        <f>(VLOOKUP($A229,'The List'!$B1:$AH730,24,FALSE)-AVERAGE('The List'!Y2:Y730))/STDEV('The List'!Y2:Y730)</f>
        <v>-0.5076553911044791</v>
      </c>
      <c r="M229" s="38">
        <f>(VLOOKUP($A229,'The List'!$B1:$AH730,25,FALSE)-AVERAGE('The List'!Z2:Z730))/STDEV('The List'!Z2:Z730)</f>
        <v>-0.68519947780265322</v>
      </c>
      <c r="N229" s="38">
        <f>(VLOOKUP($A229,'The List'!$B1:$AH730,26,FALSE)-AVERAGE('The List'!AA2:AA730))/STDEV('The List'!AA2:AA730)</f>
        <v>-0.76734673060368008</v>
      </c>
      <c r="O229" s="38">
        <f>(VLOOKUP($A229,'The List'!$B1:$AH730,27,FALSE)-AVERAGE('The List'!AB2:AB730))/STDEV('The List'!AB2:AB730)</f>
        <v>-0.45258257694160114</v>
      </c>
      <c r="P229" s="38">
        <f>(VLOOKUP($A229,'The List'!$B1:$AH730,28,FALSE)-AVERAGE('The List'!AC2:AC730))/STDEV('The List'!AC2:AC730)</f>
        <v>0.7928572048109731</v>
      </c>
      <c r="Q229" s="38">
        <f>(VLOOKUP($A229,'The List'!$B1:$AH730,29,FALSE)-AVERAGE('The List'!AD2:AD730))/STDEV('The List'!AD2:AD730)</f>
        <v>0.61179248132057729</v>
      </c>
      <c r="R229" s="38">
        <f>(VLOOKUP($A229,'The List'!$B1:$AH730,30,FALSE)-AVERAGE('The List'!AE2:AE730))/STDEV('The List'!AE2:AE730)</f>
        <v>0.39171818736735098</v>
      </c>
      <c r="S229" s="38">
        <f>(VLOOKUP($A229,'The List'!$B1:$AH730,31,FALSE)-AVERAGE('The List'!AF2:AF730))/STDEV('The List'!AF2:AF730)</f>
        <v>2.6738492149320119</v>
      </c>
      <c r="T229" s="38">
        <f>(VLOOKUP($A229,'The List'!$B1:$AH730,32,FALSE)-AVERAGE('The List'!AG2:AG730))/STDEV('The List'!AG2:AG730)</f>
        <v>2.2042599201133211</v>
      </c>
      <c r="U229" s="38">
        <f>(VLOOKUP($A229,'The List'!$B1:$AH730,33,FALSE)-AVERAGE('The List'!AH2:AH730))/STDEV('The List'!AH2:AH730)</f>
        <v>1.2350240937239907</v>
      </c>
      <c r="V229" s="38"/>
      <c r="W229" s="42"/>
      <c r="X229" s="40"/>
      <c r="Y229" s="40"/>
      <c r="Z229" s="40"/>
      <c r="AA229" s="40"/>
      <c r="AB229" s="40"/>
      <c r="AC229" s="43"/>
      <c r="AD229" s="44"/>
      <c r="AE229" s="38"/>
    </row>
    <row r="230" spans="1:31" ht="21.2" customHeight="1">
      <c r="A230" s="8" t="s">
        <v>243</v>
      </c>
      <c r="B230" s="34" t="str">
        <f>VLOOKUP(A230,'Player Data'!A1:B734,2,FALSE)</f>
        <v>LAK</v>
      </c>
      <c r="C230" s="36">
        <f>((E230)*Settings!$C$12)+(F230*Settings!$C$2)+(G230*Settings!$C$3)+(H230*Settings!$C$4)+(I230*Settings!$C$5)+(K230*Settings!$C$9)+(N230*Settings!$C$6)+(J230*Settings!$C$8)+(O230*Settings!$C$7)+(P230*Settings!$C$14)+(Q230*Settings!$C$15)+(R230*Settings!$C$16)+(S230*Settings!$C$17)+(T230*Settings!$C$18)+(U230*Settings!$C$19)+(L230*Settings!$C$10)+(Settings!$C$11*M230)</f>
        <v>1.8670483878314061</v>
      </c>
      <c r="D230" s="40">
        <f>IF(Settings!$E$12="YES",VLOOKUP(A230,'Player Data'!A1:E734,5,FALSE),82)</f>
        <v>82</v>
      </c>
      <c r="E230" s="38">
        <f>(VLOOKUP($A230,'The List'!$B1:$AH730,17,FALSE)-AVERAGE('The List'!R2:R730))/STDEV('The List'!R2:R730)</f>
        <v>0.67906373200133263</v>
      </c>
      <c r="F230" s="38">
        <f>(VLOOKUP($A230,'The List'!$B1:$AH730,18,FALSE)-AVERAGE('The List'!S2:S730))/STDEV('The List'!S2:S730)</f>
        <v>-0.10635376875824408</v>
      </c>
      <c r="G230" s="38">
        <f>(VLOOKUP($A230,'The List'!$B1:$AH730,19,FALSE)-AVERAGE('The List'!T2:T730))/STDEV('The List'!T2:T730)</f>
        <v>0.54367565336089041</v>
      </c>
      <c r="H230" s="38">
        <f>(VLOOKUP($A230,'The List'!$B1:$AH730,20,FALSE)-AVERAGE('The List'!U2:U730))/STDEV('The List'!U2:U730)</f>
        <v>0.28466906681245618</v>
      </c>
      <c r="I230" s="38">
        <f>(VLOOKUP($A230,'The List'!$B1:$AH730,21,FALSE)-AVERAGE('The List'!V2:V730))/STDEV('The List'!V2:V730)</f>
        <v>0.85842953503617536</v>
      </c>
      <c r="J230" s="38">
        <f>(VLOOKUP($A230,'The List'!$B1:$AH730,22,FALSE)-AVERAGE('The List'!W2:W730))/STDEV('The List'!W2:W730)</f>
        <v>0.10980640508521097</v>
      </c>
      <c r="K230" s="38">
        <f>(VLOOKUP($A230,'The List'!$B1:$AH730,23,FALSE)-AVERAGE('The List'!X2:X730))/STDEV('The List'!X2:X730)</f>
        <v>0.28662790138012822</v>
      </c>
      <c r="L230" s="38">
        <f>(VLOOKUP($A230,'The List'!$B1:$AH730,24,FALSE)-AVERAGE('The List'!Y2:Y730))/STDEV('The List'!Y2:Y730)</f>
        <v>-0.52515529094994673</v>
      </c>
      <c r="M230" s="38">
        <f>(VLOOKUP($A230,'The List'!$B1:$AH730,25,FALSE)-AVERAGE('The List'!Z2:Z730))/STDEV('The List'!Z2:Z730)</f>
        <v>-0.70378350861314143</v>
      </c>
      <c r="N230" s="38">
        <f>(VLOOKUP($A230,'The List'!$B1:$AH730,26,FALSE)-AVERAGE('The List'!AA2:AA730))/STDEV('The List'!AA2:AA730)</f>
        <v>0.89757679744442731</v>
      </c>
      <c r="O230" s="38">
        <f>(VLOOKUP($A230,'The List'!$B1:$AH730,27,FALSE)-AVERAGE('The List'!AB2:AB730))/STDEV('The List'!AB2:AB730)</f>
        <v>0.34037825785989401</v>
      </c>
      <c r="P230" s="38">
        <f>(VLOOKUP($A230,'The List'!$B1:$AH730,28,FALSE)-AVERAGE('The List'!AC2:AC730))/STDEV('The List'!AC2:AC730)</f>
        <v>6.8589529105626421E-2</v>
      </c>
      <c r="Q230" s="38">
        <f>(VLOOKUP($A230,'The List'!$B1:$AH730,29,FALSE)-AVERAGE('The List'!AD2:AD730))/STDEV('The List'!AD2:AD730)</f>
        <v>0.76658318021236016</v>
      </c>
      <c r="R230" s="38">
        <f>(VLOOKUP($A230,'The List'!$B1:$AH730,30,FALSE)-AVERAGE('The List'!AE2:AE730))/STDEV('The List'!AE2:AE730)</f>
        <v>-3.3210825686694534E-2</v>
      </c>
      <c r="S230" s="38">
        <f>(VLOOKUP($A230,'The List'!$B1:$AH730,31,FALSE)-AVERAGE('The List'!AF2:AF730))/STDEV('The List'!AF2:AF730)</f>
        <v>-0.56911587195029545</v>
      </c>
      <c r="T230" s="38">
        <f>(VLOOKUP($A230,'The List'!$B1:$AH730,32,FALSE)-AVERAGE('The List'!AG2:AG730))/STDEV('The List'!AG2:AG730)</f>
        <v>-0.61510119871956948</v>
      </c>
      <c r="U230" s="38">
        <f>(VLOOKUP($A230,'The List'!$B1:$AH730,33,FALSE)-AVERAGE('The List'!AH2:AH730))/STDEV('The List'!AH2:AH730)</f>
        <v>-1.2363238714825984</v>
      </c>
      <c r="V230" s="38"/>
      <c r="W230" s="42"/>
      <c r="X230" s="40"/>
      <c r="Y230" s="40"/>
      <c r="Z230" s="40"/>
      <c r="AA230" s="40"/>
      <c r="AB230" s="40"/>
      <c r="AC230" s="43"/>
      <c r="AD230" s="44"/>
      <c r="AE230" s="38"/>
    </row>
    <row r="231" spans="1:31" ht="21.2" customHeight="1">
      <c r="A231" s="8" t="s">
        <v>396</v>
      </c>
      <c r="B231" s="34" t="str">
        <f>VLOOKUP(A231,'Player Data'!A1:B734,2,FALSE)</f>
        <v>NYR</v>
      </c>
      <c r="C231" s="36">
        <f>((E231)*Settings!$C$12)+(F231*Settings!$C$2)+(G231*Settings!$C$3)+(H231*Settings!$C$4)+(I231*Settings!$C$5)+(K231*Settings!$C$9)+(N231*Settings!$C$6)+(J231*Settings!$C$8)+(O231*Settings!$C$7)+(P231*Settings!$C$14)+(Q231*Settings!$C$15)+(R231*Settings!$C$16)+(S231*Settings!$C$17)+(T231*Settings!$C$18)+(U231*Settings!$C$19)+(L231*Settings!$C$10)+(Settings!$C$11*M231)</f>
        <v>0.55521426503630367</v>
      </c>
      <c r="D231" s="40">
        <f>IF(Settings!$E$12="YES",VLOOKUP(A231,'Player Data'!A1:E734,5,FALSE),82)</f>
        <v>82</v>
      </c>
      <c r="E231" s="38">
        <f>(VLOOKUP($A231,'The List'!$B1:$AH730,17,FALSE)-AVERAGE('The List'!R2:R730))/STDEV('The List'!R2:R730)</f>
        <v>-0.3057039078473921</v>
      </c>
      <c r="F231" s="38">
        <f>(VLOOKUP($A231,'The List'!$B1:$AH730,18,FALSE)-AVERAGE('The List'!S2:S730))/STDEV('The List'!S2:S730)</f>
        <v>0.65957374612129849</v>
      </c>
      <c r="G231" s="38">
        <f>(VLOOKUP($A231,'The List'!$B1:$AH730,19,FALSE)-AVERAGE('The List'!T2:T730))/STDEV('The List'!T2:T730)</f>
        <v>-8.3334019597280776E-2</v>
      </c>
      <c r="H231" s="38">
        <f>(VLOOKUP($A231,'The List'!$B1:$AH730,20,FALSE)-AVERAGE('The List'!U2:U730))/STDEV('The List'!U2:U730)</f>
        <v>0.25540607654563774</v>
      </c>
      <c r="I231" s="38">
        <f>(VLOOKUP($A231,'The List'!$B1:$AH730,21,FALSE)-AVERAGE('The List'!V2:V730))/STDEV('The List'!V2:V730)</f>
        <v>1.2179886084189715E-2</v>
      </c>
      <c r="J231" s="38">
        <f>(VLOOKUP($A231,'The List'!$B1:$AH730,22,FALSE)-AVERAGE('The List'!W2:W730))/STDEV('The List'!W2:W730)</f>
        <v>-1.6357163812376029E-2</v>
      </c>
      <c r="K231" s="38">
        <f>(VLOOKUP($A231,'The List'!$B1:$AH730,23,FALSE)-AVERAGE('The List'!X2:X730))/STDEV('The List'!X2:X730)</f>
        <v>-0.28861142411754143</v>
      </c>
      <c r="L231" s="38">
        <f>(VLOOKUP($A231,'The List'!$B1:$AH730,24,FALSE)-AVERAGE('The List'!Y2:Y730))/STDEV('The List'!Y2:Y730)</f>
        <v>-0.49297951407109475</v>
      </c>
      <c r="M231" s="38">
        <f>(VLOOKUP($A231,'The List'!$B1:$AH730,25,FALSE)-AVERAGE('The List'!Z2:Z730))/STDEV('The List'!Z2:Z730)</f>
        <v>-0.66339954595000328</v>
      </c>
      <c r="N231" s="38">
        <f>(VLOOKUP($A231,'The List'!$B1:$AH730,26,FALSE)-AVERAGE('The List'!AA2:AA730))/STDEV('The List'!AA2:AA730)</f>
        <v>-0.85488104469900372</v>
      </c>
      <c r="O231" s="38">
        <f>(VLOOKUP($A231,'The List'!$B1:$AH730,27,FALSE)-AVERAGE('The List'!AB2:AB730))/STDEV('The List'!AB2:AB730)</f>
        <v>0.58334482461527903</v>
      </c>
      <c r="P231" s="38">
        <f>(VLOOKUP($A231,'The List'!$B1:$AH730,28,FALSE)-AVERAGE('The List'!AC2:AC730))/STDEV('The List'!AC2:AC730)</f>
        <v>0.916814555302506</v>
      </c>
      <c r="Q231" s="38">
        <f>(VLOOKUP($A231,'The List'!$B1:$AH730,29,FALSE)-AVERAGE('The List'!AD2:AD730))/STDEV('The List'!AD2:AD730)</f>
        <v>-0.13344817536437689</v>
      </c>
      <c r="R231" s="38">
        <f>(VLOOKUP($A231,'The List'!$B1:$AH730,30,FALSE)-AVERAGE('The List'!AE2:AE730))/STDEV('The List'!AE2:AE730)</f>
        <v>1.0005201255605503</v>
      </c>
      <c r="S231" s="38">
        <f>(VLOOKUP($A231,'The List'!$B1:$AH730,31,FALSE)-AVERAGE('The List'!AF2:AF730))/STDEV('The List'!AF2:AF730)</f>
        <v>-0.45131840001694229</v>
      </c>
      <c r="T231" s="38">
        <f>(VLOOKUP($A231,'The List'!$B1:$AH730,32,FALSE)-AVERAGE('The List'!AG2:AG730))/STDEV('The List'!AG2:AG730)</f>
        <v>-0.38562458943738592</v>
      </c>
      <c r="U231" s="38">
        <f>(VLOOKUP($A231,'The List'!$B1:$AH730,33,FALSE)-AVERAGE('The List'!AH2:AH730))/STDEV('The List'!AH2:AH730)</f>
        <v>0.34603550938501243</v>
      </c>
      <c r="V231" s="38"/>
      <c r="W231" s="42"/>
      <c r="X231" s="40"/>
      <c r="Y231" s="40"/>
      <c r="Z231" s="40"/>
      <c r="AA231" s="40"/>
      <c r="AB231" s="40"/>
      <c r="AC231" s="43"/>
      <c r="AD231" s="44"/>
      <c r="AE231" s="38"/>
    </row>
    <row r="232" spans="1:31" ht="21.2" customHeight="1">
      <c r="A232" s="8" t="s">
        <v>503</v>
      </c>
      <c r="B232" s="34" t="str">
        <f>VLOOKUP(A232,'Player Data'!A1:B734,2,FALSE)</f>
        <v>SEA</v>
      </c>
      <c r="C232" s="36">
        <f>((E232)*Settings!$C$12)+(F232*Settings!$C$2)+(G232*Settings!$C$3)+(H232*Settings!$C$4)+(I232*Settings!$C$5)+(K232*Settings!$C$9)+(N232*Settings!$C$6)+(J232*Settings!$C$8)+(O232*Settings!$C$7)+(P232*Settings!$C$14)+(Q232*Settings!$C$15)+(R232*Settings!$C$16)+(S232*Settings!$C$17)+(T232*Settings!$C$18)+(U232*Settings!$C$19)+(L232*Settings!$C$10)+(Settings!$C$11*M232)</f>
        <v>0.99454939407793486</v>
      </c>
      <c r="D232" s="40">
        <f>IF(Settings!$E$12="YES",VLOOKUP(A232,'Player Data'!A1:E734,5,FALSE),82)</f>
        <v>82</v>
      </c>
      <c r="E232" s="38">
        <f>(VLOOKUP($A232,'The List'!$B1:$AH730,17,FALSE)-AVERAGE('The List'!R2:R730))/STDEV('The List'!R2:R730)</f>
        <v>-7.021242418932154E-2</v>
      </c>
      <c r="F232" s="38">
        <f>(VLOOKUP($A232,'The List'!$B1:$AH730,18,FALSE)-AVERAGE('The List'!S2:S730))/STDEV('The List'!S2:S730)</f>
        <v>0.44915389933038191</v>
      </c>
      <c r="G232" s="38">
        <f>(VLOOKUP($A232,'The List'!$B1:$AH730,19,FALSE)-AVERAGE('The List'!T2:T730))/STDEV('The List'!T2:T730)</f>
        <v>-9.5542684155239116E-2</v>
      </c>
      <c r="H232" s="38">
        <f>(VLOOKUP($A232,'The List'!$B1:$AH730,20,FALSE)-AVERAGE('The List'!U2:U730))/STDEV('The List'!U2:U730)</f>
        <v>0.15008483978871431</v>
      </c>
      <c r="I232" s="38">
        <f>(VLOOKUP($A232,'The List'!$B1:$AH730,21,FALSE)-AVERAGE('The List'!V2:V730))/STDEV('The List'!V2:V730)</f>
        <v>0.53367223983618473</v>
      </c>
      <c r="J232" s="38">
        <f>(VLOOKUP($A232,'The List'!$B1:$AH730,22,FALSE)-AVERAGE('The List'!W2:W730))/STDEV('The List'!W2:W730)</f>
        <v>0.34520519135062028</v>
      </c>
      <c r="K232" s="38">
        <f>(VLOOKUP($A232,'The List'!$B1:$AH730,23,FALSE)-AVERAGE('The List'!X2:X730))/STDEV('The List'!X2:X730)</f>
        <v>-4.2818900722107173E-2</v>
      </c>
      <c r="L232" s="38">
        <f>(VLOOKUP($A232,'The List'!$B1:$AH730,24,FALSE)-AVERAGE('The List'!Y2:Y730))/STDEV('The List'!Y2:Y730)</f>
        <v>-0.44105589207130441</v>
      </c>
      <c r="M232" s="38">
        <f>(VLOOKUP($A232,'The List'!$B1:$AH730,25,FALSE)-AVERAGE('The List'!Z2:Z730))/STDEV('The List'!Z2:Z730)</f>
        <v>-0.6179121496883081</v>
      </c>
      <c r="N232" s="38">
        <f>(VLOOKUP($A232,'The List'!$B1:$AH730,26,FALSE)-AVERAGE('The List'!AA2:AA730))/STDEV('The List'!AA2:AA730)</f>
        <v>-0.87308994729762579</v>
      </c>
      <c r="O232" s="38">
        <f>(VLOOKUP($A232,'The List'!$B1:$AH730,27,FALSE)-AVERAGE('The List'!AB2:AB730))/STDEV('The List'!AB2:AB730)</f>
        <v>-0.70079546354991984</v>
      </c>
      <c r="P232" s="38">
        <f>(VLOOKUP($A232,'The List'!$B1:$AH730,28,FALSE)-AVERAGE('The List'!AC2:AC730))/STDEV('The List'!AC2:AC730)</f>
        <v>-0.42520536794541514</v>
      </c>
      <c r="Q232" s="38">
        <f>(VLOOKUP($A232,'The List'!$B1:$AH730,29,FALSE)-AVERAGE('The List'!AD2:AD730))/STDEV('The List'!AD2:AD730)</f>
        <v>-0.39687482991595502</v>
      </c>
      <c r="R232" s="38">
        <f>(VLOOKUP($A232,'The List'!$B1:$AH730,30,FALSE)-AVERAGE('The List'!AE2:AE730))/STDEV('The List'!AE2:AE730)</f>
        <v>0.41355923797994515</v>
      </c>
      <c r="S232" s="38">
        <f>(VLOOKUP($A232,'The List'!$B1:$AH730,31,FALSE)-AVERAGE('The List'!AF2:AF730))/STDEV('The List'!AF2:AF730)</f>
        <v>-0.2381534027120672</v>
      </c>
      <c r="T232" s="38">
        <f>(VLOOKUP($A232,'The List'!$B1:$AH730,32,FALSE)-AVERAGE('The List'!AG2:AG730))/STDEV('The List'!AG2:AG730)</f>
        <v>-0.24446811820985564</v>
      </c>
      <c r="U232" s="38">
        <f>(VLOOKUP($A232,'The List'!$B1:$AH730,33,FALSE)-AVERAGE('The List'!AH2:AH730))/STDEV('The List'!AH2:AH730)</f>
        <v>0.94981705493880775</v>
      </c>
      <c r="V232" s="38"/>
      <c r="W232" s="42"/>
      <c r="X232" s="40"/>
      <c r="Y232" s="40"/>
      <c r="Z232" s="40"/>
      <c r="AA232" s="40"/>
      <c r="AB232" s="40"/>
      <c r="AC232" s="43"/>
      <c r="AD232" s="44"/>
      <c r="AE232" s="38"/>
    </row>
    <row r="233" spans="1:31" ht="21.2" customHeight="1">
      <c r="A233" s="8" t="s">
        <v>246</v>
      </c>
      <c r="B233" s="34" t="str">
        <f>VLOOKUP(A233,'Player Data'!A1:B734,2,FALSE)</f>
        <v>FLA</v>
      </c>
      <c r="C233" s="36">
        <f>((E233)*Settings!$C$12)+(F233*Settings!$C$2)+(G233*Settings!$C$3)+(H233*Settings!$C$4)+(I233*Settings!$C$5)+(K233*Settings!$C$9)+(N233*Settings!$C$6)+(J233*Settings!$C$8)+(O233*Settings!$C$7)+(P233*Settings!$C$14)+(Q233*Settings!$C$15)+(R233*Settings!$C$16)+(S233*Settings!$C$17)+(T233*Settings!$C$18)+(U233*Settings!$C$19)+(L233*Settings!$C$10)+(Settings!$C$11*M233)</f>
        <v>0.82985902337235906</v>
      </c>
      <c r="D233" s="40">
        <f>IF(Settings!$E$12="YES",VLOOKUP(A233,'Player Data'!A1:E734,5,FALSE),82)</f>
        <v>82</v>
      </c>
      <c r="E233" s="38">
        <f>(VLOOKUP($A233,'The List'!$B1:$AH730,17,FALSE)-AVERAGE('The List'!R2:R730))/STDEV('The List'!R2:R730)</f>
        <v>1.7241705300358334</v>
      </c>
      <c r="F233" s="38">
        <f>(VLOOKUP($A233,'The List'!$B1:$AH730,18,FALSE)-AVERAGE('The List'!S2:S730))/STDEV('The List'!S2:S730)</f>
        <v>-0.2440391716705626</v>
      </c>
      <c r="G233" s="38">
        <f>(VLOOKUP($A233,'The List'!$B1:$AH730,19,FALSE)-AVERAGE('The List'!T2:T730))/STDEV('The List'!T2:T730)</f>
        <v>0.42343257882592716</v>
      </c>
      <c r="H233" s="38">
        <f>(VLOOKUP($A233,'The List'!$B1:$AH730,20,FALSE)-AVERAGE('The List'!U2:U730))/STDEV('The List'!U2:U730)</f>
        <v>0.14676872367300414</v>
      </c>
      <c r="I233" s="38">
        <f>(VLOOKUP($A233,'The List'!$B1:$AH730,21,FALSE)-AVERAGE('The List'!V2:V730))/STDEV('The List'!V2:V730)</f>
        <v>0.87161156537279516</v>
      </c>
      <c r="J233" s="38">
        <f>(VLOOKUP($A233,'The List'!$B1:$AH730,22,FALSE)-AVERAGE('The List'!W2:W730))/STDEV('The List'!W2:W730)</f>
        <v>-0.49637113959819518</v>
      </c>
      <c r="K233" s="38">
        <f>(VLOOKUP($A233,'The List'!$B1:$AH730,23,FALSE)-AVERAGE('The List'!X2:X730))/STDEV('The List'!X2:X730)</f>
        <v>-0.36791467282880469</v>
      </c>
      <c r="L233" s="38">
        <f>(VLOOKUP($A233,'The List'!$B1:$AH730,24,FALSE)-AVERAGE('The List'!Y2:Y730))/STDEV('The List'!Y2:Y730)</f>
        <v>-0.48361747065041649</v>
      </c>
      <c r="M233" s="38">
        <f>(VLOOKUP($A233,'The List'!$B1:$AH730,25,FALSE)-AVERAGE('The List'!Z2:Z730))/STDEV('The List'!Z2:Z730)</f>
        <v>0.54354588903717094</v>
      </c>
      <c r="N233" s="38">
        <f>(VLOOKUP($A233,'The List'!$B1:$AH730,26,FALSE)-AVERAGE('The List'!AA2:AA730))/STDEV('The List'!AA2:AA730)</f>
        <v>1.0631332748450031</v>
      </c>
      <c r="O233" s="38">
        <f>(VLOOKUP($A233,'The List'!$B1:$AH730,27,FALSE)-AVERAGE('The List'!AB2:AB730))/STDEV('The List'!AB2:AB730)</f>
        <v>-0.59994255127795559</v>
      </c>
      <c r="P233" s="38">
        <f>(VLOOKUP($A233,'The List'!$B1:$AH730,28,FALSE)-AVERAGE('The List'!AC2:AC730))/STDEV('The List'!AC2:AC730)</f>
        <v>0.99946181784863897</v>
      </c>
      <c r="Q233" s="38">
        <f>(VLOOKUP($A233,'The List'!$B1:$AH730,29,FALSE)-AVERAGE('The List'!AD2:AD730))/STDEV('The List'!AD2:AD730)</f>
        <v>3.2468342191556407E-2</v>
      </c>
      <c r="R233" s="38">
        <f>(VLOOKUP($A233,'The List'!$B1:$AH730,30,FALSE)-AVERAGE('The List'!AE2:AE730))/STDEV('The List'!AE2:AE730)</f>
        <v>-0.19975990950632921</v>
      </c>
      <c r="S233" s="38">
        <f>(VLOOKUP($A233,'The List'!$B1:$AH730,31,FALSE)-AVERAGE('The List'!AF2:AF730))/STDEV('The List'!AF2:AF730)</f>
        <v>-0.56911587195029545</v>
      </c>
      <c r="T233" s="38">
        <f>(VLOOKUP($A233,'The List'!$B1:$AH730,32,FALSE)-AVERAGE('The List'!AG2:AG730))/STDEV('The List'!AG2:AG730)</f>
        <v>-0.61510119871956948</v>
      </c>
      <c r="U233" s="38">
        <f>(VLOOKUP($A233,'The List'!$B1:$AH730,33,FALSE)-AVERAGE('The List'!AH2:AH730))/STDEV('The List'!AH2:AH730)</f>
        <v>-1.2363238714825984</v>
      </c>
      <c r="V233" s="38"/>
      <c r="W233" s="42"/>
      <c r="X233" s="40"/>
      <c r="Y233" s="40"/>
      <c r="Z233" s="40"/>
      <c r="AA233" s="40"/>
      <c r="AB233" s="40"/>
      <c r="AC233" s="43"/>
      <c r="AD233" s="44"/>
      <c r="AE233" s="38"/>
    </row>
    <row r="234" spans="1:31" ht="21.2" customHeight="1">
      <c r="A234" s="8" t="s">
        <v>232</v>
      </c>
      <c r="B234" s="34" t="str">
        <f>VLOOKUP(A234,'Player Data'!A1:B734,2,FALSE)</f>
        <v>CGY</v>
      </c>
      <c r="C234" s="36">
        <f>((E234)*Settings!$C$12)+(F234*Settings!$C$2)+(G234*Settings!$C$3)+(H234*Settings!$C$4)+(I234*Settings!$C$5)+(K234*Settings!$C$9)+(N234*Settings!$C$6)+(J234*Settings!$C$8)+(O234*Settings!$C$7)+(P234*Settings!$C$14)+(Q234*Settings!$C$15)+(R234*Settings!$C$16)+(S234*Settings!$C$17)+(T234*Settings!$C$18)+(U234*Settings!$C$19)+(L234*Settings!$C$10)+(Settings!$C$11*M234)</f>
        <v>1.096571268206108</v>
      </c>
      <c r="D234" s="40">
        <f>IF(Settings!$E$12="YES",VLOOKUP(A234,'Player Data'!A1:E734,5,FALSE),82)</f>
        <v>82</v>
      </c>
      <c r="E234" s="38">
        <f>(VLOOKUP($A234,'The List'!$B1:$AH730,17,FALSE)-AVERAGE('The List'!R2:R730))/STDEV('The List'!R2:R730)</f>
        <v>1.5893289296974638</v>
      </c>
      <c r="F234" s="38">
        <f>(VLOOKUP($A234,'The List'!$B1:$AH730,18,FALSE)-AVERAGE('The List'!S2:S730))/STDEV('The List'!S2:S730)</f>
        <v>-0.55466036622744719</v>
      </c>
      <c r="G234" s="38">
        <f>(VLOOKUP($A234,'The List'!$B1:$AH730,19,FALSE)-AVERAGE('The List'!T2:T730))/STDEV('The List'!T2:T730)</f>
        <v>0.65316535038875712</v>
      </c>
      <c r="H234" s="38">
        <f>(VLOOKUP($A234,'The List'!$B1:$AH730,20,FALSE)-AVERAGE('The List'!U2:U730))/STDEV('The List'!U2:U730)</f>
        <v>0.1435491029405698</v>
      </c>
      <c r="I234" s="38">
        <f>(VLOOKUP($A234,'The List'!$B1:$AH730,21,FALSE)-AVERAGE('The List'!V2:V730))/STDEV('The List'!V2:V730)</f>
        <v>0.59883875080602766</v>
      </c>
      <c r="J234" s="38">
        <f>(VLOOKUP($A234,'The List'!$B1:$AH730,22,FALSE)-AVERAGE('The List'!W2:W730))/STDEV('The List'!W2:W730)</f>
        <v>-0.44330667256053213</v>
      </c>
      <c r="K234" s="38">
        <f>(VLOOKUP($A234,'The List'!$B1:$AH730,23,FALSE)-AVERAGE('The List'!X2:X730))/STDEV('The List'!X2:X730)</f>
        <v>0.25567843029820064</v>
      </c>
      <c r="L234" s="38">
        <f>(VLOOKUP($A234,'The List'!$B1:$AH730,24,FALSE)-AVERAGE('The List'!Y2:Y730))/STDEV('The List'!Y2:Y730)</f>
        <v>-0.46837523788507207</v>
      </c>
      <c r="M234" s="38">
        <f>(VLOOKUP($A234,'The List'!$B1:$AH730,25,FALSE)-AVERAGE('The List'!Z2:Z730))/STDEV('The List'!Z2:Z730)</f>
        <v>7.0317109616852586E-2</v>
      </c>
      <c r="N234" s="38">
        <f>(VLOOKUP($A234,'The List'!$B1:$AH730,26,FALSE)-AVERAGE('The List'!AA2:AA730))/STDEV('The List'!AA2:AA730)</f>
        <v>1.37800625267757</v>
      </c>
      <c r="O234" s="38">
        <f>(VLOOKUP($A234,'The List'!$B1:$AH730,27,FALSE)-AVERAGE('The List'!AB2:AB730))/STDEV('The List'!AB2:AB730)</f>
        <v>-0.32263944043649262</v>
      </c>
      <c r="P234" s="38">
        <f>(VLOOKUP($A234,'The List'!$B1:$AH730,28,FALSE)-AVERAGE('The List'!AC2:AC730))/STDEV('The List'!AC2:AC730)</f>
        <v>0.69198538686336286</v>
      </c>
      <c r="Q234" s="38">
        <f>(VLOOKUP($A234,'The List'!$B1:$AH730,29,FALSE)-AVERAGE('The List'!AD2:AD730))/STDEV('The List'!AD2:AD730)</f>
        <v>-0.21150580360560664</v>
      </c>
      <c r="R234" s="38">
        <f>(VLOOKUP($A234,'The List'!$B1:$AH730,30,FALSE)-AVERAGE('The List'!AE2:AE730))/STDEV('The List'!AE2:AE730)</f>
        <v>-0.3643895588424545</v>
      </c>
      <c r="S234" s="38">
        <f>(VLOOKUP($A234,'The List'!$B1:$AH730,31,FALSE)-AVERAGE('The List'!AF2:AF730))/STDEV('The List'!AF2:AF730)</f>
        <v>-0.56911587195029545</v>
      </c>
      <c r="T234" s="38">
        <f>(VLOOKUP($A234,'The List'!$B1:$AH730,32,FALSE)-AVERAGE('The List'!AG2:AG730))/STDEV('The List'!AG2:AG730)</f>
        <v>-0.61510119871956948</v>
      </c>
      <c r="U234" s="38">
        <f>(VLOOKUP($A234,'The List'!$B1:$AH730,33,FALSE)-AVERAGE('The List'!AH2:AH730))/STDEV('The List'!AH2:AH730)</f>
        <v>-1.2363238714825984</v>
      </c>
      <c r="V234" s="38"/>
      <c r="W234" s="40"/>
      <c r="X234" s="38"/>
      <c r="Y234" s="38"/>
      <c r="Z234" s="38"/>
      <c r="AA234" s="38"/>
      <c r="AB234" s="38"/>
      <c r="AC234" s="38"/>
      <c r="AD234" s="38"/>
      <c r="AE234" s="38"/>
    </row>
    <row r="235" spans="1:31" ht="21.2" customHeight="1">
      <c r="A235" s="8" t="s">
        <v>427</v>
      </c>
      <c r="B235" s="34" t="str">
        <f>VLOOKUP(A235,'Player Data'!A1:B734,2,FALSE)</f>
        <v>ANA</v>
      </c>
      <c r="C235" s="36">
        <f>((E235)*Settings!$C$12)+(F235*Settings!$C$2)+(G235*Settings!$C$3)+(H235*Settings!$C$4)+(I235*Settings!$C$5)+(K235*Settings!$C$9)+(N235*Settings!$C$6)+(J235*Settings!$C$8)+(O235*Settings!$C$7)+(P235*Settings!$C$14)+(Q235*Settings!$C$15)+(R235*Settings!$C$16)+(S235*Settings!$C$17)+(T235*Settings!$C$18)+(U235*Settings!$C$19)+(L235*Settings!$C$10)+(Settings!$C$11*M235)</f>
        <v>6.0623168759821058E-2</v>
      </c>
      <c r="D235" s="40">
        <f>IF(Settings!$E$12="YES",VLOOKUP(A235,'Player Data'!A1:E734,5,FALSE),82)</f>
        <v>82</v>
      </c>
      <c r="E235" s="38">
        <f>(VLOOKUP($A235,'The List'!$B1:$AH730,17,FALSE)-AVERAGE('The List'!R2:R730))/STDEV('The List'!R2:R730)</f>
        <v>-0.35590832390535393</v>
      </c>
      <c r="F235" s="38">
        <f>(VLOOKUP($A235,'The List'!$B1:$AH730,18,FALSE)-AVERAGE('The List'!S2:S730))/STDEV('The List'!S2:S730)</f>
        <v>6.2338934780986149E-2</v>
      </c>
      <c r="G235" s="38">
        <f>(VLOOKUP($A235,'The List'!$B1:$AH730,19,FALSE)-AVERAGE('The List'!T2:T730))/STDEV('The List'!T2:T730)</f>
        <v>0.17037483876253992</v>
      </c>
      <c r="H235" s="38">
        <f>(VLOOKUP($A235,'The List'!$B1:$AH730,20,FALSE)-AVERAGE('The List'!U2:U730))/STDEV('The List'!U2:U730)</f>
        <v>0.13368173608024719</v>
      </c>
      <c r="I235" s="38">
        <f>(VLOOKUP($A235,'The List'!$B1:$AH730,21,FALSE)-AVERAGE('The List'!V2:V730))/STDEV('The List'!V2:V730)</f>
        <v>-0.23994153508607546</v>
      </c>
      <c r="J235" s="38">
        <f>(VLOOKUP($A235,'The List'!$B1:$AH730,22,FALSE)-AVERAGE('The List'!W2:W730))/STDEV('The List'!W2:W730)</f>
        <v>-0.13110777357063186</v>
      </c>
      <c r="K235" s="38">
        <f>(VLOOKUP($A235,'The List'!$B1:$AH730,23,FALSE)-AVERAGE('The List'!X2:X730))/STDEV('The List'!X2:X730)</f>
        <v>-6.5830805777876741E-2</v>
      </c>
      <c r="L235" s="38">
        <f>(VLOOKUP($A235,'The List'!$B1:$AH730,24,FALSE)-AVERAGE('The List'!Y2:Y730))/STDEV('The List'!Y2:Y730)</f>
        <v>-0.32092233733988929</v>
      </c>
      <c r="M235" s="38">
        <f>(VLOOKUP($A235,'The List'!$B1:$AH730,25,FALSE)-AVERAGE('The List'!Z2:Z730))/STDEV('The List'!Z2:Z730)</f>
        <v>-0.43460737253496567</v>
      </c>
      <c r="N235" s="38">
        <f>(VLOOKUP($A235,'The List'!$B1:$AH730,26,FALSE)-AVERAGE('The List'!AA2:AA730))/STDEV('The List'!AA2:AA730)</f>
        <v>-1.0355385028272548</v>
      </c>
      <c r="O235" s="38">
        <f>(VLOOKUP($A235,'The List'!$B1:$AH730,27,FALSE)-AVERAGE('The List'!AB2:AB730))/STDEV('The List'!AB2:AB730)</f>
        <v>-1.2733196462569289</v>
      </c>
      <c r="P235" s="38">
        <f>(VLOOKUP($A235,'The List'!$B1:$AH730,28,FALSE)-AVERAGE('The List'!AC2:AC730))/STDEV('The List'!AC2:AC730)</f>
        <v>-2.2391130346891197</v>
      </c>
      <c r="Q235" s="38">
        <f>(VLOOKUP($A235,'The List'!$B1:$AH730,29,FALSE)-AVERAGE('The List'!AD2:AD730))/STDEV('The List'!AD2:AD730)</f>
        <v>1.0468702051421555</v>
      </c>
      <c r="R235" s="38">
        <f>(VLOOKUP($A235,'The List'!$B1:$AH730,30,FALSE)-AVERAGE('The List'!AE2:AE730))/STDEV('The List'!AE2:AE730)</f>
        <v>-0.35743473783874002</v>
      </c>
      <c r="S235" s="38">
        <f>(VLOOKUP($A235,'The List'!$B1:$AH730,31,FALSE)-AVERAGE('The List'!AF2:AF730))/STDEV('The List'!AF2:AF730)</f>
        <v>1.1130908522411913</v>
      </c>
      <c r="T235" s="38">
        <f>(VLOOKUP($A235,'The List'!$B1:$AH730,32,FALSE)-AVERAGE('The List'!AG2:AG730))/STDEV('The List'!AG2:AG730)</f>
        <v>1.644489474242816</v>
      </c>
      <c r="U235" s="38">
        <f>(VLOOKUP($A235,'The List'!$B1:$AH730,33,FALSE)-AVERAGE('The List'!AH2:AH730))/STDEV('The List'!AH2:AH730)</f>
        <v>0.74583309782848373</v>
      </c>
      <c r="V235" s="38"/>
      <c r="W235" s="42"/>
      <c r="X235" s="40"/>
      <c r="Y235" s="40"/>
      <c r="Z235" s="40"/>
      <c r="AA235" s="40"/>
      <c r="AB235" s="40"/>
      <c r="AC235" s="43"/>
      <c r="AD235" s="44"/>
      <c r="AE235" s="38"/>
    </row>
    <row r="236" spans="1:31" ht="21.2" customHeight="1">
      <c r="A236" s="8" t="s">
        <v>405</v>
      </c>
      <c r="B236" s="34" t="str">
        <f>VLOOKUP(A236,'Player Data'!A1:B734,2,FALSE)</f>
        <v>ARI</v>
      </c>
      <c r="C236" s="36">
        <f>((E236)*Settings!$C$12)+(F236*Settings!$C$2)+(G236*Settings!$C$3)+(H236*Settings!$C$4)+(I236*Settings!$C$5)+(K236*Settings!$C$9)+(N236*Settings!$C$6)+(J236*Settings!$C$8)+(O236*Settings!$C$7)+(P236*Settings!$C$14)+(Q236*Settings!$C$15)+(R236*Settings!$C$16)+(S236*Settings!$C$17)+(T236*Settings!$C$18)+(U236*Settings!$C$19)+(L236*Settings!$C$10)+(Settings!$C$11*M236)</f>
        <v>0.45234264417587711</v>
      </c>
      <c r="D236" s="40">
        <f>IF(Settings!$E$12="YES",VLOOKUP(A236,'Player Data'!A1:E734,5,FALSE),82)</f>
        <v>82</v>
      </c>
      <c r="E236" s="38">
        <f>(VLOOKUP($A236,'The List'!$B1:$AH730,17,FALSE)-AVERAGE('The List'!R2:R730))/STDEV('The List'!R2:R730)</f>
        <v>7.3018096836328594E-2</v>
      </c>
      <c r="F236" s="38">
        <f>(VLOOKUP($A236,'The List'!$B1:$AH730,18,FALSE)-AVERAGE('The List'!S2:S730))/STDEV('The List'!S2:S730)</f>
        <v>0.66182705817770626</v>
      </c>
      <c r="G236" s="38">
        <f>(VLOOKUP($A236,'The List'!$B1:$AH730,19,FALSE)-AVERAGE('The List'!T2:T730))/STDEV('The List'!T2:T730)</f>
        <v>-0.2871118950797672</v>
      </c>
      <c r="H236" s="38">
        <f>(VLOOKUP($A236,'The List'!$B1:$AH730,20,FALSE)-AVERAGE('The List'!U2:U730))/STDEV('The List'!U2:U730)</f>
        <v>0.13122406016515895</v>
      </c>
      <c r="I236" s="38">
        <f>(VLOOKUP($A236,'The List'!$B1:$AH730,21,FALSE)-AVERAGE('The List'!V2:V730))/STDEV('The List'!V2:V730)</f>
        <v>0.13821787150403128</v>
      </c>
      <c r="J236" s="38">
        <f>(VLOOKUP($A236,'The List'!$B1:$AH730,22,FALSE)-AVERAGE('The List'!W2:W730))/STDEV('The List'!W2:W730)</f>
        <v>0.25759152990081025</v>
      </c>
      <c r="K236" s="38">
        <f>(VLOOKUP($A236,'The List'!$B1:$AH730,23,FALSE)-AVERAGE('The List'!X2:X730))/STDEV('The List'!X2:X730)</f>
        <v>-0.19181445059125221</v>
      </c>
      <c r="L236" s="38">
        <f>(VLOOKUP($A236,'The List'!$B1:$AH730,24,FALSE)-AVERAGE('The List'!Y2:Y730))/STDEV('The List'!Y2:Y730)</f>
        <v>0.24733290485245585</v>
      </c>
      <c r="M236" s="38">
        <f>(VLOOKUP($A236,'The List'!$B1:$AH730,25,FALSE)-AVERAGE('The List'!Z2:Z730))/STDEV('The List'!Z2:Z730)</f>
        <v>-8.0988391889212641E-3</v>
      </c>
      <c r="N236" s="38">
        <f>(VLOOKUP($A236,'The List'!$B1:$AH730,26,FALSE)-AVERAGE('The List'!AA2:AA730))/STDEV('The List'!AA2:AA730)</f>
        <v>-0.25662660961741646</v>
      </c>
      <c r="O236" s="38">
        <f>(VLOOKUP($A236,'The List'!$B1:$AH730,27,FALSE)-AVERAGE('The List'!AB2:AB730))/STDEV('The List'!AB2:AB730)</f>
        <v>1.8159694686507966</v>
      </c>
      <c r="P236" s="38">
        <f>(VLOOKUP($A236,'The List'!$B1:$AH730,28,FALSE)-AVERAGE('The List'!AC2:AC730))/STDEV('The List'!AC2:AC730)</f>
        <v>-0.71823941728969165</v>
      </c>
      <c r="Q236" s="38">
        <f>(VLOOKUP($A236,'The List'!$B1:$AH730,29,FALSE)-AVERAGE('The List'!AD2:AD730))/STDEV('The List'!AD2:AD730)</f>
        <v>0.6428519087633433</v>
      </c>
      <c r="R236" s="38">
        <f>(VLOOKUP($A236,'The List'!$B1:$AH730,30,FALSE)-AVERAGE('The List'!AE2:AE730))/STDEV('The List'!AE2:AE730)</f>
        <v>0.41816925341286004</v>
      </c>
      <c r="S236" s="38">
        <f>(VLOOKUP($A236,'The List'!$B1:$AH730,31,FALSE)-AVERAGE('The List'!AF2:AF730))/STDEV('The List'!AF2:AF730)</f>
        <v>-0.42498632652165663</v>
      </c>
      <c r="T236" s="38">
        <f>(VLOOKUP($A236,'The List'!$B1:$AH730,32,FALSE)-AVERAGE('The List'!AG2:AG730))/STDEV('The List'!AG2:AG730)</f>
        <v>-0.37678357356534597</v>
      </c>
      <c r="U236" s="38">
        <f>(VLOOKUP($A236,'The List'!$B1:$AH730,33,FALSE)-AVERAGE('The List'!AH2:AH730))/STDEV('The List'!AH2:AH730)</f>
        <v>0.51840438100305986</v>
      </c>
      <c r="V236" s="38"/>
      <c r="W236" s="42"/>
      <c r="X236" s="40"/>
      <c r="Y236" s="40"/>
      <c r="Z236" s="40"/>
      <c r="AA236" s="40"/>
      <c r="AB236" s="40"/>
      <c r="AC236" s="43"/>
      <c r="AD236" s="44"/>
      <c r="AE236" s="38"/>
    </row>
    <row r="237" spans="1:31" ht="21.2" customHeight="1">
      <c r="A237" s="8" t="s">
        <v>353</v>
      </c>
      <c r="B237" s="34" t="str">
        <f>VLOOKUP(A237,'Player Data'!A1:B734,2,FALSE)</f>
        <v>CBJ</v>
      </c>
      <c r="C237" s="36">
        <f>((E237)*Settings!$C$12)+(F237*Settings!$C$2)+(G237*Settings!$C$3)+(H237*Settings!$C$4)+(I237*Settings!$C$5)+(K237*Settings!$C$9)+(N237*Settings!$C$6)+(J237*Settings!$C$8)+(O237*Settings!$C$7)+(P237*Settings!$C$14)+(Q237*Settings!$C$15)+(R237*Settings!$C$16)+(S237*Settings!$C$17)+(T237*Settings!$C$18)+(U237*Settings!$C$19)+(L237*Settings!$C$10)+(Settings!$C$11*M237)</f>
        <v>1.7550229536737803</v>
      </c>
      <c r="D237" s="40">
        <f>IF(Settings!$E$12="YES",VLOOKUP(A237,'Player Data'!A1:E734,5,FALSE),82)</f>
        <v>82</v>
      </c>
      <c r="E237" s="38">
        <f>(VLOOKUP($A237,'The List'!$B1:$AH730,17,FALSE)-AVERAGE('The List'!R2:R730))/STDEV('The List'!R2:R730)</f>
        <v>-9.6799852973297254E-2</v>
      </c>
      <c r="F237" s="38">
        <f>(VLOOKUP($A237,'The List'!$B1:$AH730,18,FALSE)-AVERAGE('The List'!S2:S730))/STDEV('The List'!S2:S730)</f>
        <v>1.2785016411627046</v>
      </c>
      <c r="G237" s="38">
        <f>(VLOOKUP($A237,'The List'!$B1:$AH730,19,FALSE)-AVERAGE('The List'!T2:T730))/STDEV('The List'!T2:T730)</f>
        <v>-0.759183964187371</v>
      </c>
      <c r="H237" s="38">
        <f>(VLOOKUP($A237,'The List'!$B1:$AH730,20,FALSE)-AVERAGE('The List'!U2:U730))/STDEV('The List'!U2:U730)</f>
        <v>0.12779264518666195</v>
      </c>
      <c r="I237" s="38">
        <f>(VLOOKUP($A237,'The List'!$B1:$AH730,21,FALSE)-AVERAGE('The List'!V2:V730))/STDEV('The List'!V2:V730)</f>
        <v>0.61236551592409638</v>
      </c>
      <c r="J237" s="38">
        <f>(VLOOKUP($A237,'The List'!$B1:$AH730,22,FALSE)-AVERAGE('The List'!W2:W730))/STDEV('The List'!W2:W730)</f>
        <v>1.6265189643786766</v>
      </c>
      <c r="K237" s="38">
        <f>(VLOOKUP($A237,'The List'!$B1:$AH730,23,FALSE)-AVERAGE('The List'!X2:X730))/STDEV('The List'!X2:X730)</f>
        <v>0.49554711558768838</v>
      </c>
      <c r="L237" s="38">
        <f>(VLOOKUP($A237,'The List'!$B1:$AH730,24,FALSE)-AVERAGE('The List'!Y2:Y730))/STDEV('The List'!Y2:Y730)</f>
        <v>-0.46453829342380071</v>
      </c>
      <c r="M237" s="38">
        <f>(VLOOKUP($A237,'The List'!$B1:$AH730,25,FALSE)-AVERAGE('The List'!Z2:Z730))/STDEV('The List'!Z2:Z730)</f>
        <v>-0.62978888621838691</v>
      </c>
      <c r="N237" s="38">
        <f>(VLOOKUP($A237,'The List'!$B1:$AH730,26,FALSE)-AVERAGE('The List'!AA2:AA730))/STDEV('The List'!AA2:AA730)</f>
        <v>-0.34028599046725982</v>
      </c>
      <c r="O237" s="38">
        <f>(VLOOKUP($A237,'The List'!$B1:$AH730,27,FALSE)-AVERAGE('The List'!AB2:AB730))/STDEV('The List'!AB2:AB730)</f>
        <v>-0.85711991074944194</v>
      </c>
      <c r="P237" s="38">
        <f>(VLOOKUP($A237,'The List'!$B1:$AH730,28,FALSE)-AVERAGE('The List'!AC2:AC730))/STDEV('The List'!AC2:AC730)</f>
        <v>-1.4529005861989044</v>
      </c>
      <c r="Q237" s="38">
        <f>(VLOOKUP($A237,'The List'!$B1:$AH730,29,FALSE)-AVERAGE('The List'!AD2:AD730))/STDEV('The List'!AD2:AD730)</f>
        <v>-0.54363008677703928</v>
      </c>
      <c r="R237" s="38">
        <f>(VLOOKUP($A237,'The List'!$B1:$AH730,30,FALSE)-AVERAGE('The List'!AE2:AE730))/STDEV('The List'!AE2:AE730)</f>
        <v>0.59657609405452838</v>
      </c>
      <c r="S237" s="38">
        <f>(VLOOKUP($A237,'The List'!$B1:$AH730,31,FALSE)-AVERAGE('The List'!AF2:AF730))/STDEV('The List'!AF2:AF730)</f>
        <v>-0.51066109193582432</v>
      </c>
      <c r="T237" s="38">
        <f>(VLOOKUP($A237,'The List'!$B1:$AH730,32,FALSE)-AVERAGE('The List'!AG2:AG730))/STDEV('The List'!AG2:AG730)</f>
        <v>-0.56733451982909477</v>
      </c>
      <c r="U237" s="38">
        <f>(VLOOKUP($A237,'The List'!$B1:$AH730,33,FALSE)-AVERAGE('The List'!AH2:AH730))/STDEV('The List'!AH2:AH730)</f>
        <v>1.3041206224183535</v>
      </c>
      <c r="V237" s="38"/>
      <c r="W237" s="42"/>
      <c r="X237" s="40"/>
      <c r="Y237" s="40"/>
      <c r="Z237" s="40"/>
      <c r="AA237" s="40"/>
      <c r="AB237" s="40"/>
      <c r="AC237" s="43"/>
      <c r="AD237" s="44"/>
      <c r="AE237" s="38"/>
    </row>
    <row r="238" spans="1:31" ht="21.2" customHeight="1">
      <c r="A238" s="8" t="s">
        <v>469</v>
      </c>
      <c r="B238" s="34" t="str">
        <f>VLOOKUP(A238,'Player Data'!A1:B734,2,FALSE)</f>
        <v>NYR</v>
      </c>
      <c r="C238" s="36">
        <f>((E238)*Settings!$C$12)+(F238*Settings!$C$2)+(G238*Settings!$C$3)+(H238*Settings!$C$4)+(I238*Settings!$C$5)+(K238*Settings!$C$9)+(N238*Settings!$C$6)+(J238*Settings!$C$8)+(O238*Settings!$C$7)+(P238*Settings!$C$14)+(Q238*Settings!$C$15)+(R238*Settings!$C$16)+(S238*Settings!$C$17)+(T238*Settings!$C$18)+(U238*Settings!$C$19)+(L238*Settings!$C$10)+(Settings!$C$11*M238)</f>
        <v>6.3786970140292221E-2</v>
      </c>
      <c r="D238" s="40">
        <f>IF(Settings!$E$12="YES",VLOOKUP(A238,'Player Data'!A1:E734,5,FALSE),82)</f>
        <v>82</v>
      </c>
      <c r="E238" s="38">
        <f>(VLOOKUP($A238,'The List'!$B1:$AH730,17,FALSE)-AVERAGE('The List'!R2:R730))/STDEV('The List'!R2:R730)</f>
        <v>-0.28155215179163995</v>
      </c>
      <c r="F238" s="38">
        <f>(VLOOKUP($A238,'The List'!$B1:$AH730,18,FALSE)-AVERAGE('The List'!S2:S730))/STDEV('The List'!S2:S730)</f>
        <v>0.46677286761471914</v>
      </c>
      <c r="G238" s="38">
        <f>(VLOOKUP($A238,'The List'!$B1:$AH730,19,FALSE)-AVERAGE('The List'!T2:T730))/STDEV('The List'!T2:T730)</f>
        <v>-2.8414995753279341E-3</v>
      </c>
      <c r="H238" s="38">
        <f>(VLOOKUP($A238,'The List'!$B1:$AH730,20,FALSE)-AVERAGE('The List'!U2:U730))/STDEV('The List'!U2:U730)</f>
        <v>0.21524394922659898</v>
      </c>
      <c r="I238" s="38">
        <f>(VLOOKUP($A238,'The List'!$B1:$AH730,21,FALSE)-AVERAGE('The List'!V2:V730))/STDEV('The List'!V2:V730)</f>
        <v>-0.16269483424585124</v>
      </c>
      <c r="J238" s="38">
        <f>(VLOOKUP($A238,'The List'!$B1:$AH730,22,FALSE)-AVERAGE('The List'!W2:W730))/STDEV('The List'!W2:W730)</f>
        <v>-0.44170512236432469</v>
      </c>
      <c r="K238" s="38">
        <f>(VLOOKUP($A238,'The List'!$B1:$AH730,23,FALSE)-AVERAGE('The List'!X2:X730))/STDEV('The List'!X2:X730)</f>
        <v>-0.45269351287984683</v>
      </c>
      <c r="L238" s="38">
        <f>(VLOOKUP($A238,'The List'!$B1:$AH730,24,FALSE)-AVERAGE('The List'!Y2:Y730))/STDEV('The List'!Y2:Y730)</f>
        <v>-0.29662463197479355</v>
      </c>
      <c r="M238" s="38">
        <f>(VLOOKUP($A238,'The List'!$B1:$AH730,25,FALSE)-AVERAGE('The List'!Z2:Z730))/STDEV('The List'!Z2:Z730)</f>
        <v>-0.38877693726913493</v>
      </c>
      <c r="N238" s="38">
        <f>(VLOOKUP($A238,'The List'!$B1:$AH730,26,FALSE)-AVERAGE('The List'!AA2:AA730))/STDEV('The List'!AA2:AA730)</f>
        <v>-0.8756429750066721</v>
      </c>
      <c r="O238" s="38">
        <f>(VLOOKUP($A238,'The List'!$B1:$AH730,27,FALSE)-AVERAGE('The List'!AB2:AB730))/STDEV('The List'!AB2:AB730)</f>
        <v>-1.372661859631588</v>
      </c>
      <c r="P238" s="38">
        <f>(VLOOKUP($A238,'The List'!$B1:$AH730,28,FALSE)-AVERAGE('The List'!AC2:AC730))/STDEV('The List'!AC2:AC730)</f>
        <v>1.2970830635000929</v>
      </c>
      <c r="Q238" s="38">
        <f>(VLOOKUP($A238,'The List'!$B1:$AH730,29,FALSE)-AVERAGE('The List'!AD2:AD730))/STDEV('The List'!AD2:AD730)</f>
        <v>-1.1933118869893076</v>
      </c>
      <c r="R238" s="38">
        <f>(VLOOKUP($A238,'The List'!$B1:$AH730,30,FALSE)-AVERAGE('The List'!AE2:AE730))/STDEV('The List'!AE2:AE730)</f>
        <v>0.7865763943852464</v>
      </c>
      <c r="S238" s="38">
        <f>(VLOOKUP($A238,'The List'!$B1:$AH730,31,FALSE)-AVERAGE('The List'!AF2:AF730))/STDEV('The List'!AF2:AF730)</f>
        <v>-0.56229212340083401</v>
      </c>
      <c r="T238" s="38">
        <f>(VLOOKUP($A238,'The List'!$B1:$AH730,32,FALSE)-AVERAGE('The List'!AG2:AG730))/STDEV('The List'!AG2:AG730)</f>
        <v>-0.59426641685806014</v>
      </c>
      <c r="U238" s="38">
        <f>(VLOOKUP($A238,'The List'!$B1:$AH730,33,FALSE)-AVERAGE('The List'!AH2:AH730))/STDEV('The List'!AH2:AH730)</f>
        <v>-8.0106647308361742E-2</v>
      </c>
      <c r="V238" s="38"/>
      <c r="W238" s="42"/>
      <c r="X238" s="40"/>
      <c r="Y238" s="40"/>
      <c r="Z238" s="40"/>
      <c r="AA238" s="40"/>
      <c r="AB238" s="40"/>
      <c r="AC238" s="43"/>
      <c r="AD238" s="44"/>
      <c r="AE238" s="38"/>
    </row>
    <row r="239" spans="1:31" ht="21.2" customHeight="1">
      <c r="A239" s="8" t="s">
        <v>251</v>
      </c>
      <c r="B239" s="34" t="str">
        <f>VLOOKUP(A239,'Player Data'!A1:B734,2,FALSE)</f>
        <v>BOS</v>
      </c>
      <c r="C239" s="36">
        <f>((E239)*Settings!$C$12)+(F239*Settings!$C$2)+(G239*Settings!$C$3)+(H239*Settings!$C$4)+(I239*Settings!$C$5)+(K239*Settings!$C$9)+(N239*Settings!$C$6)+(J239*Settings!$C$8)+(O239*Settings!$C$7)+(P239*Settings!$C$14)+(Q239*Settings!$C$15)+(R239*Settings!$C$16)+(S239*Settings!$C$17)+(T239*Settings!$C$18)+(U239*Settings!$C$19)+(L239*Settings!$C$10)+(Settings!$C$11*M239)</f>
        <v>1.1979645638175078</v>
      </c>
      <c r="D239" s="40">
        <f>IF(Settings!$E$12="YES",VLOOKUP(A239,'Player Data'!A1:E734,5,FALSE),82)</f>
        <v>82</v>
      </c>
      <c r="E239" s="38">
        <f>(VLOOKUP($A239,'The List'!$B1:$AH730,17,FALSE)-AVERAGE('The List'!R2:R730))/STDEV('The List'!R2:R730)</f>
        <v>1.366962242954733</v>
      </c>
      <c r="F239" s="38">
        <f>(VLOOKUP($A239,'The List'!$B1:$AH730,18,FALSE)-AVERAGE('The List'!S2:S730))/STDEV('The List'!S2:S730)</f>
        <v>-0.60088176484801226</v>
      </c>
      <c r="G239" s="38">
        <f>(VLOOKUP($A239,'The List'!$B1:$AH730,19,FALSE)-AVERAGE('The List'!T2:T730))/STDEV('The List'!T2:T730)</f>
        <v>0.78905001962555799</v>
      </c>
      <c r="H239" s="38">
        <f>(VLOOKUP($A239,'The List'!$B1:$AH730,20,FALSE)-AVERAGE('The List'!U2:U730))/STDEV('The List'!U2:U730)</f>
        <v>0.20556849144981243</v>
      </c>
      <c r="I239" s="38">
        <f>(VLOOKUP($A239,'The List'!$B1:$AH730,21,FALSE)-AVERAGE('The List'!V2:V730))/STDEV('The List'!V2:V730)</f>
        <v>0.17433925215640708</v>
      </c>
      <c r="J239" s="38">
        <f>(VLOOKUP($A239,'The List'!$B1:$AH730,22,FALSE)-AVERAGE('The List'!W2:W730))/STDEV('The List'!W2:W730)</f>
        <v>-0.39068955212497269</v>
      </c>
      <c r="K239" s="38">
        <f>(VLOOKUP($A239,'The List'!$B1:$AH730,23,FALSE)-AVERAGE('The List'!X2:X730))/STDEV('The List'!X2:X730)</f>
        <v>0.62988856543374261</v>
      </c>
      <c r="L239" s="38">
        <f>(VLOOKUP($A239,'The List'!$B1:$AH730,24,FALSE)-AVERAGE('The List'!Y2:Y730))/STDEV('The List'!Y2:Y730)</f>
        <v>-0.50726327832021123</v>
      </c>
      <c r="M239" s="38">
        <f>(VLOOKUP($A239,'The List'!$B1:$AH730,25,FALSE)-AVERAGE('The List'!Z2:Z730))/STDEV('The List'!Z2:Z730)</f>
        <v>-0.33453868353611182</v>
      </c>
      <c r="N239" s="38">
        <f>(VLOOKUP($A239,'The List'!$B1:$AH730,26,FALSE)-AVERAGE('The List'!AA2:AA730))/STDEV('The List'!AA2:AA730)</f>
        <v>0.94515471726093847</v>
      </c>
      <c r="O239" s="38">
        <f>(VLOOKUP($A239,'The List'!$B1:$AH730,27,FALSE)-AVERAGE('The List'!AB2:AB730))/STDEV('The List'!AB2:AB730)</f>
        <v>-0.30326699563773235</v>
      </c>
      <c r="P239" s="38">
        <f>(VLOOKUP($A239,'The List'!$B1:$AH730,28,FALSE)-AVERAGE('The List'!AC2:AC730))/STDEV('The List'!AC2:AC730)</f>
        <v>1.4707935690312337</v>
      </c>
      <c r="Q239" s="38">
        <f>(VLOOKUP($A239,'The List'!$B1:$AH730,29,FALSE)-AVERAGE('The List'!AD2:AD730))/STDEV('The List'!AD2:AD730)</f>
        <v>1.2757190096364848</v>
      </c>
      <c r="R239" s="38">
        <f>(VLOOKUP($A239,'The List'!$B1:$AH730,30,FALSE)-AVERAGE('The List'!AE2:AE730))/STDEV('The List'!AE2:AE730)</f>
        <v>-0.41076940300851456</v>
      </c>
      <c r="S239" s="38">
        <f>(VLOOKUP($A239,'The List'!$B1:$AH730,31,FALSE)-AVERAGE('The List'!AF2:AF730))/STDEV('The List'!AF2:AF730)</f>
        <v>-0.56911587195029545</v>
      </c>
      <c r="T239" s="38">
        <f>(VLOOKUP($A239,'The List'!$B1:$AH730,32,FALSE)-AVERAGE('The List'!AG2:AG730))/STDEV('The List'!AG2:AG730)</f>
        <v>-0.61510119871956948</v>
      </c>
      <c r="U239" s="38">
        <f>(VLOOKUP($A239,'The List'!$B1:$AH730,33,FALSE)-AVERAGE('The List'!AH2:AH730))/STDEV('The List'!AH2:AH730)</f>
        <v>-1.2363238714825984</v>
      </c>
      <c r="V239" s="38"/>
      <c r="W239" s="42"/>
      <c r="X239" s="40"/>
      <c r="Y239" s="40"/>
      <c r="Z239" s="40"/>
      <c r="AA239" s="40"/>
      <c r="AB239" s="40"/>
      <c r="AC239" s="43"/>
      <c r="AD239" s="44"/>
      <c r="AE239" s="38"/>
    </row>
    <row r="240" spans="1:31" ht="21.2" customHeight="1">
      <c r="A240" s="8" t="s">
        <v>269</v>
      </c>
      <c r="B240" s="34" t="str">
        <f>VLOOKUP(A240,'Player Data'!A1:B734,2,FALSE)</f>
        <v>VAN</v>
      </c>
      <c r="C240" s="36">
        <f>((E240)*Settings!$C$12)+(F240*Settings!$C$2)+(G240*Settings!$C$3)+(H240*Settings!$C$4)+(I240*Settings!$C$5)+(K240*Settings!$C$9)+(N240*Settings!$C$6)+(J240*Settings!$C$8)+(O240*Settings!$C$7)+(P240*Settings!$C$14)+(Q240*Settings!$C$15)+(R240*Settings!$C$16)+(S240*Settings!$C$17)+(T240*Settings!$C$18)+(U240*Settings!$C$19)+(L240*Settings!$C$10)+(Settings!$C$11*M240)</f>
        <v>0.40876425327896104</v>
      </c>
      <c r="D240" s="40">
        <f>IF(Settings!$E$12="YES",VLOOKUP(A240,'Player Data'!A1:E734,5,FALSE),82)</f>
        <v>82</v>
      </c>
      <c r="E240" s="38">
        <f>(VLOOKUP($A240,'The List'!$B1:$AH730,17,FALSE)-AVERAGE('The List'!R2:R730))/STDEV('The List'!R2:R730)</f>
        <v>1.5020656505201075</v>
      </c>
      <c r="F240" s="38">
        <f>(VLOOKUP($A240,'The List'!$B1:$AH730,18,FALSE)-AVERAGE('The List'!S2:S730))/STDEV('The List'!S2:S730)</f>
        <v>-0.6667530069768558</v>
      </c>
      <c r="G240" s="38">
        <f>(VLOOKUP($A240,'The List'!$B1:$AH730,19,FALSE)-AVERAGE('The List'!T2:T730))/STDEV('The List'!T2:T730)</f>
        <v>0.67704305596371273</v>
      </c>
      <c r="H240" s="38">
        <f>(VLOOKUP($A240,'The List'!$B1:$AH730,20,FALSE)-AVERAGE('The List'!U2:U730))/STDEV('The List'!U2:U730)</f>
        <v>0.10611403590510486</v>
      </c>
      <c r="I240" s="38">
        <f>(VLOOKUP($A240,'The List'!$B1:$AH730,21,FALSE)-AVERAGE('The List'!V2:V730))/STDEV('The List'!V2:V730)</f>
        <v>0.10997224490510256</v>
      </c>
      <c r="J240" s="38">
        <f>(VLOOKUP($A240,'The List'!$B1:$AH730,22,FALSE)-AVERAGE('The List'!W2:W730))/STDEV('The List'!W2:W730)</f>
        <v>-0.20485638904185052</v>
      </c>
      <c r="K240" s="38">
        <f>(VLOOKUP($A240,'The List'!$B1:$AH730,23,FALSE)-AVERAGE('The List'!X2:X730))/STDEV('The List'!X2:X730)</f>
        <v>0.18238792348189672</v>
      </c>
      <c r="L240" s="38">
        <f>(VLOOKUP($A240,'The List'!$B1:$AH730,24,FALSE)-AVERAGE('The List'!Y2:Y730))/STDEV('The List'!Y2:Y730)</f>
        <v>-0.44547717030723533</v>
      </c>
      <c r="M240" s="38">
        <f>(VLOOKUP($A240,'The List'!$B1:$AH730,25,FALSE)-AVERAGE('The List'!Z2:Z730))/STDEV('The List'!Z2:Z730)</f>
        <v>-0.41332404443564014</v>
      </c>
      <c r="N240" s="38">
        <f>(VLOOKUP($A240,'The List'!$B1:$AH730,26,FALSE)-AVERAGE('The List'!AA2:AA730))/STDEV('The List'!AA2:AA730)</f>
        <v>0.6301312737588588</v>
      </c>
      <c r="O240" s="38">
        <f>(VLOOKUP($A240,'The List'!$B1:$AH730,27,FALSE)-AVERAGE('The List'!AB2:AB730))/STDEV('The List'!AB2:AB730)</f>
        <v>0.16547024608228914</v>
      </c>
      <c r="P240" s="38">
        <f>(VLOOKUP($A240,'The List'!$B1:$AH730,28,FALSE)-AVERAGE('The List'!AC2:AC730))/STDEV('The List'!AC2:AC730)</f>
        <v>5.3408582603460028E-2</v>
      </c>
      <c r="Q240" s="38">
        <f>(VLOOKUP($A240,'The List'!$B1:$AH730,29,FALSE)-AVERAGE('The List'!AD2:AD730))/STDEV('The List'!AD2:AD730)</f>
        <v>-9.3345063842136616E-2</v>
      </c>
      <c r="R240" s="38">
        <f>(VLOOKUP($A240,'The List'!$B1:$AH730,30,FALSE)-AVERAGE('The List'!AE2:AE730))/STDEV('The List'!AE2:AE730)</f>
        <v>-0.60332046859409461</v>
      </c>
      <c r="S240" s="38">
        <f>(VLOOKUP($A240,'The List'!$B1:$AH730,31,FALSE)-AVERAGE('The List'!AF2:AF730))/STDEV('The List'!AF2:AF730)</f>
        <v>-0.56911587195029545</v>
      </c>
      <c r="T240" s="38">
        <f>(VLOOKUP($A240,'The List'!$B1:$AH730,32,FALSE)-AVERAGE('The List'!AG2:AG730))/STDEV('The List'!AG2:AG730)</f>
        <v>-0.61510119871956948</v>
      </c>
      <c r="U240" s="38">
        <f>(VLOOKUP($A240,'The List'!$B1:$AH730,33,FALSE)-AVERAGE('The List'!AH2:AH730))/STDEV('The List'!AH2:AH730)</f>
        <v>-1.2363238714825984</v>
      </c>
      <c r="V240" s="38"/>
      <c r="W240" s="42"/>
      <c r="X240" s="40"/>
      <c r="Y240" s="40"/>
      <c r="Z240" s="40"/>
      <c r="AA240" s="40"/>
      <c r="AB240" s="40"/>
      <c r="AC240" s="43"/>
      <c r="AD240" s="44"/>
      <c r="AE240" s="38"/>
    </row>
    <row r="241" spans="1:31" ht="21.2" customHeight="1">
      <c r="A241" s="8" t="s">
        <v>350</v>
      </c>
      <c r="B241" s="34" t="str">
        <f>VLOOKUP(A241,'Player Data'!A1:B734,2,FALSE)</f>
        <v>COL</v>
      </c>
      <c r="C241" s="36">
        <f>((E241)*Settings!$C$12)+(F241*Settings!$C$2)+(G241*Settings!$C$3)+(H241*Settings!$C$4)+(I241*Settings!$C$5)+(K241*Settings!$C$9)+(N241*Settings!$C$6)+(J241*Settings!$C$8)+(O241*Settings!$C$7)+(P241*Settings!$C$14)+(Q241*Settings!$C$15)+(R241*Settings!$C$16)+(S241*Settings!$C$17)+(T241*Settings!$C$18)+(U241*Settings!$C$19)+(L241*Settings!$C$10)+(Settings!$C$11*M241)</f>
        <v>-0.20640304525821535</v>
      </c>
      <c r="D241" s="40">
        <f>IF(Settings!$E$12="YES",VLOOKUP(A241,'Player Data'!A1:E734,5,FALSE),82)</f>
        <v>82</v>
      </c>
      <c r="E241" s="38">
        <f>(VLOOKUP($A241,'The List'!$B1:$AH730,17,FALSE)-AVERAGE('The List'!R2:R730))/STDEV('The List'!R2:R730)</f>
        <v>1.0691861028141878</v>
      </c>
      <c r="F241" s="38">
        <f>(VLOOKUP($A241,'The List'!$B1:$AH730,18,FALSE)-AVERAGE('The List'!S2:S730))/STDEV('The List'!S2:S730)</f>
        <v>-8.8411058651363866E-2</v>
      </c>
      <c r="G241" s="38">
        <f>(VLOOKUP($A241,'The List'!$B1:$AH730,19,FALSE)-AVERAGE('The List'!T2:T730))/STDEV('The List'!T2:T730)</f>
        <v>0.2253561604348244</v>
      </c>
      <c r="H241" s="38">
        <f>(VLOOKUP($A241,'The List'!$B1:$AH730,20,FALSE)-AVERAGE('The List'!U2:U730))/STDEV('The List'!U2:U730)</f>
        <v>9.7390300258798454E-2</v>
      </c>
      <c r="I241" s="38">
        <f>(VLOOKUP($A241,'The List'!$B1:$AH730,21,FALSE)-AVERAGE('The List'!V2:V730))/STDEV('The List'!V2:V730)</f>
        <v>-0.33657420177255926</v>
      </c>
      <c r="J241" s="38">
        <f>(VLOOKUP($A241,'The List'!$B1:$AH730,22,FALSE)-AVERAGE('The List'!W2:W730))/STDEV('The List'!W2:W730)</f>
        <v>-7.6959970341554884E-2</v>
      </c>
      <c r="K241" s="38">
        <f>(VLOOKUP($A241,'The List'!$B1:$AH730,23,FALSE)-AVERAGE('The List'!X2:X730))/STDEV('The List'!X2:X730)</f>
        <v>-0.10416424552791509</v>
      </c>
      <c r="L241" s="38">
        <f>(VLOOKUP($A241,'The List'!$B1:$AH730,24,FALSE)-AVERAGE('The List'!Y2:Y730))/STDEV('The List'!Y2:Y730)</f>
        <v>0.82883446503325287</v>
      </c>
      <c r="M241" s="38">
        <f>(VLOOKUP($A241,'The List'!$B1:$AH730,25,FALSE)-AVERAGE('The List'!Z2:Z730))/STDEV('The List'!Z2:Z730)</f>
        <v>0.36194927295152263</v>
      </c>
      <c r="N241" s="38">
        <f>(VLOOKUP($A241,'The List'!$B1:$AH730,26,FALSE)-AVERAGE('The List'!AA2:AA730))/STDEV('The List'!AA2:AA730)</f>
        <v>0.96905989659115921</v>
      </c>
      <c r="O241" s="38">
        <f>(VLOOKUP($A241,'The List'!$B1:$AH730,27,FALSE)-AVERAGE('The List'!AB2:AB730))/STDEV('The List'!AB2:AB730)</f>
        <v>0.81574898506730598</v>
      </c>
      <c r="P241" s="38">
        <f>(VLOOKUP($A241,'The List'!$B1:$AH730,28,FALSE)-AVERAGE('The List'!AC2:AC730))/STDEV('The List'!AC2:AC730)</f>
        <v>0.65590499616367981</v>
      </c>
      <c r="Q241" s="38">
        <f>(VLOOKUP($A241,'The List'!$B1:$AH730,29,FALSE)-AVERAGE('The List'!AD2:AD730))/STDEV('The List'!AD2:AD730)</f>
        <v>1.6881434781488303</v>
      </c>
      <c r="R241" s="38">
        <f>(VLOOKUP($A241,'The List'!$B1:$AH730,30,FALSE)-AVERAGE('The List'!AE2:AE730))/STDEV('The List'!AE2:AE730)</f>
        <v>6.8832777122481995E-2</v>
      </c>
      <c r="S241" s="38">
        <f>(VLOOKUP($A241,'The List'!$B1:$AH730,31,FALSE)-AVERAGE('The List'!AF2:AF730))/STDEV('The List'!AF2:AF730)</f>
        <v>-0.56911587195029545</v>
      </c>
      <c r="T241" s="38">
        <f>(VLOOKUP($A241,'The List'!$B1:$AH730,32,FALSE)-AVERAGE('The List'!AG2:AG730))/STDEV('The List'!AG2:AG730)</f>
        <v>-0.61510119871956948</v>
      </c>
      <c r="U241" s="38">
        <f>(VLOOKUP($A241,'The List'!$B1:$AH730,33,FALSE)-AVERAGE('The List'!AH2:AH730))/STDEV('The List'!AH2:AH730)</f>
        <v>-1.2363238714825984</v>
      </c>
      <c r="V241" s="38"/>
      <c r="W241" s="40"/>
      <c r="X241" s="38"/>
      <c r="Y241" s="38"/>
      <c r="Z241" s="38"/>
      <c r="AA241" s="38"/>
      <c r="AB241" s="38"/>
      <c r="AC241" s="38"/>
      <c r="AD241" s="38"/>
      <c r="AE241" s="38"/>
    </row>
    <row r="242" spans="1:31" ht="21.2" customHeight="1">
      <c r="A242" s="8" t="s">
        <v>523</v>
      </c>
      <c r="B242" s="34" t="str">
        <f>VLOOKUP(A242,'Player Data'!A1:B734,2,FALSE)</f>
        <v>EDM</v>
      </c>
      <c r="C242" s="36">
        <f>((E242)*Settings!$C$12)+(F242*Settings!$C$2)+(G242*Settings!$C$3)+(H242*Settings!$C$4)+(I242*Settings!$C$5)+(K242*Settings!$C$9)+(N242*Settings!$C$6)+(J242*Settings!$C$8)+(O242*Settings!$C$7)+(P242*Settings!$C$14)+(Q242*Settings!$C$15)+(R242*Settings!$C$16)+(S242*Settings!$C$17)+(T242*Settings!$C$18)+(U242*Settings!$C$19)+(L242*Settings!$C$10)+(Settings!$C$11*M242)</f>
        <v>-0.14262814300211948</v>
      </c>
      <c r="D242" s="40">
        <f>IF(Settings!$E$12="YES",VLOOKUP(A242,'Player Data'!A1:E734,5,FALSE),82)</f>
        <v>82</v>
      </c>
      <c r="E242" s="38">
        <f>(VLOOKUP($A242,'The List'!$B1:$AH730,17,FALSE)-AVERAGE('The List'!R2:R730))/STDEV('The List'!R2:R730)</f>
        <v>0.10092210909119645</v>
      </c>
      <c r="F242" s="38">
        <f>(VLOOKUP($A242,'The List'!$B1:$AH730,18,FALSE)-AVERAGE('The List'!S2:S730))/STDEV('The List'!S2:S730)</f>
        <v>0.1836204593299906</v>
      </c>
      <c r="G242" s="38">
        <f>(VLOOKUP($A242,'The List'!$B1:$AH730,19,FALSE)-AVERAGE('The List'!T2:T730))/STDEV('The List'!T2:T730)</f>
        <v>2.0620986203690609E-3</v>
      </c>
      <c r="H242" s="38">
        <f>(VLOOKUP($A242,'The List'!$B1:$AH730,20,FALSE)-AVERAGE('The List'!U2:U730))/STDEV('The List'!U2:U730)</f>
        <v>8.6627457801034743E-2</v>
      </c>
      <c r="I242" s="38">
        <f>(VLOOKUP($A242,'The List'!$B1:$AH730,21,FALSE)-AVERAGE('The List'!V2:V730))/STDEV('The List'!V2:V730)</f>
        <v>-3.9119417493442589E-2</v>
      </c>
      <c r="J242" s="38">
        <f>(VLOOKUP($A242,'The List'!$B1:$AH730,22,FALSE)-AVERAGE('The List'!W2:W730))/STDEV('The List'!W2:W730)</f>
        <v>-0.55800867000228127</v>
      </c>
      <c r="K242" s="38">
        <f>(VLOOKUP($A242,'The List'!$B1:$AH730,23,FALSE)-AVERAGE('The List'!X2:X730))/STDEV('The List'!X2:X730)</f>
        <v>-0.37581874126007131</v>
      </c>
      <c r="L242" s="38">
        <f>(VLOOKUP($A242,'The List'!$B1:$AH730,24,FALSE)-AVERAGE('The List'!Y2:Y730))/STDEV('The List'!Y2:Y730)</f>
        <v>2.7308328077849451</v>
      </c>
      <c r="M242" s="38">
        <f>(VLOOKUP($A242,'The List'!$B1:$AH730,25,FALSE)-AVERAGE('The List'!Z2:Z730))/STDEV('The List'!Z2:Z730)</f>
        <v>2.7903929475033897</v>
      </c>
      <c r="N242" s="38">
        <f>(VLOOKUP($A242,'The List'!$B1:$AH730,26,FALSE)-AVERAGE('The List'!AA2:AA730))/STDEV('The List'!AA2:AA730)</f>
        <v>-0.60632005496257546</v>
      </c>
      <c r="O242" s="38">
        <f>(VLOOKUP($A242,'The List'!$B1:$AH730,27,FALSE)-AVERAGE('The List'!AB2:AB730))/STDEV('The List'!AB2:AB730)</f>
        <v>-1.1472431018613993</v>
      </c>
      <c r="P242" s="38">
        <f>(VLOOKUP($A242,'The List'!$B1:$AH730,28,FALSE)-AVERAGE('The List'!AC2:AC730))/STDEV('The List'!AC2:AC730)</f>
        <v>0.90869394207891108</v>
      </c>
      <c r="Q242" s="38">
        <f>(VLOOKUP($A242,'The List'!$B1:$AH730,29,FALSE)-AVERAGE('The List'!AD2:AD730))/STDEV('The List'!AD2:AD730)</f>
        <v>-1.0799136312677038</v>
      </c>
      <c r="R242" s="38">
        <f>(VLOOKUP($A242,'The List'!$B1:$AH730,30,FALSE)-AVERAGE('The List'!AE2:AE730))/STDEV('The List'!AE2:AE730)</f>
        <v>0.34986389693263842</v>
      </c>
      <c r="S242" s="38">
        <f>(VLOOKUP($A242,'The List'!$B1:$AH730,31,FALSE)-AVERAGE('The List'!AF2:AF730))/STDEV('The List'!AF2:AF730)</f>
        <v>-0.39127363198263942</v>
      </c>
      <c r="T242" s="38">
        <f>(VLOOKUP($A242,'The List'!$B1:$AH730,32,FALSE)-AVERAGE('The List'!AG2:AG730))/STDEV('The List'!AG2:AG730)</f>
        <v>-0.32455526795299311</v>
      </c>
      <c r="U242" s="38">
        <f>(VLOOKUP($A242,'The List'!$B1:$AH730,33,FALSE)-AVERAGE('The List'!AH2:AH730))/STDEV('The List'!AH2:AH730)</f>
        <v>0.53132613913170068</v>
      </c>
      <c r="V242" s="38"/>
      <c r="W242" s="42"/>
      <c r="X242" s="40"/>
      <c r="Y242" s="40"/>
      <c r="Z242" s="40"/>
      <c r="AA242" s="40"/>
      <c r="AB242" s="40"/>
      <c r="AC242" s="43"/>
      <c r="AD242" s="44"/>
      <c r="AE242" s="38"/>
    </row>
    <row r="243" spans="1:31" ht="21.2" customHeight="1">
      <c r="A243" s="8" t="s">
        <v>466</v>
      </c>
      <c r="B243" s="34" t="str">
        <f>VLOOKUP(A243,'Player Data'!A1:B734,2,FALSE)</f>
        <v>COL</v>
      </c>
      <c r="C243" s="36">
        <f>((E243)*Settings!$C$12)+(F243*Settings!$C$2)+(G243*Settings!$C$3)+(H243*Settings!$C$4)+(I243*Settings!$C$5)+(K243*Settings!$C$9)+(N243*Settings!$C$6)+(J243*Settings!$C$8)+(O243*Settings!$C$7)+(P243*Settings!$C$14)+(Q243*Settings!$C$15)+(R243*Settings!$C$16)+(S243*Settings!$C$17)+(T243*Settings!$C$18)+(U243*Settings!$C$19)+(L243*Settings!$C$10)+(Settings!$C$11*M243)</f>
        <v>0.42819644101530807</v>
      </c>
      <c r="D243" s="40">
        <f>IF(Settings!$E$12="YES",VLOOKUP(A243,'Player Data'!A1:E734,5,FALSE),82)</f>
        <v>82</v>
      </c>
      <c r="E243" s="38">
        <f>(VLOOKUP($A243,'The List'!$B1:$AH730,17,FALSE)-AVERAGE('The List'!R2:R730))/STDEV('The List'!R2:R730)</f>
        <v>-0.58364564234353034</v>
      </c>
      <c r="F243" s="38">
        <f>(VLOOKUP($A243,'The List'!$B1:$AH730,18,FALSE)-AVERAGE('The List'!S2:S730))/STDEV('The List'!S2:S730)</f>
        <v>0.66366780539867642</v>
      </c>
      <c r="G243" s="38">
        <f>(VLOOKUP($A243,'The List'!$B1:$AH730,19,FALSE)-AVERAGE('The List'!T2:T730))/STDEV('The List'!T2:T730)</f>
        <v>-0.375717472306207</v>
      </c>
      <c r="H243" s="38">
        <f>(VLOOKUP($A243,'The List'!$B1:$AH730,20,FALSE)-AVERAGE('The List'!U2:U730))/STDEV('The List'!U2:U730)</f>
        <v>7.7628161351465844E-2</v>
      </c>
      <c r="I243" s="38">
        <f>(VLOOKUP($A243,'The List'!$B1:$AH730,21,FALSE)-AVERAGE('The List'!V2:V730))/STDEV('The List'!V2:V730)</f>
        <v>0.33849112809365539</v>
      </c>
      <c r="J243" s="38">
        <f>(VLOOKUP($A243,'The List'!$B1:$AH730,22,FALSE)-AVERAGE('The List'!W2:W730))/STDEV('The List'!W2:W730)</f>
        <v>-0.22652967921971326</v>
      </c>
      <c r="K243" s="38">
        <f>(VLOOKUP($A243,'The List'!$B1:$AH730,23,FALSE)-AVERAGE('The List'!X2:X730))/STDEV('The List'!X2:X730)</f>
        <v>-0.27587318152228257</v>
      </c>
      <c r="L243" s="38">
        <f>(VLOOKUP($A243,'The List'!$B1:$AH730,24,FALSE)-AVERAGE('The List'!Y2:Y730))/STDEV('The List'!Y2:Y730)</f>
        <v>-0.52273793732369145</v>
      </c>
      <c r="M243" s="38">
        <f>(VLOOKUP($A243,'The List'!$B1:$AH730,25,FALSE)-AVERAGE('The List'!Z2:Z730))/STDEV('The List'!Z2:Z730)</f>
        <v>-0.70092857955908006</v>
      </c>
      <c r="N243" s="38">
        <f>(VLOOKUP($A243,'The List'!$B1:$AH730,26,FALSE)-AVERAGE('The List'!AA2:AA730))/STDEV('The List'!AA2:AA730)</f>
        <v>-0.74862105698281711</v>
      </c>
      <c r="O243" s="38">
        <f>(VLOOKUP($A243,'The List'!$B1:$AH730,27,FALSE)-AVERAGE('The List'!AB2:AB730))/STDEV('The List'!AB2:AB730)</f>
        <v>1.6536519358869801</v>
      </c>
      <c r="P243" s="38">
        <f>(VLOOKUP($A243,'The List'!$B1:$AH730,28,FALSE)-AVERAGE('The List'!AC2:AC730))/STDEV('The List'!AC2:AC730)</f>
        <v>0.73593459857052024</v>
      </c>
      <c r="Q243" s="38">
        <f>(VLOOKUP($A243,'The List'!$B1:$AH730,29,FALSE)-AVERAGE('The List'!AD2:AD730))/STDEV('The List'!AD2:AD730)</f>
        <v>-0.15583477156921405</v>
      </c>
      <c r="R243" s="38">
        <f>(VLOOKUP($A243,'The List'!$B1:$AH730,30,FALSE)-AVERAGE('The List'!AE2:AE730))/STDEV('The List'!AE2:AE730)</f>
        <v>0.84371723212809679</v>
      </c>
      <c r="S243" s="38">
        <f>(VLOOKUP($A243,'The List'!$B1:$AH730,31,FALSE)-AVERAGE('The List'!AF2:AF730))/STDEV('The List'!AF2:AF730)</f>
        <v>0.24754206208580179</v>
      </c>
      <c r="T243" s="38">
        <f>(VLOOKUP($A243,'The List'!$B1:$AH730,32,FALSE)-AVERAGE('The List'!AG2:AG730))/STDEV('The List'!AG2:AG730)</f>
        <v>0.12275997105786265</v>
      </c>
      <c r="U243" s="38">
        <f>(VLOOKUP($A243,'The List'!$B1:$AH730,33,FALSE)-AVERAGE('The List'!AH2:AH730))/STDEV('The List'!AH2:AH730)</f>
        <v>1.1918538265394574</v>
      </c>
      <c r="V243" s="38"/>
      <c r="W243" s="42"/>
      <c r="X243" s="40"/>
      <c r="Y243" s="40"/>
      <c r="Z243" s="40"/>
      <c r="AA243" s="40"/>
      <c r="AB243" s="40"/>
      <c r="AC243" s="43"/>
      <c r="AD243" s="44"/>
      <c r="AE243" s="38"/>
    </row>
    <row r="244" spans="1:31" ht="21.2" customHeight="1">
      <c r="A244" s="8" t="s">
        <v>440</v>
      </c>
      <c r="B244" s="34" t="str">
        <f>VLOOKUP(A244,'Player Data'!A1:B734,2,FALSE)</f>
        <v>VGK</v>
      </c>
      <c r="C244" s="36">
        <f>((E244)*Settings!$C$12)+(F244*Settings!$C$2)+(G244*Settings!$C$3)+(H244*Settings!$C$4)+(I244*Settings!$C$5)+(K244*Settings!$C$9)+(N244*Settings!$C$6)+(J244*Settings!$C$8)+(O244*Settings!$C$7)+(P244*Settings!$C$14)+(Q244*Settings!$C$15)+(R244*Settings!$C$16)+(S244*Settings!$C$17)+(T244*Settings!$C$18)+(U244*Settings!$C$19)+(L244*Settings!$C$10)+(Settings!$C$11*M244)</f>
        <v>5.2016958963429796E-2</v>
      </c>
      <c r="D244" s="40">
        <f>IF(Settings!$E$12="YES",VLOOKUP(A244,'Player Data'!A1:E734,5,FALSE),82)</f>
        <v>82</v>
      </c>
      <c r="E244" s="38">
        <f>(VLOOKUP($A244,'The List'!$B1:$AH730,17,FALSE)-AVERAGE('The List'!R2:R730))/STDEV('The List'!R2:R730)</f>
        <v>2.125900338778992E-2</v>
      </c>
      <c r="F244" s="38">
        <f>(VLOOKUP($A244,'The List'!$B1:$AH730,18,FALSE)-AVERAGE('The List'!S2:S730))/STDEV('The List'!S2:S730)</f>
        <v>0.26291847890999925</v>
      </c>
      <c r="G244" s="38">
        <f>(VLOOKUP($A244,'The List'!$B1:$AH730,19,FALSE)-AVERAGE('The List'!T2:T730))/STDEV('The List'!T2:T730)</f>
        <v>-7.6003707501727066E-2</v>
      </c>
      <c r="H244" s="38">
        <f>(VLOOKUP($A244,'The List'!$B1:$AH730,20,FALSE)-AVERAGE('The List'!U2:U730))/STDEV('The List'!U2:U730)</f>
        <v>7.5516467337725296E-2</v>
      </c>
      <c r="I244" s="38">
        <f>(VLOOKUP($A244,'The List'!$B1:$AH730,21,FALSE)-AVERAGE('The List'!V2:V730))/STDEV('The List'!V2:V730)</f>
        <v>-0.17413237635990725</v>
      </c>
      <c r="J244" s="38">
        <f>(VLOOKUP($A244,'The List'!$B1:$AH730,22,FALSE)-AVERAGE('The List'!W2:W730))/STDEV('The List'!W2:W730)</f>
        <v>0.15622260195840365</v>
      </c>
      <c r="K244" s="38">
        <f>(VLOOKUP($A244,'The List'!$B1:$AH730,23,FALSE)-AVERAGE('The List'!X2:X730))/STDEV('The List'!X2:X730)</f>
        <v>-3.6281903422660453E-2</v>
      </c>
      <c r="L244" s="38">
        <f>(VLOOKUP($A244,'The List'!$B1:$AH730,24,FALSE)-AVERAGE('The List'!Y2:Y730))/STDEV('The List'!Y2:Y730)</f>
        <v>-0.29127362147248836</v>
      </c>
      <c r="M244" s="38">
        <f>(VLOOKUP($A244,'The List'!$B1:$AH730,25,FALSE)-AVERAGE('The List'!Z2:Z730))/STDEV('The List'!Z2:Z730)</f>
        <v>0.66169922230063571</v>
      </c>
      <c r="N244" s="38">
        <f>(VLOOKUP($A244,'The List'!$B1:$AH730,26,FALSE)-AVERAGE('The List'!AA2:AA730))/STDEV('The List'!AA2:AA730)</f>
        <v>-0.47963685149434815</v>
      </c>
      <c r="O244" s="38">
        <f>(VLOOKUP($A244,'The List'!$B1:$AH730,27,FALSE)-AVERAGE('The List'!AB2:AB730))/STDEV('The List'!AB2:AB730)</f>
        <v>-9.7336023582193898E-2</v>
      </c>
      <c r="P244" s="38">
        <f>(VLOOKUP($A244,'The List'!$B1:$AH730,28,FALSE)-AVERAGE('The List'!AC2:AC730))/STDEV('The List'!AC2:AC730)</f>
        <v>1.2230082664964594</v>
      </c>
      <c r="Q244" s="38">
        <f>(VLOOKUP($A244,'The List'!$B1:$AH730,29,FALSE)-AVERAGE('The List'!AD2:AD730))/STDEV('The List'!AD2:AD730)</f>
        <v>6.1313522721767627E-2</v>
      </c>
      <c r="R244" s="38">
        <f>(VLOOKUP($A244,'The List'!$B1:$AH730,30,FALSE)-AVERAGE('The List'!AE2:AE730))/STDEV('The List'!AE2:AE730)</f>
        <v>0.48624103512130029</v>
      </c>
      <c r="S244" s="38">
        <f>(VLOOKUP($A244,'The List'!$B1:$AH730,31,FALSE)-AVERAGE('The List'!AF2:AF730))/STDEV('The List'!AF2:AF730)</f>
        <v>1.5811029039982607</v>
      </c>
      <c r="T244" s="38">
        <f>(VLOOKUP($A244,'The List'!$B1:$AH730,32,FALSE)-AVERAGE('The List'!AG2:AG730))/STDEV('The List'!AG2:AG730)</f>
        <v>1.846901486242863</v>
      </c>
      <c r="U244" s="38">
        <f>(VLOOKUP($A244,'The List'!$B1:$AH730,33,FALSE)-AVERAGE('The List'!AH2:AH730))/STDEV('The List'!AH2:AH730)</f>
        <v>0.92478905685247925</v>
      </c>
      <c r="V244" s="38"/>
      <c r="W244" s="40"/>
      <c r="X244" s="38"/>
      <c r="Y244" s="38"/>
      <c r="Z244" s="38"/>
      <c r="AA244" s="38"/>
      <c r="AB244" s="38"/>
      <c r="AC244" s="38"/>
      <c r="AD244" s="38"/>
      <c r="AE244" s="38"/>
    </row>
    <row r="245" spans="1:31" ht="21.2" customHeight="1">
      <c r="A245" s="8" t="s">
        <v>547</v>
      </c>
      <c r="B245" s="34" t="str">
        <f>VLOOKUP(A245,'Player Data'!A1:B734,2,FALSE)</f>
        <v>MTL</v>
      </c>
      <c r="C245" s="36">
        <f>((E245)*Settings!$C$12)+(F245*Settings!$C$2)+(G245*Settings!$C$3)+(H245*Settings!$C$4)+(I245*Settings!$C$5)+(K245*Settings!$C$9)+(N245*Settings!$C$6)+(J245*Settings!$C$8)+(O245*Settings!$C$7)+(P245*Settings!$C$14)+(Q245*Settings!$C$15)+(R245*Settings!$C$16)+(S245*Settings!$C$17)+(T245*Settings!$C$18)+(U245*Settings!$C$19)+(L245*Settings!$C$10)+(Settings!$C$11*M245)</f>
        <v>0.9445526364336192</v>
      </c>
      <c r="D245" s="40">
        <f>IF(Settings!$E$12="YES",VLOOKUP(A245,'Player Data'!A1:E734,5,FALSE),82)</f>
        <v>82</v>
      </c>
      <c r="E245" s="38">
        <f>(VLOOKUP($A245,'The List'!$B1:$AH730,17,FALSE)-AVERAGE('The List'!R2:R730))/STDEV('The List'!R2:R730)</f>
        <v>-3.0974180547593728E-2</v>
      </c>
      <c r="F245" s="38">
        <f>(VLOOKUP($A245,'The List'!$B1:$AH730,18,FALSE)-AVERAGE('The List'!S2:S730))/STDEV('The List'!S2:S730)</f>
        <v>3.006607811290532E-2</v>
      </c>
      <c r="G245" s="38">
        <f>(VLOOKUP($A245,'The List'!$B1:$AH730,19,FALSE)-AVERAGE('The List'!T2:T730))/STDEV('The List'!T2:T730)</f>
        <v>8.2469924236995409E-2</v>
      </c>
      <c r="H245" s="38">
        <f>(VLOOKUP($A245,'The List'!$B1:$AH730,20,FALSE)-AVERAGE('The List'!U2:U730))/STDEV('The List'!U2:U730)</f>
        <v>6.4657924350829593E-2</v>
      </c>
      <c r="I245" s="38">
        <f>(VLOOKUP($A245,'The List'!$B1:$AH730,21,FALSE)-AVERAGE('The List'!V2:V730))/STDEV('The List'!V2:V730)</f>
        <v>0.25460593957957045</v>
      </c>
      <c r="J245" s="38">
        <f>(VLOOKUP($A245,'The List'!$B1:$AH730,22,FALSE)-AVERAGE('The List'!W2:W730))/STDEV('The List'!W2:W730)</f>
        <v>0.54378105040302105</v>
      </c>
      <c r="K245" s="38">
        <f>(VLOOKUP($A245,'The List'!$B1:$AH730,23,FALSE)-AVERAGE('The List'!X2:X730))/STDEV('The List'!X2:X730)</f>
        <v>0.51275277015331844</v>
      </c>
      <c r="L245" s="38">
        <f>(VLOOKUP($A245,'The List'!$B1:$AH730,24,FALSE)-AVERAGE('The List'!Y2:Y730))/STDEV('The List'!Y2:Y730)</f>
        <v>-0.13841652222444917</v>
      </c>
      <c r="M245" s="38">
        <f>(VLOOKUP($A245,'The List'!$B1:$AH730,25,FALSE)-AVERAGE('The List'!Z2:Z730))/STDEV('The List'!Z2:Z730)</f>
        <v>-0.24351248812210211</v>
      </c>
      <c r="N245" s="38">
        <f>(VLOOKUP($A245,'The List'!$B1:$AH730,26,FALSE)-AVERAGE('The List'!AA2:AA730))/STDEV('The List'!AA2:AA730)</f>
        <v>-0.77896579231489926</v>
      </c>
      <c r="O245" s="38">
        <f>(VLOOKUP($A245,'The List'!$B1:$AH730,27,FALSE)-AVERAGE('The List'!AB2:AB730))/STDEV('The List'!AB2:AB730)</f>
        <v>-0.67917807164012245</v>
      </c>
      <c r="P245" s="38">
        <f>(VLOOKUP($A245,'The List'!$B1:$AH730,28,FALSE)-AVERAGE('The List'!AC2:AC730))/STDEV('The List'!AC2:AC730)</f>
        <v>-1.8778537414919749</v>
      </c>
      <c r="Q245" s="38">
        <f>(VLOOKUP($A245,'The List'!$B1:$AH730,29,FALSE)-AVERAGE('The List'!AD2:AD730))/STDEV('The List'!AD2:AD730)</f>
        <v>-0.51051815708702397</v>
      </c>
      <c r="R245" s="38">
        <f>(VLOOKUP($A245,'The List'!$B1:$AH730,30,FALSE)-AVERAGE('The List'!AE2:AE730))/STDEV('The List'!AE2:AE730)</f>
        <v>-0.31759815862045937</v>
      </c>
      <c r="S245" s="38">
        <f>(VLOOKUP($A245,'The List'!$B1:$AH730,31,FALSE)-AVERAGE('The List'!AF2:AF730))/STDEV('The List'!AF2:AF730)</f>
        <v>1.9923357598257083</v>
      </c>
      <c r="T245" s="38">
        <f>(VLOOKUP($A245,'The List'!$B1:$AH730,32,FALSE)-AVERAGE('The List'!AG2:AG730))/STDEV('The List'!AG2:AG730)</f>
        <v>1.8304210538877612</v>
      </c>
      <c r="U245" s="38">
        <f>(VLOOKUP($A245,'The List'!$B1:$AH730,33,FALSE)-AVERAGE('The List'!AH2:AH730))/STDEV('The List'!AH2:AH730)</f>
        <v>1.1298254954311384</v>
      </c>
      <c r="V245" s="38"/>
      <c r="W245" s="40"/>
      <c r="X245" s="38"/>
      <c r="Y245" s="38"/>
      <c r="Z245" s="38"/>
      <c r="AA245" s="38"/>
      <c r="AB245" s="38"/>
      <c r="AC245" s="38"/>
      <c r="AD245" s="38"/>
      <c r="AE245" s="38"/>
    </row>
    <row r="246" spans="1:31" ht="21.2" customHeight="1">
      <c r="A246" s="8" t="s">
        <v>530</v>
      </c>
      <c r="B246" s="34" t="str">
        <f>VLOOKUP(A246,'Player Data'!A1:B734,2,FALSE)</f>
        <v>MTL</v>
      </c>
      <c r="C246" s="36">
        <f>((E246)*Settings!$C$12)+(F246*Settings!$C$2)+(G246*Settings!$C$3)+(H246*Settings!$C$4)+(I246*Settings!$C$5)+(K246*Settings!$C$9)+(N246*Settings!$C$6)+(J246*Settings!$C$8)+(O246*Settings!$C$7)+(P246*Settings!$C$14)+(Q246*Settings!$C$15)+(R246*Settings!$C$16)+(S246*Settings!$C$17)+(T246*Settings!$C$18)+(U246*Settings!$C$19)+(L246*Settings!$C$10)+(Settings!$C$11*M246)</f>
        <v>-0.53744927351401883</v>
      </c>
      <c r="D246" s="40">
        <f>IF(Settings!$E$12="YES",VLOOKUP(A246,'Player Data'!A1:E734,5,FALSE),82)</f>
        <v>82</v>
      </c>
      <c r="E246" s="38">
        <f>(VLOOKUP($A246,'The List'!$B1:$AH730,17,FALSE)-AVERAGE('The List'!R2:R730))/STDEV('The List'!R2:R730)</f>
        <v>-0.35553792315283206</v>
      </c>
      <c r="F246" s="38">
        <f>(VLOOKUP($A246,'The List'!$B1:$AH730,18,FALSE)-AVERAGE('The List'!S2:S730))/STDEV('The List'!S2:S730)</f>
        <v>0.25954429077078278</v>
      </c>
      <c r="G246" s="38">
        <f>(VLOOKUP($A246,'The List'!$B1:$AH730,19,FALSE)-AVERAGE('The List'!T2:T730))/STDEV('The List'!T2:T730)</f>
        <v>-9.308603433325198E-2</v>
      </c>
      <c r="H246" s="38">
        <f>(VLOOKUP($A246,'The List'!$B1:$AH730,20,FALSE)-AVERAGE('The List'!U2:U730))/STDEV('The List'!U2:U730)</f>
        <v>6.3450136132409393E-2</v>
      </c>
      <c r="I246" s="38">
        <f>(VLOOKUP($A246,'The List'!$B1:$AH730,21,FALSE)-AVERAGE('The List'!V2:V730))/STDEV('The List'!V2:V730)</f>
        <v>-0.34994016754581109</v>
      </c>
      <c r="J246" s="38">
        <f>(VLOOKUP($A246,'The List'!$B1:$AH730,22,FALSE)-AVERAGE('The List'!W2:W730))/STDEV('The List'!W2:W730)</f>
        <v>-0.24037450322584514</v>
      </c>
      <c r="K246" s="38">
        <f>(VLOOKUP($A246,'The List'!$B1:$AH730,23,FALSE)-AVERAGE('The List'!X2:X730))/STDEV('The List'!X2:X730)</f>
        <v>-0.41741749853814791</v>
      </c>
      <c r="L246" s="38">
        <f>(VLOOKUP($A246,'The List'!$B1:$AH730,24,FALSE)-AVERAGE('The List'!Y2:Y730))/STDEV('The List'!Y2:Y730)</f>
        <v>-0.48779008095692777</v>
      </c>
      <c r="M246" s="38">
        <f>(VLOOKUP($A246,'The List'!$B1:$AH730,25,FALSE)-AVERAGE('The List'!Z2:Z730))/STDEV('The List'!Z2:Z730)</f>
        <v>-0.65717198683136213</v>
      </c>
      <c r="N246" s="38">
        <f>(VLOOKUP($A246,'The List'!$B1:$AH730,26,FALSE)-AVERAGE('The List'!AA2:AA730))/STDEV('The List'!AA2:AA730)</f>
        <v>-0.79786222293884257</v>
      </c>
      <c r="O246" s="38">
        <f>(VLOOKUP($A246,'The List'!$B1:$AH730,27,FALSE)-AVERAGE('The List'!AB2:AB730))/STDEV('The List'!AB2:AB730)</f>
        <v>-0.74142547496893974</v>
      </c>
      <c r="P246" s="38">
        <f>(VLOOKUP($A246,'The List'!$B1:$AH730,28,FALSE)-AVERAGE('The List'!AC2:AC730))/STDEV('The List'!AC2:AC730)</f>
        <v>-1.427182045002898</v>
      </c>
      <c r="Q246" s="38">
        <f>(VLOOKUP($A246,'The List'!$B1:$AH730,29,FALSE)-AVERAGE('The List'!AD2:AD730))/STDEV('The List'!AD2:AD730)</f>
        <v>-0.73915624947274927</v>
      </c>
      <c r="R246" s="38">
        <f>(VLOOKUP($A246,'The List'!$B1:$AH730,30,FALSE)-AVERAGE('The List'!AE2:AE730))/STDEV('The List'!AE2:AE730)</f>
        <v>-0.16450854773055471</v>
      </c>
      <c r="S246" s="38">
        <f>(VLOOKUP($A246,'The List'!$B1:$AH730,31,FALSE)-AVERAGE('The List'!AF2:AF730))/STDEV('The List'!AF2:AF730)</f>
        <v>0.4136148067280695</v>
      </c>
      <c r="T246" s="38">
        <f>(VLOOKUP($A246,'The List'!$B1:$AH730,32,FALSE)-AVERAGE('The List'!AG2:AG730))/STDEV('The List'!AG2:AG730)</f>
        <v>1.0184856626748011</v>
      </c>
      <c r="U246" s="38">
        <f>(VLOOKUP($A246,'The List'!$B1:$AH730,33,FALSE)-AVERAGE('The List'!AH2:AH730))/STDEV('The List'!AH2:AH730)</f>
        <v>0.51271409101704013</v>
      </c>
      <c r="V246" s="38"/>
      <c r="W246" s="42"/>
      <c r="X246" s="40"/>
      <c r="Y246" s="40"/>
      <c r="Z246" s="40"/>
      <c r="AA246" s="40"/>
      <c r="AB246" s="40"/>
      <c r="AC246" s="43"/>
      <c r="AD246" s="44"/>
      <c r="AE246" s="38"/>
    </row>
    <row r="247" spans="1:31" ht="21.2" customHeight="1">
      <c r="A247" s="8" t="s">
        <v>286</v>
      </c>
      <c r="B247" s="34" t="str">
        <f>VLOOKUP(A247,'Player Data'!A1:B734,2,FALSE)</f>
        <v>CHI</v>
      </c>
      <c r="C247" s="36">
        <f>((E247)*Settings!$C$12)+(F247*Settings!$C$2)+(G247*Settings!$C$3)+(H247*Settings!$C$4)+(I247*Settings!$C$5)+(K247*Settings!$C$9)+(N247*Settings!$C$6)+(J247*Settings!$C$8)+(O247*Settings!$C$7)+(P247*Settings!$C$14)+(Q247*Settings!$C$15)+(R247*Settings!$C$16)+(S247*Settings!$C$17)+(T247*Settings!$C$18)+(U247*Settings!$C$19)+(L247*Settings!$C$10)+(Settings!$C$11*M247)</f>
        <v>-0.35097407218419729</v>
      </c>
      <c r="D247" s="40">
        <f>IF(Settings!$E$12="YES",VLOOKUP(A247,'Player Data'!A1:E734,5,FALSE),82)</f>
        <v>82</v>
      </c>
      <c r="E247" s="38">
        <f>(VLOOKUP($A247,'The List'!$B1:$AH730,17,FALSE)-AVERAGE('The List'!R2:R730))/STDEV('The List'!R2:R730)</f>
        <v>0.94805795416634686</v>
      </c>
      <c r="F247" s="38">
        <f>(VLOOKUP($A247,'The List'!$B1:$AH730,18,FALSE)-AVERAGE('The List'!S2:S730))/STDEV('The List'!S2:S730)</f>
        <v>-0.69231486390209795</v>
      </c>
      <c r="G247" s="38">
        <f>(VLOOKUP($A247,'The List'!$B1:$AH730,19,FALSE)-AVERAGE('The List'!T2:T730))/STDEV('The List'!T2:T730)</f>
        <v>0.47329483622740398</v>
      </c>
      <c r="H247" s="38">
        <f>(VLOOKUP($A247,'The List'!$B1:$AH730,20,FALSE)-AVERAGE('The List'!U2:U730))/STDEV('The List'!U2:U730)</f>
        <v>-3.0980280430910799E-2</v>
      </c>
      <c r="I247" s="38">
        <f>(VLOOKUP($A247,'The List'!$B1:$AH730,21,FALSE)-AVERAGE('The List'!V2:V730))/STDEV('The List'!V2:V730)</f>
        <v>-0.13779528087630333</v>
      </c>
      <c r="J247" s="38">
        <f>(VLOOKUP($A247,'The List'!$B1:$AH730,22,FALSE)-AVERAGE('The List'!W2:W730))/STDEV('The List'!W2:W730)</f>
        <v>-0.31944791410239776</v>
      </c>
      <c r="K247" s="38">
        <f>(VLOOKUP($A247,'The List'!$B1:$AH730,23,FALSE)-AVERAGE('The List'!X2:X730))/STDEV('The List'!X2:X730)</f>
        <v>3.6821516797710757E-2</v>
      </c>
      <c r="L247" s="38">
        <f>(VLOOKUP($A247,'The List'!$B1:$AH730,24,FALSE)-AVERAGE('The List'!Y2:Y730))/STDEV('The List'!Y2:Y730)</f>
        <v>-0.52515529094994673</v>
      </c>
      <c r="M247" s="38">
        <f>(VLOOKUP($A247,'The List'!$B1:$AH730,25,FALSE)-AVERAGE('The List'!Z2:Z730))/STDEV('The List'!Z2:Z730)</f>
        <v>-0.70378350861314143</v>
      </c>
      <c r="N247" s="38">
        <f>(VLOOKUP($A247,'The List'!$B1:$AH730,26,FALSE)-AVERAGE('The List'!AA2:AA730))/STDEV('The List'!AA2:AA730)</f>
        <v>0.99201412558227364</v>
      </c>
      <c r="O247" s="38">
        <f>(VLOOKUP($A247,'The List'!$B1:$AH730,27,FALSE)-AVERAGE('The List'!AB2:AB730))/STDEV('The List'!AB2:AB730)</f>
        <v>5.0766540545536823E-2</v>
      </c>
      <c r="P247" s="38">
        <f>(VLOOKUP($A247,'The List'!$B1:$AH730,28,FALSE)-AVERAGE('The List'!AC2:AC730))/STDEV('The List'!AC2:AC730)</f>
        <v>9.5657512365509303E-2</v>
      </c>
      <c r="Q247" s="38">
        <f>(VLOOKUP($A247,'The List'!$B1:$AH730,29,FALSE)-AVERAGE('The List'!AD2:AD730))/STDEV('The List'!AD2:AD730)</f>
        <v>6.9698923496856191E-2</v>
      </c>
      <c r="R247" s="38">
        <f>(VLOOKUP($A247,'The List'!$B1:$AH730,30,FALSE)-AVERAGE('The List'!AE2:AE730))/STDEV('The List'!AE2:AE730)</f>
        <v>-0.73446712908686806</v>
      </c>
      <c r="S247" s="38">
        <f>(VLOOKUP($A247,'The List'!$B1:$AH730,31,FALSE)-AVERAGE('The List'!AF2:AF730))/STDEV('The List'!AF2:AF730)</f>
        <v>-0.56911587195029545</v>
      </c>
      <c r="T247" s="38">
        <f>(VLOOKUP($A247,'The List'!$B1:$AH730,32,FALSE)-AVERAGE('The List'!AG2:AG730))/STDEV('The List'!AG2:AG730)</f>
        <v>-0.61510119871956948</v>
      </c>
      <c r="U247" s="38">
        <f>(VLOOKUP($A247,'The List'!$B1:$AH730,33,FALSE)-AVERAGE('The List'!AH2:AH730))/STDEV('The List'!AH2:AH730)</f>
        <v>-1.2363238714825984</v>
      </c>
      <c r="V247" s="38"/>
      <c r="W247" s="42"/>
      <c r="X247" s="40"/>
      <c r="Y247" s="40"/>
      <c r="Z247" s="40"/>
      <c r="AA247" s="40"/>
      <c r="AB247" s="40"/>
      <c r="AC247" s="43"/>
      <c r="AD247" s="44"/>
      <c r="AE247" s="38"/>
    </row>
    <row r="248" spans="1:31" ht="21.2" customHeight="1">
      <c r="A248" s="8" t="s">
        <v>522</v>
      </c>
      <c r="B248" s="34" t="str">
        <f>VLOOKUP(A248,'Player Data'!A1:B734,2,FALSE)</f>
        <v>NJD</v>
      </c>
      <c r="C248" s="36">
        <f>((E248)*Settings!$C$12)+(F248*Settings!$C$2)+(G248*Settings!$C$3)+(H248*Settings!$C$4)+(I248*Settings!$C$5)+(K248*Settings!$C$9)+(N248*Settings!$C$6)+(J248*Settings!$C$8)+(O248*Settings!$C$7)+(P248*Settings!$C$14)+(Q248*Settings!$C$15)+(R248*Settings!$C$16)+(S248*Settings!$C$17)+(T248*Settings!$C$18)+(U248*Settings!$C$19)+(L248*Settings!$C$10)+(Settings!$C$11*M248)</f>
        <v>-0.2350076535420573</v>
      </c>
      <c r="D248" s="40">
        <f>IF(Settings!$E$12="YES",VLOOKUP(A248,'Player Data'!A1:E734,5,FALSE),82)</f>
        <v>82</v>
      </c>
      <c r="E248" s="38">
        <f>(VLOOKUP($A248,'The List'!$B1:$AH730,17,FALSE)-AVERAGE('The List'!R2:R730))/STDEV('The List'!R2:R730)</f>
        <v>-0.52474922371790367</v>
      </c>
      <c r="F248" s="38">
        <f>(VLOOKUP($A248,'The List'!$B1:$AH730,18,FALSE)-AVERAGE('The List'!S2:S730))/STDEV('The List'!S2:S730)</f>
        <v>8.6459455859569569E-3</v>
      </c>
      <c r="G248" s="38">
        <f>(VLOOKUP($A248,'The List'!$B1:$AH730,19,FALSE)-AVERAGE('The List'!T2:T730))/STDEV('The List'!T2:T730)</f>
        <v>8.6820109553238781E-2</v>
      </c>
      <c r="H248" s="38">
        <f>(VLOOKUP($A248,'The List'!$B1:$AH730,20,FALSE)-AVERAGE('The List'!U2:U730))/STDEV('The List'!U2:U730)</f>
        <v>5.7373640368019077E-2</v>
      </c>
      <c r="I248" s="38">
        <f>(VLOOKUP($A248,'The List'!$B1:$AH730,21,FALSE)-AVERAGE('The List'!V2:V730))/STDEV('The List'!V2:V730)</f>
        <v>-0.22929676569077465</v>
      </c>
      <c r="J248" s="38">
        <f>(VLOOKUP($A248,'The List'!$B1:$AH730,22,FALSE)-AVERAGE('The List'!W2:W730))/STDEV('The List'!W2:W730)</f>
        <v>-0.19519407580449413</v>
      </c>
      <c r="K248" s="38">
        <f>(VLOOKUP($A248,'The List'!$B1:$AH730,23,FALSE)-AVERAGE('The List'!X2:X730))/STDEV('The List'!X2:X730)</f>
        <v>-0.15855058335849748</v>
      </c>
      <c r="L248" s="38">
        <f>(VLOOKUP($A248,'The List'!$B1:$AH730,24,FALSE)-AVERAGE('The List'!Y2:Y730))/STDEV('The List'!Y2:Y730)</f>
        <v>-0.4766940458457295</v>
      </c>
      <c r="M248" s="38">
        <f>(VLOOKUP($A248,'The List'!$B1:$AH730,25,FALSE)-AVERAGE('The List'!Z2:Z730))/STDEV('The List'!Z2:Z730)</f>
        <v>-0.53791220871876211</v>
      </c>
      <c r="N248" s="38">
        <f>(VLOOKUP($A248,'The List'!$B1:$AH730,26,FALSE)-AVERAGE('The List'!AA2:AA730))/STDEV('The List'!AA2:AA730)</f>
        <v>-0.2434002378962565</v>
      </c>
      <c r="O248" s="38">
        <f>(VLOOKUP($A248,'The List'!$B1:$AH730,27,FALSE)-AVERAGE('The List'!AB2:AB730))/STDEV('The List'!AB2:AB730)</f>
        <v>0.16862189136073855</v>
      </c>
      <c r="P248" s="38">
        <f>(VLOOKUP($A248,'The List'!$B1:$AH730,28,FALSE)-AVERAGE('The List'!AC2:AC730))/STDEV('The List'!AC2:AC730)</f>
        <v>8.2846204340292856E-2</v>
      </c>
      <c r="Q248" s="38">
        <f>(VLOOKUP($A248,'The List'!$B1:$AH730,29,FALSE)-AVERAGE('The List'!AD2:AD730))/STDEV('The List'!AD2:AD730)</f>
        <v>-0.82650170628721853</v>
      </c>
      <c r="R248" s="38">
        <f>(VLOOKUP($A248,'The List'!$B1:$AH730,30,FALSE)-AVERAGE('The List'!AE2:AE730))/STDEV('The List'!AE2:AE730)</f>
        <v>6.7948080579530126E-2</v>
      </c>
      <c r="S248" s="38">
        <f>(VLOOKUP($A248,'The List'!$B1:$AH730,31,FALSE)-AVERAGE('The List'!AF2:AF730))/STDEV('The List'!AF2:AF730)</f>
        <v>-0.56597360102718719</v>
      </c>
      <c r="T248" s="38">
        <f>(VLOOKUP($A248,'The List'!$B1:$AH730,32,FALSE)-AVERAGE('The List'!AG2:AG730))/STDEV('The List'!AG2:AG730)</f>
        <v>-0.55129495981307286</v>
      </c>
      <c r="U248" s="38">
        <f>(VLOOKUP($A248,'The List'!$B1:$AH730,33,FALSE)-AVERAGE('The List'!AH2:AH730))/STDEV('The List'!AH2:AH730)</f>
        <v>-1.0141420182944278</v>
      </c>
      <c r="V248" s="38"/>
      <c r="W248" s="42"/>
      <c r="X248" s="40"/>
      <c r="Y248" s="40"/>
      <c r="Z248" s="40"/>
      <c r="AA248" s="40"/>
      <c r="AB248" s="40"/>
      <c r="AC248" s="43"/>
      <c r="AD248" s="44"/>
      <c r="AE248" s="38"/>
    </row>
    <row r="249" spans="1:31" ht="21.2" customHeight="1">
      <c r="A249" s="8" t="s">
        <v>402</v>
      </c>
      <c r="B249" s="34" t="str">
        <f>VLOOKUP(A249,'Player Data'!A1:B734,2,FALSE)</f>
        <v>BUF</v>
      </c>
      <c r="C249" s="36">
        <f>((E249)*Settings!$C$12)+(F249*Settings!$C$2)+(G249*Settings!$C$3)+(H249*Settings!$C$4)+(I249*Settings!$C$5)+(K249*Settings!$C$9)+(N249*Settings!$C$6)+(J249*Settings!$C$8)+(O249*Settings!$C$7)+(P249*Settings!$C$14)+(Q249*Settings!$C$15)+(R249*Settings!$C$16)+(S249*Settings!$C$17)+(T249*Settings!$C$18)+(U249*Settings!$C$19)+(L249*Settings!$C$10)+(Settings!$C$11*M249)</f>
        <v>0.77435578813392303</v>
      </c>
      <c r="D249" s="40">
        <f>IF(Settings!$E$12="YES",VLOOKUP(A249,'Player Data'!A1:E734,5,FALSE),82)</f>
        <v>82</v>
      </c>
      <c r="E249" s="38">
        <f>(VLOOKUP($A249,'The List'!$B1:$AH730,17,FALSE)-AVERAGE('The List'!R2:R730))/STDEV('The List'!R2:R730)</f>
        <v>-0.75423580952912861</v>
      </c>
      <c r="F249" s="38">
        <f>(VLOOKUP($A249,'The List'!$B1:$AH730,18,FALSE)-AVERAGE('The List'!S2:S730))/STDEV('The List'!S2:S730)</f>
        <v>0.66567891309553939</v>
      </c>
      <c r="G249" s="38">
        <f>(VLOOKUP($A249,'The List'!$B1:$AH730,19,FALSE)-AVERAGE('The List'!T2:T730))/STDEV('The List'!T2:T730)</f>
        <v>-0.41058999316318984</v>
      </c>
      <c r="H249" s="38">
        <f>(VLOOKUP($A249,'The List'!$B1:$AH730,20,FALSE)-AVERAGE('The List'!U2:U730))/STDEV('The List'!U2:U730)</f>
        <v>5.7132535409537638E-2</v>
      </c>
      <c r="I249" s="38">
        <f>(VLOOKUP($A249,'The List'!$B1:$AH730,21,FALSE)-AVERAGE('The List'!V2:V730))/STDEV('The List'!V2:V730)</f>
        <v>0.24434890373931203</v>
      </c>
      <c r="J249" s="38">
        <f>(VLOOKUP($A249,'The List'!$B1:$AH730,22,FALSE)-AVERAGE('The List'!W2:W730))/STDEV('The List'!W2:W730)</f>
        <v>0.72805462864547577</v>
      </c>
      <c r="K249" s="38">
        <f>(VLOOKUP($A249,'The List'!$B1:$AH730,23,FALSE)-AVERAGE('The List'!X2:X730))/STDEV('The List'!X2:X730)</f>
        <v>0.21778542905272383</v>
      </c>
      <c r="L249" s="38">
        <f>(VLOOKUP($A249,'The List'!$B1:$AH730,24,FALSE)-AVERAGE('The List'!Y2:Y730))/STDEV('The List'!Y2:Y730)</f>
        <v>-0.51235493803605447</v>
      </c>
      <c r="M249" s="38">
        <f>(VLOOKUP($A249,'The List'!$B1:$AH730,25,FALSE)-AVERAGE('The List'!Z2:Z730))/STDEV('The List'!Z2:Z730)</f>
        <v>-0.66597233442804515</v>
      </c>
      <c r="N249" s="38">
        <f>(VLOOKUP($A249,'The List'!$B1:$AH730,26,FALSE)-AVERAGE('The List'!AA2:AA730))/STDEV('The List'!AA2:AA730)</f>
        <v>-1.1228421861524023</v>
      </c>
      <c r="O249" s="38">
        <f>(VLOOKUP($A249,'The List'!$B1:$AH730,27,FALSE)-AVERAGE('The List'!AB2:AB730))/STDEV('The List'!AB2:AB730)</f>
        <v>-1.4329600364238524</v>
      </c>
      <c r="P249" s="38">
        <f>(VLOOKUP($A249,'The List'!$B1:$AH730,28,FALSE)-AVERAGE('The List'!AC2:AC730))/STDEV('The List'!AC2:AC730)</f>
        <v>-1.0384822101804851</v>
      </c>
      <c r="Q249" s="38">
        <f>(VLOOKUP($A249,'The List'!$B1:$AH730,29,FALSE)-AVERAGE('The List'!AD2:AD730))/STDEV('The List'!AD2:AD730)</f>
        <v>-1.6103306808713533</v>
      </c>
      <c r="R249" s="38">
        <f>(VLOOKUP($A249,'The List'!$B1:$AH730,30,FALSE)-AVERAGE('The List'!AE2:AE730))/STDEV('The List'!AE2:AE730)</f>
        <v>0.44549428163297194</v>
      </c>
      <c r="S249" s="38">
        <f>(VLOOKUP($A249,'The List'!$B1:$AH730,31,FALSE)-AVERAGE('The List'!AF2:AF730))/STDEV('The List'!AF2:AF730)</f>
        <v>-0.56491033552751924</v>
      </c>
      <c r="T249" s="38">
        <f>(VLOOKUP($A249,'The List'!$B1:$AH730,32,FALSE)-AVERAGE('The List'!AG2:AG730))/STDEV('The List'!AG2:AG730)</f>
        <v>-0.59518883279606727</v>
      </c>
      <c r="U249" s="38">
        <f>(VLOOKUP($A249,'The List'!$B1:$AH730,33,FALSE)-AVERAGE('The List'!AH2:AH730))/STDEV('The List'!AH2:AH730)</f>
        <v>-0.41615888606604523</v>
      </c>
      <c r="V249" s="38"/>
      <c r="W249" s="40"/>
      <c r="X249" s="38"/>
      <c r="Y249" s="38"/>
      <c r="Z249" s="38"/>
      <c r="AA249" s="38"/>
      <c r="AB249" s="38"/>
      <c r="AC249" s="38"/>
      <c r="AD249" s="38"/>
      <c r="AE249" s="38"/>
    </row>
    <row r="250" spans="1:31" ht="21.2" customHeight="1">
      <c r="A250" s="8" t="s">
        <v>445</v>
      </c>
      <c r="B250" s="34" t="str">
        <f>VLOOKUP(A250,'Player Data'!A1:B734,2,FALSE)</f>
        <v>NYI</v>
      </c>
      <c r="C250" s="36">
        <f>((E250)*Settings!$C$12)+(F250*Settings!$C$2)+(G250*Settings!$C$3)+(H250*Settings!$C$4)+(I250*Settings!$C$5)+(K250*Settings!$C$9)+(N250*Settings!$C$6)+(J250*Settings!$C$8)+(O250*Settings!$C$7)+(P250*Settings!$C$14)+(Q250*Settings!$C$15)+(R250*Settings!$C$16)+(S250*Settings!$C$17)+(T250*Settings!$C$18)+(U250*Settings!$C$19)+(L250*Settings!$C$10)+(Settings!$C$11*M250)</f>
        <v>0.48362347876182943</v>
      </c>
      <c r="D250" s="40">
        <f>IF(Settings!$E$12="YES",VLOOKUP(A250,'Player Data'!A1:E734,5,FALSE),82)</f>
        <v>82</v>
      </c>
      <c r="E250" s="38">
        <f>(VLOOKUP($A250,'The List'!$B1:$AH730,17,FALSE)-AVERAGE('The List'!R2:R730))/STDEV('The List'!R2:R730)</f>
        <v>-0.19054471244703503</v>
      </c>
      <c r="F250" s="38">
        <f>(VLOOKUP($A250,'The List'!$B1:$AH730,18,FALSE)-AVERAGE('The List'!S2:S730))/STDEV('The List'!S2:S730)</f>
        <v>0.37781016997725592</v>
      </c>
      <c r="G250" s="38">
        <f>(VLOOKUP($A250,'The List'!$B1:$AH730,19,FALSE)-AVERAGE('The List'!T2:T730))/STDEV('The List'!T2:T730)</f>
        <v>-0.19292385658844804</v>
      </c>
      <c r="H250" s="38">
        <f>(VLOOKUP($A250,'The List'!$B1:$AH730,20,FALSE)-AVERAGE('The List'!U2:U730))/STDEV('The List'!U2:U730)</f>
        <v>5.7074496048920481E-2</v>
      </c>
      <c r="I250" s="38">
        <f>(VLOOKUP($A250,'The List'!$B1:$AH730,21,FALSE)-AVERAGE('The List'!V2:V730))/STDEV('The List'!V2:V730)</f>
        <v>0.40925156439523713</v>
      </c>
      <c r="J250" s="38">
        <f>(VLOOKUP($A250,'The List'!$B1:$AH730,22,FALSE)-AVERAGE('The List'!W2:W730))/STDEV('The List'!W2:W730)</f>
        <v>2.0623440372972816E-2</v>
      </c>
      <c r="K250" s="38">
        <f>(VLOOKUP($A250,'The List'!$B1:$AH730,23,FALSE)-AVERAGE('The List'!X2:X730))/STDEV('The List'!X2:X730)</f>
        <v>-0.16758889507113608</v>
      </c>
      <c r="L250" s="38">
        <f>(VLOOKUP($A250,'The List'!$B1:$AH730,24,FALSE)-AVERAGE('The List'!Y2:Y730))/STDEV('The List'!Y2:Y730)</f>
        <v>-0.23751214186687894</v>
      </c>
      <c r="M250" s="38">
        <f>(VLOOKUP($A250,'The List'!$B1:$AH730,25,FALSE)-AVERAGE('The List'!Z2:Z730))/STDEV('The List'!Z2:Z730)</f>
        <v>-0.49705588590568811</v>
      </c>
      <c r="N250" s="38">
        <f>(VLOOKUP($A250,'The List'!$B1:$AH730,26,FALSE)-AVERAGE('The List'!AA2:AA730))/STDEV('The List'!AA2:AA730)</f>
        <v>-0.96948058091685696</v>
      </c>
      <c r="O250" s="38">
        <f>(VLOOKUP($A250,'The List'!$B1:$AH730,27,FALSE)-AVERAGE('The List'!AB2:AB730))/STDEV('The List'!AB2:AB730)</f>
        <v>-7.3200348173517837E-2</v>
      </c>
      <c r="P250" s="38">
        <f>(VLOOKUP($A250,'The List'!$B1:$AH730,28,FALSE)-AVERAGE('The List'!AC2:AC730))/STDEV('The List'!AC2:AC730)</f>
        <v>0.38935341287150393</v>
      </c>
      <c r="Q250" s="38">
        <f>(VLOOKUP($A250,'The List'!$B1:$AH730,29,FALSE)-AVERAGE('The List'!AD2:AD730))/STDEV('The List'!AD2:AD730)</f>
        <v>0.30684189468353473</v>
      </c>
      <c r="R250" s="38">
        <f>(VLOOKUP($A250,'The List'!$B1:$AH730,30,FALSE)-AVERAGE('The List'!AE2:AE730))/STDEV('The List'!AE2:AE730)</f>
        <v>0.50715566590256711</v>
      </c>
      <c r="S250" s="38">
        <f>(VLOOKUP($A250,'The List'!$B1:$AH730,31,FALSE)-AVERAGE('The List'!AF2:AF730))/STDEV('The List'!AF2:AF730)</f>
        <v>-0.50784764343541788</v>
      </c>
      <c r="T250" s="38">
        <f>(VLOOKUP($A250,'The List'!$B1:$AH730,32,FALSE)-AVERAGE('The List'!AG2:AG730))/STDEV('The List'!AG2:AG730)</f>
        <v>-0.49519502332248638</v>
      </c>
      <c r="U250" s="38">
        <f>(VLOOKUP($A250,'The List'!$B1:$AH730,33,FALSE)-AVERAGE('The List'!AH2:AH730))/STDEV('The List'!AH2:AH730)</f>
        <v>0.34129593043690959</v>
      </c>
      <c r="V250" s="38"/>
      <c r="W250" s="42"/>
      <c r="X250" s="40"/>
      <c r="Y250" s="40"/>
      <c r="Z250" s="40"/>
      <c r="AA250" s="40"/>
      <c r="AB250" s="40"/>
      <c r="AC250" s="43"/>
      <c r="AD250" s="44"/>
      <c r="AE250" s="38"/>
    </row>
    <row r="251" spans="1:31" ht="21.2" customHeight="1">
      <c r="A251" s="8" t="s">
        <v>486</v>
      </c>
      <c r="B251" s="34" t="str">
        <f>VLOOKUP(A251,'Player Data'!A1:B734,2,FALSE)</f>
        <v>ARI</v>
      </c>
      <c r="C251" s="36">
        <f>((E251)*Settings!$C$12)+(F251*Settings!$C$2)+(G251*Settings!$C$3)+(H251*Settings!$C$4)+(I251*Settings!$C$5)+(K251*Settings!$C$9)+(N251*Settings!$C$6)+(J251*Settings!$C$8)+(O251*Settings!$C$7)+(P251*Settings!$C$14)+(Q251*Settings!$C$15)+(R251*Settings!$C$16)+(S251*Settings!$C$17)+(T251*Settings!$C$18)+(U251*Settings!$C$19)+(L251*Settings!$C$10)+(Settings!$C$11*M251)</f>
        <v>0.71825166986101674</v>
      </c>
      <c r="D251" s="40">
        <f>IF(Settings!$E$12="YES",VLOOKUP(A251,'Player Data'!A1:E734,5,FALSE),82)</f>
        <v>82</v>
      </c>
      <c r="E251" s="38">
        <f>(VLOOKUP($A251,'The List'!$B1:$AH730,17,FALSE)-AVERAGE('The List'!R2:R730))/STDEV('The List'!R2:R730)</f>
        <v>-0.48105625621305653</v>
      </c>
      <c r="F251" s="38">
        <f>(VLOOKUP($A251,'The List'!$B1:$AH730,18,FALSE)-AVERAGE('The List'!S2:S730))/STDEV('The List'!S2:S730)</f>
        <v>0.66680966503981165</v>
      </c>
      <c r="G251" s="38">
        <f>(VLOOKUP($A251,'The List'!$B1:$AH730,19,FALSE)-AVERAGE('The List'!T2:T730))/STDEV('The List'!T2:T730)</f>
        <v>-0.41616083943964077</v>
      </c>
      <c r="H251" s="38">
        <f>(VLOOKUP($A251,'The List'!$B1:$AH730,20,FALSE)-AVERAGE('The List'!U2:U730))/STDEV('The List'!U2:U730)</f>
        <v>5.423468742135356E-2</v>
      </c>
      <c r="I251" s="38">
        <f>(VLOOKUP($A251,'The List'!$B1:$AH730,21,FALSE)-AVERAGE('The List'!V2:V730))/STDEV('The List'!V2:V730)</f>
        <v>0.65750986781531773</v>
      </c>
      <c r="J251" s="38">
        <f>(VLOOKUP($A251,'The List'!$B1:$AH730,22,FALSE)-AVERAGE('The List'!W2:W730))/STDEV('The List'!W2:W730)</f>
        <v>-0.30943190301427653</v>
      </c>
      <c r="K251" s="38">
        <f>(VLOOKUP($A251,'The List'!$B1:$AH730,23,FALSE)-AVERAGE('The List'!X2:X730))/STDEV('The List'!X2:X730)</f>
        <v>-0.2441417109758254</v>
      </c>
      <c r="L251" s="38">
        <f>(VLOOKUP($A251,'The List'!$B1:$AH730,24,FALSE)-AVERAGE('The List'!Y2:Y730))/STDEV('The List'!Y2:Y730)</f>
        <v>-0.52328005989018478</v>
      </c>
      <c r="M251" s="38">
        <f>(VLOOKUP($A251,'The List'!$B1:$AH730,25,FALSE)-AVERAGE('The List'!Z2:Z730))/STDEV('The List'!Z2:Z730)</f>
        <v>-0.70175004441591327</v>
      </c>
      <c r="N251" s="38">
        <f>(VLOOKUP($A251,'The List'!$B1:$AH730,26,FALSE)-AVERAGE('The List'!AA2:AA730))/STDEV('The List'!AA2:AA730)</f>
        <v>-0.81066041466135452</v>
      </c>
      <c r="O251" s="38">
        <f>(VLOOKUP($A251,'The List'!$B1:$AH730,27,FALSE)-AVERAGE('The List'!AB2:AB730))/STDEV('The List'!AB2:AB730)</f>
        <v>1.3882484513770592</v>
      </c>
      <c r="P251" s="38">
        <f>(VLOOKUP($A251,'The List'!$B1:$AH730,28,FALSE)-AVERAGE('The List'!AC2:AC730))/STDEV('The List'!AC2:AC730)</f>
        <v>-0.49847776801924393</v>
      </c>
      <c r="Q251" s="38">
        <f>(VLOOKUP($A251,'The List'!$B1:$AH730,29,FALSE)-AVERAGE('The List'!AD2:AD730))/STDEV('The List'!AD2:AD730)</f>
        <v>2.4381567915082343E-2</v>
      </c>
      <c r="R251" s="38">
        <f>(VLOOKUP($A251,'The List'!$B1:$AH730,30,FALSE)-AVERAGE('The List'!AE2:AE730))/STDEV('The List'!AE2:AE730)</f>
        <v>0.42226402795846063</v>
      </c>
      <c r="S251" s="38">
        <f>(VLOOKUP($A251,'The List'!$B1:$AH730,31,FALSE)-AVERAGE('The List'!AF2:AF730))/STDEV('The List'!AF2:AF730)</f>
        <v>-0.54800105487073036</v>
      </c>
      <c r="T251" s="38">
        <f>(VLOOKUP($A251,'The List'!$B1:$AH730,32,FALSE)-AVERAGE('The List'!AG2:AG730))/STDEV('The List'!AG2:AG730)</f>
        <v>-0.55581592555339443</v>
      </c>
      <c r="U251" s="38">
        <f>(VLOOKUP($A251,'The List'!$B1:$AH730,33,FALSE)-AVERAGE('The List'!AH2:AH730))/STDEV('The List'!AH2:AH730)</f>
        <v>-6.5338044417468048E-3</v>
      </c>
      <c r="V251" s="38"/>
      <c r="W251" s="40"/>
      <c r="X251" s="38"/>
      <c r="Y251" s="38"/>
      <c r="Z251" s="38"/>
      <c r="AA251" s="38"/>
      <c r="AB251" s="38"/>
      <c r="AC251" s="38"/>
      <c r="AD251" s="38"/>
      <c r="AE251" s="38"/>
    </row>
    <row r="252" spans="1:31" ht="21.2" customHeight="1">
      <c r="A252" s="8" t="s">
        <v>372</v>
      </c>
      <c r="B252" s="34" t="str">
        <f>VLOOKUP(A252,'Player Data'!A1:B734,2,FALSE)</f>
        <v>OTT</v>
      </c>
      <c r="C252" s="36">
        <f>((E252)*Settings!$C$12)+(F252*Settings!$C$2)+(G252*Settings!$C$3)+(H252*Settings!$C$4)+(I252*Settings!$C$5)+(K252*Settings!$C$9)+(N252*Settings!$C$6)+(J252*Settings!$C$8)+(O252*Settings!$C$7)+(P252*Settings!$C$14)+(Q252*Settings!$C$15)+(R252*Settings!$C$16)+(S252*Settings!$C$17)+(T252*Settings!$C$18)+(U252*Settings!$C$19)+(L252*Settings!$C$10)+(Settings!$C$11*M252)</f>
        <v>0.99964981291964239</v>
      </c>
      <c r="D252" s="40">
        <f>IF(Settings!$E$12="YES",VLOOKUP(A252,'Player Data'!A1:E734,5,FALSE),82)</f>
        <v>82</v>
      </c>
      <c r="E252" s="38">
        <f>(VLOOKUP($A252,'The List'!$B1:$AH730,17,FALSE)-AVERAGE('The List'!R2:R730))/STDEV('The List'!R2:R730)</f>
        <v>-0.58653030880132384</v>
      </c>
      <c r="F252" s="38">
        <f>(VLOOKUP($A252,'The List'!$B1:$AH730,18,FALSE)-AVERAGE('The List'!S2:S730))/STDEV('The List'!S2:S730)</f>
        <v>0.33837315490925057</v>
      </c>
      <c r="G252" s="38">
        <f>(VLOOKUP($A252,'The List'!$B1:$AH730,19,FALSE)-AVERAGE('The List'!T2:T730))/STDEV('The List'!T2:T730)</f>
        <v>-0.16989110762213266</v>
      </c>
      <c r="H252" s="38">
        <f>(VLOOKUP($A252,'The List'!$B1:$AH730,20,FALSE)-AVERAGE('The List'!U2:U730))/STDEV('The List'!U2:U730)</f>
        <v>5.2895817832140098E-2</v>
      </c>
      <c r="I252" s="38">
        <f>(VLOOKUP($A252,'The List'!$B1:$AH730,21,FALSE)-AVERAGE('The List'!V2:V730))/STDEV('The List'!V2:V730)</f>
        <v>0.37952188277839344</v>
      </c>
      <c r="J252" s="38">
        <f>(VLOOKUP($A252,'The List'!$B1:$AH730,22,FALSE)-AVERAGE('The List'!W2:W730))/STDEV('The List'!W2:W730)</f>
        <v>0.4643257705212564</v>
      </c>
      <c r="K252" s="38">
        <f>(VLOOKUP($A252,'The List'!$B1:$AH730,23,FALSE)-AVERAGE('The List'!X2:X730))/STDEV('The List'!X2:X730)</f>
        <v>0.39875006502199095</v>
      </c>
      <c r="L252" s="38">
        <f>(VLOOKUP($A252,'The List'!$B1:$AH730,24,FALSE)-AVERAGE('The List'!Y2:Y730))/STDEV('The List'!Y2:Y730)</f>
        <v>-0.48723295148019702</v>
      </c>
      <c r="M252" s="38">
        <f>(VLOOKUP($A252,'The List'!$B1:$AH730,25,FALSE)-AVERAGE('The List'!Z2:Z730))/STDEV('The List'!Z2:Z730)</f>
        <v>-0.66007529264279896</v>
      </c>
      <c r="N252" s="38">
        <f>(VLOOKUP($A252,'The List'!$B1:$AH730,26,FALSE)-AVERAGE('The List'!AA2:AA730))/STDEV('The List'!AA2:AA730)</f>
        <v>-0.90339318929883761</v>
      </c>
      <c r="O252" s="38">
        <f>(VLOOKUP($A252,'The List'!$B1:$AH730,27,FALSE)-AVERAGE('The List'!AB2:AB730))/STDEV('The List'!AB2:AB730)</f>
        <v>-0.21794977504104548</v>
      </c>
      <c r="P252" s="38">
        <f>(VLOOKUP($A252,'The List'!$B1:$AH730,28,FALSE)-AVERAGE('The List'!AC2:AC730))/STDEV('The List'!AC2:AC730)</f>
        <v>0.10744202961119358</v>
      </c>
      <c r="Q252" s="38">
        <f>(VLOOKUP($A252,'The List'!$B1:$AH730,29,FALSE)-AVERAGE('The List'!AD2:AD730))/STDEV('The List'!AD2:AD730)</f>
        <v>-0.77386743183851847</v>
      </c>
      <c r="R252" s="38">
        <f>(VLOOKUP($A252,'The List'!$B1:$AH730,30,FALSE)-AVERAGE('The List'!AE2:AE730))/STDEV('The List'!AE2:AE730)</f>
        <v>0.42145849880645042</v>
      </c>
      <c r="S252" s="38">
        <f>(VLOOKUP($A252,'The List'!$B1:$AH730,31,FALSE)-AVERAGE('The List'!AF2:AF730))/STDEV('The List'!AF2:AF730)</f>
        <v>-0.52025195658569279</v>
      </c>
      <c r="T252" s="38">
        <f>(VLOOKUP($A252,'The List'!$B1:$AH730,32,FALSE)-AVERAGE('The List'!AG2:AG730))/STDEV('The List'!AG2:AG730)</f>
        <v>-0.52463807271785201</v>
      </c>
      <c r="U252" s="38">
        <f>(VLOOKUP($A252,'The List'!$B1:$AH730,33,FALSE)-AVERAGE('The List'!AH2:AH730))/STDEV('The List'!AH2:AH730)</f>
        <v>0.39878127849665446</v>
      </c>
      <c r="V252" s="38"/>
      <c r="W252" s="42"/>
      <c r="X252" s="40"/>
      <c r="Y252" s="40"/>
      <c r="Z252" s="40"/>
      <c r="AA252" s="40"/>
      <c r="AB252" s="40"/>
      <c r="AC252" s="43"/>
      <c r="AD252" s="44"/>
      <c r="AE252" s="38"/>
    </row>
    <row r="253" spans="1:31" ht="21.2" customHeight="1">
      <c r="A253" s="8" t="s">
        <v>562</v>
      </c>
      <c r="B253" s="34" t="str">
        <f>VLOOKUP(A253,'Player Data'!A1:B734,2,FALSE)</f>
        <v>ARI</v>
      </c>
      <c r="C253" s="36">
        <f>((E253)*Settings!$C$12)+(F253*Settings!$C$2)+(G253*Settings!$C$3)+(H253*Settings!$C$4)+(I253*Settings!$C$5)+(K253*Settings!$C$9)+(N253*Settings!$C$6)+(J253*Settings!$C$8)+(O253*Settings!$C$7)+(P253*Settings!$C$14)+(Q253*Settings!$C$15)+(R253*Settings!$C$16)+(S253*Settings!$C$17)+(T253*Settings!$C$18)+(U253*Settings!$C$19)+(L253*Settings!$C$10)+(Settings!$C$11*M253)</f>
        <v>0.39022823129132511</v>
      </c>
      <c r="D253" s="40">
        <f>IF(Settings!$E$12="YES",VLOOKUP(A253,'Player Data'!A1:E734,5,FALSE),82)</f>
        <v>82</v>
      </c>
      <c r="E253" s="38">
        <f>(VLOOKUP($A253,'The List'!$B1:$AH730,17,FALSE)-AVERAGE('The List'!R2:R730))/STDEV('The List'!R2:R730)</f>
        <v>-0.65892737945460933</v>
      </c>
      <c r="F253" s="38">
        <f>(VLOOKUP($A253,'The List'!$B1:$AH730,18,FALSE)-AVERAGE('The List'!S2:S730))/STDEV('The List'!S2:S730)</f>
        <v>0.16717129702562952</v>
      </c>
      <c r="G253" s="38">
        <f>(VLOOKUP($A253,'The List'!$B1:$AH730,19,FALSE)-AVERAGE('The List'!T2:T730))/STDEV('The List'!T2:T730)</f>
        <v>-4.5070623863080389E-2</v>
      </c>
      <c r="H253" s="38">
        <f>(VLOOKUP($A253,'The List'!$B1:$AH730,20,FALSE)-AVERAGE('The List'!U2:U730))/STDEV('The List'!U2:U730)</f>
        <v>5.0015772235794557E-2</v>
      </c>
      <c r="I253" s="38">
        <f>(VLOOKUP($A253,'The List'!$B1:$AH730,21,FALSE)-AVERAGE('The List'!V2:V730))/STDEV('The List'!V2:V730)</f>
        <v>-1.6947671380613743E-2</v>
      </c>
      <c r="J253" s="38">
        <f>(VLOOKUP($A253,'The List'!$B1:$AH730,22,FALSE)-AVERAGE('The List'!W2:W730))/STDEV('The List'!W2:W730)</f>
        <v>0.88471316583004633</v>
      </c>
      <c r="K253" s="38">
        <f>(VLOOKUP($A253,'The List'!$B1:$AH730,23,FALSE)-AVERAGE('The List'!X2:X730))/STDEV('The List'!X2:X730)</f>
        <v>0.23505945727359512</v>
      </c>
      <c r="L253" s="38">
        <f>(VLOOKUP($A253,'The List'!$B1:$AH730,24,FALSE)-AVERAGE('The List'!Y2:Y730))/STDEV('The List'!Y2:Y730)</f>
        <v>-0.46516643115497375</v>
      </c>
      <c r="M253" s="38">
        <f>(VLOOKUP($A253,'The List'!$B1:$AH730,25,FALSE)-AVERAGE('The List'!Z2:Z730))/STDEV('The List'!Z2:Z730)</f>
        <v>-0.62843162384834161</v>
      </c>
      <c r="N253" s="38">
        <f>(VLOOKUP($A253,'The List'!$B1:$AH730,26,FALSE)-AVERAGE('The List'!AA2:AA730))/STDEV('The List'!AA2:AA730)</f>
        <v>-0.78092280690783067</v>
      </c>
      <c r="O253" s="38">
        <f>(VLOOKUP($A253,'The List'!$B1:$AH730,27,FALSE)-AVERAGE('The List'!AB2:AB730))/STDEV('The List'!AB2:AB730)</f>
        <v>-0.70686580810403354</v>
      </c>
      <c r="P253" s="38">
        <f>(VLOOKUP($A253,'The List'!$B1:$AH730,28,FALSE)-AVERAGE('The List'!AC2:AC730))/STDEV('The List'!AC2:AC730)</f>
        <v>-1.061160670981353</v>
      </c>
      <c r="Q253" s="38">
        <f>(VLOOKUP($A253,'The List'!$B1:$AH730,29,FALSE)-AVERAGE('The List'!AD2:AD730))/STDEV('The List'!AD2:AD730)</f>
        <v>-0.43113986626586498</v>
      </c>
      <c r="R253" s="38">
        <f>(VLOOKUP($A253,'The List'!$B1:$AH730,30,FALSE)-AVERAGE('The List'!AE2:AE730))/STDEV('The List'!AE2:AE730)</f>
        <v>1.1654375627874292E-2</v>
      </c>
      <c r="S253" s="38">
        <f>(VLOOKUP($A253,'The List'!$B1:$AH730,31,FALSE)-AVERAGE('The List'!AF2:AF730))/STDEV('The List'!AF2:AF730)</f>
        <v>-0.5441593122592262</v>
      </c>
      <c r="T253" s="38">
        <f>(VLOOKUP($A253,'The List'!$B1:$AH730,32,FALSE)-AVERAGE('The List'!AG2:AG730))/STDEV('The List'!AG2:AG730)</f>
        <v>-0.58888110723759124</v>
      </c>
      <c r="U253" s="38">
        <f>(VLOOKUP($A253,'The List'!$B1:$AH730,33,FALSE)-AVERAGE('The List'!AH2:AH730))/STDEV('The List'!AH2:AH730)</f>
        <v>1.0218490119849142</v>
      </c>
      <c r="V253" s="38"/>
      <c r="W253" s="42"/>
      <c r="X253" s="40"/>
      <c r="Y253" s="40"/>
      <c r="Z253" s="40"/>
      <c r="AA253" s="40"/>
      <c r="AB253" s="40"/>
      <c r="AC253" s="43"/>
      <c r="AD253" s="44"/>
      <c r="AE253" s="38"/>
    </row>
    <row r="254" spans="1:31" ht="21.2" customHeight="1">
      <c r="A254" s="8" t="s">
        <v>558</v>
      </c>
      <c r="B254" s="34" t="str">
        <f>VLOOKUP(A254,'Player Data'!A1:B734,2,FALSE)</f>
        <v>BOS</v>
      </c>
      <c r="C254" s="36">
        <f>((E254)*Settings!$C$12)+(F254*Settings!$C$2)+(G254*Settings!$C$3)+(H254*Settings!$C$4)+(I254*Settings!$C$5)+(K254*Settings!$C$9)+(N254*Settings!$C$6)+(J254*Settings!$C$8)+(O254*Settings!$C$7)+(P254*Settings!$C$14)+(Q254*Settings!$C$15)+(R254*Settings!$C$16)+(S254*Settings!$C$17)+(T254*Settings!$C$18)+(U254*Settings!$C$19)+(L254*Settings!$C$10)+(Settings!$C$11*M254)</f>
        <v>-0.22055290184675336</v>
      </c>
      <c r="D254" s="40">
        <f>IF(Settings!$E$12="YES",VLOOKUP(A254,'Player Data'!A1:E734,5,FALSE),82)</f>
        <v>82</v>
      </c>
      <c r="E254" s="38">
        <f>(VLOOKUP($A254,'The List'!$B1:$AH730,17,FALSE)-AVERAGE('The List'!R2:R730))/STDEV('The List'!R2:R730)</f>
        <v>-0.36566364708241111</v>
      </c>
      <c r="F254" s="38">
        <f>(VLOOKUP($A254,'The List'!$B1:$AH730,18,FALSE)-AVERAGE('The List'!S2:S730))/STDEV('The List'!S2:S730)</f>
        <v>-2.7900927819131741E-2</v>
      </c>
      <c r="G254" s="38">
        <f>(VLOOKUP($A254,'The List'!$B1:$AH730,19,FALSE)-AVERAGE('The List'!T2:T730))/STDEV('The List'!T2:T730)</f>
        <v>9.6595372565487059E-2</v>
      </c>
      <c r="H254" s="38">
        <f>(VLOOKUP($A254,'The List'!$B1:$AH730,20,FALSE)-AVERAGE('The List'!U2:U730))/STDEV('The List'!U2:U730)</f>
        <v>4.639126470759547E-2</v>
      </c>
      <c r="I254" s="38">
        <f>(VLOOKUP($A254,'The List'!$B1:$AH730,21,FALSE)-AVERAGE('The List'!V2:V730))/STDEV('The List'!V2:V730)</f>
        <v>-0.12557613478347787</v>
      </c>
      <c r="J254" s="38">
        <f>(VLOOKUP($A254,'The List'!$B1:$AH730,22,FALSE)-AVERAGE('The List'!W2:W730))/STDEV('The List'!W2:W730)</f>
        <v>-5.5439024699541123E-2</v>
      </c>
      <c r="K254" s="38">
        <f>(VLOOKUP($A254,'The List'!$B1:$AH730,23,FALSE)-AVERAGE('The List'!X2:X730))/STDEV('The List'!X2:X730)</f>
        <v>-0.21006247651722626</v>
      </c>
      <c r="L254" s="38">
        <f>(VLOOKUP($A254,'The List'!$B1:$AH730,24,FALSE)-AVERAGE('The List'!Y2:Y730))/STDEV('The List'!Y2:Y730)</f>
        <v>-0.12459723038153249</v>
      </c>
      <c r="M254" s="38">
        <f>(VLOOKUP($A254,'The List'!$B1:$AH730,25,FALSE)-AVERAGE('The List'!Z2:Z730))/STDEV('The List'!Z2:Z730)</f>
        <v>-0.16804777350614186</v>
      </c>
      <c r="N254" s="38">
        <f>(VLOOKUP($A254,'The List'!$B1:$AH730,26,FALSE)-AVERAGE('The List'!AA2:AA730))/STDEV('The List'!AA2:AA730)</f>
        <v>-0.51119721774136706</v>
      </c>
      <c r="O254" s="38">
        <f>(VLOOKUP($A254,'The List'!$B1:$AH730,27,FALSE)-AVERAGE('The List'!AB2:AB730))/STDEV('The List'!AB2:AB730)</f>
        <v>-0.38599132882627862</v>
      </c>
      <c r="P254" s="38">
        <f>(VLOOKUP($A254,'The List'!$B1:$AH730,28,FALSE)-AVERAGE('The List'!AC2:AC730))/STDEV('The List'!AC2:AC730)</f>
        <v>0.59540046374378142</v>
      </c>
      <c r="Q254" s="38">
        <f>(VLOOKUP($A254,'The List'!$B1:$AH730,29,FALSE)-AVERAGE('The List'!AD2:AD730))/STDEV('The List'!AD2:AD730)</f>
        <v>-0.10820531339568776</v>
      </c>
      <c r="R254" s="38">
        <f>(VLOOKUP($A254,'The List'!$B1:$AH730,30,FALSE)-AVERAGE('The List'!AE2:AE730))/STDEV('The List'!AE2:AE730)</f>
        <v>0.21565059465099251</v>
      </c>
      <c r="S254" s="38">
        <f>(VLOOKUP($A254,'The List'!$B1:$AH730,31,FALSE)-AVERAGE('The List'!AF2:AF730))/STDEV('The List'!AF2:AF730)</f>
        <v>1.7643872817266162</v>
      </c>
      <c r="T254" s="38">
        <f>(VLOOKUP($A254,'The List'!$B1:$AH730,32,FALSE)-AVERAGE('The List'!AG2:AG730))/STDEV('The List'!AG2:AG730)</f>
        <v>1.7310245955605288</v>
      </c>
      <c r="U254" s="38">
        <f>(VLOOKUP($A254,'The List'!$B1:$AH730,33,FALSE)-AVERAGE('The List'!AH2:AH730))/STDEV('The List'!AH2:AH730)</f>
        <v>1.0715146340126886</v>
      </c>
      <c r="V254" s="38"/>
      <c r="W254" s="42"/>
      <c r="X254" s="40"/>
      <c r="Y254" s="40"/>
      <c r="Z254" s="40"/>
      <c r="AA254" s="40"/>
      <c r="AB254" s="40"/>
      <c r="AC254" s="43"/>
      <c r="AD254" s="44"/>
      <c r="AE254" s="38"/>
    </row>
    <row r="255" spans="1:31" ht="21.2" customHeight="1">
      <c r="A255" s="8" t="s">
        <v>555</v>
      </c>
      <c r="B255" s="34" t="str">
        <f>VLOOKUP(A255,'Player Data'!A1:B734,2,FALSE)</f>
        <v>DAL</v>
      </c>
      <c r="C255" s="36">
        <f>((E255)*Settings!$C$12)+(F255*Settings!$C$2)+(G255*Settings!$C$3)+(H255*Settings!$C$4)+(I255*Settings!$C$5)+(K255*Settings!$C$9)+(N255*Settings!$C$6)+(J255*Settings!$C$8)+(O255*Settings!$C$7)+(P255*Settings!$C$14)+(Q255*Settings!$C$15)+(R255*Settings!$C$16)+(S255*Settings!$C$17)+(T255*Settings!$C$18)+(U255*Settings!$C$19)+(L255*Settings!$C$10)+(Settings!$C$11*M255)</f>
        <v>-0.35417527889976352</v>
      </c>
      <c r="D255" s="40">
        <f>IF(Settings!$E$12="YES",VLOOKUP(A255,'Player Data'!A1:E734,5,FALSE),82)</f>
        <v>82</v>
      </c>
      <c r="E255" s="38">
        <f>(VLOOKUP($A255,'The List'!$B1:$AH730,17,FALSE)-AVERAGE('The List'!R2:R730))/STDEV('The List'!R2:R730)</f>
        <v>-0.76311458007264676</v>
      </c>
      <c r="F255" s="38">
        <f>(VLOOKUP($A255,'The List'!$B1:$AH730,18,FALSE)-AVERAGE('The List'!S2:S730))/STDEV('The List'!S2:S730)</f>
        <v>5.4384741129434748E-2</v>
      </c>
      <c r="G255" s="38">
        <f>(VLOOKUP($A255,'The List'!$B1:$AH730,19,FALSE)-AVERAGE('The List'!T2:T730))/STDEV('The List'!T2:T730)</f>
        <v>3.0294910181456965E-2</v>
      </c>
      <c r="H255" s="38">
        <f>(VLOOKUP($A255,'The List'!$B1:$AH730,20,FALSE)-AVERAGE('The List'!U2:U730))/STDEV('The List'!U2:U730)</f>
        <v>4.3899418694737624E-2</v>
      </c>
      <c r="I255" s="38">
        <f>(VLOOKUP($A255,'The List'!$B1:$AH730,21,FALSE)-AVERAGE('The List'!V2:V730))/STDEV('The List'!V2:V730)</f>
        <v>8.2697801920880096E-2</v>
      </c>
      <c r="J255" s="38">
        <f>(VLOOKUP($A255,'The List'!$B1:$AH730,22,FALSE)-AVERAGE('The List'!W2:W730))/STDEV('The List'!W2:W730)</f>
        <v>-0.46005546844332368</v>
      </c>
      <c r="K255" s="38">
        <f>(VLOOKUP($A255,'The List'!$B1:$AH730,23,FALSE)-AVERAGE('The List'!X2:X730))/STDEV('The List'!X2:X730)</f>
        <v>-0.56545215082627298</v>
      </c>
      <c r="L255" s="38">
        <f>(VLOOKUP($A255,'The List'!$B1:$AH730,24,FALSE)-AVERAGE('The List'!Y2:Y730))/STDEV('The List'!Y2:Y730)</f>
        <v>-0.51392401397663368</v>
      </c>
      <c r="M255" s="38">
        <f>(VLOOKUP($A255,'The List'!$B1:$AH730,25,FALSE)-AVERAGE('The List'!Z2:Z730))/STDEV('The List'!Z2:Z730)</f>
        <v>-0.69084944713752072</v>
      </c>
      <c r="N255" s="38">
        <f>(VLOOKUP($A255,'The List'!$B1:$AH730,26,FALSE)-AVERAGE('The List'!AA2:AA730))/STDEV('The List'!AA2:AA730)</f>
        <v>-0.71925359858708604</v>
      </c>
      <c r="O255" s="38">
        <f>(VLOOKUP($A255,'The List'!$B1:$AH730,27,FALSE)-AVERAGE('The List'!AB2:AB730))/STDEV('The List'!AB2:AB730)</f>
        <v>0.19307735668042408</v>
      </c>
      <c r="P255" s="38">
        <f>(VLOOKUP($A255,'The List'!$B1:$AH730,28,FALSE)-AVERAGE('The List'!AC2:AC730))/STDEV('The List'!AC2:AC730)</f>
        <v>1.0527824068872611</v>
      </c>
      <c r="Q255" s="38">
        <f>(VLOOKUP($A255,'The List'!$B1:$AH730,29,FALSE)-AVERAGE('The List'!AD2:AD730))/STDEV('The List'!AD2:AD730)</f>
        <v>1.2214868116135509</v>
      </c>
      <c r="R255" s="38">
        <f>(VLOOKUP($A255,'The List'!$B1:$AH730,30,FALSE)-AVERAGE('The List'!AE2:AE730))/STDEV('The List'!AE2:AE730)</f>
        <v>0.23244938554439162</v>
      </c>
      <c r="S255" s="38">
        <f>(VLOOKUP($A255,'The List'!$B1:$AH730,31,FALSE)-AVERAGE('The List'!AF2:AF730))/STDEV('The List'!AF2:AF730)</f>
        <v>-0.51194080959418964</v>
      </c>
      <c r="T255" s="38">
        <f>(VLOOKUP($A255,'The List'!$B1:$AH730,32,FALSE)-AVERAGE('The List'!AG2:AG730))/STDEV('The List'!AG2:AG730)</f>
        <v>-0.50715224888284849</v>
      </c>
      <c r="U255" s="38">
        <f>(VLOOKUP($A255,'The List'!$B1:$AH730,33,FALSE)-AVERAGE('The List'!AH2:AH730))/STDEV('The List'!AH2:AH730)</f>
        <v>0.37835285856351858</v>
      </c>
      <c r="V255" s="38"/>
      <c r="W255" s="42"/>
      <c r="X255" s="40"/>
      <c r="Y255" s="40"/>
      <c r="Z255" s="40"/>
      <c r="AA255" s="40"/>
      <c r="AB255" s="40"/>
      <c r="AC255" s="43"/>
      <c r="AD255" s="44"/>
      <c r="AE255" s="38"/>
    </row>
    <row r="256" spans="1:31" ht="21.2" customHeight="1">
      <c r="A256" s="8" t="s">
        <v>266</v>
      </c>
      <c r="B256" s="34" t="str">
        <f>VLOOKUP(A256,'Player Data'!A1:B734,2,FALSE)</f>
        <v>BUF</v>
      </c>
      <c r="C256" s="36">
        <f>((E256)*Settings!$C$12)+(F256*Settings!$C$2)+(G256*Settings!$C$3)+(H256*Settings!$C$4)+(I256*Settings!$C$5)+(K256*Settings!$C$9)+(N256*Settings!$C$6)+(J256*Settings!$C$8)+(O256*Settings!$C$7)+(P256*Settings!$C$14)+(Q256*Settings!$C$15)+(R256*Settings!$C$16)+(S256*Settings!$C$17)+(T256*Settings!$C$18)+(U256*Settings!$C$19)+(L256*Settings!$C$10)+(Settings!$C$11*M256)</f>
        <v>0.14169014419685741</v>
      </c>
      <c r="D256" s="40">
        <f>IF(Settings!$E$12="YES",VLOOKUP(A256,'Player Data'!A1:E734,5,FALSE),82)</f>
        <v>82</v>
      </c>
      <c r="E256" s="38">
        <f>(VLOOKUP($A256,'The List'!$B1:$AH730,17,FALSE)-AVERAGE('The List'!R2:R730))/STDEV('The List'!R2:R730)</f>
        <v>1.8951342920349397</v>
      </c>
      <c r="F256" s="38">
        <f>(VLOOKUP($A256,'The List'!$B1:$AH730,18,FALSE)-AVERAGE('The List'!S2:S730))/STDEV('The List'!S2:S730)</f>
        <v>-0.69297281470398009</v>
      </c>
      <c r="G256" s="38">
        <f>(VLOOKUP($A256,'The List'!$B1:$AH730,19,FALSE)-AVERAGE('The List'!T2:T730))/STDEV('The List'!T2:T730)</f>
        <v>0.73815683559436396</v>
      </c>
      <c r="H256" s="38">
        <f>(VLOOKUP($A256,'The List'!$B1:$AH730,20,FALSE)-AVERAGE('The List'!U2:U730))/STDEV('The List'!U2:U730)</f>
        <v>0.13148197354985183</v>
      </c>
      <c r="I256" s="38">
        <f>(VLOOKUP($A256,'The List'!$B1:$AH730,21,FALSE)-AVERAGE('The List'!V2:V730))/STDEV('The List'!V2:V730)</f>
        <v>-5.492812694232227E-2</v>
      </c>
      <c r="J256" s="38">
        <f>(VLOOKUP($A256,'The List'!$B1:$AH730,22,FALSE)-AVERAGE('The List'!W2:W730))/STDEV('The List'!W2:W730)</f>
        <v>-0.62598444679720278</v>
      </c>
      <c r="K256" s="38">
        <f>(VLOOKUP($A256,'The List'!$B1:$AH730,23,FALSE)-AVERAGE('The List'!X2:X730))/STDEV('The List'!X2:X730)</f>
        <v>1.9952276698943987E-2</v>
      </c>
      <c r="L256" s="38">
        <f>(VLOOKUP($A256,'The List'!$B1:$AH730,24,FALSE)-AVERAGE('The List'!Y2:Y730))/STDEV('The List'!Y2:Y730)</f>
        <v>-0.44658456350776576</v>
      </c>
      <c r="M256" s="38">
        <f>(VLOOKUP($A256,'The List'!$B1:$AH730,25,FALSE)-AVERAGE('The List'!Z2:Z730))/STDEV('The List'!Z2:Z730)</f>
        <v>2.1582283787006277E-2</v>
      </c>
      <c r="N256" s="38">
        <f>(VLOOKUP($A256,'The List'!$B1:$AH730,26,FALSE)-AVERAGE('The List'!AA2:AA730))/STDEV('The List'!AA2:AA730)</f>
        <v>0.76062785629684548</v>
      </c>
      <c r="O256" s="38">
        <f>(VLOOKUP($A256,'The List'!$B1:$AH730,27,FALSE)-AVERAGE('The List'!AB2:AB730))/STDEV('The List'!AB2:AB730)</f>
        <v>-1.0872565634207032</v>
      </c>
      <c r="P256" s="38">
        <f>(VLOOKUP($A256,'The List'!$B1:$AH730,28,FALSE)-AVERAGE('The List'!AC2:AC730))/STDEV('The List'!AC2:AC730)</f>
        <v>-2.2620296742670264E-2</v>
      </c>
      <c r="Q256" s="38">
        <f>(VLOOKUP($A256,'The List'!$B1:$AH730,29,FALSE)-AVERAGE('The List'!AD2:AD730))/STDEV('The List'!AD2:AD730)</f>
        <v>-0.21585763142740613</v>
      </c>
      <c r="R256" s="38">
        <f>(VLOOKUP($A256,'The List'!$B1:$AH730,30,FALSE)-AVERAGE('The List'!AE2:AE730))/STDEV('The List'!AE2:AE730)</f>
        <v>-0.68718900853335096</v>
      </c>
      <c r="S256" s="38">
        <f>(VLOOKUP($A256,'The List'!$B1:$AH730,31,FALSE)-AVERAGE('The List'!AF2:AF730))/STDEV('The List'!AF2:AF730)</f>
        <v>-0.56911587195029545</v>
      </c>
      <c r="T256" s="38">
        <f>(VLOOKUP($A256,'The List'!$B1:$AH730,32,FALSE)-AVERAGE('The List'!AG2:AG730))/STDEV('The List'!AG2:AG730)</f>
        <v>-0.61510119871956948</v>
      </c>
      <c r="U256" s="38">
        <f>(VLOOKUP($A256,'The List'!$B1:$AH730,33,FALSE)-AVERAGE('The List'!AH2:AH730))/STDEV('The List'!AH2:AH730)</f>
        <v>-1.2363238714825984</v>
      </c>
      <c r="V256" s="38"/>
      <c r="W256" s="42"/>
      <c r="X256" s="40"/>
      <c r="Y256" s="40"/>
      <c r="Z256" s="40"/>
      <c r="AA256" s="40"/>
      <c r="AB256" s="40"/>
      <c r="AC256" s="43"/>
      <c r="AD256" s="44"/>
      <c r="AE256" s="38"/>
    </row>
    <row r="257" spans="1:31" ht="21.2" customHeight="1">
      <c r="A257" s="8" t="s">
        <v>389</v>
      </c>
      <c r="B257" s="34" t="str">
        <f>VLOOKUP(A257,'Player Data'!A1:B734,2,FALSE)</f>
        <v>FLA</v>
      </c>
      <c r="C257" s="36">
        <f>((E257)*Settings!$C$12)+(F257*Settings!$C$2)+(G257*Settings!$C$3)+(H257*Settings!$C$4)+(I257*Settings!$C$5)+(K257*Settings!$C$9)+(N257*Settings!$C$6)+(J257*Settings!$C$8)+(O257*Settings!$C$7)+(P257*Settings!$C$14)+(Q257*Settings!$C$15)+(R257*Settings!$C$16)+(S257*Settings!$C$17)+(T257*Settings!$C$18)+(U257*Settings!$C$19)+(L257*Settings!$C$10)+(Settings!$C$11*M257)</f>
        <v>1.0766132214619046</v>
      </c>
      <c r="D257" s="40">
        <f>IF(Settings!$E$12="YES",VLOOKUP(A257,'Player Data'!A1:E734,5,FALSE),82)</f>
        <v>82</v>
      </c>
      <c r="E257" s="38">
        <f>(VLOOKUP($A257,'The List'!$B1:$AH730,17,FALSE)-AVERAGE('The List'!R2:R730))/STDEV('The List'!R2:R730)</f>
        <v>-0.20194362709644625</v>
      </c>
      <c r="F257" s="38">
        <f>(VLOOKUP($A257,'The List'!$B1:$AH730,18,FALSE)-AVERAGE('The List'!S2:S730))/STDEV('The List'!S2:S730)</f>
        <v>0.19404540548454199</v>
      </c>
      <c r="G257" s="38">
        <f>(VLOOKUP($A257,'The List'!$B1:$AH730,19,FALSE)-AVERAGE('The List'!T2:T730))/STDEV('The List'!T2:T730)</f>
        <v>-7.8461287523763829E-2</v>
      </c>
      <c r="H257" s="38">
        <f>(VLOOKUP($A257,'The List'!$B1:$AH730,20,FALSE)-AVERAGE('The List'!U2:U730))/STDEV('The List'!U2:U730)</f>
        <v>4.1988946740528103E-2</v>
      </c>
      <c r="I257" s="38">
        <f>(VLOOKUP($A257,'The List'!$B1:$AH730,21,FALSE)-AVERAGE('The List'!V2:V730))/STDEV('The List'!V2:V730)</f>
        <v>0.90566525412667609</v>
      </c>
      <c r="J257" s="38">
        <f>(VLOOKUP($A257,'The List'!$B1:$AH730,22,FALSE)-AVERAGE('The List'!W2:W730))/STDEV('The List'!W2:W730)</f>
        <v>0.56632138797265474</v>
      </c>
      <c r="K257" s="38">
        <f>(VLOOKUP($A257,'The List'!$B1:$AH730,23,FALSE)-AVERAGE('The List'!X2:X730))/STDEV('The List'!X2:X730)</f>
        <v>1.3374902633922263E-2</v>
      </c>
      <c r="L257" s="38">
        <f>(VLOOKUP($A257,'The List'!$B1:$AH730,24,FALSE)-AVERAGE('The List'!Y2:Y730))/STDEV('The List'!Y2:Y730)</f>
        <v>-0.41200446053278922</v>
      </c>
      <c r="M257" s="38">
        <f>(VLOOKUP($A257,'The List'!$B1:$AH730,25,FALSE)-AVERAGE('The List'!Z2:Z730))/STDEV('The List'!Z2:Z730)</f>
        <v>-0.58842430913155108</v>
      </c>
      <c r="N257" s="38">
        <f>(VLOOKUP($A257,'The List'!$B1:$AH730,26,FALSE)-AVERAGE('The List'!AA2:AA730))/STDEV('The List'!AA2:AA730)</f>
        <v>-0.84476596045880425</v>
      </c>
      <c r="O257" s="38">
        <f>(VLOOKUP($A257,'The List'!$B1:$AH730,27,FALSE)-AVERAGE('The List'!AB2:AB730))/STDEV('The List'!AB2:AB730)</f>
        <v>-0.91132082938560421</v>
      </c>
      <c r="P257" s="38">
        <f>(VLOOKUP($A257,'The List'!$B1:$AH730,28,FALSE)-AVERAGE('The List'!AC2:AC730))/STDEV('The List'!AC2:AC730)</f>
        <v>0.83965620330126989</v>
      </c>
      <c r="Q257" s="38">
        <f>(VLOOKUP($A257,'The List'!$B1:$AH730,29,FALSE)-AVERAGE('The List'!AD2:AD730))/STDEV('The List'!AD2:AD730)</f>
        <v>-0.60951495453007443</v>
      </c>
      <c r="R257" s="38">
        <f>(VLOOKUP($A257,'The List'!$B1:$AH730,30,FALSE)-AVERAGE('The List'!AE2:AE730))/STDEV('The List'!AE2:AE730)</f>
        <v>0.20949240886525508</v>
      </c>
      <c r="S257" s="38">
        <f>(VLOOKUP($A257,'The List'!$B1:$AH730,31,FALSE)-AVERAGE('The List'!AF2:AF730))/STDEV('The List'!AF2:AF730)</f>
        <v>5.6964101900222962E-2</v>
      </c>
      <c r="T257" s="38">
        <f>(VLOOKUP($A257,'The List'!$B1:$AH730,32,FALSE)-AVERAGE('The List'!AG2:AG730))/STDEV('The List'!AG2:AG730)</f>
        <v>0.1044023778125219</v>
      </c>
      <c r="U257" s="38">
        <f>(VLOOKUP($A257,'The List'!$B1:$AH730,33,FALSE)-AVERAGE('The List'!AH2:AH730))/STDEV('The List'!AH2:AH730)</f>
        <v>0.9206444441092102</v>
      </c>
      <c r="V257" s="38"/>
      <c r="W257" s="42"/>
      <c r="X257" s="40"/>
      <c r="Y257" s="40"/>
      <c r="Z257" s="40"/>
      <c r="AA257" s="40"/>
      <c r="AB257" s="40"/>
      <c r="AC257" s="43"/>
      <c r="AD257" s="44"/>
      <c r="AE257" s="38"/>
    </row>
    <row r="258" spans="1:31" ht="21.2" customHeight="1">
      <c r="A258" s="8" t="s">
        <v>655</v>
      </c>
      <c r="B258" s="34" t="str">
        <f>VLOOKUP(A258,'Player Data'!A1:B734,2,FALSE)</f>
        <v>SEA</v>
      </c>
      <c r="C258" s="36">
        <f>((E258)*Settings!$C$12)+(F258*Settings!$C$2)+(G258*Settings!$C$3)+(H258*Settings!$C$4)+(I258*Settings!$C$5)+(K258*Settings!$C$9)+(N258*Settings!$C$6)+(J258*Settings!$C$8)+(O258*Settings!$C$7)+(P258*Settings!$C$14)+(Q258*Settings!$C$15)+(R258*Settings!$C$16)+(S258*Settings!$C$17)+(T258*Settings!$C$18)+(U258*Settings!$C$19)+(L258*Settings!$C$10)+(Settings!$C$11*M258)</f>
        <v>0.32216990615181401</v>
      </c>
      <c r="D258" s="40">
        <f>IF(Settings!$E$12="YES",VLOOKUP(A258,'Player Data'!A1:E734,5,FALSE),82)</f>
        <v>82</v>
      </c>
      <c r="E258" s="38">
        <f>(VLOOKUP($A258,'The List'!$B1:$AH730,17,FALSE)-AVERAGE('The List'!R2:R730))/STDEV('The List'!R2:R730)</f>
        <v>-0.8004044899062458</v>
      </c>
      <c r="F258" s="38">
        <f>(VLOOKUP($A258,'The List'!$B1:$AH730,18,FALSE)-AVERAGE('The List'!S2:S730))/STDEV('The List'!S2:S730)</f>
        <v>0.35370913840130375</v>
      </c>
      <c r="G258" s="38">
        <f>(VLOOKUP($A258,'The List'!$B1:$AH730,19,FALSE)-AVERAGE('The List'!T2:T730))/STDEV('The List'!T2:T730)</f>
        <v>-0.20068159502574232</v>
      </c>
      <c r="H258" s="38">
        <f>(VLOOKUP($A258,'The List'!$B1:$AH730,20,FALSE)-AVERAGE('The List'!U2:U730))/STDEV('The List'!U2:U730)</f>
        <v>4.1103138700111057E-2</v>
      </c>
      <c r="I258" s="38">
        <f>(VLOOKUP($A258,'The List'!$B1:$AH730,21,FALSE)-AVERAGE('The List'!V2:V730))/STDEV('The List'!V2:V730)</f>
        <v>6.1229468980345592E-2</v>
      </c>
      <c r="J258" s="38">
        <f>(VLOOKUP($A258,'The List'!$B1:$AH730,22,FALSE)-AVERAGE('The List'!W2:W730))/STDEV('The List'!W2:W730)</f>
        <v>0.31798085410987387</v>
      </c>
      <c r="K258" s="38">
        <f>(VLOOKUP($A258,'The List'!$B1:$AH730,23,FALSE)-AVERAGE('The List'!X2:X730))/STDEV('The List'!X2:X730)</f>
        <v>6.6809755095795939E-2</v>
      </c>
      <c r="L258" s="38">
        <f>(VLOOKUP($A258,'The List'!$B1:$AH730,24,FALSE)-AVERAGE('The List'!Y2:Y730))/STDEV('The List'!Y2:Y730)</f>
        <v>-0.52515529094994673</v>
      </c>
      <c r="M258" s="38">
        <f>(VLOOKUP($A258,'The List'!$B1:$AH730,25,FALSE)-AVERAGE('The List'!Z2:Z730))/STDEV('The List'!Z2:Z730)</f>
        <v>-0.70378350861314143</v>
      </c>
      <c r="N258" s="38">
        <f>(VLOOKUP($A258,'The List'!$B1:$AH730,26,FALSE)-AVERAGE('The List'!AA2:AA730))/STDEV('The List'!AA2:AA730)</f>
        <v>-0.74902277008711549</v>
      </c>
      <c r="O258" s="38">
        <f>(VLOOKUP($A258,'The List'!$B1:$AH730,27,FALSE)-AVERAGE('The List'!AB2:AB730))/STDEV('The List'!AB2:AB730)</f>
        <v>-1.0085606017942359</v>
      </c>
      <c r="P258" s="38">
        <f>(VLOOKUP($A258,'The List'!$B1:$AH730,28,FALSE)-AVERAGE('The List'!AC2:AC730))/STDEV('The List'!AC2:AC730)</f>
        <v>-0.13073955264079154</v>
      </c>
      <c r="Q258" s="38">
        <f>(VLOOKUP($A258,'The List'!$B1:$AH730,29,FALSE)-AVERAGE('The List'!AD2:AD730))/STDEV('The List'!AD2:AD730)</f>
        <v>-0.39831538598025462</v>
      </c>
      <c r="R258" s="38">
        <f>(VLOOKUP($A258,'The List'!$B1:$AH730,30,FALSE)-AVERAGE('The List'!AE2:AE730))/STDEV('The List'!AE2:AE730)</f>
        <v>0.32619321124629963</v>
      </c>
      <c r="S258" s="38">
        <f>(VLOOKUP($A258,'The List'!$B1:$AH730,31,FALSE)-AVERAGE('The List'!AF2:AF730))/STDEV('The List'!AF2:AF730)</f>
        <v>-0.31865331428323562</v>
      </c>
      <c r="T258" s="38">
        <f>(VLOOKUP($A258,'The List'!$B1:$AH730,32,FALSE)-AVERAGE('The List'!AG2:AG730))/STDEV('The List'!AG2:AG730)</f>
        <v>-0.18576214984056993</v>
      </c>
      <c r="U258" s="38">
        <f>(VLOOKUP($A258,'The List'!$B1:$AH730,33,FALSE)-AVERAGE('The List'!AH2:AH730))/STDEV('The List'!AH2:AH730)</f>
        <v>0.47988751995271123</v>
      </c>
      <c r="V258" s="38"/>
      <c r="W258" s="42"/>
      <c r="X258" s="40"/>
      <c r="Y258" s="40"/>
      <c r="Z258" s="40"/>
      <c r="AA258" s="40"/>
      <c r="AB258" s="40"/>
      <c r="AC258" s="43"/>
      <c r="AD258" s="44"/>
      <c r="AE258" s="38"/>
    </row>
    <row r="259" spans="1:31" ht="21.2" customHeight="1">
      <c r="A259" s="8" t="s">
        <v>268</v>
      </c>
      <c r="B259" s="34" t="str">
        <f>VLOOKUP(A259,'Player Data'!A1:B734,2,FALSE)</f>
        <v>NJD</v>
      </c>
      <c r="C259" s="36">
        <f>((E259)*Settings!$C$12)+(F259*Settings!$C$2)+(G259*Settings!$C$3)+(H259*Settings!$C$4)+(I259*Settings!$C$5)+(K259*Settings!$C$9)+(N259*Settings!$C$6)+(J259*Settings!$C$8)+(O259*Settings!$C$7)+(P259*Settings!$C$14)+(Q259*Settings!$C$15)+(R259*Settings!$C$16)+(S259*Settings!$C$17)+(T259*Settings!$C$18)+(U259*Settings!$C$19)+(L259*Settings!$C$10)+(Settings!$C$11*M259)</f>
        <v>0.49996421200840635</v>
      </c>
      <c r="D259" s="40">
        <f>IF(Settings!$E$12="YES",VLOOKUP(A259,'Player Data'!A1:E734,5,FALSE),82)</f>
        <v>82</v>
      </c>
      <c r="E259" s="38">
        <f>(VLOOKUP($A259,'The List'!$B1:$AH730,17,FALSE)-AVERAGE('The List'!R2:R730))/STDEV('The List'!R2:R730)</f>
        <v>1.2170521763313611</v>
      </c>
      <c r="F259" s="38">
        <f>(VLOOKUP($A259,'The List'!$B1:$AH730,18,FALSE)-AVERAGE('The List'!S2:S730))/STDEV('The List'!S2:S730)</f>
        <v>-0.53143972635135595</v>
      </c>
      <c r="G259" s="38">
        <f>(VLOOKUP($A259,'The List'!$B1:$AH730,19,FALSE)-AVERAGE('The List'!T2:T730))/STDEV('The List'!T2:T730)</f>
        <v>0.61666387541816892</v>
      </c>
      <c r="H259" s="38">
        <f>(VLOOKUP($A259,'The List'!$B1:$AH730,20,FALSE)-AVERAGE('The List'!U2:U730))/STDEV('The List'!U2:U730)</f>
        <v>0.13191216215982324</v>
      </c>
      <c r="I259" s="38">
        <f>(VLOOKUP($A259,'The List'!$B1:$AH730,21,FALSE)-AVERAGE('The List'!V2:V730))/STDEV('The List'!V2:V730)</f>
        <v>0.13406304072729733</v>
      </c>
      <c r="J259" s="38">
        <f>(VLOOKUP($A259,'The List'!$B1:$AH730,22,FALSE)-AVERAGE('The List'!W2:W730))/STDEV('The List'!W2:W730)</f>
        <v>-0.20436589893643231</v>
      </c>
      <c r="K259" s="38">
        <f>(VLOOKUP($A259,'The List'!$B1:$AH730,23,FALSE)-AVERAGE('The List'!X2:X730))/STDEV('The List'!X2:X730)</f>
        <v>0.14876486005447284</v>
      </c>
      <c r="L259" s="38">
        <f>(VLOOKUP($A259,'The List'!$B1:$AH730,24,FALSE)-AVERAGE('The List'!Y2:Y730))/STDEV('The List'!Y2:Y730)</f>
        <v>-0.52515529094994673</v>
      </c>
      <c r="M259" s="38">
        <f>(VLOOKUP($A259,'The List'!$B1:$AH730,25,FALSE)-AVERAGE('The List'!Z2:Z730))/STDEV('The List'!Z2:Z730)</f>
        <v>-0.70378350861314143</v>
      </c>
      <c r="N259" s="38">
        <f>(VLOOKUP($A259,'The List'!$B1:$AH730,26,FALSE)-AVERAGE('The List'!AA2:AA730))/STDEV('The List'!AA2:AA730)</f>
        <v>1.0864514537201002</v>
      </c>
      <c r="O259" s="38">
        <f>(VLOOKUP($A259,'The List'!$B1:$AH730,27,FALSE)-AVERAGE('The List'!AB2:AB730))/STDEV('The List'!AB2:AB730)</f>
        <v>0.20490631938303969</v>
      </c>
      <c r="P259" s="38">
        <f>(VLOOKUP($A259,'The List'!$B1:$AH730,28,FALSE)-AVERAGE('The List'!AC2:AC730))/STDEV('The List'!AC2:AC730)</f>
        <v>0.14107283155886888</v>
      </c>
      <c r="Q259" s="38">
        <f>(VLOOKUP($A259,'The List'!$B1:$AH730,29,FALSE)-AVERAGE('The List'!AD2:AD730))/STDEV('The List'!AD2:AD730)</f>
        <v>0.44060099265887354</v>
      </c>
      <c r="R259" s="38">
        <f>(VLOOKUP($A259,'The List'!$B1:$AH730,30,FALSE)-AVERAGE('The List'!AE2:AE730))/STDEV('The List'!AE2:AE730)</f>
        <v>-0.44899253934612754</v>
      </c>
      <c r="S259" s="38">
        <f>(VLOOKUP($A259,'The List'!$B1:$AH730,31,FALSE)-AVERAGE('The List'!AF2:AF730))/STDEV('The List'!AF2:AF730)</f>
        <v>-0.56911587195029545</v>
      </c>
      <c r="T259" s="38">
        <f>(VLOOKUP($A259,'The List'!$B1:$AH730,32,FALSE)-AVERAGE('The List'!AG2:AG730))/STDEV('The List'!AG2:AG730)</f>
        <v>-0.61510119871956948</v>
      </c>
      <c r="U259" s="38">
        <f>(VLOOKUP($A259,'The List'!$B1:$AH730,33,FALSE)-AVERAGE('The List'!AH2:AH730))/STDEV('The List'!AH2:AH730)</f>
        <v>-1.2363238714825984</v>
      </c>
      <c r="V259" s="38"/>
      <c r="W259" s="40"/>
      <c r="X259" s="38"/>
      <c r="Y259" s="38"/>
      <c r="Z259" s="38"/>
      <c r="AA259" s="38"/>
      <c r="AB259" s="38"/>
      <c r="AC259" s="38"/>
      <c r="AD259" s="38"/>
      <c r="AE259" s="38"/>
    </row>
    <row r="260" spans="1:31" ht="21.2" customHeight="1">
      <c r="A260" s="8" t="s">
        <v>512</v>
      </c>
      <c r="B260" s="34" t="str">
        <f>VLOOKUP(A260,'Player Data'!A1:B734,2,FALSE)</f>
        <v>NYI</v>
      </c>
      <c r="C260" s="36">
        <f>((E260)*Settings!$C$12)+(F260*Settings!$C$2)+(G260*Settings!$C$3)+(H260*Settings!$C$4)+(I260*Settings!$C$5)+(K260*Settings!$C$9)+(N260*Settings!$C$6)+(J260*Settings!$C$8)+(O260*Settings!$C$7)+(P260*Settings!$C$14)+(Q260*Settings!$C$15)+(R260*Settings!$C$16)+(S260*Settings!$C$17)+(T260*Settings!$C$18)+(U260*Settings!$C$19)+(L260*Settings!$C$10)+(Settings!$C$11*M260)</f>
        <v>-0.21533339657211931</v>
      </c>
      <c r="D260" s="40">
        <f>IF(Settings!$E$12="YES",VLOOKUP(A260,'Player Data'!A1:E734,5,FALSE),82)</f>
        <v>82</v>
      </c>
      <c r="E260" s="38">
        <f>(VLOOKUP($A260,'The List'!$B1:$AH730,17,FALSE)-AVERAGE('The List'!R2:R730))/STDEV('The List'!R2:R730)</f>
        <v>1.765779623996637E-2</v>
      </c>
      <c r="F260" s="38">
        <f>(VLOOKUP($A260,'The List'!$B1:$AH730,18,FALSE)-AVERAGE('The List'!S2:S730))/STDEV('The List'!S2:S730)</f>
        <v>8.4918940416112587E-2</v>
      </c>
      <c r="G260" s="38">
        <f>(VLOOKUP($A260,'The List'!$B1:$AH730,19,FALSE)-AVERAGE('The List'!T2:T730))/STDEV('The List'!T2:T730)</f>
        <v>-2.7118515942563943E-2</v>
      </c>
      <c r="H260" s="38">
        <f>(VLOOKUP($A260,'The List'!$B1:$AH730,20,FALSE)-AVERAGE('The List'!U2:U730))/STDEV('The List'!U2:U730)</f>
        <v>2.2811138537287036E-2</v>
      </c>
      <c r="I260" s="38">
        <f>(VLOOKUP($A260,'The List'!$B1:$AH730,21,FALSE)-AVERAGE('The List'!V2:V730))/STDEV('The List'!V2:V730)</f>
        <v>-0.18519786724257697</v>
      </c>
      <c r="J260" s="38">
        <f>(VLOOKUP($A260,'The List'!$B1:$AH730,22,FALSE)-AVERAGE('The List'!W2:W730))/STDEV('The List'!W2:W730)</f>
        <v>0.3225782835075815</v>
      </c>
      <c r="K260" s="38">
        <f>(VLOOKUP($A260,'The List'!$B1:$AH730,23,FALSE)-AVERAGE('The List'!X2:X730))/STDEV('The List'!X2:X730)</f>
        <v>-0.11074709234037804</v>
      </c>
      <c r="L260" s="38">
        <f>(VLOOKUP($A260,'The List'!$B1:$AH730,24,FALSE)-AVERAGE('The List'!Y2:Y730))/STDEV('The List'!Y2:Y730)</f>
        <v>2.776232894208154</v>
      </c>
      <c r="M260" s="38">
        <f>(VLOOKUP($A260,'The List'!$B1:$AH730,25,FALSE)-AVERAGE('The List'!Z2:Z730))/STDEV('The List'!Z2:Z730)</f>
        <v>2.4142342408144799</v>
      </c>
      <c r="N260" s="38">
        <f>(VLOOKUP($A260,'The List'!$B1:$AH730,26,FALSE)-AVERAGE('The List'!AA2:AA730))/STDEV('The List'!AA2:AA730)</f>
        <v>-1.9769520050854979E-2</v>
      </c>
      <c r="O260" s="38">
        <f>(VLOOKUP($A260,'The List'!$B1:$AH730,27,FALSE)-AVERAGE('The List'!AB2:AB730))/STDEV('The List'!AB2:AB730)</f>
        <v>1.4473070422339287</v>
      </c>
      <c r="P260" s="38">
        <f>(VLOOKUP($A260,'The List'!$B1:$AH730,28,FALSE)-AVERAGE('The List'!AC2:AC730))/STDEV('The List'!AC2:AC730)</f>
        <v>9.8394168778413754E-2</v>
      </c>
      <c r="Q260" s="38">
        <f>(VLOOKUP($A260,'The List'!$B1:$AH730,29,FALSE)-AVERAGE('The List'!AD2:AD730))/STDEV('The List'!AD2:AD730)</f>
        <v>-0.77260404340744793</v>
      </c>
      <c r="R260" s="38">
        <f>(VLOOKUP($A260,'The List'!$B1:$AH730,30,FALSE)-AVERAGE('The List'!AE2:AE730))/STDEV('The List'!AE2:AE730)</f>
        <v>0.21242724787969747</v>
      </c>
      <c r="S260" s="38">
        <f>(VLOOKUP($A260,'The List'!$B1:$AH730,31,FALSE)-AVERAGE('The List'!AF2:AF730))/STDEV('The List'!AF2:AF730)</f>
        <v>3.0366377014055494</v>
      </c>
      <c r="T260" s="38">
        <f>(VLOOKUP($A260,'The List'!$B1:$AH730,32,FALSE)-AVERAGE('The List'!AG2:AG730))/STDEV('The List'!AG2:AG730)</f>
        <v>2.3106820929706027</v>
      </c>
      <c r="U260" s="38">
        <f>(VLOOKUP($A260,'The List'!$B1:$AH730,33,FALSE)-AVERAGE('The List'!AH2:AH730))/STDEV('The List'!AH2:AH730)</f>
        <v>1.3119454774079313</v>
      </c>
      <c r="V260" s="38"/>
      <c r="W260" s="42"/>
      <c r="X260" s="40"/>
      <c r="Y260" s="40"/>
      <c r="Z260" s="40"/>
      <c r="AA260" s="40"/>
      <c r="AB260" s="40"/>
      <c r="AC260" s="43"/>
      <c r="AD260" s="44"/>
      <c r="AE260" s="38"/>
    </row>
    <row r="261" spans="1:31" ht="21.2" customHeight="1">
      <c r="A261" s="8" t="s">
        <v>446</v>
      </c>
      <c r="B261" s="34" t="str">
        <f>VLOOKUP(A261,'Player Data'!A1:B734,2,FALSE)</f>
        <v>CHI</v>
      </c>
      <c r="C261" s="36">
        <f>((E261)*Settings!$C$12)+(F261*Settings!$C$2)+(G261*Settings!$C$3)+(H261*Settings!$C$4)+(I261*Settings!$C$5)+(K261*Settings!$C$9)+(N261*Settings!$C$6)+(J261*Settings!$C$8)+(O261*Settings!$C$7)+(P261*Settings!$C$14)+(Q261*Settings!$C$15)+(R261*Settings!$C$16)+(S261*Settings!$C$17)+(T261*Settings!$C$18)+(U261*Settings!$C$19)+(L261*Settings!$C$10)+(Settings!$C$11*M261)</f>
        <v>0.14510855806169834</v>
      </c>
      <c r="D261" s="40">
        <f>IF(Settings!$E$12="YES",VLOOKUP(A261,'Player Data'!A1:E734,5,FALSE),82)</f>
        <v>82</v>
      </c>
      <c r="E261" s="38">
        <f>(VLOOKUP($A261,'The List'!$B1:$AH730,17,FALSE)-AVERAGE('The List'!R2:R730))/STDEV('The List'!R2:R730)</f>
        <v>-0.12815461102728198</v>
      </c>
      <c r="F261" s="38">
        <f>(VLOOKUP($A261,'The List'!$B1:$AH730,18,FALSE)-AVERAGE('The List'!S2:S730))/STDEV('The List'!S2:S730)</f>
        <v>0.47479070300738019</v>
      </c>
      <c r="G261" s="38">
        <f>(VLOOKUP($A261,'The List'!$B1:$AH730,19,FALSE)-AVERAGE('The List'!T2:T730))/STDEV('The List'!T2:T730)</f>
        <v>-0.32554643028777658</v>
      </c>
      <c r="H261" s="38">
        <f>(VLOOKUP($A261,'The List'!$B1:$AH730,20,FALSE)-AVERAGE('The List'!U2:U730))/STDEV('The List'!U2:U730)</f>
        <v>2.0656351099009779E-2</v>
      </c>
      <c r="I261" s="38">
        <f>(VLOOKUP($A261,'The List'!$B1:$AH730,21,FALSE)-AVERAGE('The List'!V2:V730))/STDEV('The List'!V2:V730)</f>
        <v>-0.31395205812819355</v>
      </c>
      <c r="J261" s="38">
        <f>(VLOOKUP($A261,'The List'!$B1:$AH730,22,FALSE)-AVERAGE('The List'!W2:W730))/STDEV('The List'!W2:W730)</f>
        <v>0.68681455696601801</v>
      </c>
      <c r="K261" s="38">
        <f>(VLOOKUP($A261,'The List'!$B1:$AH730,23,FALSE)-AVERAGE('The List'!X2:X730))/STDEV('The List'!X2:X730)</f>
        <v>0.28915999237127848</v>
      </c>
      <c r="L261" s="38">
        <f>(VLOOKUP($A261,'The List'!$B1:$AH730,24,FALSE)-AVERAGE('The List'!Y2:Y730))/STDEV('The List'!Y2:Y730)</f>
        <v>-0.51794548809754737</v>
      </c>
      <c r="M261" s="38">
        <f>(VLOOKUP($A261,'The List'!$B1:$AH730,25,FALSE)-AVERAGE('The List'!Z2:Z730))/STDEV('The List'!Z2:Z730)</f>
        <v>-0.69810969181349614</v>
      </c>
      <c r="N261" s="38">
        <f>(VLOOKUP($A261,'The List'!$B1:$AH730,26,FALSE)-AVERAGE('The List'!AA2:AA730))/STDEV('The List'!AA2:AA730)</f>
        <v>-0.74229453623541386</v>
      </c>
      <c r="O261" s="38">
        <f>(VLOOKUP($A261,'The List'!$B1:$AH730,27,FALSE)-AVERAGE('The List'!AB2:AB730))/STDEV('The List'!AB2:AB730)</f>
        <v>-0.19321204955258908</v>
      </c>
      <c r="P261" s="38">
        <f>(VLOOKUP($A261,'The List'!$B1:$AH730,28,FALSE)-AVERAGE('The List'!AC2:AC730))/STDEV('The List'!AC2:AC730)</f>
        <v>-1.4763572521673047</v>
      </c>
      <c r="Q261" s="38">
        <f>(VLOOKUP($A261,'The List'!$B1:$AH730,29,FALSE)-AVERAGE('The List'!AD2:AD730))/STDEV('The List'!AD2:AD730)</f>
        <v>-0.99362493433140864</v>
      </c>
      <c r="R261" s="38">
        <f>(VLOOKUP($A261,'The List'!$B1:$AH730,30,FALSE)-AVERAGE('The List'!AE2:AE730))/STDEV('The List'!AE2:AE730)</f>
        <v>0.15615834358870775</v>
      </c>
      <c r="S261" s="38">
        <f>(VLOOKUP($A261,'The List'!$B1:$AH730,31,FALSE)-AVERAGE('The List'!AF2:AF730))/STDEV('The List'!AF2:AF730)</f>
        <v>-0.52579768755722789</v>
      </c>
      <c r="T261" s="38">
        <f>(VLOOKUP($A261,'The List'!$B1:$AH730,32,FALSE)-AVERAGE('The List'!AG2:AG730))/STDEV('The List'!AG2:AG730)</f>
        <v>-0.56751252618764392</v>
      </c>
      <c r="U261" s="38">
        <f>(VLOOKUP($A261,'The List'!$B1:$AH730,33,FALSE)-AVERAGE('The List'!AH2:AH730))/STDEV('The List'!AH2:AH730)</f>
        <v>0.97146287810197596</v>
      </c>
      <c r="V261" s="38"/>
      <c r="W261" s="40"/>
      <c r="X261" s="38"/>
      <c r="Y261" s="38"/>
      <c r="Z261" s="38"/>
      <c r="AA261" s="38"/>
      <c r="AB261" s="38"/>
      <c r="AC261" s="38"/>
      <c r="AD261" s="38"/>
      <c r="AE261" s="38"/>
    </row>
    <row r="262" spans="1:31" ht="21.2" customHeight="1">
      <c r="A262" s="8" t="s">
        <v>456</v>
      </c>
      <c r="B262" s="34" t="str">
        <f>VLOOKUP(A262,'Player Data'!A1:B734,2,FALSE)</f>
        <v>SJS</v>
      </c>
      <c r="C262" s="36">
        <f>((E262)*Settings!$C$12)+(F262*Settings!$C$2)+(G262*Settings!$C$3)+(H262*Settings!$C$4)+(I262*Settings!$C$5)+(K262*Settings!$C$9)+(N262*Settings!$C$6)+(J262*Settings!$C$8)+(O262*Settings!$C$7)+(P262*Settings!$C$14)+(Q262*Settings!$C$15)+(R262*Settings!$C$16)+(S262*Settings!$C$17)+(T262*Settings!$C$18)+(U262*Settings!$C$19)+(L262*Settings!$C$10)+(Settings!$C$11*M262)</f>
        <v>-0.45567638894215978</v>
      </c>
      <c r="D262" s="40">
        <f>IF(Settings!$E$12="YES",VLOOKUP(A262,'Player Data'!A1:E734,5,FALSE),82)</f>
        <v>82</v>
      </c>
      <c r="E262" s="38">
        <f>(VLOOKUP($A262,'The List'!$B1:$AH730,17,FALSE)-AVERAGE('The List'!R2:R730))/STDEV('The List'!R2:R730)</f>
        <v>-9.5330231548775513E-2</v>
      </c>
      <c r="F262" s="38">
        <f>(VLOOKUP($A262,'The List'!$B1:$AH730,18,FALSE)-AVERAGE('The List'!S2:S730))/STDEV('The List'!S2:S730)</f>
        <v>-0.39101711562447461</v>
      </c>
      <c r="G262" s="38">
        <f>(VLOOKUP($A262,'The List'!$B1:$AH730,19,FALSE)-AVERAGE('The List'!T2:T730))/STDEV('The List'!T2:T730)</f>
        <v>0.31510999192889216</v>
      </c>
      <c r="H262" s="38">
        <f>(VLOOKUP($A262,'The List'!$B1:$AH730,20,FALSE)-AVERAGE('The List'!U2:U730))/STDEV('The List'!U2:U730)</f>
        <v>1.1874136499260415E-2</v>
      </c>
      <c r="I262" s="38">
        <f>(VLOOKUP($A262,'The List'!$B1:$AH730,21,FALSE)-AVERAGE('The List'!V2:V730))/STDEV('The List'!V2:V730)</f>
        <v>-0.52750699211148555</v>
      </c>
      <c r="J262" s="38">
        <f>(VLOOKUP($A262,'The List'!$B1:$AH730,22,FALSE)-AVERAGE('The List'!W2:W730))/STDEV('The List'!W2:W730)</f>
        <v>-0.31354480764319526</v>
      </c>
      <c r="K262" s="38">
        <f>(VLOOKUP($A262,'The List'!$B1:$AH730,23,FALSE)-AVERAGE('The List'!X2:X730))/STDEV('The List'!X2:X730)</f>
        <v>0.1358635903656478</v>
      </c>
      <c r="L262" s="38">
        <f>(VLOOKUP($A262,'The List'!$B1:$AH730,24,FALSE)-AVERAGE('The List'!Y2:Y730))/STDEV('The List'!Y2:Y730)</f>
        <v>-0.54587616635842262</v>
      </c>
      <c r="M262" s="38">
        <f>(VLOOKUP($A262,'The List'!$B1:$AH730,25,FALSE)-AVERAGE('The List'!Z2:Z730))/STDEV('The List'!Z2:Z730)</f>
        <v>-0.77421195383495633</v>
      </c>
      <c r="N262" s="38">
        <f>(VLOOKUP($A262,'The List'!$B1:$AH730,26,FALSE)-AVERAGE('The List'!AA2:AA730))/STDEV('The List'!AA2:AA730)</f>
        <v>-0.34760740060830425</v>
      </c>
      <c r="O262" s="38">
        <f>(VLOOKUP($A262,'The List'!$B1:$AH730,27,FALSE)-AVERAGE('The List'!AB2:AB730))/STDEV('The List'!AB2:AB730)</f>
        <v>-0.45143152848614299</v>
      </c>
      <c r="P262" s="38">
        <f>(VLOOKUP($A262,'The List'!$B1:$AH730,28,FALSE)-AVERAGE('The List'!AC2:AC730))/STDEV('The List'!AC2:AC730)</f>
        <v>-0.20789517220775711</v>
      </c>
      <c r="Q262" s="38">
        <f>(VLOOKUP($A262,'The List'!$B1:$AH730,29,FALSE)-AVERAGE('The List'!AD2:AD730))/STDEV('The List'!AD2:AD730)</f>
        <v>-0.73038961945142045</v>
      </c>
      <c r="R262" s="38">
        <f>(VLOOKUP($A262,'The List'!$B1:$AH730,30,FALSE)-AVERAGE('The List'!AE2:AE730))/STDEV('The List'!AE2:AE730)</f>
        <v>-0.22825483489038878</v>
      </c>
      <c r="S262" s="38">
        <f>(VLOOKUP($A262,'The List'!$B1:$AH730,31,FALSE)-AVERAGE('The List'!AF2:AF730))/STDEV('The List'!AF2:AF730)</f>
        <v>0.51961516809376629</v>
      </c>
      <c r="T262" s="38">
        <f>(VLOOKUP($A262,'The List'!$B1:$AH730,32,FALSE)-AVERAGE('The List'!AG2:AG730))/STDEV('The List'!AG2:AG730)</f>
        <v>0.68128298180049462</v>
      </c>
      <c r="U262" s="38">
        <f>(VLOOKUP($A262,'The List'!$B1:$AH730,33,FALSE)-AVERAGE('The List'!AH2:AH730))/STDEV('The List'!AH2:AH730)</f>
        <v>0.88069774721115079</v>
      </c>
      <c r="V262" s="38"/>
      <c r="W262" s="40"/>
      <c r="X262" s="38"/>
      <c r="Y262" s="38"/>
      <c r="Z262" s="38"/>
      <c r="AA262" s="38"/>
      <c r="AB262" s="38"/>
      <c r="AC262" s="38"/>
      <c r="AD262" s="38"/>
      <c r="AE262" s="38"/>
    </row>
    <row r="263" spans="1:31" ht="21.2" customHeight="1">
      <c r="A263" s="8" t="s">
        <v>281</v>
      </c>
      <c r="B263" s="34" t="str">
        <f>VLOOKUP(A263,'Player Data'!A1:B734,2,FALSE)</f>
        <v>CAR</v>
      </c>
      <c r="C263" s="36">
        <f>((E263)*Settings!$C$12)+(F263*Settings!$C$2)+(G263*Settings!$C$3)+(H263*Settings!$C$4)+(I263*Settings!$C$5)+(K263*Settings!$C$9)+(N263*Settings!$C$6)+(J263*Settings!$C$8)+(O263*Settings!$C$7)+(P263*Settings!$C$14)+(Q263*Settings!$C$15)+(R263*Settings!$C$16)+(S263*Settings!$C$17)+(T263*Settings!$C$18)+(U263*Settings!$C$19)+(L263*Settings!$C$10)+(Settings!$C$11*M263)</f>
        <v>-1.9432609295428491E-2</v>
      </c>
      <c r="D263" s="40">
        <f>IF(Settings!$E$12="YES",VLOOKUP(A263,'Player Data'!A1:E734,5,FALSE),82)</f>
        <v>82</v>
      </c>
      <c r="E263" s="38">
        <f>(VLOOKUP($A263,'The List'!$B1:$AH730,17,FALSE)-AVERAGE('The List'!R2:R730))/STDEV('The List'!R2:R730)</f>
        <v>1.34730022491381</v>
      </c>
      <c r="F263" s="38">
        <f>(VLOOKUP($A263,'The List'!$B1:$AH730,18,FALSE)-AVERAGE('The List'!S2:S730))/STDEV('The List'!S2:S730)</f>
        <v>-0.39734144708787633</v>
      </c>
      <c r="G263" s="38">
        <f>(VLOOKUP($A263,'The List'!$B1:$AH730,19,FALSE)-AVERAGE('The List'!T2:T730))/STDEV('The List'!T2:T730)</f>
        <v>0.31468748140391217</v>
      </c>
      <c r="H263" s="38">
        <f>(VLOOKUP($A263,'The List'!$B1:$AH730,20,FALSE)-AVERAGE('The List'!U2:U730))/STDEV('The List'!U2:U730)</f>
        <v>8.6744754185617244E-3</v>
      </c>
      <c r="I263" s="38">
        <f>(VLOOKUP($A263,'The List'!$B1:$AH730,21,FALSE)-AVERAGE('The List'!V2:V730))/STDEV('The List'!V2:V730)</f>
        <v>-2.0541442993380826E-2</v>
      </c>
      <c r="J263" s="38">
        <f>(VLOOKUP($A263,'The List'!$B1:$AH730,22,FALSE)-AVERAGE('The List'!W2:W730))/STDEV('The List'!W2:W730)</f>
        <v>-0.28781597277939291</v>
      </c>
      <c r="K263" s="38">
        <f>(VLOOKUP($A263,'The List'!$B1:$AH730,23,FALSE)-AVERAGE('The List'!X2:X730))/STDEV('The List'!X2:X730)</f>
        <v>7.5088323963354769E-2</v>
      </c>
      <c r="L263" s="38">
        <f>(VLOOKUP($A263,'The List'!$B1:$AH730,24,FALSE)-AVERAGE('The List'!Y2:Y730))/STDEV('The List'!Y2:Y730)</f>
        <v>-0.53778901781611643</v>
      </c>
      <c r="M263" s="38">
        <f>(VLOOKUP($A263,'The List'!$B1:$AH730,25,FALSE)-AVERAGE('The List'!Z2:Z730))/STDEV('The List'!Z2:Z730)</f>
        <v>-0.74745322762410293</v>
      </c>
      <c r="N263" s="38">
        <f>(VLOOKUP($A263,'The List'!$B1:$AH730,26,FALSE)-AVERAGE('The List'!AA2:AA730))/STDEV('The List'!AA2:AA730)</f>
        <v>1.0436931850442579</v>
      </c>
      <c r="O263" s="38">
        <f>(VLOOKUP($A263,'The List'!$B1:$AH730,27,FALSE)-AVERAGE('The List'!AB2:AB730))/STDEV('The List'!AB2:AB730)</f>
        <v>0.91713319072442412</v>
      </c>
      <c r="P263" s="38">
        <f>(VLOOKUP($A263,'The List'!$B1:$AH730,28,FALSE)-AVERAGE('The List'!AC2:AC730))/STDEV('The List'!AC2:AC730)</f>
        <v>1.3475919715978562</v>
      </c>
      <c r="Q263" s="38">
        <f>(VLOOKUP($A263,'The List'!$B1:$AH730,29,FALSE)-AVERAGE('The List'!AD2:AD730))/STDEV('The List'!AD2:AD730)</f>
        <v>0.16975484593631449</v>
      </c>
      <c r="R263" s="38">
        <f>(VLOOKUP($A263,'The List'!$B1:$AH730,30,FALSE)-AVERAGE('The List'!AE2:AE730))/STDEV('The List'!AE2:AE730)</f>
        <v>-0.11513855817980466</v>
      </c>
      <c r="S263" s="38">
        <f>(VLOOKUP($A263,'The List'!$B1:$AH730,31,FALSE)-AVERAGE('The List'!AF2:AF730))/STDEV('The List'!AF2:AF730)</f>
        <v>-0.56911587195029545</v>
      </c>
      <c r="T263" s="38">
        <f>(VLOOKUP($A263,'The List'!$B1:$AH730,32,FALSE)-AVERAGE('The List'!AG2:AG730))/STDEV('The List'!AG2:AG730)</f>
        <v>-0.61510119871956948</v>
      </c>
      <c r="U263" s="38">
        <f>(VLOOKUP($A263,'The List'!$B1:$AH730,33,FALSE)-AVERAGE('The List'!AH2:AH730))/STDEV('The List'!AH2:AH730)</f>
        <v>-1.2363238714825984</v>
      </c>
      <c r="V263" s="38"/>
      <c r="W263" s="42"/>
      <c r="X263" s="40"/>
      <c r="Y263" s="40"/>
      <c r="Z263" s="40"/>
      <c r="AA263" s="40"/>
      <c r="AB263" s="40"/>
      <c r="AC263" s="43"/>
      <c r="AD263" s="44"/>
      <c r="AE263" s="38"/>
    </row>
    <row r="264" spans="1:31" ht="21.2" customHeight="1">
      <c r="A264" s="8" t="s">
        <v>504</v>
      </c>
      <c r="B264" s="34" t="str">
        <f>VLOOKUP(A264,'Player Data'!A1:B734,2,FALSE)</f>
        <v>WPG</v>
      </c>
      <c r="C264" s="36">
        <f>((E264)*Settings!$C$12)+(F264*Settings!$C$2)+(G264*Settings!$C$3)+(H264*Settings!$C$4)+(I264*Settings!$C$5)+(K264*Settings!$C$9)+(N264*Settings!$C$6)+(J264*Settings!$C$8)+(O264*Settings!$C$7)+(P264*Settings!$C$14)+(Q264*Settings!$C$15)+(R264*Settings!$C$16)+(S264*Settings!$C$17)+(T264*Settings!$C$18)+(U264*Settings!$C$19)+(L264*Settings!$C$10)+(Settings!$C$11*M264)</f>
        <v>-0.15644267709479087</v>
      </c>
      <c r="D264" s="40">
        <f>IF(Settings!$E$12="YES",VLOOKUP(A264,'Player Data'!A1:E734,5,FALSE),82)</f>
        <v>82</v>
      </c>
      <c r="E264" s="38">
        <f>(VLOOKUP($A264,'The List'!$B1:$AH730,17,FALSE)-AVERAGE('The List'!R2:R730))/STDEV('The List'!R2:R730)</f>
        <v>-8.5209922725340226E-2</v>
      </c>
      <c r="F264" s="38">
        <f>(VLOOKUP($A264,'The List'!$B1:$AH730,18,FALSE)-AVERAGE('The List'!S2:S730))/STDEV('The List'!S2:S730)</f>
        <v>9.6673221870484743E-2</v>
      </c>
      <c r="G264" s="38">
        <f>(VLOOKUP($A264,'The List'!$B1:$AH730,19,FALSE)-AVERAGE('The List'!T2:T730))/STDEV('The List'!T2:T730)</f>
        <v>-6.6199441377836579E-2</v>
      </c>
      <c r="H264" s="38">
        <f>(VLOOKUP($A264,'The List'!$B1:$AH730,20,FALSE)-AVERAGE('The List'!U2:U730))/STDEV('The List'!U2:U730)</f>
        <v>4.258622083787654E-3</v>
      </c>
      <c r="I264" s="38">
        <f>(VLOOKUP($A264,'The List'!$B1:$AH730,21,FALSE)-AVERAGE('The List'!V2:V730))/STDEV('The List'!V2:V730)</f>
        <v>0.29291341325825987</v>
      </c>
      <c r="J264" s="38">
        <f>(VLOOKUP($A264,'The List'!$B1:$AH730,22,FALSE)-AVERAGE('The List'!W2:W730))/STDEV('The List'!W2:W730)</f>
        <v>-0.1381154091474143</v>
      </c>
      <c r="K264" s="38">
        <f>(VLOOKUP($A264,'The List'!$B1:$AH730,23,FALSE)-AVERAGE('The List'!X2:X730))/STDEV('The List'!X2:X730)</f>
        <v>-0.48408849292948658</v>
      </c>
      <c r="L264" s="38">
        <f>(VLOOKUP($A264,'The List'!$B1:$AH730,24,FALSE)-AVERAGE('The List'!Y2:Y730))/STDEV('The List'!Y2:Y730)</f>
        <v>7.2142340629324633E-2</v>
      </c>
      <c r="M264" s="38">
        <f>(VLOOKUP($A264,'The List'!$B1:$AH730,25,FALSE)-AVERAGE('The List'!Z2:Z730))/STDEV('The List'!Z2:Z730)</f>
        <v>-8.9621866991157343E-4</v>
      </c>
      <c r="N264" s="38">
        <f>(VLOOKUP($A264,'The List'!$B1:$AH730,26,FALSE)-AVERAGE('The List'!AA2:AA730))/STDEV('The List'!AA2:AA730)</f>
        <v>-0.47623916721333476</v>
      </c>
      <c r="O264" s="38">
        <f>(VLOOKUP($A264,'The List'!$B1:$AH730,27,FALSE)-AVERAGE('The List'!AB2:AB730))/STDEV('The List'!AB2:AB730)</f>
        <v>-1.0625855981733656</v>
      </c>
      <c r="P264" s="38">
        <f>(VLOOKUP($A264,'The List'!$B1:$AH730,28,FALSE)-AVERAGE('The List'!AC2:AC730))/STDEV('The List'!AC2:AC730)</f>
        <v>0.3930904158488972</v>
      </c>
      <c r="Q264" s="38">
        <f>(VLOOKUP($A264,'The List'!$B1:$AH730,29,FALSE)-AVERAGE('The List'!AD2:AD730))/STDEV('The List'!AD2:AD730)</f>
        <v>-1.1335344280209498</v>
      </c>
      <c r="R264" s="38">
        <f>(VLOOKUP($A264,'The List'!$B1:$AH730,30,FALSE)-AVERAGE('The List'!AE2:AE730))/STDEV('The List'!AE2:AE730)</f>
        <v>0.23840510537665677</v>
      </c>
      <c r="S264" s="38">
        <f>(VLOOKUP($A264,'The List'!$B1:$AH730,31,FALSE)-AVERAGE('The List'!AF2:AF730))/STDEV('The List'!AF2:AF730)</f>
        <v>-0.52948487955431012</v>
      </c>
      <c r="T264" s="38">
        <f>(VLOOKUP($A264,'The List'!$B1:$AH730,32,FALSE)-AVERAGE('The List'!AG2:AG730))/STDEV('The List'!AG2:AG730)</f>
        <v>-0.56436409296754242</v>
      </c>
      <c r="U264" s="38">
        <f>(VLOOKUP($A264,'The List'!$B1:$AH730,33,FALSE)-AVERAGE('The List'!AH2:AH730))/STDEV('The List'!AH2:AH730)</f>
        <v>0.79940115106686838</v>
      </c>
      <c r="V264" s="38"/>
      <c r="W264" s="40"/>
      <c r="X264" s="38"/>
      <c r="Y264" s="38"/>
      <c r="Z264" s="38"/>
      <c r="AA264" s="38"/>
      <c r="AB264" s="38"/>
      <c r="AC264" s="38"/>
      <c r="AD264" s="38"/>
      <c r="AE264" s="38"/>
    </row>
    <row r="265" spans="1:31" ht="21.2" customHeight="1">
      <c r="A265" s="8" t="s">
        <v>490</v>
      </c>
      <c r="B265" s="34" t="str">
        <f>VLOOKUP(A265,'Player Data'!A1:B734,2,FALSE)</f>
        <v>MIN</v>
      </c>
      <c r="C265" s="36">
        <f>((E265)*Settings!$C$12)+(F265*Settings!$C$2)+(G265*Settings!$C$3)+(H265*Settings!$C$4)+(I265*Settings!$C$5)+(K265*Settings!$C$9)+(N265*Settings!$C$6)+(J265*Settings!$C$8)+(O265*Settings!$C$7)+(P265*Settings!$C$14)+(Q265*Settings!$C$15)+(R265*Settings!$C$16)+(S265*Settings!$C$17)+(T265*Settings!$C$18)+(U265*Settings!$C$19)+(L265*Settings!$C$10)+(Settings!$C$11*M265)</f>
        <v>-0.66902699317565273</v>
      </c>
      <c r="D265" s="40">
        <f>IF(Settings!$E$12="YES",VLOOKUP(A265,'Player Data'!A1:E734,5,FALSE),82)</f>
        <v>82</v>
      </c>
      <c r="E265" s="38">
        <f>(VLOOKUP($A265,'The List'!$B1:$AH730,17,FALSE)-AVERAGE('The List'!R2:R730))/STDEV('The List'!R2:R730)</f>
        <v>-0.17099499674565999</v>
      </c>
      <c r="F265" s="38">
        <f>(VLOOKUP($A265,'The List'!$B1:$AH730,18,FALSE)-AVERAGE('The List'!S2:S730))/STDEV('The List'!S2:S730)</f>
        <v>0.11531221378785465</v>
      </c>
      <c r="G265" s="38">
        <f>(VLOOKUP($A265,'The List'!$B1:$AH730,19,FALSE)-AVERAGE('The List'!T2:T730))/STDEV('The List'!T2:T730)</f>
        <v>-9.1416780307185752E-2</v>
      </c>
      <c r="H265" s="38">
        <f>(VLOOKUP($A265,'The List'!$B1:$AH730,20,FALSE)-AVERAGE('The List'!U2:U730))/STDEV('The List'!U2:U730)</f>
        <v>-2.5736582222598489E-3</v>
      </c>
      <c r="I265" s="38">
        <f>(VLOOKUP($A265,'The List'!$B1:$AH730,21,FALSE)-AVERAGE('The List'!V2:V730))/STDEV('The List'!V2:V730)</f>
        <v>-0.14846275000124298</v>
      </c>
      <c r="J265" s="38">
        <f>(VLOOKUP($A265,'The List'!$B1:$AH730,22,FALSE)-AVERAGE('The List'!W2:W730))/STDEV('The List'!W2:W730)</f>
        <v>-0.32842838608712505</v>
      </c>
      <c r="K265" s="38">
        <f>(VLOOKUP($A265,'The List'!$B1:$AH730,23,FALSE)-AVERAGE('The List'!X2:X730))/STDEV('The List'!X2:X730)</f>
        <v>-0.54188601843281881</v>
      </c>
      <c r="L265" s="38">
        <f>(VLOOKUP($A265,'The List'!$B1:$AH730,24,FALSE)-AVERAGE('The List'!Y2:Y730))/STDEV('The List'!Y2:Y730)</f>
        <v>1.3941825485242205</v>
      </c>
      <c r="M265" s="38">
        <f>(VLOOKUP($A265,'The List'!$B1:$AH730,25,FALSE)-AVERAGE('The List'!Z2:Z730))/STDEV('The List'!Z2:Z730)</f>
        <v>1.9825057626839602</v>
      </c>
      <c r="N265" s="38">
        <f>(VLOOKUP($A265,'The List'!$B1:$AH730,26,FALSE)-AVERAGE('The List'!AA2:AA730))/STDEV('The List'!AA2:AA730)</f>
        <v>-0.3649802169939218</v>
      </c>
      <c r="O265" s="38">
        <f>(VLOOKUP($A265,'The List'!$B1:$AH730,27,FALSE)-AVERAGE('The List'!AB2:AB730))/STDEV('The List'!AB2:AB730)</f>
        <v>-0.99937536923062231</v>
      </c>
      <c r="P265" s="38">
        <f>(VLOOKUP($A265,'The List'!$B1:$AH730,28,FALSE)-AVERAGE('The List'!AC2:AC730))/STDEV('The List'!AC2:AC730)</f>
        <v>0.39105731652348541</v>
      </c>
      <c r="Q265" s="38">
        <f>(VLOOKUP($A265,'The List'!$B1:$AH730,29,FALSE)-AVERAGE('The List'!AD2:AD730))/STDEV('The List'!AD2:AD730)</f>
        <v>-1.3707195306021556</v>
      </c>
      <c r="R265" s="38">
        <f>(VLOOKUP($A265,'The List'!$B1:$AH730,30,FALSE)-AVERAGE('The List'!AE2:AE730))/STDEV('The List'!AE2:AE730)</f>
        <v>0.301573714027557</v>
      </c>
      <c r="S265" s="38">
        <f>(VLOOKUP($A265,'The List'!$B1:$AH730,31,FALSE)-AVERAGE('The List'!AF2:AF730))/STDEV('The List'!AF2:AF730)</f>
        <v>1.7503350284890098</v>
      </c>
      <c r="T265" s="38">
        <f>(VLOOKUP($A265,'The List'!$B1:$AH730,32,FALSE)-AVERAGE('The List'!AG2:AG730))/STDEV('The List'!AG2:AG730)</f>
        <v>1.8387240222006824</v>
      </c>
      <c r="U265" s="38">
        <f>(VLOOKUP($A265,'The List'!$B1:$AH730,33,FALSE)-AVERAGE('The List'!AH2:AH730))/STDEV('The List'!AH2:AH730)</f>
        <v>1.0140263049588059</v>
      </c>
      <c r="V265" s="38"/>
      <c r="W265" s="42"/>
      <c r="X265" s="40"/>
      <c r="Y265" s="40"/>
      <c r="Z265" s="40"/>
      <c r="AA265" s="40"/>
      <c r="AB265" s="40"/>
      <c r="AC265" s="43"/>
      <c r="AD265" s="44"/>
      <c r="AE265" s="38"/>
    </row>
    <row r="266" spans="1:31" ht="21.2" customHeight="1">
      <c r="A266" s="8" t="s">
        <v>263</v>
      </c>
      <c r="B266" s="34" t="str">
        <f>VLOOKUP(A266,'Player Data'!A1:B734,2,FALSE)</f>
        <v>TOR</v>
      </c>
      <c r="C266" s="36">
        <f>((E266)*Settings!$C$12)+(F266*Settings!$C$2)+(G266*Settings!$C$3)+(H266*Settings!$C$4)+(I266*Settings!$C$5)+(K266*Settings!$C$9)+(N266*Settings!$C$6)+(J266*Settings!$C$8)+(O266*Settings!$C$7)+(P266*Settings!$C$14)+(Q266*Settings!$C$15)+(R266*Settings!$C$16)+(S266*Settings!$C$17)+(T266*Settings!$C$18)+(U266*Settings!$C$19)+(L266*Settings!$C$10)+(Settings!$C$11*M266)</f>
        <v>0.94687677240131884</v>
      </c>
      <c r="D266" s="40">
        <f>IF(Settings!$E$12="YES",VLOOKUP(A266,'Player Data'!A1:E734,5,FALSE),82)</f>
        <v>82</v>
      </c>
      <c r="E266" s="38">
        <f>(VLOOKUP($A266,'The List'!$B1:$AH730,17,FALSE)-AVERAGE('The List'!R2:R730))/STDEV('The List'!R2:R730)</f>
        <v>0.72448001245388949</v>
      </c>
      <c r="F266" s="38">
        <f>(VLOOKUP($A266,'The List'!$B1:$AH730,18,FALSE)-AVERAGE('The List'!S2:S730))/STDEV('The List'!S2:S730)</f>
        <v>-0.56987331305636701</v>
      </c>
      <c r="G266" s="38">
        <f>(VLOOKUP($A266,'The List'!$B1:$AH730,19,FALSE)-AVERAGE('The List'!T2:T730))/STDEV('The List'!T2:T730)</f>
        <v>0.55344538845119617</v>
      </c>
      <c r="H266" s="38">
        <f>(VLOOKUP($A266,'The List'!$B1:$AH730,20,FALSE)-AVERAGE('The List'!U2:U730))/STDEV('The List'!U2:U730)</f>
        <v>7.5195173432287141E-2</v>
      </c>
      <c r="I266" s="38">
        <f>(VLOOKUP($A266,'The List'!$B1:$AH730,21,FALSE)-AVERAGE('The List'!V2:V730))/STDEV('The List'!V2:V730)</f>
        <v>-1.403408376062716E-3</v>
      </c>
      <c r="J266" s="38">
        <f>(VLOOKUP($A266,'The List'!$B1:$AH730,22,FALSE)-AVERAGE('The List'!W2:W730))/STDEV('The List'!W2:W730)</f>
        <v>-0.18388589454358767</v>
      </c>
      <c r="K266" s="38">
        <f>(VLOOKUP($A266,'The List'!$B1:$AH730,23,FALSE)-AVERAGE('The List'!X2:X730))/STDEV('The List'!X2:X730)</f>
        <v>0.88951293195026526</v>
      </c>
      <c r="L266" s="38">
        <f>(VLOOKUP($A266,'The List'!$B1:$AH730,24,FALSE)-AVERAGE('The List'!Y2:Y730))/STDEV('The List'!Y2:Y730)</f>
        <v>-0.52037276318361814</v>
      </c>
      <c r="M266" s="38">
        <f>(VLOOKUP($A266,'The List'!$B1:$AH730,25,FALSE)-AVERAGE('The List'!Z2:Z730))/STDEV('The List'!Z2:Z730)</f>
        <v>-0.69355229371982496</v>
      </c>
      <c r="N266" s="38">
        <f>(VLOOKUP($A266,'The List'!$B1:$AH730,26,FALSE)-AVERAGE('The List'!AA2:AA730))/STDEV('The List'!AA2:AA730)</f>
        <v>0.72482846994141958</v>
      </c>
      <c r="O266" s="38">
        <f>(VLOOKUP($A266,'The List'!$B1:$AH730,27,FALSE)-AVERAGE('The List'!AB2:AB730))/STDEV('The List'!AB2:AB730)</f>
        <v>-0.54085970853549581</v>
      </c>
      <c r="P266" s="38">
        <f>(VLOOKUP($A266,'The List'!$B1:$AH730,28,FALSE)-AVERAGE('The List'!AC2:AC730))/STDEV('The List'!AC2:AC730)</f>
        <v>0.25058884163588291</v>
      </c>
      <c r="Q266" s="38">
        <f>(VLOOKUP($A266,'The List'!$B1:$AH730,29,FALSE)-AVERAGE('The List'!AD2:AD730))/STDEV('The List'!AD2:AD730)</f>
        <v>9.0322864311265433E-2</v>
      </c>
      <c r="R266" s="38">
        <f>(VLOOKUP($A266,'The List'!$B1:$AH730,30,FALSE)-AVERAGE('The List'!AE2:AE730))/STDEV('The List'!AE2:AE730)</f>
        <v>-0.414543392099883</v>
      </c>
      <c r="S266" s="38">
        <f>(VLOOKUP($A266,'The List'!$B1:$AH730,31,FALSE)-AVERAGE('The List'!AF2:AF730))/STDEV('The List'!AF2:AF730)</f>
        <v>-0.56911587195029545</v>
      </c>
      <c r="T266" s="38">
        <f>(VLOOKUP($A266,'The List'!$B1:$AH730,32,FALSE)-AVERAGE('The List'!AG2:AG730))/STDEV('The List'!AG2:AG730)</f>
        <v>-0.61510119871956948</v>
      </c>
      <c r="U266" s="38">
        <f>(VLOOKUP($A266,'The List'!$B1:$AH730,33,FALSE)-AVERAGE('The List'!AH2:AH730))/STDEV('The List'!AH2:AH730)</f>
        <v>-1.2363238714825984</v>
      </c>
      <c r="V266" s="38"/>
      <c r="W266" s="42"/>
      <c r="X266" s="40"/>
      <c r="Y266" s="40"/>
      <c r="Z266" s="40"/>
      <c r="AA266" s="40"/>
      <c r="AB266" s="40"/>
      <c r="AC266" s="43"/>
      <c r="AD266" s="44"/>
      <c r="AE266" s="38"/>
    </row>
    <row r="267" spans="1:31" ht="21.2" customHeight="1">
      <c r="A267" s="8" t="s">
        <v>479</v>
      </c>
      <c r="B267" s="34" t="str">
        <f>VLOOKUP(A267,'Player Data'!A1:B734,2,FALSE)</f>
        <v>UFA</v>
      </c>
      <c r="C267" s="36">
        <f>((E267)*Settings!$C$12)+(F267*Settings!$C$2)+(G267*Settings!$C$3)+(H267*Settings!$C$4)+(I267*Settings!$C$5)+(K267*Settings!$C$9)+(N267*Settings!$C$6)+(J267*Settings!$C$8)+(O267*Settings!$C$7)+(P267*Settings!$C$14)+(Q267*Settings!$C$15)+(R267*Settings!$C$16)+(S267*Settings!$C$17)+(T267*Settings!$C$18)+(U267*Settings!$C$19)+(L267*Settings!$C$10)+(Settings!$C$11*M267)</f>
        <v>-0.58358225361903582</v>
      </c>
      <c r="D267" s="40">
        <f>IF(Settings!$E$12="YES",VLOOKUP(A267,'Player Data'!A1:E734,5,FALSE),82)</f>
        <v>82</v>
      </c>
      <c r="E267" s="38">
        <f>(VLOOKUP($A267,'The List'!$B1:$AH730,17,FALSE)-AVERAGE('The List'!R2:R730))/STDEV('The List'!R2:R730)</f>
        <v>-0.53855120920718802</v>
      </c>
      <c r="F267" s="38">
        <f>(VLOOKUP($A267,'The List'!$B1:$AH730,18,FALSE)-AVERAGE('The List'!S2:S730))/STDEV('The List'!S2:S730)</f>
        <v>0.18611174598187963</v>
      </c>
      <c r="G267" s="38">
        <f>(VLOOKUP($A267,'The List'!$B1:$AH730,19,FALSE)-AVERAGE('The List'!T2:T730))/STDEV('The List'!T2:T730)</f>
        <v>-0.15855099651662932</v>
      </c>
      <c r="H267" s="38">
        <f>(VLOOKUP($A267,'The List'!$B1:$AH730,20,FALSE)-AVERAGE('The List'!U2:U730))/STDEV('The List'!U2:U730)</f>
        <v>-1.0917475067070978E-2</v>
      </c>
      <c r="I267" s="38">
        <f>(VLOOKUP($A267,'The List'!$B1:$AH730,21,FALSE)-AVERAGE('The List'!V2:V730))/STDEV('The List'!V2:V730)</f>
        <v>-0.10850034065207953</v>
      </c>
      <c r="J267" s="38">
        <f>(VLOOKUP($A267,'The List'!$B1:$AH730,22,FALSE)-AVERAGE('The List'!W2:W730))/STDEV('The List'!W2:W730)</f>
        <v>-0.47812386679838442</v>
      </c>
      <c r="K267" s="38">
        <f>(VLOOKUP($A267,'The List'!$B1:$AH730,23,FALSE)-AVERAGE('The List'!X2:X730))/STDEV('The List'!X2:X730)</f>
        <v>-0.4917251873651356</v>
      </c>
      <c r="L267" s="38">
        <f>(VLOOKUP($A267,'The List'!$B1:$AH730,24,FALSE)-AVERAGE('The List'!Y2:Y730))/STDEV('The List'!Y2:Y730)</f>
        <v>-0.52515529094994673</v>
      </c>
      <c r="M267" s="38">
        <f>(VLOOKUP($A267,'The List'!$B1:$AH730,25,FALSE)-AVERAGE('The List'!Z2:Z730))/STDEV('The List'!Z2:Z730)</f>
        <v>-0.70378350861314143</v>
      </c>
      <c r="N267" s="38">
        <f>(VLOOKUP($A267,'The List'!$B1:$AH730,26,FALSE)-AVERAGE('The List'!AA2:AA730))/STDEV('The List'!AA2:AA730)</f>
        <v>-0.8588976472197799</v>
      </c>
      <c r="O267" s="38">
        <f>(VLOOKUP($A267,'The List'!$B1:$AH730,27,FALSE)-AVERAGE('The List'!AB2:AB730))/STDEV('The List'!AB2:AB730)</f>
        <v>-0.61168333068602698</v>
      </c>
      <c r="P267" s="38">
        <f>(VLOOKUP($A267,'The List'!$B1:$AH730,28,FALSE)-AVERAGE('The List'!AC2:AC730))/STDEV('The List'!AC2:AC730)</f>
        <v>0.35919615411375849</v>
      </c>
      <c r="Q267" s="38">
        <f>(VLOOKUP($A267,'The List'!$B1:$AH730,29,FALSE)-AVERAGE('The List'!AD2:AD730))/STDEV('The List'!AD2:AD730)</f>
        <v>-0.61710821609467092</v>
      </c>
      <c r="R267" s="38">
        <f>(VLOOKUP($A267,'The List'!$B1:$AH730,30,FALSE)-AVERAGE('The List'!AE2:AE730))/STDEV('The List'!AE2:AE730)</f>
        <v>-1.2515972607254897</v>
      </c>
      <c r="S267" s="38">
        <f>(VLOOKUP($A267,'The List'!$B1:$AH730,31,FALSE)-AVERAGE('The List'!AF2:AF730))/STDEV('The List'!AF2:AF730)</f>
        <v>-0.48881792182368483</v>
      </c>
      <c r="T267" s="38">
        <f>(VLOOKUP($A267,'The List'!$B1:$AH730,32,FALSE)-AVERAGE('The List'!AG2:AG730))/STDEV('The List'!AG2:AG730)</f>
        <v>-0.48756582539977833</v>
      </c>
      <c r="U267" s="38">
        <f>(VLOOKUP($A267,'The List'!$B1:$AH730,33,FALSE)-AVERAGE('The List'!AH2:AH730))/STDEV('The List'!AH2:AH730)</f>
        <v>0.56177155831989944</v>
      </c>
      <c r="V267" s="38"/>
      <c r="W267" s="42"/>
      <c r="X267" s="40"/>
      <c r="Y267" s="40"/>
      <c r="Z267" s="40"/>
      <c r="AA267" s="40"/>
      <c r="AB267" s="40"/>
      <c r="AC267" s="43"/>
      <c r="AD267" s="44"/>
      <c r="AE267" s="38"/>
    </row>
    <row r="268" spans="1:31" ht="21.2" customHeight="1">
      <c r="A268" s="8" t="s">
        <v>417</v>
      </c>
      <c r="B268" s="34" t="str">
        <f>VLOOKUP(A268,'Player Data'!A1:B734,2,FALSE)</f>
        <v>TBL</v>
      </c>
      <c r="C268" s="36">
        <f>((E268)*Settings!$C$12)+(F268*Settings!$C$2)+(G268*Settings!$C$3)+(H268*Settings!$C$4)+(I268*Settings!$C$5)+(K268*Settings!$C$9)+(N268*Settings!$C$6)+(J268*Settings!$C$8)+(O268*Settings!$C$7)+(P268*Settings!$C$14)+(Q268*Settings!$C$15)+(R268*Settings!$C$16)+(S268*Settings!$C$17)+(T268*Settings!$C$18)+(U268*Settings!$C$19)+(L268*Settings!$C$10)+(Settings!$C$11*M268)</f>
        <v>1.2910040615504742E-2</v>
      </c>
      <c r="D268" s="40">
        <f>IF(Settings!$E$12="YES",VLOOKUP(A268,'Player Data'!A1:E734,5,FALSE),82)</f>
        <v>82</v>
      </c>
      <c r="E268" s="38">
        <f>(VLOOKUP($A268,'The List'!$B1:$AH730,17,FALSE)-AVERAGE('The List'!R2:R730))/STDEV('The List'!R2:R730)</f>
        <v>-0.18312339675318287</v>
      </c>
      <c r="F268" s="38">
        <f>(VLOOKUP($A268,'The List'!$B1:$AH730,18,FALSE)-AVERAGE('The List'!S2:S730))/STDEV('The List'!S2:S730)</f>
        <v>0.24549268920531234</v>
      </c>
      <c r="G268" s="38">
        <f>(VLOOKUP($A268,'The List'!$B1:$AH730,19,FALSE)-AVERAGE('The List'!T2:T730))/STDEV('The List'!T2:T730)</f>
        <v>-0.21237288808433688</v>
      </c>
      <c r="H268" s="38">
        <f>(VLOOKUP($A268,'The List'!$B1:$AH730,20,FALSE)-AVERAGE('The List'!U2:U730))/STDEV('The List'!U2:U730)</f>
        <v>-1.6388539904477036E-2</v>
      </c>
      <c r="I268" s="38">
        <f>(VLOOKUP($A268,'The List'!$B1:$AH730,21,FALSE)-AVERAGE('The List'!V2:V730))/STDEV('The List'!V2:V730)</f>
        <v>0.16396016742700037</v>
      </c>
      <c r="J268" s="38">
        <f>(VLOOKUP($A268,'The List'!$B1:$AH730,22,FALSE)-AVERAGE('The List'!W2:W730))/STDEV('The List'!W2:W730)</f>
        <v>-0.18798741450153503</v>
      </c>
      <c r="K268" s="38">
        <f>(VLOOKUP($A268,'The List'!$B1:$AH730,23,FALSE)-AVERAGE('The List'!X2:X730))/STDEV('The List'!X2:X730)</f>
        <v>-0.16778138802799406</v>
      </c>
      <c r="L268" s="38">
        <f>(VLOOKUP($A268,'The List'!$B1:$AH730,24,FALSE)-AVERAGE('The List'!Y2:Y730))/STDEV('The List'!Y2:Y730)</f>
        <v>0.70906546911513046</v>
      </c>
      <c r="M268" s="38">
        <f>(VLOOKUP($A268,'The List'!$B1:$AH730,25,FALSE)-AVERAGE('The List'!Z2:Z730))/STDEV('The List'!Z2:Z730)</f>
        <v>2.257842213930434E-2</v>
      </c>
      <c r="N268" s="38">
        <f>(VLOOKUP($A268,'The List'!$B1:$AH730,26,FALSE)-AVERAGE('The List'!AA2:AA730))/STDEV('The List'!AA2:AA730)</f>
        <v>-0.55462588531167711</v>
      </c>
      <c r="O268" s="38">
        <f>(VLOOKUP($A268,'The List'!$B1:$AH730,27,FALSE)-AVERAGE('The List'!AB2:AB730))/STDEV('The List'!AB2:AB730)</f>
        <v>-0.80869121439698022</v>
      </c>
      <c r="P268" s="38">
        <f>(VLOOKUP($A268,'The List'!$B1:$AH730,28,FALSE)-AVERAGE('The List'!AC2:AC730))/STDEV('The List'!AC2:AC730)</f>
        <v>-5.6283732279746361E-2</v>
      </c>
      <c r="Q268" s="38">
        <f>(VLOOKUP($A268,'The List'!$B1:$AH730,29,FALSE)-AVERAGE('The List'!AD2:AD730))/STDEV('The List'!AD2:AD730)</f>
        <v>-0.75978529301611497</v>
      </c>
      <c r="R268" s="38">
        <f>(VLOOKUP($A268,'The List'!$B1:$AH730,30,FALSE)-AVERAGE('The List'!AE2:AE730))/STDEV('The List'!AE2:AE730)</f>
        <v>0.39482254809383499</v>
      </c>
      <c r="S268" s="38">
        <f>(VLOOKUP($A268,'The List'!$B1:$AH730,31,FALSE)-AVERAGE('The List'!AF2:AF730))/STDEV('The List'!AF2:AF730)</f>
        <v>-0.4939267025079716</v>
      </c>
      <c r="T268" s="38">
        <f>(VLOOKUP($A268,'The List'!$B1:$AH730,32,FALSE)-AVERAGE('The List'!AG2:AG730))/STDEV('The List'!AG2:AG730)</f>
        <v>-0.51533035786395076</v>
      </c>
      <c r="U268" s="38">
        <f>(VLOOKUP($A268,'The List'!$B1:$AH730,33,FALSE)-AVERAGE('The List'!AH2:AH730))/STDEV('The List'!AH2:AH730)</f>
        <v>0.75942152625113279</v>
      </c>
      <c r="V268" s="38"/>
      <c r="W268" s="42"/>
      <c r="X268" s="40"/>
      <c r="Y268" s="40"/>
      <c r="Z268" s="40"/>
      <c r="AA268" s="40"/>
      <c r="AB268" s="40"/>
      <c r="AC268" s="43"/>
      <c r="AD268" s="44"/>
      <c r="AE268" s="38"/>
    </row>
    <row r="269" spans="1:31" ht="21.2" customHeight="1">
      <c r="A269" s="8" t="s">
        <v>270</v>
      </c>
      <c r="B269" s="34" t="str">
        <f>VLOOKUP(A269,'Player Data'!A1:B734,2,FALSE)</f>
        <v>NSH</v>
      </c>
      <c r="C269" s="36">
        <f>((E269)*Settings!$C$12)+(F269*Settings!$C$2)+(G269*Settings!$C$3)+(H269*Settings!$C$4)+(I269*Settings!$C$5)+(K269*Settings!$C$9)+(N269*Settings!$C$6)+(J269*Settings!$C$8)+(O269*Settings!$C$7)+(P269*Settings!$C$14)+(Q269*Settings!$C$15)+(R269*Settings!$C$16)+(S269*Settings!$C$17)+(T269*Settings!$C$18)+(U269*Settings!$C$19)+(L269*Settings!$C$10)+(Settings!$C$11*M269)</f>
        <v>0.21062205227623376</v>
      </c>
      <c r="D269" s="40">
        <f>IF(Settings!$E$12="YES",VLOOKUP(A269,'Player Data'!A1:E734,5,FALSE),82)</f>
        <v>82</v>
      </c>
      <c r="E269" s="38">
        <f>(VLOOKUP($A269,'The List'!$B1:$AH730,17,FALSE)-AVERAGE('The List'!R2:R730))/STDEV('The List'!R2:R730)</f>
        <v>0.47079898165966516</v>
      </c>
      <c r="F269" s="38">
        <f>(VLOOKUP($A269,'The List'!$B1:$AH730,18,FALSE)-AVERAGE('The List'!S2:S730))/STDEV('The List'!S2:S730)</f>
        <v>-0.6475373696172485</v>
      </c>
      <c r="G269" s="38">
        <f>(VLOOKUP($A269,'The List'!$B1:$AH730,19,FALSE)-AVERAGE('The List'!T2:T730))/STDEV('The List'!T2:T730)</f>
        <v>0.31724486635606297</v>
      </c>
      <c r="H269" s="38">
        <f>(VLOOKUP($A269,'The List'!$B1:$AH730,20,FALSE)-AVERAGE('The List'!U2:U730))/STDEV('The List'!U2:U730)</f>
        <v>-0.10606327175656446</v>
      </c>
      <c r="I269" s="38">
        <f>(VLOOKUP($A269,'The List'!$B1:$AH730,21,FALSE)-AVERAGE('The List'!V2:V730))/STDEV('The List'!V2:V730)</f>
        <v>-4.0672207843047682E-2</v>
      </c>
      <c r="J269" s="38">
        <f>(VLOOKUP($A269,'The List'!$B1:$AH730,22,FALSE)-AVERAGE('The List'!W2:W730))/STDEV('The List'!W2:W730)</f>
        <v>-0.18703050255643752</v>
      </c>
      <c r="K269" s="38">
        <f>(VLOOKUP($A269,'The List'!$B1:$AH730,23,FALSE)-AVERAGE('The List'!X2:X730))/STDEV('The List'!X2:X730)</f>
        <v>0.68765003513703149</v>
      </c>
      <c r="L269" s="38">
        <f>(VLOOKUP($A269,'The List'!$B1:$AH730,24,FALSE)-AVERAGE('The List'!Y2:Y730))/STDEV('The List'!Y2:Y730)</f>
        <v>-0.51493202174630182</v>
      </c>
      <c r="M269" s="38">
        <f>(VLOOKUP($A269,'The List'!$B1:$AH730,25,FALSE)-AVERAGE('The List'!Z2:Z730))/STDEV('The List'!Z2:Z730)</f>
        <v>-0.30669018451498359</v>
      </c>
      <c r="N269" s="38">
        <f>(VLOOKUP($A269,'The List'!$B1:$AH730,26,FALSE)-AVERAGE('The List'!AA2:AA730))/STDEV('The List'!AA2:AA730)</f>
        <v>0.47723196510440802</v>
      </c>
      <c r="O269" s="38">
        <f>(VLOOKUP($A269,'The List'!$B1:$AH730,27,FALSE)-AVERAGE('The List'!AB2:AB730))/STDEV('The List'!AB2:AB730)</f>
        <v>-0.81109993394113145</v>
      </c>
      <c r="P269" s="38">
        <f>(VLOOKUP($A269,'The List'!$B1:$AH730,28,FALSE)-AVERAGE('The List'!AC2:AC730))/STDEV('The List'!AC2:AC730)</f>
        <v>-0.46936350945081334</v>
      </c>
      <c r="Q269" s="38">
        <f>(VLOOKUP($A269,'The List'!$B1:$AH730,29,FALSE)-AVERAGE('The List'!AD2:AD730))/STDEV('The List'!AD2:AD730)</f>
        <v>-0.55138631454390774</v>
      </c>
      <c r="R269" s="38">
        <f>(VLOOKUP($A269,'The List'!$B1:$AH730,30,FALSE)-AVERAGE('The List'!AE2:AE730))/STDEV('The List'!AE2:AE730)</f>
        <v>-0.56459291493887098</v>
      </c>
      <c r="S269" s="38">
        <f>(VLOOKUP($A269,'The List'!$B1:$AH730,31,FALSE)-AVERAGE('The List'!AF2:AF730))/STDEV('The List'!AF2:AF730)</f>
        <v>-0.56911587195029545</v>
      </c>
      <c r="T269" s="38">
        <f>(VLOOKUP($A269,'The List'!$B1:$AH730,32,FALSE)-AVERAGE('The List'!AG2:AG730))/STDEV('The List'!AG2:AG730)</f>
        <v>-0.61510119871956948</v>
      </c>
      <c r="U269" s="38">
        <f>(VLOOKUP($A269,'The List'!$B1:$AH730,33,FALSE)-AVERAGE('The List'!AH2:AH730))/STDEV('The List'!AH2:AH730)</f>
        <v>-1.2363238714825984</v>
      </c>
      <c r="V269" s="38"/>
      <c r="W269" s="40"/>
      <c r="X269" s="38"/>
      <c r="Y269" s="38"/>
      <c r="Z269" s="38"/>
      <c r="AA269" s="38"/>
      <c r="AB269" s="38"/>
      <c r="AC269" s="38"/>
      <c r="AD269" s="38"/>
      <c r="AE269" s="38"/>
    </row>
    <row r="270" spans="1:31" ht="21.2" customHeight="1">
      <c r="A270" s="8" t="s">
        <v>489</v>
      </c>
      <c r="B270" s="34" t="str">
        <f>VLOOKUP(A270,'Player Data'!A1:B734,2,FALSE)</f>
        <v>CHI</v>
      </c>
      <c r="C270" s="36">
        <f>((E270)*Settings!$C$12)+(F270*Settings!$C$2)+(G270*Settings!$C$3)+(H270*Settings!$C$4)+(I270*Settings!$C$5)+(K270*Settings!$C$9)+(N270*Settings!$C$6)+(J270*Settings!$C$8)+(O270*Settings!$C$7)+(P270*Settings!$C$14)+(Q270*Settings!$C$15)+(R270*Settings!$C$16)+(S270*Settings!$C$17)+(T270*Settings!$C$18)+(U270*Settings!$C$19)+(L270*Settings!$C$10)+(Settings!$C$11*M270)</f>
        <v>0.43438929329162029</v>
      </c>
      <c r="D270" s="40">
        <f>IF(Settings!$E$12="YES",VLOOKUP(A270,'Player Data'!A1:E734,5,FALSE),82)</f>
        <v>82</v>
      </c>
      <c r="E270" s="38">
        <f>(VLOOKUP($A270,'The List'!$B1:$AH730,17,FALSE)-AVERAGE('The List'!R2:R730))/STDEV('The List'!R2:R730)</f>
        <v>-0.20653726272619108</v>
      </c>
      <c r="F270" s="38">
        <f>(VLOOKUP($A270,'The List'!$B1:$AH730,18,FALSE)-AVERAGE('The List'!S2:S730))/STDEV('The List'!S2:S730)</f>
        <v>1.9058253649552881E-2</v>
      </c>
      <c r="G270" s="38">
        <f>(VLOOKUP($A270,'The List'!$B1:$AH730,19,FALSE)-AVERAGE('The List'!T2:T730))/STDEV('The List'!T2:T730)</f>
        <v>-4.9504996994663243E-2</v>
      </c>
      <c r="H270" s="38">
        <f>(VLOOKUP($A270,'The List'!$B1:$AH730,20,FALSE)-AVERAGE('The List'!U2:U730))/STDEV('The List'!U2:U730)</f>
        <v>-2.1563098091207957E-2</v>
      </c>
      <c r="I270" s="38">
        <f>(VLOOKUP($A270,'The List'!$B1:$AH730,21,FALSE)-AVERAGE('The List'!V2:V730))/STDEV('The List'!V2:V730)</f>
        <v>0.33583606385394127</v>
      </c>
      <c r="J270" s="38">
        <f>(VLOOKUP($A270,'The List'!$B1:$AH730,22,FALSE)-AVERAGE('The List'!W2:W730))/STDEV('The List'!W2:W730)</f>
        <v>0.2279613561798329</v>
      </c>
      <c r="K270" s="38">
        <f>(VLOOKUP($A270,'The List'!$B1:$AH730,23,FALSE)-AVERAGE('The List'!X2:X730))/STDEV('The List'!X2:X730)</f>
        <v>0.15056307087399734</v>
      </c>
      <c r="L270" s="38">
        <f>(VLOOKUP($A270,'The List'!$B1:$AH730,24,FALSE)-AVERAGE('The List'!Y2:Y730))/STDEV('The List'!Y2:Y730)</f>
        <v>-0.49427601834398865</v>
      </c>
      <c r="M270" s="38">
        <f>(VLOOKUP($A270,'The List'!$B1:$AH730,25,FALSE)-AVERAGE('The List'!Z2:Z730))/STDEV('The List'!Z2:Z730)</f>
        <v>-0.67166929035774181</v>
      </c>
      <c r="N270" s="38">
        <f>(VLOOKUP($A270,'The List'!$B1:$AH730,26,FALSE)-AVERAGE('The List'!AA2:AA730))/STDEV('The List'!AA2:AA730)</f>
        <v>-0.74842988401269472</v>
      </c>
      <c r="O270" s="38">
        <f>(VLOOKUP($A270,'The List'!$B1:$AH730,27,FALSE)-AVERAGE('The List'!AB2:AB730))/STDEV('The List'!AB2:AB730)</f>
        <v>-0.36685214344769917</v>
      </c>
      <c r="P270" s="38">
        <f>(VLOOKUP($A270,'The List'!$B1:$AH730,28,FALSE)-AVERAGE('The List'!AC2:AC730))/STDEV('The List'!AC2:AC730)</f>
        <v>-1.8829820359268157</v>
      </c>
      <c r="Q270" s="38">
        <f>(VLOOKUP($A270,'The List'!$B1:$AH730,29,FALSE)-AVERAGE('The List'!AD2:AD730))/STDEV('The List'!AD2:AD730)</f>
        <v>-0.39037355182070566</v>
      </c>
      <c r="R270" s="38">
        <f>(VLOOKUP($A270,'The List'!$B1:$AH730,30,FALSE)-AVERAGE('The List'!AE2:AE730))/STDEV('The List'!AE2:AE730)</f>
        <v>-0.19161390566694855</v>
      </c>
      <c r="S270" s="38">
        <f>(VLOOKUP($A270,'The List'!$B1:$AH730,31,FALSE)-AVERAGE('The List'!AF2:AF730))/STDEV('The List'!AF2:AF730)</f>
        <v>-3.9224675670577282E-2</v>
      </c>
      <c r="T270" s="38">
        <f>(VLOOKUP($A270,'The List'!$B1:$AH730,32,FALSE)-AVERAGE('The List'!AG2:AG730))/STDEV('The List'!AG2:AG730)</f>
        <v>-0.13841048444776261</v>
      </c>
      <c r="U270" s="38">
        <f>(VLOOKUP($A270,'The List'!$B1:$AH730,33,FALSE)-AVERAGE('The List'!AH2:AH730))/STDEV('The List'!AH2:AH730)</f>
        <v>1.1967245657243517</v>
      </c>
      <c r="V270" s="38"/>
      <c r="W270" s="42"/>
      <c r="X270" s="40"/>
      <c r="Y270" s="40"/>
      <c r="Z270" s="40"/>
      <c r="AA270" s="40"/>
      <c r="AB270" s="40"/>
      <c r="AC270" s="43"/>
      <c r="AD270" s="44"/>
      <c r="AE270" s="38"/>
    </row>
    <row r="271" spans="1:31" ht="21.2" customHeight="1">
      <c r="A271" s="8" t="s">
        <v>502</v>
      </c>
      <c r="B271" s="34" t="str">
        <f>VLOOKUP(A271,'Player Data'!A1:B734,2,FALSE)</f>
        <v>STL</v>
      </c>
      <c r="C271" s="36">
        <f>((E271)*Settings!$C$12)+(F271*Settings!$C$2)+(G271*Settings!$C$3)+(H271*Settings!$C$4)+(I271*Settings!$C$5)+(K271*Settings!$C$9)+(N271*Settings!$C$6)+(J271*Settings!$C$8)+(O271*Settings!$C$7)+(P271*Settings!$C$14)+(Q271*Settings!$C$15)+(R271*Settings!$C$16)+(S271*Settings!$C$17)+(T271*Settings!$C$18)+(U271*Settings!$C$19)+(L271*Settings!$C$10)+(Settings!$C$11*M271)</f>
        <v>-0.45919423271548199</v>
      </c>
      <c r="D271" s="40">
        <f>IF(Settings!$E$12="YES",VLOOKUP(A271,'Player Data'!A1:E734,5,FALSE),82)</f>
        <v>82</v>
      </c>
      <c r="E271" s="38">
        <f>(VLOOKUP($A271,'The List'!$B1:$AH730,17,FALSE)-AVERAGE('The List'!R2:R730))/STDEV('The List'!R2:R730)</f>
        <v>-0.66749848798569722</v>
      </c>
      <c r="F271" s="38">
        <f>(VLOOKUP($A271,'The List'!$B1:$AH730,18,FALSE)-AVERAGE('The List'!S2:S730))/STDEV('The List'!S2:S730)</f>
        <v>0.10445824333273324</v>
      </c>
      <c r="G271" s="38">
        <f>(VLOOKUP($A271,'The List'!$B1:$AH730,19,FALSE)-AVERAGE('The List'!T2:T730))/STDEV('The List'!T2:T730)</f>
        <v>-0.13797809343605028</v>
      </c>
      <c r="H271" s="38">
        <f>(VLOOKUP($A271,'The List'!$B1:$AH730,20,FALSE)-AVERAGE('The List'!U2:U730))/STDEV('The List'!U2:U730)</f>
        <v>-3.6233135931037545E-2</v>
      </c>
      <c r="I271" s="38">
        <f>(VLOOKUP($A271,'The List'!$B1:$AH730,21,FALSE)-AVERAGE('The List'!V2:V730))/STDEV('The List'!V2:V730)</f>
        <v>-9.6812682818019219E-2</v>
      </c>
      <c r="J271" s="38">
        <f>(VLOOKUP($A271,'The List'!$B1:$AH730,22,FALSE)-AVERAGE('The List'!W2:W730))/STDEV('The List'!W2:W730)</f>
        <v>-0.26555959202475216</v>
      </c>
      <c r="K271" s="38">
        <f>(VLOOKUP($A271,'The List'!$B1:$AH730,23,FALSE)-AVERAGE('The List'!X2:X730))/STDEV('The List'!X2:X730)</f>
        <v>-0.29262856386310815</v>
      </c>
      <c r="L271" s="38">
        <f>(VLOOKUP($A271,'The List'!$B1:$AH730,24,FALSE)-AVERAGE('The List'!Y2:Y730))/STDEV('The List'!Y2:Y730)</f>
        <v>0.90245834565744087</v>
      </c>
      <c r="M271" s="38">
        <f>(VLOOKUP($A271,'The List'!$B1:$AH730,25,FALSE)-AVERAGE('The List'!Z2:Z730))/STDEV('The List'!Z2:Z730)</f>
        <v>0.31531673697830326</v>
      </c>
      <c r="N271" s="38">
        <f>(VLOOKUP($A271,'The List'!$B1:$AH730,26,FALSE)-AVERAGE('The List'!AA2:AA730))/STDEV('The List'!AA2:AA730)</f>
        <v>-0.94853819628945535</v>
      </c>
      <c r="O271" s="38">
        <f>(VLOOKUP($A271,'The List'!$B1:$AH730,27,FALSE)-AVERAGE('The List'!AB2:AB730))/STDEV('The List'!AB2:AB730)</f>
        <v>0.3376302522675419</v>
      </c>
      <c r="P271" s="38">
        <f>(VLOOKUP($A271,'The List'!$B1:$AH730,28,FALSE)-AVERAGE('The List'!AC2:AC730))/STDEV('The List'!AC2:AC730)</f>
        <v>-1.0776502491650111</v>
      </c>
      <c r="Q271" s="38">
        <f>(VLOOKUP($A271,'The List'!$B1:$AH730,29,FALSE)-AVERAGE('The List'!AD2:AD730))/STDEV('The List'!AD2:AD730)</f>
        <v>-0.91769780554838254</v>
      </c>
      <c r="R271" s="38">
        <f>(VLOOKUP($A271,'The List'!$B1:$AH730,30,FALSE)-AVERAGE('The List'!AE2:AE730))/STDEV('The List'!AE2:AE730)</f>
        <v>-0.14669309448939319</v>
      </c>
      <c r="S271" s="38">
        <f>(VLOOKUP($A271,'The List'!$B1:$AH730,31,FALSE)-AVERAGE('The List'!AF2:AF730))/STDEV('The List'!AF2:AF730)</f>
        <v>-0.45348510545060178</v>
      </c>
      <c r="T271" s="38">
        <f>(VLOOKUP($A271,'The List'!$B1:$AH730,32,FALSE)-AVERAGE('The List'!AG2:AG730))/STDEV('The List'!AG2:AG730)</f>
        <v>-0.37186202179270827</v>
      </c>
      <c r="U271" s="38">
        <f>(VLOOKUP($A271,'The List'!$B1:$AH730,33,FALSE)-AVERAGE('The List'!AH2:AH730))/STDEV('The List'!AH2:AH730)</f>
        <v>0.26801418978928737</v>
      </c>
      <c r="V271" s="38"/>
      <c r="W271" s="42"/>
      <c r="X271" s="40"/>
      <c r="Y271" s="40"/>
      <c r="Z271" s="40"/>
      <c r="AA271" s="40"/>
      <c r="AB271" s="40"/>
      <c r="AC271" s="43"/>
      <c r="AD271" s="44"/>
      <c r="AE271" s="38"/>
    </row>
    <row r="272" spans="1:31" ht="21.2" customHeight="1">
      <c r="A272" s="8" t="s">
        <v>358</v>
      </c>
      <c r="B272" s="34" t="str">
        <f>VLOOKUP(A272,'Player Data'!A1:B734,2,FALSE)</f>
        <v>ANA</v>
      </c>
      <c r="C272" s="36">
        <f>((E272)*Settings!$C$12)+(F272*Settings!$C$2)+(G272*Settings!$C$3)+(H272*Settings!$C$4)+(I272*Settings!$C$5)+(K272*Settings!$C$9)+(N272*Settings!$C$6)+(J272*Settings!$C$8)+(O272*Settings!$C$7)+(P272*Settings!$C$14)+(Q272*Settings!$C$15)+(R272*Settings!$C$16)+(S272*Settings!$C$17)+(T272*Settings!$C$18)+(U272*Settings!$C$19)+(L272*Settings!$C$10)+(Settings!$C$11*M272)</f>
        <v>0.99335241394041851</v>
      </c>
      <c r="D272" s="40">
        <f>IF(Settings!$E$12="YES",VLOOKUP(A272,'Player Data'!A1:E734,5,FALSE),82)</f>
        <v>82</v>
      </c>
      <c r="E272" s="38">
        <f>(VLOOKUP($A272,'The List'!$B1:$AH730,17,FALSE)-AVERAGE('The List'!R2:R730))/STDEV('The List'!R2:R730)</f>
        <v>-0.33200678422524299</v>
      </c>
      <c r="F272" s="38">
        <f>(VLOOKUP($A272,'The List'!$B1:$AH730,18,FALSE)-AVERAGE('The List'!S2:S730))/STDEV('The List'!S2:S730)</f>
        <v>0.58545746407409383</v>
      </c>
      <c r="G272" s="38">
        <f>(VLOOKUP($A272,'The List'!$B1:$AH730,19,FALSE)-AVERAGE('The List'!T2:T730))/STDEV('The List'!T2:T730)</f>
        <v>-0.50295184441530139</v>
      </c>
      <c r="H272" s="38">
        <f>(VLOOKUP($A272,'The List'!$B1:$AH730,20,FALSE)-AVERAGE('The List'!U2:U730))/STDEV('The List'!U2:U730)</f>
        <v>-3.6920251318224809E-2</v>
      </c>
      <c r="I272" s="38">
        <f>(VLOOKUP($A272,'The List'!$B1:$AH730,21,FALSE)-AVERAGE('The List'!V2:V730))/STDEV('The List'!V2:V730)</f>
        <v>1.0762777571613849</v>
      </c>
      <c r="J272" s="38">
        <f>(VLOOKUP($A272,'The List'!$B1:$AH730,22,FALSE)-AVERAGE('The List'!W2:W730))/STDEV('The List'!W2:W730)</f>
        <v>0.19038755665298993</v>
      </c>
      <c r="K272" s="38">
        <f>(VLOOKUP($A272,'The List'!$B1:$AH730,23,FALSE)-AVERAGE('The List'!X2:X730))/STDEV('The List'!X2:X730)</f>
        <v>-0.12851071156153396</v>
      </c>
      <c r="L272" s="38">
        <f>(VLOOKUP($A272,'The List'!$B1:$AH730,24,FALSE)-AVERAGE('The List'!Y2:Y730))/STDEV('The List'!Y2:Y730)</f>
        <v>-0.35977087143870579</v>
      </c>
      <c r="M272" s="38">
        <f>(VLOOKUP($A272,'The List'!$B1:$AH730,25,FALSE)-AVERAGE('The List'!Z2:Z730))/STDEV('The List'!Z2:Z730)</f>
        <v>-0.52037668007500548</v>
      </c>
      <c r="N272" s="38">
        <f>(VLOOKUP($A272,'The List'!$B1:$AH730,26,FALSE)-AVERAGE('The List'!AA2:AA730))/STDEV('The List'!AA2:AA730)</f>
        <v>-0.16539108908418546</v>
      </c>
      <c r="O272" s="38">
        <f>(VLOOKUP($A272,'The List'!$B1:$AH730,27,FALSE)-AVERAGE('The List'!AB2:AB730))/STDEV('The List'!AB2:AB730)</f>
        <v>-0.35481931788315779</v>
      </c>
      <c r="P272" s="38">
        <f>(VLOOKUP($A272,'The List'!$B1:$AH730,28,FALSE)-AVERAGE('The List'!AC2:AC730))/STDEV('The List'!AC2:AC730)</f>
        <v>-2.4493177039192808</v>
      </c>
      <c r="Q272" s="38">
        <f>(VLOOKUP($A272,'The List'!$B1:$AH730,29,FALSE)-AVERAGE('The List'!AD2:AD730))/STDEV('The List'!AD2:AD730)</f>
        <v>-8.5356623305899729E-2</v>
      </c>
      <c r="R272" s="38">
        <f>(VLOOKUP($A272,'The List'!$B1:$AH730,30,FALSE)-AVERAGE('The List'!AE2:AE730))/STDEV('The List'!AE2:AE730)</f>
        <v>-3.0864229909220133E-2</v>
      </c>
      <c r="S272" s="38">
        <f>(VLOOKUP($A272,'The List'!$B1:$AH730,31,FALSE)-AVERAGE('The List'!AF2:AF730))/STDEV('The List'!AF2:AF730)</f>
        <v>-0.53369247048884838</v>
      </c>
      <c r="T272" s="38">
        <f>(VLOOKUP($A272,'The List'!$B1:$AH730,32,FALSE)-AVERAGE('The List'!AG2:AG730))/STDEV('The List'!AG2:AG730)</f>
        <v>-0.55766273059571503</v>
      </c>
      <c r="U272" s="38">
        <f>(VLOOKUP($A272,'The List'!$B1:$AH730,33,FALSE)-AVERAGE('The List'!AH2:AH730))/STDEV('The List'!AH2:AH730)</f>
        <v>0.53942627078560756</v>
      </c>
      <c r="V272" s="38"/>
      <c r="W272" s="42"/>
      <c r="X272" s="40"/>
      <c r="Y272" s="40"/>
      <c r="Z272" s="40"/>
      <c r="AA272" s="40"/>
      <c r="AB272" s="40"/>
      <c r="AC272" s="43"/>
      <c r="AD272" s="44"/>
      <c r="AE272" s="38"/>
    </row>
    <row r="273" spans="1:31" ht="21.2" customHeight="1">
      <c r="A273" s="8" t="s">
        <v>476</v>
      </c>
      <c r="B273" s="34" t="str">
        <f>VLOOKUP(A273,'Player Data'!A1:B734,2,FALSE)</f>
        <v>TBL</v>
      </c>
      <c r="C273" s="36">
        <f>((E273)*Settings!$C$12)+(F273*Settings!$C$2)+(G273*Settings!$C$3)+(H273*Settings!$C$4)+(I273*Settings!$C$5)+(K273*Settings!$C$9)+(N273*Settings!$C$6)+(J273*Settings!$C$8)+(O273*Settings!$C$7)+(P273*Settings!$C$14)+(Q273*Settings!$C$15)+(R273*Settings!$C$16)+(S273*Settings!$C$17)+(T273*Settings!$C$18)+(U273*Settings!$C$19)+(L273*Settings!$C$10)+(Settings!$C$11*M273)</f>
        <v>-0.33858336483851242</v>
      </c>
      <c r="D273" s="40">
        <f>IF(Settings!$E$12="YES",VLOOKUP(A273,'Player Data'!A1:E734,5,FALSE),82)</f>
        <v>82</v>
      </c>
      <c r="E273" s="38">
        <f>(VLOOKUP($A273,'The List'!$B1:$AH730,17,FALSE)-AVERAGE('The List'!R2:R730))/STDEV('The List'!R2:R730)</f>
        <v>9.0456843285444177E-2</v>
      </c>
      <c r="F273" s="38">
        <f>(VLOOKUP($A273,'The List'!$B1:$AH730,18,FALSE)-AVERAGE('The List'!S2:S730))/STDEV('The List'!S2:S730)</f>
        <v>0.34064874943183487</v>
      </c>
      <c r="G273" s="38">
        <f>(VLOOKUP($A273,'The List'!$B1:$AH730,19,FALSE)-AVERAGE('The List'!T2:T730))/STDEV('The List'!T2:T730)</f>
        <v>-0.32539311259318576</v>
      </c>
      <c r="H273" s="38">
        <f>(VLOOKUP($A273,'The List'!$B1:$AH730,20,FALSE)-AVERAGE('The List'!U2:U730))/STDEV('The List'!U2:U730)</f>
        <v>-4.1608418545924654E-2</v>
      </c>
      <c r="I273" s="38">
        <f>(VLOOKUP($A273,'The List'!$B1:$AH730,21,FALSE)-AVERAGE('The List'!V2:V730))/STDEV('The List'!V2:V730)</f>
        <v>2.4098188679487629E-2</v>
      </c>
      <c r="J273" s="38">
        <f>(VLOOKUP($A273,'The List'!$B1:$AH730,22,FALSE)-AVERAGE('The List'!W2:W730))/STDEV('The List'!W2:W730)</f>
        <v>-9.4039755081684287E-2</v>
      </c>
      <c r="K273" s="38">
        <f>(VLOOKUP($A273,'The List'!$B1:$AH730,23,FALSE)-AVERAGE('The List'!X2:X730))/STDEV('The List'!X2:X730)</f>
        <v>-0.33632877181072451</v>
      </c>
      <c r="L273" s="38">
        <f>(VLOOKUP($A273,'The List'!$B1:$AH730,24,FALSE)-AVERAGE('The List'!Y2:Y730))/STDEV('The List'!Y2:Y730)</f>
        <v>0.45598233913328567</v>
      </c>
      <c r="M273" s="38">
        <f>(VLOOKUP($A273,'The List'!$B1:$AH730,25,FALSE)-AVERAGE('The List'!Z2:Z730))/STDEV('The List'!Z2:Z730)</f>
        <v>0.76536536845520131</v>
      </c>
      <c r="N273" s="38">
        <f>(VLOOKUP($A273,'The List'!$B1:$AH730,26,FALSE)-AVERAGE('The List'!AA2:AA730))/STDEV('The List'!AA2:AA730)</f>
        <v>5.222647545090247E-2</v>
      </c>
      <c r="O273" s="38">
        <f>(VLOOKUP($A273,'The List'!$B1:$AH730,27,FALSE)-AVERAGE('The List'!AB2:AB730))/STDEV('The List'!AB2:AB730)</f>
        <v>4.254996144691316</v>
      </c>
      <c r="P273" s="38">
        <f>(VLOOKUP($A273,'The List'!$B1:$AH730,28,FALSE)-AVERAGE('The List'!AC2:AC730))/STDEV('The List'!AC2:AC730)</f>
        <v>-7.8740494888281359E-2</v>
      </c>
      <c r="Q273" s="38">
        <f>(VLOOKUP($A273,'The List'!$B1:$AH730,29,FALSE)-AVERAGE('The List'!AD2:AD730))/STDEV('The List'!AD2:AD730)</f>
        <v>4.5060235743088093</v>
      </c>
      <c r="R273" s="38">
        <f>(VLOOKUP($A273,'The List'!$B1:$AH730,30,FALSE)-AVERAGE('The List'!AE2:AE730))/STDEV('The List'!AE2:AE730)</f>
        <v>0.49180150945383871</v>
      </c>
      <c r="S273" s="38">
        <f>(VLOOKUP($A273,'The List'!$B1:$AH730,31,FALSE)-AVERAGE('The List'!AF2:AF730))/STDEV('The List'!AF2:AF730)</f>
        <v>-0.51297494556461809</v>
      </c>
      <c r="T273" s="38">
        <f>(VLOOKUP($A273,'The List'!$B1:$AH730,32,FALSE)-AVERAGE('The List'!AG2:AG730))/STDEV('The List'!AG2:AG730)</f>
        <v>-0.53411267290957154</v>
      </c>
      <c r="U273" s="38">
        <f>(VLOOKUP($A273,'The List'!$B1:$AH730,33,FALSE)-AVERAGE('The List'!AH2:AH730))/STDEV('The List'!AH2:AH730)</f>
        <v>0.66683752175438593</v>
      </c>
      <c r="V273" s="38"/>
      <c r="W273" s="40"/>
      <c r="X273" s="38"/>
      <c r="Y273" s="38"/>
      <c r="Z273" s="38"/>
      <c r="AA273" s="38"/>
      <c r="AB273" s="38"/>
      <c r="AC273" s="38"/>
      <c r="AD273" s="38"/>
      <c r="AE273" s="38"/>
    </row>
    <row r="274" spans="1:31" ht="21.2" customHeight="1">
      <c r="A274" s="8" t="s">
        <v>321</v>
      </c>
      <c r="B274" s="34" t="str">
        <f>VLOOKUP(A274,'Player Data'!A1:B734,2,FALSE)</f>
        <v>PHI</v>
      </c>
      <c r="C274" s="36">
        <f>((E274)*Settings!$C$12)+(F274*Settings!$C$2)+(G274*Settings!$C$3)+(H274*Settings!$C$4)+(I274*Settings!$C$5)+(K274*Settings!$C$9)+(N274*Settings!$C$6)+(J274*Settings!$C$8)+(O274*Settings!$C$7)+(P274*Settings!$C$14)+(Q274*Settings!$C$15)+(R274*Settings!$C$16)+(S274*Settings!$C$17)+(T274*Settings!$C$18)+(U274*Settings!$C$19)+(L274*Settings!$C$10)+(Settings!$C$11*M274)</f>
        <v>-0.43327725227316627</v>
      </c>
      <c r="D274" s="40">
        <f>IF(Settings!$E$12="YES",VLOOKUP(A274,'Player Data'!A1:E734,5,FALSE),82)</f>
        <v>82</v>
      </c>
      <c r="E274" s="38">
        <f>(VLOOKUP($A274,'The List'!$B1:$AH730,17,FALSE)-AVERAGE('The List'!R2:R730))/STDEV('The List'!R2:R730)</f>
        <v>1.3801892702890868</v>
      </c>
      <c r="F274" s="38">
        <f>(VLOOKUP($A274,'The List'!$B1:$AH730,18,FALSE)-AVERAGE('The List'!S2:S730))/STDEV('The List'!S2:S730)</f>
        <v>-0.72908133794918339</v>
      </c>
      <c r="G274" s="38">
        <f>(VLOOKUP($A274,'The List'!$B1:$AH730,19,FALSE)-AVERAGE('The List'!T2:T730))/STDEV('The List'!T2:T730)</f>
        <v>0.61407699159578211</v>
      </c>
      <c r="H274" s="38">
        <f>(VLOOKUP($A274,'The List'!$B1:$AH730,20,FALSE)-AVERAGE('The List'!U2:U730))/STDEV('The List'!U2:U730)</f>
        <v>3.844414631171645E-2</v>
      </c>
      <c r="I274" s="38">
        <f>(VLOOKUP($A274,'The List'!$B1:$AH730,21,FALSE)-AVERAGE('The List'!V2:V730))/STDEV('The List'!V2:V730)</f>
        <v>-0.78569634759207685</v>
      </c>
      <c r="J274" s="38">
        <f>(VLOOKUP($A274,'The List'!$B1:$AH730,22,FALSE)-AVERAGE('The List'!W2:W730))/STDEV('The List'!W2:W730)</f>
        <v>-0.29163720671755333</v>
      </c>
      <c r="K274" s="38">
        <f>(VLOOKUP($A274,'The List'!$B1:$AH730,23,FALSE)-AVERAGE('The List'!X2:X730))/STDEV('The List'!X2:X730)</f>
        <v>0.42897929536059543</v>
      </c>
      <c r="L274" s="38">
        <f>(VLOOKUP($A274,'The List'!$B1:$AH730,24,FALSE)-AVERAGE('The List'!Y2:Y730))/STDEV('The List'!Y2:Y730)</f>
        <v>-0.49507099614358557</v>
      </c>
      <c r="M274" s="38">
        <f>(VLOOKUP($A274,'The List'!$B1:$AH730,25,FALSE)-AVERAGE('The List'!Z2:Z730))/STDEV('The List'!Z2:Z730)</f>
        <v>-0.4060205909672564</v>
      </c>
      <c r="N274" s="38">
        <f>(VLOOKUP($A274,'The List'!$B1:$AH730,26,FALSE)-AVERAGE('The List'!AA2:AA730))/STDEV('The List'!AA2:AA730)</f>
        <v>1.1930828449780158</v>
      </c>
      <c r="O274" s="38">
        <f>(VLOOKUP($A274,'The List'!$B1:$AH730,27,FALSE)-AVERAGE('The List'!AB2:AB730))/STDEV('The List'!AB2:AB730)</f>
        <v>-0.25450221956217006</v>
      </c>
      <c r="P274" s="38">
        <f>(VLOOKUP($A274,'The List'!$B1:$AH730,28,FALSE)-AVERAGE('The List'!AC2:AC730))/STDEV('The List'!AC2:AC730)</f>
        <v>-1.2379544050413496</v>
      </c>
      <c r="Q274" s="38">
        <f>(VLOOKUP($A274,'The List'!$B1:$AH730,29,FALSE)-AVERAGE('The List'!AD2:AD730))/STDEV('The List'!AD2:AD730)</f>
        <v>-0.21528311625899704</v>
      </c>
      <c r="R274" s="38">
        <f>(VLOOKUP($A274,'The List'!$B1:$AH730,30,FALSE)-AVERAGE('The List'!AE2:AE730))/STDEV('The List'!AE2:AE730)</f>
        <v>-0.76100427087380085</v>
      </c>
      <c r="S274" s="38">
        <f>(VLOOKUP($A274,'The List'!$B1:$AH730,31,FALSE)-AVERAGE('The List'!AF2:AF730))/STDEV('The List'!AF2:AF730)</f>
        <v>-0.56911587195029545</v>
      </c>
      <c r="T274" s="38">
        <f>(VLOOKUP($A274,'The List'!$B1:$AH730,32,FALSE)-AVERAGE('The List'!AG2:AG730))/STDEV('The List'!AG2:AG730)</f>
        <v>-0.61510119871956948</v>
      </c>
      <c r="U274" s="38">
        <f>(VLOOKUP($A274,'The List'!$B1:$AH730,33,FALSE)-AVERAGE('The List'!AH2:AH730))/STDEV('The List'!AH2:AH730)</f>
        <v>-1.2363238714825984</v>
      </c>
      <c r="V274" s="38"/>
      <c r="W274" s="42"/>
      <c r="X274" s="40"/>
      <c r="Y274" s="40"/>
      <c r="Z274" s="40"/>
      <c r="AA274" s="40"/>
      <c r="AB274" s="40"/>
      <c r="AC274" s="43"/>
      <c r="AD274" s="44"/>
      <c r="AE274" s="38"/>
    </row>
    <row r="275" spans="1:31" ht="21.2" customHeight="1">
      <c r="A275" s="8" t="s">
        <v>419</v>
      </c>
      <c r="B275" s="34" t="str">
        <f>VLOOKUP(A275,'Player Data'!A1:B734,2,FALSE)</f>
        <v>MTL</v>
      </c>
      <c r="C275" s="36">
        <f>((E275)*Settings!$C$12)+(F275*Settings!$C$2)+(G275*Settings!$C$3)+(H275*Settings!$C$4)+(I275*Settings!$C$5)+(K275*Settings!$C$9)+(N275*Settings!$C$6)+(J275*Settings!$C$8)+(O275*Settings!$C$7)+(P275*Settings!$C$14)+(Q275*Settings!$C$15)+(R275*Settings!$C$16)+(S275*Settings!$C$17)+(T275*Settings!$C$18)+(U275*Settings!$C$19)+(L275*Settings!$C$10)+(Settings!$C$11*M275)</f>
        <v>0.19409268236957888</v>
      </c>
      <c r="D275" s="40">
        <f>IF(Settings!$E$12="YES",VLOOKUP(A275,'Player Data'!A1:E734,5,FALSE),82)</f>
        <v>82</v>
      </c>
      <c r="E275" s="38">
        <f>(VLOOKUP($A275,'The List'!$B1:$AH730,17,FALSE)-AVERAGE('The List'!R2:R730))/STDEV('The List'!R2:R730)</f>
        <v>7.1050166513308782E-2</v>
      </c>
      <c r="F275" s="38">
        <f>(VLOOKUP($A275,'The List'!$B1:$AH730,18,FALSE)-AVERAGE('The List'!S2:S730))/STDEV('The List'!S2:S730)</f>
        <v>0.78663527307101577</v>
      </c>
      <c r="G275" s="38">
        <f>(VLOOKUP($A275,'The List'!$B1:$AH730,19,FALSE)-AVERAGE('The List'!T2:T730))/STDEV('The List'!T2:T730)</f>
        <v>-0.67366989387966636</v>
      </c>
      <c r="H275" s="38">
        <f>(VLOOKUP($A275,'The List'!$B1:$AH730,20,FALSE)-AVERAGE('The List'!U2:U730))/STDEV('The List'!U2:U730)</f>
        <v>-4.8311051220462697E-2</v>
      </c>
      <c r="I275" s="38">
        <f>(VLOOKUP($A275,'The List'!$B1:$AH730,21,FALSE)-AVERAGE('The List'!V2:V730))/STDEV('The List'!V2:V730)</f>
        <v>0.51984224247757416</v>
      </c>
      <c r="J275" s="38">
        <f>(VLOOKUP($A275,'The List'!$B1:$AH730,22,FALSE)-AVERAGE('The List'!W2:W730))/STDEV('The List'!W2:W730)</f>
        <v>5.4245204823771126E-2</v>
      </c>
      <c r="K275" s="38">
        <f>(VLOOKUP($A275,'The List'!$B1:$AH730,23,FALSE)-AVERAGE('The List'!X2:X730))/STDEV('The List'!X2:X730)</f>
        <v>-0.39040388807888193</v>
      </c>
      <c r="L275" s="38">
        <f>(VLOOKUP($A275,'The List'!$B1:$AH730,24,FALSE)-AVERAGE('The List'!Y2:Y730))/STDEV('The List'!Y2:Y730)</f>
        <v>1.7898220434767824</v>
      </c>
      <c r="M275" s="38">
        <f>(VLOOKUP($A275,'The List'!$B1:$AH730,25,FALSE)-AVERAGE('The List'!Z2:Z730))/STDEV('The List'!Z2:Z730)</f>
        <v>0.86126903062961513</v>
      </c>
      <c r="N275" s="38">
        <f>(VLOOKUP($A275,'The List'!$B1:$AH730,26,FALSE)-AVERAGE('The List'!AA2:AA730))/STDEV('The List'!AA2:AA730)</f>
        <v>-0.36316457303686578</v>
      </c>
      <c r="O275" s="38">
        <f>(VLOOKUP($A275,'The List'!$B1:$AH730,27,FALSE)-AVERAGE('The List'!AB2:AB730))/STDEV('The List'!AB2:AB730)</f>
        <v>0.96253190498798091</v>
      </c>
      <c r="P275" s="38">
        <f>(VLOOKUP($A275,'The List'!$B1:$AH730,28,FALSE)-AVERAGE('The List'!AC2:AC730))/STDEV('The List'!AC2:AC730)</f>
        <v>-1.9697867101038584</v>
      </c>
      <c r="Q275" s="38">
        <f>(VLOOKUP($A275,'The List'!$B1:$AH730,29,FALSE)-AVERAGE('The List'!AD2:AD730))/STDEV('The List'!AD2:AD730)</f>
        <v>1.4957534402273573</v>
      </c>
      <c r="R275" s="38">
        <f>(VLOOKUP($A275,'The List'!$B1:$AH730,30,FALSE)-AVERAGE('The List'!AE2:AE730))/STDEV('The List'!AE2:AE730)</f>
        <v>0.18712463107679567</v>
      </c>
      <c r="S275" s="38">
        <f>(VLOOKUP($A275,'The List'!$B1:$AH730,31,FALSE)-AVERAGE('The List'!AF2:AF730))/STDEV('The List'!AF2:AF730)</f>
        <v>-0.46263193589147045</v>
      </c>
      <c r="T275" s="38">
        <f>(VLOOKUP($A275,'The List'!$B1:$AH730,32,FALSE)-AVERAGE('The List'!AG2:AG730))/STDEV('The List'!AG2:AG730)</f>
        <v>-0.49238732220381354</v>
      </c>
      <c r="U275" s="38">
        <f>(VLOOKUP($A275,'The List'!$B1:$AH730,33,FALSE)-AVERAGE('The List'!AH2:AH730))/STDEV('The List'!AH2:AH730)</f>
        <v>0.91751442989970478</v>
      </c>
      <c r="V275" s="38"/>
      <c r="W275" s="40"/>
      <c r="X275" s="38"/>
      <c r="Y275" s="38"/>
      <c r="Z275" s="38"/>
      <c r="AA275" s="38"/>
      <c r="AB275" s="38"/>
      <c r="AC275" s="38"/>
      <c r="AD275" s="38"/>
      <c r="AE275" s="38"/>
    </row>
    <row r="276" spans="1:31" ht="21.2" customHeight="1">
      <c r="A276" s="8" t="s">
        <v>348</v>
      </c>
      <c r="B276" s="34" t="str">
        <f>VLOOKUP(A276,'Player Data'!A1:B734,2,FALSE)</f>
        <v>MIN</v>
      </c>
      <c r="C276" s="36">
        <f>((E276)*Settings!$C$12)+(F276*Settings!$C$2)+(G276*Settings!$C$3)+(H276*Settings!$C$4)+(I276*Settings!$C$5)+(K276*Settings!$C$9)+(N276*Settings!$C$6)+(J276*Settings!$C$8)+(O276*Settings!$C$7)+(P276*Settings!$C$14)+(Q276*Settings!$C$15)+(R276*Settings!$C$16)+(S276*Settings!$C$17)+(T276*Settings!$C$18)+(U276*Settings!$C$19)+(L276*Settings!$C$10)+(Settings!$C$11*M276)</f>
        <v>0.37262827336903515</v>
      </c>
      <c r="D276" s="40">
        <f>IF(Settings!$E$12="YES",VLOOKUP(A276,'Player Data'!A1:E734,5,FALSE),82)</f>
        <v>82</v>
      </c>
      <c r="E276" s="38">
        <f>(VLOOKUP($A276,'The List'!$B1:$AH730,17,FALSE)-AVERAGE('The List'!R2:R730))/STDEV('The List'!R2:R730)</f>
        <v>-8.6831440748310215E-2</v>
      </c>
      <c r="F276" s="38">
        <f>(VLOOKUP($A276,'The List'!$B1:$AH730,18,FALSE)-AVERAGE('The List'!S2:S730))/STDEV('The List'!S2:S730)</f>
        <v>-0.90470556626035903</v>
      </c>
      <c r="G276" s="38">
        <f>(VLOOKUP($A276,'The List'!$B1:$AH730,19,FALSE)-AVERAGE('The List'!T2:T730))/STDEV('The List'!T2:T730)</f>
        <v>0.59838203299816362</v>
      </c>
      <c r="H276" s="38">
        <f>(VLOOKUP($A276,'The List'!$B1:$AH730,20,FALSE)-AVERAGE('The List'!U2:U730))/STDEV('The List'!U2:U730)</f>
        <v>-5.2844007311679195E-2</v>
      </c>
      <c r="I276" s="38">
        <f>(VLOOKUP($A276,'The List'!$B1:$AH730,21,FALSE)-AVERAGE('The List'!V2:V730))/STDEV('The List'!V2:V730)</f>
        <v>-0.68206123347488479</v>
      </c>
      <c r="J276" s="38">
        <f>(VLOOKUP($A276,'The List'!$B1:$AH730,22,FALSE)-AVERAGE('The List'!W2:W730))/STDEV('The List'!W2:W730)</f>
        <v>-0.57908779491588069</v>
      </c>
      <c r="K276" s="38">
        <f>(VLOOKUP($A276,'The List'!$B1:$AH730,23,FALSE)-AVERAGE('The List'!X2:X730))/STDEV('The List'!X2:X730)</f>
        <v>1.4138570474177945</v>
      </c>
      <c r="L276" s="38">
        <f>(VLOOKUP($A276,'The List'!$B1:$AH730,24,FALSE)-AVERAGE('The List'!Y2:Y730))/STDEV('The List'!Y2:Y730)</f>
        <v>-0.51453722597125218</v>
      </c>
      <c r="M276" s="38">
        <f>(VLOOKUP($A276,'The List'!$B1:$AH730,25,FALSE)-AVERAGE('The List'!Z2:Z730))/STDEV('The List'!Z2:Z730)</f>
        <v>-0.67536283685125065</v>
      </c>
      <c r="N276" s="38">
        <f>(VLOOKUP($A276,'The List'!$B1:$AH730,26,FALSE)-AVERAGE('The List'!AA2:AA730))/STDEV('The List'!AA2:AA730)</f>
        <v>-8.8594142215708729E-2</v>
      </c>
      <c r="O276" s="38">
        <f>(VLOOKUP($A276,'The List'!$B1:$AH730,27,FALSE)-AVERAGE('The List'!AB2:AB730))/STDEV('The List'!AB2:AB730)</f>
        <v>-0.85874697780086195</v>
      </c>
      <c r="P276" s="38">
        <f>(VLOOKUP($A276,'The List'!$B1:$AH730,28,FALSE)-AVERAGE('The List'!AC2:AC730))/STDEV('The List'!AC2:AC730)</f>
        <v>-3.356419673685225E-2</v>
      </c>
      <c r="Q276" s="38">
        <f>(VLOOKUP($A276,'The List'!$B1:$AH730,29,FALSE)-AVERAGE('The List'!AD2:AD730))/STDEV('The List'!AD2:AD730)</f>
        <v>-0.39016143300863471</v>
      </c>
      <c r="R276" s="38">
        <f>(VLOOKUP($A276,'The List'!$B1:$AH730,30,FALSE)-AVERAGE('The List'!AE2:AE730))/STDEV('The List'!AE2:AE730)</f>
        <v>-0.76505980504832782</v>
      </c>
      <c r="S276" s="38">
        <f>(VLOOKUP($A276,'The List'!$B1:$AH730,31,FALSE)-AVERAGE('The List'!AF2:AF730))/STDEV('The List'!AF2:AF730)</f>
        <v>-0.56911587195029545</v>
      </c>
      <c r="T276" s="38">
        <f>(VLOOKUP($A276,'The List'!$B1:$AH730,32,FALSE)-AVERAGE('The List'!AG2:AG730))/STDEV('The List'!AG2:AG730)</f>
        <v>-0.61510119871956948</v>
      </c>
      <c r="U276" s="38">
        <f>(VLOOKUP($A276,'The List'!$B1:$AH730,33,FALSE)-AVERAGE('The List'!AH2:AH730))/STDEV('The List'!AH2:AH730)</f>
        <v>-1.2363238714825984</v>
      </c>
      <c r="V276" s="38"/>
      <c r="W276" s="42"/>
      <c r="X276" s="40"/>
      <c r="Y276" s="40"/>
      <c r="Z276" s="40"/>
      <c r="AA276" s="40"/>
      <c r="AB276" s="40"/>
      <c r="AC276" s="43"/>
      <c r="AD276" s="44"/>
      <c r="AE276" s="38"/>
    </row>
    <row r="277" spans="1:31" ht="21.2" customHeight="1">
      <c r="A277" s="8" t="s">
        <v>420</v>
      </c>
      <c r="B277" s="34" t="str">
        <f>VLOOKUP(A277,'Player Data'!A1:B734,2,FALSE)</f>
        <v>CGY</v>
      </c>
      <c r="C277" s="36">
        <f>((E277)*Settings!$C$12)+(F277*Settings!$C$2)+(G277*Settings!$C$3)+(H277*Settings!$C$4)+(I277*Settings!$C$5)+(K277*Settings!$C$9)+(N277*Settings!$C$6)+(J277*Settings!$C$8)+(O277*Settings!$C$7)+(P277*Settings!$C$14)+(Q277*Settings!$C$15)+(R277*Settings!$C$16)+(S277*Settings!$C$17)+(T277*Settings!$C$18)+(U277*Settings!$C$19)+(L277*Settings!$C$10)+(Settings!$C$11*M277)</f>
        <v>0.38521266617499261</v>
      </c>
      <c r="D277" s="40">
        <f>IF(Settings!$E$12="YES",VLOOKUP(A277,'Player Data'!A1:E734,5,FALSE),82)</f>
        <v>82</v>
      </c>
      <c r="E277" s="38">
        <f>(VLOOKUP($A277,'The List'!$B1:$AH730,17,FALSE)-AVERAGE('The List'!R2:R730))/STDEV('The List'!R2:R730)</f>
        <v>-0.54109501037677699</v>
      </c>
      <c r="F277" s="38">
        <f>(VLOOKUP($A277,'The List'!$B1:$AH730,18,FALSE)-AVERAGE('The List'!S2:S730))/STDEV('The List'!S2:S730)</f>
        <v>0.32661439232830097</v>
      </c>
      <c r="G277" s="38">
        <f>(VLOOKUP($A277,'The List'!$B1:$AH730,19,FALSE)-AVERAGE('The List'!T2:T730))/STDEV('The List'!T2:T730)</f>
        <v>-0.34340305462453452</v>
      </c>
      <c r="H277" s="38">
        <f>(VLOOKUP($A277,'The List'!$B1:$AH730,20,FALSE)-AVERAGE('The List'!U2:U730))/STDEV('The List'!U2:U730)</f>
        <v>-5.9200431860730422E-2</v>
      </c>
      <c r="I277" s="38">
        <f>(VLOOKUP($A277,'The List'!$B1:$AH730,21,FALSE)-AVERAGE('The List'!V2:V730))/STDEV('The List'!V2:V730)</f>
        <v>0.59415257599458937</v>
      </c>
      <c r="J277" s="38">
        <f>(VLOOKUP($A277,'The List'!$B1:$AH730,22,FALSE)-AVERAGE('The List'!W2:W730))/STDEV('The List'!W2:W730)</f>
        <v>0.17711962072507084</v>
      </c>
      <c r="K277" s="38">
        <f>(VLOOKUP($A277,'The List'!$B1:$AH730,23,FALSE)-AVERAGE('The List'!X2:X730))/STDEV('The List'!X2:X730)</f>
        <v>-0.13295081566263278</v>
      </c>
      <c r="L277" s="38">
        <f>(VLOOKUP($A277,'The List'!$B1:$AH730,24,FALSE)-AVERAGE('The List'!Y2:Y730))/STDEV('The List'!Y2:Y730)</f>
        <v>2.1672351476836962</v>
      </c>
      <c r="M277" s="38">
        <f>(VLOOKUP($A277,'The List'!$B1:$AH730,25,FALSE)-AVERAGE('The List'!Z2:Z730))/STDEV('The List'!Z2:Z730)</f>
        <v>2.247254491486899</v>
      </c>
      <c r="N277" s="38">
        <f>(VLOOKUP($A277,'The List'!$B1:$AH730,26,FALSE)-AVERAGE('The List'!AA2:AA730))/STDEV('The List'!AA2:AA730)</f>
        <v>-0.53674985986521084</v>
      </c>
      <c r="O277" s="38">
        <f>(VLOOKUP($A277,'The List'!$B1:$AH730,27,FALSE)-AVERAGE('The List'!AB2:AB730))/STDEV('The List'!AB2:AB730)</f>
        <v>-1.2537599598433915</v>
      </c>
      <c r="P277" s="38">
        <f>(VLOOKUP($A277,'The List'!$B1:$AH730,28,FALSE)-AVERAGE('The List'!AC2:AC730))/STDEV('The List'!AC2:AC730)</f>
        <v>-0.10838257339799498</v>
      </c>
      <c r="Q277" s="38">
        <f>(VLOOKUP($A277,'The List'!$B1:$AH730,29,FALSE)-AVERAGE('The List'!AD2:AD730))/STDEV('The List'!AD2:AD730)</f>
        <v>-1.2176194766105592</v>
      </c>
      <c r="R277" s="38">
        <f>(VLOOKUP($A277,'The List'!$B1:$AH730,30,FALSE)-AVERAGE('The List'!AE2:AE730))/STDEV('The List'!AE2:AE730)</f>
        <v>0.59458913673940095</v>
      </c>
      <c r="S277" s="38">
        <f>(VLOOKUP($A277,'The List'!$B1:$AH730,31,FALSE)-AVERAGE('The List'!AF2:AF730))/STDEV('The List'!AF2:AF730)</f>
        <v>-0.38645077388934046</v>
      </c>
      <c r="T277" s="38">
        <f>(VLOOKUP($A277,'The List'!$B1:$AH730,32,FALSE)-AVERAGE('The List'!AG2:AG730))/STDEV('The List'!AG2:AG730)</f>
        <v>-0.25763224265143048</v>
      </c>
      <c r="U277" s="38">
        <f>(VLOOKUP($A277,'The List'!$B1:$AH730,33,FALSE)-AVERAGE('The List'!AH2:AH730))/STDEV('The List'!AH2:AH730)</f>
        <v>0.34135140542720038</v>
      </c>
      <c r="V277" s="38"/>
      <c r="W277" s="42"/>
      <c r="X277" s="40"/>
      <c r="Y277" s="40"/>
      <c r="Z277" s="40"/>
      <c r="AA277" s="40"/>
      <c r="AB277" s="40"/>
      <c r="AC277" s="43"/>
      <c r="AD277" s="44"/>
      <c r="AE277" s="38"/>
    </row>
    <row r="278" spans="1:31" ht="21.2" customHeight="1">
      <c r="A278" s="8" t="s">
        <v>519</v>
      </c>
      <c r="B278" s="34" t="str">
        <f>VLOOKUP(A278,'Player Data'!A1:B734,2,FALSE)</f>
        <v>NYI</v>
      </c>
      <c r="C278" s="36">
        <f>((E278)*Settings!$C$12)+(F278*Settings!$C$2)+(G278*Settings!$C$3)+(H278*Settings!$C$4)+(I278*Settings!$C$5)+(K278*Settings!$C$9)+(N278*Settings!$C$6)+(J278*Settings!$C$8)+(O278*Settings!$C$7)+(P278*Settings!$C$14)+(Q278*Settings!$C$15)+(R278*Settings!$C$16)+(S278*Settings!$C$17)+(T278*Settings!$C$18)+(U278*Settings!$C$19)+(L278*Settings!$C$10)+(Settings!$C$11*M278)</f>
        <v>-0.29675405518980102</v>
      </c>
      <c r="D278" s="40">
        <f>IF(Settings!$E$12="YES",VLOOKUP(A278,'Player Data'!A1:E734,5,FALSE),82)</f>
        <v>82</v>
      </c>
      <c r="E278" s="38">
        <f>(VLOOKUP($A278,'The List'!$B1:$AH730,17,FALSE)-AVERAGE('The List'!R2:R730))/STDEV('The List'!R2:R730)</f>
        <v>-0.47361778779567876</v>
      </c>
      <c r="F278" s="38">
        <f>(VLOOKUP($A278,'The List'!$B1:$AH730,18,FALSE)-AVERAGE('The List'!S2:S730))/STDEV('The List'!S2:S730)</f>
        <v>0.38276093254687205</v>
      </c>
      <c r="G278" s="38">
        <f>(VLOOKUP($A278,'The List'!$B1:$AH730,19,FALSE)-AVERAGE('The List'!T2:T730))/STDEV('The List'!T2:T730)</f>
        <v>-0.40572755911194958</v>
      </c>
      <c r="H278" s="38">
        <f>(VLOOKUP($A278,'The List'!$B1:$AH730,20,FALSE)-AVERAGE('The List'!U2:U730))/STDEV('The List'!U2:U730)</f>
        <v>-7.1400273847409643E-2</v>
      </c>
      <c r="I278" s="38">
        <f>(VLOOKUP($A278,'The List'!$B1:$AH730,21,FALSE)-AVERAGE('The List'!V2:V730))/STDEV('The List'!V2:V730)</f>
        <v>0.27023854982132012</v>
      </c>
      <c r="J278" s="38">
        <f>(VLOOKUP($A278,'The List'!$B1:$AH730,22,FALSE)-AVERAGE('The List'!W2:W730))/STDEV('The List'!W2:W730)</f>
        <v>-0.40879369331302112</v>
      </c>
      <c r="K278" s="38">
        <f>(VLOOKUP($A278,'The List'!$B1:$AH730,23,FALSE)-AVERAGE('The List'!X2:X730))/STDEV('The List'!X2:X730)</f>
        <v>-0.47262570459863396</v>
      </c>
      <c r="L278" s="38">
        <f>(VLOOKUP($A278,'The List'!$B1:$AH730,24,FALSE)-AVERAGE('The List'!Y2:Y730))/STDEV('The List'!Y2:Y730)</f>
        <v>0.17599911353058117</v>
      </c>
      <c r="M278" s="38">
        <f>(VLOOKUP($A278,'The List'!$B1:$AH730,25,FALSE)-AVERAGE('The List'!Z2:Z730))/STDEV('The List'!Z2:Z730)</f>
        <v>-2.7583403270928068E-2</v>
      </c>
      <c r="N278" s="38">
        <f>(VLOOKUP($A278,'The List'!$B1:$AH730,26,FALSE)-AVERAGE('The List'!AA2:AA730))/STDEV('The List'!AA2:AA730)</f>
        <v>-1.2558148466732353</v>
      </c>
      <c r="O278" s="38">
        <f>(VLOOKUP($A278,'The List'!$B1:$AH730,27,FALSE)-AVERAGE('The List'!AB2:AB730))/STDEV('The List'!AB2:AB730)</f>
        <v>-0.70460606359591216</v>
      </c>
      <c r="P278" s="38">
        <f>(VLOOKUP($A278,'The List'!$B1:$AH730,28,FALSE)-AVERAGE('The List'!AC2:AC730))/STDEV('The List'!AC2:AC730)</f>
        <v>0.3551032509833118</v>
      </c>
      <c r="Q278" s="38">
        <f>(VLOOKUP($A278,'The List'!$B1:$AH730,29,FALSE)-AVERAGE('The List'!AD2:AD730))/STDEV('The List'!AD2:AD730)</f>
        <v>-0.27810841186698992</v>
      </c>
      <c r="R278" s="38">
        <f>(VLOOKUP($A278,'The List'!$B1:$AH730,30,FALSE)-AVERAGE('The List'!AE2:AE730))/STDEV('The List'!AE2:AE730)</f>
        <v>0.51213748260748482</v>
      </c>
      <c r="S278" s="38">
        <f>(VLOOKUP($A278,'The List'!$B1:$AH730,31,FALSE)-AVERAGE('The List'!AF2:AF730))/STDEV('The List'!AF2:AF730)</f>
        <v>-0.32090315075940512</v>
      </c>
      <c r="T278" s="38">
        <f>(VLOOKUP($A278,'The List'!$B1:$AH730,32,FALSE)-AVERAGE('The List'!AG2:AG730))/STDEV('The List'!AG2:AG730)</f>
        <v>-0.3171784343350641</v>
      </c>
      <c r="U278" s="38">
        <f>(VLOOKUP($A278,'The List'!$B1:$AH730,33,FALSE)-AVERAGE('The List'!AH2:AH730))/STDEV('The List'!AH2:AH730)</f>
        <v>0.87172288620522353</v>
      </c>
      <c r="V278" s="38"/>
      <c r="W278" s="40"/>
      <c r="X278" s="38"/>
      <c r="Y278" s="38"/>
      <c r="Z278" s="38"/>
      <c r="AA278" s="38"/>
      <c r="AB278" s="38"/>
      <c r="AC278" s="38"/>
      <c r="AD278" s="38"/>
      <c r="AE278" s="38"/>
    </row>
    <row r="279" spans="1:31" ht="21.2" customHeight="1">
      <c r="A279" s="8" t="s">
        <v>253</v>
      </c>
      <c r="B279" s="34" t="str">
        <f>VLOOKUP(A279,'Player Data'!A1:B734,2,FALSE)</f>
        <v>EDM</v>
      </c>
      <c r="C279" s="36">
        <f>((E279)*Settings!$C$12)+(F279*Settings!$C$2)+(G279*Settings!$C$3)+(H279*Settings!$C$4)+(I279*Settings!$C$5)+(K279*Settings!$C$9)+(N279*Settings!$C$6)+(J279*Settings!$C$8)+(O279*Settings!$C$7)+(P279*Settings!$C$14)+(Q279*Settings!$C$15)+(R279*Settings!$C$16)+(S279*Settings!$C$17)+(T279*Settings!$C$18)+(U279*Settings!$C$19)+(L279*Settings!$C$10)+(Settings!$C$11*M279)</f>
        <v>-7.309199880531142E-2</v>
      </c>
      <c r="D279" s="40">
        <f>IF(Settings!$E$12="YES",VLOOKUP(A279,'Player Data'!A1:E734,5,FALSE),82)</f>
        <v>82</v>
      </c>
      <c r="E279" s="38">
        <f>(VLOOKUP($A279,'The List'!$B1:$AH730,17,FALSE)-AVERAGE('The List'!R2:R730))/STDEV('The List'!R2:R730)</f>
        <v>1.4353102494558763</v>
      </c>
      <c r="F279" s="38">
        <f>(VLOOKUP($A279,'The List'!$B1:$AH730,18,FALSE)-AVERAGE('The List'!S2:S730))/STDEV('The List'!S2:S730)</f>
        <v>-0.27451503722258125</v>
      </c>
      <c r="G279" s="38">
        <f>(VLOOKUP($A279,'The List'!$B1:$AH730,19,FALSE)-AVERAGE('The List'!T2:T730))/STDEV('The List'!T2:T730)</f>
        <v>9.0093263012179028E-2</v>
      </c>
      <c r="H279" s="38">
        <f>(VLOOKUP($A279,'The List'!$B1:$AH730,20,FALSE)-AVERAGE('The List'!U2:U730))/STDEV('The List'!U2:U730)</f>
        <v>-7.2248809551642257E-2</v>
      </c>
      <c r="I279" s="38">
        <f>(VLOOKUP($A279,'The List'!$B1:$AH730,21,FALSE)-AVERAGE('The List'!V2:V730))/STDEV('The List'!V2:V730)</f>
        <v>0.69628975515573055</v>
      </c>
      <c r="J279" s="38">
        <f>(VLOOKUP($A279,'The List'!$B1:$AH730,22,FALSE)-AVERAGE('The List'!W2:W730))/STDEV('The List'!W2:W730)</f>
        <v>-0.66901919753520345</v>
      </c>
      <c r="K279" s="38">
        <f>(VLOOKUP($A279,'The List'!$B1:$AH730,23,FALSE)-AVERAGE('The List'!X2:X730))/STDEV('The List'!X2:X730)</f>
        <v>-0.51271117019899748</v>
      </c>
      <c r="L279" s="38">
        <f>(VLOOKUP($A279,'The List'!$B1:$AH730,24,FALSE)-AVERAGE('The List'!Y2:Y730))/STDEV('The List'!Y2:Y730)</f>
        <v>1.9674096360914803</v>
      </c>
      <c r="M279" s="38">
        <f>(VLOOKUP($A279,'The List'!$B1:$AH730,25,FALSE)-AVERAGE('The List'!Z2:Z730))/STDEV('The List'!Z2:Z730)</f>
        <v>1.2444711952086613</v>
      </c>
      <c r="N279" s="38">
        <f>(VLOOKUP($A279,'The List'!$B1:$AH730,26,FALSE)-AVERAGE('The List'!AA2:AA730))/STDEV('The List'!AA2:AA730)</f>
        <v>1.9822590131250131</v>
      </c>
      <c r="O279" s="38">
        <f>(VLOOKUP($A279,'The List'!$B1:$AH730,27,FALSE)-AVERAGE('The List'!AB2:AB730))/STDEV('The List'!AB2:AB730)</f>
        <v>0.94311075913875009</v>
      </c>
      <c r="P279" s="38">
        <f>(VLOOKUP($A279,'The List'!$B1:$AH730,28,FALSE)-AVERAGE('The List'!AC2:AC730))/STDEV('The List'!AC2:AC730)</f>
        <v>1.3791040295898951</v>
      </c>
      <c r="Q279" s="38">
        <f>(VLOOKUP($A279,'The List'!$B1:$AH730,29,FALSE)-AVERAGE('The List'!AD2:AD730))/STDEV('The List'!AD2:AD730)</f>
        <v>1.4395512202091947</v>
      </c>
      <c r="R279" s="38">
        <f>(VLOOKUP($A279,'The List'!$B1:$AH730,30,FALSE)-AVERAGE('The List'!AE2:AE730))/STDEV('The List'!AE2:AE730)</f>
        <v>-0.12238519260049591</v>
      </c>
      <c r="S279" s="38">
        <f>(VLOOKUP($A279,'The List'!$B1:$AH730,31,FALSE)-AVERAGE('The List'!AF2:AF730))/STDEV('The List'!AF2:AF730)</f>
        <v>-0.56911587195029545</v>
      </c>
      <c r="T279" s="38">
        <f>(VLOOKUP($A279,'The List'!$B1:$AH730,32,FALSE)-AVERAGE('The List'!AG2:AG730))/STDEV('The List'!AG2:AG730)</f>
        <v>-0.61510119871956948</v>
      </c>
      <c r="U279" s="38">
        <f>(VLOOKUP($A279,'The List'!$B1:$AH730,33,FALSE)-AVERAGE('The List'!AH2:AH730))/STDEV('The List'!AH2:AH730)</f>
        <v>-1.2363238714825984</v>
      </c>
      <c r="V279" s="38"/>
      <c r="W279" s="42"/>
      <c r="X279" s="40"/>
      <c r="Y279" s="40"/>
      <c r="Z279" s="40"/>
      <c r="AA279" s="40"/>
      <c r="AB279" s="40"/>
      <c r="AC279" s="43"/>
      <c r="AD279" s="44"/>
      <c r="AE279" s="38"/>
    </row>
    <row r="280" spans="1:31" ht="21.2" customHeight="1">
      <c r="A280" s="8" t="s">
        <v>641</v>
      </c>
      <c r="B280" s="34" t="str">
        <f>VLOOKUP(A280,'Player Data'!A1:B734,2,FALSE)</f>
        <v>COL</v>
      </c>
      <c r="C280" s="36">
        <f>((E280)*Settings!$C$12)+(F280*Settings!$C$2)+(G280*Settings!$C$3)+(H280*Settings!$C$4)+(I280*Settings!$C$5)+(K280*Settings!$C$9)+(N280*Settings!$C$6)+(J280*Settings!$C$8)+(O280*Settings!$C$7)+(P280*Settings!$C$14)+(Q280*Settings!$C$15)+(R280*Settings!$C$16)+(S280*Settings!$C$17)+(T280*Settings!$C$18)+(U280*Settings!$C$19)+(L280*Settings!$C$10)+(Settings!$C$11*M280)</f>
        <v>-1.2577877193035096</v>
      </c>
      <c r="D280" s="40">
        <f>IF(Settings!$E$12="YES",VLOOKUP(A280,'Player Data'!A1:E734,5,FALSE),82)</f>
        <v>82</v>
      </c>
      <c r="E280" s="38">
        <f>(VLOOKUP($A280,'The List'!$B1:$AH730,17,FALSE)-AVERAGE('The List'!R2:R730))/STDEV('The List'!R2:R730)</f>
        <v>-0.62106252609549217</v>
      </c>
      <c r="F280" s="38">
        <f>(VLOOKUP($A280,'The List'!$B1:$AH730,18,FALSE)-AVERAGE('The List'!S2:S730))/STDEV('The List'!S2:S730)</f>
        <v>-0.67765038991708193</v>
      </c>
      <c r="G280" s="38">
        <f>(VLOOKUP($A280,'The List'!$B1:$AH730,19,FALSE)-AVERAGE('The List'!T2:T730))/STDEV('The List'!T2:T730)</f>
        <v>0.37028579572275361</v>
      </c>
      <c r="H280" s="38">
        <f>(VLOOKUP($A280,'The List'!$B1:$AH730,20,FALSE)-AVERAGE('The List'!U2:U730))/STDEV('The List'!U2:U730)</f>
        <v>-8.7466268067132466E-2</v>
      </c>
      <c r="I280" s="38">
        <f>(VLOOKUP($A280,'The List'!$B1:$AH730,21,FALSE)-AVERAGE('The List'!V2:V730))/STDEV('The List'!V2:V730)</f>
        <v>-0.67827616513763667</v>
      </c>
      <c r="J280" s="38">
        <f>(VLOOKUP($A280,'The List'!$B1:$AH730,22,FALSE)-AVERAGE('The List'!W2:W730))/STDEV('The List'!W2:W730)</f>
        <v>-0.63770126048653253</v>
      </c>
      <c r="K280" s="38">
        <f>(VLOOKUP($A280,'The List'!$B1:$AH730,23,FALSE)-AVERAGE('The List'!X2:X730))/STDEV('The List'!X2:X730)</f>
        <v>-0.18468069190441205</v>
      </c>
      <c r="L280" s="38">
        <f>(VLOOKUP($A280,'The List'!$B1:$AH730,24,FALSE)-AVERAGE('The List'!Y2:Y730))/STDEV('The List'!Y2:Y730)</f>
        <v>-0.51466219974360261</v>
      </c>
      <c r="M280" s="38">
        <f>(VLOOKUP($A280,'The List'!$B1:$AH730,25,FALSE)-AVERAGE('The List'!Z2:Z730))/STDEV('The List'!Z2:Z730)</f>
        <v>-0.69177669166834954</v>
      </c>
      <c r="N280" s="38">
        <f>(VLOOKUP($A280,'The List'!$B1:$AH730,26,FALSE)-AVERAGE('The List'!AA2:AA730))/STDEV('The List'!AA2:AA730)</f>
        <v>-0.86448738258332747</v>
      </c>
      <c r="O280" s="38">
        <f>(VLOOKUP($A280,'The List'!$B1:$AH730,27,FALSE)-AVERAGE('The List'!AB2:AB730))/STDEV('The List'!AB2:AB730)</f>
        <v>-0.96026781219340673</v>
      </c>
      <c r="P280" s="38">
        <f>(VLOOKUP($A280,'The List'!$B1:$AH730,28,FALSE)-AVERAGE('The List'!AC2:AC730))/STDEV('The List'!AC2:AC730)</f>
        <v>0.60951314428779424</v>
      </c>
      <c r="Q280" s="38">
        <f>(VLOOKUP($A280,'The List'!$B1:$AH730,29,FALSE)-AVERAGE('The List'!AD2:AD730))/STDEV('The List'!AD2:AD730)</f>
        <v>-0.47050147890662825</v>
      </c>
      <c r="R280" s="38">
        <f>(VLOOKUP($A280,'The List'!$B1:$AH730,30,FALSE)-AVERAGE('The List'!AE2:AE730))/STDEV('The List'!AE2:AE730)</f>
        <v>-0.53827429621940559</v>
      </c>
      <c r="S280" s="38">
        <f>(VLOOKUP($A280,'The List'!$B1:$AH730,31,FALSE)-AVERAGE('The List'!AF2:AF730))/STDEV('The List'!AF2:AF730)</f>
        <v>0.31772068453902447</v>
      </c>
      <c r="T280" s="38">
        <f>(VLOOKUP($A280,'The List'!$B1:$AH730,32,FALSE)-AVERAGE('The List'!AG2:AG730))/STDEV('The List'!AG2:AG730)</f>
        <v>0.49056278813459686</v>
      </c>
      <c r="U280" s="38">
        <f>(VLOOKUP($A280,'The List'!$B1:$AH730,33,FALSE)-AVERAGE('The List'!AH2:AH730))/STDEV('The List'!AH2:AH730)</f>
        <v>0.82907467657329326</v>
      </c>
      <c r="V280" s="38"/>
      <c r="W280" s="40"/>
      <c r="X280" s="38"/>
      <c r="Y280" s="38"/>
      <c r="Z280" s="38"/>
      <c r="AA280" s="38"/>
      <c r="AB280" s="38"/>
      <c r="AC280" s="38"/>
      <c r="AD280" s="38"/>
      <c r="AE280" s="38"/>
    </row>
    <row r="281" spans="1:31" ht="21.2" customHeight="1">
      <c r="A281" s="8" t="s">
        <v>488</v>
      </c>
      <c r="B281" s="34" t="str">
        <f>VLOOKUP(A281,'Player Data'!A1:B734,2,FALSE)</f>
        <v>BOS</v>
      </c>
      <c r="C281" s="36">
        <f>((E281)*Settings!$C$12)+(F281*Settings!$C$2)+(G281*Settings!$C$3)+(H281*Settings!$C$4)+(I281*Settings!$C$5)+(K281*Settings!$C$9)+(N281*Settings!$C$6)+(J281*Settings!$C$8)+(O281*Settings!$C$7)+(P281*Settings!$C$14)+(Q281*Settings!$C$15)+(R281*Settings!$C$16)+(S281*Settings!$C$17)+(T281*Settings!$C$18)+(U281*Settings!$C$19)+(L281*Settings!$C$10)+(Settings!$C$11*M281)</f>
        <v>0.12010380469079747</v>
      </c>
      <c r="D281" s="40">
        <f>IF(Settings!$E$12="YES",VLOOKUP(A281,'Player Data'!A1:E734,5,FALSE),82)</f>
        <v>82</v>
      </c>
      <c r="E281" s="38">
        <f>(VLOOKUP($A281,'The List'!$B1:$AH730,17,FALSE)-AVERAGE('The List'!R2:R730))/STDEV('The List'!R2:R730)</f>
        <v>-0.31417606048305141</v>
      </c>
      <c r="F281" s="38">
        <f>(VLOOKUP($A281,'The List'!$B1:$AH730,18,FALSE)-AVERAGE('The List'!S2:S730))/STDEV('The List'!S2:S730)</f>
        <v>0.29603945600346476</v>
      </c>
      <c r="G281" s="38">
        <f>(VLOOKUP($A281,'The List'!$B1:$AH730,19,FALSE)-AVERAGE('The List'!T2:T730))/STDEV('The List'!T2:T730)</f>
        <v>-0.37460575470349544</v>
      </c>
      <c r="H281" s="38">
        <f>(VLOOKUP($A281,'The List'!$B1:$AH730,20,FALSE)-AVERAGE('The List'!U2:U730))/STDEV('The List'!U2:U730)</f>
        <v>-9.2589184748674405E-2</v>
      </c>
      <c r="I281" s="38">
        <f>(VLOOKUP($A281,'The List'!$B1:$AH730,21,FALSE)-AVERAGE('The List'!V2:V730))/STDEV('The List'!V2:V730)</f>
        <v>0.35815298168566206</v>
      </c>
      <c r="J281" s="38">
        <f>(VLOOKUP($A281,'The List'!$B1:$AH730,22,FALSE)-AVERAGE('The List'!W2:W730))/STDEV('The List'!W2:W730)</f>
        <v>0.68503491022985996</v>
      </c>
      <c r="K281" s="38">
        <f>(VLOOKUP($A281,'The List'!$B1:$AH730,23,FALSE)-AVERAGE('The List'!X2:X730))/STDEV('The List'!X2:X730)</f>
        <v>-6.6893693546159524E-2</v>
      </c>
      <c r="L281" s="38">
        <f>(VLOOKUP($A281,'The List'!$B1:$AH730,24,FALSE)-AVERAGE('The List'!Y2:Y730))/STDEV('The List'!Y2:Y730)</f>
        <v>-0.52168578134031263</v>
      </c>
      <c r="M281" s="38">
        <f>(VLOOKUP($A281,'The List'!$B1:$AH730,25,FALSE)-AVERAGE('The List'!Z2:Z730))/STDEV('The List'!Z2:Z730)</f>
        <v>-0.70021070938069585</v>
      </c>
      <c r="N281" s="38">
        <f>(VLOOKUP($A281,'The List'!$B1:$AH730,26,FALSE)-AVERAGE('The List'!AA2:AA730))/STDEV('The List'!AA2:AA730)</f>
        <v>-0.91329246311688528</v>
      </c>
      <c r="O281" s="38">
        <f>(VLOOKUP($A281,'The List'!$B1:$AH730,27,FALSE)-AVERAGE('The List'!AB2:AB730))/STDEV('The List'!AB2:AB730)</f>
        <v>-1.2442522479477565</v>
      </c>
      <c r="P281" s="38">
        <f>(VLOOKUP($A281,'The List'!$B1:$AH730,28,FALSE)-AVERAGE('The List'!AC2:AC730))/STDEV('The List'!AC2:AC730)</f>
        <v>0.8373088289382985</v>
      </c>
      <c r="Q281" s="38">
        <f>(VLOOKUP($A281,'The List'!$B1:$AH730,29,FALSE)-AVERAGE('The List'!AD2:AD730))/STDEV('The List'!AD2:AD730)</f>
        <v>-0.38329856721166849</v>
      </c>
      <c r="R281" s="38">
        <f>(VLOOKUP($A281,'The List'!$B1:$AH730,30,FALSE)-AVERAGE('The List'!AE2:AE730))/STDEV('The List'!AE2:AE730)</f>
        <v>0.56980333652660853</v>
      </c>
      <c r="S281" s="38">
        <f>(VLOOKUP($A281,'The List'!$B1:$AH730,31,FALSE)-AVERAGE('The List'!AF2:AF730))/STDEV('The List'!AF2:AF730)</f>
        <v>-0.52481038358609944</v>
      </c>
      <c r="T281" s="38">
        <f>(VLOOKUP($A281,'The List'!$B1:$AH730,32,FALSE)-AVERAGE('The List'!AG2:AG730))/STDEV('The List'!AG2:AG730)</f>
        <v>-0.56145219255673229</v>
      </c>
      <c r="U281" s="38">
        <f>(VLOOKUP($A281,'The List'!$B1:$AH730,33,FALSE)-AVERAGE('The List'!AH2:AH730))/STDEV('The List'!AH2:AH730)</f>
        <v>0.86182679040626564</v>
      </c>
      <c r="V281" s="38"/>
      <c r="W281" s="42"/>
      <c r="X281" s="40"/>
      <c r="Y281" s="40"/>
      <c r="Z281" s="40"/>
      <c r="AA281" s="40"/>
      <c r="AB281" s="40"/>
      <c r="AC281" s="43"/>
      <c r="AD281" s="44"/>
      <c r="AE281" s="38"/>
    </row>
    <row r="282" spans="1:31" ht="21.2" customHeight="1">
      <c r="A282" s="8" t="s">
        <v>619</v>
      </c>
      <c r="B282" s="34" t="str">
        <f>VLOOKUP(A282,'Player Data'!A1:B734,2,FALSE)</f>
        <v>CHI</v>
      </c>
      <c r="C282" s="36">
        <f>((E282)*Settings!$C$12)+(F282*Settings!$C$2)+(G282*Settings!$C$3)+(H282*Settings!$C$4)+(I282*Settings!$C$5)+(K282*Settings!$C$9)+(N282*Settings!$C$6)+(J282*Settings!$C$8)+(O282*Settings!$C$7)+(P282*Settings!$C$14)+(Q282*Settings!$C$15)+(R282*Settings!$C$16)+(S282*Settings!$C$17)+(T282*Settings!$C$18)+(U282*Settings!$C$19)+(L282*Settings!$C$10)+(Settings!$C$11*M282)</f>
        <v>-0.93489569008639506</v>
      </c>
      <c r="D282" s="40">
        <f>IF(Settings!$E$12="YES",VLOOKUP(A282,'Player Data'!A1:E734,5,FALSE),82)</f>
        <v>82</v>
      </c>
      <c r="E282" s="38">
        <f>(VLOOKUP($A282,'The List'!$B1:$AH730,17,FALSE)-AVERAGE('The List'!R2:R730))/STDEV('The List'!R2:R730)</f>
        <v>-0.60246838512370948</v>
      </c>
      <c r="F282" s="38">
        <f>(VLOOKUP($A282,'The List'!$B1:$AH730,18,FALSE)-AVERAGE('The List'!S2:S730))/STDEV('The List'!S2:S730)</f>
        <v>0.40647762618460181</v>
      </c>
      <c r="G282" s="38">
        <f>(VLOOKUP($A282,'The List'!$B1:$AH730,19,FALSE)-AVERAGE('The List'!T2:T730))/STDEV('The List'!T2:T730)</f>
        <v>-0.46018384685654951</v>
      </c>
      <c r="H282" s="38">
        <f>(VLOOKUP($A282,'The List'!$B1:$AH730,20,FALSE)-AVERAGE('The List'!U2:U730))/STDEV('The List'!U2:U730)</f>
        <v>-9.3840551312483617E-2</v>
      </c>
      <c r="I282" s="38">
        <f>(VLOOKUP($A282,'The List'!$B1:$AH730,21,FALSE)-AVERAGE('The List'!V2:V730))/STDEV('The List'!V2:V730)</f>
        <v>-0.10680937181689582</v>
      </c>
      <c r="J282" s="38">
        <f>(VLOOKUP($A282,'The List'!$B1:$AH730,22,FALSE)-AVERAGE('The List'!W2:W730))/STDEV('The List'!W2:W730)</f>
        <v>-0.58623154498119501</v>
      </c>
      <c r="K282" s="38">
        <f>(VLOOKUP($A282,'The List'!$B1:$AH730,23,FALSE)-AVERAGE('The List'!X2:X730))/STDEV('The List'!X2:X730)</f>
        <v>-0.68053954628506796</v>
      </c>
      <c r="L282" s="38">
        <f>(VLOOKUP($A282,'The List'!$B1:$AH730,24,FALSE)-AVERAGE('The List'!Y2:Y730))/STDEV('The List'!Y2:Y730)</f>
        <v>-1.5882557420615492E-2</v>
      </c>
      <c r="M282" s="38">
        <f>(VLOOKUP($A282,'The List'!$B1:$AH730,25,FALSE)-AVERAGE('The List'!Z2:Z730))/STDEV('The List'!Z2:Z730)</f>
        <v>-8.956424433183921E-2</v>
      </c>
      <c r="N282" s="38">
        <f>(VLOOKUP($A282,'The List'!$B1:$AH730,26,FALSE)-AVERAGE('The List'!AA2:AA730))/STDEV('The List'!AA2:AA730)</f>
        <v>-0.55708073615466025</v>
      </c>
      <c r="O282" s="38">
        <f>(VLOOKUP($A282,'The List'!$B1:$AH730,27,FALSE)-AVERAGE('The List'!AB2:AB730))/STDEV('The List'!AB2:AB730)</f>
        <v>-0.81813926015295635</v>
      </c>
      <c r="P282" s="38">
        <f>(VLOOKUP($A282,'The List'!$B1:$AH730,28,FALSE)-AVERAGE('The List'!AC2:AC730))/STDEV('The List'!AC2:AC730)</f>
        <v>-1.3117289340694076</v>
      </c>
      <c r="Q282" s="38">
        <f>(VLOOKUP($A282,'The List'!$B1:$AH730,29,FALSE)-AVERAGE('The List'!AD2:AD730))/STDEV('The List'!AD2:AD730)</f>
        <v>-0.65179810819884432</v>
      </c>
      <c r="R282" s="38">
        <f>(VLOOKUP($A282,'The List'!$B1:$AH730,30,FALSE)-AVERAGE('The List'!AE2:AE730))/STDEV('The List'!AE2:AE730)</f>
        <v>0.10402821238188226</v>
      </c>
      <c r="S282" s="38">
        <f>(VLOOKUP($A282,'The List'!$B1:$AH730,31,FALSE)-AVERAGE('The List'!AF2:AF730))/STDEV('The List'!AF2:AF730)</f>
        <v>1.7966096884278084</v>
      </c>
      <c r="T282" s="38">
        <f>(VLOOKUP($A282,'The List'!$B1:$AH730,32,FALSE)-AVERAGE('The List'!AG2:AG730))/STDEV('The List'!AG2:AG730)</f>
        <v>1.6726889982355004</v>
      </c>
      <c r="U282" s="38">
        <f>(VLOOKUP($A282,'The List'!$B1:$AH730,33,FALSE)-AVERAGE('The List'!AH2:AH730))/STDEV('The List'!AH2:AH730)</f>
        <v>1.1153828000575345</v>
      </c>
      <c r="V282" s="38"/>
      <c r="W282" s="40"/>
      <c r="X282" s="38"/>
      <c r="Y282" s="38"/>
      <c r="Z282" s="38"/>
      <c r="AA282" s="38"/>
      <c r="AB282" s="38"/>
      <c r="AC282" s="38"/>
      <c r="AD282" s="38"/>
      <c r="AE282" s="38"/>
    </row>
    <row r="283" spans="1:31" ht="21.2" customHeight="1">
      <c r="A283" s="8" t="s">
        <v>482</v>
      </c>
      <c r="B283" s="34" t="str">
        <f>VLOOKUP(A283,'Player Data'!A1:B734,2,FALSE)</f>
        <v>SEA</v>
      </c>
      <c r="C283" s="36">
        <f>((E283)*Settings!$C$12)+(F283*Settings!$C$2)+(G283*Settings!$C$3)+(H283*Settings!$C$4)+(I283*Settings!$C$5)+(K283*Settings!$C$9)+(N283*Settings!$C$6)+(J283*Settings!$C$8)+(O283*Settings!$C$7)+(P283*Settings!$C$14)+(Q283*Settings!$C$15)+(R283*Settings!$C$16)+(S283*Settings!$C$17)+(T283*Settings!$C$18)+(U283*Settings!$C$19)+(L283*Settings!$C$10)+(Settings!$C$11*M283)</f>
        <v>8.3463200993936656E-2</v>
      </c>
      <c r="D283" s="40">
        <f>IF(Settings!$E$12="YES",VLOOKUP(A283,'Player Data'!A1:E734,5,FALSE),82)</f>
        <v>82</v>
      </c>
      <c r="E283" s="38">
        <f>(VLOOKUP($A283,'The List'!$B1:$AH730,17,FALSE)-AVERAGE('The List'!R2:R730))/STDEV('The List'!R2:R730)</f>
        <v>-0.6247057567636175</v>
      </c>
      <c r="F283" s="38">
        <f>(VLOOKUP($A283,'The List'!$B1:$AH730,18,FALSE)-AVERAGE('The List'!S2:S730))/STDEV('The List'!S2:S730)</f>
        <v>0.44884547524535517</v>
      </c>
      <c r="G283" s="38">
        <f>(VLOOKUP($A283,'The List'!$B1:$AH730,19,FALSE)-AVERAGE('The List'!T2:T730))/STDEV('The List'!T2:T730)</f>
        <v>-0.49247013756777042</v>
      </c>
      <c r="H283" s="38">
        <f>(VLOOKUP($A283,'The List'!$B1:$AH730,20,FALSE)-AVERAGE('The List'!U2:U730))/STDEV('The List'!U2:U730)</f>
        <v>-9.3986072546941968E-2</v>
      </c>
      <c r="I283" s="38">
        <f>(VLOOKUP($A283,'The List'!$B1:$AH730,21,FALSE)-AVERAGE('The List'!V2:V730))/STDEV('The List'!V2:V730)</f>
        <v>0.10832663300033754</v>
      </c>
      <c r="J283" s="38">
        <f>(VLOOKUP($A283,'The List'!$B1:$AH730,22,FALSE)-AVERAGE('The List'!W2:W730))/STDEV('The List'!W2:W730)</f>
        <v>0.3718615951676118</v>
      </c>
      <c r="K283" s="38">
        <f>(VLOOKUP($A283,'The List'!$B1:$AH730,23,FALSE)-AVERAGE('The List'!X2:X730))/STDEV('The List'!X2:X730)</f>
        <v>0.11274730286295633</v>
      </c>
      <c r="L283" s="38">
        <f>(VLOOKUP($A283,'The List'!$B1:$AH730,24,FALSE)-AVERAGE('The List'!Y2:Y730))/STDEV('The List'!Y2:Y730)</f>
        <v>-0.42126996315880977</v>
      </c>
      <c r="M283" s="38">
        <f>(VLOOKUP($A283,'The List'!$B1:$AH730,25,FALSE)-AVERAGE('The List'!Z2:Z730))/STDEV('The List'!Z2:Z730)</f>
        <v>-0.5759374691118091</v>
      </c>
      <c r="N283" s="38">
        <f>(VLOOKUP($A283,'The List'!$B1:$AH730,26,FALSE)-AVERAGE('The List'!AA2:AA730))/STDEV('The List'!AA2:AA730)</f>
        <v>-0.18711247856252899</v>
      </c>
      <c r="O283" s="38">
        <f>(VLOOKUP($A283,'The List'!$B1:$AH730,27,FALSE)-AVERAGE('The List'!AB2:AB730))/STDEV('The List'!AB2:AB730)</f>
        <v>0.81675008141790273</v>
      </c>
      <c r="P283" s="38">
        <f>(VLOOKUP($A283,'The List'!$B1:$AH730,28,FALSE)-AVERAGE('The List'!AC2:AC730))/STDEV('The List'!AC2:AC730)</f>
        <v>5.082732010157754E-2</v>
      </c>
      <c r="Q283" s="38">
        <f>(VLOOKUP($A283,'The List'!$B1:$AH730,29,FALSE)-AVERAGE('The List'!AD2:AD730))/STDEV('The List'!AD2:AD730)</f>
        <v>-1.003205866408492</v>
      </c>
      <c r="R283" s="38">
        <f>(VLOOKUP($A283,'The List'!$B1:$AH730,30,FALSE)-AVERAGE('The List'!AE2:AE730))/STDEV('The List'!AE2:AE730)</f>
        <v>0.41327691984539405</v>
      </c>
      <c r="S283" s="38">
        <f>(VLOOKUP($A283,'The List'!$B1:$AH730,31,FALSE)-AVERAGE('The List'!AF2:AF730))/STDEV('The List'!AF2:AF730)</f>
        <v>-0.56097493577866298</v>
      </c>
      <c r="T283" s="38">
        <f>(VLOOKUP($A283,'The List'!$B1:$AH730,32,FALSE)-AVERAGE('The List'!AG2:AG730))/STDEV('The List'!AG2:AG730)</f>
        <v>-0.56032018280110107</v>
      </c>
      <c r="U283" s="38">
        <f>(VLOOKUP($A283,'The List'!$B1:$AH730,33,FALSE)-AVERAGE('The List'!AH2:AH730))/STDEV('The List'!AH2:AH730)</f>
        <v>-0.62640331906842917</v>
      </c>
      <c r="V283" s="38"/>
      <c r="W283" s="42"/>
      <c r="X283" s="40"/>
      <c r="Y283" s="40"/>
      <c r="Z283" s="40"/>
      <c r="AA283" s="40"/>
      <c r="AB283" s="40"/>
      <c r="AC283" s="43"/>
      <c r="AD283" s="44"/>
      <c r="AE283" s="38"/>
    </row>
    <row r="284" spans="1:31" ht="21.2" customHeight="1">
      <c r="A284" s="8" t="s">
        <v>267</v>
      </c>
      <c r="B284" s="34" t="str">
        <f>VLOOKUP(A284,'Player Data'!A1:B734,2,FALSE)</f>
        <v>CGY</v>
      </c>
      <c r="C284" s="36">
        <f>((E284)*Settings!$C$12)+(F284*Settings!$C$2)+(G284*Settings!$C$3)+(H284*Settings!$C$4)+(I284*Settings!$C$5)+(K284*Settings!$C$9)+(N284*Settings!$C$6)+(J284*Settings!$C$8)+(O284*Settings!$C$7)+(P284*Settings!$C$14)+(Q284*Settings!$C$15)+(R284*Settings!$C$16)+(S284*Settings!$C$17)+(T284*Settings!$C$18)+(U284*Settings!$C$19)+(L284*Settings!$C$10)+(Settings!$C$11*M284)</f>
        <v>-0.1837765459868389</v>
      </c>
      <c r="D284" s="40">
        <f>IF(Settings!$E$12="YES",VLOOKUP(A284,'Player Data'!A1:E734,5,FALSE),82)</f>
        <v>82</v>
      </c>
      <c r="E284" s="38">
        <f>(VLOOKUP($A284,'The List'!$B1:$AH730,17,FALSE)-AVERAGE('The List'!R2:R730))/STDEV('The List'!R2:R730)</f>
        <v>1.1130943596019778</v>
      </c>
      <c r="F284" s="38">
        <f>(VLOOKUP($A284,'The List'!$B1:$AH730,18,FALSE)-AVERAGE('The List'!S2:S730))/STDEV('The List'!S2:S730)</f>
        <v>-0.79713614696626955</v>
      </c>
      <c r="G284" s="38">
        <f>(VLOOKUP($A284,'The List'!$B1:$AH730,19,FALSE)-AVERAGE('The List'!T2:T730))/STDEV('The List'!T2:T730)</f>
        <v>0.44627366693561327</v>
      </c>
      <c r="H284" s="38">
        <f>(VLOOKUP($A284,'The List'!$B1:$AH730,20,FALSE)-AVERAGE('The List'!U2:U730))/STDEV('The List'!U2:U730)</f>
        <v>-9.631444952438685E-2</v>
      </c>
      <c r="I284" s="38">
        <f>(VLOOKUP($A284,'The List'!$B1:$AH730,21,FALSE)-AVERAGE('The List'!V2:V730))/STDEV('The List'!V2:V730)</f>
        <v>0.45811802689008135</v>
      </c>
      <c r="J284" s="38">
        <f>(VLOOKUP($A284,'The List'!$B1:$AH730,22,FALSE)-AVERAGE('The List'!W2:W730))/STDEV('The List'!W2:W730)</f>
        <v>-0.52779402092852545</v>
      </c>
      <c r="K284" s="38">
        <f>(VLOOKUP($A284,'The List'!$B1:$AH730,23,FALSE)-AVERAGE('The List'!X2:X730))/STDEV('The List'!X2:X730)</f>
        <v>-0.19471764332187713</v>
      </c>
      <c r="L284" s="38">
        <f>(VLOOKUP($A284,'The List'!$B1:$AH730,24,FALSE)-AVERAGE('The List'!Y2:Y730))/STDEV('The List'!Y2:Y730)</f>
        <v>-0.21269546454926219</v>
      </c>
      <c r="M284" s="38">
        <f>(VLOOKUP($A284,'The List'!$B1:$AH730,25,FALSE)-AVERAGE('The List'!Z2:Z730))/STDEV('The List'!Z2:Z730)</f>
        <v>0.24870919779088102</v>
      </c>
      <c r="N284" s="38">
        <f>(VLOOKUP($A284,'The List'!$B1:$AH730,26,FALSE)-AVERAGE('The List'!AA2:AA730))/STDEV('The List'!AA2:AA730)</f>
        <v>1.4417397910620775</v>
      </c>
      <c r="O284" s="38">
        <f>(VLOOKUP($A284,'The List'!$B1:$AH730,27,FALSE)-AVERAGE('The List'!AB2:AB730))/STDEV('The List'!AB2:AB730)</f>
        <v>1.4026658474213551</v>
      </c>
      <c r="P284" s="38">
        <f>(VLOOKUP($A284,'The List'!$B1:$AH730,28,FALSE)-AVERAGE('The List'!AC2:AC730))/STDEV('The List'!AC2:AC730)</f>
        <v>1.1407402182824007</v>
      </c>
      <c r="Q284" s="38">
        <f>(VLOOKUP($A284,'The List'!$B1:$AH730,29,FALSE)-AVERAGE('The List'!AD2:AD730))/STDEV('The List'!AD2:AD730)</f>
        <v>0.71823423958449784</v>
      </c>
      <c r="R284" s="38">
        <f>(VLOOKUP($A284,'The List'!$B1:$AH730,30,FALSE)-AVERAGE('The List'!AE2:AE730))/STDEV('The List'!AE2:AE730)</f>
        <v>-0.62824496337507107</v>
      </c>
      <c r="S284" s="38">
        <f>(VLOOKUP($A284,'The List'!$B1:$AH730,31,FALSE)-AVERAGE('The List'!AF2:AF730))/STDEV('The List'!AF2:AF730)</f>
        <v>-0.56911587195029545</v>
      </c>
      <c r="T284" s="38">
        <f>(VLOOKUP($A284,'The List'!$B1:$AH730,32,FALSE)-AVERAGE('The List'!AG2:AG730))/STDEV('The List'!AG2:AG730)</f>
        <v>-0.61510119871956948</v>
      </c>
      <c r="U284" s="38">
        <f>(VLOOKUP($A284,'The List'!$B1:$AH730,33,FALSE)-AVERAGE('The List'!AH2:AH730))/STDEV('The List'!AH2:AH730)</f>
        <v>-1.2363238714825984</v>
      </c>
      <c r="V284" s="38"/>
      <c r="W284" s="40"/>
      <c r="X284" s="38"/>
      <c r="Y284" s="38"/>
      <c r="Z284" s="38"/>
      <c r="AA284" s="38"/>
      <c r="AB284" s="38"/>
      <c r="AC284" s="38"/>
      <c r="AD284" s="38"/>
      <c r="AE284" s="38"/>
    </row>
    <row r="285" spans="1:31" ht="21.2" customHeight="1">
      <c r="A285" s="8" t="s">
        <v>592</v>
      </c>
      <c r="B285" s="34" t="str">
        <f>VLOOKUP(A285,'Player Data'!A1:B734,2,FALSE)</f>
        <v>MTL</v>
      </c>
      <c r="C285" s="36">
        <f>((E285)*Settings!$C$12)+(F285*Settings!$C$2)+(G285*Settings!$C$3)+(H285*Settings!$C$4)+(I285*Settings!$C$5)+(K285*Settings!$C$9)+(N285*Settings!$C$6)+(J285*Settings!$C$8)+(O285*Settings!$C$7)+(P285*Settings!$C$14)+(Q285*Settings!$C$15)+(R285*Settings!$C$16)+(S285*Settings!$C$17)+(T285*Settings!$C$18)+(U285*Settings!$C$19)+(L285*Settings!$C$10)+(Settings!$C$11*M285)</f>
        <v>-1.6043270414349204</v>
      </c>
      <c r="D285" s="40">
        <f>IF(Settings!$E$12="YES",VLOOKUP(A285,'Player Data'!A1:E734,5,FALSE),82)</f>
        <v>82</v>
      </c>
      <c r="E285" s="38">
        <f>(VLOOKUP($A285,'The List'!$B1:$AH730,17,FALSE)-AVERAGE('The List'!R2:R730))/STDEV('The List'!R2:R730)</f>
        <v>-0.2469782058900617</v>
      </c>
      <c r="F285" s="38">
        <f>(VLOOKUP($A285,'The List'!$B1:$AH730,18,FALSE)-AVERAGE('The List'!S2:S730))/STDEV('The List'!S2:S730)</f>
        <v>-2.8663911202041936E-2</v>
      </c>
      <c r="G285" s="38">
        <f>(VLOOKUP($A285,'The List'!$B1:$AH730,19,FALSE)-AVERAGE('The List'!T2:T730))/STDEV('The List'!T2:T730)</f>
        <v>-0.18213299067664662</v>
      </c>
      <c r="H285" s="38">
        <f>(VLOOKUP($A285,'The List'!$B1:$AH730,20,FALSE)-AVERAGE('The List'!U2:U730))/STDEV('The List'!U2:U730)</f>
        <v>-0.12525296946046141</v>
      </c>
      <c r="I285" s="38">
        <f>(VLOOKUP($A285,'The List'!$B1:$AH730,21,FALSE)-AVERAGE('The List'!V2:V730))/STDEV('The List'!V2:V730)</f>
        <v>-0.68858179207034786</v>
      </c>
      <c r="J285" s="38">
        <f>(VLOOKUP($A285,'The List'!$B1:$AH730,22,FALSE)-AVERAGE('The List'!W2:W730))/STDEV('The List'!W2:W730)</f>
        <v>-0.5042791402847332</v>
      </c>
      <c r="K285" s="38">
        <f>(VLOOKUP($A285,'The List'!$B1:$AH730,23,FALSE)-AVERAGE('The List'!X2:X730))/STDEV('The List'!X2:X730)</f>
        <v>-0.5796953780254227</v>
      </c>
      <c r="L285" s="38">
        <f>(VLOOKUP($A285,'The List'!$B1:$AH730,24,FALSE)-AVERAGE('The List'!Y2:Y730))/STDEV('The List'!Y2:Y730)</f>
        <v>0.7093576879619049</v>
      </c>
      <c r="M285" s="38">
        <f>(VLOOKUP($A285,'The List'!$B1:$AH730,25,FALSE)-AVERAGE('The List'!Z2:Z730))/STDEV('The List'!Z2:Z730)</f>
        <v>0.22126349270060461</v>
      </c>
      <c r="N285" s="38">
        <f>(VLOOKUP($A285,'The List'!$B1:$AH730,26,FALSE)-AVERAGE('The List'!AA2:AA730))/STDEV('The List'!AA2:AA730)</f>
        <v>0.17811113044596874</v>
      </c>
      <c r="O285" s="38">
        <f>(VLOOKUP($A285,'The List'!$B1:$AH730,27,FALSE)-AVERAGE('The List'!AB2:AB730))/STDEV('The List'!AB2:AB730)</f>
        <v>-1.3134562150748788</v>
      </c>
      <c r="P285" s="38">
        <f>(VLOOKUP($A285,'The List'!$B1:$AH730,28,FALSE)-AVERAGE('The List'!AC2:AC730))/STDEV('The List'!AC2:AC730)</f>
        <v>-2.0914874479662475</v>
      </c>
      <c r="Q285" s="38">
        <f>(VLOOKUP($A285,'The List'!$B1:$AH730,29,FALSE)-AVERAGE('The List'!AD2:AD730))/STDEV('The List'!AD2:AD730)</f>
        <v>-1.2176252604417814</v>
      </c>
      <c r="R285" s="38">
        <f>(VLOOKUP($A285,'The List'!$B1:$AH730,30,FALSE)-AVERAGE('The List'!AE2:AE730))/STDEV('The List'!AE2:AE730)</f>
        <v>-0.35677813613404791</v>
      </c>
      <c r="S285" s="38">
        <f>(VLOOKUP($A285,'The List'!$B1:$AH730,31,FALSE)-AVERAGE('The List'!AF2:AF730))/STDEV('The List'!AF2:AF730)</f>
        <v>2.2999781130716719</v>
      </c>
      <c r="T285" s="38">
        <f>(VLOOKUP($A285,'The List'!$B1:$AH730,32,FALSE)-AVERAGE('The List'!AG2:AG730))/STDEV('The List'!AG2:AG730)</f>
        <v>2.0009583180815045</v>
      </c>
      <c r="U285" s="38">
        <f>(VLOOKUP($A285,'The List'!$B1:$AH730,33,FALSE)-AVERAGE('The List'!AH2:AH730))/STDEV('The List'!AH2:AH730)</f>
        <v>1.1815917914543026</v>
      </c>
      <c r="V285" s="38"/>
      <c r="W285" s="42"/>
      <c r="X285" s="40"/>
      <c r="Y285" s="40"/>
      <c r="Z285" s="40"/>
      <c r="AA285" s="40"/>
      <c r="AB285" s="40"/>
      <c r="AC285" s="43"/>
      <c r="AD285" s="44"/>
      <c r="AE285" s="38"/>
    </row>
    <row r="286" spans="1:31" ht="21.2" customHeight="1">
      <c r="A286" s="8" t="s">
        <v>581</v>
      </c>
      <c r="B286" s="34" t="str">
        <f>VLOOKUP(A286,'Player Data'!A1:B734,2,FALSE)</f>
        <v>SEA</v>
      </c>
      <c r="C286" s="36">
        <f>((E286)*Settings!$C$12)+(F286*Settings!$C$2)+(G286*Settings!$C$3)+(H286*Settings!$C$4)+(I286*Settings!$C$5)+(K286*Settings!$C$9)+(N286*Settings!$C$6)+(J286*Settings!$C$8)+(O286*Settings!$C$7)+(P286*Settings!$C$14)+(Q286*Settings!$C$15)+(R286*Settings!$C$16)+(S286*Settings!$C$17)+(T286*Settings!$C$18)+(U286*Settings!$C$19)+(L286*Settings!$C$10)+(Settings!$C$11*M286)</f>
        <v>-1.2114554687468193</v>
      </c>
      <c r="D286" s="40">
        <f>IF(Settings!$E$12="YES",VLOOKUP(A286,'Player Data'!A1:E734,5,FALSE),82)</f>
        <v>82</v>
      </c>
      <c r="E286" s="38">
        <f>(VLOOKUP($A286,'The List'!$B1:$AH730,17,FALSE)-AVERAGE('The List'!R2:R730))/STDEV('The List'!R2:R730)</f>
        <v>0.33048415455105939</v>
      </c>
      <c r="F286" s="38">
        <f>(VLOOKUP($A286,'The List'!$B1:$AH730,18,FALSE)-AVERAGE('The List'!S2:S730))/STDEV('The List'!S2:S730)</f>
        <v>-0.11284760071937018</v>
      </c>
      <c r="G286" s="38">
        <f>(VLOOKUP($A286,'The List'!$B1:$AH730,19,FALSE)-AVERAGE('The List'!T2:T730))/STDEV('The List'!T2:T730)</f>
        <v>-0.12229063858878565</v>
      </c>
      <c r="H286" s="38">
        <f>(VLOOKUP($A286,'The List'!$B1:$AH730,20,FALSE)-AVERAGE('The List'!U2:U730))/STDEV('The List'!U2:U730)</f>
        <v>-0.12761222502730596</v>
      </c>
      <c r="I286" s="38">
        <f>(VLOOKUP($A286,'The List'!$B1:$AH730,21,FALSE)-AVERAGE('The List'!V2:V730))/STDEV('The List'!V2:V730)</f>
        <v>-0.72961432251817904</v>
      </c>
      <c r="J286" s="38">
        <f>(VLOOKUP($A286,'The List'!$B1:$AH730,22,FALSE)-AVERAGE('The List'!W2:W730))/STDEV('The List'!W2:W730)</f>
        <v>1.5942299944768576E-2</v>
      </c>
      <c r="K286" s="38">
        <f>(VLOOKUP($A286,'The List'!$B1:$AH730,23,FALSE)-AVERAGE('The List'!X2:X730))/STDEV('The List'!X2:X730)</f>
        <v>-0.11909068189317852</v>
      </c>
      <c r="L286" s="38">
        <f>(VLOOKUP($A286,'The List'!$B1:$AH730,24,FALSE)-AVERAGE('The List'!Y2:Y730))/STDEV('The List'!Y2:Y730)</f>
        <v>-0.15202292076010104</v>
      </c>
      <c r="M286" s="38">
        <f>(VLOOKUP($A286,'The List'!$B1:$AH730,25,FALSE)-AVERAGE('The List'!Z2:Z730))/STDEV('The List'!Z2:Z730)</f>
        <v>-6.6968022628467197E-2</v>
      </c>
      <c r="N286" s="38">
        <f>(VLOOKUP($A286,'The List'!$B1:$AH730,26,FALSE)-AVERAGE('The List'!AA2:AA730))/STDEV('The List'!AA2:AA730)</f>
        <v>-0.19598854666587237</v>
      </c>
      <c r="O286" s="38">
        <f>(VLOOKUP($A286,'The List'!$B1:$AH730,27,FALSE)-AVERAGE('The List'!AB2:AB730))/STDEV('The List'!AB2:AB730)</f>
        <v>-1.0566992929185364</v>
      </c>
      <c r="P286" s="38">
        <f>(VLOOKUP($A286,'The List'!$B1:$AH730,28,FALSE)-AVERAGE('The List'!AC2:AC730))/STDEV('The List'!AC2:AC730)</f>
        <v>-0.35391215333364245</v>
      </c>
      <c r="Q286" s="38">
        <f>(VLOOKUP($A286,'The List'!$B1:$AH730,29,FALSE)-AVERAGE('The List'!AD2:AD730))/STDEV('The List'!AD2:AD730)</f>
        <v>-0.75851378775924805</v>
      </c>
      <c r="R286" s="38">
        <f>(VLOOKUP($A286,'The List'!$B1:$AH730,30,FALSE)-AVERAGE('The List'!AE2:AE730))/STDEV('The List'!AE2:AE730)</f>
        <v>-0.10087274969275527</v>
      </c>
      <c r="S286" s="38">
        <f>(VLOOKUP($A286,'The List'!$B1:$AH730,31,FALSE)-AVERAGE('The List'!AF2:AF730))/STDEV('The List'!AF2:AF730)</f>
        <v>2.2120877679298436</v>
      </c>
      <c r="T286" s="38">
        <f>(VLOOKUP($A286,'The List'!$B1:$AH730,32,FALSE)-AVERAGE('The List'!AG2:AG730))/STDEV('The List'!AG2:AG730)</f>
        <v>2.7295729445933197</v>
      </c>
      <c r="U286" s="38">
        <f>(VLOOKUP($A286,'The List'!$B1:$AH730,33,FALSE)-AVERAGE('The List'!AH2:AH730))/STDEV('The List'!AH2:AH730)</f>
        <v>0.86954528522650154</v>
      </c>
      <c r="V286" s="38"/>
      <c r="W286" s="42"/>
      <c r="X286" s="40"/>
      <c r="Y286" s="40"/>
      <c r="Z286" s="40"/>
      <c r="AA286" s="40"/>
      <c r="AB286" s="40"/>
      <c r="AC286" s="43"/>
      <c r="AD286" s="44"/>
      <c r="AE286" s="38"/>
    </row>
    <row r="287" spans="1:31" ht="21.2" customHeight="1">
      <c r="A287" s="8" t="s">
        <v>611</v>
      </c>
      <c r="B287" s="34" t="str">
        <f>VLOOKUP(A287,'Player Data'!A1:B734,2,FALSE)</f>
        <v>VGK</v>
      </c>
      <c r="C287" s="36">
        <f>((E287)*Settings!$C$12)+(F287*Settings!$C$2)+(G287*Settings!$C$3)+(H287*Settings!$C$4)+(I287*Settings!$C$5)+(K287*Settings!$C$9)+(N287*Settings!$C$6)+(J287*Settings!$C$8)+(O287*Settings!$C$7)+(P287*Settings!$C$14)+(Q287*Settings!$C$15)+(R287*Settings!$C$16)+(S287*Settings!$C$17)+(T287*Settings!$C$18)+(U287*Settings!$C$19)+(L287*Settings!$C$10)+(Settings!$C$11*M287)</f>
        <v>-0.64180324027126878</v>
      </c>
      <c r="D287" s="40">
        <f>IF(Settings!$E$12="YES",VLOOKUP(A287,'Player Data'!A1:E734,5,FALSE),82)</f>
        <v>82</v>
      </c>
      <c r="E287" s="38">
        <f>(VLOOKUP($A287,'The List'!$B1:$AH730,17,FALSE)-AVERAGE('The List'!R2:R730))/STDEV('The List'!R2:R730)</f>
        <v>-0.80516734117394506</v>
      </c>
      <c r="F287" s="38">
        <f>(VLOOKUP($A287,'The List'!$B1:$AH730,18,FALSE)-AVERAGE('The List'!S2:S730))/STDEV('The List'!S2:S730)</f>
        <v>0.56241212923504647</v>
      </c>
      <c r="G287" s="38">
        <f>(VLOOKUP($A287,'The List'!$B1:$AH730,19,FALSE)-AVERAGE('The List'!T2:T730))/STDEV('The List'!T2:T730)</f>
        <v>-0.6383394431819579</v>
      </c>
      <c r="H287" s="38">
        <f>(VLOOKUP($A287,'The List'!$B1:$AH730,20,FALSE)-AVERAGE('The List'!U2:U730))/STDEV('The List'!U2:U730)</f>
        <v>-0.13083441343956331</v>
      </c>
      <c r="I287" s="38">
        <f>(VLOOKUP($A287,'The List'!$B1:$AH730,21,FALSE)-AVERAGE('The List'!V2:V730))/STDEV('The List'!V2:V730)</f>
        <v>1.2055805384197161E-2</v>
      </c>
      <c r="J287" s="38">
        <f>(VLOOKUP($A287,'The List'!$B1:$AH730,22,FALSE)-AVERAGE('The List'!W2:W730))/STDEV('The List'!W2:W730)</f>
        <v>-0.19633257251422859</v>
      </c>
      <c r="K287" s="38">
        <f>(VLOOKUP($A287,'The List'!$B1:$AH730,23,FALSE)-AVERAGE('The List'!X2:X730))/STDEV('The List'!X2:X730)</f>
        <v>-0.44709731826899124</v>
      </c>
      <c r="L287" s="38">
        <f>(VLOOKUP($A287,'The List'!$B1:$AH730,24,FALSE)-AVERAGE('The List'!Y2:Y730))/STDEV('The List'!Y2:Y730)</f>
        <v>-0.52315811086595299</v>
      </c>
      <c r="M287" s="38">
        <f>(VLOOKUP($A287,'The List'!$B1:$AH730,25,FALSE)-AVERAGE('The List'!Z2:Z730))/STDEV('The List'!Z2:Z730)</f>
        <v>-0.70133534874524039</v>
      </c>
      <c r="N287" s="38">
        <f>(VLOOKUP($A287,'The List'!$B1:$AH730,26,FALSE)-AVERAGE('The List'!AA2:AA730))/STDEV('The List'!AA2:AA730)</f>
        <v>-0.64223750927279377</v>
      </c>
      <c r="O287" s="38">
        <f>(VLOOKUP($A287,'The List'!$B1:$AH730,27,FALSE)-AVERAGE('The List'!AB2:AB730))/STDEV('The List'!AB2:AB730)</f>
        <v>-1.0187922269524807</v>
      </c>
      <c r="P287" s="38">
        <f>(VLOOKUP($A287,'The List'!$B1:$AH730,28,FALSE)-AVERAGE('The List'!AC2:AC730))/STDEV('The List'!AC2:AC730)</f>
        <v>1.0992097688456557</v>
      </c>
      <c r="Q287" s="38">
        <f>(VLOOKUP($A287,'The List'!$B1:$AH730,29,FALSE)-AVERAGE('The List'!AD2:AD730))/STDEV('The List'!AD2:AD730)</f>
        <v>-0.36835894094904392</v>
      </c>
      <c r="R287" s="38">
        <f>(VLOOKUP($A287,'The List'!$B1:$AH730,30,FALSE)-AVERAGE('The List'!AE2:AE730))/STDEV('The List'!AE2:AE730)</f>
        <v>0.80498202020729814</v>
      </c>
      <c r="S287" s="38">
        <f>(VLOOKUP($A287,'The List'!$B1:$AH730,31,FALSE)-AVERAGE('The List'!AF2:AF730))/STDEV('The List'!AF2:AF730)</f>
        <v>-0.56911587195029545</v>
      </c>
      <c r="T287" s="38">
        <f>(VLOOKUP($A287,'The List'!$B1:$AH730,32,FALSE)-AVERAGE('The List'!AG2:AG730))/STDEV('The List'!AG2:AG730)</f>
        <v>-0.59403369894946711</v>
      </c>
      <c r="U287" s="38">
        <f>(VLOOKUP($A287,'The List'!$B1:$AH730,33,FALSE)-AVERAGE('The List'!AH2:AH730))/STDEV('The List'!AH2:AH730)</f>
        <v>-1.2363238714825984</v>
      </c>
      <c r="V287" s="38"/>
      <c r="W287" s="42"/>
      <c r="X287" s="40"/>
      <c r="Y287" s="40"/>
      <c r="Z287" s="40"/>
      <c r="AA287" s="40"/>
      <c r="AB287" s="40"/>
      <c r="AC287" s="43"/>
      <c r="AD287" s="44"/>
      <c r="AE287" s="38"/>
    </row>
    <row r="288" spans="1:31" ht="21.2" customHeight="1">
      <c r="A288" s="8" t="s">
        <v>750</v>
      </c>
      <c r="B288" s="34" t="str">
        <f>VLOOKUP(A288,'Player Data'!A1:B734,2,FALSE)</f>
        <v>CGY</v>
      </c>
      <c r="C288" s="36">
        <f>((E288)*Settings!$C$12)+(F288*Settings!$C$2)+(G288*Settings!$C$3)+(H288*Settings!$C$4)+(I288*Settings!$C$5)+(K288*Settings!$C$9)+(N288*Settings!$C$6)+(J288*Settings!$C$8)+(O288*Settings!$C$7)+(P288*Settings!$C$14)+(Q288*Settings!$C$15)+(R288*Settings!$C$16)+(S288*Settings!$C$17)+(T288*Settings!$C$18)+(U288*Settings!$C$19)+(L288*Settings!$C$10)+(Settings!$C$11*M288)</f>
        <v>-0.4382943085740027</v>
      </c>
      <c r="D288" s="40">
        <f>IF(Settings!$E$12="YES",VLOOKUP(A288,'Player Data'!A1:E734,5,FALSE),82)</f>
        <v>82</v>
      </c>
      <c r="E288" s="38">
        <f>(VLOOKUP($A288,'The List'!$B1:$AH730,17,FALSE)-AVERAGE('The List'!R2:R730))/STDEV('The List'!R2:R730)</f>
        <v>-0.51429212400458546</v>
      </c>
      <c r="F288" s="38">
        <f>(VLOOKUP($A288,'The List'!$B1:$AH730,18,FALSE)-AVERAGE('The List'!S2:S730))/STDEV('The List'!S2:S730)</f>
        <v>7.4509578961624634E-2</v>
      </c>
      <c r="G288" s="38">
        <f>(VLOOKUP($A288,'The List'!$B1:$AH730,19,FALSE)-AVERAGE('The List'!T2:T730))/STDEV('The List'!T2:T730)</f>
        <v>-0.27232751752881262</v>
      </c>
      <c r="H288" s="38">
        <f>(VLOOKUP($A288,'The List'!$B1:$AH730,20,FALSE)-AVERAGE('The List'!U2:U730))/STDEV('The List'!U2:U730)</f>
        <v>-0.13271847126123457</v>
      </c>
      <c r="I288" s="38">
        <f>(VLOOKUP($A288,'The List'!$B1:$AH730,21,FALSE)-AVERAGE('The List'!V2:V730))/STDEV('The List'!V2:V730)</f>
        <v>-6.7842416807328873E-2</v>
      </c>
      <c r="J288" s="38">
        <f>(VLOOKUP($A288,'The List'!$B1:$AH730,22,FALSE)-AVERAGE('The List'!W2:W730))/STDEV('The List'!W2:W730)</f>
        <v>0.41311710979064709</v>
      </c>
      <c r="K288" s="38">
        <f>(VLOOKUP($A288,'The List'!$B1:$AH730,23,FALSE)-AVERAGE('The List'!X2:X730))/STDEV('The List'!X2:X730)</f>
        <v>-3.9915481938251243E-2</v>
      </c>
      <c r="L288" s="38">
        <f>(VLOOKUP($A288,'The List'!$B1:$AH730,24,FALSE)-AVERAGE('The List'!Y2:Y730))/STDEV('The List'!Y2:Y730)</f>
        <v>-0.5053845739586893</v>
      </c>
      <c r="M288" s="38">
        <f>(VLOOKUP($A288,'The List'!$B1:$AH730,25,FALSE)-AVERAGE('The List'!Z2:Z730))/STDEV('The List'!Z2:Z730)</f>
        <v>-0.68044865007877953</v>
      </c>
      <c r="N288" s="38">
        <f>(VLOOKUP($A288,'The List'!$B1:$AH730,26,FALSE)-AVERAGE('The List'!AA2:AA730))/STDEV('The List'!AA2:AA730)</f>
        <v>-0.54279270684163572</v>
      </c>
      <c r="O288" s="38">
        <f>(VLOOKUP($A288,'The List'!$B1:$AH730,27,FALSE)-AVERAGE('The List'!AB2:AB730))/STDEV('The List'!AB2:AB730)</f>
        <v>-0.47481821818569481</v>
      </c>
      <c r="P288" s="38">
        <f>(VLOOKUP($A288,'The List'!$B1:$AH730,28,FALSE)-AVERAGE('The List'!AC2:AC730))/STDEV('The List'!AC2:AC730)</f>
        <v>0.30169683678295733</v>
      </c>
      <c r="Q288" s="38">
        <f>(VLOOKUP($A288,'The List'!$B1:$AH730,29,FALSE)-AVERAGE('The List'!AD2:AD730))/STDEV('The List'!AD2:AD730)</f>
        <v>-0.86915591969875761</v>
      </c>
      <c r="R288" s="38">
        <f>(VLOOKUP($A288,'The List'!$B1:$AH730,30,FALSE)-AVERAGE('The List'!AE2:AE730))/STDEV('The List'!AE2:AE730)</f>
        <v>0.32025568655811687</v>
      </c>
      <c r="S288" s="38">
        <f>(VLOOKUP($A288,'The List'!$B1:$AH730,31,FALSE)-AVERAGE('The List'!AF2:AF730))/STDEV('The List'!AF2:AF730)</f>
        <v>-0.53617907138751786</v>
      </c>
      <c r="T288" s="38">
        <f>(VLOOKUP($A288,'The List'!$B1:$AH730,32,FALSE)-AVERAGE('The List'!AG2:AG730))/STDEV('The List'!AG2:AG730)</f>
        <v>-0.51128810093244836</v>
      </c>
      <c r="U288" s="38">
        <f>(VLOOKUP($A288,'The List'!$B1:$AH730,33,FALSE)-AVERAGE('The List'!AH2:AH730))/STDEV('The List'!AH2:AH730)</f>
        <v>-0.10723742974884209</v>
      </c>
      <c r="V288" s="38"/>
      <c r="W288" s="42"/>
      <c r="X288" s="40"/>
      <c r="Y288" s="40"/>
      <c r="Z288" s="40"/>
      <c r="AA288" s="40"/>
      <c r="AB288" s="40"/>
      <c r="AC288" s="43"/>
      <c r="AD288" s="44"/>
      <c r="AE288" s="38"/>
    </row>
    <row r="289" spans="1:31" ht="21.2" customHeight="1">
      <c r="A289" s="8" t="s">
        <v>548</v>
      </c>
      <c r="B289" s="34" t="str">
        <f>VLOOKUP(A289,'Player Data'!A1:B734,2,FALSE)</f>
        <v>SJS</v>
      </c>
      <c r="C289" s="36">
        <f>((E289)*Settings!$C$12)+(F289*Settings!$C$2)+(G289*Settings!$C$3)+(H289*Settings!$C$4)+(I289*Settings!$C$5)+(K289*Settings!$C$9)+(N289*Settings!$C$6)+(J289*Settings!$C$8)+(O289*Settings!$C$7)+(P289*Settings!$C$14)+(Q289*Settings!$C$15)+(R289*Settings!$C$16)+(S289*Settings!$C$17)+(T289*Settings!$C$18)+(U289*Settings!$C$19)+(L289*Settings!$C$10)+(Settings!$C$11*M289)</f>
        <v>-0.70583714055063551</v>
      </c>
      <c r="D289" s="40">
        <f>IF(Settings!$E$12="YES",VLOOKUP(A289,'Player Data'!A1:E734,5,FALSE),82)</f>
        <v>82</v>
      </c>
      <c r="E289" s="38">
        <f>(VLOOKUP($A289,'The List'!$B1:$AH730,17,FALSE)-AVERAGE('The List'!R2:R730))/STDEV('The List'!R2:R730)</f>
        <v>-0.58277672049579976</v>
      </c>
      <c r="F289" s="38">
        <f>(VLOOKUP($A289,'The List'!$B1:$AH730,18,FALSE)-AVERAGE('The List'!S2:S730))/STDEV('The List'!S2:S730)</f>
        <v>0.14555804599238112</v>
      </c>
      <c r="G289" s="38">
        <f>(VLOOKUP($A289,'The List'!$B1:$AH730,19,FALSE)-AVERAGE('The List'!T2:T730))/STDEV('The List'!T2:T730)</f>
        <v>-0.32615173742388026</v>
      </c>
      <c r="H289" s="38">
        <f>(VLOOKUP($A289,'The List'!$B1:$AH730,20,FALSE)-AVERAGE('The List'!U2:U730))/STDEV('The List'!U2:U730)</f>
        <v>-0.1327670486725763</v>
      </c>
      <c r="I289" s="38">
        <f>(VLOOKUP($A289,'The List'!$B1:$AH730,21,FALSE)-AVERAGE('The List'!V2:V730))/STDEV('The List'!V2:V730)</f>
        <v>-5.1006848014980122E-2</v>
      </c>
      <c r="J289" s="38">
        <f>(VLOOKUP($A289,'The List'!$B1:$AH730,22,FALSE)-AVERAGE('The List'!W2:W730))/STDEV('The List'!W2:W730)</f>
        <v>-0.22259448057341349</v>
      </c>
      <c r="K289" s="38">
        <f>(VLOOKUP($A289,'The List'!$B1:$AH730,23,FALSE)-AVERAGE('The List'!X2:X730))/STDEV('The List'!X2:X730)</f>
        <v>-0.34146955243157995</v>
      </c>
      <c r="L289" s="38">
        <f>(VLOOKUP($A289,'The List'!$B1:$AH730,24,FALSE)-AVERAGE('The List'!Y2:Y730))/STDEV('The List'!Y2:Y730)</f>
        <v>-0.52418418523251975</v>
      </c>
      <c r="M289" s="38">
        <f>(VLOOKUP($A289,'The List'!$B1:$AH730,25,FALSE)-AVERAGE('The List'!Z2:Z730))/STDEV('The List'!Z2:Z730)</f>
        <v>-0.70265148535095934</v>
      </c>
      <c r="N289" s="38">
        <f>(VLOOKUP($A289,'The List'!$B1:$AH730,26,FALSE)-AVERAGE('The List'!AA2:AA730))/STDEV('The List'!AA2:AA730)</f>
        <v>-0.82794031901678744</v>
      </c>
      <c r="O289" s="38">
        <f>(VLOOKUP($A289,'The List'!$B1:$AH730,27,FALSE)-AVERAGE('The List'!AB2:AB730))/STDEV('The List'!AB2:AB730)</f>
        <v>-0.32976800258246108</v>
      </c>
      <c r="P289" s="38">
        <f>(VLOOKUP($A289,'The List'!$B1:$AH730,28,FALSE)-AVERAGE('The List'!AC2:AC730))/STDEV('The List'!AC2:AC730)</f>
        <v>4.3277054703999965E-2</v>
      </c>
      <c r="Q289" s="38">
        <f>(VLOOKUP($A289,'The List'!$B1:$AH730,29,FALSE)-AVERAGE('The List'!AD2:AD730))/STDEV('The List'!AD2:AD730)</f>
        <v>0.14983204140397588</v>
      </c>
      <c r="R289" s="38">
        <f>(VLOOKUP($A289,'The List'!$B1:$AH730,30,FALSE)-AVERAGE('The List'!AE2:AE730))/STDEV('The List'!AE2:AE730)</f>
        <v>-2.6249669292195327E-2</v>
      </c>
      <c r="S289" s="38">
        <f>(VLOOKUP($A289,'The List'!$B1:$AH730,31,FALSE)-AVERAGE('The List'!AF2:AF730))/STDEV('The List'!AF2:AF730)</f>
        <v>-0.55605814403418563</v>
      </c>
      <c r="T289" s="38">
        <f>(VLOOKUP($A289,'The List'!$B1:$AH730,32,FALSE)-AVERAGE('The List'!AG2:AG730))/STDEV('The List'!AG2:AG730)</f>
        <v>-0.59063655817848271</v>
      </c>
      <c r="U289" s="38">
        <f>(VLOOKUP($A289,'The List'!$B1:$AH730,33,FALSE)-AVERAGE('The List'!AH2:AH730))/STDEV('The List'!AH2:AH730)</f>
        <v>0.38634115404596714</v>
      </c>
      <c r="V289" s="38"/>
      <c r="W289" s="42"/>
      <c r="X289" s="40"/>
      <c r="Y289" s="40"/>
      <c r="Z289" s="40"/>
      <c r="AA289" s="40"/>
      <c r="AB289" s="40"/>
      <c r="AC289" s="43"/>
      <c r="AD289" s="44"/>
      <c r="AE289" s="38"/>
    </row>
    <row r="290" spans="1:31" ht="21.2" customHeight="1">
      <c r="A290" s="8" t="s">
        <v>524</v>
      </c>
      <c r="B290" s="34" t="str">
        <f>VLOOKUP(A290,'Player Data'!A1:B734,2,FALSE)</f>
        <v>NJD</v>
      </c>
      <c r="C290" s="36">
        <f>((E290)*Settings!$C$12)+(F290*Settings!$C$2)+(G290*Settings!$C$3)+(H290*Settings!$C$4)+(I290*Settings!$C$5)+(K290*Settings!$C$9)+(N290*Settings!$C$6)+(J290*Settings!$C$8)+(O290*Settings!$C$7)+(P290*Settings!$C$14)+(Q290*Settings!$C$15)+(R290*Settings!$C$16)+(S290*Settings!$C$17)+(T290*Settings!$C$18)+(U290*Settings!$C$19)+(L290*Settings!$C$10)+(Settings!$C$11*M290)</f>
        <v>-1.019823560471314</v>
      </c>
      <c r="D290" s="40">
        <f>IF(Settings!$E$12="YES",VLOOKUP(A290,'Player Data'!A1:E734,5,FALSE),82)</f>
        <v>82</v>
      </c>
      <c r="E290" s="38">
        <f>(VLOOKUP($A290,'The List'!$B1:$AH730,17,FALSE)-AVERAGE('The List'!R2:R730))/STDEV('The List'!R2:R730)</f>
        <v>-0.34251049704016406</v>
      </c>
      <c r="F290" s="38">
        <f>(VLOOKUP($A290,'The List'!$B1:$AH730,18,FALSE)-AVERAGE('The List'!S2:S730))/STDEV('The List'!S2:S730)</f>
        <v>-7.7113614968288974E-2</v>
      </c>
      <c r="G290" s="38">
        <f>(VLOOKUP($A290,'The List'!$B1:$AH730,19,FALSE)-AVERAGE('The List'!T2:T730))/STDEV('The List'!T2:T730)</f>
        <v>-0.16084317365049478</v>
      </c>
      <c r="H290" s="38">
        <f>(VLOOKUP($A290,'The List'!$B1:$AH730,20,FALSE)-AVERAGE('The List'!U2:U730))/STDEV('The List'!U2:U730)</f>
        <v>-0.13469250469351413</v>
      </c>
      <c r="I290" s="38">
        <f>(VLOOKUP($A290,'The List'!$B1:$AH730,21,FALSE)-AVERAGE('The List'!V2:V730))/STDEV('The List'!V2:V730)</f>
        <v>-4.1147831273869354E-2</v>
      </c>
      <c r="J290" s="38">
        <f>(VLOOKUP($A290,'The List'!$B1:$AH730,22,FALSE)-AVERAGE('The List'!W2:W730))/STDEV('The List'!W2:W730)</f>
        <v>-0.53904718117765871</v>
      </c>
      <c r="K290" s="38">
        <f>(VLOOKUP($A290,'The List'!$B1:$AH730,23,FALSE)-AVERAGE('The List'!X2:X730))/STDEV('The List'!X2:X730)</f>
        <v>-0.6060264358851466</v>
      </c>
      <c r="L290" s="38">
        <f>(VLOOKUP($A290,'The List'!$B1:$AH730,24,FALSE)-AVERAGE('The List'!Y2:Y730))/STDEV('The List'!Y2:Y730)</f>
        <v>2.3767055548995004</v>
      </c>
      <c r="M290" s="38">
        <f>(VLOOKUP($A290,'The List'!$B1:$AH730,25,FALSE)-AVERAGE('The List'!Z2:Z730))/STDEV('The List'!Z2:Z730)</f>
        <v>1.6554447323977317</v>
      </c>
      <c r="N290" s="38">
        <f>(VLOOKUP($A290,'The List'!$B1:$AH730,26,FALSE)-AVERAGE('The List'!AA2:AA730))/STDEV('The List'!AA2:AA730)</f>
        <v>-0.41415919384280514</v>
      </c>
      <c r="O290" s="38">
        <f>(VLOOKUP($A290,'The List'!$B1:$AH730,27,FALSE)-AVERAGE('The List'!AB2:AB730))/STDEV('The List'!AB2:AB730)</f>
        <v>-5.4254821227993473E-2</v>
      </c>
      <c r="P290" s="38">
        <f>(VLOOKUP($A290,'The List'!$B1:$AH730,28,FALSE)-AVERAGE('The List'!AC2:AC730))/STDEV('The List'!AC2:AC730)</f>
        <v>0.12012499901601958</v>
      </c>
      <c r="Q290" s="38">
        <f>(VLOOKUP($A290,'The List'!$B1:$AH730,29,FALSE)-AVERAGE('The List'!AD2:AD730))/STDEV('The List'!AD2:AD730)</f>
        <v>0.3700135959770276</v>
      </c>
      <c r="R290" s="38">
        <f>(VLOOKUP($A290,'The List'!$B1:$AH730,30,FALSE)-AVERAGE('The List'!AE2:AE730))/STDEV('The List'!AE2:AE730)</f>
        <v>-1.4136304733717521E-2</v>
      </c>
      <c r="S290" s="38">
        <f>(VLOOKUP($A290,'The List'!$B1:$AH730,31,FALSE)-AVERAGE('The List'!AF2:AF730))/STDEV('The List'!AF2:AF730)</f>
        <v>1.84717535346694</v>
      </c>
      <c r="T290" s="38">
        <f>(VLOOKUP($A290,'The List'!$B1:$AH730,32,FALSE)-AVERAGE('The List'!AG2:AG730))/STDEV('The List'!AG2:AG730)</f>
        <v>1.5251781137129017</v>
      </c>
      <c r="U290" s="38">
        <f>(VLOOKUP($A290,'The List'!$B1:$AH730,33,FALSE)-AVERAGE('The List'!AH2:AH730))/STDEV('The List'!AH2:AH730)</f>
        <v>1.2141025622958863</v>
      </c>
      <c r="V290" s="38"/>
      <c r="W290" s="42"/>
      <c r="X290" s="40"/>
      <c r="Y290" s="40"/>
      <c r="Z290" s="40"/>
      <c r="AA290" s="40"/>
      <c r="AB290" s="40"/>
      <c r="AC290" s="43"/>
      <c r="AD290" s="44"/>
      <c r="AE290" s="38"/>
    </row>
    <row r="291" spans="1:31" ht="21.2" customHeight="1">
      <c r="A291" s="8" t="s">
        <v>531</v>
      </c>
      <c r="B291" s="34" t="str">
        <f>VLOOKUP(A291,'Player Data'!A1:B734,2,FALSE)</f>
        <v>BUF</v>
      </c>
      <c r="C291" s="36">
        <f>((E291)*Settings!$C$12)+(F291*Settings!$C$2)+(G291*Settings!$C$3)+(H291*Settings!$C$4)+(I291*Settings!$C$5)+(K291*Settings!$C$9)+(N291*Settings!$C$6)+(J291*Settings!$C$8)+(O291*Settings!$C$7)+(P291*Settings!$C$14)+(Q291*Settings!$C$15)+(R291*Settings!$C$16)+(S291*Settings!$C$17)+(T291*Settings!$C$18)+(U291*Settings!$C$19)+(L291*Settings!$C$10)+(Settings!$C$11*M291)</f>
        <v>-0.81107950820774932</v>
      </c>
      <c r="D291" s="40">
        <f>IF(Settings!$E$12="YES",VLOOKUP(A291,'Player Data'!A1:E734,5,FALSE),82)</f>
        <v>82</v>
      </c>
      <c r="E291" s="38">
        <f>(VLOOKUP($A291,'The List'!$B1:$AH730,17,FALSE)-AVERAGE('The List'!R2:R730))/STDEV('The List'!R2:R730)</f>
        <v>-0.79546858100375617</v>
      </c>
      <c r="F291" s="38">
        <f>(VLOOKUP($A291,'The List'!$B1:$AH730,18,FALSE)-AVERAGE('The List'!S2:S730))/STDEV('The List'!S2:S730)</f>
        <v>-3.3051249463250588E-2</v>
      </c>
      <c r="G291" s="38">
        <f>(VLOOKUP($A291,'The List'!$B1:$AH730,19,FALSE)-AVERAGE('The List'!T2:T730))/STDEV('The List'!T2:T730)</f>
        <v>-0.19624295783888598</v>
      </c>
      <c r="H291" s="38">
        <f>(VLOOKUP($A291,'The List'!$B1:$AH730,20,FALSE)-AVERAGE('The List'!U2:U730))/STDEV('The List'!U2:U730)</f>
        <v>-0.13596365498889015</v>
      </c>
      <c r="I291" s="38">
        <f>(VLOOKUP($A291,'The List'!$B1:$AH730,21,FALSE)-AVERAGE('The List'!V2:V730))/STDEV('The List'!V2:V730)</f>
        <v>-0.14483168581296424</v>
      </c>
      <c r="J291" s="38">
        <f>(VLOOKUP($A291,'The List'!$B1:$AH730,22,FALSE)-AVERAGE('The List'!W2:W730))/STDEV('The List'!W2:W730)</f>
        <v>-0.16794424378702918</v>
      </c>
      <c r="K291" s="38">
        <f>(VLOOKUP($A291,'The List'!$B1:$AH730,23,FALSE)-AVERAGE('The List'!X2:X730))/STDEV('The List'!X2:X730)</f>
        <v>-0.30098996010375834</v>
      </c>
      <c r="L291" s="38">
        <f>(VLOOKUP($A291,'The List'!$B1:$AH730,24,FALSE)-AVERAGE('The List'!Y2:Y730))/STDEV('The List'!Y2:Y730)</f>
        <v>-0.45041147416138866</v>
      </c>
      <c r="M291" s="38">
        <f>(VLOOKUP($A291,'The List'!$B1:$AH730,25,FALSE)-AVERAGE('The List'!Z2:Z730))/STDEV('The List'!Z2:Z730)</f>
        <v>-0.60964721279595357</v>
      </c>
      <c r="N291" s="38">
        <f>(VLOOKUP($A291,'The List'!$B1:$AH730,26,FALSE)-AVERAGE('The List'!AA2:AA730))/STDEV('The List'!AA2:AA730)</f>
        <v>-1.1849104094515457</v>
      </c>
      <c r="O291" s="38">
        <f>(VLOOKUP($A291,'The List'!$B1:$AH730,27,FALSE)-AVERAGE('The List'!AB2:AB730))/STDEV('The List'!AB2:AB730)</f>
        <v>-1.3459202729302564</v>
      </c>
      <c r="P291" s="38">
        <f>(VLOOKUP($A291,'The List'!$B1:$AH730,28,FALSE)-AVERAGE('The List'!AC2:AC730))/STDEV('The List'!AC2:AC730)</f>
        <v>-0.74093026632276304</v>
      </c>
      <c r="Q291" s="38">
        <f>(VLOOKUP($A291,'The List'!$B1:$AH730,29,FALSE)-AVERAGE('The List'!AD2:AD730))/STDEV('The List'!AD2:AD730)</f>
        <v>-0.48010386497887919</v>
      </c>
      <c r="R291" s="38">
        <f>(VLOOKUP($A291,'The List'!$B1:$AH730,30,FALSE)-AVERAGE('The List'!AE2:AE730))/STDEV('The List'!AE2:AE730)</f>
        <v>-0.13702437511460061</v>
      </c>
      <c r="S291" s="38">
        <f>(VLOOKUP($A291,'The List'!$B1:$AH730,31,FALSE)-AVERAGE('The List'!AF2:AF730))/STDEV('The List'!AF2:AF730)</f>
        <v>-0.54512104080362822</v>
      </c>
      <c r="T291" s="38">
        <f>(VLOOKUP($A291,'The List'!$B1:$AH730,32,FALSE)-AVERAGE('The List'!AG2:AG730))/STDEV('The List'!AG2:AG730)</f>
        <v>-0.59377835542698898</v>
      </c>
      <c r="U291" s="38">
        <f>(VLOOKUP($A291,'The List'!$B1:$AH730,33,FALSE)-AVERAGE('The List'!AH2:AH730))/STDEV('The List'!AH2:AH730)</f>
        <v>1.2104725966523688</v>
      </c>
      <c r="V291" s="38"/>
      <c r="W291" s="42"/>
      <c r="X291" s="40"/>
      <c r="Y291" s="40"/>
      <c r="Z291" s="40"/>
      <c r="AA291" s="40"/>
      <c r="AB291" s="40"/>
      <c r="AC291" s="43"/>
      <c r="AD291" s="44"/>
      <c r="AE291" s="38"/>
    </row>
    <row r="292" spans="1:31" ht="21.2" customHeight="1">
      <c r="A292" s="8" t="s">
        <v>535</v>
      </c>
      <c r="B292" s="34" t="str">
        <f>VLOOKUP(A292,'Player Data'!A1:B734,2,FALSE)</f>
        <v>MIN</v>
      </c>
      <c r="C292" s="36">
        <f>((E292)*Settings!$C$12)+(F292*Settings!$C$2)+(G292*Settings!$C$3)+(H292*Settings!$C$4)+(I292*Settings!$C$5)+(K292*Settings!$C$9)+(N292*Settings!$C$6)+(J292*Settings!$C$8)+(O292*Settings!$C$7)+(P292*Settings!$C$14)+(Q292*Settings!$C$15)+(R292*Settings!$C$16)+(S292*Settings!$C$17)+(T292*Settings!$C$18)+(U292*Settings!$C$19)+(L292*Settings!$C$10)+(Settings!$C$11*M292)</f>
        <v>-0.45957490357577924</v>
      </c>
      <c r="D292" s="40">
        <f>IF(Settings!$E$12="YES",VLOOKUP(A292,'Player Data'!A1:E734,5,FALSE),82)</f>
        <v>82</v>
      </c>
      <c r="E292" s="38">
        <f>(VLOOKUP($A292,'The List'!$B1:$AH730,17,FALSE)-AVERAGE('The List'!R2:R730))/STDEV('The List'!R2:R730)</f>
        <v>-7.7519923422572634E-2</v>
      </c>
      <c r="F292" s="38">
        <f>(VLOOKUP($A292,'The List'!$B1:$AH730,18,FALSE)-AVERAGE('The List'!S2:S730))/STDEV('The List'!S2:S730)</f>
        <v>-9.889542928544718E-3</v>
      </c>
      <c r="G292" s="38">
        <f>(VLOOKUP($A292,'The List'!$B1:$AH730,19,FALSE)-AVERAGE('The List'!T2:T730))/STDEV('The List'!T2:T730)</f>
        <v>-0.21562409481489606</v>
      </c>
      <c r="H292" s="38">
        <f>(VLOOKUP($A292,'The List'!$B1:$AH730,20,FALSE)-AVERAGE('The List'!U2:U730))/STDEV('The List'!U2:U730)</f>
        <v>-0.13710687112687636</v>
      </c>
      <c r="I292" s="38">
        <f>(VLOOKUP($A292,'The List'!$B1:$AH730,21,FALSE)-AVERAGE('The List'!V2:V730))/STDEV('The List'!V2:V730)</f>
        <v>-0.15820389823447342</v>
      </c>
      <c r="J292" s="38">
        <f>(VLOOKUP($A292,'The List'!$B1:$AH730,22,FALSE)-AVERAGE('The List'!W2:W730))/STDEV('The List'!W2:W730)</f>
        <v>-6.8118989466995947E-2</v>
      </c>
      <c r="K292" s="38">
        <f>(VLOOKUP($A292,'The List'!$B1:$AH730,23,FALSE)-AVERAGE('The List'!X2:X730))/STDEV('The List'!X2:X730)</f>
        <v>6.1249503529011373E-2</v>
      </c>
      <c r="L292" s="38">
        <f>(VLOOKUP($A292,'The List'!$B1:$AH730,24,FALSE)-AVERAGE('The List'!Y2:Y730))/STDEV('The List'!Y2:Y730)</f>
        <v>0.66387633536297841</v>
      </c>
      <c r="M292" s="38">
        <f>(VLOOKUP($A292,'The List'!$B1:$AH730,25,FALSE)-AVERAGE('The List'!Z2:Z730))/STDEV('The List'!Z2:Z730)</f>
        <v>4.6049972189949148E-2</v>
      </c>
      <c r="N292" s="38">
        <f>(VLOOKUP($A292,'The List'!$B1:$AH730,26,FALSE)-AVERAGE('The List'!AA2:AA730))/STDEV('The List'!AA2:AA730)</f>
        <v>-0.87293006163221676</v>
      </c>
      <c r="O292" s="38">
        <f>(VLOOKUP($A292,'The List'!$B1:$AH730,27,FALSE)-AVERAGE('The List'!AB2:AB730))/STDEV('The List'!AB2:AB730)</f>
        <v>-1.3130868271696294</v>
      </c>
      <c r="P292" s="38">
        <f>(VLOOKUP($A292,'The List'!$B1:$AH730,28,FALSE)-AVERAGE('The List'!AC2:AC730))/STDEV('The List'!AC2:AC730)</f>
        <v>0.44790710781584431</v>
      </c>
      <c r="Q292" s="38">
        <f>(VLOOKUP($A292,'The List'!$B1:$AH730,29,FALSE)-AVERAGE('The List'!AD2:AD730))/STDEV('The List'!AD2:AD730)</f>
        <v>-1.4912090600955175</v>
      </c>
      <c r="R292" s="38">
        <f>(VLOOKUP($A292,'The List'!$B1:$AH730,30,FALSE)-AVERAGE('The List'!AE2:AE730))/STDEV('The List'!AE2:AE730)</f>
        <v>0.17065012330879217</v>
      </c>
      <c r="S292" s="38">
        <f>(VLOOKUP($A292,'The List'!$B1:$AH730,31,FALSE)-AVERAGE('The List'!AF2:AF730))/STDEV('The List'!AF2:AF730)</f>
        <v>-0.42655283282090217</v>
      </c>
      <c r="T292" s="38">
        <f>(VLOOKUP($A292,'The List'!$B1:$AH730,32,FALSE)-AVERAGE('The List'!AG2:AG730))/STDEV('The List'!AG2:AG730)</f>
        <v>-0.41256331961473752</v>
      </c>
      <c r="U292" s="38">
        <f>(VLOOKUP($A292,'The List'!$B1:$AH730,33,FALSE)-AVERAGE('The List'!AH2:AH730))/STDEV('The List'!AH2:AH730)</f>
        <v>0.68370528755035431</v>
      </c>
      <c r="V292" s="38"/>
      <c r="W292" s="42"/>
      <c r="X292" s="40"/>
      <c r="Y292" s="40"/>
      <c r="Z292" s="40"/>
      <c r="AA292" s="40"/>
      <c r="AB292" s="40"/>
      <c r="AC292" s="43"/>
      <c r="AD292" s="44"/>
      <c r="AE292" s="38"/>
    </row>
    <row r="293" spans="1:31" ht="21.2" customHeight="1">
      <c r="A293" s="8" t="s">
        <v>568</v>
      </c>
      <c r="B293" s="34" t="str">
        <f>VLOOKUP(A293,'Player Data'!A1:B734,2,FALSE)</f>
        <v>FLA</v>
      </c>
      <c r="C293" s="36">
        <f>((E293)*Settings!$C$12)+(F293*Settings!$C$2)+(G293*Settings!$C$3)+(H293*Settings!$C$4)+(I293*Settings!$C$5)+(K293*Settings!$C$9)+(N293*Settings!$C$6)+(J293*Settings!$C$8)+(O293*Settings!$C$7)+(P293*Settings!$C$14)+(Q293*Settings!$C$15)+(R293*Settings!$C$16)+(S293*Settings!$C$17)+(T293*Settings!$C$18)+(U293*Settings!$C$19)+(L293*Settings!$C$10)+(Settings!$C$11*M293)</f>
        <v>-1.4557264403666692</v>
      </c>
      <c r="D293" s="40">
        <f>IF(Settings!$E$12="YES",VLOOKUP(A293,'Player Data'!A1:E734,5,FALSE),82)</f>
        <v>82</v>
      </c>
      <c r="E293" s="38">
        <f>(VLOOKUP($A293,'The List'!$B1:$AH730,17,FALSE)-AVERAGE('The List'!R2:R730))/STDEV('The List'!R2:R730)</f>
        <v>-0.4058373856724275</v>
      </c>
      <c r="F293" s="38">
        <f>(VLOOKUP($A293,'The List'!$B1:$AH730,18,FALSE)-AVERAGE('The List'!S2:S730))/STDEV('The List'!S2:S730)</f>
        <v>-4.8326852389271598E-2</v>
      </c>
      <c r="G293" s="38">
        <f>(VLOOKUP($A293,'The List'!$B1:$AH730,19,FALSE)-AVERAGE('The List'!T2:T730))/STDEV('The List'!T2:T730)</f>
        <v>-0.18795674680133193</v>
      </c>
      <c r="H293" s="38">
        <f>(VLOOKUP($A293,'The List'!$B1:$AH730,20,FALSE)-AVERAGE('The List'!U2:U730))/STDEV('The List'!U2:U730)</f>
        <v>-0.13797266964387458</v>
      </c>
      <c r="I293" s="38">
        <f>(VLOOKUP($A293,'The List'!$B1:$AH730,21,FALSE)-AVERAGE('The List'!V2:V730))/STDEV('The List'!V2:V730)</f>
        <v>-0.47092836872216903</v>
      </c>
      <c r="J293" s="38">
        <f>(VLOOKUP($A293,'The List'!$B1:$AH730,22,FALSE)-AVERAGE('The List'!W2:W730))/STDEV('The List'!W2:W730)</f>
        <v>-0.52587301800243358</v>
      </c>
      <c r="K293" s="38">
        <f>(VLOOKUP($A293,'The List'!$B1:$AH730,23,FALSE)-AVERAGE('The List'!X2:X730))/STDEV('The List'!X2:X730)</f>
        <v>-0.61054180281002191</v>
      </c>
      <c r="L293" s="38">
        <f>(VLOOKUP($A293,'The List'!$B1:$AH730,24,FALSE)-AVERAGE('The List'!Y2:Y730))/STDEV('The List'!Y2:Y730)</f>
        <v>0.7318073929514799</v>
      </c>
      <c r="M293" s="38">
        <f>(VLOOKUP($A293,'The List'!$B1:$AH730,25,FALSE)-AVERAGE('The List'!Z2:Z730))/STDEV('The List'!Z2:Z730)</f>
        <v>0.66988119913657596</v>
      </c>
      <c r="N293" s="38">
        <f>(VLOOKUP($A293,'The List'!$B1:$AH730,26,FALSE)-AVERAGE('The List'!AA2:AA730))/STDEV('The List'!AA2:AA730)</f>
        <v>-0.36025634158544551</v>
      </c>
      <c r="O293" s="38">
        <f>(VLOOKUP($A293,'The List'!$B1:$AH730,27,FALSE)-AVERAGE('The List'!AB2:AB730))/STDEV('The List'!AB2:AB730)</f>
        <v>-0.44040281446867813</v>
      </c>
      <c r="P293" s="38">
        <f>(VLOOKUP($A293,'The List'!$B1:$AH730,28,FALSE)-AVERAGE('The List'!AC2:AC730))/STDEV('The List'!AC2:AC730)</f>
        <v>0.98590475608653083</v>
      </c>
      <c r="Q293" s="38">
        <f>(VLOOKUP($A293,'The List'!$B1:$AH730,29,FALSE)-AVERAGE('The List'!AD2:AD730))/STDEV('The List'!AD2:AD730)</f>
        <v>-0.69986497415389826</v>
      </c>
      <c r="R293" s="38">
        <f>(VLOOKUP($A293,'The List'!$B1:$AH730,30,FALSE)-AVERAGE('The List'!AE2:AE730))/STDEV('The List'!AE2:AE730)</f>
        <v>-1.6928272474305686E-2</v>
      </c>
      <c r="S293" s="38">
        <f>(VLOOKUP($A293,'The List'!$B1:$AH730,31,FALSE)-AVERAGE('The List'!AF2:AF730))/STDEV('The List'!AF2:AF730)</f>
        <v>0.41021686913705824</v>
      </c>
      <c r="T293" s="38">
        <f>(VLOOKUP($A293,'The List'!$B1:$AH730,32,FALSE)-AVERAGE('The List'!AG2:AG730))/STDEV('The List'!AG2:AG730)</f>
        <v>0.80245159387164811</v>
      </c>
      <c r="U293" s="38">
        <f>(VLOOKUP($A293,'The List'!$B1:$AH730,33,FALSE)-AVERAGE('The List'!AH2:AH730))/STDEV('The List'!AH2:AH730)</f>
        <v>0.6631237888194349</v>
      </c>
      <c r="V293" s="38"/>
      <c r="W293" s="42"/>
      <c r="X293" s="40"/>
      <c r="Y293" s="40"/>
      <c r="Z293" s="40"/>
      <c r="AA293" s="40"/>
      <c r="AB293" s="40"/>
      <c r="AC293" s="43"/>
      <c r="AD293" s="44"/>
      <c r="AE293" s="38"/>
    </row>
    <row r="294" spans="1:31" ht="21.2" customHeight="1">
      <c r="A294" s="8" t="s">
        <v>289</v>
      </c>
      <c r="B294" s="34" t="str">
        <f>VLOOKUP(A294,'Player Data'!A1:B734,2,FALSE)</f>
        <v>CBJ</v>
      </c>
      <c r="C294" s="36">
        <f>((E294)*Settings!$C$12)+(F294*Settings!$C$2)+(G294*Settings!$C$3)+(H294*Settings!$C$4)+(I294*Settings!$C$5)+(K294*Settings!$C$9)+(N294*Settings!$C$6)+(J294*Settings!$C$8)+(O294*Settings!$C$7)+(P294*Settings!$C$14)+(Q294*Settings!$C$15)+(R294*Settings!$C$16)+(S294*Settings!$C$17)+(T294*Settings!$C$18)+(U294*Settings!$C$19)+(L294*Settings!$C$10)+(Settings!$C$11*M294)</f>
        <v>-0.95954048303692707</v>
      </c>
      <c r="D294" s="40">
        <f>IF(Settings!$E$12="YES",VLOOKUP(A294,'Player Data'!A1:E734,5,FALSE),82)</f>
        <v>82</v>
      </c>
      <c r="E294" s="38">
        <f>(VLOOKUP($A294,'The List'!$B1:$AH730,17,FALSE)-AVERAGE('The List'!R2:R730))/STDEV('The List'!R2:R730)</f>
        <v>1.2010364477358988</v>
      </c>
      <c r="F294" s="38">
        <f>(VLOOKUP($A294,'The List'!$B1:$AH730,18,FALSE)-AVERAGE('The List'!S2:S730))/STDEV('The List'!S2:S730)</f>
        <v>-0.64447288472547715</v>
      </c>
      <c r="G294" s="38">
        <f>(VLOOKUP($A294,'The List'!$B1:$AH730,19,FALSE)-AVERAGE('The List'!T2:T730))/STDEV('The List'!T2:T730)</f>
        <v>0.26004031856376081</v>
      </c>
      <c r="H294" s="38">
        <f>(VLOOKUP($A294,'The List'!$B1:$AH730,20,FALSE)-AVERAGE('The List'!U2:U730))/STDEV('The List'!U2:U730)</f>
        <v>-0.13979311998664212</v>
      </c>
      <c r="I294" s="38">
        <f>(VLOOKUP($A294,'The List'!$B1:$AH730,21,FALSE)-AVERAGE('The List'!V2:V730))/STDEV('The List'!V2:V730)</f>
        <v>-0.31894525140910462</v>
      </c>
      <c r="J294" s="38">
        <f>(VLOOKUP($A294,'The List'!$B1:$AH730,22,FALSE)-AVERAGE('The List'!W2:W730))/STDEV('The List'!W2:W730)</f>
        <v>-0.28293150620232138</v>
      </c>
      <c r="K294" s="38">
        <f>(VLOOKUP($A294,'The List'!$B1:$AH730,23,FALSE)-AVERAGE('The List'!X2:X730))/STDEV('The List'!X2:X730)</f>
        <v>-0.11636954547946389</v>
      </c>
      <c r="L294" s="38">
        <f>(VLOOKUP($A294,'The List'!$B1:$AH730,24,FALSE)-AVERAGE('The List'!Y2:Y730))/STDEV('The List'!Y2:Y730)</f>
        <v>-7.2150295848605495E-2</v>
      </c>
      <c r="M294" s="38">
        <f>(VLOOKUP($A294,'The List'!$B1:$AH730,25,FALSE)-AVERAGE('The List'!Z2:Z730))/STDEV('The List'!Z2:Z730)</f>
        <v>-0.13330728663928981</v>
      </c>
      <c r="N294" s="38">
        <f>(VLOOKUP($A294,'The List'!$B1:$AH730,26,FALSE)-AVERAGE('The List'!AA2:AA730))/STDEV('The List'!AA2:AA730)</f>
        <v>1.0759865568873492</v>
      </c>
      <c r="O294" s="38">
        <f>(VLOOKUP($A294,'The List'!$B1:$AH730,27,FALSE)-AVERAGE('The List'!AB2:AB730))/STDEV('The List'!AB2:AB730)</f>
        <v>-0.70522617268945009</v>
      </c>
      <c r="P294" s="38">
        <f>(VLOOKUP($A294,'The List'!$B1:$AH730,28,FALSE)-AVERAGE('The List'!AC2:AC730))/STDEV('The List'!AC2:AC730)</f>
        <v>-0.70220160223066941</v>
      </c>
      <c r="Q294" s="38">
        <f>(VLOOKUP($A294,'The List'!$B1:$AH730,29,FALSE)-AVERAGE('The List'!AD2:AD730))/STDEV('The List'!AD2:AD730)</f>
        <v>0.47781136397446289</v>
      </c>
      <c r="R294" s="38">
        <f>(VLOOKUP($A294,'The List'!$B1:$AH730,30,FALSE)-AVERAGE('The List'!AE2:AE730))/STDEV('The List'!AE2:AE730)</f>
        <v>-0.74532138901766465</v>
      </c>
      <c r="S294" s="38">
        <f>(VLOOKUP($A294,'The List'!$B1:$AH730,31,FALSE)-AVERAGE('The List'!AF2:AF730))/STDEV('The List'!AF2:AF730)</f>
        <v>-0.56911587195029545</v>
      </c>
      <c r="T294" s="38">
        <f>(VLOOKUP($A294,'The List'!$B1:$AH730,32,FALSE)-AVERAGE('The List'!AG2:AG730))/STDEV('The List'!AG2:AG730)</f>
        <v>-0.61510119871956948</v>
      </c>
      <c r="U294" s="38">
        <f>(VLOOKUP($A294,'The List'!$B1:$AH730,33,FALSE)-AVERAGE('The List'!AH2:AH730))/STDEV('The List'!AH2:AH730)</f>
        <v>-1.2363238714825984</v>
      </c>
      <c r="V294" s="38"/>
      <c r="W294" s="42"/>
      <c r="X294" s="40"/>
      <c r="Y294" s="40"/>
      <c r="Z294" s="40"/>
      <c r="AA294" s="40"/>
      <c r="AB294" s="40"/>
      <c r="AC294" s="43"/>
      <c r="AD294" s="44"/>
      <c r="AE294" s="38"/>
    </row>
    <row r="295" spans="1:31" ht="21.2" customHeight="1">
      <c r="A295" s="8" t="s">
        <v>508</v>
      </c>
      <c r="B295" s="34" t="str">
        <f>VLOOKUP(A295,'Player Data'!A1:B734,2,FALSE)</f>
        <v>TBL</v>
      </c>
      <c r="C295" s="36">
        <f>((E295)*Settings!$C$12)+(F295*Settings!$C$2)+(G295*Settings!$C$3)+(H295*Settings!$C$4)+(I295*Settings!$C$5)+(K295*Settings!$C$9)+(N295*Settings!$C$6)+(J295*Settings!$C$8)+(O295*Settings!$C$7)+(P295*Settings!$C$14)+(Q295*Settings!$C$15)+(R295*Settings!$C$16)+(S295*Settings!$C$17)+(T295*Settings!$C$18)+(U295*Settings!$C$19)+(L295*Settings!$C$10)+(Settings!$C$11*M295)</f>
        <v>-0.61660463984921665</v>
      </c>
      <c r="D295" s="40">
        <f>IF(Settings!$E$12="YES",VLOOKUP(A295,'Player Data'!A1:E734,5,FALSE),82)</f>
        <v>82</v>
      </c>
      <c r="E295" s="38">
        <f>(VLOOKUP($A295,'The List'!$B1:$AH730,17,FALSE)-AVERAGE('The List'!R2:R730))/STDEV('The List'!R2:R730)</f>
        <v>-4.2416354151549082E-2</v>
      </c>
      <c r="F295" s="38">
        <f>(VLOOKUP($A295,'The List'!$B1:$AH730,18,FALSE)-AVERAGE('The List'!S2:S730))/STDEV('The List'!S2:S730)</f>
        <v>0.24462418679016071</v>
      </c>
      <c r="G295" s="38">
        <f>(VLOOKUP($A295,'The List'!$B1:$AH730,19,FALSE)-AVERAGE('The List'!T2:T730))/STDEV('The List'!T2:T730)</f>
        <v>-0.42984115741069429</v>
      </c>
      <c r="H295" s="38">
        <f>(VLOOKUP($A295,'The List'!$B1:$AH730,20,FALSE)-AVERAGE('The List'!U2:U730))/STDEV('The List'!U2:U730)</f>
        <v>-0.15043508950308274</v>
      </c>
      <c r="I295" s="38">
        <f>(VLOOKUP($A295,'The List'!$B1:$AH730,21,FALSE)-AVERAGE('The List'!V2:V730))/STDEV('The List'!V2:V730)</f>
        <v>-3.6680420578295812E-2</v>
      </c>
      <c r="J295" s="38">
        <f>(VLOOKUP($A295,'The List'!$B1:$AH730,22,FALSE)-AVERAGE('The List'!W2:W730))/STDEV('The List'!W2:W730)</f>
        <v>0.33802393520498508</v>
      </c>
      <c r="K295" s="38">
        <f>(VLOOKUP($A295,'The List'!$B1:$AH730,23,FALSE)-AVERAGE('The List'!X2:X730))/STDEV('The List'!X2:X730)</f>
        <v>-0.24427215914730455</v>
      </c>
      <c r="L295" s="38">
        <f>(VLOOKUP($A295,'The List'!$B1:$AH730,24,FALSE)-AVERAGE('The List'!Y2:Y730))/STDEV('The List'!Y2:Y730)</f>
        <v>0.15506368826229985</v>
      </c>
      <c r="M295" s="38">
        <f>(VLOOKUP($A295,'The List'!$B1:$AH730,25,FALSE)-AVERAGE('The List'!Z2:Z730))/STDEV('The List'!Z2:Z730)</f>
        <v>0.43786878719429417</v>
      </c>
      <c r="N295" s="38">
        <f>(VLOOKUP($A295,'The List'!$B1:$AH730,26,FALSE)-AVERAGE('The List'!AA2:AA730))/STDEV('The List'!AA2:AA730)</f>
        <v>-0.41803996503789009</v>
      </c>
      <c r="O295" s="38">
        <f>(VLOOKUP($A295,'The List'!$B1:$AH730,27,FALSE)-AVERAGE('The List'!AB2:AB730))/STDEV('The List'!AB2:AB730)</f>
        <v>0.12596391132260176</v>
      </c>
      <c r="P295" s="38">
        <f>(VLOOKUP($A295,'The List'!$B1:$AH730,28,FALSE)-AVERAGE('The List'!AC2:AC730))/STDEV('The List'!AC2:AC730)</f>
        <v>-0.13143046641714926</v>
      </c>
      <c r="Q295" s="38">
        <f>(VLOOKUP($A295,'The List'!$B1:$AH730,29,FALSE)-AVERAGE('The List'!AD2:AD730))/STDEV('The List'!AD2:AD730)</f>
        <v>-0.17698889790716688</v>
      </c>
      <c r="R295" s="38">
        <f>(VLOOKUP($A295,'The List'!$B1:$AH730,30,FALSE)-AVERAGE('The List'!AE2:AE730))/STDEV('The List'!AE2:AE730)</f>
        <v>0.39393740780996978</v>
      </c>
      <c r="S295" s="38">
        <f>(VLOOKUP($A295,'The List'!$B1:$AH730,31,FALSE)-AVERAGE('The List'!AF2:AF730))/STDEV('The List'!AF2:AF730)</f>
        <v>1.6444796130561161</v>
      </c>
      <c r="T295" s="38">
        <f>(VLOOKUP($A295,'The List'!$B1:$AH730,32,FALSE)-AVERAGE('The List'!AG2:AG730))/STDEV('The List'!AG2:AG730)</f>
        <v>1.514190230218762</v>
      </c>
      <c r="U295" s="38">
        <f>(VLOOKUP($A295,'The List'!$B1:$AH730,33,FALSE)-AVERAGE('The List'!AH2:AH730))/STDEV('The List'!AH2:AH730)</f>
        <v>1.121390340797717</v>
      </c>
      <c r="V295" s="38"/>
      <c r="W295" s="42"/>
      <c r="X295" s="40"/>
      <c r="Y295" s="40"/>
      <c r="Z295" s="40"/>
      <c r="AA295" s="40"/>
      <c r="AB295" s="40"/>
      <c r="AC295" s="43"/>
      <c r="AD295" s="44"/>
      <c r="AE295" s="38"/>
    </row>
    <row r="296" spans="1:31" ht="21.2" customHeight="1">
      <c r="A296" s="8" t="s">
        <v>279</v>
      </c>
      <c r="B296" s="34" t="str">
        <f>VLOOKUP(A296,'Player Data'!A1:B734,2,FALSE)</f>
        <v>WPG</v>
      </c>
      <c r="C296" s="36">
        <f>((E296)*Settings!$C$12)+(F296*Settings!$C$2)+(G296*Settings!$C$3)+(H296*Settings!$C$4)+(I296*Settings!$C$5)+(K296*Settings!$C$9)+(N296*Settings!$C$6)+(J296*Settings!$C$8)+(O296*Settings!$C$7)+(P296*Settings!$C$14)+(Q296*Settings!$C$15)+(R296*Settings!$C$16)+(S296*Settings!$C$17)+(T296*Settings!$C$18)+(U296*Settings!$C$19)+(L296*Settings!$C$10)+(Settings!$C$11*M296)</f>
        <v>-0.7455968402843397</v>
      </c>
      <c r="D296" s="40">
        <f>IF(Settings!$E$12="YES",VLOOKUP(A296,'Player Data'!A1:E734,5,FALSE),82)</f>
        <v>82</v>
      </c>
      <c r="E296" s="38">
        <f>(VLOOKUP($A296,'The List'!$B1:$AH730,17,FALSE)-AVERAGE('The List'!R2:R730))/STDEV('The List'!R2:R730)</f>
        <v>1.4242054868435321</v>
      </c>
      <c r="F296" s="38">
        <f>(VLOOKUP($A296,'The List'!$B1:$AH730,18,FALSE)-AVERAGE('The List'!S2:S730))/STDEV('The List'!S2:S730)</f>
        <v>-0.7636679460008855</v>
      </c>
      <c r="G296" s="38">
        <f>(VLOOKUP($A296,'The List'!$B1:$AH730,19,FALSE)-AVERAGE('The List'!T2:T730))/STDEV('The List'!T2:T730)</f>
        <v>0.33166592059483319</v>
      </c>
      <c r="H296" s="38">
        <f>(VLOOKUP($A296,'The List'!$B1:$AH730,20,FALSE)-AVERAGE('The List'!U2:U730))/STDEV('The List'!U2:U730)</f>
        <v>-0.1511869508036747</v>
      </c>
      <c r="I296" s="38">
        <f>(VLOOKUP($A296,'The List'!$B1:$AH730,21,FALSE)-AVERAGE('The List'!V2:V730))/STDEV('The List'!V2:V730)</f>
        <v>-3.3312780505871241E-2</v>
      </c>
      <c r="J296" s="38">
        <f>(VLOOKUP($A296,'The List'!$B1:$AH730,22,FALSE)-AVERAGE('The List'!W2:W730))/STDEV('The List'!W2:W730)</f>
        <v>-0.46799569333256086</v>
      </c>
      <c r="K296" s="38">
        <f>(VLOOKUP($A296,'The List'!$B1:$AH730,23,FALSE)-AVERAGE('The List'!X2:X730))/STDEV('The List'!X2:X730)</f>
        <v>-0.12909508356874144</v>
      </c>
      <c r="L296" s="38">
        <f>(VLOOKUP($A296,'The List'!$B1:$AH730,24,FALSE)-AVERAGE('The List'!Y2:Y730))/STDEV('The List'!Y2:Y730)</f>
        <v>-0.48359161739323692</v>
      </c>
      <c r="M296" s="38">
        <f>(VLOOKUP($A296,'The List'!$B1:$AH730,25,FALSE)-AVERAGE('The List'!Z2:Z730))/STDEV('The List'!Z2:Z730)</f>
        <v>2.0015182050952818E-3</v>
      </c>
      <c r="N296" s="38">
        <f>(VLOOKUP($A296,'The List'!$B1:$AH730,26,FALSE)-AVERAGE('The List'!AA2:AA730))/STDEV('The List'!AA2:AA730)</f>
        <v>1.4550440413747179</v>
      </c>
      <c r="O296" s="38">
        <f>(VLOOKUP($A296,'The List'!$B1:$AH730,27,FALSE)-AVERAGE('The List'!AB2:AB730))/STDEV('The List'!AB2:AB730)</f>
        <v>1.371400097458022</v>
      </c>
      <c r="P296" s="38">
        <f>(VLOOKUP($A296,'The List'!$B1:$AH730,28,FALSE)-AVERAGE('The List'!AC2:AC730))/STDEV('The List'!AC2:AC730)</f>
        <v>-0.19401314220921595</v>
      </c>
      <c r="Q296" s="38">
        <f>(VLOOKUP($A296,'The List'!$B1:$AH730,29,FALSE)-AVERAGE('The List'!AD2:AD730))/STDEV('The List'!AD2:AD730)</f>
        <v>0.60252799270325852</v>
      </c>
      <c r="R296" s="38">
        <f>(VLOOKUP($A296,'The List'!$B1:$AH730,30,FALSE)-AVERAGE('The List'!AE2:AE730))/STDEV('The List'!AE2:AE730)</f>
        <v>-0.6356329605770572</v>
      </c>
      <c r="S296" s="38">
        <f>(VLOOKUP($A296,'The List'!$B1:$AH730,31,FALSE)-AVERAGE('The List'!AF2:AF730))/STDEV('The List'!AF2:AF730)</f>
        <v>-0.56911587195029545</v>
      </c>
      <c r="T296" s="38">
        <f>(VLOOKUP($A296,'The List'!$B1:$AH730,32,FALSE)-AVERAGE('The List'!AG2:AG730))/STDEV('The List'!AG2:AG730)</f>
        <v>-0.61510119871956948</v>
      </c>
      <c r="U296" s="38">
        <f>(VLOOKUP($A296,'The List'!$B1:$AH730,33,FALSE)-AVERAGE('The List'!AH2:AH730))/STDEV('The List'!AH2:AH730)</f>
        <v>-1.2363238714825984</v>
      </c>
      <c r="V296" s="38"/>
      <c r="W296" s="42"/>
      <c r="X296" s="40"/>
      <c r="Y296" s="40"/>
      <c r="Z296" s="40"/>
      <c r="AA296" s="40"/>
      <c r="AB296" s="40"/>
      <c r="AC296" s="43"/>
      <c r="AD296" s="44"/>
      <c r="AE296" s="38"/>
    </row>
    <row r="297" spans="1:31" ht="21.2" customHeight="1">
      <c r="A297" s="8" t="s">
        <v>326</v>
      </c>
      <c r="B297" s="34" t="str">
        <f>VLOOKUP(A297,'Player Data'!A1:B734,2,FALSE)</f>
        <v>ARI</v>
      </c>
      <c r="C297" s="36">
        <f>((E297)*Settings!$C$12)+(F297*Settings!$C$2)+(G297*Settings!$C$3)+(H297*Settings!$C$4)+(I297*Settings!$C$5)+(K297*Settings!$C$9)+(N297*Settings!$C$6)+(J297*Settings!$C$8)+(O297*Settings!$C$7)+(P297*Settings!$C$14)+(Q297*Settings!$C$15)+(R297*Settings!$C$16)+(S297*Settings!$C$17)+(T297*Settings!$C$18)+(U297*Settings!$C$19)+(L297*Settings!$C$10)+(Settings!$C$11*M297)</f>
        <v>-1.4690667908369488</v>
      </c>
      <c r="D297" s="40">
        <f>IF(Settings!$E$12="YES",VLOOKUP(A297,'Player Data'!A1:E734,5,FALSE),82)</f>
        <v>82</v>
      </c>
      <c r="E297" s="38">
        <f>(VLOOKUP($A297,'The List'!$B1:$AH730,17,FALSE)-AVERAGE('The List'!R2:R730))/STDEV('The List'!R2:R730)</f>
        <v>1.5962783893074783</v>
      </c>
      <c r="F297" s="38">
        <f>(VLOOKUP($A297,'The List'!$B1:$AH730,18,FALSE)-AVERAGE('The List'!S2:S730))/STDEV('The List'!S2:S730)</f>
        <v>-0.58737492098235666</v>
      </c>
      <c r="G297" s="38">
        <f>(VLOOKUP($A297,'The List'!$B1:$AH730,19,FALSE)-AVERAGE('The List'!T2:T730))/STDEV('The List'!T2:T730)</f>
        <v>0.19681139433456937</v>
      </c>
      <c r="H297" s="38">
        <f>(VLOOKUP($A297,'The List'!$B1:$AH730,20,FALSE)-AVERAGE('The List'!U2:U730))/STDEV('The List'!U2:U730)</f>
        <v>-0.15210647225347115</v>
      </c>
      <c r="I297" s="38">
        <f>(VLOOKUP($A297,'The List'!$B1:$AH730,21,FALSE)-AVERAGE('The List'!V2:V730))/STDEV('The List'!V2:V730)</f>
        <v>-0.86979664415934121</v>
      </c>
      <c r="J297" s="38">
        <f>(VLOOKUP($A297,'The List'!$B1:$AH730,22,FALSE)-AVERAGE('The List'!W2:W730))/STDEV('The List'!W2:W730)</f>
        <v>-0.16021713375932886</v>
      </c>
      <c r="K297" s="38">
        <f>(VLOOKUP($A297,'The List'!$B1:$AH730,23,FALSE)-AVERAGE('The List'!X2:X730))/STDEV('The List'!X2:X730)</f>
        <v>-5.6600147776349051E-2</v>
      </c>
      <c r="L297" s="38">
        <f>(VLOOKUP($A297,'The List'!$B1:$AH730,24,FALSE)-AVERAGE('The List'!Y2:Y730))/STDEV('The List'!Y2:Y730)</f>
        <v>-0.39463417064649864</v>
      </c>
      <c r="M297" s="38">
        <f>(VLOOKUP($A297,'The List'!$B1:$AH730,25,FALSE)-AVERAGE('The List'!Z2:Z730))/STDEV('The List'!Z2:Z730)</f>
        <v>-0.15785165766322826</v>
      </c>
      <c r="N297" s="38">
        <f>(VLOOKUP($A297,'The List'!$B1:$AH730,26,FALSE)-AVERAGE('The List'!AA2:AA730))/STDEV('The List'!AA2:AA730)</f>
        <v>1.6395436538596262</v>
      </c>
      <c r="O297" s="38">
        <f>(VLOOKUP($A297,'The List'!$B1:$AH730,27,FALSE)-AVERAGE('The List'!AB2:AB730))/STDEV('The List'!AB2:AB730)</f>
        <v>-0.19379295894845008</v>
      </c>
      <c r="P297" s="38">
        <f>(VLOOKUP($A297,'The List'!$B1:$AH730,28,FALSE)-AVERAGE('The List'!AC2:AC730))/STDEV('The List'!AC2:AC730)</f>
        <v>-1.2705050700058935</v>
      </c>
      <c r="Q297" s="38">
        <f>(VLOOKUP($A297,'The List'!$B1:$AH730,29,FALSE)-AVERAGE('The List'!AD2:AD730))/STDEV('The List'!AD2:AD730)</f>
        <v>0.29548981339643532</v>
      </c>
      <c r="R297" s="38">
        <f>(VLOOKUP($A297,'The List'!$B1:$AH730,30,FALSE)-AVERAGE('The List'!AE2:AE730))/STDEV('The List'!AE2:AE730)</f>
        <v>-0.6084420382544492</v>
      </c>
      <c r="S297" s="38">
        <f>(VLOOKUP($A297,'The List'!$B1:$AH730,31,FALSE)-AVERAGE('The List'!AF2:AF730))/STDEV('The List'!AF2:AF730)</f>
        <v>-0.56911587195029545</v>
      </c>
      <c r="T297" s="38">
        <f>(VLOOKUP($A297,'The List'!$B1:$AH730,32,FALSE)-AVERAGE('The List'!AG2:AG730))/STDEV('The List'!AG2:AG730)</f>
        <v>-0.61510119871956948</v>
      </c>
      <c r="U297" s="38">
        <f>(VLOOKUP($A297,'The List'!$B1:$AH730,33,FALSE)-AVERAGE('The List'!AH2:AH730))/STDEV('The List'!AH2:AH730)</f>
        <v>-1.2363238714825984</v>
      </c>
      <c r="V297" s="38"/>
      <c r="W297" s="42"/>
      <c r="X297" s="40"/>
      <c r="Y297" s="40"/>
      <c r="Z297" s="40"/>
      <c r="AA297" s="40"/>
      <c r="AB297" s="40"/>
      <c r="AC297" s="43"/>
      <c r="AD297" s="44"/>
      <c r="AE297" s="38"/>
    </row>
    <row r="298" spans="1:31" ht="21.2" customHeight="1">
      <c r="A298" s="8" t="s">
        <v>315</v>
      </c>
      <c r="B298" s="34" t="str">
        <f>VLOOKUP(A298,'Player Data'!A1:B734,2,FALSE)</f>
        <v>COL</v>
      </c>
      <c r="C298" s="36">
        <f>((E298)*Settings!$C$12)+(F298*Settings!$C$2)+(G298*Settings!$C$3)+(H298*Settings!$C$4)+(I298*Settings!$C$5)+(K298*Settings!$C$9)+(N298*Settings!$C$6)+(J298*Settings!$C$8)+(O298*Settings!$C$7)+(P298*Settings!$C$14)+(Q298*Settings!$C$15)+(R298*Settings!$C$16)+(S298*Settings!$C$17)+(T298*Settings!$C$18)+(U298*Settings!$C$19)+(L298*Settings!$C$10)+(Settings!$C$11*M298)</f>
        <v>-1.4734191450253451</v>
      </c>
      <c r="D298" s="40">
        <f>IF(Settings!$E$12="YES",VLOOKUP(A298,'Player Data'!A1:E734,5,FALSE),82)</f>
        <v>82</v>
      </c>
      <c r="E298" s="38">
        <f>(VLOOKUP($A298,'The List'!$B1:$AH730,17,FALSE)-AVERAGE('The List'!R2:R730))/STDEV('The List'!R2:R730)</f>
        <v>1.0318377313108742</v>
      </c>
      <c r="F298" s="38">
        <f>(VLOOKUP($A298,'The List'!$B1:$AH730,18,FALSE)-AVERAGE('The List'!S2:S730))/STDEV('The List'!S2:S730)</f>
        <v>-0.76324438938766548</v>
      </c>
      <c r="G298" s="38">
        <f>(VLOOKUP($A298,'The List'!$B1:$AH730,19,FALSE)-AVERAGE('The List'!T2:T730))/STDEV('The List'!T2:T730)</f>
        <v>0.32764854447828112</v>
      </c>
      <c r="H298" s="38">
        <f>(VLOOKUP($A298,'The List'!$B1:$AH730,20,FALSE)-AVERAGE('The List'!U2:U730))/STDEV('The List'!U2:U730)</f>
        <v>-0.15345888637375943</v>
      </c>
      <c r="I298" s="38">
        <f>(VLOOKUP($A298,'The List'!$B1:$AH730,21,FALSE)-AVERAGE('The List'!V2:V730))/STDEV('The List'!V2:V730)</f>
        <v>-0.5206822656292629</v>
      </c>
      <c r="J298" s="38">
        <f>(VLOOKUP($A298,'The List'!$B1:$AH730,22,FALSE)-AVERAGE('The List'!W2:W730))/STDEV('The List'!W2:W730)</f>
        <v>-0.6557590583377535</v>
      </c>
      <c r="K298" s="38">
        <f>(VLOOKUP($A298,'The List'!$B1:$AH730,23,FALSE)-AVERAGE('The List'!X2:X730))/STDEV('The List'!X2:X730)</f>
        <v>-0.36368214811293847</v>
      </c>
      <c r="L298" s="38">
        <f>(VLOOKUP($A298,'The List'!$B1:$AH730,24,FALSE)-AVERAGE('The List'!Y2:Y730))/STDEV('The List'!Y2:Y730)</f>
        <v>-0.45047675211974264</v>
      </c>
      <c r="M298" s="38">
        <f>(VLOOKUP($A298,'The List'!$B1:$AH730,25,FALSE)-AVERAGE('The List'!Z2:Z730))/STDEV('The List'!Z2:Z730)</f>
        <v>8.3348912739194148E-2</v>
      </c>
      <c r="N298" s="38">
        <f>(VLOOKUP($A298,'The List'!$B1:$AH730,26,FALSE)-AVERAGE('The List'!AA2:AA730))/STDEV('The List'!AA2:AA730)</f>
        <v>1.2796951004337183</v>
      </c>
      <c r="O298" s="38">
        <f>(VLOOKUP($A298,'The List'!$B1:$AH730,27,FALSE)-AVERAGE('The List'!AB2:AB730))/STDEV('The List'!AB2:AB730)</f>
        <v>-0.37950758958722358</v>
      </c>
      <c r="P298" s="38">
        <f>(VLOOKUP($A298,'The List'!$B1:$AH730,28,FALSE)-AVERAGE('The List'!AC2:AC730))/STDEV('The List'!AC2:AC730)</f>
        <v>0.61857697954720248</v>
      </c>
      <c r="Q298" s="38">
        <f>(VLOOKUP($A298,'The List'!$B1:$AH730,29,FALSE)-AVERAGE('The List'!AD2:AD730))/STDEV('The List'!AD2:AD730)</f>
        <v>-0.7567813445584276</v>
      </c>
      <c r="R298" s="38">
        <f>(VLOOKUP($A298,'The List'!$B1:$AH730,30,FALSE)-AVERAGE('The List'!AE2:AE730))/STDEV('The List'!AE2:AE730)</f>
        <v>-0.62646379708416955</v>
      </c>
      <c r="S298" s="38">
        <f>(VLOOKUP($A298,'The List'!$B1:$AH730,31,FALSE)-AVERAGE('The List'!AF2:AF730))/STDEV('The List'!AF2:AF730)</f>
        <v>-0.56911587195029545</v>
      </c>
      <c r="T298" s="38">
        <f>(VLOOKUP($A298,'The List'!$B1:$AH730,32,FALSE)-AVERAGE('The List'!AG2:AG730))/STDEV('The List'!AG2:AG730)</f>
        <v>-0.61510119871956948</v>
      </c>
      <c r="U298" s="38">
        <f>(VLOOKUP($A298,'The List'!$B1:$AH730,33,FALSE)-AVERAGE('The List'!AH2:AH730))/STDEV('The List'!AH2:AH730)</f>
        <v>-1.2363238714825984</v>
      </c>
      <c r="V298" s="38"/>
      <c r="W298" s="42"/>
      <c r="X298" s="40"/>
      <c r="Y298" s="40"/>
      <c r="Z298" s="40"/>
      <c r="AA298" s="40"/>
      <c r="AB298" s="40"/>
      <c r="AC298" s="43"/>
      <c r="AD298" s="44"/>
      <c r="AE298" s="38"/>
    </row>
    <row r="299" spans="1:31" ht="21.2" customHeight="1">
      <c r="A299" s="8" t="s">
        <v>557</v>
      </c>
      <c r="B299" s="34" t="str">
        <f>VLOOKUP(A299,'Player Data'!A1:B734,2,FALSE)</f>
        <v>WSH</v>
      </c>
      <c r="C299" s="36">
        <f>((E299)*Settings!$C$12)+(F299*Settings!$C$2)+(G299*Settings!$C$3)+(H299*Settings!$C$4)+(I299*Settings!$C$5)+(K299*Settings!$C$9)+(N299*Settings!$C$6)+(J299*Settings!$C$8)+(O299*Settings!$C$7)+(P299*Settings!$C$14)+(Q299*Settings!$C$15)+(R299*Settings!$C$16)+(S299*Settings!$C$17)+(T299*Settings!$C$18)+(U299*Settings!$C$19)+(L299*Settings!$C$10)+(Settings!$C$11*M299)</f>
        <v>-0.97179532796226464</v>
      </c>
      <c r="D299" s="40">
        <f>IF(Settings!$E$12="YES",VLOOKUP(A299,'Player Data'!A1:E734,5,FALSE),82)</f>
        <v>82</v>
      </c>
      <c r="E299" s="38">
        <f>(VLOOKUP($A299,'The List'!$B1:$AH730,17,FALSE)-AVERAGE('The List'!R2:R730))/STDEV('The List'!R2:R730)</f>
        <v>-0.64773961211247122</v>
      </c>
      <c r="F299" s="38">
        <f>(VLOOKUP($A299,'The List'!$B1:$AH730,18,FALSE)-AVERAGE('The List'!S2:S730))/STDEV('The List'!S2:S730)</f>
        <v>4.2524366476386556E-2</v>
      </c>
      <c r="G299" s="38">
        <f>(VLOOKUP($A299,'The List'!$B1:$AH730,19,FALSE)-AVERAGE('The List'!T2:T730))/STDEV('The List'!T2:T730)</f>
        <v>-0.28774308859710507</v>
      </c>
      <c r="H299" s="38">
        <f>(VLOOKUP($A299,'The List'!$B1:$AH730,20,FALSE)-AVERAGE('The List'!U2:U730))/STDEV('The List'!U2:U730)</f>
        <v>-0.1570610118338891</v>
      </c>
      <c r="I299" s="38">
        <f>(VLOOKUP($A299,'The List'!$B1:$AH730,21,FALSE)-AVERAGE('The List'!V2:V730))/STDEV('The List'!V2:V730)</f>
        <v>4.8406244108769529E-2</v>
      </c>
      <c r="J299" s="38">
        <f>(VLOOKUP($A299,'The List'!$B1:$AH730,22,FALSE)-AVERAGE('The List'!W2:W730))/STDEV('The List'!W2:W730)</f>
        <v>-0.50587804334582032</v>
      </c>
      <c r="K299" s="38">
        <f>(VLOOKUP($A299,'The List'!$B1:$AH730,23,FALSE)-AVERAGE('The List'!X2:X730))/STDEV('The List'!X2:X730)</f>
        <v>-0.61792183811642665</v>
      </c>
      <c r="L299" s="38">
        <f>(VLOOKUP($A299,'The List'!$B1:$AH730,24,FALSE)-AVERAGE('The List'!Y2:Y730))/STDEV('The List'!Y2:Y730)</f>
        <v>-0.51513278167757015</v>
      </c>
      <c r="M299" s="38">
        <f>(VLOOKUP($A299,'The List'!$B1:$AH730,25,FALSE)-AVERAGE('The List'!Z2:Z730))/STDEV('The List'!Z2:Z730)</f>
        <v>-0.69244431322347366</v>
      </c>
      <c r="N299" s="38">
        <f>(VLOOKUP($A299,'The List'!$B1:$AH730,26,FALSE)-AVERAGE('The List'!AA2:AA730))/STDEV('The List'!AA2:AA730)</f>
        <v>-0.79894986946463509</v>
      </c>
      <c r="O299" s="38">
        <f>(VLOOKUP($A299,'The List'!$B1:$AH730,27,FALSE)-AVERAGE('The List'!AB2:AB730))/STDEV('The List'!AB2:AB730)</f>
        <v>-0.30053584091329733</v>
      </c>
      <c r="P299" s="38">
        <f>(VLOOKUP($A299,'The List'!$B1:$AH730,28,FALSE)-AVERAGE('The List'!AC2:AC730))/STDEV('The List'!AC2:AC730)</f>
        <v>-0.60953759994683521</v>
      </c>
      <c r="Q299" s="38">
        <f>(VLOOKUP($A299,'The List'!$B1:$AH730,29,FALSE)-AVERAGE('The List'!AD2:AD730))/STDEV('The List'!AD2:AD730)</f>
        <v>-0.15642928486946428</v>
      </c>
      <c r="R299" s="38">
        <f>(VLOOKUP($A299,'The List'!$B1:$AH730,30,FALSE)-AVERAGE('The List'!AE2:AE730))/STDEV('The List'!AE2:AE730)</f>
        <v>-0.12013182635160292</v>
      </c>
      <c r="S299" s="38">
        <f>(VLOOKUP($A299,'The List'!$B1:$AH730,31,FALSE)-AVERAGE('The List'!AF2:AF730))/STDEV('The List'!AF2:AF730)</f>
        <v>-0.50746500405689066</v>
      </c>
      <c r="T299" s="38">
        <f>(VLOOKUP($A299,'The List'!$B1:$AH730,32,FALSE)-AVERAGE('The List'!AG2:AG730))/STDEV('The List'!AG2:AG730)</f>
        <v>-0.56286971835549082</v>
      </c>
      <c r="U299" s="38">
        <f>(VLOOKUP($A299,'The List'!$B1:$AH730,33,FALSE)-AVERAGE('The List'!AH2:AH730))/STDEV('The List'!AH2:AH730)</f>
        <v>1.2638851826976059</v>
      </c>
      <c r="V299" s="38"/>
      <c r="W299" s="42"/>
      <c r="X299" s="40"/>
      <c r="Y299" s="40"/>
      <c r="Z299" s="40"/>
      <c r="AA299" s="40"/>
      <c r="AB299" s="40"/>
      <c r="AC299" s="43"/>
      <c r="AD299" s="44"/>
      <c r="AE299" s="38"/>
    </row>
    <row r="300" spans="1:31" ht="21.2" customHeight="1">
      <c r="A300" s="8" t="s">
        <v>549</v>
      </c>
      <c r="B300" s="34" t="str">
        <f>VLOOKUP(A300,'Player Data'!A1:B734,2,FALSE)</f>
        <v>DET</v>
      </c>
      <c r="C300" s="36">
        <f>((E300)*Settings!$C$12)+(F300*Settings!$C$2)+(G300*Settings!$C$3)+(H300*Settings!$C$4)+(I300*Settings!$C$5)+(K300*Settings!$C$9)+(N300*Settings!$C$6)+(J300*Settings!$C$8)+(O300*Settings!$C$7)+(P300*Settings!$C$14)+(Q300*Settings!$C$15)+(R300*Settings!$C$16)+(S300*Settings!$C$17)+(T300*Settings!$C$18)+(U300*Settings!$C$19)+(L300*Settings!$C$10)+(Settings!$C$11*M300)</f>
        <v>-0.81291100340845635</v>
      </c>
      <c r="D300" s="40">
        <f>IF(Settings!$E$12="YES",VLOOKUP(A300,'Player Data'!A1:E734,5,FALSE),82)</f>
        <v>82</v>
      </c>
      <c r="E300" s="38">
        <f>(VLOOKUP($A300,'The List'!$B1:$AH730,17,FALSE)-AVERAGE('The List'!R2:R730))/STDEV('The List'!R2:R730)</f>
        <v>-0.42468699388847897</v>
      </c>
      <c r="F300" s="38">
        <f>(VLOOKUP($A300,'The List'!$B1:$AH730,18,FALSE)-AVERAGE('The List'!S2:S730))/STDEV('The List'!S2:S730)</f>
        <v>9.6387122787241306E-2</v>
      </c>
      <c r="G300" s="38">
        <f>(VLOOKUP($A300,'The List'!$B1:$AH730,19,FALSE)-AVERAGE('The List'!T2:T730))/STDEV('The List'!T2:T730)</f>
        <v>-0.32976863838396131</v>
      </c>
      <c r="H300" s="38">
        <f>(VLOOKUP($A300,'The List'!$B1:$AH730,20,FALSE)-AVERAGE('The List'!U2:U730))/STDEV('The List'!U2:U730)</f>
        <v>-0.15784801741258583</v>
      </c>
      <c r="I300" s="38">
        <f>(VLOOKUP($A300,'The List'!$B1:$AH730,21,FALSE)-AVERAGE('The List'!V2:V730))/STDEV('The List'!V2:V730)</f>
        <v>2.4410720915902608E-2</v>
      </c>
      <c r="J300" s="38">
        <f>(VLOOKUP($A300,'The List'!$B1:$AH730,22,FALSE)-AVERAGE('The List'!W2:W730))/STDEV('The List'!W2:W730)</f>
        <v>-0.4909685467657085</v>
      </c>
      <c r="K300" s="38">
        <f>(VLOOKUP($A300,'The List'!$B1:$AH730,23,FALSE)-AVERAGE('The List'!X2:X730))/STDEV('The List'!X2:X730)</f>
        <v>-0.44609219131505312</v>
      </c>
      <c r="L300" s="38">
        <f>(VLOOKUP($A300,'The List'!$B1:$AH730,24,FALSE)-AVERAGE('The List'!Y2:Y730))/STDEV('The List'!Y2:Y730)</f>
        <v>-0.12128181388956071</v>
      </c>
      <c r="M300" s="38">
        <f>(VLOOKUP($A300,'The List'!$B1:$AH730,25,FALSE)-AVERAGE('The List'!Z2:Z730))/STDEV('The List'!Z2:Z730)</f>
        <v>-0.15049289356532206</v>
      </c>
      <c r="N300" s="38">
        <f>(VLOOKUP($A300,'The List'!$B1:$AH730,26,FALSE)-AVERAGE('The List'!AA2:AA730))/STDEV('The List'!AA2:AA730)</f>
        <v>0.10469638674179556</v>
      </c>
      <c r="O300" s="38">
        <f>(VLOOKUP($A300,'The List'!$B1:$AH730,27,FALSE)-AVERAGE('The List'!AB2:AB730))/STDEV('The List'!AB2:AB730)</f>
        <v>1.1989408714844731</v>
      </c>
      <c r="P300" s="38">
        <f>(VLOOKUP($A300,'The List'!$B1:$AH730,28,FALSE)-AVERAGE('The List'!AC2:AC730))/STDEV('The List'!AC2:AC730)</f>
        <v>-0.74850701627562333</v>
      </c>
      <c r="Q300" s="38">
        <f>(VLOOKUP($A300,'The List'!$B1:$AH730,29,FALSE)-AVERAGE('The List'!AD2:AD730))/STDEV('The List'!AD2:AD730)</f>
        <v>1.247556107259332</v>
      </c>
      <c r="R300" s="38">
        <f>(VLOOKUP($A300,'The List'!$B1:$AH730,30,FALSE)-AVERAGE('The List'!AE2:AE730))/STDEV('The List'!AE2:AE730)</f>
        <v>1.2108190696245582E-2</v>
      </c>
      <c r="S300" s="38">
        <f>(VLOOKUP($A300,'The List'!$B1:$AH730,31,FALSE)-AVERAGE('The List'!AF2:AF730))/STDEV('The List'!AF2:AF730)</f>
        <v>0.91133235990403205</v>
      </c>
      <c r="T300" s="38">
        <f>(VLOOKUP($A300,'The List'!$B1:$AH730,32,FALSE)-AVERAGE('The List'!AG2:AG730))/STDEV('The List'!AG2:AG730)</f>
        <v>0.9709524264823407</v>
      </c>
      <c r="U300" s="38">
        <f>(VLOOKUP($A300,'The List'!$B1:$AH730,33,FALSE)-AVERAGE('The List'!AH2:AH730))/STDEV('The List'!AH2:AH730)</f>
        <v>0.99981585268981699</v>
      </c>
      <c r="V300" s="38"/>
      <c r="W300" s="42"/>
      <c r="X300" s="40"/>
      <c r="Y300" s="40"/>
      <c r="Z300" s="40"/>
      <c r="AA300" s="40"/>
      <c r="AB300" s="40"/>
      <c r="AC300" s="43"/>
      <c r="AD300" s="44"/>
      <c r="AE300" s="38"/>
    </row>
    <row r="301" spans="1:31" ht="21.2" customHeight="1">
      <c r="A301" s="8" t="s">
        <v>334</v>
      </c>
      <c r="B301" s="34" t="str">
        <f>VLOOKUP(A301,'Player Data'!A1:B734,2,FALSE)</f>
        <v>DAL</v>
      </c>
      <c r="C301" s="36">
        <f>((E301)*Settings!$C$12)+(F301*Settings!$C$2)+(G301*Settings!$C$3)+(H301*Settings!$C$4)+(I301*Settings!$C$5)+(K301*Settings!$C$9)+(N301*Settings!$C$6)+(J301*Settings!$C$8)+(O301*Settings!$C$7)+(P301*Settings!$C$14)+(Q301*Settings!$C$15)+(R301*Settings!$C$16)+(S301*Settings!$C$17)+(T301*Settings!$C$18)+(U301*Settings!$C$19)+(L301*Settings!$C$10)+(Settings!$C$11*M301)</f>
        <v>-1.2499509105377344</v>
      </c>
      <c r="D301" s="40">
        <f>IF(Settings!$E$12="YES",VLOOKUP(A301,'Player Data'!A1:E734,5,FALSE),82)</f>
        <v>82</v>
      </c>
      <c r="E301" s="38">
        <f>(VLOOKUP($A301,'The List'!$B1:$AH730,17,FALSE)-AVERAGE('The List'!R2:R730))/STDEV('The List'!R2:R730)</f>
        <v>1.0446018028103412</v>
      </c>
      <c r="F301" s="38">
        <f>(VLOOKUP($A301,'The List'!$B1:$AH730,18,FALSE)-AVERAGE('The List'!S2:S730))/STDEV('The List'!S2:S730)</f>
        <v>-0.68266893309560606</v>
      </c>
      <c r="G301" s="38">
        <f>(VLOOKUP($A301,'The List'!$B1:$AH730,19,FALSE)-AVERAGE('The List'!T2:T730))/STDEV('The List'!T2:T730)</f>
        <v>0.25404994543475812</v>
      </c>
      <c r="H301" s="38">
        <f>(VLOOKUP($A301,'The List'!$B1:$AH730,20,FALSE)-AVERAGE('The List'!U2:U730))/STDEV('The List'!U2:U730)</f>
        <v>-0.16123075635972728</v>
      </c>
      <c r="I301" s="38">
        <f>(VLOOKUP($A301,'The List'!$B1:$AH730,21,FALSE)-AVERAGE('The List'!V2:V730))/STDEV('The List'!V2:V730)</f>
        <v>-0.17123418484560735</v>
      </c>
      <c r="J301" s="38">
        <f>(VLOOKUP($A301,'The List'!$B1:$AH730,22,FALSE)-AVERAGE('The List'!W2:W730))/STDEV('The List'!W2:W730)</f>
        <v>-0.59769465098533137</v>
      </c>
      <c r="K301" s="38">
        <f>(VLOOKUP($A301,'The List'!$B1:$AH730,23,FALSE)-AVERAGE('The List'!X2:X730))/STDEV('The List'!X2:X730)</f>
        <v>-0.48886698167155179</v>
      </c>
      <c r="L301" s="38">
        <f>(VLOOKUP($A301,'The List'!$B1:$AH730,24,FALSE)-AVERAGE('The List'!Y2:Y730))/STDEV('The List'!Y2:Y730)</f>
        <v>-0.484114191105664</v>
      </c>
      <c r="M301" s="38">
        <f>(VLOOKUP($A301,'The List'!$B1:$AH730,25,FALSE)-AVERAGE('The List'!Z2:Z730))/STDEV('The List'!Z2:Z730)</f>
        <v>-0.59357437314116857</v>
      </c>
      <c r="N301" s="38">
        <f>(VLOOKUP($A301,'The List'!$B1:$AH730,26,FALSE)-AVERAGE('The List'!AA2:AA730))/STDEV('The List'!AA2:AA730)</f>
        <v>1.0038821142198684</v>
      </c>
      <c r="O301" s="38">
        <f>(VLOOKUP($A301,'The List'!$B1:$AH730,27,FALSE)-AVERAGE('The List'!AB2:AB730))/STDEV('The List'!AB2:AB730)</f>
        <v>-0.46877158987090289</v>
      </c>
      <c r="P301" s="38">
        <f>(VLOOKUP($A301,'The List'!$B1:$AH730,28,FALSE)-AVERAGE('The List'!AC2:AC730))/STDEV('The List'!AC2:AC730)</f>
        <v>1.1291888383537707</v>
      </c>
      <c r="Q301" s="38">
        <f>(VLOOKUP($A301,'The List'!$B1:$AH730,29,FALSE)-AVERAGE('The List'!AD2:AD730))/STDEV('The List'!AD2:AD730)</f>
        <v>-1.291749858922262E-2</v>
      </c>
      <c r="R301" s="38">
        <f>(VLOOKUP($A301,'The List'!$B1:$AH730,30,FALSE)-AVERAGE('The List'!AE2:AE730))/STDEV('The List'!AE2:AE730)</f>
        <v>-0.53548759476552599</v>
      </c>
      <c r="S301" s="38">
        <f>(VLOOKUP($A301,'The List'!$B1:$AH730,31,FALSE)-AVERAGE('The List'!AF2:AF730))/STDEV('The List'!AF2:AF730)</f>
        <v>-0.56911587195029545</v>
      </c>
      <c r="T301" s="38">
        <f>(VLOOKUP($A301,'The List'!$B1:$AH730,32,FALSE)-AVERAGE('The List'!AG2:AG730))/STDEV('The List'!AG2:AG730)</f>
        <v>-0.61510119871956948</v>
      </c>
      <c r="U301" s="38">
        <f>(VLOOKUP($A301,'The List'!$B1:$AH730,33,FALSE)-AVERAGE('The List'!AH2:AH730))/STDEV('The List'!AH2:AH730)</f>
        <v>-1.2363238714825984</v>
      </c>
      <c r="V301" s="38"/>
      <c r="W301" s="42"/>
      <c r="X301" s="40"/>
      <c r="Y301" s="40"/>
      <c r="Z301" s="40"/>
      <c r="AA301" s="40"/>
      <c r="AB301" s="40"/>
      <c r="AC301" s="43"/>
      <c r="AD301" s="44"/>
      <c r="AE301" s="38"/>
    </row>
    <row r="302" spans="1:31" ht="21.2" customHeight="1">
      <c r="A302" s="8" t="s">
        <v>672</v>
      </c>
      <c r="B302" s="34" t="str">
        <f>VLOOKUP(A302,'Player Data'!A1:B734,2,FALSE)</f>
        <v>UFA</v>
      </c>
      <c r="C302" s="36">
        <f>((E302)*Settings!$C$12)+(F302*Settings!$C$2)+(G302*Settings!$C$3)+(H302*Settings!$C$4)+(I302*Settings!$C$5)+(K302*Settings!$C$9)+(N302*Settings!$C$6)+(J302*Settings!$C$8)+(O302*Settings!$C$7)+(P302*Settings!$C$14)+(Q302*Settings!$C$15)+(R302*Settings!$C$16)+(S302*Settings!$C$17)+(T302*Settings!$C$18)+(U302*Settings!$C$19)+(L302*Settings!$C$10)+(Settings!$C$11*M302)</f>
        <v>-0.92680438218111083</v>
      </c>
      <c r="D302" s="40">
        <f>IF(Settings!$E$12="YES",VLOOKUP(A302,'Player Data'!A1:E734,5,FALSE),82)</f>
        <v>82</v>
      </c>
      <c r="E302" s="38">
        <f>(VLOOKUP($A302,'The List'!$B1:$AH730,17,FALSE)-AVERAGE('The List'!R2:R730))/STDEV('The List'!R2:R730)</f>
        <v>-0.41049782189386119</v>
      </c>
      <c r="F302" s="38">
        <f>(VLOOKUP($A302,'The List'!$B1:$AH730,18,FALSE)-AVERAGE('The List'!S2:S730))/STDEV('The List'!S2:S730)</f>
        <v>-0.16496610498376682</v>
      </c>
      <c r="G302" s="38">
        <f>(VLOOKUP($A302,'The List'!$B1:$AH730,19,FALSE)-AVERAGE('The List'!T2:T730))/STDEV('The List'!T2:T730)</f>
        <v>-0.13995604771589659</v>
      </c>
      <c r="H302" s="38">
        <f>(VLOOKUP($A302,'The List'!$B1:$AH730,20,FALSE)-AVERAGE('The List'!U2:U730))/STDEV('The List'!U2:U730)</f>
        <v>-0.16269680589317789</v>
      </c>
      <c r="I302" s="38">
        <f>(VLOOKUP($A302,'The List'!$B1:$AH730,21,FALSE)-AVERAGE('The List'!V2:V730))/STDEV('The List'!V2:V730)</f>
        <v>-0.38495871113705399</v>
      </c>
      <c r="J302" s="38">
        <f>(VLOOKUP($A302,'The List'!$B1:$AH730,22,FALSE)-AVERAGE('The List'!W2:W730))/STDEV('The List'!W2:W730)</f>
        <v>0.52050587219326039</v>
      </c>
      <c r="K302" s="38">
        <f>(VLOOKUP($A302,'The List'!$B1:$AH730,23,FALSE)-AVERAGE('The List'!X2:X730))/STDEV('The List'!X2:X730)</f>
        <v>-7.4226712451215621E-2</v>
      </c>
      <c r="L302" s="38">
        <f>(VLOOKUP($A302,'The List'!$B1:$AH730,24,FALSE)-AVERAGE('The List'!Y2:Y730))/STDEV('The List'!Y2:Y730)</f>
        <v>-0.52515529094994673</v>
      </c>
      <c r="M302" s="38">
        <f>(VLOOKUP($A302,'The List'!$B1:$AH730,25,FALSE)-AVERAGE('The List'!Z2:Z730))/STDEV('The List'!Z2:Z730)</f>
        <v>-0.70378350861314143</v>
      </c>
      <c r="N302" s="38">
        <f>(VLOOKUP($A302,'The List'!$B1:$AH730,26,FALSE)-AVERAGE('The List'!AA2:AA730))/STDEV('The List'!AA2:AA730)</f>
        <v>-0.91850726294146967</v>
      </c>
      <c r="O302" s="38">
        <f>(VLOOKUP($A302,'The List'!$B1:$AH730,27,FALSE)-AVERAGE('The List'!AB2:AB730))/STDEV('The List'!AB2:AB730)</f>
        <v>-1.4127569678824081</v>
      </c>
      <c r="P302" s="38">
        <f>(VLOOKUP($A302,'The List'!$B1:$AH730,28,FALSE)-AVERAGE('The List'!AC2:AC730))/STDEV('The List'!AC2:AC730)</f>
        <v>-0.39565229429142679</v>
      </c>
      <c r="Q302" s="38">
        <f>(VLOOKUP($A302,'The List'!$B1:$AH730,29,FALSE)-AVERAGE('The List'!AD2:AD730))/STDEV('The List'!AD2:AD730)</f>
        <v>0.27320981736613326</v>
      </c>
      <c r="R302" s="38">
        <f>(VLOOKUP($A302,'The List'!$B1:$AH730,30,FALSE)-AVERAGE('The List'!AE2:AE730))/STDEV('The List'!AE2:AE730)</f>
        <v>-1.2515972607254897</v>
      </c>
      <c r="S302" s="38">
        <f>(VLOOKUP($A302,'The List'!$B1:$AH730,31,FALSE)-AVERAGE('The List'!AF2:AF730))/STDEV('The List'!AF2:AF730)</f>
        <v>3.0040495239768079</v>
      </c>
      <c r="T302" s="38">
        <f>(VLOOKUP($A302,'The List'!$B1:$AH730,32,FALSE)-AVERAGE('The List'!AG2:AG730))/STDEV('The List'!AG2:AG730)</f>
        <v>1.7893102609062819</v>
      </c>
      <c r="U302" s="38">
        <f>(VLOOKUP($A302,'The List'!$B1:$AH730,33,FALSE)-AVERAGE('The List'!AH2:AH730))/STDEV('The List'!AH2:AH730)</f>
        <v>1.5167382112193426</v>
      </c>
      <c r="V302" s="38"/>
      <c r="W302" s="42"/>
      <c r="X302" s="40"/>
      <c r="Y302" s="40"/>
      <c r="Z302" s="40"/>
      <c r="AA302" s="40"/>
      <c r="AB302" s="40"/>
      <c r="AC302" s="43"/>
      <c r="AD302" s="44"/>
      <c r="AE302" s="38"/>
    </row>
    <row r="303" spans="1:31" ht="21.2" customHeight="1">
      <c r="A303" s="8" t="s">
        <v>652</v>
      </c>
      <c r="B303" s="34" t="str">
        <f>VLOOKUP(A303,'Player Data'!A1:B734,2,FALSE)</f>
        <v>DET</v>
      </c>
      <c r="C303" s="36">
        <f>((E303)*Settings!$C$12)+(F303*Settings!$C$2)+(G303*Settings!$C$3)+(H303*Settings!$C$4)+(I303*Settings!$C$5)+(K303*Settings!$C$9)+(N303*Settings!$C$6)+(J303*Settings!$C$8)+(O303*Settings!$C$7)+(P303*Settings!$C$14)+(Q303*Settings!$C$15)+(R303*Settings!$C$16)+(S303*Settings!$C$17)+(T303*Settings!$C$18)+(U303*Settings!$C$19)+(L303*Settings!$C$10)+(Settings!$C$11*M303)</f>
        <v>-0.8442573942073166</v>
      </c>
      <c r="D303" s="40">
        <f>IF(Settings!$E$12="YES",VLOOKUP(A303,'Player Data'!A1:E734,5,FALSE),82)</f>
        <v>82</v>
      </c>
      <c r="E303" s="38">
        <f>(VLOOKUP($A303,'The List'!$B1:$AH730,17,FALSE)-AVERAGE('The List'!R2:R730))/STDEV('The List'!R2:R730)</f>
        <v>-0.7149779408609519</v>
      </c>
      <c r="F303" s="38">
        <f>(VLOOKUP($A303,'The List'!$B1:$AH730,18,FALSE)-AVERAGE('The List'!S2:S730))/STDEV('The List'!S2:S730)</f>
        <v>0.29838965261488753</v>
      </c>
      <c r="G303" s="38">
        <f>(VLOOKUP($A303,'The List'!$B1:$AH730,19,FALSE)-AVERAGE('The List'!T2:T730))/STDEV('The List'!T2:T730)</f>
        <v>-0.49744038331282753</v>
      </c>
      <c r="H303" s="38">
        <f>(VLOOKUP($A303,'The List'!$B1:$AH730,20,FALSE)-AVERAGE('The List'!U2:U730))/STDEV('The List'!U2:U730)</f>
        <v>-0.16698335279231843</v>
      </c>
      <c r="I303" s="38">
        <f>(VLOOKUP($A303,'The List'!$B1:$AH730,21,FALSE)-AVERAGE('The List'!V2:V730))/STDEV('The List'!V2:V730)</f>
        <v>-0.46736896620235224</v>
      </c>
      <c r="J303" s="38">
        <f>(VLOOKUP($A303,'The List'!$B1:$AH730,22,FALSE)-AVERAGE('The List'!W2:W730))/STDEV('The List'!W2:W730)</f>
        <v>0.26027537842168696</v>
      </c>
      <c r="K303" s="38">
        <f>(VLOOKUP($A303,'The List'!$B1:$AH730,23,FALSE)-AVERAGE('The List'!X2:X730))/STDEV('The List'!X2:X730)</f>
        <v>-1.0854344514705905E-2</v>
      </c>
      <c r="L303" s="38">
        <f>(VLOOKUP($A303,'The List'!$B1:$AH730,24,FALSE)-AVERAGE('The List'!Y2:Y730))/STDEV('The List'!Y2:Y730)</f>
        <v>-0.50343289402366287</v>
      </c>
      <c r="M303" s="38">
        <f>(VLOOKUP($A303,'The List'!$B1:$AH730,25,FALSE)-AVERAGE('The List'!Z2:Z730))/STDEV('The List'!Z2:Z730)</f>
        <v>-0.67836918445696737</v>
      </c>
      <c r="N303" s="38">
        <f>(VLOOKUP($A303,'The List'!$B1:$AH730,26,FALSE)-AVERAGE('The List'!AA2:AA730))/STDEV('The List'!AA2:AA730)</f>
        <v>-0.76625798814221935</v>
      </c>
      <c r="O303" s="38">
        <f>(VLOOKUP($A303,'The List'!$B1:$AH730,27,FALSE)-AVERAGE('The List'!AB2:AB730))/STDEV('The List'!AB2:AB730)</f>
        <v>0.16701506579650238</v>
      </c>
      <c r="P303" s="38">
        <f>(VLOOKUP($A303,'The List'!$B1:$AH730,28,FALSE)-AVERAGE('The List'!AC2:AC730))/STDEV('The List'!AC2:AC730)</f>
        <v>-0.64548011968699226</v>
      </c>
      <c r="Q303" s="38">
        <f>(VLOOKUP($A303,'The List'!$B1:$AH730,29,FALSE)-AVERAGE('The List'!AD2:AD730))/STDEV('The List'!AD2:AD730)</f>
        <v>-1.3959630459906551E-2</v>
      </c>
      <c r="R303" s="38">
        <f>(VLOOKUP($A303,'The List'!$B1:$AH730,30,FALSE)-AVERAGE('The List'!AE2:AE730))/STDEV('The List'!AE2:AE730)</f>
        <v>0.18619268004984862</v>
      </c>
      <c r="S303" s="38">
        <f>(VLOOKUP($A303,'The List'!$B1:$AH730,31,FALSE)-AVERAGE('The List'!AF2:AF730))/STDEV('The List'!AF2:AF730)</f>
        <v>-0.28997576829145211</v>
      </c>
      <c r="T303" s="38">
        <f>(VLOOKUP($A303,'The List'!$B1:$AH730,32,FALSE)-AVERAGE('The List'!AG2:AG730))/STDEV('The List'!AG2:AG730)</f>
        <v>-0.25967416925952302</v>
      </c>
      <c r="U303" s="38">
        <f>(VLOOKUP($A303,'The List'!$B1:$AH730,33,FALSE)-AVERAGE('The List'!AH2:AH730))/STDEV('The List'!AH2:AH730)</f>
        <v>0.80548529992306706</v>
      </c>
      <c r="V303" s="38"/>
      <c r="W303" s="40"/>
      <c r="X303" s="38"/>
      <c r="Y303" s="38"/>
      <c r="Z303" s="38"/>
      <c r="AA303" s="38"/>
      <c r="AB303" s="38"/>
      <c r="AC303" s="38"/>
      <c r="AD303" s="38"/>
      <c r="AE303" s="38"/>
    </row>
    <row r="304" spans="1:31" ht="21.2" customHeight="1">
      <c r="A304" s="8" t="s">
        <v>571</v>
      </c>
      <c r="B304" s="34" t="str">
        <f>VLOOKUP(A304,'Player Data'!A1:B734,2,FALSE)</f>
        <v>CAR</v>
      </c>
      <c r="C304" s="36">
        <f>((E304)*Settings!$C$12)+(F304*Settings!$C$2)+(G304*Settings!$C$3)+(H304*Settings!$C$4)+(I304*Settings!$C$5)+(K304*Settings!$C$9)+(N304*Settings!$C$6)+(J304*Settings!$C$8)+(O304*Settings!$C$7)+(P304*Settings!$C$14)+(Q304*Settings!$C$15)+(R304*Settings!$C$16)+(S304*Settings!$C$17)+(T304*Settings!$C$18)+(U304*Settings!$C$19)+(L304*Settings!$C$10)+(Settings!$C$11*M304)</f>
        <v>-0.72913718363124858</v>
      </c>
      <c r="D304" s="40">
        <f>IF(Settings!$E$12="YES",VLOOKUP(A304,'Player Data'!A1:E734,5,FALSE),82)</f>
        <v>82</v>
      </c>
      <c r="E304" s="38">
        <f>(VLOOKUP($A304,'The List'!$B1:$AH730,17,FALSE)-AVERAGE('The List'!R2:R730))/STDEV('The List'!R2:R730)</f>
        <v>-1.112587943854024</v>
      </c>
      <c r="F304" s="38">
        <f>(VLOOKUP($A304,'The List'!$B1:$AH730,18,FALSE)-AVERAGE('The List'!S2:S730))/STDEV('The List'!S2:S730)</f>
        <v>-0.11851362714113065</v>
      </c>
      <c r="G304" s="38">
        <f>(VLOOKUP($A304,'The List'!$B1:$AH730,19,FALSE)-AVERAGE('The List'!T2:T730))/STDEV('The List'!T2:T730)</f>
        <v>-0.19493184219140441</v>
      </c>
      <c r="H304" s="38">
        <f>(VLOOKUP($A304,'The List'!$B1:$AH730,20,FALSE)-AVERAGE('The List'!U2:U730))/STDEV('The List'!U2:U730)</f>
        <v>-0.17488708558595856</v>
      </c>
      <c r="I304" s="38">
        <f>(VLOOKUP($A304,'The List'!$B1:$AH730,21,FALSE)-AVERAGE('The List'!V2:V730))/STDEV('The List'!V2:V730)</f>
        <v>-0.436103827844734</v>
      </c>
      <c r="J304" s="38">
        <f>(VLOOKUP($A304,'The List'!$B1:$AH730,22,FALSE)-AVERAGE('The List'!W2:W730))/STDEV('The List'!W2:W730)</f>
        <v>0.61721295254101971</v>
      </c>
      <c r="K304" s="38">
        <f>(VLOOKUP($A304,'The List'!$B1:$AH730,23,FALSE)-AVERAGE('The List'!X2:X730))/STDEV('The List'!X2:X730)</f>
        <v>0.19529919913197905</v>
      </c>
      <c r="L304" s="38">
        <f>(VLOOKUP($A304,'The List'!$B1:$AH730,24,FALSE)-AVERAGE('The List'!Y2:Y730))/STDEV('The List'!Y2:Y730)</f>
        <v>-0.51250405520375175</v>
      </c>
      <c r="M304" s="38">
        <f>(VLOOKUP($A304,'The List'!$B1:$AH730,25,FALSE)-AVERAGE('The List'!Z2:Z730))/STDEV('The List'!Z2:Z730)</f>
        <v>-0.69052171153787145</v>
      </c>
      <c r="N304" s="38">
        <f>(VLOOKUP($A304,'The List'!$B1:$AH730,26,FALSE)-AVERAGE('The List'!AA2:AA730))/STDEV('The List'!AA2:AA730)</f>
        <v>-1.0601090842349725</v>
      </c>
      <c r="O304" s="38">
        <f>(VLOOKUP($A304,'The List'!$B1:$AH730,27,FALSE)-AVERAGE('The List'!AB2:AB730))/STDEV('The List'!AB2:AB730)</f>
        <v>9.4748023772368614E-2</v>
      </c>
      <c r="P304" s="38">
        <f>(VLOOKUP($A304,'The List'!$B1:$AH730,28,FALSE)-AVERAGE('The List'!AC2:AC730))/STDEV('The List'!AC2:AC730)</f>
        <v>1.6698613251415084</v>
      </c>
      <c r="Q304" s="38">
        <f>(VLOOKUP($A304,'The List'!$B1:$AH730,29,FALSE)-AVERAGE('The List'!AD2:AD730))/STDEV('The List'!AD2:AD730)</f>
        <v>-0.2712340956399874</v>
      </c>
      <c r="R304" s="38">
        <f>(VLOOKUP($A304,'The List'!$B1:$AH730,30,FALSE)-AVERAGE('The List'!AE2:AE730))/STDEV('The List'!AE2:AE730)</f>
        <v>0.21065198275509997</v>
      </c>
      <c r="S304" s="38">
        <f>(VLOOKUP($A304,'The List'!$B1:$AH730,31,FALSE)-AVERAGE('The List'!AF2:AF730))/STDEV('The List'!AF2:AF730)</f>
        <v>-0.32053275707418871</v>
      </c>
      <c r="T304" s="38">
        <f>(VLOOKUP($A304,'The List'!$B1:$AH730,32,FALSE)-AVERAGE('The List'!AG2:AG730))/STDEV('The List'!AG2:AG730)</f>
        <v>-0.32212852527102781</v>
      </c>
      <c r="U304" s="38">
        <f>(VLOOKUP($A304,'The List'!$B1:$AH730,33,FALSE)-AVERAGE('The List'!AH2:AH730))/STDEV('The List'!AH2:AH730)</f>
        <v>0.89224509383990924</v>
      </c>
      <c r="V304" s="38"/>
      <c r="W304" s="40"/>
      <c r="X304" s="40"/>
      <c r="Y304" s="40"/>
      <c r="Z304" s="40"/>
      <c r="AA304" s="40"/>
      <c r="AB304" s="40"/>
      <c r="AC304" s="43"/>
      <c r="AD304" s="44"/>
      <c r="AE304" s="38"/>
    </row>
    <row r="305" spans="1:31" ht="21.2" customHeight="1">
      <c r="A305" s="8" t="s">
        <v>546</v>
      </c>
      <c r="B305" s="34" t="str">
        <f>VLOOKUP(A305,'Player Data'!A1:B734,2,FALSE)</f>
        <v>TOR</v>
      </c>
      <c r="C305" s="36">
        <f>((E305)*Settings!$C$12)+(F305*Settings!$C$2)+(G305*Settings!$C$3)+(H305*Settings!$C$4)+(I305*Settings!$C$5)+(K305*Settings!$C$9)+(N305*Settings!$C$6)+(J305*Settings!$C$8)+(O305*Settings!$C$7)+(P305*Settings!$C$14)+(Q305*Settings!$C$15)+(R305*Settings!$C$16)+(S305*Settings!$C$17)+(T305*Settings!$C$18)+(U305*Settings!$C$19)+(L305*Settings!$C$10)+(Settings!$C$11*M305)</f>
        <v>-1.2518162173305047</v>
      </c>
      <c r="D305" s="40">
        <f>IF(Settings!$E$12="YES",VLOOKUP(A305,'Player Data'!A1:E734,5,FALSE),82)</f>
        <v>82</v>
      </c>
      <c r="E305" s="38">
        <f>(VLOOKUP($A305,'The List'!$B1:$AH730,17,FALSE)-AVERAGE('The List'!R2:R730))/STDEV('The List'!R2:R730)</f>
        <v>-0.57811807131351378</v>
      </c>
      <c r="F305" s="38">
        <f>(VLOOKUP($A305,'The List'!$B1:$AH730,18,FALSE)-AVERAGE('The List'!S2:S730))/STDEV('The List'!S2:S730)</f>
        <v>0.17003571296495748</v>
      </c>
      <c r="G305" s="38">
        <f>(VLOOKUP($A305,'The List'!$B1:$AH730,19,FALSE)-AVERAGE('The List'!T2:T730))/STDEV('The List'!T2:T730)</f>
        <v>-0.42692889282395613</v>
      </c>
      <c r="H305" s="38">
        <f>(VLOOKUP($A305,'The List'!$B1:$AH730,20,FALSE)-AVERAGE('The List'!U2:U730))/STDEV('The List'!U2:U730)</f>
        <v>-0.18331956540675975</v>
      </c>
      <c r="I305" s="38">
        <f>(VLOOKUP($A305,'The List'!$B1:$AH730,21,FALSE)-AVERAGE('The List'!V2:V730))/STDEV('The List'!V2:V730)</f>
        <v>-0.43910613957988198</v>
      </c>
      <c r="J305" s="38">
        <f>(VLOOKUP($A305,'The List'!$B1:$AH730,22,FALSE)-AVERAGE('The List'!W2:W730))/STDEV('The List'!W2:W730)</f>
        <v>-0.24327899338121733</v>
      </c>
      <c r="K305" s="38">
        <f>(VLOOKUP($A305,'The List'!$B1:$AH730,23,FALSE)-AVERAGE('The List'!X2:X730))/STDEV('The List'!X2:X730)</f>
        <v>-0.37249733248486444</v>
      </c>
      <c r="L305" s="38">
        <f>(VLOOKUP($A305,'The List'!$B1:$AH730,24,FALSE)-AVERAGE('The List'!Y2:Y730))/STDEV('The List'!Y2:Y730)</f>
        <v>0.98651906785465282</v>
      </c>
      <c r="M305" s="38">
        <f>(VLOOKUP($A305,'The List'!$B1:$AH730,25,FALSE)-AVERAGE('The List'!Z2:Z730))/STDEV('The List'!Z2:Z730)</f>
        <v>1.5090388102822758</v>
      </c>
      <c r="N305" s="38">
        <f>(VLOOKUP($A305,'The List'!$B1:$AH730,26,FALSE)-AVERAGE('The List'!AA2:AA730))/STDEV('The List'!AA2:AA730)</f>
        <v>-0.98947364437362306</v>
      </c>
      <c r="O305" s="38">
        <f>(VLOOKUP($A305,'The List'!$B1:$AH730,27,FALSE)-AVERAGE('The List'!AB2:AB730))/STDEV('The List'!AB2:AB730)</f>
        <v>-0.79062203951339627</v>
      </c>
      <c r="P305" s="38">
        <f>(VLOOKUP($A305,'The List'!$B1:$AH730,28,FALSE)-AVERAGE('The List'!AC2:AC730))/STDEV('The List'!AC2:AC730)</f>
        <v>0.95496486435884231</v>
      </c>
      <c r="Q305" s="38">
        <f>(VLOOKUP($A305,'The List'!$B1:$AH730,29,FALSE)-AVERAGE('The List'!AD2:AD730))/STDEV('The List'!AD2:AD730)</f>
        <v>-1.3387436446318657</v>
      </c>
      <c r="R305" s="38">
        <f>(VLOOKUP($A305,'The List'!$B1:$AH730,30,FALSE)-AVERAGE('The List'!AE2:AE730))/STDEV('The List'!AE2:AE730)</f>
        <v>0.35953342812171468</v>
      </c>
      <c r="S305" s="38">
        <f>(VLOOKUP($A305,'The List'!$B1:$AH730,31,FALSE)-AVERAGE('The List'!AF2:AF730))/STDEV('The List'!AF2:AF730)</f>
        <v>-0.19300013989857695</v>
      </c>
      <c r="T305" s="38">
        <f>(VLOOKUP($A305,'The List'!$B1:$AH730,32,FALSE)-AVERAGE('The List'!AG2:AG730))/STDEV('The List'!AG2:AG730)</f>
        <v>-0.16481821244565836</v>
      </c>
      <c r="U305" s="38">
        <f>(VLOOKUP($A305,'The List'!$B1:$AH730,33,FALSE)-AVERAGE('The List'!AH2:AH730))/STDEV('The List'!AH2:AH730)</f>
        <v>0.87461070748188785</v>
      </c>
      <c r="V305" s="38"/>
      <c r="W305" s="40"/>
      <c r="X305" s="38"/>
      <c r="Y305" s="38"/>
      <c r="Z305" s="38"/>
      <c r="AA305" s="38"/>
      <c r="AB305" s="38"/>
      <c r="AC305" s="38"/>
      <c r="AD305" s="38"/>
      <c r="AE305" s="38"/>
    </row>
    <row r="306" spans="1:31" ht="21.2" customHeight="1">
      <c r="A306" s="8" t="s">
        <v>433</v>
      </c>
      <c r="B306" s="34" t="str">
        <f>VLOOKUP(A306,'Player Data'!A1:B734,2,FALSE)</f>
        <v>CGY</v>
      </c>
      <c r="C306" s="36">
        <f>((E306)*Settings!$C$12)+(F306*Settings!$C$2)+(G306*Settings!$C$3)+(H306*Settings!$C$4)+(I306*Settings!$C$5)+(K306*Settings!$C$9)+(N306*Settings!$C$6)+(J306*Settings!$C$8)+(O306*Settings!$C$7)+(P306*Settings!$C$14)+(Q306*Settings!$C$15)+(R306*Settings!$C$16)+(S306*Settings!$C$17)+(T306*Settings!$C$18)+(U306*Settings!$C$19)+(L306*Settings!$C$10)+(Settings!$C$11*M306)</f>
        <v>-0.5981205346971552</v>
      </c>
      <c r="D306" s="40">
        <f>IF(Settings!$E$12="YES",VLOOKUP(A306,'Player Data'!A1:E734,5,FALSE),82)</f>
        <v>82</v>
      </c>
      <c r="E306" s="38">
        <f>(VLOOKUP($A306,'The List'!$B1:$AH730,17,FALSE)-AVERAGE('The List'!R2:R730))/STDEV('The List'!R2:R730)</f>
        <v>-0.47533840149383233</v>
      </c>
      <c r="F306" s="38">
        <f>(VLOOKUP($A306,'The List'!$B1:$AH730,18,FALSE)-AVERAGE('The List'!S2:S730))/STDEV('The List'!S2:S730)</f>
        <v>0.14491309422587742</v>
      </c>
      <c r="G306" s="38">
        <f>(VLOOKUP($A306,'The List'!$B1:$AH730,19,FALSE)-AVERAGE('The List'!T2:T730))/STDEV('The List'!T2:T730)</f>
        <v>-0.41151124759217594</v>
      </c>
      <c r="H306" s="38">
        <f>(VLOOKUP($A306,'The List'!$B1:$AH730,20,FALSE)-AVERAGE('The List'!U2:U730))/STDEV('The List'!U2:U730)</f>
        <v>-0.18552364624748158</v>
      </c>
      <c r="I306" s="38">
        <f>(VLOOKUP($A306,'The List'!$B1:$AH730,21,FALSE)-AVERAGE('The List'!V2:V730))/STDEV('The List'!V2:V730)</f>
        <v>0.66773297761583594</v>
      </c>
      <c r="J306" s="38">
        <f>(VLOOKUP($A306,'The List'!$B1:$AH730,22,FALSE)-AVERAGE('The List'!W2:W730))/STDEV('The List'!W2:W730)</f>
        <v>-0.72169996705137507</v>
      </c>
      <c r="K306" s="38">
        <f>(VLOOKUP($A306,'The List'!$B1:$AH730,23,FALSE)-AVERAGE('The List'!X2:X730))/STDEV('The List'!X2:X730)</f>
        <v>-0.81373171269921096</v>
      </c>
      <c r="L306" s="38">
        <f>(VLOOKUP($A306,'The List'!$B1:$AH730,24,FALSE)-AVERAGE('The List'!Y2:Y730))/STDEV('The List'!Y2:Y730)</f>
        <v>1.3069218276192631</v>
      </c>
      <c r="M306" s="38">
        <f>(VLOOKUP($A306,'The List'!$B1:$AH730,25,FALSE)-AVERAGE('The List'!Z2:Z730))/STDEV('The List'!Z2:Z730)</f>
        <v>0.63356813673613843</v>
      </c>
      <c r="N306" s="38">
        <f>(VLOOKUP($A306,'The List'!$B1:$AH730,26,FALSE)-AVERAGE('The List'!AA2:AA730))/STDEV('The List'!AA2:AA730)</f>
        <v>-0.61355517194965326</v>
      </c>
      <c r="O306" s="38">
        <f>(VLOOKUP($A306,'The List'!$B1:$AH730,27,FALSE)-AVERAGE('The List'!AB2:AB730))/STDEV('The List'!AB2:AB730)</f>
        <v>0.37167840684529169</v>
      </c>
      <c r="P306" s="38">
        <f>(VLOOKUP($A306,'The List'!$B1:$AH730,28,FALSE)-AVERAGE('The List'!AC2:AC730))/STDEV('The List'!AC2:AC730)</f>
        <v>0.7480968186341117</v>
      </c>
      <c r="Q306" s="38">
        <f>(VLOOKUP($A306,'The List'!$B1:$AH730,29,FALSE)-AVERAGE('The List'!AD2:AD730))/STDEV('The List'!AD2:AD730)</f>
        <v>1.0761641921897784</v>
      </c>
      <c r="R306" s="38">
        <f>(VLOOKUP($A306,'The List'!$B1:$AH730,30,FALSE)-AVERAGE('The List'!AE2:AE730))/STDEV('The List'!AE2:AE730)</f>
        <v>0.39686683487142244</v>
      </c>
      <c r="S306" s="38">
        <f>(VLOOKUP($A306,'The List'!$B1:$AH730,31,FALSE)-AVERAGE('The List'!AF2:AF730))/STDEV('The List'!AF2:AF730)</f>
        <v>-0.52128304174424389</v>
      </c>
      <c r="T306" s="38">
        <f>(VLOOKUP($A306,'The List'!$B1:$AH730,32,FALSE)-AVERAGE('The List'!AG2:AG730))/STDEV('The List'!AG2:AG730)</f>
        <v>-0.4951220192835441</v>
      </c>
      <c r="U306" s="38">
        <f>(VLOOKUP($A306,'The List'!$B1:$AH730,33,FALSE)-AVERAGE('The List'!AH2:AH730))/STDEV('The List'!AH2:AH730)</f>
        <v>9.6942982164050909E-2</v>
      </c>
      <c r="V306" s="38"/>
      <c r="W306" s="42"/>
      <c r="X306" s="40"/>
      <c r="Y306" s="40"/>
      <c r="Z306" s="40"/>
      <c r="AA306" s="40"/>
      <c r="AB306" s="40"/>
      <c r="AC306" s="43"/>
      <c r="AD306" s="44"/>
      <c r="AE306" s="38"/>
    </row>
    <row r="307" spans="1:31" ht="21.2" customHeight="1">
      <c r="A307" s="8" t="s">
        <v>700</v>
      </c>
      <c r="B307" s="34" t="str">
        <f>VLOOKUP(A307,'Player Data'!A1:B734,2,FALSE)</f>
        <v>CGY</v>
      </c>
      <c r="C307" s="36">
        <f>((E307)*Settings!$C$12)+(F307*Settings!$C$2)+(G307*Settings!$C$3)+(H307*Settings!$C$4)+(I307*Settings!$C$5)+(K307*Settings!$C$9)+(N307*Settings!$C$6)+(J307*Settings!$C$8)+(O307*Settings!$C$7)+(P307*Settings!$C$14)+(Q307*Settings!$C$15)+(R307*Settings!$C$16)+(S307*Settings!$C$17)+(T307*Settings!$C$18)+(U307*Settings!$C$19)+(L307*Settings!$C$10)+(Settings!$C$11*M307)</f>
        <v>-1.4147091682657735</v>
      </c>
      <c r="D307" s="40">
        <f>IF(Settings!$E$12="YES",VLOOKUP(A307,'Player Data'!A1:E734,5,FALSE),82)</f>
        <v>82</v>
      </c>
      <c r="E307" s="38">
        <f>(VLOOKUP($A307,'The List'!$B1:$AH730,17,FALSE)-AVERAGE('The List'!R2:R730))/STDEV('The List'!R2:R730)</f>
        <v>-1.1707023738739781</v>
      </c>
      <c r="F307" s="38">
        <f>(VLOOKUP($A307,'The List'!$B1:$AH730,18,FALSE)-AVERAGE('The List'!S2:S730))/STDEV('The List'!S2:S730)</f>
        <v>-0.13380277177629468</v>
      </c>
      <c r="G307" s="38">
        <f>(VLOOKUP($A307,'The List'!$B1:$AH730,19,FALSE)-AVERAGE('The List'!T2:T730))/STDEV('The List'!T2:T730)</f>
        <v>-0.20433207769456102</v>
      </c>
      <c r="H307" s="38">
        <f>(VLOOKUP($A307,'The List'!$B1:$AH730,20,FALSE)-AVERAGE('The List'!U2:U730))/STDEV('The List'!U2:U730)</f>
        <v>-0.18777141255796981</v>
      </c>
      <c r="I307" s="38">
        <f>(VLOOKUP($A307,'The List'!$B1:$AH730,21,FALSE)-AVERAGE('The List'!V2:V730))/STDEV('The List'!V2:V730)</f>
        <v>-0.47693222601993907</v>
      </c>
      <c r="J307" s="38">
        <f>(VLOOKUP($A307,'The List'!$B1:$AH730,22,FALSE)-AVERAGE('The List'!W2:W730))/STDEV('The List'!W2:W730)</f>
        <v>-0.35113923549519344</v>
      </c>
      <c r="K307" s="38">
        <f>(VLOOKUP($A307,'The List'!$B1:$AH730,23,FALSE)-AVERAGE('The List'!X2:X730))/STDEV('The List'!X2:X730)</f>
        <v>-0.4118706802170089</v>
      </c>
      <c r="L307" s="38">
        <f>(VLOOKUP($A307,'The List'!$B1:$AH730,24,FALSE)-AVERAGE('The List'!Y2:Y730))/STDEV('The List'!Y2:Y730)</f>
        <v>-0.51227380200622297</v>
      </c>
      <c r="M307" s="38">
        <f>(VLOOKUP($A307,'The List'!$B1:$AH730,25,FALSE)-AVERAGE('The List'!Z2:Z730))/STDEV('The List'!Z2:Z730)</f>
        <v>-0.6883092130556665</v>
      </c>
      <c r="N307" s="38">
        <f>(VLOOKUP($A307,'The List'!$B1:$AH730,26,FALSE)-AVERAGE('The List'!AA2:AA730))/STDEV('The List'!AA2:AA730)</f>
        <v>-1.0465134648162748</v>
      </c>
      <c r="O307" s="38">
        <f>(VLOOKUP($A307,'The List'!$B1:$AH730,27,FALSE)-AVERAGE('The List'!AB2:AB730))/STDEV('The List'!AB2:AB730)</f>
        <v>-0.56920187286660018</v>
      </c>
      <c r="P307" s="38">
        <f>(VLOOKUP($A307,'The List'!$B1:$AH730,28,FALSE)-AVERAGE('The List'!AC2:AC730))/STDEV('The List'!AC2:AC730)</f>
        <v>0.52052423234824552</v>
      </c>
      <c r="Q307" s="38">
        <f>(VLOOKUP($A307,'The List'!$B1:$AH730,29,FALSE)-AVERAGE('The List'!AD2:AD730))/STDEV('The List'!AD2:AD730)</f>
        <v>-0.74793682349970436</v>
      </c>
      <c r="R307" s="38">
        <f>(VLOOKUP($A307,'The List'!$B1:$AH730,30,FALSE)-AVERAGE('The List'!AE2:AE730))/STDEV('The List'!AE2:AE730)</f>
        <v>9.3575976916113163E-2</v>
      </c>
      <c r="S307" s="38">
        <f>(VLOOKUP($A307,'The List'!$B1:$AH730,31,FALSE)-AVERAGE('The List'!AF2:AF730))/STDEV('The List'!AF2:AF730)</f>
        <v>0.29537152410661976</v>
      </c>
      <c r="T307" s="38">
        <f>(VLOOKUP($A307,'The List'!$B1:$AH730,32,FALSE)-AVERAGE('The List'!AG2:AG730))/STDEV('The List'!AG2:AG730)</f>
        <v>0.39899812444002219</v>
      </c>
      <c r="U307" s="38">
        <f>(VLOOKUP($A307,'The List'!$B1:$AH730,33,FALSE)-AVERAGE('The List'!AH2:AH730))/STDEV('The List'!AH2:AH730)</f>
        <v>0.89751552537106849</v>
      </c>
      <c r="V307" s="38"/>
      <c r="W307" s="42"/>
      <c r="X307" s="40"/>
      <c r="Y307" s="40"/>
      <c r="Z307" s="40"/>
      <c r="AA307" s="40"/>
      <c r="AB307" s="40"/>
      <c r="AC307" s="43"/>
      <c r="AD307" s="44"/>
      <c r="AE307" s="38"/>
    </row>
    <row r="308" spans="1:31" ht="21.2" customHeight="1">
      <c r="A308" s="8" t="s">
        <v>462</v>
      </c>
      <c r="B308" s="34" t="str">
        <f>VLOOKUP(A308,'Player Data'!A1:B734,2,FALSE)</f>
        <v>SJS</v>
      </c>
      <c r="C308" s="36">
        <f>((E308)*Settings!$C$12)+(F308*Settings!$C$2)+(G308*Settings!$C$3)+(H308*Settings!$C$4)+(I308*Settings!$C$5)+(K308*Settings!$C$9)+(N308*Settings!$C$6)+(J308*Settings!$C$8)+(O308*Settings!$C$7)+(P308*Settings!$C$14)+(Q308*Settings!$C$15)+(R308*Settings!$C$16)+(S308*Settings!$C$17)+(T308*Settings!$C$18)+(U308*Settings!$C$19)+(L308*Settings!$C$10)+(Settings!$C$11*M308)</f>
        <v>0.62198929305437045</v>
      </c>
      <c r="D308" s="40">
        <f>IF(Settings!$E$12="YES",VLOOKUP(A308,'Player Data'!A1:E734,5,FALSE),82)</f>
        <v>82</v>
      </c>
      <c r="E308" s="38">
        <f>(VLOOKUP($A308,'The List'!$B1:$AH730,17,FALSE)-AVERAGE('The List'!R2:R730))/STDEV('The List'!R2:R730)</f>
        <v>-0.49919148839538113</v>
      </c>
      <c r="F308" s="38">
        <f>(VLOOKUP($A308,'The List'!$B1:$AH730,18,FALSE)-AVERAGE('The List'!S2:S730))/STDEV('The List'!S2:S730)</f>
        <v>7.5928952260080701E-2</v>
      </c>
      <c r="G308" s="38">
        <f>(VLOOKUP($A308,'The List'!$B1:$AH730,19,FALSE)-AVERAGE('The List'!T2:T730))/STDEV('The List'!T2:T730)</f>
        <v>-0.36365710611468</v>
      </c>
      <c r="H308" s="38">
        <f>(VLOOKUP($A308,'The List'!$B1:$AH730,20,FALSE)-AVERAGE('The List'!U2:U730))/STDEV('The List'!U2:U730)</f>
        <v>-0.18818426762409873</v>
      </c>
      <c r="I308" s="38">
        <f>(VLOOKUP($A308,'The List'!$B1:$AH730,21,FALSE)-AVERAGE('The List'!V2:V730))/STDEV('The List'!V2:V730)</f>
        <v>0.62074454452565986</v>
      </c>
      <c r="J308" s="38">
        <f>(VLOOKUP($A308,'The List'!$B1:$AH730,22,FALSE)-AVERAGE('The List'!W2:W730))/STDEV('The List'!W2:W730)</f>
        <v>0.19588721982517016</v>
      </c>
      <c r="K308" s="38">
        <f>(VLOOKUP($A308,'The List'!$B1:$AH730,23,FALSE)-AVERAGE('The List'!X2:X730))/STDEV('The List'!X2:X730)</f>
        <v>0.47715717000740854</v>
      </c>
      <c r="L308" s="38">
        <f>(VLOOKUP($A308,'The List'!$B1:$AH730,24,FALSE)-AVERAGE('The List'!Y2:Y730))/STDEV('The List'!Y2:Y730)</f>
        <v>-0.51188779275509555</v>
      </c>
      <c r="M308" s="38">
        <f>(VLOOKUP($A308,'The List'!$B1:$AH730,25,FALSE)-AVERAGE('The List'!Z2:Z730))/STDEV('The List'!Z2:Z730)</f>
        <v>-0.69087584428313431</v>
      </c>
      <c r="N308" s="38">
        <f>(VLOOKUP($A308,'The List'!$B1:$AH730,26,FALSE)-AVERAGE('The List'!AA2:AA730))/STDEV('The List'!AA2:AA730)</f>
        <v>-0.82776341004760201</v>
      </c>
      <c r="O308" s="38">
        <f>(VLOOKUP($A308,'The List'!$B1:$AH730,27,FALSE)-AVERAGE('The List'!AB2:AB730))/STDEV('The List'!AB2:AB730)</f>
        <v>-1.220011664562356</v>
      </c>
      <c r="P308" s="38">
        <f>(VLOOKUP($A308,'The List'!$B1:$AH730,28,FALSE)-AVERAGE('The List'!AC2:AC730))/STDEV('The List'!AC2:AC730)</f>
        <v>-0.25178787600493063</v>
      </c>
      <c r="Q308" s="38">
        <f>(VLOOKUP($A308,'The List'!$B1:$AH730,29,FALSE)-AVERAGE('The List'!AD2:AD730))/STDEV('The List'!AD2:AD730)</f>
        <v>-0.29130603822866974</v>
      </c>
      <c r="R308" s="38">
        <f>(VLOOKUP($A308,'The List'!$B1:$AH730,30,FALSE)-AVERAGE('The List'!AE2:AE730))/STDEV('The List'!AE2:AE730)</f>
        <v>-0.28700209690216333</v>
      </c>
      <c r="S308" s="38">
        <f>(VLOOKUP($A308,'The List'!$B1:$AH730,31,FALSE)-AVERAGE('The List'!AF2:AF730))/STDEV('The List'!AF2:AF730)</f>
        <v>-0.48977493690260154</v>
      </c>
      <c r="T308" s="38">
        <f>(VLOOKUP($A308,'The List'!$B1:$AH730,32,FALSE)-AVERAGE('The List'!AG2:AG730))/STDEV('The List'!AG2:AG730)</f>
        <v>-0.55959659395847894</v>
      </c>
      <c r="U308" s="38">
        <f>(VLOOKUP($A308,'The List'!$B1:$AH730,33,FALSE)-AVERAGE('The List'!AH2:AH730))/STDEV('The List'!AH2:AH730)</f>
        <v>1.4747975476214861</v>
      </c>
      <c r="V308" s="38"/>
      <c r="W308" s="40"/>
      <c r="X308" s="38"/>
      <c r="Y308" s="38"/>
      <c r="Z308" s="38"/>
      <c r="AA308" s="38"/>
      <c r="AB308" s="38"/>
      <c r="AC308" s="38"/>
      <c r="AD308" s="38"/>
      <c r="AE308" s="38"/>
    </row>
    <row r="309" spans="1:31" ht="21.2" customHeight="1">
      <c r="A309" s="8" t="s">
        <v>345</v>
      </c>
      <c r="B309" s="34" t="str">
        <f>VLOOKUP(A309,'Player Data'!A1:B734,2,FALSE)</f>
        <v>MTL</v>
      </c>
      <c r="C309" s="36">
        <f>((E309)*Settings!$C$12)+(F309*Settings!$C$2)+(G309*Settings!$C$3)+(H309*Settings!$C$4)+(I309*Settings!$C$5)+(K309*Settings!$C$9)+(N309*Settings!$C$6)+(J309*Settings!$C$8)+(O309*Settings!$C$7)+(P309*Settings!$C$14)+(Q309*Settings!$C$15)+(R309*Settings!$C$16)+(S309*Settings!$C$17)+(T309*Settings!$C$18)+(U309*Settings!$C$19)+(L309*Settings!$C$10)+(Settings!$C$11*M309)</f>
        <v>-1.7634012996426018</v>
      </c>
      <c r="D309" s="40">
        <f>IF(Settings!$E$12="YES",VLOOKUP(A309,'Player Data'!A1:E734,5,FALSE),82)</f>
        <v>82</v>
      </c>
      <c r="E309" s="38">
        <f>(VLOOKUP($A309,'The List'!$B1:$AH730,17,FALSE)-AVERAGE('The List'!R2:R730))/STDEV('The List'!R2:R730)</f>
        <v>1.1106695834053826</v>
      </c>
      <c r="F309" s="38">
        <f>(VLOOKUP($A309,'The List'!$B1:$AH730,18,FALSE)-AVERAGE('The List'!S2:S730))/STDEV('The List'!S2:S730)</f>
        <v>-0.64402596540130141</v>
      </c>
      <c r="G309" s="38">
        <f>(VLOOKUP($A309,'The List'!$B1:$AH730,19,FALSE)-AVERAGE('The List'!T2:T730))/STDEV('The List'!T2:T730)</f>
        <v>0.1737662093471381</v>
      </c>
      <c r="H309" s="38">
        <f>(VLOOKUP($A309,'The List'!$B1:$AH730,20,FALSE)-AVERAGE('The List'!U2:U730))/STDEV('The List'!U2:U730)</f>
        <v>-0.19260419312677732</v>
      </c>
      <c r="I309" s="38">
        <f>(VLOOKUP($A309,'The List'!$B1:$AH730,21,FALSE)-AVERAGE('The List'!V2:V730))/STDEV('The List'!V2:V730)</f>
        <v>-0.51515830506985549</v>
      </c>
      <c r="J309" s="38">
        <f>(VLOOKUP($A309,'The List'!$B1:$AH730,22,FALSE)-AVERAGE('The List'!W2:W730))/STDEV('The List'!W2:W730)</f>
        <v>-0.63866260351734672</v>
      </c>
      <c r="K309" s="38">
        <f>(VLOOKUP($A309,'The List'!$B1:$AH730,23,FALSE)-AVERAGE('The List'!X2:X730))/STDEV('The List'!X2:X730)</f>
        <v>-0.58537904539180574</v>
      </c>
      <c r="L309" s="38">
        <f>(VLOOKUP($A309,'The List'!$B1:$AH730,24,FALSE)-AVERAGE('The List'!Y2:Y730))/STDEV('The List'!Y2:Y730)</f>
        <v>-0.39457444354655097</v>
      </c>
      <c r="M309" s="38">
        <f>(VLOOKUP($A309,'The List'!$B1:$AH730,25,FALSE)-AVERAGE('The List'!Z2:Z730))/STDEV('The List'!Z2:Z730)</f>
        <v>-0.18713114924638138</v>
      </c>
      <c r="N309" s="38">
        <f>(VLOOKUP($A309,'The List'!$B1:$AH730,26,FALSE)-AVERAGE('The List'!AA2:AA730))/STDEV('The List'!AA2:AA730)</f>
        <v>1.8520329150311898</v>
      </c>
      <c r="O309" s="38">
        <f>(VLOOKUP($A309,'The List'!$B1:$AH730,27,FALSE)-AVERAGE('The List'!AB2:AB730))/STDEV('The List'!AB2:AB730)</f>
        <v>0.66357499110983853</v>
      </c>
      <c r="P309" s="38">
        <f>(VLOOKUP($A309,'The List'!$B1:$AH730,28,FALSE)-AVERAGE('The List'!AC2:AC730))/STDEV('The List'!AC2:AC730)</f>
        <v>-2.2582926107446957</v>
      </c>
      <c r="Q309" s="38">
        <f>(VLOOKUP($A309,'The List'!$B1:$AH730,29,FALSE)-AVERAGE('The List'!AD2:AD730))/STDEV('The List'!AD2:AD730)</f>
        <v>0.86921405230634541</v>
      </c>
      <c r="R309" s="38">
        <f>(VLOOKUP($A309,'The List'!$B1:$AH730,30,FALSE)-AVERAGE('The List'!AE2:AE730))/STDEV('The List'!AE2:AE730)</f>
        <v>-0.76729875307045137</v>
      </c>
      <c r="S309" s="38">
        <f>(VLOOKUP($A309,'The List'!$B1:$AH730,31,FALSE)-AVERAGE('The List'!AF2:AF730))/STDEV('The List'!AF2:AF730)</f>
        <v>-0.56911587195029545</v>
      </c>
      <c r="T309" s="38">
        <f>(VLOOKUP($A309,'The List'!$B1:$AH730,32,FALSE)-AVERAGE('The List'!AG2:AG730))/STDEV('The List'!AG2:AG730)</f>
        <v>-0.61510119871956948</v>
      </c>
      <c r="U309" s="38">
        <f>(VLOOKUP($A309,'The List'!$B1:$AH730,33,FALSE)-AVERAGE('The List'!AH2:AH730))/STDEV('The List'!AH2:AH730)</f>
        <v>-1.2363238714825984</v>
      </c>
      <c r="V309" s="38"/>
      <c r="W309" s="42"/>
      <c r="X309" s="40"/>
      <c r="Y309" s="40"/>
      <c r="Z309" s="40"/>
      <c r="AA309" s="40"/>
      <c r="AB309" s="40"/>
      <c r="AC309" s="43"/>
      <c r="AD309" s="44"/>
      <c r="AE309" s="38"/>
    </row>
    <row r="310" spans="1:31" ht="21.2" customHeight="1">
      <c r="A310" s="8" t="s">
        <v>316</v>
      </c>
      <c r="B310" s="34" t="str">
        <f>VLOOKUP(A310,'Player Data'!A1:B734,2,FALSE)</f>
        <v>NYR</v>
      </c>
      <c r="C310" s="36">
        <f>((E310)*Settings!$C$12)+(F310*Settings!$C$2)+(G310*Settings!$C$3)+(H310*Settings!$C$4)+(I310*Settings!$C$5)+(K310*Settings!$C$9)+(N310*Settings!$C$6)+(J310*Settings!$C$8)+(O310*Settings!$C$7)+(P310*Settings!$C$14)+(Q310*Settings!$C$15)+(R310*Settings!$C$16)+(S310*Settings!$C$17)+(T310*Settings!$C$18)+(U310*Settings!$C$19)+(L310*Settings!$C$10)+(Settings!$C$11*M310)</f>
        <v>-1.8079946255179389</v>
      </c>
      <c r="D310" s="40">
        <f>IF(Settings!$E$12="YES",VLOOKUP(A310,'Player Data'!A1:E734,5,FALSE),82)</f>
        <v>82</v>
      </c>
      <c r="E310" s="38">
        <f>(VLOOKUP($A310,'The List'!$B1:$AH730,17,FALSE)-AVERAGE('The List'!R2:R730))/STDEV('The List'!R2:R730)</f>
        <v>1.513467053530269</v>
      </c>
      <c r="F310" s="38">
        <f>(VLOOKUP($A310,'The List'!$B1:$AH730,18,FALSE)-AVERAGE('The List'!S2:S730))/STDEV('The List'!S2:S730)</f>
        <v>-0.53758479365754541</v>
      </c>
      <c r="G310" s="38">
        <f>(VLOOKUP($A310,'The List'!$B1:$AH730,19,FALSE)-AVERAGE('The List'!T2:T730))/STDEV('The List'!T2:T730)</f>
        <v>9.168960032399863E-2</v>
      </c>
      <c r="H310" s="38">
        <f>(VLOOKUP($A310,'The List'!$B1:$AH730,20,FALSE)-AVERAGE('The List'!U2:U730))/STDEV('The List'!U2:U730)</f>
        <v>-0.19356185772913168</v>
      </c>
      <c r="I310" s="38">
        <f>(VLOOKUP($A310,'The List'!$B1:$AH730,21,FALSE)-AVERAGE('The List'!V2:V730))/STDEV('The List'!V2:V730)</f>
        <v>-0.46945168540714866</v>
      </c>
      <c r="J310" s="38">
        <f>(VLOOKUP($A310,'The List'!$B1:$AH730,22,FALSE)-AVERAGE('The List'!W2:W730))/STDEV('The List'!W2:W730)</f>
        <v>-0.65710118224204661</v>
      </c>
      <c r="K310" s="38">
        <f>(VLOOKUP($A310,'The List'!$B1:$AH730,23,FALSE)-AVERAGE('The List'!X2:X730))/STDEV('The List'!X2:X730)</f>
        <v>-0.69908588904811175</v>
      </c>
      <c r="L310" s="38">
        <f>(VLOOKUP($A310,'The List'!$B1:$AH730,24,FALSE)-AVERAGE('The List'!Y2:Y730))/STDEV('The List'!Y2:Y730)</f>
        <v>-0.43446755698931566</v>
      </c>
      <c r="M310" s="38">
        <f>(VLOOKUP($A310,'The List'!$B1:$AH730,25,FALSE)-AVERAGE('The List'!Z2:Z730))/STDEV('The List'!Z2:Z730)</f>
        <v>0.41581536249482803</v>
      </c>
      <c r="N310" s="38">
        <f>(VLOOKUP($A310,'The List'!$B1:$AH730,26,FALSE)-AVERAGE('The List'!AA2:AA730))/STDEV('The List'!AA2:AA730)</f>
        <v>1.1728187912410781</v>
      </c>
      <c r="O310" s="38">
        <f>(VLOOKUP($A310,'The List'!$B1:$AH730,27,FALSE)-AVERAGE('The List'!AB2:AB730))/STDEV('The List'!AB2:AB730)</f>
        <v>1.0399991121753147</v>
      </c>
      <c r="P310" s="38">
        <f>(VLOOKUP($A310,'The List'!$B1:$AH730,28,FALSE)-AVERAGE('The List'!AC2:AC730))/STDEV('The List'!AC2:AC730)</f>
        <v>0.90471540237489911</v>
      </c>
      <c r="Q310" s="38">
        <f>(VLOOKUP($A310,'The List'!$B1:$AH730,29,FALSE)-AVERAGE('The List'!AD2:AD730))/STDEV('The List'!AD2:AD730)</f>
        <v>2.5872514470470041E-2</v>
      </c>
      <c r="R310" s="38">
        <f>(VLOOKUP($A310,'The List'!$B1:$AH730,30,FALSE)-AVERAGE('The List'!AE2:AE730))/STDEV('The List'!AE2:AE730)</f>
        <v>-0.32792073421446255</v>
      </c>
      <c r="S310" s="38">
        <f>(VLOOKUP($A310,'The List'!$B1:$AH730,31,FALSE)-AVERAGE('The List'!AF2:AF730))/STDEV('The List'!AF2:AF730)</f>
        <v>-0.56911587195029545</v>
      </c>
      <c r="T310" s="38">
        <f>(VLOOKUP($A310,'The List'!$B1:$AH730,32,FALSE)-AVERAGE('The List'!AG2:AG730))/STDEV('The List'!AG2:AG730)</f>
        <v>-0.61510119871956948</v>
      </c>
      <c r="U310" s="38">
        <f>(VLOOKUP($A310,'The List'!$B1:$AH730,33,FALSE)-AVERAGE('The List'!AH2:AH730))/STDEV('The List'!AH2:AH730)</f>
        <v>-1.2363238714825984</v>
      </c>
      <c r="V310" s="38"/>
      <c r="W310" s="40"/>
      <c r="X310" s="38"/>
      <c r="Y310" s="38"/>
      <c r="Z310" s="38"/>
      <c r="AA310" s="38"/>
      <c r="AB310" s="38"/>
      <c r="AC310" s="38"/>
      <c r="AD310" s="38"/>
      <c r="AE310" s="38"/>
    </row>
    <row r="311" spans="1:31" ht="21.2" customHeight="1">
      <c r="A311" s="8" t="s">
        <v>566</v>
      </c>
      <c r="B311" s="34" t="str">
        <f>VLOOKUP(A311,'Player Data'!A1:B734,2,FALSE)</f>
        <v>CHI</v>
      </c>
      <c r="C311" s="36">
        <f>((E311)*Settings!$C$12)+(F311*Settings!$C$2)+(G311*Settings!$C$3)+(H311*Settings!$C$4)+(I311*Settings!$C$5)+(K311*Settings!$C$9)+(N311*Settings!$C$6)+(J311*Settings!$C$8)+(O311*Settings!$C$7)+(P311*Settings!$C$14)+(Q311*Settings!$C$15)+(R311*Settings!$C$16)+(S311*Settings!$C$17)+(T311*Settings!$C$18)+(U311*Settings!$C$19)+(L311*Settings!$C$10)+(Settings!$C$11*M311)</f>
        <v>-1.0716259602279634</v>
      </c>
      <c r="D311" s="40">
        <f>IF(Settings!$E$12="YES",VLOOKUP(A311,'Player Data'!A1:E734,5,FALSE),82)</f>
        <v>82</v>
      </c>
      <c r="E311" s="38">
        <f>(VLOOKUP($A311,'The List'!$B1:$AH730,17,FALSE)-AVERAGE('The List'!R2:R730))/STDEV('The List'!R2:R730)</f>
        <v>6.3437716063760807E-2</v>
      </c>
      <c r="F311" s="38">
        <f>(VLOOKUP($A311,'The List'!$B1:$AH730,18,FALSE)-AVERAGE('The List'!S2:S730))/STDEV('The List'!S2:S730)</f>
        <v>-0.14632540082134302</v>
      </c>
      <c r="G311" s="38">
        <f>(VLOOKUP($A311,'The List'!$B1:$AH730,19,FALSE)-AVERAGE('The List'!T2:T730))/STDEV('The List'!T2:T730)</f>
        <v>-0.20952460498308673</v>
      </c>
      <c r="H311" s="38">
        <f>(VLOOKUP($A311,'The List'!$B1:$AH730,20,FALSE)-AVERAGE('The List'!U2:U730))/STDEV('The List'!U2:U730)</f>
        <v>-0.19678385855841496</v>
      </c>
      <c r="I311" s="38">
        <f>(VLOOKUP($A311,'The List'!$B1:$AH730,21,FALSE)-AVERAGE('The List'!V2:V730))/STDEV('The List'!V2:V730)</f>
        <v>-0.28348635373483733</v>
      </c>
      <c r="J311" s="38">
        <f>(VLOOKUP($A311,'The List'!$B1:$AH730,22,FALSE)-AVERAGE('The List'!W2:W730))/STDEV('The List'!W2:W730)</f>
        <v>-0.30095306603009403</v>
      </c>
      <c r="K311" s="38">
        <f>(VLOOKUP($A311,'The List'!$B1:$AH730,23,FALSE)-AVERAGE('The List'!X2:X730))/STDEV('The List'!X2:X730)</f>
        <v>-0.23550574213028133</v>
      </c>
      <c r="L311" s="38">
        <f>(VLOOKUP($A311,'The List'!$B1:$AH730,24,FALSE)-AVERAGE('The List'!Y2:Y730))/STDEV('The List'!Y2:Y730)</f>
        <v>3.6955536598232079E-2</v>
      </c>
      <c r="M311" s="38">
        <f>(VLOOKUP($A311,'The List'!$B1:$AH730,25,FALSE)-AVERAGE('The List'!Z2:Z730))/STDEV('The List'!Z2:Z730)</f>
        <v>7.5812028628824996E-2</v>
      </c>
      <c r="N311" s="38">
        <f>(VLOOKUP($A311,'The List'!$B1:$AH730,26,FALSE)-AVERAGE('The List'!AA2:AA730))/STDEV('The List'!AA2:AA730)</f>
        <v>-0.62890749356053655</v>
      </c>
      <c r="O311" s="38">
        <f>(VLOOKUP($A311,'The List'!$B1:$AH730,27,FALSE)-AVERAGE('The List'!AB2:AB730))/STDEV('The List'!AB2:AB730)</f>
        <v>-1.0068536932184233</v>
      </c>
      <c r="P311" s="38">
        <f>(VLOOKUP($A311,'The List'!$B1:$AH730,28,FALSE)-AVERAGE('The List'!AC2:AC730))/STDEV('The List'!AC2:AC730)</f>
        <v>-2.2657216907915281</v>
      </c>
      <c r="Q311" s="38">
        <f>(VLOOKUP($A311,'The List'!$B1:$AH730,29,FALSE)-AVERAGE('The List'!AD2:AD730))/STDEV('The List'!AD2:AD730)</f>
        <v>-0.8724610346919186</v>
      </c>
      <c r="R311" s="38">
        <f>(VLOOKUP($A311,'The List'!$B1:$AH730,30,FALSE)-AVERAGE('The List'!AE2:AE730))/STDEV('The List'!AE2:AE730)</f>
        <v>-0.31781919472747849</v>
      </c>
      <c r="S311" s="38">
        <f>(VLOOKUP($A311,'The List'!$B1:$AH730,31,FALSE)-AVERAGE('The List'!AF2:AF730))/STDEV('The List'!AF2:AF730)</f>
        <v>-8.8503659972622301E-2</v>
      </c>
      <c r="T311" s="38">
        <f>(VLOOKUP($A311,'The List'!$B1:$AH730,32,FALSE)-AVERAGE('The List'!AG2:AG730))/STDEV('The List'!AG2:AG730)</f>
        <v>4.5792610964073964E-2</v>
      </c>
      <c r="U311" s="38">
        <f>(VLOOKUP($A311,'The List'!$B1:$AH730,33,FALSE)-AVERAGE('The List'!AH2:AH730))/STDEV('The List'!AH2:AH730)</f>
        <v>0.71978431725822822</v>
      </c>
      <c r="V311" s="38"/>
      <c r="W311" s="42"/>
      <c r="X311" s="40"/>
      <c r="Y311" s="40"/>
      <c r="Z311" s="40"/>
      <c r="AA311" s="40"/>
      <c r="AB311" s="40"/>
      <c r="AC311" s="43"/>
      <c r="AD311" s="44"/>
      <c r="AE311" s="38"/>
    </row>
    <row r="312" spans="1:31" ht="21.2" customHeight="1">
      <c r="A312" s="8" t="s">
        <v>364</v>
      </c>
      <c r="B312" s="34" t="str">
        <f>VLOOKUP(A312,'Player Data'!A1:B734,2,FALSE)</f>
        <v>WSH</v>
      </c>
      <c r="C312" s="36">
        <f>((E312)*Settings!$C$12)+(F312*Settings!$C$2)+(G312*Settings!$C$3)+(H312*Settings!$C$4)+(I312*Settings!$C$5)+(K312*Settings!$C$9)+(N312*Settings!$C$6)+(J312*Settings!$C$8)+(O312*Settings!$C$7)+(P312*Settings!$C$14)+(Q312*Settings!$C$15)+(R312*Settings!$C$16)+(S312*Settings!$C$17)+(T312*Settings!$C$18)+(U312*Settings!$C$19)+(L312*Settings!$C$10)+(Settings!$C$11*M312)</f>
        <v>-1.5256708090529725</v>
      </c>
      <c r="D312" s="40">
        <f>IF(Settings!$E$12="YES",VLOOKUP(A312,'Player Data'!A1:E734,5,FALSE),82)</f>
        <v>82</v>
      </c>
      <c r="E312" s="38">
        <f>(VLOOKUP($A312,'The List'!$B1:$AH730,17,FALSE)-AVERAGE('The List'!R2:R730))/STDEV('The List'!R2:R730)</f>
        <v>0.58214395815521203</v>
      </c>
      <c r="F312" s="38">
        <f>(VLOOKUP($A312,'The List'!$B1:$AH730,18,FALSE)-AVERAGE('The List'!S2:S730))/STDEV('The List'!S2:S730)</f>
        <v>-0.60968107604092669</v>
      </c>
      <c r="G312" s="38">
        <f>(VLOOKUP($A312,'The List'!$B1:$AH730,19,FALSE)-AVERAGE('The List'!T2:T730))/STDEV('The List'!T2:T730)</f>
        <v>0.13936038170974258</v>
      </c>
      <c r="H312" s="38">
        <f>(VLOOKUP($A312,'The List'!$B1:$AH730,20,FALSE)-AVERAGE('The List'!U2:U730))/STDEV('The List'!U2:U730)</f>
        <v>-0.19778191154215796</v>
      </c>
      <c r="I312" s="38">
        <f>(VLOOKUP($A312,'The List'!$B1:$AH730,21,FALSE)-AVERAGE('The List'!V2:V730))/STDEV('The List'!V2:V730)</f>
        <v>-0.74509039118866149</v>
      </c>
      <c r="J312" s="38">
        <f>(VLOOKUP($A312,'The List'!$B1:$AH730,22,FALSE)-AVERAGE('The List'!W2:W730))/STDEV('The List'!W2:W730)</f>
        <v>-0.66761385247196914</v>
      </c>
      <c r="K312" s="38">
        <f>(VLOOKUP($A312,'The List'!$B1:$AH730,23,FALSE)-AVERAGE('The List'!X2:X730))/STDEV('The List'!X2:X730)</f>
        <v>-0.11247781199096893</v>
      </c>
      <c r="L312" s="38">
        <f>(VLOOKUP($A312,'The List'!$B1:$AH730,24,FALSE)-AVERAGE('The List'!Y2:Y730))/STDEV('The List'!Y2:Y730)</f>
        <v>-0.5071162303071951</v>
      </c>
      <c r="M312" s="38">
        <f>(VLOOKUP($A312,'The List'!$B1:$AH730,25,FALSE)-AVERAGE('The List'!Z2:Z730))/STDEV('The List'!Z2:Z730)</f>
        <v>-0.65640373105818595</v>
      </c>
      <c r="N312" s="38">
        <f>(VLOOKUP($A312,'The List'!$B1:$AH730,26,FALSE)-AVERAGE('The List'!AA2:AA730))/STDEV('The List'!AA2:AA730)</f>
        <v>0.91169759828338859</v>
      </c>
      <c r="O312" s="38">
        <f>(VLOOKUP($A312,'The List'!$B1:$AH730,27,FALSE)-AVERAGE('The List'!AB2:AB730))/STDEV('The List'!AB2:AB730)</f>
        <v>1.0501832795124537</v>
      </c>
      <c r="P312" s="38">
        <f>(VLOOKUP($A312,'The List'!$B1:$AH730,28,FALSE)-AVERAGE('The List'!AC2:AC730))/STDEV('The List'!AC2:AC730)</f>
        <v>-0.3973252022793155</v>
      </c>
      <c r="Q312" s="38">
        <f>(VLOOKUP($A312,'The List'!$B1:$AH730,29,FALSE)-AVERAGE('The List'!AD2:AD730))/STDEV('The List'!AD2:AD730)</f>
        <v>-0.12926256736858519</v>
      </c>
      <c r="R312" s="38">
        <f>(VLOOKUP($A312,'The List'!$B1:$AH730,30,FALSE)-AVERAGE('The List'!AE2:AE730))/STDEV('The List'!AE2:AE730)</f>
        <v>-0.64257136905680523</v>
      </c>
      <c r="S312" s="38">
        <f>(VLOOKUP($A312,'The List'!$B1:$AH730,31,FALSE)-AVERAGE('The List'!AF2:AF730))/STDEV('The List'!AF2:AF730)</f>
        <v>-0.56911587195029545</v>
      </c>
      <c r="T312" s="38">
        <f>(VLOOKUP($A312,'The List'!$B1:$AH730,32,FALSE)-AVERAGE('The List'!AG2:AG730))/STDEV('The List'!AG2:AG730)</f>
        <v>-0.61510119871956948</v>
      </c>
      <c r="U312" s="38">
        <f>(VLOOKUP($A312,'The List'!$B1:$AH730,33,FALSE)-AVERAGE('The List'!AH2:AH730))/STDEV('The List'!AH2:AH730)</f>
        <v>-1.2363238714825984</v>
      </c>
      <c r="V312" s="38"/>
      <c r="W312" s="42"/>
      <c r="X312" s="40"/>
      <c r="Y312" s="40"/>
      <c r="Z312" s="40"/>
      <c r="AA312" s="40"/>
      <c r="AB312" s="40"/>
      <c r="AC312" s="43"/>
      <c r="AD312" s="44"/>
      <c r="AE312" s="38"/>
    </row>
    <row r="313" spans="1:31" ht="21.2" customHeight="1">
      <c r="A313" s="8" t="s">
        <v>572</v>
      </c>
      <c r="B313" s="34" t="str">
        <f>VLOOKUP(A313,'Player Data'!A1:B734,2,FALSE)</f>
        <v>ARI</v>
      </c>
      <c r="C313" s="36">
        <f>((E313)*Settings!$C$12)+(F313*Settings!$C$2)+(G313*Settings!$C$3)+(H313*Settings!$C$4)+(I313*Settings!$C$5)+(K313*Settings!$C$9)+(N313*Settings!$C$6)+(J313*Settings!$C$8)+(O313*Settings!$C$7)+(P313*Settings!$C$14)+(Q313*Settings!$C$15)+(R313*Settings!$C$16)+(S313*Settings!$C$17)+(T313*Settings!$C$18)+(U313*Settings!$C$19)+(L313*Settings!$C$10)+(Settings!$C$11*M313)</f>
        <v>-1.8563214884583716</v>
      </c>
      <c r="D313" s="40">
        <f>IF(Settings!$E$12="YES",VLOOKUP(A313,'Player Data'!A1:E734,5,FALSE),82)</f>
        <v>82</v>
      </c>
      <c r="E313" s="38">
        <f>(VLOOKUP($A313,'The List'!$B1:$AH730,17,FALSE)-AVERAGE('The List'!R2:R730))/STDEV('The List'!R2:R730)</f>
        <v>-0.63361999124927626</v>
      </c>
      <c r="F313" s="38">
        <f>(VLOOKUP($A313,'The List'!$B1:$AH730,18,FALSE)-AVERAGE('The List'!S2:S730))/STDEV('The List'!S2:S730)</f>
        <v>-0.39669037428548887</v>
      </c>
      <c r="G313" s="38">
        <f>(VLOOKUP($A313,'The List'!$B1:$AH730,19,FALSE)-AVERAGE('The List'!T2:T730))/STDEV('The List'!T2:T730)</f>
        <v>-2.4801838476491145E-2</v>
      </c>
      <c r="H313" s="38">
        <f>(VLOOKUP($A313,'The List'!$B1:$AH730,20,FALSE)-AVERAGE('The List'!U2:U730))/STDEV('The List'!U2:U730)</f>
        <v>-0.19965240006916146</v>
      </c>
      <c r="I313" s="38">
        <f>(VLOOKUP($A313,'The List'!$B1:$AH730,21,FALSE)-AVERAGE('The List'!V2:V730))/STDEV('The List'!V2:V730)</f>
        <v>-0.58008010507318508</v>
      </c>
      <c r="J313" s="38">
        <f>(VLOOKUP($A313,'The List'!$B1:$AH730,22,FALSE)-AVERAGE('The List'!W2:W730))/STDEV('The List'!W2:W730)</f>
        <v>-0.52294470503775581</v>
      </c>
      <c r="K313" s="38">
        <f>(VLOOKUP($A313,'The List'!$B1:$AH730,23,FALSE)-AVERAGE('The List'!X2:X730))/STDEV('The List'!X2:X730)</f>
        <v>-0.65509677055404514</v>
      </c>
      <c r="L313" s="38">
        <f>(VLOOKUP($A313,'The List'!$B1:$AH730,24,FALSE)-AVERAGE('The List'!Y2:Y730))/STDEV('The List'!Y2:Y730)</f>
        <v>0.90981543919987595</v>
      </c>
      <c r="M313" s="38">
        <f>(VLOOKUP($A313,'The List'!$B1:$AH730,25,FALSE)-AVERAGE('The List'!Z2:Z730))/STDEV('The List'!Z2:Z730)</f>
        <v>1.8679715413227811</v>
      </c>
      <c r="N313" s="38">
        <f>(VLOOKUP($A313,'The List'!$B1:$AH730,26,FALSE)-AVERAGE('The List'!AA2:AA730))/STDEV('The List'!AA2:AA730)</f>
        <v>-0.46862013923939999</v>
      </c>
      <c r="O313" s="38">
        <f>(VLOOKUP($A313,'The List'!$B1:$AH730,27,FALSE)-AVERAGE('The List'!AB2:AB730))/STDEV('The List'!AB2:AB730)</f>
        <v>-0.75788502270040847</v>
      </c>
      <c r="P313" s="38">
        <f>(VLOOKUP($A313,'The List'!$B1:$AH730,28,FALSE)-AVERAGE('The List'!AC2:AC730))/STDEV('The List'!AC2:AC730)</f>
        <v>-0.56682446309645385</v>
      </c>
      <c r="Q313" s="38">
        <f>(VLOOKUP($A313,'The List'!$B1:$AH730,29,FALSE)-AVERAGE('The List'!AD2:AD730))/STDEV('The List'!AD2:AD730)</f>
        <v>-0.67842162047262622</v>
      </c>
      <c r="R313" s="38">
        <f>(VLOOKUP($A313,'The List'!$B1:$AH730,30,FALSE)-AVERAGE('The List'!AE2:AE730))/STDEV('The List'!AE2:AE730)</f>
        <v>-0.45173486675517999</v>
      </c>
      <c r="S313" s="38">
        <f>(VLOOKUP($A313,'The List'!$B1:$AH730,31,FALSE)-AVERAGE('The List'!AF2:AF730))/STDEV('The List'!AF2:AF730)</f>
        <v>-0.21471328047472629</v>
      </c>
      <c r="T313" s="38">
        <f>(VLOOKUP($A313,'The List'!$B1:$AH730,32,FALSE)-AVERAGE('The List'!AG2:AG730))/STDEV('The List'!AG2:AG730)</f>
        <v>-0.12761609644953575</v>
      </c>
      <c r="U313" s="38">
        <f>(VLOOKUP($A313,'The List'!$B1:$AH730,33,FALSE)-AVERAGE('The List'!AH2:AH730))/STDEV('The List'!AH2:AH730)</f>
        <v>0.71945858197643453</v>
      </c>
      <c r="V313" s="38"/>
      <c r="W313" s="40"/>
      <c r="X313" s="38"/>
      <c r="Y313" s="38"/>
      <c r="Z313" s="38"/>
      <c r="AA313" s="38"/>
      <c r="AB313" s="38"/>
      <c r="AC313" s="38"/>
      <c r="AD313" s="38"/>
      <c r="AE313" s="38"/>
    </row>
    <row r="314" spans="1:31" ht="21.2" customHeight="1">
      <c r="A314" s="8" t="s">
        <v>514</v>
      </c>
      <c r="B314" s="34" t="str">
        <f>VLOOKUP(A314,'Player Data'!A1:B734,2,FALSE)</f>
        <v>TOR</v>
      </c>
      <c r="C314" s="36">
        <f>((E314)*Settings!$C$12)+(F314*Settings!$C$2)+(G314*Settings!$C$3)+(H314*Settings!$C$4)+(I314*Settings!$C$5)+(K314*Settings!$C$9)+(N314*Settings!$C$6)+(J314*Settings!$C$8)+(O314*Settings!$C$7)+(P314*Settings!$C$14)+(Q314*Settings!$C$15)+(R314*Settings!$C$16)+(S314*Settings!$C$17)+(T314*Settings!$C$18)+(U314*Settings!$C$19)+(L314*Settings!$C$10)+(Settings!$C$11*M314)</f>
        <v>0.25046725807532122</v>
      </c>
      <c r="D314" s="40">
        <f>IF(Settings!$E$12="YES",VLOOKUP(A314,'Player Data'!A1:E734,5,FALSE),82)</f>
        <v>82</v>
      </c>
      <c r="E314" s="38">
        <f>(VLOOKUP($A314,'The List'!$B1:$AH730,17,FALSE)-AVERAGE('The List'!R2:R730))/STDEV('The List'!R2:R730)</f>
        <v>-0.39691315665872445</v>
      </c>
      <c r="F314" s="38">
        <f>(VLOOKUP($A314,'The List'!$B1:$AH730,18,FALSE)-AVERAGE('The List'!S2:S730))/STDEV('The List'!S2:S730)</f>
        <v>0.29234275997113202</v>
      </c>
      <c r="G314" s="38">
        <f>(VLOOKUP($A314,'The List'!$B1:$AH730,19,FALSE)-AVERAGE('The List'!T2:T730))/STDEV('The List'!T2:T730)</f>
        <v>-8.8411822886304142E-2</v>
      </c>
      <c r="H314" s="38">
        <f>(VLOOKUP($A314,'The List'!$B1:$AH730,20,FALSE)-AVERAGE('The List'!U2:U730))/STDEV('The List'!U2:U730)</f>
        <v>8.1569749871290689E-2</v>
      </c>
      <c r="I314" s="38">
        <f>(VLOOKUP($A314,'The List'!$B1:$AH730,21,FALSE)-AVERAGE('The List'!V2:V730))/STDEV('The List'!V2:V730)</f>
        <v>1.9037836413340467E-3</v>
      </c>
      <c r="J314" s="38">
        <f>(VLOOKUP($A314,'The List'!$B1:$AH730,22,FALSE)-AVERAGE('The List'!W2:W730))/STDEV('The List'!W2:W730)</f>
        <v>0.1420840099469379</v>
      </c>
      <c r="K314" s="38">
        <f>(VLOOKUP($A314,'The List'!$B1:$AH730,23,FALSE)-AVERAGE('The List'!X2:X730))/STDEV('The List'!X2:X730)</f>
        <v>-3.6937212522131412E-2</v>
      </c>
      <c r="L314" s="38">
        <f>(VLOOKUP($A314,'The List'!$B1:$AH730,24,FALSE)-AVERAGE('The List'!Y2:Y730))/STDEV('The List'!Y2:Y730)</f>
        <v>-0.52515529094994673</v>
      </c>
      <c r="M314" s="38">
        <f>(VLOOKUP($A314,'The List'!$B1:$AH730,25,FALSE)-AVERAGE('The List'!Z2:Z730))/STDEV('The List'!Z2:Z730)</f>
        <v>-0.70378350861314143</v>
      </c>
      <c r="N314" s="38">
        <f>(VLOOKUP($A314,'The List'!$B1:$AH730,26,FALSE)-AVERAGE('The List'!AA2:AA730))/STDEV('The List'!AA2:AA730)</f>
        <v>-0.72722954051684419</v>
      </c>
      <c r="O314" s="38">
        <f>(VLOOKUP($A314,'The List'!$B1:$AH730,27,FALSE)-AVERAGE('The List'!AB2:AB730))/STDEV('The List'!AB2:AB730)</f>
        <v>-8.1134936123367155E-2</v>
      </c>
      <c r="P314" s="38">
        <f>(VLOOKUP($A314,'The List'!$B1:$AH730,28,FALSE)-AVERAGE('The List'!AC2:AC730))/STDEV('The List'!AC2:AC730)</f>
        <v>-7.5924055160526555E-2</v>
      </c>
      <c r="Q314" s="38">
        <f>(VLOOKUP($A314,'The List'!$B1:$AH730,29,FALSE)-AVERAGE('The List'!AD2:AD730))/STDEV('The List'!AD2:AD730)</f>
        <v>-8.7568044408760093E-2</v>
      </c>
      <c r="R314" s="38">
        <f>(VLOOKUP($A314,'The List'!$B1:$AH730,30,FALSE)-AVERAGE('The List'!AE2:AE730))/STDEV('The List'!AE2:AE730)</f>
        <v>0.48748841543459193</v>
      </c>
      <c r="S314" s="38">
        <f>(VLOOKUP($A314,'The List'!$B1:$AH730,31,FALSE)-AVERAGE('The List'!AF2:AF730))/STDEV('The List'!AF2:AF730)</f>
        <v>-0.56911587195029545</v>
      </c>
      <c r="T314" s="38">
        <f>(VLOOKUP($A314,'The List'!$B1:$AH730,32,FALSE)-AVERAGE('The List'!AG2:AG730))/STDEV('The List'!AG2:AG730)</f>
        <v>-0.61510119871956948</v>
      </c>
      <c r="U314" s="38">
        <f>(VLOOKUP($A314,'The List'!$B1:$AH730,33,FALSE)-AVERAGE('The List'!AH2:AH730))/STDEV('The List'!AH2:AH730)</f>
        <v>-1.2363238714825984</v>
      </c>
      <c r="V314" s="38"/>
      <c r="W314" s="42"/>
      <c r="X314" s="40"/>
      <c r="Y314" s="40"/>
      <c r="Z314" s="40"/>
      <c r="AA314" s="40"/>
      <c r="AB314" s="40"/>
      <c r="AC314" s="43"/>
      <c r="AD314" s="44"/>
      <c r="AE314" s="38"/>
    </row>
    <row r="315" spans="1:31" ht="21.2" customHeight="1">
      <c r="A315" s="8" t="s">
        <v>322</v>
      </c>
      <c r="B315" s="34" t="str">
        <f>VLOOKUP(A315,'Player Data'!A1:B734,2,FALSE)</f>
        <v>ARI</v>
      </c>
      <c r="C315" s="36">
        <f>((E315)*Settings!$C$12)+(F315*Settings!$C$2)+(G315*Settings!$C$3)+(H315*Settings!$C$4)+(I315*Settings!$C$5)+(K315*Settings!$C$9)+(N315*Settings!$C$6)+(J315*Settings!$C$8)+(O315*Settings!$C$7)+(P315*Settings!$C$14)+(Q315*Settings!$C$15)+(R315*Settings!$C$16)+(S315*Settings!$C$17)+(T315*Settings!$C$18)+(U315*Settings!$C$19)+(L315*Settings!$C$10)+(Settings!$C$11*M315)</f>
        <v>-1.1112390336864659</v>
      </c>
      <c r="D315" s="40">
        <f>IF(Settings!$E$12="YES",VLOOKUP(A315,'Player Data'!A1:E734,5,FALSE),82)</f>
        <v>82</v>
      </c>
      <c r="E315" s="38">
        <f>(VLOOKUP($A315,'The List'!$B1:$AH730,17,FALSE)-AVERAGE('The List'!R2:R730))/STDEV('The List'!R2:R730)</f>
        <v>0.60795396824173642</v>
      </c>
      <c r="F315" s="38">
        <f>(VLOOKUP($A315,'The List'!$B1:$AH730,18,FALSE)-AVERAGE('The List'!S2:S730))/STDEV('The List'!S2:S730)</f>
        <v>-0.91358986802813935</v>
      </c>
      <c r="G315" s="38">
        <f>(VLOOKUP($A315,'The List'!$B1:$AH730,19,FALSE)-AVERAGE('The List'!T2:T730))/STDEV('The List'!T2:T730)</f>
        <v>0.33077000207893092</v>
      </c>
      <c r="H315" s="38">
        <f>(VLOOKUP($A315,'The List'!$B1:$AH730,20,FALSE)-AVERAGE('The List'!U2:U730))/STDEV('The List'!U2:U730)</f>
        <v>-0.22143220064993457</v>
      </c>
      <c r="I315" s="38">
        <f>(VLOOKUP($A315,'The List'!$B1:$AH730,21,FALSE)-AVERAGE('The List'!V2:V730))/STDEV('The List'!V2:V730)</f>
        <v>-0.57136447368295407</v>
      </c>
      <c r="J315" s="38">
        <f>(VLOOKUP($A315,'The List'!$B1:$AH730,22,FALSE)-AVERAGE('The List'!W2:W730))/STDEV('The List'!W2:W730)</f>
        <v>-0.43858420548303267</v>
      </c>
      <c r="K315" s="38">
        <f>(VLOOKUP($A315,'The List'!$B1:$AH730,23,FALSE)-AVERAGE('The List'!X2:X730))/STDEV('The List'!X2:X730)</f>
        <v>0.26437750659563131</v>
      </c>
      <c r="L315" s="38">
        <f>(VLOOKUP($A315,'The List'!$B1:$AH730,24,FALSE)-AVERAGE('The List'!Y2:Y730))/STDEV('The List'!Y2:Y730)</f>
        <v>-0.48114959943145746</v>
      </c>
      <c r="M315" s="38">
        <f>(VLOOKUP($A315,'The List'!$B1:$AH730,25,FALSE)-AVERAGE('The List'!Z2:Z730))/STDEV('The List'!Z2:Z730)</f>
        <v>-0.57483934367572176</v>
      </c>
      <c r="N315" s="38">
        <f>(VLOOKUP($A315,'The List'!$B1:$AH730,26,FALSE)-AVERAGE('The List'!AA2:AA730))/STDEV('The List'!AA2:AA730)</f>
        <v>0.95627607702356421</v>
      </c>
      <c r="O315" s="38">
        <f>(VLOOKUP($A315,'The List'!$B1:$AH730,27,FALSE)-AVERAGE('The List'!AB2:AB730))/STDEV('The List'!AB2:AB730)</f>
        <v>-0.52231193584037161</v>
      </c>
      <c r="P315" s="38">
        <f>(VLOOKUP($A315,'The List'!$B1:$AH730,28,FALSE)-AVERAGE('The List'!AC2:AC730))/STDEV('The List'!AC2:AC730)</f>
        <v>-0.64149155599345176</v>
      </c>
      <c r="Q315" s="38">
        <f>(VLOOKUP($A315,'The List'!$B1:$AH730,29,FALSE)-AVERAGE('The List'!AD2:AD730))/STDEV('The List'!AD2:AD730)</f>
        <v>1.1756725995502058</v>
      </c>
      <c r="R315" s="38">
        <f>(VLOOKUP($A315,'The List'!$B1:$AH730,30,FALSE)-AVERAGE('The List'!AE2:AE730))/STDEV('The List'!AE2:AE730)</f>
        <v>-0.87652994856421929</v>
      </c>
      <c r="S315" s="38">
        <f>(VLOOKUP($A315,'The List'!$B1:$AH730,31,FALSE)-AVERAGE('The List'!AF2:AF730))/STDEV('The List'!AF2:AF730)</f>
        <v>-0.56911587195029545</v>
      </c>
      <c r="T315" s="38">
        <f>(VLOOKUP($A315,'The List'!$B1:$AH730,32,FALSE)-AVERAGE('The List'!AG2:AG730))/STDEV('The List'!AG2:AG730)</f>
        <v>-0.61510119871956948</v>
      </c>
      <c r="U315" s="38">
        <f>(VLOOKUP($A315,'The List'!$B1:$AH730,33,FALSE)-AVERAGE('The List'!AH2:AH730))/STDEV('The List'!AH2:AH730)</f>
        <v>-1.2363238714825984</v>
      </c>
      <c r="V315" s="38"/>
      <c r="W315" s="42"/>
      <c r="X315" s="40"/>
      <c r="Y315" s="40"/>
      <c r="Z315" s="40"/>
      <c r="AA315" s="40"/>
      <c r="AB315" s="40"/>
      <c r="AC315" s="43"/>
      <c r="AD315" s="44"/>
      <c r="AE315" s="38"/>
    </row>
    <row r="316" spans="1:31" ht="21.2" customHeight="1">
      <c r="A316" s="8" t="s">
        <v>294</v>
      </c>
      <c r="B316" s="34" t="str">
        <f>VLOOKUP(A316,'Player Data'!A1:B734,2,FALSE)</f>
        <v>DET</v>
      </c>
      <c r="C316" s="36">
        <f>((E316)*Settings!$C$12)+(F316*Settings!$C$2)+(G316*Settings!$C$3)+(H316*Settings!$C$4)+(I316*Settings!$C$5)+(K316*Settings!$C$9)+(N316*Settings!$C$6)+(J316*Settings!$C$8)+(O316*Settings!$C$7)+(P316*Settings!$C$14)+(Q316*Settings!$C$15)+(R316*Settings!$C$16)+(S316*Settings!$C$17)+(T316*Settings!$C$18)+(U316*Settings!$C$19)+(L316*Settings!$C$10)+(Settings!$C$11*M316)</f>
        <v>-0.71791255583645408</v>
      </c>
      <c r="D316" s="40">
        <f>IF(Settings!$E$12="YES",VLOOKUP(A316,'Player Data'!A1:E734,5,FALSE),82)</f>
        <v>82</v>
      </c>
      <c r="E316" s="38">
        <f>(VLOOKUP($A316,'The List'!$B1:$AH730,17,FALSE)-AVERAGE('The List'!R2:R730))/STDEV('The List'!R2:R730)</f>
        <v>0.2787542972442168</v>
      </c>
      <c r="F316" s="38">
        <f>(VLOOKUP($A316,'The List'!$B1:$AH730,18,FALSE)-AVERAGE('The List'!S2:S730))/STDEV('The List'!S2:S730)</f>
        <v>-0.40222922896513219</v>
      </c>
      <c r="G316" s="38">
        <f>(VLOOKUP($A316,'The List'!$B1:$AH730,19,FALSE)-AVERAGE('The List'!T2:T730))/STDEV('The List'!T2:T730)</f>
        <v>-5.8234022493908071E-2</v>
      </c>
      <c r="H316" s="38">
        <f>(VLOOKUP($A316,'The List'!$B1:$AH730,20,FALSE)-AVERAGE('The List'!U2:U730))/STDEV('The List'!U2:U730)</f>
        <v>-0.22277265698139365</v>
      </c>
      <c r="I316" s="38">
        <f>(VLOOKUP($A316,'The List'!$B1:$AH730,21,FALSE)-AVERAGE('The List'!V2:V730))/STDEV('The List'!V2:V730)</f>
        <v>-0.25597701956757879</v>
      </c>
      <c r="J316" s="38">
        <f>(VLOOKUP($A316,'The List'!$B1:$AH730,22,FALSE)-AVERAGE('The List'!W2:W730))/STDEV('The List'!W2:W730)</f>
        <v>-5.6900650099913691E-3</v>
      </c>
      <c r="K316" s="38">
        <f>(VLOOKUP($A316,'The List'!$B1:$AH730,23,FALSE)-AVERAGE('The List'!X2:X730))/STDEV('The List'!X2:X730)</f>
        <v>0.22130037217155865</v>
      </c>
      <c r="L316" s="38">
        <f>(VLOOKUP($A316,'The List'!$B1:$AH730,24,FALSE)-AVERAGE('The List'!Y2:Y730))/STDEV('The List'!Y2:Y730)</f>
        <v>-6.7467970892752818E-2</v>
      </c>
      <c r="M316" s="38">
        <f>(VLOOKUP($A316,'The List'!$B1:$AH730,25,FALSE)-AVERAGE('The List'!Z2:Z730))/STDEV('The List'!Z2:Z730)</f>
        <v>-0.40266798094221001</v>
      </c>
      <c r="N316" s="38">
        <f>(VLOOKUP($A316,'The List'!$B1:$AH730,26,FALSE)-AVERAGE('The List'!AA2:AA730))/STDEV('The List'!AA2:AA730)</f>
        <v>0.54865706134490655</v>
      </c>
      <c r="O316" s="38">
        <f>(VLOOKUP($A316,'The List'!$B1:$AH730,27,FALSE)-AVERAGE('The List'!AB2:AB730))/STDEV('The List'!AB2:AB730)</f>
        <v>-0.87129309670505051</v>
      </c>
      <c r="P316" s="38">
        <f>(VLOOKUP($A316,'The List'!$B1:$AH730,28,FALSE)-AVERAGE('The List'!AC2:AC730))/STDEV('The List'!AC2:AC730)</f>
        <v>-0.60172679575759003</v>
      </c>
      <c r="Q316" s="38">
        <f>(VLOOKUP($A316,'The List'!$B1:$AH730,29,FALSE)-AVERAGE('The List'!AD2:AD730))/STDEV('The List'!AD2:AD730)</f>
        <v>-0.86540230416664155</v>
      </c>
      <c r="R316" s="38">
        <f>(VLOOKUP($A316,'The List'!$B1:$AH730,30,FALSE)-AVERAGE('The List'!AE2:AE730))/STDEV('The List'!AE2:AE730)</f>
        <v>-0.41759619494798855</v>
      </c>
      <c r="S316" s="38">
        <f>(VLOOKUP($A316,'The List'!$B1:$AH730,31,FALSE)-AVERAGE('The List'!AF2:AF730))/STDEV('The List'!AF2:AF730)</f>
        <v>-0.56911587195029545</v>
      </c>
      <c r="T316" s="38">
        <f>(VLOOKUP($A316,'The List'!$B1:$AH730,32,FALSE)-AVERAGE('The List'!AG2:AG730))/STDEV('The List'!AG2:AG730)</f>
        <v>-0.61510119871956948</v>
      </c>
      <c r="U316" s="38">
        <f>(VLOOKUP($A316,'The List'!$B1:$AH730,33,FALSE)-AVERAGE('The List'!AH2:AH730))/STDEV('The List'!AH2:AH730)</f>
        <v>-1.2363238714825984</v>
      </c>
      <c r="V316" s="38"/>
      <c r="W316" s="42"/>
      <c r="X316" s="40"/>
      <c r="Y316" s="40"/>
      <c r="Z316" s="40"/>
      <c r="AA316" s="40"/>
      <c r="AB316" s="40"/>
      <c r="AC316" s="43"/>
      <c r="AD316" s="44"/>
      <c r="AE316" s="38"/>
    </row>
    <row r="317" spans="1:31" ht="21.2" customHeight="1">
      <c r="A317" s="8" t="s">
        <v>274</v>
      </c>
      <c r="B317" s="34" t="str">
        <f>VLOOKUP(A317,'Player Data'!A1:B734,2,FALSE)</f>
        <v>OTT</v>
      </c>
      <c r="C317" s="36">
        <f>((E317)*Settings!$C$12)+(F317*Settings!$C$2)+(G317*Settings!$C$3)+(H317*Settings!$C$4)+(I317*Settings!$C$5)+(K317*Settings!$C$9)+(N317*Settings!$C$6)+(J317*Settings!$C$8)+(O317*Settings!$C$7)+(P317*Settings!$C$14)+(Q317*Settings!$C$15)+(R317*Settings!$C$16)+(S317*Settings!$C$17)+(T317*Settings!$C$18)+(U317*Settings!$C$19)+(L317*Settings!$C$10)+(Settings!$C$11*M317)</f>
        <v>-0.54638343972319769</v>
      </c>
      <c r="D317" s="40">
        <f>IF(Settings!$E$12="YES",VLOOKUP(A317,'Player Data'!A1:E734,5,FALSE),82)</f>
        <v>82</v>
      </c>
      <c r="E317" s="38">
        <f>(VLOOKUP($A317,'The List'!$B1:$AH730,17,FALSE)-AVERAGE('The List'!R2:R730))/STDEV('The List'!R2:R730)</f>
        <v>1.4775379264241195</v>
      </c>
      <c r="F317" s="38">
        <f>(VLOOKUP($A317,'The List'!$B1:$AH730,18,FALSE)-AVERAGE('The List'!S2:S730))/STDEV('The List'!S2:S730)</f>
        <v>-0.87103233428354132</v>
      </c>
      <c r="G317" s="38">
        <f>(VLOOKUP($A317,'The List'!$B1:$AH730,19,FALSE)-AVERAGE('The List'!T2:T730))/STDEV('The List'!T2:T730)</f>
        <v>0.28504969550243064</v>
      </c>
      <c r="H317" s="38">
        <f>(VLOOKUP($A317,'The List'!$B1:$AH730,20,FALSE)-AVERAGE('The List'!U2:U730))/STDEV('The List'!U2:U730)</f>
        <v>-0.22974527378249077</v>
      </c>
      <c r="I317" s="38">
        <f>(VLOOKUP($A317,'The List'!$B1:$AH730,21,FALSE)-AVERAGE('The List'!V2:V730))/STDEV('The List'!V2:V730)</f>
        <v>-9.3914749986504883E-2</v>
      </c>
      <c r="J317" s="38">
        <f>(VLOOKUP($A317,'The List'!$B1:$AH730,22,FALSE)-AVERAGE('The List'!W2:W730))/STDEV('The List'!W2:W730)</f>
        <v>-0.30412505589156091</v>
      </c>
      <c r="K317" s="38">
        <f>(VLOOKUP($A317,'The List'!$B1:$AH730,23,FALSE)-AVERAGE('The List'!X2:X730))/STDEV('The List'!X2:X730)</f>
        <v>0.36325922282690853</v>
      </c>
      <c r="L317" s="38">
        <f>(VLOOKUP($A317,'The List'!$B1:$AH730,24,FALSE)-AVERAGE('The List'!Y2:Y730))/STDEV('The List'!Y2:Y730)</f>
        <v>-0.37567810923680905</v>
      </c>
      <c r="M317" s="38">
        <f>(VLOOKUP($A317,'The List'!$B1:$AH730,25,FALSE)-AVERAGE('The List'!Z2:Z730))/STDEV('The List'!Z2:Z730)</f>
        <v>-8.2850225076253864E-2</v>
      </c>
      <c r="N317" s="38">
        <f>(VLOOKUP($A317,'The List'!$B1:$AH730,26,FALSE)-AVERAGE('The List'!AA2:AA730))/STDEV('The List'!AA2:AA730)</f>
        <v>2.1839116331386577</v>
      </c>
      <c r="O317" s="38">
        <f>(VLOOKUP($A317,'The List'!$B1:$AH730,27,FALSE)-AVERAGE('The List'!AB2:AB730))/STDEV('The List'!AB2:AB730)</f>
        <v>-0.58735919937894732</v>
      </c>
      <c r="P317" s="38">
        <f>(VLOOKUP($A317,'The List'!$B1:$AH730,28,FALSE)-AVERAGE('The List'!AC2:AC730))/STDEV('The List'!AC2:AC730)</f>
        <v>-2.7739403302805655E-2</v>
      </c>
      <c r="Q317" s="38">
        <f>(VLOOKUP($A317,'The List'!$B1:$AH730,29,FALSE)-AVERAGE('The List'!AD2:AD730))/STDEV('The List'!AD2:AD730)</f>
        <v>-0.89981326119681959</v>
      </c>
      <c r="R317" s="38">
        <f>(VLOOKUP($A317,'The List'!$B1:$AH730,30,FALSE)-AVERAGE('The List'!AE2:AE730))/STDEV('The List'!AE2:AE730)</f>
        <v>-0.76295897041103811</v>
      </c>
      <c r="S317" s="38">
        <f>(VLOOKUP($A317,'The List'!$B1:$AH730,31,FALSE)-AVERAGE('The List'!AF2:AF730))/STDEV('The List'!AF2:AF730)</f>
        <v>-0.56911587195029545</v>
      </c>
      <c r="T317" s="38">
        <f>(VLOOKUP($A317,'The List'!$B1:$AH730,32,FALSE)-AVERAGE('The List'!AG2:AG730))/STDEV('The List'!AG2:AG730)</f>
        <v>-0.61510119871956948</v>
      </c>
      <c r="U317" s="38">
        <f>(VLOOKUP($A317,'The List'!$B1:$AH730,33,FALSE)-AVERAGE('The List'!AH2:AH730))/STDEV('The List'!AH2:AH730)</f>
        <v>-1.2363238714825984</v>
      </c>
      <c r="V317" s="38"/>
      <c r="W317" s="40"/>
      <c r="X317" s="38"/>
      <c r="Y317" s="38"/>
      <c r="Z317" s="38"/>
      <c r="AA317" s="38"/>
      <c r="AB317" s="38"/>
      <c r="AC317" s="38"/>
      <c r="AD317" s="38"/>
      <c r="AE317" s="38"/>
    </row>
    <row r="318" spans="1:31" ht="21.2" customHeight="1">
      <c r="A318" s="8" t="s">
        <v>278</v>
      </c>
      <c r="B318" s="34" t="str">
        <f>VLOOKUP(A318,'Player Data'!A1:B734,2,FALSE)</f>
        <v>MIN</v>
      </c>
      <c r="C318" s="36">
        <f>((E318)*Settings!$C$12)+(F318*Settings!$C$2)+(G318*Settings!$C$3)+(H318*Settings!$C$4)+(I318*Settings!$C$5)+(K318*Settings!$C$9)+(N318*Settings!$C$6)+(J318*Settings!$C$8)+(O318*Settings!$C$7)+(P318*Settings!$C$14)+(Q318*Settings!$C$15)+(R318*Settings!$C$16)+(S318*Settings!$C$17)+(T318*Settings!$C$18)+(U318*Settings!$C$19)+(L318*Settings!$C$10)+(Settings!$C$11*M318)</f>
        <v>-0.82400144787201834</v>
      </c>
      <c r="D318" s="40">
        <f>IF(Settings!$E$12="YES",VLOOKUP(A318,'Player Data'!A1:E734,5,FALSE),82)</f>
        <v>82</v>
      </c>
      <c r="E318" s="38">
        <f>(VLOOKUP($A318,'The List'!$B1:$AH730,17,FALSE)-AVERAGE('The List'!R2:R730))/STDEV('The List'!R2:R730)</f>
        <v>1.3309797952912366</v>
      </c>
      <c r="F318" s="38">
        <f>(VLOOKUP($A318,'The List'!$B1:$AH730,18,FALSE)-AVERAGE('The List'!S2:S730))/STDEV('The List'!S2:S730)</f>
        <v>-0.42891994264548455</v>
      </c>
      <c r="G318" s="38">
        <f>(VLOOKUP($A318,'The List'!$B1:$AH730,19,FALSE)-AVERAGE('The List'!T2:T730))/STDEV('The List'!T2:T730)</f>
        <v>-5.1698092477464097E-2</v>
      </c>
      <c r="H318" s="38">
        <f>(VLOOKUP($A318,'The List'!$B1:$AH730,20,FALSE)-AVERAGE('The List'!U2:U730))/STDEV('The List'!U2:U730)</f>
        <v>-0.23116386640519604</v>
      </c>
      <c r="I318" s="38">
        <f>(VLOOKUP($A318,'The List'!$B1:$AH730,21,FALSE)-AVERAGE('The List'!V2:V730))/STDEV('The List'!V2:V730)</f>
        <v>0.19707667032477291</v>
      </c>
      <c r="J318" s="38">
        <f>(VLOOKUP($A318,'The List'!$B1:$AH730,22,FALSE)-AVERAGE('The List'!W2:W730))/STDEV('The List'!W2:W730)</f>
        <v>-0.5506220917212491</v>
      </c>
      <c r="K318" s="38">
        <f>(VLOOKUP($A318,'The List'!$B1:$AH730,23,FALSE)-AVERAGE('The List'!X2:X730))/STDEV('The List'!X2:X730)</f>
        <v>-0.30929621666864654</v>
      </c>
      <c r="L318" s="38">
        <f>(VLOOKUP($A318,'The List'!$B1:$AH730,24,FALSE)-AVERAGE('The List'!Y2:Y730))/STDEV('The List'!Y2:Y730)</f>
        <v>-0.61313439825288163</v>
      </c>
      <c r="M318" s="38">
        <f>(VLOOKUP($A318,'The List'!$B1:$AH730,25,FALSE)-AVERAGE('The List'!Z2:Z730))/STDEV('The List'!Z2:Z730)</f>
        <v>-0.35486836062416216</v>
      </c>
      <c r="N318" s="38">
        <f>(VLOOKUP($A318,'The List'!$B1:$AH730,26,FALSE)-AVERAGE('The List'!AA2:AA730))/STDEV('The List'!AA2:AA730)</f>
        <v>2.5252026073327021</v>
      </c>
      <c r="O318" s="38">
        <f>(VLOOKUP($A318,'The List'!$B1:$AH730,27,FALSE)-AVERAGE('The List'!AB2:AB730))/STDEV('The List'!AB2:AB730)</f>
        <v>-0.50388216278032383</v>
      </c>
      <c r="P318" s="38">
        <f>(VLOOKUP($A318,'The List'!$B1:$AH730,28,FALSE)-AVERAGE('The List'!AC2:AC730))/STDEV('The List'!AC2:AC730)</f>
        <v>1.2235566164509344</v>
      </c>
      <c r="Q318" s="38">
        <f>(VLOOKUP($A318,'The List'!$B1:$AH730,29,FALSE)-AVERAGE('The List'!AD2:AD730))/STDEV('The List'!AD2:AD730)</f>
        <v>-1.1487190782829424</v>
      </c>
      <c r="R318" s="38">
        <f>(VLOOKUP($A318,'The List'!$B1:$AH730,30,FALSE)-AVERAGE('The List'!AE2:AE730))/STDEV('The List'!AE2:AE730)</f>
        <v>-0.26753034627941963</v>
      </c>
      <c r="S318" s="38">
        <f>(VLOOKUP($A318,'The List'!$B1:$AH730,31,FALSE)-AVERAGE('The List'!AF2:AF730))/STDEV('The List'!AF2:AF730)</f>
        <v>-0.56911587195029545</v>
      </c>
      <c r="T318" s="38">
        <f>(VLOOKUP($A318,'The List'!$B1:$AH730,32,FALSE)-AVERAGE('The List'!AG2:AG730))/STDEV('The List'!AG2:AG730)</f>
        <v>-0.61510119871956948</v>
      </c>
      <c r="U318" s="38">
        <f>(VLOOKUP($A318,'The List'!$B1:$AH730,33,FALSE)-AVERAGE('The List'!AH2:AH730))/STDEV('The List'!AH2:AH730)</f>
        <v>-1.2363238714825984</v>
      </c>
      <c r="V318" s="38"/>
      <c r="W318" s="40"/>
      <c r="X318" s="38"/>
      <c r="Y318" s="38"/>
      <c r="Z318" s="38"/>
      <c r="AA318" s="38"/>
      <c r="AB318" s="38"/>
      <c r="AC318" s="38"/>
      <c r="AD318" s="38"/>
      <c r="AE318" s="38"/>
    </row>
    <row r="319" spans="1:31" ht="21.2" customHeight="1">
      <c r="A319" s="8" t="s">
        <v>328</v>
      </c>
      <c r="B319" s="34" t="str">
        <f>VLOOKUP(A319,'Player Data'!A1:B734,2,FALSE)</f>
        <v>DET</v>
      </c>
      <c r="C319" s="36">
        <f>((E319)*Settings!$C$12)+(F319*Settings!$C$2)+(G319*Settings!$C$3)+(H319*Settings!$C$4)+(I319*Settings!$C$5)+(K319*Settings!$C$9)+(N319*Settings!$C$6)+(J319*Settings!$C$8)+(O319*Settings!$C$7)+(P319*Settings!$C$14)+(Q319*Settings!$C$15)+(R319*Settings!$C$16)+(S319*Settings!$C$17)+(T319*Settings!$C$18)+(U319*Settings!$C$19)+(L319*Settings!$C$10)+(Settings!$C$11*M319)</f>
        <v>-1.4624001430035323</v>
      </c>
      <c r="D319" s="40">
        <f>IF(Settings!$E$12="YES",VLOOKUP(A319,'Player Data'!A1:E734,5,FALSE),82)</f>
        <v>82</v>
      </c>
      <c r="E319" s="38">
        <f>(VLOOKUP($A319,'The List'!$B1:$AH730,17,FALSE)-AVERAGE('The List'!R2:R730))/STDEV('The List'!R2:R730)</f>
        <v>0.93156524889033077</v>
      </c>
      <c r="F319" s="38">
        <f>(VLOOKUP($A319,'The List'!$B1:$AH730,18,FALSE)-AVERAGE('The List'!S2:S730))/STDEV('The List'!S2:S730)</f>
        <v>-0.69418525633285932</v>
      </c>
      <c r="G319" s="38">
        <f>(VLOOKUP($A319,'The List'!$B1:$AH730,19,FALSE)-AVERAGE('The List'!T2:T730))/STDEV('The List'!T2:T730)</f>
        <v>0.1352571103651585</v>
      </c>
      <c r="H319" s="38">
        <f>(VLOOKUP($A319,'The List'!$B1:$AH730,20,FALSE)-AVERAGE('The List'!U2:U730))/STDEV('The List'!U2:U730)</f>
        <v>-0.23958725571951367</v>
      </c>
      <c r="I319" s="38">
        <f>(VLOOKUP($A319,'The List'!$B1:$AH730,21,FALSE)-AVERAGE('The List'!V2:V730))/STDEV('The List'!V2:V730)</f>
        <v>-0.2834113250049129</v>
      </c>
      <c r="J319" s="38">
        <f>(VLOOKUP($A319,'The List'!$B1:$AH730,22,FALSE)-AVERAGE('The List'!W2:W730))/STDEV('The List'!W2:W730)</f>
        <v>-0.4985445381879724</v>
      </c>
      <c r="K319" s="38">
        <f>(VLOOKUP($A319,'The List'!$B1:$AH730,23,FALSE)-AVERAGE('The List'!X2:X730))/STDEV('The List'!X2:X730)</f>
        <v>-0.38047341631140486</v>
      </c>
      <c r="L319" s="38">
        <f>(VLOOKUP($A319,'The List'!$B1:$AH730,24,FALSE)-AVERAGE('The List'!Y2:Y730))/STDEV('The List'!Y2:Y730)</f>
        <v>-0.61229382865891924</v>
      </c>
      <c r="M319" s="38">
        <f>(VLOOKUP($A319,'The List'!$B1:$AH730,25,FALSE)-AVERAGE('The List'!Z2:Z730))/STDEV('The List'!Z2:Z730)</f>
        <v>-0.49238749558875561</v>
      </c>
      <c r="N319" s="38">
        <f>(VLOOKUP($A319,'The List'!$B1:$AH730,26,FALSE)-AVERAGE('The List'!AA2:AA730))/STDEV('The List'!AA2:AA730)</f>
        <v>1.4598729921451927</v>
      </c>
      <c r="O319" s="38">
        <f>(VLOOKUP($A319,'The List'!$B1:$AH730,27,FALSE)-AVERAGE('The List'!AB2:AB730))/STDEV('The List'!AB2:AB730)</f>
        <v>1.5945902868699202</v>
      </c>
      <c r="P319" s="38">
        <f>(VLOOKUP($A319,'The List'!$B1:$AH730,28,FALSE)-AVERAGE('The List'!AC2:AC730))/STDEV('The List'!AC2:AC730)</f>
        <v>-0.26428609194414732</v>
      </c>
      <c r="Q319" s="38">
        <f>(VLOOKUP($A319,'The List'!$B1:$AH730,29,FALSE)-AVERAGE('The List'!AD2:AD730))/STDEV('The List'!AD2:AD730)</f>
        <v>-2.8706868685771807E-2</v>
      </c>
      <c r="R319" s="38">
        <f>(VLOOKUP($A319,'The List'!$B1:$AH730,30,FALSE)-AVERAGE('The List'!AE2:AE730))/STDEV('The List'!AE2:AE730)</f>
        <v>-0.54516670105175535</v>
      </c>
      <c r="S319" s="38">
        <f>(VLOOKUP($A319,'The List'!$B1:$AH730,31,FALSE)-AVERAGE('The List'!AF2:AF730))/STDEV('The List'!AF2:AF730)</f>
        <v>-0.56911587195029545</v>
      </c>
      <c r="T319" s="38">
        <f>(VLOOKUP($A319,'The List'!$B1:$AH730,32,FALSE)-AVERAGE('The List'!AG2:AG730))/STDEV('The List'!AG2:AG730)</f>
        <v>-0.61510119871956948</v>
      </c>
      <c r="U319" s="38">
        <f>(VLOOKUP($A319,'The List'!$B1:$AH730,33,FALSE)-AVERAGE('The List'!AH2:AH730))/STDEV('The List'!AH2:AH730)</f>
        <v>-1.2363238714825984</v>
      </c>
      <c r="V319" s="38"/>
      <c r="W319" s="42"/>
      <c r="X319" s="40"/>
      <c r="Y319" s="40"/>
      <c r="Z319" s="40"/>
      <c r="AA319" s="40"/>
      <c r="AB319" s="40"/>
      <c r="AC319" s="43"/>
      <c r="AD319" s="44"/>
      <c r="AE319" s="38"/>
    </row>
    <row r="320" spans="1:31" ht="21.2" customHeight="1">
      <c r="A320" s="8" t="s">
        <v>656</v>
      </c>
      <c r="B320" s="34" t="str">
        <f>VLOOKUP(A320,'Player Data'!A1:B734,2,FALSE)</f>
        <v>OTT</v>
      </c>
      <c r="C320" s="36">
        <f>((E320)*Settings!$C$12)+(F320*Settings!$C$2)+(G320*Settings!$C$3)+(H320*Settings!$C$4)+(I320*Settings!$C$5)+(K320*Settings!$C$9)+(N320*Settings!$C$6)+(J320*Settings!$C$8)+(O320*Settings!$C$7)+(P320*Settings!$C$14)+(Q320*Settings!$C$15)+(R320*Settings!$C$16)+(S320*Settings!$C$17)+(T320*Settings!$C$18)+(U320*Settings!$C$19)+(L320*Settings!$C$10)+(Settings!$C$11*M320)</f>
        <v>-1.2044582026899298</v>
      </c>
      <c r="D320" s="40">
        <f>IF(Settings!$E$12="YES",VLOOKUP(A320,'Player Data'!A1:E734,5,FALSE),82)</f>
        <v>82</v>
      </c>
      <c r="E320" s="38">
        <f>(VLOOKUP($A320,'The List'!$B1:$AH730,17,FALSE)-AVERAGE('The List'!R2:R730))/STDEV('The List'!R2:R730)</f>
        <v>-0.54066475339795017</v>
      </c>
      <c r="F320" s="38">
        <f>(VLOOKUP($A320,'The List'!$B1:$AH730,18,FALSE)-AVERAGE('The List'!S2:S730))/STDEV('The List'!S2:S730)</f>
        <v>0.23820249574486566</v>
      </c>
      <c r="G320" s="38">
        <f>(VLOOKUP($A320,'The List'!$B1:$AH730,19,FALSE)-AVERAGE('The List'!T2:T730))/STDEV('The List'!T2:T730)</f>
        <v>-0.58303226262482521</v>
      </c>
      <c r="H320" s="38">
        <f>(VLOOKUP($A320,'The List'!$B1:$AH730,20,FALSE)-AVERAGE('The List'!U2:U730))/STDEV('The List'!U2:U730)</f>
        <v>-0.24756232141241497</v>
      </c>
      <c r="I320" s="38">
        <f>(VLOOKUP($A320,'The List'!$B1:$AH730,21,FALSE)-AVERAGE('The List'!V2:V730))/STDEV('The List'!V2:V730)</f>
        <v>-0.19474158651900342</v>
      </c>
      <c r="J320" s="38">
        <f>(VLOOKUP($A320,'The List'!$B1:$AH730,22,FALSE)-AVERAGE('The List'!W2:W730))/STDEV('The List'!W2:W730)</f>
        <v>-0.20127148358662481</v>
      </c>
      <c r="K320" s="38">
        <f>(VLOOKUP($A320,'The List'!$B1:$AH730,23,FALSE)-AVERAGE('The List'!X2:X730))/STDEV('The List'!X2:X730)</f>
        <v>-0.41732452787855184</v>
      </c>
      <c r="L320" s="38">
        <f>(VLOOKUP($A320,'The List'!$B1:$AH730,24,FALSE)-AVERAGE('The List'!Y2:Y730))/STDEV('The List'!Y2:Y730)</f>
        <v>-0.24376976864346817</v>
      </c>
      <c r="M320" s="38">
        <f>(VLOOKUP($A320,'The List'!$B1:$AH730,25,FALSE)-AVERAGE('The List'!Z2:Z730))/STDEV('The List'!Z2:Z730)</f>
        <v>-0.32023177804816799</v>
      </c>
      <c r="N320" s="38">
        <f>(VLOOKUP($A320,'The List'!$B1:$AH730,26,FALSE)-AVERAGE('The List'!AA2:AA730))/STDEV('The List'!AA2:AA730)</f>
        <v>-0.46186923731465096</v>
      </c>
      <c r="O320" s="38">
        <f>(VLOOKUP($A320,'The List'!$B1:$AH730,27,FALSE)-AVERAGE('The List'!AB2:AB730))/STDEV('The List'!AB2:AB730)</f>
        <v>-0.58189786505691876</v>
      </c>
      <c r="P320" s="38">
        <f>(VLOOKUP($A320,'The List'!$B1:$AH730,28,FALSE)-AVERAGE('The List'!AC2:AC730))/STDEV('The List'!AC2:AC730)</f>
        <v>-0.21741865958542039</v>
      </c>
      <c r="Q320" s="38">
        <f>(VLOOKUP($A320,'The List'!$B1:$AH730,29,FALSE)-AVERAGE('The List'!AD2:AD730))/STDEV('The List'!AD2:AD730)</f>
        <v>-0.74026072252030772</v>
      </c>
      <c r="R320" s="38">
        <f>(VLOOKUP($A320,'The List'!$B1:$AH730,30,FALSE)-AVERAGE('The List'!AE2:AE730))/STDEV('The List'!AE2:AE730)</f>
        <v>0.32335750647796585</v>
      </c>
      <c r="S320" s="38">
        <f>(VLOOKUP($A320,'The List'!$B1:$AH730,31,FALSE)-AVERAGE('The List'!AF2:AF730))/STDEV('The List'!AF2:AF730)</f>
        <v>1.296725489266265</v>
      </c>
      <c r="T320" s="38">
        <f>(VLOOKUP($A320,'The List'!$B1:$AH730,32,FALSE)-AVERAGE('The List'!AG2:AG730))/STDEV('The List'!AG2:AG730)</f>
        <v>1.2918052231098185</v>
      </c>
      <c r="U320" s="38">
        <f>(VLOOKUP($A320,'The List'!$B1:$AH730,33,FALSE)-AVERAGE('The List'!AH2:AH730))/STDEV('The List'!AH2:AH730)</f>
        <v>1.0530313756083645</v>
      </c>
      <c r="V320" s="38"/>
      <c r="W320" s="42"/>
      <c r="X320" s="40"/>
      <c r="Y320" s="40"/>
      <c r="Z320" s="40"/>
      <c r="AA320" s="40"/>
      <c r="AB320" s="40"/>
      <c r="AC320" s="43"/>
      <c r="AD320" s="44"/>
      <c r="AE320" s="38"/>
    </row>
    <row r="321" spans="1:31" ht="21.2" customHeight="1">
      <c r="A321" s="8" t="s">
        <v>467</v>
      </c>
      <c r="B321" s="34" t="str">
        <f>VLOOKUP(A321,'Player Data'!A1:B734,2,FALSE)</f>
        <v>CHI</v>
      </c>
      <c r="C321" s="36">
        <f>((E321)*Settings!$C$12)+(F321*Settings!$C$2)+(G321*Settings!$C$3)+(H321*Settings!$C$4)+(I321*Settings!$C$5)+(K321*Settings!$C$9)+(N321*Settings!$C$6)+(J321*Settings!$C$8)+(O321*Settings!$C$7)+(P321*Settings!$C$14)+(Q321*Settings!$C$15)+(R321*Settings!$C$16)+(S321*Settings!$C$17)+(T321*Settings!$C$18)+(U321*Settings!$C$19)+(L321*Settings!$C$10)+(Settings!$C$11*M321)</f>
        <v>0.20470761957327416</v>
      </c>
      <c r="D321" s="40">
        <f>IF(Settings!$E$12="YES",VLOOKUP(A321,'Player Data'!A1:E734,5,FALSE),82)</f>
        <v>82</v>
      </c>
      <c r="E321" s="38">
        <f>(VLOOKUP($A321,'The List'!$B1:$AH730,17,FALSE)-AVERAGE('The List'!R2:R730))/STDEV('The List'!R2:R730)</f>
        <v>-0.8850502195227441</v>
      </c>
      <c r="F321" s="38">
        <f>(VLOOKUP($A321,'The List'!$B1:$AH730,18,FALSE)-AVERAGE('The List'!S2:S730))/STDEV('The List'!S2:S730)</f>
        <v>0.14490010851226573</v>
      </c>
      <c r="G321" s="38">
        <f>(VLOOKUP($A321,'The List'!$B1:$AH730,19,FALSE)-AVERAGE('The List'!T2:T730))/STDEV('The List'!T2:T730)</f>
        <v>-0.5145952469511631</v>
      </c>
      <c r="H321" s="38">
        <f>(VLOOKUP($A321,'The List'!$B1:$AH730,20,FALSE)-AVERAGE('The List'!U2:U730))/STDEV('The List'!U2:U730)</f>
        <v>-0.24887885563259238</v>
      </c>
      <c r="I321" s="38">
        <f>(VLOOKUP($A321,'The List'!$B1:$AH730,21,FALSE)-AVERAGE('The List'!V2:V730))/STDEV('The List'!V2:V730)</f>
        <v>1.031496313881723</v>
      </c>
      <c r="J321" s="38">
        <f>(VLOOKUP($A321,'The List'!$B1:$AH730,22,FALSE)-AVERAGE('The List'!W2:W730))/STDEV('The List'!W2:W730)</f>
        <v>-0.20024347354238217</v>
      </c>
      <c r="K321" s="38">
        <f>(VLOOKUP($A321,'The List'!$B1:$AH730,23,FALSE)-AVERAGE('The List'!X2:X730))/STDEV('The List'!X2:X730)</f>
        <v>-0.20821470023695915</v>
      </c>
      <c r="L321" s="38">
        <f>(VLOOKUP($A321,'The List'!$B1:$AH730,24,FALSE)-AVERAGE('The List'!Y2:Y730))/STDEV('The List'!Y2:Y730)</f>
        <v>-0.22345686354676228</v>
      </c>
      <c r="M321" s="38">
        <f>(VLOOKUP($A321,'The List'!$B1:$AH730,25,FALSE)-AVERAGE('The List'!Z2:Z730))/STDEV('The List'!Z2:Z730)</f>
        <v>-0.36523871051292223</v>
      </c>
      <c r="N321" s="38">
        <f>(VLOOKUP($A321,'The List'!$B1:$AH730,26,FALSE)-AVERAGE('The List'!AA2:AA730))/STDEV('The List'!AA2:AA730)</f>
        <v>-0.99122600081104462</v>
      </c>
      <c r="O321" s="38">
        <f>(VLOOKUP($A321,'The List'!$B1:$AH730,27,FALSE)-AVERAGE('The List'!AB2:AB730))/STDEV('The List'!AB2:AB730)</f>
        <v>-5.6528704201323124E-2</v>
      </c>
      <c r="P321" s="38">
        <f>(VLOOKUP($A321,'The List'!$B1:$AH730,28,FALSE)-AVERAGE('The List'!AC2:AC730))/STDEV('The List'!AC2:AC730)</f>
        <v>-1.2593990909280226</v>
      </c>
      <c r="Q321" s="38">
        <f>(VLOOKUP($A321,'The List'!$B1:$AH730,29,FALSE)-AVERAGE('The List'!AD2:AD730))/STDEV('The List'!AD2:AD730)</f>
        <v>3.3600916904948146E-2</v>
      </c>
      <c r="R321" s="38">
        <f>(VLOOKUP($A321,'The List'!$B1:$AH730,30,FALSE)-AVERAGE('The List'!AE2:AE730))/STDEV('The List'!AE2:AE730)</f>
        <v>-9.5583208318590074E-2</v>
      </c>
      <c r="S321" s="38">
        <f>(VLOOKUP($A321,'The List'!$B1:$AH730,31,FALSE)-AVERAGE('The List'!AF2:AF730))/STDEV('The List'!AF2:AF730)</f>
        <v>-0.26132467995598041</v>
      </c>
      <c r="T321" s="38">
        <f>(VLOOKUP($A321,'The List'!$B1:$AH730,32,FALSE)-AVERAGE('The List'!AG2:AG730))/STDEV('The List'!AG2:AG730)</f>
        <v>-0.15295461015288514</v>
      </c>
      <c r="U321" s="38">
        <f>(VLOOKUP($A321,'The List'!$B1:$AH730,33,FALSE)-AVERAGE('The List'!AH2:AH730))/STDEV('The List'!AH2:AH730)</f>
        <v>0.62291438931219456</v>
      </c>
      <c r="V321" s="38"/>
      <c r="W321" s="42"/>
      <c r="X321" s="40"/>
      <c r="Y321" s="40"/>
      <c r="Z321" s="40"/>
      <c r="AA321" s="40"/>
      <c r="AB321" s="40"/>
      <c r="AC321" s="43"/>
      <c r="AD321" s="44"/>
      <c r="AE321" s="38"/>
    </row>
    <row r="322" spans="1:31" ht="21.2" customHeight="1">
      <c r="A322" s="8" t="s">
        <v>298</v>
      </c>
      <c r="B322" s="34" t="str">
        <f>VLOOKUP(A322,'Player Data'!A1:B734,2,FALSE)</f>
        <v>ANA</v>
      </c>
      <c r="C322" s="36">
        <f>((E322)*Settings!$C$12)+(F322*Settings!$C$2)+(G322*Settings!$C$3)+(H322*Settings!$C$4)+(I322*Settings!$C$5)+(K322*Settings!$C$9)+(N322*Settings!$C$6)+(J322*Settings!$C$8)+(O322*Settings!$C$7)+(P322*Settings!$C$14)+(Q322*Settings!$C$15)+(R322*Settings!$C$16)+(S322*Settings!$C$17)+(T322*Settings!$C$18)+(U322*Settings!$C$19)+(L322*Settings!$C$10)+(Settings!$C$11*M322)</f>
        <v>-0.54112535854356902</v>
      </c>
      <c r="D322" s="40">
        <f>IF(Settings!$E$12="YES",VLOOKUP(A322,'Player Data'!A1:E734,5,FALSE),82)</f>
        <v>82</v>
      </c>
      <c r="E322" s="38">
        <f>(VLOOKUP($A322,'The List'!$B1:$AH730,17,FALSE)-AVERAGE('The List'!R2:R730))/STDEV('The List'!R2:R730)</f>
        <v>1.4436261743340508</v>
      </c>
      <c r="F322" s="38">
        <f>(VLOOKUP($A322,'The List'!$B1:$AH730,18,FALSE)-AVERAGE('The List'!S2:S730))/STDEV('The List'!S2:S730)</f>
        <v>-0.76833821807160052</v>
      </c>
      <c r="G322" s="38">
        <f>(VLOOKUP($A322,'The List'!$B1:$AH730,19,FALSE)-AVERAGE('The List'!T2:T730))/STDEV('The List'!T2:T730)</f>
        <v>0.28955649453763455</v>
      </c>
      <c r="H322" s="38">
        <f>(VLOOKUP($A322,'The List'!$B1:$AH730,20,FALSE)-AVERAGE('The List'!U2:U730))/STDEV('The List'!U2:U730)</f>
        <v>-0.17923593357727172</v>
      </c>
      <c r="I322" s="38">
        <f>(VLOOKUP($A322,'The List'!$B1:$AH730,21,FALSE)-AVERAGE('The List'!V2:V730))/STDEV('The List'!V2:V730)</f>
        <v>-0.10451697707730681</v>
      </c>
      <c r="J322" s="38">
        <f>(VLOOKUP($A322,'The List'!$B1:$AH730,22,FALSE)-AVERAGE('The List'!W2:W730))/STDEV('The List'!W2:W730)</f>
        <v>-0.60659418435874857</v>
      </c>
      <c r="K322" s="38">
        <f>(VLOOKUP($A322,'The List'!$B1:$AH730,23,FALSE)-AVERAGE('The List'!X2:X730))/STDEV('The List'!X2:X730)</f>
        <v>0.22140927564497551</v>
      </c>
      <c r="L322" s="38">
        <f>(VLOOKUP($A322,'The List'!$B1:$AH730,24,FALSE)-AVERAGE('The List'!Y2:Y730))/STDEV('The List'!Y2:Y730)</f>
        <v>-0.28275568356418079</v>
      </c>
      <c r="M322" s="38">
        <f>(VLOOKUP($A322,'The List'!$B1:$AH730,25,FALSE)-AVERAGE('The List'!Z2:Z730))/STDEV('The List'!Z2:Z730)</f>
        <v>-2.3884795564064726E-2</v>
      </c>
      <c r="N322" s="38">
        <f>(VLOOKUP($A322,'The List'!$B1:$AH730,26,FALSE)-AVERAGE('The List'!AA2:AA730))/STDEV('The List'!AA2:AA730)</f>
        <v>1.0632051960327229</v>
      </c>
      <c r="O322" s="38">
        <f>(VLOOKUP($A322,'The List'!$B1:$AH730,27,FALSE)-AVERAGE('The List'!AB2:AB730))/STDEV('The List'!AB2:AB730)</f>
        <v>-0.27604658255566372</v>
      </c>
      <c r="P322" s="38">
        <f>(VLOOKUP($A322,'The List'!$B1:$AH730,28,FALSE)-AVERAGE('The List'!AC2:AC730))/STDEV('The List'!AC2:AC730)</f>
        <v>-2.3780154959456392</v>
      </c>
      <c r="Q322" s="38">
        <f>(VLOOKUP($A322,'The List'!$B1:$AH730,29,FALSE)-AVERAGE('The List'!AD2:AD730))/STDEV('The List'!AD2:AD730)</f>
        <v>-0.48981682331378307</v>
      </c>
      <c r="R322" s="38">
        <f>(VLOOKUP($A322,'The List'!$B1:$AH730,30,FALSE)-AVERAGE('The List'!AE2:AE730))/STDEV('The List'!AE2:AE730)</f>
        <v>-0.87600681002110958</v>
      </c>
      <c r="S322" s="38">
        <f>(VLOOKUP($A322,'The List'!$B1:$AH730,31,FALSE)-AVERAGE('The List'!AF2:AF730))/STDEV('The List'!AF2:AF730)</f>
        <v>-0.56911587195029545</v>
      </c>
      <c r="T322" s="38">
        <f>(VLOOKUP($A322,'The List'!$B1:$AH730,32,FALSE)-AVERAGE('The List'!AG2:AG730))/STDEV('The List'!AG2:AG730)</f>
        <v>-0.61510119871956948</v>
      </c>
      <c r="U322" s="38">
        <f>(VLOOKUP($A322,'The List'!$B1:$AH730,33,FALSE)-AVERAGE('The List'!AH2:AH730))/STDEV('The List'!AH2:AH730)</f>
        <v>-1.2363238714825984</v>
      </c>
      <c r="V322" s="38"/>
      <c r="W322" s="42"/>
      <c r="X322" s="40"/>
      <c r="Y322" s="40"/>
      <c r="Z322" s="40"/>
      <c r="AA322" s="40"/>
      <c r="AB322" s="40"/>
      <c r="AC322" s="43"/>
      <c r="AD322" s="44"/>
      <c r="AE322" s="38"/>
    </row>
    <row r="323" spans="1:31" ht="21.2" customHeight="1">
      <c r="A323" s="8" t="s">
        <v>288</v>
      </c>
      <c r="B323" s="34" t="str">
        <f>VLOOKUP(A323,'Player Data'!A1:B734,2,FALSE)</f>
        <v>EDM</v>
      </c>
      <c r="C323" s="36">
        <f>((E323)*Settings!$C$12)+(F323*Settings!$C$2)+(G323*Settings!$C$3)+(H323*Settings!$C$4)+(I323*Settings!$C$5)+(K323*Settings!$C$9)+(N323*Settings!$C$6)+(J323*Settings!$C$8)+(O323*Settings!$C$7)+(P323*Settings!$C$14)+(Q323*Settings!$C$15)+(R323*Settings!$C$16)+(S323*Settings!$C$17)+(T323*Settings!$C$18)+(U323*Settings!$C$19)+(L323*Settings!$C$10)+(Settings!$C$11*M323)</f>
        <v>-0.8653914334476327</v>
      </c>
      <c r="D323" s="40">
        <f>IF(Settings!$E$12="YES",VLOOKUP(A323,'Player Data'!A1:E734,5,FALSE),82)</f>
        <v>82</v>
      </c>
      <c r="E323" s="38">
        <f>(VLOOKUP($A323,'The List'!$B1:$AH730,17,FALSE)-AVERAGE('The List'!R2:R730))/STDEV('The List'!R2:R730)</f>
        <v>1.5434301564687953</v>
      </c>
      <c r="F323" s="38">
        <f>(VLOOKUP($A323,'The List'!$B1:$AH730,18,FALSE)-AVERAGE('The List'!S2:S730))/STDEV('The List'!S2:S730)</f>
        <v>-0.58446293830428864</v>
      </c>
      <c r="G323" s="38">
        <f>(VLOOKUP($A323,'The List'!$B1:$AH730,19,FALSE)-AVERAGE('The List'!T2:T730))/STDEV('The List'!T2:T730)</f>
        <v>0.13185543115966733</v>
      </c>
      <c r="H323" s="38">
        <f>(VLOOKUP($A323,'The List'!$B1:$AH730,20,FALSE)-AVERAGE('The List'!U2:U730))/STDEV('The List'!U2:U730)</f>
        <v>-0.19067076433861133</v>
      </c>
      <c r="I323" s="38">
        <f>(VLOOKUP($A323,'The List'!$B1:$AH730,21,FALSE)-AVERAGE('The List'!V2:V730))/STDEV('The List'!V2:V730)</f>
        <v>0.2090063306404514</v>
      </c>
      <c r="J323" s="38">
        <f>(VLOOKUP($A323,'The List'!$B1:$AH730,22,FALSE)-AVERAGE('The List'!W2:W730))/STDEV('The List'!W2:W730)</f>
        <v>-0.71499376122047709</v>
      </c>
      <c r="K323" s="38">
        <f>(VLOOKUP($A323,'The List'!$B1:$AH730,23,FALSE)-AVERAGE('The List'!X2:X730))/STDEV('The List'!X2:X730)</f>
        <v>-0.4311194926048515</v>
      </c>
      <c r="L323" s="38">
        <f>(VLOOKUP($A323,'The List'!$B1:$AH730,24,FALSE)-AVERAGE('The List'!Y2:Y730))/STDEV('The List'!Y2:Y730)</f>
        <v>-0.60632752849258487</v>
      </c>
      <c r="M323" s="38">
        <f>(VLOOKUP($A323,'The List'!$B1:$AH730,25,FALSE)-AVERAGE('The List'!Z2:Z730))/STDEV('The List'!Z2:Z730)</f>
        <v>-1.692630453409516E-2</v>
      </c>
      <c r="N323" s="38">
        <f>(VLOOKUP($A323,'The List'!$B1:$AH730,26,FALSE)-AVERAGE('The List'!AA2:AA730))/STDEV('The List'!AA2:AA730)</f>
        <v>1.1150683184886534</v>
      </c>
      <c r="O323" s="38">
        <f>(VLOOKUP($A323,'The List'!$B1:$AH730,27,FALSE)-AVERAGE('The List'!AB2:AB730))/STDEV('The List'!AB2:AB730)</f>
        <v>-0.18759212211107551</v>
      </c>
      <c r="P323" s="38">
        <f>(VLOOKUP($A323,'The List'!$B1:$AH730,28,FALSE)-AVERAGE('The List'!AC2:AC730))/STDEV('The List'!AC2:AC730)</f>
        <v>2.0642240390823332</v>
      </c>
      <c r="Q323" s="38">
        <f>(VLOOKUP($A323,'The List'!$B1:$AH730,29,FALSE)-AVERAGE('The List'!AD2:AD730))/STDEV('The List'!AD2:AD730)</f>
        <v>9.7790147287477994E-2</v>
      </c>
      <c r="R323" s="38">
        <f>(VLOOKUP($A323,'The List'!$B1:$AH730,30,FALSE)-AVERAGE('The List'!AE2:AE730))/STDEV('The List'!AE2:AE730)</f>
        <v>-0.4418815319804158</v>
      </c>
      <c r="S323" s="38">
        <f>(VLOOKUP($A323,'The List'!$B1:$AH730,31,FALSE)-AVERAGE('The List'!AF2:AF730))/STDEV('The List'!AF2:AF730)</f>
        <v>-0.56911587195029545</v>
      </c>
      <c r="T323" s="38">
        <f>(VLOOKUP($A323,'The List'!$B1:$AH730,32,FALSE)-AVERAGE('The List'!AG2:AG730))/STDEV('The List'!AG2:AG730)</f>
        <v>-0.61510119871956948</v>
      </c>
      <c r="U323" s="38">
        <f>(VLOOKUP($A323,'The List'!$B1:$AH730,33,FALSE)-AVERAGE('The List'!AH2:AH730))/STDEV('The List'!AH2:AH730)</f>
        <v>-1.2363238714825984</v>
      </c>
      <c r="V323" s="38"/>
      <c r="W323" s="40"/>
      <c r="X323" s="38"/>
      <c r="Y323" s="38"/>
      <c r="Z323" s="38"/>
      <c r="AA323" s="38"/>
      <c r="AB323" s="38"/>
      <c r="AC323" s="38"/>
      <c r="AD323" s="38"/>
      <c r="AE323" s="38"/>
    </row>
    <row r="324" spans="1:31" ht="21.2" customHeight="1">
      <c r="A324" s="8" t="s">
        <v>330</v>
      </c>
      <c r="B324" s="34" t="str">
        <f>VLOOKUP(A324,'Player Data'!A1:B734,2,FALSE)</f>
        <v>SEA</v>
      </c>
      <c r="C324" s="36">
        <f>((E324)*Settings!$C$12)+(F324*Settings!$C$2)+(G324*Settings!$C$3)+(H324*Settings!$C$4)+(I324*Settings!$C$5)+(K324*Settings!$C$9)+(N324*Settings!$C$6)+(J324*Settings!$C$8)+(O324*Settings!$C$7)+(P324*Settings!$C$14)+(Q324*Settings!$C$15)+(R324*Settings!$C$16)+(S324*Settings!$C$17)+(T324*Settings!$C$18)+(U324*Settings!$C$19)+(L324*Settings!$C$10)+(Settings!$C$11*M324)</f>
        <v>-1.1854015601676557</v>
      </c>
      <c r="D324" s="40">
        <f>IF(Settings!$E$12="YES",VLOOKUP(A324,'Player Data'!A1:E734,5,FALSE),82)</f>
        <v>82</v>
      </c>
      <c r="E324" s="38">
        <f>(VLOOKUP($A324,'The List'!$B1:$AH730,17,FALSE)-AVERAGE('The List'!R2:R730))/STDEV('The List'!R2:R730)</f>
        <v>0.2643344937699928</v>
      </c>
      <c r="F324" s="38">
        <f>(VLOOKUP($A324,'The List'!$B1:$AH730,18,FALSE)-AVERAGE('The List'!S2:S730))/STDEV('The List'!S2:S730)</f>
        <v>-0.85547361788373366</v>
      </c>
      <c r="G324" s="38">
        <f>(VLOOKUP($A324,'The List'!$B1:$AH730,19,FALSE)-AVERAGE('The List'!T2:T730))/STDEV('The List'!T2:T730)</f>
        <v>0.19889997013397817</v>
      </c>
      <c r="H324" s="38">
        <f>(VLOOKUP($A324,'The List'!$B1:$AH730,20,FALSE)-AVERAGE('The List'!U2:U730))/STDEV('The List'!U2:U730)</f>
        <v>-0.27545483979621671</v>
      </c>
      <c r="I324" s="38">
        <f>(VLOOKUP($A324,'The List'!$B1:$AH730,21,FALSE)-AVERAGE('The List'!V2:V730))/STDEV('The List'!V2:V730)</f>
        <v>-0.60521730650474448</v>
      </c>
      <c r="J324" s="38">
        <f>(VLOOKUP($A324,'The List'!$B1:$AH730,22,FALSE)-AVERAGE('The List'!W2:W730))/STDEV('The List'!W2:W730)</f>
        <v>-0.37650719552310397</v>
      </c>
      <c r="K324" s="38">
        <f>(VLOOKUP($A324,'The List'!$B1:$AH730,23,FALSE)-AVERAGE('The List'!X2:X730))/STDEV('The List'!X2:X730)</f>
        <v>0.35184423388306102</v>
      </c>
      <c r="L324" s="38">
        <f>(VLOOKUP($A324,'The List'!$B1:$AH730,24,FALSE)-AVERAGE('The List'!Y2:Y730))/STDEV('The List'!Y2:Y730)</f>
        <v>-0.51979268723510452</v>
      </c>
      <c r="M324" s="38">
        <f>(VLOOKUP($A324,'The List'!$B1:$AH730,25,FALSE)-AVERAGE('The List'!Z2:Z730))/STDEV('The List'!Z2:Z730)</f>
        <v>-0.69266454373761521</v>
      </c>
      <c r="N324" s="38">
        <f>(VLOOKUP($A324,'The List'!$B1:$AH730,26,FALSE)-AVERAGE('The List'!AA2:AA730))/STDEV('The List'!AA2:AA730)</f>
        <v>0.54017324469750638</v>
      </c>
      <c r="O324" s="38">
        <f>(VLOOKUP($A324,'The List'!$B1:$AH730,27,FALSE)-AVERAGE('The List'!AB2:AB730))/STDEV('The List'!AB2:AB730)</f>
        <v>-0.93595949433508352</v>
      </c>
      <c r="P324" s="38">
        <f>(VLOOKUP($A324,'The List'!$B1:$AH730,28,FALSE)-AVERAGE('The List'!AC2:AC730))/STDEV('The List'!AC2:AC730)</f>
        <v>-0.14843416859516753</v>
      </c>
      <c r="Q324" s="38">
        <f>(VLOOKUP($A324,'The List'!$B1:$AH730,29,FALSE)-AVERAGE('The List'!AD2:AD730))/STDEV('The List'!AD2:AD730)</f>
        <v>-0.17693170874481856</v>
      </c>
      <c r="R324" s="38">
        <f>(VLOOKUP($A324,'The List'!$B1:$AH730,30,FALSE)-AVERAGE('The List'!AE2:AE730))/STDEV('The List'!AE2:AE730)</f>
        <v>-0.78064064724018922</v>
      </c>
      <c r="S324" s="38">
        <f>(VLOOKUP($A324,'The List'!$B1:$AH730,31,FALSE)-AVERAGE('The List'!AF2:AF730))/STDEV('The List'!AF2:AF730)</f>
        <v>-0.56911587195029545</v>
      </c>
      <c r="T324" s="38">
        <f>(VLOOKUP($A324,'The List'!$B1:$AH730,32,FALSE)-AVERAGE('The List'!AG2:AG730))/STDEV('The List'!AG2:AG730)</f>
        <v>-0.61510119871956948</v>
      </c>
      <c r="U324" s="38">
        <f>(VLOOKUP($A324,'The List'!$B1:$AH730,33,FALSE)-AVERAGE('The List'!AH2:AH730))/STDEV('The List'!AH2:AH730)</f>
        <v>-1.2363238714825984</v>
      </c>
      <c r="V324" s="38"/>
      <c r="W324" s="42"/>
      <c r="X324" s="40"/>
      <c r="Y324" s="40"/>
      <c r="Z324" s="40"/>
      <c r="AA324" s="40"/>
      <c r="AB324" s="40"/>
      <c r="AC324" s="43"/>
      <c r="AD324" s="44"/>
      <c r="AE324" s="38"/>
    </row>
    <row r="325" spans="1:31" ht="21.2" customHeight="1">
      <c r="A325" s="8" t="s">
        <v>669</v>
      </c>
      <c r="B325" s="34" t="str">
        <f>VLOOKUP(A325,'Player Data'!A1:B734,2,FALSE)</f>
        <v>EDM</v>
      </c>
      <c r="C325" s="36">
        <f>((E325)*Settings!$C$12)+(F325*Settings!$C$2)+(G325*Settings!$C$3)+(H325*Settings!$C$4)+(I325*Settings!$C$5)+(K325*Settings!$C$9)+(N325*Settings!$C$6)+(J325*Settings!$C$8)+(O325*Settings!$C$7)+(P325*Settings!$C$14)+(Q325*Settings!$C$15)+(R325*Settings!$C$16)+(S325*Settings!$C$17)+(T325*Settings!$C$18)+(U325*Settings!$C$19)+(L325*Settings!$C$10)+(Settings!$C$11*M325)</f>
        <v>-1.8252987503596416</v>
      </c>
      <c r="D325" s="40">
        <f>IF(Settings!$E$12="YES",VLOOKUP(A325,'Player Data'!A1:E734,5,FALSE),82)</f>
        <v>82</v>
      </c>
      <c r="E325" s="38">
        <f>(VLOOKUP($A325,'The List'!$B1:$AH730,17,FALSE)-AVERAGE('The List'!R2:R730))/STDEV('The List'!R2:R730)</f>
        <v>-0.56784012277336682</v>
      </c>
      <c r="F325" s="38">
        <f>(VLOOKUP($A325,'The List'!$B1:$AH730,18,FALSE)-AVERAGE('The List'!S2:S730))/STDEV('The List'!S2:S730)</f>
        <v>1.6311042134349515E-2</v>
      </c>
      <c r="G325" s="38">
        <f>(VLOOKUP($A325,'The List'!$B1:$AH730,19,FALSE)-AVERAGE('The List'!T2:T730))/STDEV('The List'!T2:T730)</f>
        <v>-0.4789488962892941</v>
      </c>
      <c r="H325" s="38">
        <f>(VLOOKUP($A325,'The List'!$B1:$AH730,20,FALSE)-AVERAGE('The List'!U2:U730))/STDEV('The List'!U2:U730)</f>
        <v>-0.28675037227638811</v>
      </c>
      <c r="I325" s="38">
        <f>(VLOOKUP($A325,'The List'!$B1:$AH730,21,FALSE)-AVERAGE('The List'!V2:V730))/STDEV('The List'!V2:V730)</f>
        <v>-0.5348589808476838</v>
      </c>
      <c r="J325" s="38">
        <f>(VLOOKUP($A325,'The List'!$B1:$AH730,22,FALSE)-AVERAGE('The List'!W2:W730))/STDEV('The List'!W2:W730)</f>
        <v>-0.43728054047429171</v>
      </c>
      <c r="K325" s="38">
        <f>(VLOOKUP($A325,'The List'!$B1:$AH730,23,FALSE)-AVERAGE('The List'!X2:X730))/STDEV('The List'!X2:X730)</f>
        <v>-0.5410515430806252</v>
      </c>
      <c r="L325" s="38">
        <f>(VLOOKUP($A325,'The List'!$B1:$AH730,24,FALSE)-AVERAGE('The List'!Y2:Y730))/STDEV('The List'!Y2:Y730)</f>
        <v>1.929791037200995</v>
      </c>
      <c r="M325" s="38">
        <f>(VLOOKUP($A325,'The List'!$B1:$AH730,25,FALSE)-AVERAGE('The List'!Z2:Z730))/STDEV('The List'!Z2:Z730)</f>
        <v>1.6898538492577926</v>
      </c>
      <c r="N325" s="38">
        <f>(VLOOKUP($A325,'The List'!$B1:$AH730,26,FALSE)-AVERAGE('The List'!AA2:AA730))/STDEV('The List'!AA2:AA730)</f>
        <v>-0.79247230912217848</v>
      </c>
      <c r="O325" s="38">
        <f>(VLOOKUP($A325,'The List'!$B1:$AH730,27,FALSE)-AVERAGE('The List'!AB2:AB730))/STDEV('The List'!AB2:AB730)</f>
        <v>-0.74266583258801133</v>
      </c>
      <c r="P325" s="38">
        <f>(VLOOKUP($A325,'The List'!$B1:$AH730,28,FALSE)-AVERAGE('The List'!AC2:AC730))/STDEV('The List'!AC2:AC730)</f>
        <v>1.1208813498384089</v>
      </c>
      <c r="Q325" s="38">
        <f>(VLOOKUP($A325,'The List'!$B1:$AH730,29,FALSE)-AVERAGE('The List'!AD2:AD730))/STDEV('The List'!AD2:AD730)</f>
        <v>-0.76733205643680513</v>
      </c>
      <c r="R325" s="38">
        <f>(VLOOKUP($A325,'The List'!$B1:$AH730,30,FALSE)-AVERAGE('The List'!AE2:AE730))/STDEV('The List'!AE2:AE730)</f>
        <v>0.17740024690875675</v>
      </c>
      <c r="S325" s="38">
        <f>(VLOOKUP($A325,'The List'!$B1:$AH730,31,FALSE)-AVERAGE('The List'!AF2:AF730))/STDEV('The List'!AF2:AF730)</f>
        <v>1.2999058553489911</v>
      </c>
      <c r="T325" s="38">
        <f>(VLOOKUP($A325,'The List'!$B1:$AH730,32,FALSE)-AVERAGE('The List'!AG2:AG730))/STDEV('The List'!AG2:AG730)</f>
        <v>1.5321424252048537</v>
      </c>
      <c r="U325" s="38">
        <f>(VLOOKUP($A325,'The List'!$B1:$AH730,33,FALSE)-AVERAGE('The List'!AH2:AH730))/STDEV('The List'!AH2:AH730)</f>
        <v>0.9209977602578554</v>
      </c>
      <c r="V325" s="38"/>
      <c r="W325" s="42"/>
      <c r="X325" s="40"/>
      <c r="Y325" s="40"/>
      <c r="Z325" s="40"/>
      <c r="AA325" s="40"/>
      <c r="AB325" s="40"/>
      <c r="AC325" s="43"/>
      <c r="AD325" s="44"/>
      <c r="AE325" s="38"/>
    </row>
    <row r="326" spans="1:31" ht="21.2" customHeight="1">
      <c r="A326" s="8" t="s">
        <v>346</v>
      </c>
      <c r="B326" s="34" t="str">
        <f>VLOOKUP(A326,'Player Data'!A1:B734,2,FALSE)</f>
        <v>MIN</v>
      </c>
      <c r="C326" s="36">
        <f>((E326)*Settings!$C$12)+(F326*Settings!$C$2)+(G326*Settings!$C$3)+(H326*Settings!$C$4)+(I326*Settings!$C$5)+(K326*Settings!$C$9)+(N326*Settings!$C$6)+(J326*Settings!$C$8)+(O326*Settings!$C$7)+(P326*Settings!$C$14)+(Q326*Settings!$C$15)+(R326*Settings!$C$16)+(S326*Settings!$C$17)+(T326*Settings!$C$18)+(U326*Settings!$C$19)+(L326*Settings!$C$10)+(Settings!$C$11*M326)</f>
        <v>-1.4336469758821724</v>
      </c>
      <c r="D326" s="40">
        <f>IF(Settings!$E$12="YES",VLOOKUP(A326,'Player Data'!A1:E734,5,FALSE),82)</f>
        <v>82</v>
      </c>
      <c r="E326" s="38">
        <f>(VLOOKUP($A326,'The List'!$B1:$AH730,17,FALSE)-AVERAGE('The List'!R2:R730))/STDEV('The List'!R2:R730)</f>
        <v>0.94805795416634686</v>
      </c>
      <c r="F326" s="38">
        <f>(VLOOKUP($A326,'The List'!$B1:$AH730,18,FALSE)-AVERAGE('The List'!S2:S730))/STDEV('The List'!S2:S730)</f>
        <v>-0.76436307145175941</v>
      </c>
      <c r="G326" s="38">
        <f>(VLOOKUP($A326,'The List'!$B1:$AH730,19,FALSE)-AVERAGE('The List'!T2:T730))/STDEV('The List'!T2:T730)</f>
        <v>0.11058189338253299</v>
      </c>
      <c r="H326" s="38">
        <f>(VLOOKUP($A326,'The List'!$B1:$AH730,20,FALSE)-AVERAGE('The List'!U2:U730))/STDEV('The List'!U2:U730)</f>
        <v>-0.28737492756666322</v>
      </c>
      <c r="I326" s="38">
        <f>(VLOOKUP($A326,'The List'!$B1:$AH730,21,FALSE)-AVERAGE('The List'!V2:V730))/STDEV('The List'!V2:V730)</f>
        <v>-0.26284931057313216</v>
      </c>
      <c r="J326" s="38">
        <f>(VLOOKUP($A326,'The List'!$B1:$AH730,22,FALSE)-AVERAGE('The List'!W2:W730))/STDEV('The List'!W2:W730)</f>
        <v>-0.43314091694047158</v>
      </c>
      <c r="K326" s="38">
        <f>(VLOOKUP($A326,'The List'!$B1:$AH730,23,FALSE)-AVERAGE('The List'!X2:X730))/STDEV('The List'!X2:X730)</f>
        <v>-0.22964155967315045</v>
      </c>
      <c r="L326" s="38">
        <f>(VLOOKUP($A326,'The List'!$B1:$AH730,24,FALSE)-AVERAGE('The List'!Y2:Y730))/STDEV('The List'!Y2:Y730)</f>
        <v>-0.52515529094994673</v>
      </c>
      <c r="M326" s="38">
        <f>(VLOOKUP($A326,'The List'!$B1:$AH730,25,FALSE)-AVERAGE('The List'!Z2:Z730))/STDEV('The List'!Z2:Z730)</f>
        <v>-0.70378350861314143</v>
      </c>
      <c r="N326" s="38">
        <f>(VLOOKUP($A326,'The List'!$B1:$AH730,26,FALSE)-AVERAGE('The List'!AA2:AA730))/STDEV('The List'!AA2:AA730)</f>
        <v>0.99201412558227364</v>
      </c>
      <c r="O326" s="38">
        <f>(VLOOKUP($A326,'The List'!$B1:$AH730,27,FALSE)-AVERAGE('The List'!AB2:AB730))/STDEV('The List'!AB2:AB730)</f>
        <v>0.13701098405847373</v>
      </c>
      <c r="P326" s="38">
        <f>(VLOOKUP($A326,'The List'!$B1:$AH730,28,FALSE)-AVERAGE('The List'!AC2:AC730))/STDEV('The List'!AC2:AC730)</f>
        <v>0.10483118033224786</v>
      </c>
      <c r="Q326" s="38">
        <f>(VLOOKUP($A326,'The List'!$B1:$AH730,29,FALSE)-AVERAGE('The List'!AD2:AD730))/STDEV('The List'!AD2:AD730)</f>
        <v>0.27722642090164723</v>
      </c>
      <c r="R326" s="38">
        <f>(VLOOKUP($A326,'The List'!$B1:$AH730,30,FALSE)-AVERAGE('The List'!AE2:AE730))/STDEV('The List'!AE2:AE730)</f>
        <v>-0.6183035307542587</v>
      </c>
      <c r="S326" s="38">
        <f>(VLOOKUP($A326,'The List'!$B1:$AH730,31,FALSE)-AVERAGE('The List'!AF2:AF730))/STDEV('The List'!AF2:AF730)</f>
        <v>-0.56911587195029545</v>
      </c>
      <c r="T326" s="38">
        <f>(VLOOKUP($A326,'The List'!$B1:$AH730,32,FALSE)-AVERAGE('The List'!AG2:AG730))/STDEV('The List'!AG2:AG730)</f>
        <v>-0.61510119871956948</v>
      </c>
      <c r="U326" s="38">
        <f>(VLOOKUP($A326,'The List'!$B1:$AH730,33,FALSE)-AVERAGE('The List'!AH2:AH730))/STDEV('The List'!AH2:AH730)</f>
        <v>-1.2363238714825984</v>
      </c>
      <c r="V326" s="38"/>
      <c r="W326" s="40"/>
      <c r="X326" s="38"/>
      <c r="Y326" s="38"/>
      <c r="Z326" s="38"/>
      <c r="AA326" s="38"/>
      <c r="AB326" s="38"/>
      <c r="AC326" s="38"/>
      <c r="AD326" s="38"/>
      <c r="AE326" s="38"/>
    </row>
    <row r="327" spans="1:31" ht="21.2" customHeight="1">
      <c r="A327" s="8" t="s">
        <v>511</v>
      </c>
      <c r="B327" s="34" t="str">
        <f>VLOOKUP(A327,'Player Data'!A1:B734,2,FALSE)</f>
        <v>UFA</v>
      </c>
      <c r="C327" s="36">
        <f>((E327)*Settings!$C$12)+(F327*Settings!$C$2)+(G327*Settings!$C$3)+(H327*Settings!$C$4)+(I327*Settings!$C$5)+(K327*Settings!$C$9)+(N327*Settings!$C$6)+(J327*Settings!$C$8)+(O327*Settings!$C$7)+(P327*Settings!$C$14)+(Q327*Settings!$C$15)+(R327*Settings!$C$16)+(S327*Settings!$C$17)+(T327*Settings!$C$18)+(U327*Settings!$C$19)+(L327*Settings!$C$10)+(Settings!$C$11*M327)</f>
        <v>-1.1604946930148943</v>
      </c>
      <c r="D327" s="40">
        <f>IF(Settings!$E$12="YES",VLOOKUP(A327,'Player Data'!A1:E734,5,FALSE),82)</f>
        <v>82</v>
      </c>
      <c r="E327" s="38">
        <f>(VLOOKUP($A327,'The List'!$B1:$AH730,17,FALSE)-AVERAGE('The List'!R2:R730))/STDEV('The List'!R2:R730)</f>
        <v>-1.0435438977525604</v>
      </c>
      <c r="F327" s="38">
        <f>(VLOOKUP($A327,'The List'!$B1:$AH730,18,FALSE)-AVERAGE('The List'!S2:S730))/STDEV('The List'!S2:S730)</f>
        <v>-0.44301822626197257</v>
      </c>
      <c r="G327" s="38">
        <f>(VLOOKUP($A327,'The List'!$B1:$AH730,19,FALSE)-AVERAGE('The List'!T2:T730))/STDEV('The List'!T2:T730)</f>
        <v>-0.13472861148639639</v>
      </c>
      <c r="H327" s="38">
        <f>(VLOOKUP($A327,'The List'!$B1:$AH730,20,FALSE)-AVERAGE('The List'!U2:U730))/STDEV('The List'!U2:U730)</f>
        <v>-0.28874329973946694</v>
      </c>
      <c r="I327" s="38">
        <f>(VLOOKUP($A327,'The List'!$B1:$AH730,21,FALSE)-AVERAGE('The List'!V2:V730))/STDEV('The List'!V2:V730)</f>
        <v>-0.14704651776155483</v>
      </c>
      <c r="J327" s="38">
        <f>(VLOOKUP($A327,'The List'!$B1:$AH730,22,FALSE)-AVERAGE('The List'!W2:W730))/STDEV('The List'!W2:W730)</f>
        <v>-0.3634010509102632</v>
      </c>
      <c r="K327" s="38">
        <f>(VLOOKUP($A327,'The List'!$B1:$AH730,23,FALSE)-AVERAGE('The List'!X2:X730))/STDEV('The List'!X2:X730)</f>
        <v>-0.14695803776550342</v>
      </c>
      <c r="L327" s="38">
        <f>(VLOOKUP($A327,'The List'!$B1:$AH730,24,FALSE)-AVERAGE('The List'!Y2:Y730))/STDEV('The List'!Y2:Y730)</f>
        <v>-0.52515529094994673</v>
      </c>
      <c r="M327" s="38">
        <f>(VLOOKUP($A327,'The List'!$B1:$AH730,25,FALSE)-AVERAGE('The List'!Z2:Z730))/STDEV('The List'!Z2:Z730)</f>
        <v>-0.70378350861314143</v>
      </c>
      <c r="N327" s="38">
        <f>(VLOOKUP($A327,'The List'!$B1:$AH730,26,FALSE)-AVERAGE('The List'!AA2:AA730))/STDEV('The List'!AA2:AA730)</f>
        <v>-0.9739031089652892</v>
      </c>
      <c r="O327" s="38">
        <f>(VLOOKUP($A327,'The List'!$B1:$AH730,27,FALSE)-AVERAGE('The List'!AB2:AB730))/STDEV('The List'!AB2:AB730)</f>
        <v>-1.5883389577275802</v>
      </c>
      <c r="P327" s="38">
        <f>(VLOOKUP($A327,'The List'!$B1:$AH730,28,FALSE)-AVERAGE('The List'!AC2:AC730))/STDEV('The List'!AC2:AC730)</f>
        <v>-0.29525405448026115</v>
      </c>
      <c r="Q327" s="38">
        <f>(VLOOKUP($A327,'The List'!$B1:$AH730,29,FALSE)-AVERAGE('The List'!AD2:AD730))/STDEV('The List'!AD2:AD730)</f>
        <v>-0.70603412900781415</v>
      </c>
      <c r="R327" s="38">
        <f>(VLOOKUP($A327,'The List'!$B1:$AH730,30,FALSE)-AVERAGE('The List'!AE2:AE730))/STDEV('The List'!AE2:AE730)</f>
        <v>-1.2515972607254897</v>
      </c>
      <c r="S327" s="38">
        <f>(VLOOKUP($A327,'The List'!$B1:$AH730,31,FALSE)-AVERAGE('The List'!AF2:AF730))/STDEV('The List'!AF2:AF730)</f>
        <v>-0.55222591355042627</v>
      </c>
      <c r="T327" s="38">
        <f>(VLOOKUP($A327,'The List'!$B1:$AH730,32,FALSE)-AVERAGE('The List'!AG2:AG730))/STDEV('The List'!AG2:AG730)</f>
        <v>-0.58187048601892866</v>
      </c>
      <c r="U327" s="38">
        <f>(VLOOKUP($A327,'The List'!$B1:$AH730,33,FALSE)-AVERAGE('The List'!AH2:AH730))/STDEV('The List'!AH2:AH730)</f>
        <v>0.33585235602101138</v>
      </c>
      <c r="V327" s="38"/>
      <c r="W327" s="42"/>
      <c r="X327" s="40"/>
      <c r="Y327" s="40"/>
      <c r="Z327" s="40"/>
      <c r="AA327" s="40"/>
      <c r="AB327" s="40"/>
      <c r="AC327" s="43"/>
      <c r="AD327" s="44"/>
      <c r="AE327" s="38"/>
    </row>
    <row r="328" spans="1:31" ht="21.2" customHeight="1">
      <c r="A328" s="8" t="s">
        <v>301</v>
      </c>
      <c r="B328" s="34" t="str">
        <f>VLOOKUP(A328,'Player Data'!A1:B734,2,FALSE)</f>
        <v>STL</v>
      </c>
      <c r="C328" s="36">
        <f>((E328)*Settings!$C$12)+(F328*Settings!$C$2)+(G328*Settings!$C$3)+(H328*Settings!$C$4)+(I328*Settings!$C$5)+(K328*Settings!$C$9)+(N328*Settings!$C$6)+(J328*Settings!$C$8)+(O328*Settings!$C$7)+(P328*Settings!$C$14)+(Q328*Settings!$C$15)+(R328*Settings!$C$16)+(S328*Settings!$C$17)+(T328*Settings!$C$18)+(U328*Settings!$C$19)+(L328*Settings!$C$10)+(Settings!$C$11*M328)</f>
        <v>-1.7168462244865428</v>
      </c>
      <c r="D328" s="40">
        <f>IF(Settings!$E$12="YES",VLOOKUP(A328,'Player Data'!A1:E734,5,FALSE),82)</f>
        <v>82</v>
      </c>
      <c r="E328" s="38">
        <f>(VLOOKUP($A328,'The List'!$B1:$AH730,17,FALSE)-AVERAGE('The List'!R2:R730))/STDEV('The List'!R2:R730)</f>
        <v>1.7772946309663471</v>
      </c>
      <c r="F328" s="38">
        <f>(VLOOKUP($A328,'The List'!$B1:$AH730,18,FALSE)-AVERAGE('The List'!S2:S730))/STDEV('The List'!S2:S730)</f>
        <v>-0.85494149407387587</v>
      </c>
      <c r="G328" s="38">
        <f>(VLOOKUP($A328,'The List'!$B1:$AH730,19,FALSE)-AVERAGE('The List'!T2:T730))/STDEV('The List'!T2:T730)</f>
        <v>0.16980434904491279</v>
      </c>
      <c r="H328" s="38">
        <f>(VLOOKUP($A328,'The List'!$B1:$AH730,20,FALSE)-AVERAGE('The List'!U2:U730))/STDEV('The List'!U2:U730)</f>
        <v>-0.29308787344590398</v>
      </c>
      <c r="I328" s="38">
        <f>(VLOOKUP($A328,'The List'!$B1:$AH730,21,FALSE)-AVERAGE('The List'!V2:V730))/STDEV('The List'!V2:V730)</f>
        <v>-7.9682240707560428E-2</v>
      </c>
      <c r="J328" s="38">
        <f>(VLOOKUP($A328,'The List'!$B1:$AH730,22,FALSE)-AVERAGE('The List'!W2:W730))/STDEV('The List'!W2:W730)</f>
        <v>-0.71034459257683513</v>
      </c>
      <c r="K328" s="38">
        <f>(VLOOKUP($A328,'The List'!$B1:$AH730,23,FALSE)-AVERAGE('The List'!X2:X730))/STDEV('The List'!X2:X730)</f>
        <v>-0.65893896530411533</v>
      </c>
      <c r="L328" s="38">
        <f>(VLOOKUP($A328,'The List'!$B1:$AH730,24,FALSE)-AVERAGE('The List'!Y2:Y730))/STDEV('The List'!Y2:Y730)</f>
        <v>-0.52999872195343456</v>
      </c>
      <c r="M328" s="38">
        <f>(VLOOKUP($A328,'The List'!$B1:$AH730,25,FALSE)-AVERAGE('The List'!Z2:Z730))/STDEV('The List'!Z2:Z730)</f>
        <v>-0.10722862995377901</v>
      </c>
      <c r="N328" s="38">
        <f>(VLOOKUP($A328,'The List'!$B1:$AH730,26,FALSE)-AVERAGE('The List'!AA2:AA730))/STDEV('The List'!AA2:AA730)</f>
        <v>2.1292120494108659</v>
      </c>
      <c r="O328" s="38">
        <f>(VLOOKUP($A328,'The List'!$B1:$AH730,27,FALSE)-AVERAGE('The List'!AB2:AB730))/STDEV('The List'!AB2:AB730)</f>
        <v>8.7336020978494411E-2</v>
      </c>
      <c r="P328" s="38">
        <f>(VLOOKUP($A328,'The List'!$B1:$AH730,28,FALSE)-AVERAGE('The List'!AC2:AC730))/STDEV('The List'!AC2:AC730)</f>
        <v>-1.5464231175421468</v>
      </c>
      <c r="Q328" s="38">
        <f>(VLOOKUP($A328,'The List'!$B1:$AH730,29,FALSE)-AVERAGE('The List'!AD2:AD730))/STDEV('The List'!AD2:AD730)</f>
        <v>-0.2607594975468186</v>
      </c>
      <c r="R328" s="38">
        <f>(VLOOKUP($A328,'The List'!$B1:$AH730,30,FALSE)-AVERAGE('The List'!AE2:AE730))/STDEV('The List'!AE2:AE730)</f>
        <v>-0.865641531853789</v>
      </c>
      <c r="S328" s="38">
        <f>(VLOOKUP($A328,'The List'!$B1:$AH730,31,FALSE)-AVERAGE('The List'!AF2:AF730))/STDEV('The List'!AF2:AF730)</f>
        <v>-0.56911587195029545</v>
      </c>
      <c r="T328" s="38">
        <f>(VLOOKUP($A328,'The List'!$B1:$AH730,32,FALSE)-AVERAGE('The List'!AG2:AG730))/STDEV('The List'!AG2:AG730)</f>
        <v>-0.61510119871956948</v>
      </c>
      <c r="U328" s="38">
        <f>(VLOOKUP($A328,'The List'!$B1:$AH730,33,FALSE)-AVERAGE('The List'!AH2:AH730))/STDEV('The List'!AH2:AH730)</f>
        <v>-1.2363238714825984</v>
      </c>
      <c r="V328" s="38"/>
      <c r="W328" s="42"/>
      <c r="X328" s="40"/>
      <c r="Y328" s="40"/>
      <c r="Z328" s="40"/>
      <c r="AA328" s="40"/>
      <c r="AB328" s="40"/>
      <c r="AC328" s="43"/>
      <c r="AD328" s="44"/>
      <c r="AE328" s="38"/>
    </row>
    <row r="329" spans="1:31" ht="21.2" customHeight="1">
      <c r="A329" s="8" t="s">
        <v>602</v>
      </c>
      <c r="B329" s="34" t="str">
        <f>VLOOKUP(A329,'Player Data'!A1:B734,2,FALSE)</f>
        <v>SEA</v>
      </c>
      <c r="C329" s="36">
        <f>((E329)*Settings!$C$12)+(F329*Settings!$C$2)+(G329*Settings!$C$3)+(H329*Settings!$C$4)+(I329*Settings!$C$5)+(K329*Settings!$C$9)+(N329*Settings!$C$6)+(J329*Settings!$C$8)+(O329*Settings!$C$7)+(P329*Settings!$C$14)+(Q329*Settings!$C$15)+(R329*Settings!$C$16)+(S329*Settings!$C$17)+(T329*Settings!$C$18)+(U329*Settings!$C$19)+(L329*Settings!$C$10)+(Settings!$C$11*M329)</f>
        <v>-2.1006087952660661</v>
      </c>
      <c r="D329" s="40">
        <f>IF(Settings!$E$12="YES",VLOOKUP(A329,'Player Data'!A1:E734,5,FALSE),82)</f>
        <v>82</v>
      </c>
      <c r="E329" s="38">
        <f>(VLOOKUP($A329,'The List'!$B1:$AH730,17,FALSE)-AVERAGE('The List'!R2:R730))/STDEV('The List'!R2:R730)</f>
        <v>-0.82374473549453497</v>
      </c>
      <c r="F329" s="38">
        <f>(VLOOKUP($A329,'The List'!$B1:$AH730,18,FALSE)-AVERAGE('The List'!S2:S730))/STDEV('The List'!S2:S730)</f>
        <v>-4.7622274142614503E-2</v>
      </c>
      <c r="G329" s="38">
        <f>(VLOOKUP($A329,'The List'!$B1:$AH730,19,FALSE)-AVERAGE('The List'!T2:T730))/STDEV('The List'!T2:T730)</f>
        <v>-0.46141809400865619</v>
      </c>
      <c r="H329" s="38">
        <f>(VLOOKUP($A329,'The List'!$B1:$AH730,20,FALSE)-AVERAGE('The List'!U2:U730))/STDEV('The List'!U2:U730)</f>
        <v>-0.30569788530357922</v>
      </c>
      <c r="I329" s="38">
        <f>(VLOOKUP($A329,'The List'!$B1:$AH730,21,FALSE)-AVERAGE('The List'!V2:V730))/STDEV('The List'!V2:V730)</f>
        <v>-0.65096286656250024</v>
      </c>
      <c r="J329" s="38">
        <f>(VLOOKUP($A329,'The List'!$B1:$AH730,22,FALSE)-AVERAGE('The List'!W2:W730))/STDEV('The List'!W2:W730)</f>
        <v>-0.50602254647015932</v>
      </c>
      <c r="K329" s="38">
        <f>(VLOOKUP($A329,'The List'!$B1:$AH730,23,FALSE)-AVERAGE('The List'!X2:X730))/STDEV('The List'!X2:X730)</f>
        <v>-0.63490767524871605</v>
      </c>
      <c r="L329" s="38">
        <f>(VLOOKUP($A329,'The List'!$B1:$AH730,24,FALSE)-AVERAGE('The List'!Y2:Y730))/STDEV('The List'!Y2:Y730)</f>
        <v>0.19463930220260015</v>
      </c>
      <c r="M329" s="38">
        <f>(VLOOKUP($A329,'The List'!$B1:$AH730,25,FALSE)-AVERAGE('The List'!Z2:Z730))/STDEV('The List'!Z2:Z730)</f>
        <v>0.27860143267266196</v>
      </c>
      <c r="N329" s="38">
        <f>(VLOOKUP($A329,'The List'!$B1:$AH730,26,FALSE)-AVERAGE('The List'!AA2:AA730))/STDEV('The List'!AA2:AA730)</f>
        <v>-0.841051710877738</v>
      </c>
      <c r="O329" s="38">
        <f>(VLOOKUP($A329,'The List'!$B1:$AH730,27,FALSE)-AVERAGE('The List'!AB2:AB730))/STDEV('The List'!AB2:AB730)</f>
        <v>-0.20349623689671084</v>
      </c>
      <c r="P329" s="38">
        <f>(VLOOKUP($A329,'The List'!$B1:$AH730,28,FALSE)-AVERAGE('The List'!AC2:AC730))/STDEV('The List'!AC2:AC730)</f>
        <v>-6.1975493696544599E-2</v>
      </c>
      <c r="Q329" s="38">
        <f>(VLOOKUP($A329,'The List'!$B1:$AH730,29,FALSE)-AVERAGE('The List'!AD2:AD730))/STDEV('The List'!AD2:AD730)</f>
        <v>-0.46567825063064822</v>
      </c>
      <c r="R329" s="38">
        <f>(VLOOKUP($A329,'The List'!$B1:$AH730,30,FALSE)-AVERAGE('The List'!AE2:AE730))/STDEV('The List'!AE2:AE730)</f>
        <v>-4.1168292685955732E-2</v>
      </c>
      <c r="S329" s="38">
        <f>(VLOOKUP($A329,'The List'!$B1:$AH730,31,FALSE)-AVERAGE('The List'!AF2:AF730))/STDEV('The List'!AF2:AF730)</f>
        <v>-0.55246946307185407</v>
      </c>
      <c r="T329" s="38">
        <f>(VLOOKUP($A329,'The List'!$B1:$AH730,32,FALSE)-AVERAGE('The List'!AG2:AG730))/STDEV('The List'!AG2:AG730)</f>
        <v>-0.57734379737425634</v>
      </c>
      <c r="U329" s="38">
        <f>(VLOOKUP($A329,'The List'!$B1:$AH730,33,FALSE)-AVERAGE('The List'!AH2:AH730))/STDEV('The List'!AH2:AH730)</f>
        <v>0.19339822576952376</v>
      </c>
      <c r="V329" s="38"/>
      <c r="W329" s="40"/>
      <c r="X329" s="40"/>
      <c r="Y329" s="40"/>
      <c r="Z329" s="40"/>
      <c r="AA329" s="40"/>
      <c r="AB329" s="40"/>
      <c r="AC329" s="43"/>
      <c r="AD329" s="44"/>
      <c r="AE329" s="38"/>
    </row>
    <row r="330" spans="1:31" ht="21.2" customHeight="1">
      <c r="A330" s="8" t="s">
        <v>564</v>
      </c>
      <c r="B330" s="34" t="str">
        <f>VLOOKUP(A330,'Player Data'!A1:B734,2,FALSE)</f>
        <v>SJS</v>
      </c>
      <c r="C330" s="36">
        <f>((E330)*Settings!$C$12)+(F330*Settings!$C$2)+(G330*Settings!$C$3)+(H330*Settings!$C$4)+(I330*Settings!$C$5)+(K330*Settings!$C$9)+(N330*Settings!$C$6)+(J330*Settings!$C$8)+(O330*Settings!$C$7)+(P330*Settings!$C$14)+(Q330*Settings!$C$15)+(R330*Settings!$C$16)+(S330*Settings!$C$17)+(T330*Settings!$C$18)+(U330*Settings!$C$19)+(L330*Settings!$C$10)+(Settings!$C$11*M330)</f>
        <v>-0.39229664389519248</v>
      </c>
      <c r="D330" s="40">
        <f>IF(Settings!$E$12="YES",VLOOKUP(A330,'Player Data'!A1:E734,5,FALSE),82)</f>
        <v>82</v>
      </c>
      <c r="E330" s="38">
        <f>(VLOOKUP($A330,'The List'!$B1:$AH730,17,FALSE)-AVERAGE('The List'!R2:R730))/STDEV('The List'!R2:R730)</f>
        <v>-0.95396129053088008</v>
      </c>
      <c r="F330" s="38">
        <f>(VLOOKUP($A330,'The List'!$B1:$AH730,18,FALSE)-AVERAGE('The List'!S2:S730))/STDEV('The List'!S2:S730)</f>
        <v>-0.37454179887225664</v>
      </c>
      <c r="G330" s="38">
        <f>(VLOOKUP($A330,'The List'!$B1:$AH730,19,FALSE)-AVERAGE('The List'!T2:T730))/STDEV('The List'!T2:T730)</f>
        <v>-0.21543786292209172</v>
      </c>
      <c r="H330" s="38">
        <f>(VLOOKUP($A330,'The List'!$B1:$AH730,20,FALSE)-AVERAGE('The List'!U2:U730))/STDEV('The List'!U2:U730)</f>
        <v>-0.30650945873350111</v>
      </c>
      <c r="I330" s="38">
        <f>(VLOOKUP($A330,'The List'!$B1:$AH730,21,FALSE)-AVERAGE('The List'!V2:V730))/STDEV('The List'!V2:V730)</f>
        <v>0.44135558846801887</v>
      </c>
      <c r="J330" s="38">
        <f>(VLOOKUP($A330,'The List'!$B1:$AH730,22,FALSE)-AVERAGE('The List'!W2:W730))/STDEV('The List'!W2:W730)</f>
        <v>0.12902274506729694</v>
      </c>
      <c r="K330" s="38">
        <f>(VLOOKUP($A330,'The List'!$B1:$AH730,23,FALSE)-AVERAGE('The List'!X2:X730))/STDEV('The List'!X2:X730)</f>
        <v>6.2836888164638088E-2</v>
      </c>
      <c r="L330" s="38">
        <f>(VLOOKUP($A330,'The List'!$B1:$AH730,24,FALSE)-AVERAGE('The List'!Y2:Y730))/STDEV('The List'!Y2:Y730)</f>
        <v>-0.51598824672734112</v>
      </c>
      <c r="M330" s="38">
        <f>(VLOOKUP($A330,'The List'!$B1:$AH730,25,FALSE)-AVERAGE('The List'!Z2:Z730))/STDEV('The List'!Z2:Z730)</f>
        <v>-0.69241337343770448</v>
      </c>
      <c r="N330" s="38">
        <f>(VLOOKUP($A330,'The List'!$B1:$AH730,26,FALSE)-AVERAGE('The List'!AA2:AA730))/STDEV('The List'!AA2:AA730)</f>
        <v>-0.9142212323651363</v>
      </c>
      <c r="O330" s="38">
        <f>(VLOOKUP($A330,'The List'!$B1:$AH730,27,FALSE)-AVERAGE('The List'!AB2:AB730))/STDEV('The List'!AB2:AB730)</f>
        <v>-0.51005050709167488</v>
      </c>
      <c r="P330" s="38">
        <f>(VLOOKUP($A330,'The List'!$B1:$AH730,28,FALSE)-AVERAGE('The List'!AC2:AC730))/STDEV('The List'!AC2:AC730)</f>
        <v>-0.14476338121084245</v>
      </c>
      <c r="Q330" s="38">
        <f>(VLOOKUP($A330,'The List'!$B1:$AH730,29,FALSE)-AVERAGE('The List'!AD2:AD730))/STDEV('The List'!AD2:AD730)</f>
        <v>-1.0382788073979863</v>
      </c>
      <c r="R330" s="38">
        <f>(VLOOKUP($A330,'The List'!$B1:$AH730,30,FALSE)-AVERAGE('The List'!AE2:AE730))/STDEV('The List'!AE2:AE730)</f>
        <v>-0.44676255034853884</v>
      </c>
      <c r="S330" s="38">
        <f>(VLOOKUP($A330,'The List'!$B1:$AH730,31,FALSE)-AVERAGE('The List'!AF2:AF730))/STDEV('The List'!AF2:AF730)</f>
        <v>-0.52657095129393972</v>
      </c>
      <c r="T330" s="38">
        <f>(VLOOKUP($A330,'The List'!$B1:$AH730,32,FALSE)-AVERAGE('The List'!AG2:AG730))/STDEV('The List'!AG2:AG730)</f>
        <v>-0.56038632575218117</v>
      </c>
      <c r="U330" s="38">
        <f>(VLOOKUP($A330,'The List'!$B1:$AH730,33,FALSE)-AVERAGE('The List'!AH2:AH730))/STDEV('The List'!AH2:AH730)</f>
        <v>0.79433823871390319</v>
      </c>
      <c r="V330" s="38"/>
      <c r="W330" s="42"/>
      <c r="X330" s="40"/>
      <c r="Y330" s="40"/>
      <c r="Z330" s="40"/>
      <c r="AA330" s="40"/>
      <c r="AB330" s="40"/>
      <c r="AC330" s="43"/>
      <c r="AD330" s="44"/>
      <c r="AE330" s="38"/>
    </row>
    <row r="331" spans="1:31" ht="21.2" customHeight="1">
      <c r="A331" s="8" t="s">
        <v>665</v>
      </c>
      <c r="B331" s="34" t="str">
        <f>VLOOKUP(A331,'Player Data'!A1:B734,2,FALSE)</f>
        <v>WSH</v>
      </c>
      <c r="C331" s="36">
        <f>((E331)*Settings!$C$12)+(F331*Settings!$C$2)+(G331*Settings!$C$3)+(H331*Settings!$C$4)+(I331*Settings!$C$5)+(K331*Settings!$C$9)+(N331*Settings!$C$6)+(J331*Settings!$C$8)+(O331*Settings!$C$7)+(P331*Settings!$C$14)+(Q331*Settings!$C$15)+(R331*Settings!$C$16)+(S331*Settings!$C$17)+(T331*Settings!$C$18)+(U331*Settings!$C$19)+(L331*Settings!$C$10)+(Settings!$C$11*M331)</f>
        <v>-2.1352747828133083</v>
      </c>
      <c r="D331" s="40">
        <f>IF(Settings!$E$12="YES",VLOOKUP(A331,'Player Data'!A1:E734,5,FALSE),82)</f>
        <v>82</v>
      </c>
      <c r="E331" s="38">
        <f>(VLOOKUP($A331,'The List'!$B1:$AH730,17,FALSE)-AVERAGE('The List'!R2:R730))/STDEV('The List'!R2:R730)</f>
        <v>-1.1060945269288134</v>
      </c>
      <c r="F331" s="38">
        <f>(VLOOKUP($A331,'The List'!$B1:$AH730,18,FALSE)-AVERAGE('The List'!S2:S730))/STDEV('The List'!S2:S730)</f>
        <v>-0.24055438940786242</v>
      </c>
      <c r="G331" s="38">
        <f>(VLOOKUP($A331,'The List'!$B1:$AH730,19,FALSE)-AVERAGE('The List'!T2:T730))/STDEV('The List'!T2:T730)</f>
        <v>-0.31961766435750261</v>
      </c>
      <c r="H331" s="38">
        <f>(VLOOKUP($A331,'The List'!$B1:$AH730,20,FALSE)-AVERAGE('The List'!U2:U730))/STDEV('The List'!U2:U730)</f>
        <v>-0.30824489889621459</v>
      </c>
      <c r="I331" s="38">
        <f>(VLOOKUP($A331,'The List'!$B1:$AH730,21,FALSE)-AVERAGE('The List'!V2:V730))/STDEV('The List'!V2:V730)</f>
        <v>-0.70907914570947428</v>
      </c>
      <c r="J331" s="38">
        <f>(VLOOKUP($A331,'The List'!$B1:$AH730,22,FALSE)-AVERAGE('The List'!W2:W730))/STDEV('The List'!W2:W730)</f>
        <v>-0.48017507907305074</v>
      </c>
      <c r="K331" s="38">
        <f>(VLOOKUP($A331,'The List'!$B1:$AH730,23,FALSE)-AVERAGE('The List'!X2:X730))/STDEV('The List'!X2:X730)</f>
        <v>-0.55777868444225454</v>
      </c>
      <c r="L331" s="38">
        <f>(VLOOKUP($A331,'The List'!$B1:$AH730,24,FALSE)-AVERAGE('The List'!Y2:Y730))/STDEV('The List'!Y2:Y730)</f>
        <v>-0.52383202350266267</v>
      </c>
      <c r="M331" s="38">
        <f>(VLOOKUP($A331,'The List'!$B1:$AH730,25,FALSE)-AVERAGE('The List'!Z2:Z730))/STDEV('The List'!Z2:Z730)</f>
        <v>-0.70224924710762837</v>
      </c>
      <c r="N331" s="38">
        <f>(VLOOKUP($A331,'The List'!$B1:$AH730,26,FALSE)-AVERAGE('The List'!AA2:AA730))/STDEV('The List'!AA2:AA730)</f>
        <v>-1.0618998637113823</v>
      </c>
      <c r="O331" s="38">
        <f>(VLOOKUP($A331,'The List'!$B1:$AH730,27,FALSE)-AVERAGE('The List'!AB2:AB730))/STDEV('The List'!AB2:AB730)</f>
        <v>-0.92417372334455561</v>
      </c>
      <c r="P331" s="38">
        <f>(VLOOKUP($A331,'The List'!$B1:$AH730,28,FALSE)-AVERAGE('The List'!AC2:AC730))/STDEV('The List'!AC2:AC730)</f>
        <v>-0.69383916138452095</v>
      </c>
      <c r="Q331" s="38">
        <f>(VLOOKUP($A331,'The List'!$B1:$AH730,29,FALSE)-AVERAGE('The List'!AD2:AD730))/STDEV('The List'!AD2:AD730)</f>
        <v>-1.0657916219834127</v>
      </c>
      <c r="R331" s="38">
        <f>(VLOOKUP($A331,'The List'!$B1:$AH730,30,FALSE)-AVERAGE('The List'!AE2:AE730))/STDEV('The List'!AE2:AE730)</f>
        <v>-0.34688788530583542</v>
      </c>
      <c r="S331" s="38">
        <f>(VLOOKUP($A331,'The List'!$B1:$AH730,31,FALSE)-AVERAGE('The List'!AF2:AF730))/STDEV('The List'!AF2:AF730)</f>
        <v>-0.56911587195029545</v>
      </c>
      <c r="T331" s="38">
        <f>(VLOOKUP($A331,'The List'!$B1:$AH730,32,FALSE)-AVERAGE('The List'!AG2:AG730))/STDEV('The List'!AG2:AG730)</f>
        <v>-0.61314337971233324</v>
      </c>
      <c r="U331" s="38">
        <f>(VLOOKUP($A331,'The List'!$B1:$AH730,33,FALSE)-AVERAGE('The List'!AH2:AH730))/STDEV('The List'!AH2:AH730)</f>
        <v>-1.2363238714825984</v>
      </c>
      <c r="V331" s="38"/>
      <c r="W331" s="42"/>
      <c r="X331" s="40"/>
      <c r="Y331" s="40"/>
      <c r="Z331" s="40"/>
      <c r="AA331" s="40"/>
      <c r="AB331" s="40"/>
      <c r="AC331" s="43"/>
      <c r="AD331" s="44"/>
      <c r="AE331" s="38"/>
    </row>
    <row r="332" spans="1:31" ht="21.2" customHeight="1">
      <c r="A332" s="8" t="s">
        <v>376</v>
      </c>
      <c r="B332" s="34" t="str">
        <f>VLOOKUP(A332,'Player Data'!A1:B734,2,FALSE)</f>
        <v>PHI</v>
      </c>
      <c r="C332" s="36">
        <f>((E332)*Settings!$C$12)+(F332*Settings!$C$2)+(G332*Settings!$C$3)+(H332*Settings!$C$4)+(I332*Settings!$C$5)+(K332*Settings!$C$9)+(N332*Settings!$C$6)+(J332*Settings!$C$8)+(O332*Settings!$C$7)+(P332*Settings!$C$14)+(Q332*Settings!$C$15)+(R332*Settings!$C$16)+(S332*Settings!$C$17)+(T332*Settings!$C$18)+(U332*Settings!$C$19)+(L332*Settings!$C$10)+(Settings!$C$11*M332)</f>
        <v>-0.95918710044723221</v>
      </c>
      <c r="D332" s="40">
        <f>IF(Settings!$E$12="YES",VLOOKUP(A332,'Player Data'!A1:E734,5,FALSE),82)</f>
        <v>82</v>
      </c>
      <c r="E332" s="38">
        <f>(VLOOKUP($A332,'The List'!$B1:$AH730,17,FALSE)-AVERAGE('The List'!R2:R730))/STDEV('The List'!R2:R730)</f>
        <v>-0.12278904343626998</v>
      </c>
      <c r="F332" s="38">
        <f>(VLOOKUP($A332,'The List'!$B1:$AH730,18,FALSE)-AVERAGE('The List'!S2:S730))/STDEV('The List'!S2:S730)</f>
        <v>-0.62015445379621392</v>
      </c>
      <c r="G332" s="38">
        <f>(VLOOKUP($A332,'The List'!$B1:$AH730,19,FALSE)-AVERAGE('The List'!T2:T730))/STDEV('The List'!T2:T730)</f>
        <v>-3.3312565688170599E-2</v>
      </c>
      <c r="H332" s="38">
        <f>(VLOOKUP($A332,'The List'!$B1:$AH730,20,FALSE)-AVERAGE('The List'!U2:U730))/STDEV('The List'!U2:U730)</f>
        <v>-0.30876502211079848</v>
      </c>
      <c r="I332" s="38">
        <f>(VLOOKUP($A332,'The List'!$B1:$AH730,21,FALSE)-AVERAGE('The List'!V2:V730))/STDEV('The List'!V2:V730)</f>
        <v>4.3395778431522406E-3</v>
      </c>
      <c r="J332" s="38">
        <f>(VLOOKUP($A332,'The List'!$B1:$AH730,22,FALSE)-AVERAGE('The List'!W2:W730))/STDEV('The List'!W2:W730)</f>
        <v>-0.36786514242349988</v>
      </c>
      <c r="K332" s="38">
        <f>(VLOOKUP($A332,'The List'!$B1:$AH730,23,FALSE)-AVERAGE('The List'!X2:X730))/STDEV('The List'!X2:X730)</f>
        <v>-1.2946366952013898E-3</v>
      </c>
      <c r="L332" s="38">
        <f>(VLOOKUP($A332,'The List'!$B1:$AH730,24,FALSE)-AVERAGE('The List'!Y2:Y730))/STDEV('The List'!Y2:Y730)</f>
        <v>-0.51901774546335144</v>
      </c>
      <c r="M332" s="38">
        <f>(VLOOKUP($A332,'The List'!$B1:$AH730,25,FALSE)-AVERAGE('The List'!Z2:Z730))/STDEV('The List'!Z2:Z730)</f>
        <v>-0.6869345284909445</v>
      </c>
      <c r="N332" s="38">
        <f>(VLOOKUP($A332,'The List'!$B1:$AH730,26,FALSE)-AVERAGE('The List'!AA2:AA730))/STDEV('The List'!AA2:AA730)</f>
        <v>0.23553054169126178</v>
      </c>
      <c r="O332" s="38">
        <f>(VLOOKUP($A332,'The List'!$B1:$AH730,27,FALSE)-AVERAGE('The List'!AB2:AB730))/STDEV('The List'!AB2:AB730)</f>
        <v>-0.80523298309260849</v>
      </c>
      <c r="P332" s="38">
        <f>(VLOOKUP($A332,'The List'!$B1:$AH730,28,FALSE)-AVERAGE('The List'!AC2:AC730))/STDEV('The List'!AC2:AC730)</f>
        <v>0.99790209219128512</v>
      </c>
      <c r="Q332" s="38">
        <f>(VLOOKUP($A332,'The List'!$B1:$AH730,29,FALSE)-AVERAGE('The List'!AD2:AD730))/STDEV('The List'!AD2:AD730)</f>
        <v>0.17117991258900267</v>
      </c>
      <c r="R332" s="38">
        <f>(VLOOKUP($A332,'The List'!$B1:$AH730,30,FALSE)-AVERAGE('The List'!AE2:AE730))/STDEV('The List'!AE2:AE730)</f>
        <v>-0.67762322453511348</v>
      </c>
      <c r="S332" s="38">
        <f>(VLOOKUP($A332,'The List'!$B1:$AH730,31,FALSE)-AVERAGE('The List'!AF2:AF730))/STDEV('The List'!AF2:AF730)</f>
        <v>-0.56911587195029545</v>
      </c>
      <c r="T332" s="38">
        <f>(VLOOKUP($A332,'The List'!$B1:$AH730,32,FALSE)-AVERAGE('The List'!AG2:AG730))/STDEV('The List'!AG2:AG730)</f>
        <v>-0.61510119871956948</v>
      </c>
      <c r="U332" s="38">
        <f>(VLOOKUP($A332,'The List'!$B1:$AH730,33,FALSE)-AVERAGE('The List'!AH2:AH730))/STDEV('The List'!AH2:AH730)</f>
        <v>-1.2363238714825984</v>
      </c>
      <c r="V332" s="38"/>
      <c r="W332" s="42"/>
      <c r="X332" s="40"/>
      <c r="Y332" s="40"/>
      <c r="Z332" s="40"/>
      <c r="AA332" s="40"/>
      <c r="AB332" s="40"/>
      <c r="AC332" s="43"/>
      <c r="AD332" s="44"/>
      <c r="AE332" s="38"/>
    </row>
    <row r="333" spans="1:31" ht="21.2" customHeight="1">
      <c r="A333" s="8" t="s">
        <v>682</v>
      </c>
      <c r="B333" s="34" t="str">
        <f>VLOOKUP(A333,'Player Data'!A1:B734,2,FALSE)</f>
        <v>LAK</v>
      </c>
      <c r="C333" s="36">
        <f>((E333)*Settings!$C$12)+(F333*Settings!$C$2)+(G333*Settings!$C$3)+(H333*Settings!$C$4)+(I333*Settings!$C$5)+(K333*Settings!$C$9)+(N333*Settings!$C$6)+(J333*Settings!$C$8)+(O333*Settings!$C$7)+(P333*Settings!$C$14)+(Q333*Settings!$C$15)+(R333*Settings!$C$16)+(S333*Settings!$C$17)+(T333*Settings!$C$18)+(U333*Settings!$C$19)+(L333*Settings!$C$10)+(Settings!$C$11*M333)</f>
        <v>-2.4715940421412097</v>
      </c>
      <c r="D333" s="40">
        <f>IF(Settings!$E$12="YES",VLOOKUP(A333,'Player Data'!A1:E734,5,FALSE),82)</f>
        <v>82</v>
      </c>
      <c r="E333" s="38">
        <f>(VLOOKUP($A333,'The List'!$B1:$AH730,17,FALSE)-AVERAGE('The List'!R2:R730))/STDEV('The List'!R2:R730)</f>
        <v>-0.95966979914196704</v>
      </c>
      <c r="F333" s="38">
        <f>(VLOOKUP($A333,'The List'!$B1:$AH730,18,FALSE)-AVERAGE('The List'!S2:S730))/STDEV('The List'!S2:S730)</f>
        <v>-0.266773739698282</v>
      </c>
      <c r="G333" s="38">
        <f>(VLOOKUP($A333,'The List'!$B1:$AH730,19,FALSE)-AVERAGE('The List'!T2:T730))/STDEV('The List'!T2:T730)</f>
        <v>-0.30596221399611329</v>
      </c>
      <c r="H333" s="38">
        <f>(VLOOKUP($A333,'The List'!$B1:$AH730,20,FALSE)-AVERAGE('The List'!U2:U730))/STDEV('The List'!U2:U730)</f>
        <v>-0.31204175883075963</v>
      </c>
      <c r="I333" s="38">
        <f>(VLOOKUP($A333,'The List'!$B1:$AH730,21,FALSE)-AVERAGE('The List'!V2:V730))/STDEV('The List'!V2:V730)</f>
        <v>-0.77659152951564647</v>
      </c>
      <c r="J333" s="38">
        <f>(VLOOKUP($A333,'The List'!$B1:$AH730,22,FALSE)-AVERAGE('The List'!W2:W730))/STDEV('The List'!W2:W730)</f>
        <v>-0.72019959642543296</v>
      </c>
      <c r="K333" s="38">
        <f>(VLOOKUP($A333,'The List'!$B1:$AH730,23,FALSE)-AVERAGE('The List'!X2:X730))/STDEV('The List'!X2:X730)</f>
        <v>-0.81022480010040832</v>
      </c>
      <c r="L333" s="38">
        <f>(VLOOKUP($A333,'The List'!$B1:$AH730,24,FALSE)-AVERAGE('The List'!Y2:Y730))/STDEV('The List'!Y2:Y730)</f>
        <v>0.29869256767239044</v>
      </c>
      <c r="M333" s="38">
        <f>(VLOOKUP($A333,'The List'!$B1:$AH730,25,FALSE)-AVERAGE('The List'!Z2:Z730))/STDEV('The List'!Z2:Z730)</f>
        <v>1.899927206229725</v>
      </c>
      <c r="N333" s="38">
        <f>(VLOOKUP($A333,'The List'!$B1:$AH730,26,FALSE)-AVERAGE('The List'!AA2:AA730))/STDEV('The List'!AA2:AA730)</f>
        <v>-0.80183985278577619</v>
      </c>
      <c r="O333" s="38">
        <f>(VLOOKUP($A333,'The List'!$B1:$AH730,27,FALSE)-AVERAGE('The List'!AB2:AB730))/STDEV('The List'!AB2:AB730)</f>
        <v>-0.17238250823143367</v>
      </c>
      <c r="P333" s="38">
        <f>(VLOOKUP($A333,'The List'!$B1:$AH730,28,FALSE)-AVERAGE('The List'!AC2:AC730))/STDEV('The List'!AC2:AC730)</f>
        <v>8.1863107409175781E-2</v>
      </c>
      <c r="Q333" s="38">
        <f>(VLOOKUP($A333,'The List'!$B1:$AH730,29,FALSE)-AVERAGE('The List'!AD2:AD730))/STDEV('The List'!AD2:AD730)</f>
        <v>0.59802858411663251</v>
      </c>
      <c r="R333" s="38">
        <f>(VLOOKUP($A333,'The List'!$B1:$AH730,30,FALSE)-AVERAGE('The List'!AE2:AE730))/STDEV('The List'!AE2:AE730)</f>
        <v>-0.18788756244057175</v>
      </c>
      <c r="S333" s="38">
        <f>(VLOOKUP($A333,'The List'!$B1:$AH730,31,FALSE)-AVERAGE('The List'!AF2:AF730))/STDEV('The List'!AF2:AF730)</f>
        <v>1.3585941148233245</v>
      </c>
      <c r="T333" s="38">
        <f>(VLOOKUP($A333,'The List'!$B1:$AH730,32,FALSE)-AVERAGE('The List'!AG2:AG730))/STDEV('The List'!AG2:AG730)</f>
        <v>1.3008648900113411</v>
      </c>
      <c r="U333" s="38">
        <f>(VLOOKUP($A333,'The List'!$B1:$AH730,33,FALSE)-AVERAGE('The List'!AH2:AH730))/STDEV('The List'!AH2:AH730)</f>
        <v>1.0844972844925949</v>
      </c>
      <c r="V333" s="38"/>
      <c r="W333" s="42"/>
      <c r="X333" s="40"/>
      <c r="Y333" s="40"/>
      <c r="Z333" s="40"/>
      <c r="AA333" s="40"/>
      <c r="AB333" s="40"/>
      <c r="AC333" s="43"/>
      <c r="AD333" s="44"/>
      <c r="AE333" s="38"/>
    </row>
    <row r="334" spans="1:31" ht="21.2" customHeight="1">
      <c r="A334" s="8" t="s">
        <v>662</v>
      </c>
      <c r="B334" s="34" t="str">
        <f>VLOOKUP(A334,'Player Data'!A1:B734,2,FALSE)</f>
        <v>MTL</v>
      </c>
      <c r="C334" s="36">
        <f>((E334)*Settings!$C$12)+(F334*Settings!$C$2)+(G334*Settings!$C$3)+(H334*Settings!$C$4)+(I334*Settings!$C$5)+(K334*Settings!$C$9)+(N334*Settings!$C$6)+(J334*Settings!$C$8)+(O334*Settings!$C$7)+(P334*Settings!$C$14)+(Q334*Settings!$C$15)+(R334*Settings!$C$16)+(S334*Settings!$C$17)+(T334*Settings!$C$18)+(U334*Settings!$C$19)+(L334*Settings!$C$10)+(Settings!$C$11*M334)</f>
        <v>-1.2750703012879434</v>
      </c>
      <c r="D334" s="40">
        <f>IF(Settings!$E$12="YES",VLOOKUP(A334,'Player Data'!A1:E734,5,FALSE),82)</f>
        <v>82</v>
      </c>
      <c r="E334" s="38">
        <f>(VLOOKUP($A334,'The List'!$B1:$AH730,17,FALSE)-AVERAGE('The List'!R2:R730))/STDEV('The List'!R2:R730)</f>
        <v>-0.76360777498401988</v>
      </c>
      <c r="F334" s="38">
        <f>(VLOOKUP($A334,'The List'!$B1:$AH730,18,FALSE)-AVERAGE('The List'!S2:S730))/STDEV('The List'!S2:S730)</f>
        <v>-0.12885140170043086</v>
      </c>
      <c r="G334" s="38">
        <f>(VLOOKUP($A334,'The List'!$B1:$AH730,19,FALSE)-AVERAGE('The List'!T2:T730))/STDEV('The List'!T2:T730)</f>
        <v>-0.41873742365492256</v>
      </c>
      <c r="H334" s="38">
        <f>(VLOOKUP($A334,'The List'!$B1:$AH730,20,FALSE)-AVERAGE('The List'!U2:U730))/STDEV('The List'!U2:U730)</f>
        <v>-0.31723017293761496</v>
      </c>
      <c r="I334" s="38">
        <f>(VLOOKUP($A334,'The List'!$B1:$AH730,21,FALSE)-AVERAGE('The List'!V2:V730))/STDEV('The List'!V2:V730)</f>
        <v>-0.23709873561155079</v>
      </c>
      <c r="J334" s="38">
        <f>(VLOOKUP($A334,'The List'!$B1:$AH730,22,FALSE)-AVERAGE('The List'!W2:W730))/STDEV('The List'!W2:W730)</f>
        <v>3.7610620024151033E-2</v>
      </c>
      <c r="K334" s="38">
        <f>(VLOOKUP($A334,'The List'!$B1:$AH730,23,FALSE)-AVERAGE('The List'!X2:X730))/STDEV('The List'!X2:X730)</f>
        <v>-0.17315256738342424</v>
      </c>
      <c r="L334" s="38">
        <f>(VLOOKUP($A334,'The List'!$B1:$AH730,24,FALSE)-AVERAGE('The List'!Y2:Y730))/STDEV('The List'!Y2:Y730)</f>
        <v>-0.52335310399949087</v>
      </c>
      <c r="M334" s="38">
        <f>(VLOOKUP($A334,'The List'!$B1:$AH730,25,FALSE)-AVERAGE('The List'!Z2:Z730))/STDEV('The List'!Z2:Z730)</f>
        <v>-0.70151038979170899</v>
      </c>
      <c r="N334" s="38">
        <f>(VLOOKUP($A334,'The List'!$B1:$AH730,26,FALSE)-AVERAGE('The List'!AA2:AA730))/STDEV('The List'!AA2:AA730)</f>
        <v>-0.27373545414652112</v>
      </c>
      <c r="O334" s="38">
        <f>(VLOOKUP($A334,'The List'!$B1:$AH730,27,FALSE)-AVERAGE('The List'!AB2:AB730))/STDEV('The List'!AB2:AB730)</f>
        <v>0.34986519885224909</v>
      </c>
      <c r="P334" s="38">
        <f>(VLOOKUP($A334,'The List'!$B1:$AH730,28,FALSE)-AVERAGE('The List'!AC2:AC730))/STDEV('The List'!AC2:AC730)</f>
        <v>-1.9754248266471313</v>
      </c>
      <c r="Q334" s="38">
        <f>(VLOOKUP($A334,'The List'!$B1:$AH730,29,FALSE)-AVERAGE('The List'!AD2:AD730))/STDEV('The List'!AD2:AD730)</f>
        <v>0.37599068621987347</v>
      </c>
      <c r="R334" s="38">
        <f>(VLOOKUP($A334,'The List'!$B1:$AH730,30,FALSE)-AVERAGE('The List'!AE2:AE730))/STDEV('The List'!AE2:AE730)</f>
        <v>-0.42361526092593188</v>
      </c>
      <c r="S334" s="38">
        <f>(VLOOKUP($A334,'The List'!$B1:$AH730,31,FALSE)-AVERAGE('The List'!AF2:AF730))/STDEV('The List'!AF2:AF730)</f>
        <v>-0.5140198937575392</v>
      </c>
      <c r="T334" s="38">
        <f>(VLOOKUP($A334,'The List'!$B1:$AH730,32,FALSE)-AVERAGE('The List'!AG2:AG730))/STDEV('The List'!AG2:AG730)</f>
        <v>-0.55721575271315915</v>
      </c>
      <c r="U334" s="38">
        <f>(VLOOKUP($A334,'The List'!$B1:$AH730,33,FALSE)-AVERAGE('The List'!AH2:AH730))/STDEV('The List'!AH2:AH730)</f>
        <v>1.0218490119849142</v>
      </c>
      <c r="V334" s="38"/>
      <c r="W334" s="42"/>
      <c r="X334" s="40"/>
      <c r="Y334" s="40"/>
      <c r="Z334" s="40"/>
      <c r="AA334" s="40"/>
      <c r="AB334" s="40"/>
      <c r="AC334" s="43"/>
      <c r="AD334" s="44"/>
      <c r="AE334" s="38"/>
    </row>
    <row r="335" spans="1:31" ht="21.2" customHeight="1">
      <c r="A335" s="8" t="s">
        <v>610</v>
      </c>
      <c r="B335" s="34" t="str">
        <f>VLOOKUP(A335,'Player Data'!A1:B734,2,FALSE)</f>
        <v>SEA</v>
      </c>
      <c r="C335" s="36">
        <f>((E335)*Settings!$C$12)+(F335*Settings!$C$2)+(G335*Settings!$C$3)+(H335*Settings!$C$4)+(I335*Settings!$C$5)+(K335*Settings!$C$9)+(N335*Settings!$C$6)+(J335*Settings!$C$8)+(O335*Settings!$C$7)+(P335*Settings!$C$14)+(Q335*Settings!$C$15)+(R335*Settings!$C$16)+(S335*Settings!$C$17)+(T335*Settings!$C$18)+(U335*Settings!$C$19)+(L335*Settings!$C$10)+(Settings!$C$11*M335)</f>
        <v>-2.1226206101540477</v>
      </c>
      <c r="D335" s="40">
        <f>IF(Settings!$E$12="YES",VLOOKUP(A335,'Player Data'!A1:E734,5,FALSE),82)</f>
        <v>82</v>
      </c>
      <c r="E335" s="38">
        <f>(VLOOKUP($A335,'The List'!$B1:$AH730,17,FALSE)-AVERAGE('The List'!R2:R730))/STDEV('The List'!R2:R730)</f>
        <v>-0.61670583837205073</v>
      </c>
      <c r="F335" s="38">
        <f>(VLOOKUP($A335,'The List'!$B1:$AH730,18,FALSE)-AVERAGE('The List'!S2:S730))/STDEV('The List'!S2:S730)</f>
        <v>1.9575967870674876E-2</v>
      </c>
      <c r="G335" s="38">
        <f>(VLOOKUP($A335,'The List'!$B1:$AH730,19,FALSE)-AVERAGE('The List'!T2:T730))/STDEV('The List'!T2:T730)</f>
        <v>-0.53734926992360721</v>
      </c>
      <c r="H335" s="38">
        <f>(VLOOKUP($A335,'The List'!$B1:$AH730,20,FALSE)-AVERAGE('The List'!U2:U730))/STDEV('The List'!U2:U730)</f>
        <v>-0.32112192296505931</v>
      </c>
      <c r="I335" s="38">
        <f>(VLOOKUP($A335,'The List'!$B1:$AH730,21,FALSE)-AVERAGE('The List'!V2:V730))/STDEV('The List'!V2:V730)</f>
        <v>-0.47790133800158474</v>
      </c>
      <c r="J335" s="38">
        <f>(VLOOKUP($A335,'The List'!$B1:$AH730,22,FALSE)-AVERAGE('The List'!W2:W730))/STDEV('The List'!W2:W730)</f>
        <v>-0.70580755351508218</v>
      </c>
      <c r="K335" s="38">
        <f>(VLOOKUP($A335,'The List'!$B1:$AH730,23,FALSE)-AVERAGE('The List'!X2:X730))/STDEV('The List'!X2:X730)</f>
        <v>-0.80582404713447153</v>
      </c>
      <c r="L335" s="38">
        <f>(VLOOKUP($A335,'The List'!$B1:$AH730,24,FALSE)-AVERAGE('The List'!Y2:Y730))/STDEV('The List'!Y2:Y730)</f>
        <v>1.6424321098051942</v>
      </c>
      <c r="M335" s="38">
        <f>(VLOOKUP($A335,'The List'!$B1:$AH730,25,FALSE)-AVERAGE('The List'!Z2:Z730))/STDEV('The List'!Z2:Z730)</f>
        <v>0.74520131863740402</v>
      </c>
      <c r="N335" s="38">
        <f>(VLOOKUP($A335,'The List'!$B1:$AH730,26,FALSE)-AVERAGE('The List'!AA2:AA730))/STDEV('The List'!AA2:AA730)</f>
        <v>2.6623470913275586E-3</v>
      </c>
      <c r="O335" s="38">
        <f>(VLOOKUP($A335,'The List'!$B1:$AH730,27,FALSE)-AVERAGE('The List'!AB2:AB730))/STDEV('The List'!AB2:AB730)</f>
        <v>1.7471034656443347</v>
      </c>
      <c r="P335" s="38">
        <f>(VLOOKUP($A335,'The List'!$B1:$AH730,28,FALSE)-AVERAGE('The List'!AC2:AC730))/STDEV('The List'!AC2:AC730)</f>
        <v>0.13246464250166645</v>
      </c>
      <c r="Q335" s="38">
        <f>(VLOOKUP($A335,'The List'!$B1:$AH730,29,FALSE)-AVERAGE('The List'!AD2:AD730))/STDEV('The List'!AD2:AD730)</f>
        <v>-0.13146006157890966</v>
      </c>
      <c r="R335" s="38">
        <f>(VLOOKUP($A335,'The List'!$B1:$AH730,30,FALSE)-AVERAGE('The List'!AE2:AE730))/STDEV('The List'!AE2:AE730)</f>
        <v>2.0342086207962407E-2</v>
      </c>
      <c r="S335" s="38">
        <f>(VLOOKUP($A335,'The List'!$B1:$AH730,31,FALSE)-AVERAGE('The List'!AF2:AF730))/STDEV('The List'!AF2:AF730)</f>
        <v>-0.54456404758014265</v>
      </c>
      <c r="T335" s="38">
        <f>(VLOOKUP($A335,'The List'!$B1:$AH730,32,FALSE)-AVERAGE('The List'!AG2:AG730))/STDEV('The List'!AG2:AG730)</f>
        <v>-0.52341289319328121</v>
      </c>
      <c r="U335" s="38">
        <f>(VLOOKUP($A335,'The List'!$B1:$AH730,33,FALSE)-AVERAGE('The List'!AH2:AH730))/STDEV('The List'!AH2:AH730)</f>
        <v>-0.24470500528824909</v>
      </c>
      <c r="V335" s="38"/>
      <c r="W335" s="42"/>
      <c r="X335" s="40"/>
      <c r="Y335" s="40"/>
      <c r="Z335" s="40"/>
      <c r="AA335" s="40"/>
      <c r="AB335" s="40"/>
      <c r="AC335" s="43"/>
      <c r="AD335" s="44"/>
      <c r="AE335" s="38"/>
    </row>
    <row r="336" spans="1:31" ht="21.2" customHeight="1">
      <c r="A336" s="8" t="s">
        <v>609</v>
      </c>
      <c r="B336" s="34" t="str">
        <f>VLOOKUP(A336,'Player Data'!A1:B734,2,FALSE)</f>
        <v>VGK</v>
      </c>
      <c r="C336" s="36">
        <f>((E336)*Settings!$C$12)+(F336*Settings!$C$2)+(G336*Settings!$C$3)+(H336*Settings!$C$4)+(I336*Settings!$C$5)+(K336*Settings!$C$9)+(N336*Settings!$C$6)+(J336*Settings!$C$8)+(O336*Settings!$C$7)+(P336*Settings!$C$14)+(Q336*Settings!$C$15)+(R336*Settings!$C$16)+(S336*Settings!$C$17)+(T336*Settings!$C$18)+(U336*Settings!$C$19)+(L336*Settings!$C$10)+(Settings!$C$11*M336)</f>
        <v>-1.4369251909626923</v>
      </c>
      <c r="D336" s="40">
        <f>IF(Settings!$E$12="YES",VLOOKUP(A336,'Player Data'!A1:E734,5,FALSE),82)</f>
        <v>82</v>
      </c>
      <c r="E336" s="38">
        <f>(VLOOKUP($A336,'The List'!$B1:$AH730,17,FALSE)-AVERAGE('The List'!R2:R730))/STDEV('The List'!R2:R730)</f>
        <v>-1.0415266206672151</v>
      </c>
      <c r="F336" s="38">
        <f>(VLOOKUP($A336,'The List'!$B1:$AH730,18,FALSE)-AVERAGE('The List'!S2:S730))/STDEV('The List'!S2:S730)</f>
        <v>0.20301873459859926</v>
      </c>
      <c r="G336" s="38">
        <f>(VLOOKUP($A336,'The List'!$B1:$AH730,19,FALSE)-AVERAGE('The List'!T2:T730))/STDEV('The List'!T2:T730)</f>
        <v>-0.68569380584713036</v>
      </c>
      <c r="H336" s="38">
        <f>(VLOOKUP($A336,'The List'!$B1:$AH730,20,FALSE)-AVERAGE('The List'!U2:U730))/STDEV('The List'!U2:U730)</f>
        <v>-0.32700786323200143</v>
      </c>
      <c r="I336" s="38">
        <f>(VLOOKUP($A336,'The List'!$B1:$AH730,21,FALSE)-AVERAGE('The List'!V2:V730))/STDEV('The List'!V2:V730)</f>
        <v>0.10750896119660176</v>
      </c>
      <c r="J336" s="38">
        <f>(VLOOKUP($A336,'The List'!$B1:$AH730,22,FALSE)-AVERAGE('The List'!W2:W730))/STDEV('The List'!W2:W730)</f>
        <v>-0.64344610832215077</v>
      </c>
      <c r="K336" s="38">
        <f>(VLOOKUP($A336,'The List'!$B1:$AH730,23,FALSE)-AVERAGE('The List'!X2:X730))/STDEV('The List'!X2:X730)</f>
        <v>-0.73475121767876173</v>
      </c>
      <c r="L336" s="38">
        <f>(VLOOKUP($A336,'The List'!$B1:$AH730,24,FALSE)-AVERAGE('The List'!Y2:Y730))/STDEV('The List'!Y2:Y730)</f>
        <v>-0.41181089319648639</v>
      </c>
      <c r="M336" s="38">
        <f>(VLOOKUP($A336,'The List'!$B1:$AH730,25,FALSE)-AVERAGE('The List'!Z2:Z730))/STDEV('The List'!Z2:Z730)</f>
        <v>-0.57232640585740202</v>
      </c>
      <c r="N336" s="38">
        <f>(VLOOKUP($A336,'The List'!$B1:$AH730,26,FALSE)-AVERAGE('The List'!AA2:AA730))/STDEV('The List'!AA2:AA730)</f>
        <v>-0.83053983009403987</v>
      </c>
      <c r="O336" s="38">
        <f>(VLOOKUP($A336,'The List'!$B1:$AH730,27,FALSE)-AVERAGE('The List'!AB2:AB730))/STDEV('The List'!AB2:AB730)</f>
        <v>1.5300555341662292</v>
      </c>
      <c r="P336" s="38">
        <f>(VLOOKUP($A336,'The List'!$B1:$AH730,28,FALSE)-AVERAGE('The List'!AC2:AC730))/STDEV('The List'!AC2:AC730)</f>
        <v>1.5012888593647671</v>
      </c>
      <c r="Q336" s="38">
        <f>(VLOOKUP($A336,'The List'!$B1:$AH730,29,FALSE)-AVERAGE('The List'!AD2:AD730))/STDEV('The List'!AD2:AD730)</f>
        <v>1.7238104599652394E-2</v>
      </c>
      <c r="R336" s="38">
        <f>(VLOOKUP($A336,'The List'!$B1:$AH730,30,FALSE)-AVERAGE('The List'!AE2:AE730))/STDEV('The List'!AE2:AE730)</f>
        <v>0.42249175867590399</v>
      </c>
      <c r="S336" s="38">
        <f>(VLOOKUP($A336,'The List'!$B1:$AH730,31,FALSE)-AVERAGE('The List'!AF2:AF730))/STDEV('The List'!AF2:AF730)</f>
        <v>-0.5513514177887997</v>
      </c>
      <c r="T336" s="38">
        <f>(VLOOKUP($A336,'The List'!$B1:$AH730,32,FALSE)-AVERAGE('The List'!AG2:AG730))/STDEV('The List'!AG2:AG730)</f>
        <v>-0.57422538768685216</v>
      </c>
      <c r="U336" s="38">
        <f>(VLOOKUP($A336,'The List'!$B1:$AH730,33,FALSE)-AVERAGE('The List'!AH2:AH730))/STDEV('The List'!AH2:AH730)</f>
        <v>0.17941169394379339</v>
      </c>
      <c r="V336" s="38"/>
      <c r="W336" s="40"/>
      <c r="X336" s="38"/>
      <c r="Y336" s="38"/>
      <c r="Z336" s="38"/>
      <c r="AA336" s="38"/>
      <c r="AB336" s="38"/>
      <c r="AC336" s="38"/>
      <c r="AD336" s="38"/>
      <c r="AE336" s="38"/>
    </row>
    <row r="337" spans="1:31" ht="21.2" customHeight="1">
      <c r="A337" s="8" t="s">
        <v>561</v>
      </c>
      <c r="B337" s="34" t="str">
        <f>VLOOKUP(A337,'Player Data'!A1:B734,2,FALSE)</f>
        <v>NYI</v>
      </c>
      <c r="C337" s="36">
        <f>((E337)*Settings!$C$12)+(F337*Settings!$C$2)+(G337*Settings!$C$3)+(H337*Settings!$C$4)+(I337*Settings!$C$5)+(K337*Settings!$C$9)+(N337*Settings!$C$6)+(J337*Settings!$C$8)+(O337*Settings!$C$7)+(P337*Settings!$C$14)+(Q337*Settings!$C$15)+(R337*Settings!$C$16)+(S337*Settings!$C$17)+(T337*Settings!$C$18)+(U337*Settings!$C$19)+(L337*Settings!$C$10)+(Settings!$C$11*M337)</f>
        <v>-0.82522897016565233</v>
      </c>
      <c r="D337" s="40">
        <f>IF(Settings!$E$12="YES",VLOOKUP(A337,'Player Data'!A1:E734,5,FALSE),82)</f>
        <v>82</v>
      </c>
      <c r="E337" s="38">
        <f>(VLOOKUP($A337,'The List'!$B1:$AH730,17,FALSE)-AVERAGE('The List'!R2:R730))/STDEV('The List'!R2:R730)</f>
        <v>-1.1878544289304613</v>
      </c>
      <c r="F337" s="38">
        <f>(VLOOKUP($A337,'The List'!$B1:$AH730,18,FALSE)-AVERAGE('The List'!S2:S730))/STDEV('The List'!S2:S730)</f>
        <v>4.7031301056329397E-2</v>
      </c>
      <c r="G337" s="38">
        <f>(VLOOKUP($A337,'The List'!$B1:$AH730,19,FALSE)-AVERAGE('The List'!T2:T730))/STDEV('The List'!T2:T730)</f>
        <v>-0.57228104632326959</v>
      </c>
      <c r="H337" s="38">
        <f>(VLOOKUP($A337,'The List'!$B1:$AH730,20,FALSE)-AVERAGE('The List'!U2:U730))/STDEV('The List'!U2:U730)</f>
        <v>-0.32982562710587532</v>
      </c>
      <c r="I337" s="38">
        <f>(VLOOKUP($A337,'The List'!$B1:$AH730,21,FALSE)-AVERAGE('The List'!V2:V730))/STDEV('The List'!V2:V730)</f>
        <v>0.24446348700121628</v>
      </c>
      <c r="J337" s="38">
        <f>(VLOOKUP($A337,'The List'!$B1:$AH730,22,FALSE)-AVERAGE('The List'!W2:W730))/STDEV('The List'!W2:W730)</f>
        <v>0.12851198847526471</v>
      </c>
      <c r="K337" s="38">
        <f>(VLOOKUP($A337,'The List'!$B1:$AH730,23,FALSE)-AVERAGE('The List'!X2:X730))/STDEV('The List'!X2:X730)</f>
        <v>-0.21461708479405311</v>
      </c>
      <c r="L337" s="38">
        <f>(VLOOKUP($A337,'The List'!$B1:$AH730,24,FALSE)-AVERAGE('The List'!Y2:Y730))/STDEV('The List'!Y2:Y730)</f>
        <v>-0.524664002192612</v>
      </c>
      <c r="M337" s="38">
        <f>(VLOOKUP($A337,'The List'!$B1:$AH730,25,FALSE)-AVERAGE('The List'!Z2:Z730))/STDEV('The List'!Z2:Z730)</f>
        <v>-0.70318691821672707</v>
      </c>
      <c r="N337" s="38">
        <f>(VLOOKUP($A337,'The List'!$B1:$AH730,26,FALSE)-AVERAGE('The List'!AA2:AA730))/STDEV('The List'!AA2:AA730)</f>
        <v>-0.84578759629802147</v>
      </c>
      <c r="O337" s="38">
        <f>(VLOOKUP($A337,'The List'!$B1:$AH730,27,FALSE)-AVERAGE('The List'!AB2:AB730))/STDEV('The List'!AB2:AB730)</f>
        <v>0.25936167786900577</v>
      </c>
      <c r="P337" s="38">
        <f>(VLOOKUP($A337,'The List'!$B1:$AH730,28,FALSE)-AVERAGE('The List'!AC2:AC730))/STDEV('The List'!AC2:AC730)</f>
        <v>0.27961699001365758</v>
      </c>
      <c r="Q337" s="38">
        <f>(VLOOKUP($A337,'The List'!$B1:$AH730,29,FALSE)-AVERAGE('The List'!AD2:AD730))/STDEV('The List'!AD2:AD730)</f>
        <v>1.0134720014156033</v>
      </c>
      <c r="R337" s="38">
        <f>(VLOOKUP($A337,'The List'!$B1:$AH730,30,FALSE)-AVERAGE('The List'!AE2:AE730))/STDEV('The List'!AE2:AE730)</f>
        <v>0.17430195465101084</v>
      </c>
      <c r="S337" s="38">
        <f>(VLOOKUP($A337,'The List'!$B1:$AH730,31,FALSE)-AVERAGE('The List'!AF2:AF730))/STDEV('The List'!AF2:AF730)</f>
        <v>-0.50310413727666137</v>
      </c>
      <c r="T337" s="38">
        <f>(VLOOKUP($A337,'The List'!$B1:$AH730,32,FALSE)-AVERAGE('The List'!AG2:AG730))/STDEV('The List'!AG2:AG730)</f>
        <v>-0.51250310075206729</v>
      </c>
      <c r="U337" s="38">
        <f>(VLOOKUP($A337,'The List'!$B1:$AH730,33,FALSE)-AVERAGE('The List'!AH2:AH730))/STDEV('The List'!AH2:AH730)</f>
        <v>0.58526637412232607</v>
      </c>
      <c r="V337" s="38"/>
      <c r="W337" s="40"/>
      <c r="X337" s="38"/>
      <c r="Y337" s="38"/>
      <c r="Z337" s="38"/>
      <c r="AA337" s="38"/>
      <c r="AB337" s="38"/>
      <c r="AC337" s="38"/>
      <c r="AD337" s="38"/>
      <c r="AE337" s="38"/>
    </row>
    <row r="338" spans="1:31" ht="21.2" customHeight="1">
      <c r="A338" s="8" t="s">
        <v>553</v>
      </c>
      <c r="B338" s="34" t="str">
        <f>VLOOKUP(A338,'Player Data'!A1:B734,2,FALSE)</f>
        <v>MTL</v>
      </c>
      <c r="C338" s="36">
        <f>((E338)*Settings!$C$12)+(F338*Settings!$C$2)+(G338*Settings!$C$3)+(H338*Settings!$C$4)+(I338*Settings!$C$5)+(K338*Settings!$C$9)+(N338*Settings!$C$6)+(J338*Settings!$C$8)+(O338*Settings!$C$7)+(P338*Settings!$C$14)+(Q338*Settings!$C$15)+(R338*Settings!$C$16)+(S338*Settings!$C$17)+(T338*Settings!$C$18)+(U338*Settings!$C$19)+(L338*Settings!$C$10)+(Settings!$C$11*M338)</f>
        <v>-0.50048058060842238</v>
      </c>
      <c r="D338" s="40">
        <f>IF(Settings!$E$12="YES",VLOOKUP(A338,'Player Data'!A1:E734,5,FALSE),82)</f>
        <v>82</v>
      </c>
      <c r="E338" s="38">
        <f>(VLOOKUP($A338,'The List'!$B1:$AH730,17,FALSE)-AVERAGE('The List'!R2:R730))/STDEV('The List'!R2:R730)</f>
        <v>-0.75719429599612753</v>
      </c>
      <c r="F338" s="38">
        <f>(VLOOKUP($A338,'The List'!$B1:$AH730,18,FALSE)-AVERAGE('The List'!S2:S730))/STDEV('The List'!S2:S730)</f>
        <v>-5.1451700512700281E-2</v>
      </c>
      <c r="G338" s="38">
        <f>(VLOOKUP($A338,'The List'!$B1:$AH730,19,FALSE)-AVERAGE('The List'!T2:T730))/STDEV('The List'!T2:T730)</f>
        <v>-0.49786398969233719</v>
      </c>
      <c r="H338" s="38">
        <f>(VLOOKUP($A338,'The List'!$B1:$AH730,20,FALSE)-AVERAGE('The List'!U2:U730))/STDEV('The List'!U2:U730)</f>
        <v>-0.3298755193033211</v>
      </c>
      <c r="I338" s="38">
        <f>(VLOOKUP($A338,'The List'!$B1:$AH730,21,FALSE)-AVERAGE('The List'!V2:V730))/STDEV('The List'!V2:V730)</f>
        <v>0.7851657458979463</v>
      </c>
      <c r="J338" s="38">
        <f>(VLOOKUP($A338,'The List'!$B1:$AH730,22,FALSE)-AVERAGE('The List'!W2:W730))/STDEV('The List'!W2:W730)</f>
        <v>-0.18534994492331217</v>
      </c>
      <c r="K338" s="38">
        <f>(VLOOKUP($A338,'The List'!$B1:$AH730,23,FALSE)-AVERAGE('The List'!X2:X730))/STDEV('The List'!X2:X730)</f>
        <v>-0.40645511699801018</v>
      </c>
      <c r="L338" s="38">
        <f>(VLOOKUP($A338,'The List'!$B1:$AH730,24,FALSE)-AVERAGE('The List'!Y2:Y730))/STDEV('The List'!Y2:Y730)</f>
        <v>-0.52034559508124367</v>
      </c>
      <c r="M338" s="38">
        <f>(VLOOKUP($A338,'The List'!$B1:$AH730,25,FALSE)-AVERAGE('The List'!Z2:Z730))/STDEV('The List'!Z2:Z730)</f>
        <v>-0.69850278769462582</v>
      </c>
      <c r="N338" s="38">
        <f>(VLOOKUP($A338,'The List'!$B1:$AH730,26,FALSE)-AVERAGE('The List'!AA2:AA730))/STDEV('The List'!AA2:AA730)</f>
        <v>-0.76123854600061014</v>
      </c>
      <c r="O338" s="38">
        <f>(VLOOKUP($A338,'The List'!$B1:$AH730,27,FALSE)-AVERAGE('The List'!AB2:AB730))/STDEV('The List'!AB2:AB730)</f>
        <v>-0.74517376383357814</v>
      </c>
      <c r="P338" s="38">
        <f>(VLOOKUP($A338,'The List'!$B1:$AH730,28,FALSE)-AVERAGE('The List'!AC2:AC730))/STDEV('The List'!AC2:AC730)</f>
        <v>-1.2311360291842353</v>
      </c>
      <c r="Q338" s="38">
        <f>(VLOOKUP($A338,'The List'!$B1:$AH730,29,FALSE)-AVERAGE('The List'!AD2:AD730))/STDEV('The List'!AD2:AD730)</f>
        <v>1.2028249026671576</v>
      </c>
      <c r="R338" s="38">
        <f>(VLOOKUP($A338,'The List'!$B1:$AH730,30,FALSE)-AVERAGE('The List'!AE2:AE730))/STDEV('The List'!AE2:AE730)</f>
        <v>-0.37198033663144198</v>
      </c>
      <c r="S338" s="38">
        <f>(VLOOKUP($A338,'The List'!$B1:$AH730,31,FALSE)-AVERAGE('The List'!AF2:AF730))/STDEV('The List'!AF2:AF730)</f>
        <v>-0.48365759805029657</v>
      </c>
      <c r="T338" s="38">
        <f>(VLOOKUP($A338,'The List'!$B1:$AH730,32,FALSE)-AVERAGE('The List'!AG2:AG730))/STDEV('The List'!AG2:AG730)</f>
        <v>-0.48072279477679108</v>
      </c>
      <c r="U338" s="38">
        <f>(VLOOKUP($A338,'The List'!$B1:$AH730,33,FALSE)-AVERAGE('The List'!AH2:AH730))/STDEV('The List'!AH2:AH730)</f>
        <v>0.57262439679358301</v>
      </c>
      <c r="V338" s="38"/>
      <c r="W338" s="42"/>
      <c r="X338" s="40"/>
      <c r="Y338" s="40"/>
      <c r="Z338" s="40"/>
      <c r="AA338" s="40"/>
      <c r="AB338" s="40"/>
      <c r="AC338" s="43"/>
      <c r="AD338" s="44"/>
      <c r="AE338" s="38"/>
    </row>
    <row r="339" spans="1:31" ht="21.2" customHeight="1">
      <c r="A339" s="8" t="s">
        <v>678</v>
      </c>
      <c r="B339" s="34" t="str">
        <f>VLOOKUP(A339,'Player Data'!A1:B734,2,FALSE)</f>
        <v>VAN</v>
      </c>
      <c r="C339" s="36">
        <f>((E339)*Settings!$C$12)+(F339*Settings!$C$2)+(G339*Settings!$C$3)+(H339*Settings!$C$4)+(I339*Settings!$C$5)+(K339*Settings!$C$9)+(N339*Settings!$C$6)+(J339*Settings!$C$8)+(O339*Settings!$C$7)+(P339*Settings!$C$14)+(Q339*Settings!$C$15)+(R339*Settings!$C$16)+(S339*Settings!$C$17)+(T339*Settings!$C$18)+(U339*Settings!$C$19)+(L339*Settings!$C$10)+(Settings!$C$11*M339)</f>
        <v>-1.0544852869670454</v>
      </c>
      <c r="D339" s="40">
        <f>IF(Settings!$E$12="YES",VLOOKUP(A339,'Player Data'!A1:E734,5,FALSE),82)</f>
        <v>82</v>
      </c>
      <c r="E339" s="38">
        <f>(VLOOKUP($A339,'The List'!$B1:$AH730,17,FALSE)-AVERAGE('The List'!R2:R730))/STDEV('The List'!R2:R730)</f>
        <v>-0.50923215790685927</v>
      </c>
      <c r="F339" s="38">
        <f>(VLOOKUP($A339,'The List'!$B1:$AH730,18,FALSE)-AVERAGE('The List'!S2:S730))/STDEV('The List'!S2:S730)</f>
        <v>-8.8357344944060001E-2</v>
      </c>
      <c r="G339" s="38">
        <f>(VLOOKUP($A339,'The List'!$B1:$AH730,19,FALSE)-AVERAGE('The List'!T2:T730))/STDEV('The List'!T2:T730)</f>
        <v>-0.47622358417599459</v>
      </c>
      <c r="H339" s="38">
        <f>(VLOOKUP($A339,'The List'!$B1:$AH730,20,FALSE)-AVERAGE('The List'!U2:U730))/STDEV('The List'!U2:U730)</f>
        <v>-0.33373308115840489</v>
      </c>
      <c r="I339" s="38">
        <f>(VLOOKUP($A339,'The List'!$B1:$AH730,21,FALSE)-AVERAGE('The List'!V2:V730))/STDEV('The List'!V2:V730)</f>
        <v>0.53401768487103951</v>
      </c>
      <c r="J339" s="38">
        <f>(VLOOKUP($A339,'The List'!$B1:$AH730,22,FALSE)-AVERAGE('The List'!W2:W730))/STDEV('The List'!W2:W730)</f>
        <v>-0.63907653169716372</v>
      </c>
      <c r="K339" s="38">
        <f>(VLOOKUP($A339,'The List'!$B1:$AH730,23,FALSE)-AVERAGE('The List'!X2:X730))/STDEV('The List'!X2:X730)</f>
        <v>-0.6901889615596255</v>
      </c>
      <c r="L339" s="38">
        <f>(VLOOKUP($A339,'The List'!$B1:$AH730,24,FALSE)-AVERAGE('The List'!Y2:Y730))/STDEV('The List'!Y2:Y730)</f>
        <v>-0.15101332375041793</v>
      </c>
      <c r="M339" s="38">
        <f>(VLOOKUP($A339,'The List'!$B1:$AH730,25,FALSE)-AVERAGE('The List'!Z2:Z730))/STDEV('The List'!Z2:Z730)</f>
        <v>1.0731519286102749</v>
      </c>
      <c r="N339" s="38">
        <f>(VLOOKUP($A339,'The List'!$B1:$AH730,26,FALSE)-AVERAGE('The List'!AA2:AA730))/STDEV('The List'!AA2:AA730)</f>
        <v>-0.76129968073527798</v>
      </c>
      <c r="O339" s="38">
        <f>(VLOOKUP($A339,'The List'!$B1:$AH730,27,FALSE)-AVERAGE('The List'!AB2:AB730))/STDEV('The List'!AB2:AB730)</f>
        <v>0.60281451482901793</v>
      </c>
      <c r="P339" s="38">
        <f>(VLOOKUP($A339,'The List'!$B1:$AH730,28,FALSE)-AVERAGE('The List'!AC2:AC730))/STDEV('The List'!AC2:AC730)</f>
        <v>-1.8948027953900985E-2</v>
      </c>
      <c r="Q339" s="38">
        <f>(VLOOKUP($A339,'The List'!$B1:$AH730,29,FALSE)-AVERAGE('The List'!AD2:AD730))/STDEV('The List'!AD2:AD730)</f>
        <v>8.1551183020788787E-2</v>
      </c>
      <c r="R339" s="38">
        <f>(VLOOKUP($A339,'The List'!$B1:$AH730,30,FALSE)-AVERAGE('The List'!AE2:AE730))/STDEV('The List'!AE2:AE730)</f>
        <v>-7.0120358801847485E-2</v>
      </c>
      <c r="S339" s="38">
        <f>(VLOOKUP($A339,'The List'!$B1:$AH730,31,FALSE)-AVERAGE('The List'!AF2:AF730))/STDEV('The List'!AF2:AF730)</f>
        <v>-0.55068568738924051</v>
      </c>
      <c r="T339" s="38">
        <f>(VLOOKUP($A339,'The List'!$B1:$AH730,32,FALSE)-AVERAGE('The List'!AG2:AG730))/STDEV('The List'!AG2:AG730)</f>
        <v>-0.57128702996120462</v>
      </c>
      <c r="U339" s="38">
        <f>(VLOOKUP($A339,'The List'!$B1:$AH730,33,FALSE)-AVERAGE('The List'!AH2:AH730))/STDEV('The List'!AH2:AH730)</f>
        <v>0.14789317951114589</v>
      </c>
      <c r="V339" s="38"/>
      <c r="W339" s="42"/>
      <c r="X339" s="40"/>
      <c r="Y339" s="40"/>
      <c r="Z339" s="40"/>
      <c r="AA339" s="40"/>
      <c r="AB339" s="40"/>
      <c r="AC339" s="43"/>
      <c r="AD339" s="44"/>
      <c r="AE339" s="38"/>
    </row>
    <row r="340" spans="1:31" ht="21.2" customHeight="1">
      <c r="A340" s="8" t="s">
        <v>308</v>
      </c>
      <c r="B340" s="34" t="str">
        <f>VLOOKUP(A340,'Player Data'!A1:B734,2,FALSE)</f>
        <v>CAR</v>
      </c>
      <c r="C340" s="36">
        <f>((E340)*Settings!$C$12)+(F340*Settings!$C$2)+(G340*Settings!$C$3)+(H340*Settings!$C$4)+(I340*Settings!$C$5)+(K340*Settings!$C$9)+(N340*Settings!$C$6)+(J340*Settings!$C$8)+(O340*Settings!$C$7)+(P340*Settings!$C$14)+(Q340*Settings!$C$15)+(R340*Settings!$C$16)+(S340*Settings!$C$17)+(T340*Settings!$C$18)+(U340*Settings!$C$19)+(L340*Settings!$C$10)+(Settings!$C$11*M340)</f>
        <v>-1.8312770084705303</v>
      </c>
      <c r="D340" s="40">
        <f>IF(Settings!$E$12="YES",VLOOKUP(A340,'Player Data'!A1:E734,5,FALSE),82)</f>
        <v>82</v>
      </c>
      <c r="E340" s="38">
        <f>(VLOOKUP($A340,'The List'!$B1:$AH730,17,FALSE)-AVERAGE('The List'!R2:R730))/STDEV('The List'!R2:R730)</f>
        <v>1.4590304661610849</v>
      </c>
      <c r="F340" s="38">
        <f>(VLOOKUP($A340,'The List'!$B1:$AH730,18,FALSE)-AVERAGE('The List'!S2:S730))/STDEV('The List'!S2:S730)</f>
        <v>-0.84842029332281577</v>
      </c>
      <c r="G340" s="38">
        <f>(VLOOKUP($A340,'The List'!$B1:$AH730,19,FALSE)-AVERAGE('The List'!T2:T730))/STDEV('The List'!T2:T730)</f>
        <v>9.8200017256286715E-2</v>
      </c>
      <c r="H340" s="38">
        <f>(VLOOKUP($A340,'The List'!$B1:$AH730,20,FALSE)-AVERAGE('The List'!U2:U730))/STDEV('The List'!U2:U730)</f>
        <v>-0.33406002108351751</v>
      </c>
      <c r="I340" s="38">
        <f>(VLOOKUP($A340,'The List'!$B1:$AH730,21,FALSE)-AVERAGE('The List'!V2:V730))/STDEV('The List'!V2:V730)</f>
        <v>4.1303991823331533E-2</v>
      </c>
      <c r="J340" s="38">
        <f>(VLOOKUP($A340,'The List'!$B1:$AH730,22,FALSE)-AVERAGE('The List'!W2:W730))/STDEV('The List'!W2:W730)</f>
        <v>-0.7214076756268073</v>
      </c>
      <c r="K340" s="38">
        <f>(VLOOKUP($A340,'The List'!$B1:$AH730,23,FALSE)-AVERAGE('The List'!X2:X730))/STDEV('The List'!X2:X730)</f>
        <v>-0.7883007031438154</v>
      </c>
      <c r="L340" s="38">
        <f>(VLOOKUP($A340,'The List'!$B1:$AH730,24,FALSE)-AVERAGE('The List'!Y2:Y730))/STDEV('The List'!Y2:Y730)</f>
        <v>-0.52558370055201276</v>
      </c>
      <c r="M340" s="38">
        <f>(VLOOKUP($A340,'The List'!$B1:$AH730,25,FALSE)-AVERAGE('The List'!Z2:Z730))/STDEV('The List'!Z2:Z730)</f>
        <v>0.58180426080181713</v>
      </c>
      <c r="N340" s="38">
        <f>(VLOOKUP($A340,'The List'!$B1:$AH730,26,FALSE)-AVERAGE('The List'!AA2:AA730))/STDEV('The List'!AA2:AA730)</f>
        <v>1.2833305025532051</v>
      </c>
      <c r="O340" s="38">
        <f>(VLOOKUP($A340,'The List'!$B1:$AH730,27,FALSE)-AVERAGE('The List'!AB2:AB730))/STDEV('The List'!AB2:AB730)</f>
        <v>-0.95984169212572845</v>
      </c>
      <c r="P340" s="38">
        <f>(VLOOKUP($A340,'The List'!$B1:$AH730,28,FALSE)-AVERAGE('The List'!AC2:AC730))/STDEV('The List'!AC2:AC730)</f>
        <v>2.0440244986728731</v>
      </c>
      <c r="Q340" s="38">
        <f>(VLOOKUP($A340,'The List'!$B1:$AH730,29,FALSE)-AVERAGE('The List'!AD2:AD730))/STDEV('The List'!AD2:AD730)</f>
        <v>-1.43823772537174</v>
      </c>
      <c r="R340" s="38">
        <f>(VLOOKUP($A340,'The List'!$B1:$AH730,30,FALSE)-AVERAGE('The List'!AE2:AE730))/STDEV('The List'!AE2:AE730)</f>
        <v>-0.64219221210589672</v>
      </c>
      <c r="S340" s="38">
        <f>(VLOOKUP($A340,'The List'!$B1:$AH730,31,FALSE)-AVERAGE('The List'!AF2:AF730))/STDEV('The List'!AF2:AF730)</f>
        <v>-0.56911587195029545</v>
      </c>
      <c r="T340" s="38">
        <f>(VLOOKUP($A340,'The List'!$B1:$AH730,32,FALSE)-AVERAGE('The List'!AG2:AG730))/STDEV('The List'!AG2:AG730)</f>
        <v>-0.61510119871956948</v>
      </c>
      <c r="U340" s="38">
        <f>(VLOOKUP($A340,'The List'!$B1:$AH730,33,FALSE)-AVERAGE('The List'!AH2:AH730))/STDEV('The List'!AH2:AH730)</f>
        <v>-1.2363238714825984</v>
      </c>
      <c r="V340" s="38"/>
      <c r="W340" s="42"/>
      <c r="X340" s="40"/>
      <c r="Y340" s="40"/>
      <c r="Z340" s="40"/>
      <c r="AA340" s="40"/>
      <c r="AB340" s="40"/>
      <c r="AC340" s="43"/>
      <c r="AD340" s="44"/>
      <c r="AE340" s="38"/>
    </row>
    <row r="341" spans="1:31" ht="21.2" customHeight="1">
      <c r="A341" s="8" t="s">
        <v>538</v>
      </c>
      <c r="B341" s="34" t="str">
        <f>VLOOKUP(A341,'Player Data'!A1:B734,2,FALSE)</f>
        <v>DAL</v>
      </c>
      <c r="C341" s="36">
        <f>((E341)*Settings!$C$12)+(F341*Settings!$C$2)+(G341*Settings!$C$3)+(H341*Settings!$C$4)+(I341*Settings!$C$5)+(K341*Settings!$C$9)+(N341*Settings!$C$6)+(J341*Settings!$C$8)+(O341*Settings!$C$7)+(P341*Settings!$C$14)+(Q341*Settings!$C$15)+(R341*Settings!$C$16)+(S341*Settings!$C$17)+(T341*Settings!$C$18)+(U341*Settings!$C$19)+(L341*Settings!$C$10)+(Settings!$C$11*M341)</f>
        <v>-1.5012486948071659</v>
      </c>
      <c r="D341" s="40">
        <f>IF(Settings!$E$12="YES",VLOOKUP(A341,'Player Data'!A1:E734,5,FALSE),82)</f>
        <v>82</v>
      </c>
      <c r="E341" s="38">
        <f>(VLOOKUP($A341,'The List'!$B1:$AH730,17,FALSE)-AVERAGE('The List'!R2:R730))/STDEV('The List'!R2:R730)</f>
        <v>-0.74087859770397002</v>
      </c>
      <c r="F341" s="38">
        <f>(VLOOKUP($A341,'The List'!$B1:$AH730,18,FALSE)-AVERAGE('The List'!S2:S730))/STDEV('The List'!S2:S730)</f>
        <v>-0.33744424645521592</v>
      </c>
      <c r="G341" s="38">
        <f>(VLOOKUP($A341,'The List'!$B1:$AH730,19,FALSE)-AVERAGE('The List'!T2:T730))/STDEV('The List'!T2:T730)</f>
        <v>-0.2917004209306549</v>
      </c>
      <c r="H341" s="38">
        <f>(VLOOKUP($A341,'The List'!$B1:$AH730,20,FALSE)-AVERAGE('The List'!U2:U730))/STDEV('The List'!U2:U730)</f>
        <v>-0.33613014541997627</v>
      </c>
      <c r="I341" s="38">
        <f>(VLOOKUP($A341,'The List'!$B1:$AH730,21,FALSE)-AVERAGE('The List'!V2:V730))/STDEV('The List'!V2:V730)</f>
        <v>-0.29930626963007945</v>
      </c>
      <c r="J341" s="38">
        <f>(VLOOKUP($A341,'The List'!$B1:$AH730,22,FALSE)-AVERAGE('The List'!W2:W730))/STDEV('The List'!W2:W730)</f>
        <v>-0.32453773275216041</v>
      </c>
      <c r="K341" s="38">
        <f>(VLOOKUP($A341,'The List'!$B1:$AH730,23,FALSE)-AVERAGE('The List'!X2:X730))/STDEV('The List'!X2:X730)</f>
        <v>-0.23666761237123954</v>
      </c>
      <c r="L341" s="38">
        <f>(VLOOKUP($A341,'The List'!$B1:$AH730,24,FALSE)-AVERAGE('The List'!Y2:Y730))/STDEV('The List'!Y2:Y730)</f>
        <v>-0.42779552912607571</v>
      </c>
      <c r="M341" s="38">
        <f>(VLOOKUP($A341,'The List'!$B1:$AH730,25,FALSE)-AVERAGE('The List'!Z2:Z730))/STDEV('The List'!Z2:Z730)</f>
        <v>-0.61589414387146701</v>
      </c>
      <c r="N341" s="38">
        <f>(VLOOKUP($A341,'The List'!$B1:$AH730,26,FALSE)-AVERAGE('The List'!AA2:AA730))/STDEV('The List'!AA2:AA730)</f>
        <v>-0.646662578112153</v>
      </c>
      <c r="O341" s="38">
        <f>(VLOOKUP($A341,'The List'!$B1:$AH730,27,FALSE)-AVERAGE('The List'!AB2:AB730))/STDEV('The List'!AB2:AB730)</f>
        <v>-0.96325517330054566</v>
      </c>
      <c r="P341" s="38">
        <f>(VLOOKUP($A341,'The List'!$B1:$AH730,28,FALSE)-AVERAGE('The List'!AC2:AC730))/STDEV('The List'!AC2:AC730)</f>
        <v>0.99617717117110083</v>
      </c>
      <c r="Q341" s="38">
        <f>(VLOOKUP($A341,'The List'!$B1:$AH730,29,FALSE)-AVERAGE('The List'!AD2:AD730))/STDEV('The List'!AD2:AD730)</f>
        <v>-1.1172081120816859</v>
      </c>
      <c r="R341" s="38">
        <f>(VLOOKUP($A341,'The List'!$B1:$AH730,30,FALSE)-AVERAGE('The List'!AE2:AE730))/STDEV('The List'!AE2:AE730)</f>
        <v>-0.17579763912450189</v>
      </c>
      <c r="S341" s="38">
        <f>(VLOOKUP($A341,'The List'!$B1:$AH730,31,FALSE)-AVERAGE('The List'!AF2:AF730))/STDEV('The List'!AF2:AF730)</f>
        <v>-0.56322081564950088</v>
      </c>
      <c r="T341" s="38">
        <f>(VLOOKUP($A341,'The List'!$B1:$AH730,32,FALSE)-AVERAGE('The List'!AG2:AG730))/STDEV('The List'!AG2:AG730)</f>
        <v>-0.58724887291217565</v>
      </c>
      <c r="U341" s="38">
        <f>(VLOOKUP($A341,'The List'!$B1:$AH730,33,FALSE)-AVERAGE('The List'!AH2:AH730))/STDEV('The List'!AH2:AH730)</f>
        <v>-0.41472370765657257</v>
      </c>
      <c r="V341" s="38"/>
      <c r="W341" s="42"/>
      <c r="X341" s="40"/>
      <c r="Y341" s="40"/>
      <c r="Z341" s="40"/>
      <c r="AA341" s="40"/>
      <c r="AB341" s="40"/>
      <c r="AC341" s="43"/>
      <c r="AD341" s="44"/>
      <c r="AE341" s="38"/>
    </row>
    <row r="342" spans="1:31" ht="21.2" customHeight="1">
      <c r="A342" s="8" t="s">
        <v>617</v>
      </c>
      <c r="B342" s="34" t="str">
        <f>VLOOKUP(A342,'Player Data'!A1:B734,2,FALSE)</f>
        <v>UFA</v>
      </c>
      <c r="C342" s="36">
        <f>((E342)*Settings!$C$12)+(F342*Settings!$C$2)+(G342*Settings!$C$3)+(H342*Settings!$C$4)+(I342*Settings!$C$5)+(K342*Settings!$C$9)+(N342*Settings!$C$6)+(J342*Settings!$C$8)+(O342*Settings!$C$7)+(P342*Settings!$C$14)+(Q342*Settings!$C$15)+(R342*Settings!$C$16)+(S342*Settings!$C$17)+(T342*Settings!$C$18)+(U342*Settings!$C$19)+(L342*Settings!$C$10)+(Settings!$C$11*M342)</f>
        <v>-2.2770667206810709</v>
      </c>
      <c r="D342" s="40">
        <f>IF(Settings!$E$12="YES",VLOOKUP(A342,'Player Data'!A1:E734,5,FALSE),82)</f>
        <v>82</v>
      </c>
      <c r="E342" s="38">
        <f>(VLOOKUP($A342,'The List'!$B1:$AH730,17,FALSE)-AVERAGE('The List'!R2:R730))/STDEV('The List'!R2:R730)</f>
        <v>-0.90382775691078754</v>
      </c>
      <c r="F342" s="38">
        <f>(VLOOKUP($A342,'The List'!$B1:$AH730,18,FALSE)-AVERAGE('The List'!S2:S730))/STDEV('The List'!S2:S730)</f>
        <v>-0.42427662380402681</v>
      </c>
      <c r="G342" s="38">
        <f>(VLOOKUP($A342,'The List'!$B1:$AH730,19,FALSE)-AVERAGE('The List'!T2:T730))/STDEV('The List'!T2:T730)</f>
        <v>-0.23156745854005509</v>
      </c>
      <c r="H342" s="38">
        <f>(VLOOKUP($A342,'The List'!$B1:$AH730,20,FALSE)-AVERAGE('The List'!U2:U730))/STDEV('The List'!U2:U730)</f>
        <v>-0.33954211331814743</v>
      </c>
      <c r="I342" s="38">
        <f>(VLOOKUP($A342,'The List'!$B1:$AH730,21,FALSE)-AVERAGE('The List'!V2:V730))/STDEV('The List'!V2:V730)</f>
        <v>-0.93918012665710138</v>
      </c>
      <c r="J342" s="38">
        <f>(VLOOKUP($A342,'The List'!$B1:$AH730,22,FALSE)-AVERAGE('The List'!W2:W730))/STDEV('The List'!W2:W730)</f>
        <v>-0.58036080602367524</v>
      </c>
      <c r="K342" s="38">
        <f>(VLOOKUP($A342,'The List'!$B1:$AH730,23,FALSE)-AVERAGE('The List'!X2:X730))/STDEV('The List'!X2:X730)</f>
        <v>-0.3425003983617404</v>
      </c>
      <c r="L342" s="38">
        <f>(VLOOKUP($A342,'The List'!$B1:$AH730,24,FALSE)-AVERAGE('The List'!Y2:Y730))/STDEV('The List'!Y2:Y730)</f>
        <v>-0.52515529094994673</v>
      </c>
      <c r="M342" s="38">
        <f>(VLOOKUP($A342,'The List'!$B1:$AH730,25,FALSE)-AVERAGE('The List'!Z2:Z730))/STDEV('The List'!Z2:Z730)</f>
        <v>-0.70378350861314143</v>
      </c>
      <c r="N342" s="38">
        <f>(VLOOKUP($A342,'The List'!$B1:$AH730,26,FALSE)-AVERAGE('The List'!AA2:AA730))/STDEV('The List'!AA2:AA730)</f>
        <v>-0.87287120685715969</v>
      </c>
      <c r="O342" s="38">
        <f>(VLOOKUP($A342,'The List'!$B1:$AH730,27,FALSE)-AVERAGE('The List'!AB2:AB730))/STDEV('The List'!AB2:AB730)</f>
        <v>-1.4242030495054308</v>
      </c>
      <c r="P342" s="38">
        <f>(VLOOKUP($A342,'The List'!$B1:$AH730,28,FALSE)-AVERAGE('The List'!AC2:AC730))/STDEV('The List'!AC2:AC730)</f>
        <v>-0.21281808478673653</v>
      </c>
      <c r="Q342" s="38">
        <f>(VLOOKUP($A342,'The List'!$B1:$AH730,29,FALSE)-AVERAGE('The List'!AD2:AD730))/STDEV('The List'!AD2:AD730)</f>
        <v>-1.7443385967025347</v>
      </c>
      <c r="R342" s="38">
        <f>(VLOOKUP($A342,'The List'!$B1:$AH730,30,FALSE)-AVERAGE('The List'!AE2:AE730))/STDEV('The List'!AE2:AE730)</f>
        <v>-1.2515972607254897</v>
      </c>
      <c r="S342" s="38">
        <f>(VLOOKUP($A342,'The List'!$B1:$AH730,31,FALSE)-AVERAGE('The List'!AF2:AF730))/STDEV('The List'!AF2:AF730)</f>
        <v>-0.38625704571207847</v>
      </c>
      <c r="T342" s="38">
        <f>(VLOOKUP($A342,'The List'!$B1:$AH730,32,FALSE)-AVERAGE('The List'!AG2:AG730))/STDEV('The List'!AG2:AG730)</f>
        <v>-0.33950996843189918</v>
      </c>
      <c r="U342" s="38">
        <f>(VLOOKUP($A342,'The List'!$B1:$AH730,33,FALSE)-AVERAGE('The List'!AH2:AH730))/STDEV('The List'!AH2:AH730)</f>
        <v>0.61882062436914564</v>
      </c>
      <c r="V342" s="38"/>
      <c r="W342" s="40"/>
      <c r="X342" s="38"/>
      <c r="Y342" s="38"/>
      <c r="Z342" s="38"/>
      <c r="AA342" s="38"/>
      <c r="AB342" s="38"/>
      <c r="AC342" s="38"/>
      <c r="AD342" s="38"/>
      <c r="AE342" s="38"/>
    </row>
    <row r="343" spans="1:31" ht="21.2" customHeight="1">
      <c r="A343" s="8" t="s">
        <v>600</v>
      </c>
      <c r="B343" s="34" t="str">
        <f>VLOOKUP(A343,'Player Data'!A1:B734,2,FALSE)</f>
        <v>SJS</v>
      </c>
      <c r="C343" s="36">
        <f>((E343)*Settings!$C$12)+(F343*Settings!$C$2)+(G343*Settings!$C$3)+(H343*Settings!$C$4)+(I343*Settings!$C$5)+(K343*Settings!$C$9)+(N343*Settings!$C$6)+(J343*Settings!$C$8)+(O343*Settings!$C$7)+(P343*Settings!$C$14)+(Q343*Settings!$C$15)+(R343*Settings!$C$16)+(S343*Settings!$C$17)+(T343*Settings!$C$18)+(U343*Settings!$C$19)+(L343*Settings!$C$10)+(Settings!$C$11*M343)</f>
        <v>-1.201911584933578</v>
      </c>
      <c r="D343" s="40">
        <f>IF(Settings!$E$12="YES",VLOOKUP(A343,'Player Data'!A1:E734,5,FALSE),82)</f>
        <v>82</v>
      </c>
      <c r="E343" s="38">
        <f>(VLOOKUP($A343,'The List'!$B1:$AH730,17,FALSE)-AVERAGE('The List'!R2:R730))/STDEV('The List'!R2:R730)</f>
        <v>-0.30019151318189841</v>
      </c>
      <c r="F343" s="38">
        <f>(VLOOKUP($A343,'The List'!$B1:$AH730,18,FALSE)-AVERAGE('The List'!S2:S730))/STDEV('The List'!S2:S730)</f>
        <v>6.5171280409312596E-2</v>
      </c>
      <c r="G343" s="38">
        <f>(VLOOKUP($A343,'The List'!$B1:$AH730,19,FALSE)-AVERAGE('The List'!T2:T730))/STDEV('The List'!T2:T730)</f>
        <v>-0.60822772175437434</v>
      </c>
      <c r="H343" s="38">
        <f>(VLOOKUP($A343,'The List'!$B1:$AH730,20,FALSE)-AVERAGE('The List'!U2:U730))/STDEV('The List'!U2:U730)</f>
        <v>-0.34348348428896813</v>
      </c>
      <c r="I343" s="38">
        <f>(VLOOKUP($A343,'The List'!$B1:$AH730,21,FALSE)-AVERAGE('The List'!V2:V730))/STDEV('The List'!V2:V730)</f>
        <v>0.10615174889806576</v>
      </c>
      <c r="J343" s="38">
        <f>(VLOOKUP($A343,'The List'!$B1:$AH730,22,FALSE)-AVERAGE('The List'!W2:W730))/STDEV('The List'!W2:W730)</f>
        <v>-0.32090117410392655</v>
      </c>
      <c r="K343" s="38">
        <f>(VLOOKUP($A343,'The List'!$B1:$AH730,23,FALSE)-AVERAGE('The List'!X2:X730))/STDEV('The List'!X2:X730)</f>
        <v>-0.4215234081976138</v>
      </c>
      <c r="L343" s="38">
        <f>(VLOOKUP($A343,'The List'!$B1:$AH730,24,FALSE)-AVERAGE('The List'!Y2:Y730))/STDEV('The List'!Y2:Y730)</f>
        <v>1.7534853418368856E-2</v>
      </c>
      <c r="M343" s="38">
        <f>(VLOOKUP($A343,'The List'!$B1:$AH730,25,FALSE)-AVERAGE('The List'!Z2:Z730))/STDEV('The List'!Z2:Z730)</f>
        <v>-1.7864869888343193E-2</v>
      </c>
      <c r="N343" s="38">
        <f>(VLOOKUP($A343,'The List'!$B1:$AH730,26,FALSE)-AVERAGE('The List'!AA2:AA730))/STDEV('The List'!AA2:AA730)</f>
        <v>-6.0412826245644959E-2</v>
      </c>
      <c r="O343" s="38">
        <f>(VLOOKUP($A343,'The List'!$B1:$AH730,27,FALSE)-AVERAGE('The List'!AB2:AB730))/STDEV('The List'!AB2:AB730)</f>
        <v>1.656929842542137</v>
      </c>
      <c r="P343" s="38">
        <f>(VLOOKUP($A343,'The List'!$B1:$AH730,28,FALSE)-AVERAGE('The List'!AC2:AC730))/STDEV('The List'!AC2:AC730)</f>
        <v>-0.31545151366090973</v>
      </c>
      <c r="Q343" s="38">
        <f>(VLOOKUP($A343,'The List'!$B1:$AH730,29,FALSE)-AVERAGE('The List'!AD2:AD730))/STDEV('The List'!AD2:AD730)</f>
        <v>1.9910979156794077</v>
      </c>
      <c r="R343" s="38">
        <f>(VLOOKUP($A343,'The List'!$B1:$AH730,30,FALSE)-AVERAGE('The List'!AE2:AE730))/STDEV('The List'!AE2:AE730)</f>
        <v>-9.1244248175287757E-2</v>
      </c>
      <c r="S343" s="38">
        <f>(VLOOKUP($A343,'The List'!$B1:$AH730,31,FALSE)-AVERAGE('The List'!AF2:AF730))/STDEV('The List'!AF2:AF730)</f>
        <v>-0.43872832917469073</v>
      </c>
      <c r="T343" s="38">
        <f>(VLOOKUP($A343,'The List'!$B1:$AH730,32,FALSE)-AVERAGE('The List'!AG2:AG730))/STDEV('The List'!AG2:AG730)</f>
        <v>-0.42159028815425043</v>
      </c>
      <c r="U343" s="38">
        <f>(VLOOKUP($A343,'The List'!$B1:$AH730,33,FALSE)-AVERAGE('The List'!AH2:AH730))/STDEV('The List'!AH2:AH730)</f>
        <v>0.63565726922458898</v>
      </c>
      <c r="V343" s="38"/>
      <c r="W343" s="40"/>
      <c r="X343" s="38"/>
      <c r="Y343" s="38"/>
      <c r="Z343" s="38"/>
      <c r="AA343" s="38"/>
      <c r="AB343" s="38"/>
      <c r="AC343" s="38"/>
      <c r="AD343" s="38"/>
      <c r="AE343" s="38"/>
    </row>
    <row r="344" spans="1:31" ht="21.2" customHeight="1">
      <c r="A344" s="8" t="s">
        <v>303</v>
      </c>
      <c r="B344" s="34" t="str">
        <f>VLOOKUP(A344,'Player Data'!A1:B734,2,FALSE)</f>
        <v>CAR</v>
      </c>
      <c r="C344" s="36">
        <f>((E344)*Settings!$C$12)+(F344*Settings!$C$2)+(G344*Settings!$C$3)+(H344*Settings!$C$4)+(I344*Settings!$C$5)+(K344*Settings!$C$9)+(N344*Settings!$C$6)+(J344*Settings!$C$8)+(O344*Settings!$C$7)+(P344*Settings!$C$14)+(Q344*Settings!$C$15)+(R344*Settings!$C$16)+(S344*Settings!$C$17)+(T344*Settings!$C$18)+(U344*Settings!$C$19)+(L344*Settings!$C$10)+(Settings!$C$11*M344)</f>
        <v>-1.6573014810760707</v>
      </c>
      <c r="D344" s="40">
        <f>IF(Settings!$E$12="YES",VLOOKUP(A344,'Player Data'!A1:E734,5,FALSE),82)</f>
        <v>82</v>
      </c>
      <c r="E344" s="38">
        <f>(VLOOKUP($A344,'The List'!$B1:$AH730,17,FALSE)-AVERAGE('The List'!R2:R730))/STDEV('The List'!R2:R730)</f>
        <v>1.3091824052607217</v>
      </c>
      <c r="F344" s="38">
        <f>(VLOOKUP($A344,'The List'!$B1:$AH730,18,FALSE)-AVERAGE('The List'!S2:S730))/STDEV('The List'!S2:S730)</f>
        <v>-0.79462422326265336</v>
      </c>
      <c r="G344" s="38">
        <f>(VLOOKUP($A344,'The List'!$B1:$AH730,19,FALSE)-AVERAGE('The List'!T2:T730))/STDEV('The List'!T2:T730)</f>
        <v>3.855030753973037E-2</v>
      </c>
      <c r="H344" s="38">
        <f>(VLOOKUP($A344,'The List'!$B1:$AH730,20,FALSE)-AVERAGE('The List'!U2:U730))/STDEV('The List'!U2:U730)</f>
        <v>-0.34570876687577828</v>
      </c>
      <c r="I344" s="38">
        <f>(VLOOKUP($A344,'The List'!$B1:$AH730,21,FALSE)-AVERAGE('The List'!V2:V730))/STDEV('The List'!V2:V730)</f>
        <v>2.3664327502207552E-2</v>
      </c>
      <c r="J344" s="38">
        <f>(VLOOKUP($A344,'The List'!$B1:$AH730,22,FALSE)-AVERAGE('The List'!W2:W730))/STDEV('The List'!W2:W730)</f>
        <v>-0.58547466325774489</v>
      </c>
      <c r="K344" s="38">
        <f>(VLOOKUP($A344,'The List'!$B1:$AH730,23,FALSE)-AVERAGE('The List'!X2:X730))/STDEV('The List'!X2:X730)</f>
        <v>-0.57918312597957677</v>
      </c>
      <c r="L344" s="38">
        <f>(VLOOKUP($A344,'The List'!$B1:$AH730,24,FALSE)-AVERAGE('The List'!Y2:Y730))/STDEV('The List'!Y2:Y730)</f>
        <v>-0.50500189755487146</v>
      </c>
      <c r="M344" s="38">
        <f>(VLOOKUP($A344,'The List'!$B1:$AH730,25,FALSE)-AVERAGE('The List'!Z2:Z730))/STDEV('The List'!Z2:Z730)</f>
        <v>0.34648251704229516</v>
      </c>
      <c r="N344" s="38">
        <f>(VLOOKUP($A344,'The List'!$B1:$AH730,26,FALSE)-AVERAGE('The List'!AA2:AA730))/STDEV('The List'!AA2:AA730)</f>
        <v>1.1781461364667452</v>
      </c>
      <c r="O344" s="38">
        <f>(VLOOKUP($A344,'The List'!$B1:$AH730,27,FALSE)-AVERAGE('The List'!AB2:AB730))/STDEV('The List'!AB2:AB730)</f>
        <v>-1.0371534624733396</v>
      </c>
      <c r="P344" s="38">
        <f>(VLOOKUP($A344,'The List'!$B1:$AH730,28,FALSE)-AVERAGE('The List'!AC2:AC730))/STDEV('The List'!AC2:AC730)</f>
        <v>1.5888496180826097</v>
      </c>
      <c r="Q344" s="38">
        <f>(VLOOKUP($A344,'The List'!$B1:$AH730,29,FALSE)-AVERAGE('The List'!AD2:AD730))/STDEV('The List'!AD2:AD730)</f>
        <v>-7.7824152848093242E-2</v>
      </c>
      <c r="R344" s="38">
        <f>(VLOOKUP($A344,'The List'!$B1:$AH730,30,FALSE)-AVERAGE('The List'!AE2:AE730))/STDEV('The List'!AE2:AE730)</f>
        <v>-0.57933531795373283</v>
      </c>
      <c r="S344" s="38">
        <f>(VLOOKUP($A344,'The List'!$B1:$AH730,31,FALSE)-AVERAGE('The List'!AF2:AF730))/STDEV('The List'!AF2:AF730)</f>
        <v>-0.56911587195029545</v>
      </c>
      <c r="T344" s="38">
        <f>(VLOOKUP($A344,'The List'!$B1:$AH730,32,FALSE)-AVERAGE('The List'!AG2:AG730))/STDEV('The List'!AG2:AG730)</f>
        <v>-0.61510119871956948</v>
      </c>
      <c r="U344" s="38">
        <f>(VLOOKUP($A344,'The List'!$B1:$AH730,33,FALSE)-AVERAGE('The List'!AH2:AH730))/STDEV('The List'!AH2:AH730)</f>
        <v>-1.2363238714825984</v>
      </c>
      <c r="V344" s="38"/>
      <c r="W344" s="40"/>
      <c r="X344" s="38"/>
      <c r="Y344" s="38"/>
      <c r="Z344" s="38"/>
      <c r="AA344" s="38"/>
      <c r="AB344" s="38"/>
      <c r="AC344" s="38"/>
      <c r="AD344" s="38"/>
      <c r="AE344" s="38"/>
    </row>
    <row r="345" spans="1:31" ht="21.2" customHeight="1">
      <c r="A345" s="8" t="s">
        <v>689</v>
      </c>
      <c r="B345" s="34" t="str">
        <f>VLOOKUP(A345,'Player Data'!A1:B734,2,FALSE)</f>
        <v>CBJ</v>
      </c>
      <c r="C345" s="36">
        <f>((E345)*Settings!$C$12)+(F345*Settings!$C$2)+(G345*Settings!$C$3)+(H345*Settings!$C$4)+(I345*Settings!$C$5)+(K345*Settings!$C$9)+(N345*Settings!$C$6)+(J345*Settings!$C$8)+(O345*Settings!$C$7)+(P345*Settings!$C$14)+(Q345*Settings!$C$15)+(R345*Settings!$C$16)+(S345*Settings!$C$17)+(T345*Settings!$C$18)+(U345*Settings!$C$19)+(L345*Settings!$C$10)+(Settings!$C$11*M345)</f>
        <v>-2.3675446458818015</v>
      </c>
      <c r="D345" s="40">
        <f>IF(Settings!$E$12="YES",VLOOKUP(A345,'Player Data'!A1:E734,5,FALSE),82)</f>
        <v>82</v>
      </c>
      <c r="E345" s="38">
        <f>(VLOOKUP($A345,'The List'!$B1:$AH730,17,FALSE)-AVERAGE('The List'!R2:R730))/STDEV('The List'!R2:R730)</f>
        <v>-1.284657786456993</v>
      </c>
      <c r="F345" s="38">
        <f>(VLOOKUP($A345,'The List'!$B1:$AH730,18,FALSE)-AVERAGE('The List'!S2:S730))/STDEV('The List'!S2:S730)</f>
        <v>6.4660901157947348E-3</v>
      </c>
      <c r="G345" s="38">
        <f>(VLOOKUP($A345,'The List'!$B1:$AH730,19,FALSE)-AVERAGE('The List'!T2:T730))/STDEV('The List'!T2:T730)</f>
        <v>-0.57167789860142237</v>
      </c>
      <c r="H345" s="38">
        <f>(VLOOKUP($A345,'The List'!$B1:$AH730,20,FALSE)-AVERAGE('The List'!U2:U730))/STDEV('The List'!U2:U730)</f>
        <v>-0.34831264555540381</v>
      </c>
      <c r="I345" s="38">
        <f>(VLOOKUP($A345,'The List'!$B1:$AH730,21,FALSE)-AVERAGE('The List'!V2:V730))/STDEV('The List'!V2:V730)</f>
        <v>-0.69683048935643443</v>
      </c>
      <c r="J345" s="38">
        <f>(VLOOKUP($A345,'The List'!$B1:$AH730,22,FALSE)-AVERAGE('The List'!W2:W730))/STDEV('The List'!W2:W730)</f>
        <v>-0.6649323980328693</v>
      </c>
      <c r="K345" s="38">
        <f>(VLOOKUP($A345,'The List'!$B1:$AH730,23,FALSE)-AVERAGE('The List'!X2:X730))/STDEV('The List'!X2:X730)</f>
        <v>-0.75718970248433559</v>
      </c>
      <c r="L345" s="38">
        <f>(VLOOKUP($A345,'The List'!$B1:$AH730,24,FALSE)-AVERAGE('The List'!Y2:Y730))/STDEV('The List'!Y2:Y730)</f>
        <v>-0.52515529094994673</v>
      </c>
      <c r="M345" s="38">
        <f>(VLOOKUP($A345,'The List'!$B1:$AH730,25,FALSE)-AVERAGE('The List'!Z2:Z730))/STDEV('The List'!Z2:Z730)</f>
        <v>-0.70378350861314143</v>
      </c>
      <c r="N345" s="38">
        <f>(VLOOKUP($A345,'The List'!$B1:$AH730,26,FALSE)-AVERAGE('The List'!AA2:AA730))/STDEV('The List'!AA2:AA730)</f>
        <v>-0.91762820806078194</v>
      </c>
      <c r="O345" s="38">
        <f>(VLOOKUP($A345,'The List'!$B1:$AH730,27,FALSE)-AVERAGE('The List'!AB2:AB730))/STDEV('The List'!AB2:AB730)</f>
        <v>-0.65560874145055936</v>
      </c>
      <c r="P345" s="38">
        <f>(VLOOKUP($A345,'The List'!$B1:$AH730,28,FALSE)-AVERAGE('The List'!AC2:AC730))/STDEV('The List'!AC2:AC730)</f>
        <v>-1.1634913002025447</v>
      </c>
      <c r="Q345" s="38">
        <f>(VLOOKUP($A345,'The List'!$B1:$AH730,29,FALSE)-AVERAGE('The List'!AD2:AD730))/STDEV('The List'!AD2:AD730)</f>
        <v>-2.2894574457896004</v>
      </c>
      <c r="R345" s="38">
        <f>(VLOOKUP($A345,'The List'!$B1:$AH730,30,FALSE)-AVERAGE('The List'!AE2:AE730))/STDEV('The List'!AE2:AE730)</f>
        <v>-0.29108064884475116</v>
      </c>
      <c r="S345" s="38">
        <f>(VLOOKUP($A345,'The List'!$B1:$AH730,31,FALSE)-AVERAGE('The List'!AF2:AF730))/STDEV('The List'!AF2:AF730)</f>
        <v>-6.1527503994489398E-2</v>
      </c>
      <c r="T345" s="38">
        <f>(VLOOKUP($A345,'The List'!$B1:$AH730,32,FALSE)-AVERAGE('The List'!AG2:AG730))/STDEV('The List'!AG2:AG730)</f>
        <v>0.35250643867289366</v>
      </c>
      <c r="U345" s="38">
        <f>(VLOOKUP($A345,'The List'!$B1:$AH730,33,FALSE)-AVERAGE('The List'!AH2:AH730))/STDEV('The List'!AH2:AH730)</f>
        <v>0.36839171687281874</v>
      </c>
      <c r="V345" s="38"/>
      <c r="W345" s="42"/>
      <c r="X345" s="40"/>
      <c r="Y345" s="40"/>
      <c r="Z345" s="40"/>
      <c r="AA345" s="40"/>
      <c r="AB345" s="40"/>
      <c r="AC345" s="43"/>
      <c r="AD345" s="44"/>
      <c r="AE345" s="38"/>
    </row>
    <row r="346" spans="1:31" ht="21.2" customHeight="1">
      <c r="A346" s="8" t="s">
        <v>686</v>
      </c>
      <c r="B346" s="34" t="str">
        <f>VLOOKUP(A346,'Player Data'!A1:B734,2,FALSE)</f>
        <v>CGY</v>
      </c>
      <c r="C346" s="36">
        <f>((E346)*Settings!$C$12)+(F346*Settings!$C$2)+(G346*Settings!$C$3)+(H346*Settings!$C$4)+(I346*Settings!$C$5)+(K346*Settings!$C$9)+(N346*Settings!$C$6)+(J346*Settings!$C$8)+(O346*Settings!$C$7)+(P346*Settings!$C$14)+(Q346*Settings!$C$15)+(R346*Settings!$C$16)+(S346*Settings!$C$17)+(T346*Settings!$C$18)+(U346*Settings!$C$19)+(L346*Settings!$C$10)+(Settings!$C$11*M346)</f>
        <v>-1.7719163246054532</v>
      </c>
      <c r="D346" s="40">
        <f>IF(Settings!$E$12="YES",VLOOKUP(A346,'Player Data'!A1:E734,5,FALSE),82)</f>
        <v>82</v>
      </c>
      <c r="E346" s="38">
        <f>(VLOOKUP($A346,'The List'!$B1:$AH730,17,FALSE)-AVERAGE('The List'!R2:R730))/STDEV('The List'!R2:R730)</f>
        <v>-1.393458689849052</v>
      </c>
      <c r="F346" s="38">
        <f>(VLOOKUP($A346,'The List'!$B1:$AH730,18,FALSE)-AVERAGE('The List'!S2:S730))/STDEV('The List'!S2:S730)</f>
        <v>0.22040076165401168</v>
      </c>
      <c r="G346" s="38">
        <f>(VLOOKUP($A346,'The List'!$B1:$AH730,19,FALSE)-AVERAGE('The List'!T2:T730))/STDEV('The List'!T2:T730)</f>
        <v>-0.73713749837941189</v>
      </c>
      <c r="H346" s="38">
        <f>(VLOOKUP($A346,'The List'!$B1:$AH730,20,FALSE)-AVERAGE('The List'!U2:U730))/STDEV('The List'!U2:U730)</f>
        <v>-0.3505415986926822</v>
      </c>
      <c r="I346" s="38">
        <f>(VLOOKUP($A346,'The List'!$B1:$AH730,21,FALSE)-AVERAGE('The List'!V2:V730))/STDEV('The List'!V2:V730)</f>
        <v>-0.12935949324269994</v>
      </c>
      <c r="J346" s="38">
        <f>(VLOOKUP($A346,'The List'!$B1:$AH730,22,FALSE)-AVERAGE('The List'!W2:W730))/STDEV('The List'!W2:W730)</f>
        <v>-0.6838923027658792</v>
      </c>
      <c r="K346" s="38">
        <f>(VLOOKUP($A346,'The List'!$B1:$AH730,23,FALSE)-AVERAGE('The List'!X2:X730))/STDEV('The List'!X2:X730)</f>
        <v>-0.77527849594467102</v>
      </c>
      <c r="L346" s="38">
        <f>(VLOOKUP($A346,'The List'!$B1:$AH730,24,FALSE)-AVERAGE('The List'!Y2:Y730))/STDEV('The List'!Y2:Y730)</f>
        <v>-0.52515529094994673</v>
      </c>
      <c r="M346" s="38">
        <f>(VLOOKUP($A346,'The List'!$B1:$AH730,25,FALSE)-AVERAGE('The List'!Z2:Z730))/STDEV('The List'!Z2:Z730)</f>
        <v>-0.70378350861314143</v>
      </c>
      <c r="N346" s="38">
        <f>(VLOOKUP($A346,'The List'!$B1:$AH730,26,FALSE)-AVERAGE('The List'!AA2:AA730))/STDEV('The List'!AA2:AA730)</f>
        <v>-1.0465331330552545</v>
      </c>
      <c r="O346" s="38">
        <f>(VLOOKUP($A346,'The List'!$B1:$AH730,27,FALSE)-AVERAGE('The List'!AB2:AB730))/STDEV('The List'!AB2:AB730)</f>
        <v>0.92728166344873098</v>
      </c>
      <c r="P346" s="38">
        <f>(VLOOKUP($A346,'The List'!$B1:$AH730,28,FALSE)-AVERAGE('The List'!AC2:AC730))/STDEV('The List'!AC2:AC730)</f>
        <v>0.35863132730275865</v>
      </c>
      <c r="Q346" s="38">
        <f>(VLOOKUP($A346,'The List'!$B1:$AH730,29,FALSE)-AVERAGE('The List'!AD2:AD730))/STDEV('The List'!AD2:AD730)</f>
        <v>-0.96380207406688023</v>
      </c>
      <c r="R346" s="38">
        <f>(VLOOKUP($A346,'The List'!$B1:$AH730,30,FALSE)-AVERAGE('The List'!AE2:AE730))/STDEV('The List'!AE2:AE730)</f>
        <v>0.47901041624595952</v>
      </c>
      <c r="S346" s="38">
        <f>(VLOOKUP($A346,'The List'!$B1:$AH730,31,FALSE)-AVERAGE('The List'!AF2:AF730))/STDEV('The List'!AF2:AF730)</f>
        <v>-0.5538290000778765</v>
      </c>
      <c r="T346" s="38">
        <f>(VLOOKUP($A346,'The List'!$B1:$AH730,32,FALSE)-AVERAGE('The List'!AG2:AG730))/STDEV('The List'!AG2:AG730)</f>
        <v>-0.51576220123508498</v>
      </c>
      <c r="U346" s="38">
        <f>(VLOOKUP($A346,'The List'!$B1:$AH730,33,FALSE)-AVERAGE('The List'!AH2:AH730))/STDEV('The List'!AH2:AH730)</f>
        <v>-0.60775898281850849</v>
      </c>
      <c r="V346" s="38"/>
      <c r="W346" s="42"/>
      <c r="X346" s="40"/>
      <c r="Y346" s="40"/>
      <c r="Z346" s="40"/>
      <c r="AA346" s="40"/>
      <c r="AB346" s="40"/>
      <c r="AC346" s="43"/>
      <c r="AD346" s="44"/>
      <c r="AE346" s="38"/>
    </row>
    <row r="347" spans="1:31" ht="21.2" customHeight="1">
      <c r="A347" s="8" t="s">
        <v>708</v>
      </c>
      <c r="B347" s="34" t="str">
        <f>VLOOKUP(A347,'Player Data'!A1:B734,2,FALSE)</f>
        <v>NSH</v>
      </c>
      <c r="C347" s="36">
        <f>((E347)*Settings!$C$12)+(F347*Settings!$C$2)+(G347*Settings!$C$3)+(H347*Settings!$C$4)+(I347*Settings!$C$5)+(K347*Settings!$C$9)+(N347*Settings!$C$6)+(J347*Settings!$C$8)+(O347*Settings!$C$7)+(P347*Settings!$C$14)+(Q347*Settings!$C$15)+(R347*Settings!$C$16)+(S347*Settings!$C$17)+(T347*Settings!$C$18)+(U347*Settings!$C$19)+(L347*Settings!$C$10)+(Settings!$C$11*M347)</f>
        <v>-1.6253436413810398</v>
      </c>
      <c r="D347" s="40">
        <f>IF(Settings!$E$12="YES",VLOOKUP(A347,'Player Data'!A1:E734,5,FALSE),82)</f>
        <v>82</v>
      </c>
      <c r="E347" s="38">
        <f>(VLOOKUP($A347,'The List'!$B1:$AH730,17,FALSE)-AVERAGE('The List'!R2:R730))/STDEV('The List'!R2:R730)</f>
        <v>-0.88043567832751746</v>
      </c>
      <c r="F347" s="38">
        <f>(VLOOKUP($A347,'The List'!$B1:$AH730,18,FALSE)-AVERAGE('The List'!S2:S730))/STDEV('The List'!S2:S730)</f>
        <v>-2.9791569630748218E-2</v>
      </c>
      <c r="G347" s="38">
        <f>(VLOOKUP($A347,'The List'!$B1:$AH730,19,FALSE)-AVERAGE('The List'!T2:T730))/STDEV('The List'!T2:T730)</f>
        <v>-0.56452682132827969</v>
      </c>
      <c r="H347" s="38">
        <f>(VLOOKUP($A347,'The List'!$B1:$AH730,20,FALSE)-AVERAGE('The List'!U2:U730))/STDEV('The List'!U2:U730)</f>
        <v>-0.36077323892371427</v>
      </c>
      <c r="I347" s="38">
        <f>(VLOOKUP($A347,'The List'!$B1:$AH730,21,FALSE)-AVERAGE('The List'!V2:V730))/STDEV('The List'!V2:V730)</f>
        <v>-0.12661001272947553</v>
      </c>
      <c r="J347" s="38">
        <f>(VLOOKUP($A347,'The List'!$B1:$AH730,22,FALSE)-AVERAGE('The List'!W2:W730))/STDEV('The List'!W2:W730)</f>
        <v>-0.41482887208878894</v>
      </c>
      <c r="K347" s="38">
        <f>(VLOOKUP($A347,'The List'!$B1:$AH730,23,FALSE)-AVERAGE('The List'!X2:X730))/STDEV('The List'!X2:X730)</f>
        <v>-0.54364199876882224</v>
      </c>
      <c r="L347" s="38">
        <f>(VLOOKUP($A347,'The List'!$B1:$AH730,24,FALSE)-AVERAGE('The List'!Y2:Y730))/STDEV('The List'!Y2:Y730)</f>
        <v>-0.48909173420878271</v>
      </c>
      <c r="M347" s="38">
        <f>(VLOOKUP($A347,'The List'!$B1:$AH730,25,FALSE)-AVERAGE('The List'!Z2:Z730))/STDEV('The List'!Z2:Z730)</f>
        <v>-0.66211638194212985</v>
      </c>
      <c r="N347" s="38">
        <f>(VLOOKUP($A347,'The List'!$B1:$AH730,26,FALSE)-AVERAGE('The List'!AA2:AA730))/STDEV('The List'!AA2:AA730)</f>
        <v>-0.65669425984827545</v>
      </c>
      <c r="O347" s="38">
        <f>(VLOOKUP($A347,'The List'!$B1:$AH730,27,FALSE)-AVERAGE('The List'!AB2:AB730))/STDEV('The List'!AB2:AB730)</f>
        <v>1.9714520774089592</v>
      </c>
      <c r="P347" s="38">
        <f>(VLOOKUP($A347,'The List'!$B1:$AH730,28,FALSE)-AVERAGE('The List'!AC2:AC730))/STDEV('The List'!AC2:AC730)</f>
        <v>-0.18374603029003658</v>
      </c>
      <c r="Q347" s="38">
        <f>(VLOOKUP($A347,'The List'!$B1:$AH730,29,FALSE)-AVERAGE('The List'!AD2:AD730))/STDEV('The List'!AD2:AD730)</f>
        <v>0.48652814758252055</v>
      </c>
      <c r="R347" s="38">
        <f>(VLOOKUP($A347,'The List'!$B1:$AH730,30,FALSE)-AVERAGE('The List'!AE2:AE730))/STDEV('The List'!AE2:AE730)</f>
        <v>2.2850682380035344E-2</v>
      </c>
      <c r="S347" s="38">
        <f>(VLOOKUP($A347,'The List'!$B1:$AH730,31,FALSE)-AVERAGE('The List'!AF2:AF730))/STDEV('The List'!AF2:AF730)</f>
        <v>-0.4978180412619479</v>
      </c>
      <c r="T347" s="38">
        <f>(VLOOKUP($A347,'The List'!$B1:$AH730,32,FALSE)-AVERAGE('The List'!AG2:AG730))/STDEV('The List'!AG2:AG730)</f>
        <v>-0.57270378170450131</v>
      </c>
      <c r="U347" s="38">
        <f>(VLOOKUP($A347,'The List'!$B1:$AH730,33,FALSE)-AVERAGE('The List'!AH2:AH730))/STDEV('The List'!AH2:AH730)</f>
        <v>1.6476840596726128</v>
      </c>
      <c r="V347" s="38"/>
      <c r="W347" s="42"/>
      <c r="X347" s="40"/>
      <c r="Y347" s="40"/>
      <c r="Z347" s="40"/>
      <c r="AA347" s="40"/>
      <c r="AB347" s="40"/>
      <c r="AC347" s="43"/>
      <c r="AD347" s="44"/>
      <c r="AE347" s="38"/>
    </row>
    <row r="348" spans="1:31" ht="21.2" customHeight="1">
      <c r="A348" s="8" t="s">
        <v>621</v>
      </c>
      <c r="B348" s="34" t="str">
        <f>VLOOKUP(A348,'Player Data'!A1:B734,2,FALSE)</f>
        <v>MIN</v>
      </c>
      <c r="C348" s="36">
        <f>((E348)*Settings!$C$12)+(F348*Settings!$C$2)+(G348*Settings!$C$3)+(H348*Settings!$C$4)+(I348*Settings!$C$5)+(K348*Settings!$C$9)+(N348*Settings!$C$6)+(J348*Settings!$C$8)+(O348*Settings!$C$7)+(P348*Settings!$C$14)+(Q348*Settings!$C$15)+(R348*Settings!$C$16)+(S348*Settings!$C$17)+(T348*Settings!$C$18)+(U348*Settings!$C$19)+(L348*Settings!$C$10)+(Settings!$C$11*M348)</f>
        <v>-2.2671667941877676</v>
      </c>
      <c r="D348" s="40">
        <f>IF(Settings!$E$12="YES",VLOOKUP(A348,'Player Data'!A1:E734,5,FALSE),82)</f>
        <v>82</v>
      </c>
      <c r="E348" s="38">
        <f>(VLOOKUP($A348,'The List'!$B1:$AH730,17,FALSE)-AVERAGE('The List'!R2:R730))/STDEV('The List'!R2:R730)</f>
        <v>-0.63833455186593868</v>
      </c>
      <c r="F348" s="38">
        <f>(VLOOKUP($A348,'The List'!$B1:$AH730,18,FALSE)-AVERAGE('The List'!S2:S730))/STDEV('The List'!S2:S730)</f>
        <v>-8.3796697048819271E-2</v>
      </c>
      <c r="G348" s="38">
        <f>(VLOOKUP($A348,'The List'!$B1:$AH730,19,FALSE)-AVERAGE('The List'!T2:T730))/STDEV('The List'!T2:T730)</f>
        <v>-0.52433640292888994</v>
      </c>
      <c r="H348" s="38">
        <f>(VLOOKUP($A348,'The List'!$B1:$AH730,20,FALSE)-AVERAGE('The List'!U2:U730))/STDEV('The List'!U2:U730)</f>
        <v>-0.36118017827393184</v>
      </c>
      <c r="I348" s="38">
        <f>(VLOOKUP($A348,'The List'!$B1:$AH730,21,FALSE)-AVERAGE('The List'!V2:V730))/STDEV('The List'!V2:V730)</f>
        <v>-0.75041161976410076</v>
      </c>
      <c r="J348" s="38">
        <f>(VLOOKUP($A348,'The List'!$B1:$AH730,22,FALSE)-AVERAGE('The List'!W2:W730))/STDEV('The List'!W2:W730)</f>
        <v>-0.43669284502728545</v>
      </c>
      <c r="K348" s="38">
        <f>(VLOOKUP($A348,'The List'!$B1:$AH730,23,FALSE)-AVERAGE('The List'!X2:X730))/STDEV('The List'!X2:X730)</f>
        <v>-0.54744189617202532</v>
      </c>
      <c r="L348" s="38">
        <f>(VLOOKUP($A348,'The List'!$B1:$AH730,24,FALSE)-AVERAGE('The List'!Y2:Y730))/STDEV('The List'!Y2:Y730)</f>
        <v>-0.29125011886839086</v>
      </c>
      <c r="M348" s="38">
        <f>(VLOOKUP($A348,'The List'!$B1:$AH730,25,FALSE)-AVERAGE('The List'!Z2:Z730))/STDEV('The List'!Z2:Z730)</f>
        <v>-0.63452504760875506</v>
      </c>
      <c r="N348" s="38">
        <f>(VLOOKUP($A348,'The List'!$B1:$AH730,26,FALSE)-AVERAGE('The List'!AA2:AA730))/STDEV('The List'!AA2:AA730)</f>
        <v>-0.48904529170190475</v>
      </c>
      <c r="O348" s="38">
        <f>(VLOOKUP($A348,'The List'!$B1:$AH730,27,FALSE)-AVERAGE('The List'!AB2:AB730))/STDEV('The List'!AB2:AB730)</f>
        <v>2.8509699329085021</v>
      </c>
      <c r="P348" s="38">
        <f>(VLOOKUP($A348,'The List'!$B1:$AH730,28,FALSE)-AVERAGE('The List'!AC2:AC730))/STDEV('The List'!AC2:AC730)</f>
        <v>0.53393554316755332</v>
      </c>
      <c r="Q348" s="38">
        <f>(VLOOKUP($A348,'The List'!$B1:$AH730,29,FALSE)-AVERAGE('The List'!AD2:AD730))/STDEV('The List'!AD2:AD730)</f>
        <v>2.6341055743980886</v>
      </c>
      <c r="R348" s="38">
        <f>(VLOOKUP($A348,'The List'!$B1:$AH730,30,FALSE)-AVERAGE('The List'!AE2:AE730))/STDEV('The List'!AE2:AE730)</f>
        <v>9.3365345115545381E-2</v>
      </c>
      <c r="S348" s="38">
        <f>(VLOOKUP($A348,'The List'!$B1:$AH730,31,FALSE)-AVERAGE('The List'!AF2:AF730))/STDEV('The List'!AF2:AF730)</f>
        <v>-0.52826750443224979</v>
      </c>
      <c r="T348" s="38">
        <f>(VLOOKUP($A348,'The List'!$B1:$AH730,32,FALSE)-AVERAGE('The List'!AG2:AG730))/STDEV('The List'!AG2:AG730)</f>
        <v>-0.57155182751454336</v>
      </c>
      <c r="U348" s="38">
        <f>(VLOOKUP($A348,'The List'!$B1:$AH730,33,FALSE)-AVERAGE('The List'!AH2:AH730))/STDEV('The List'!AH2:AH730)</f>
        <v>1.0053204517312817</v>
      </c>
      <c r="V348" s="38"/>
      <c r="W348" s="40"/>
      <c r="X348" s="38"/>
      <c r="Y348" s="38"/>
      <c r="Z348" s="38"/>
      <c r="AA348" s="38"/>
      <c r="AB348" s="38"/>
      <c r="AC348" s="38"/>
      <c r="AD348" s="38"/>
      <c r="AE348" s="38"/>
    </row>
    <row r="349" spans="1:31" ht="21.2" customHeight="1">
      <c r="A349" s="8" t="s">
        <v>397</v>
      </c>
      <c r="B349" s="34" t="str">
        <f>VLOOKUP(A349,'Player Data'!A1:B734,2,FALSE)</f>
        <v>CBJ</v>
      </c>
      <c r="C349" s="36">
        <f>((E349)*Settings!$C$12)+(F349*Settings!$C$2)+(G349*Settings!$C$3)+(H349*Settings!$C$4)+(I349*Settings!$C$5)+(K349*Settings!$C$9)+(N349*Settings!$C$6)+(J349*Settings!$C$8)+(O349*Settings!$C$7)+(P349*Settings!$C$14)+(Q349*Settings!$C$15)+(R349*Settings!$C$16)+(S349*Settings!$C$17)+(T349*Settings!$C$18)+(U349*Settings!$C$19)+(L349*Settings!$C$10)+(Settings!$C$11*M349)</f>
        <v>-1.941205247102086</v>
      </c>
      <c r="D349" s="40">
        <f>IF(Settings!$E$12="YES",VLOOKUP(A349,'Player Data'!A1:E734,5,FALSE),82)</f>
        <v>82</v>
      </c>
      <c r="E349" s="38">
        <f>(VLOOKUP($A349,'The List'!$B1:$AH730,17,FALSE)-AVERAGE('The List'!R2:R730))/STDEV('The List'!R2:R730)</f>
        <v>7.6233826501437396E-2</v>
      </c>
      <c r="F349" s="38">
        <f>(VLOOKUP($A349,'The List'!$B1:$AH730,18,FALSE)-AVERAGE('The List'!S2:S730))/STDEV('The List'!S2:S730)</f>
        <v>-0.49013825982581799</v>
      </c>
      <c r="G349" s="38">
        <f>(VLOOKUP($A349,'The List'!$B1:$AH730,19,FALSE)-AVERAGE('The List'!T2:T730))/STDEV('The List'!T2:T730)</f>
        <v>-0.23587324133898876</v>
      </c>
      <c r="H349" s="38">
        <f>(VLOOKUP($A349,'The List'!$B1:$AH730,20,FALSE)-AVERAGE('The List'!U2:U730))/STDEV('The List'!U2:U730)</f>
        <v>-0.37280549090334419</v>
      </c>
      <c r="I349" s="38">
        <f>(VLOOKUP($A349,'The List'!$B1:$AH730,21,FALSE)-AVERAGE('The List'!V2:V730))/STDEV('The List'!V2:V730)</f>
        <v>-0.71691943671802572</v>
      </c>
      <c r="J349" s="38">
        <f>(VLOOKUP($A349,'The List'!$B1:$AH730,22,FALSE)-AVERAGE('The List'!W2:W730))/STDEV('The List'!W2:W730)</f>
        <v>-0.43878693367615534</v>
      </c>
      <c r="K349" s="38">
        <f>(VLOOKUP($A349,'The List'!$B1:$AH730,23,FALSE)-AVERAGE('The List'!X2:X730))/STDEV('The List'!X2:X730)</f>
        <v>-0.12546881831590945</v>
      </c>
      <c r="L349" s="38">
        <f>(VLOOKUP($A349,'The List'!$B1:$AH730,24,FALSE)-AVERAGE('The List'!Y2:Y730))/STDEV('The List'!Y2:Y730)</f>
        <v>-0.51857211173528217</v>
      </c>
      <c r="M349" s="38">
        <f>(VLOOKUP($A349,'The List'!$B1:$AH730,25,FALSE)-AVERAGE('The List'!Z2:Z730))/STDEV('The List'!Z2:Z730)</f>
        <v>-0.68663617651118081</v>
      </c>
      <c r="N349" s="38">
        <f>(VLOOKUP($A349,'The List'!$B1:$AH730,26,FALSE)-AVERAGE('The List'!AA2:AA730))/STDEV('The List'!AA2:AA730)</f>
        <v>0.44866368454952671</v>
      </c>
      <c r="O349" s="38">
        <f>(VLOOKUP($A349,'The List'!$B1:$AH730,27,FALSE)-AVERAGE('The List'!AB2:AB730))/STDEV('The List'!AB2:AB730)</f>
        <v>-0.76105846265804733</v>
      </c>
      <c r="P349" s="38">
        <f>(VLOOKUP($A349,'The List'!$B1:$AH730,28,FALSE)-AVERAGE('The List'!AC2:AC730))/STDEV('The List'!AC2:AC730)</f>
        <v>-1.3618977101548209</v>
      </c>
      <c r="Q349" s="38">
        <f>(VLOOKUP($A349,'The List'!$B1:$AH730,29,FALSE)-AVERAGE('The List'!AD2:AD730))/STDEV('The List'!AD2:AD730)</f>
        <v>-0.76585144659693449</v>
      </c>
      <c r="R349" s="38">
        <f>(VLOOKUP($A349,'The List'!$B1:$AH730,30,FALSE)-AVERAGE('The List'!AE2:AE730))/STDEV('The List'!AE2:AE730)</f>
        <v>-0.63762300720571985</v>
      </c>
      <c r="S349" s="38">
        <f>(VLOOKUP($A349,'The List'!$B1:$AH730,31,FALSE)-AVERAGE('The List'!AF2:AF730))/STDEV('The List'!AF2:AF730)</f>
        <v>-0.56911587195029545</v>
      </c>
      <c r="T349" s="38">
        <f>(VLOOKUP($A349,'The List'!$B1:$AH730,32,FALSE)-AVERAGE('The List'!AG2:AG730))/STDEV('The List'!AG2:AG730)</f>
        <v>-0.61510119871956948</v>
      </c>
      <c r="U349" s="38">
        <f>(VLOOKUP($A349,'The List'!$B1:$AH730,33,FALSE)-AVERAGE('The List'!AH2:AH730))/STDEV('The List'!AH2:AH730)</f>
        <v>-1.2363238714825984</v>
      </c>
      <c r="V349" s="38"/>
      <c r="W349" s="42"/>
      <c r="X349" s="40"/>
      <c r="Y349" s="40"/>
      <c r="Z349" s="40"/>
      <c r="AA349" s="40"/>
      <c r="AB349" s="40"/>
      <c r="AC349" s="43"/>
      <c r="AD349" s="44"/>
      <c r="AE349" s="38"/>
    </row>
    <row r="350" spans="1:31" ht="21.2" customHeight="1">
      <c r="A350" s="8" t="s">
        <v>622</v>
      </c>
      <c r="B350" s="34" t="str">
        <f>VLOOKUP(A350,'Player Data'!A1:B734,2,FALSE)</f>
        <v>WPG</v>
      </c>
      <c r="C350" s="36">
        <f>((E350)*Settings!$C$12)+(F350*Settings!$C$2)+(G350*Settings!$C$3)+(H350*Settings!$C$4)+(I350*Settings!$C$5)+(K350*Settings!$C$9)+(N350*Settings!$C$6)+(J350*Settings!$C$8)+(O350*Settings!$C$7)+(P350*Settings!$C$14)+(Q350*Settings!$C$15)+(R350*Settings!$C$16)+(S350*Settings!$C$17)+(T350*Settings!$C$18)+(U350*Settings!$C$19)+(L350*Settings!$C$10)+(Settings!$C$11*M350)</f>
        <v>-2.1614293472855093</v>
      </c>
      <c r="D350" s="40">
        <f>IF(Settings!$E$12="YES",VLOOKUP(A350,'Player Data'!A1:E734,5,FALSE),82)</f>
        <v>82</v>
      </c>
      <c r="E350" s="38">
        <f>(VLOOKUP($A350,'The List'!$B1:$AH730,17,FALSE)-AVERAGE('The List'!R2:R730))/STDEV('The List'!R2:R730)</f>
        <v>-0.24727172011433679</v>
      </c>
      <c r="F350" s="38">
        <f>(VLOOKUP($A350,'The List'!$B1:$AH730,18,FALSE)-AVERAGE('The List'!S2:S730))/STDEV('The List'!S2:S730)</f>
        <v>-0.30041854756314351</v>
      </c>
      <c r="G350" s="38">
        <f>(VLOOKUP($A350,'The List'!$B1:$AH730,19,FALSE)-AVERAGE('The List'!T2:T730))/STDEV('The List'!T2:T730)</f>
        <v>-0.38662756198064424</v>
      </c>
      <c r="H350" s="38">
        <f>(VLOOKUP($A350,'The List'!$B1:$AH730,20,FALSE)-AVERAGE('The List'!U2:U730))/STDEV('The List'!U2:U730)</f>
        <v>-0.37725435537679453</v>
      </c>
      <c r="I350" s="38">
        <f>(VLOOKUP($A350,'The List'!$B1:$AH730,21,FALSE)-AVERAGE('The List'!V2:V730))/STDEV('The List'!V2:V730)</f>
        <v>-0.2870147382913984</v>
      </c>
      <c r="J350" s="38">
        <f>(VLOOKUP($A350,'The List'!$B1:$AH730,22,FALSE)-AVERAGE('The List'!W2:W730))/STDEV('The List'!W2:W730)</f>
        <v>-0.71289900364221492</v>
      </c>
      <c r="K350" s="38">
        <f>(VLOOKUP($A350,'The List'!$B1:$AH730,23,FALSE)-AVERAGE('The List'!X2:X730))/STDEV('The List'!X2:X730)</f>
        <v>-0.81011414407352877</v>
      </c>
      <c r="L350" s="38">
        <f>(VLOOKUP($A350,'The List'!$B1:$AH730,24,FALSE)-AVERAGE('The List'!Y2:Y730))/STDEV('The List'!Y2:Y730)</f>
        <v>-0.29064823142332252</v>
      </c>
      <c r="M350" s="38">
        <f>(VLOOKUP($A350,'The List'!$B1:$AH730,25,FALSE)-AVERAGE('The List'!Z2:Z730))/STDEV('The List'!Z2:Z730)</f>
        <v>7.5300762322919171E-2</v>
      </c>
      <c r="N350" s="38">
        <f>(VLOOKUP($A350,'The List'!$B1:$AH730,26,FALSE)-AVERAGE('The List'!AA2:AA730))/STDEV('The List'!AA2:AA730)</f>
        <v>-0.88623796241600294</v>
      </c>
      <c r="O350" s="38">
        <f>(VLOOKUP($A350,'The List'!$B1:$AH730,27,FALSE)-AVERAGE('The List'!AB2:AB730))/STDEV('The List'!AB2:AB730)</f>
        <v>-0.30759075262051466</v>
      </c>
      <c r="P350" s="38">
        <f>(VLOOKUP($A350,'The List'!$B1:$AH730,28,FALSE)-AVERAGE('The List'!AC2:AC730))/STDEV('The List'!AC2:AC730)</f>
        <v>0.420397616465984</v>
      </c>
      <c r="Q350" s="38">
        <f>(VLOOKUP($A350,'The List'!$B1:$AH730,29,FALSE)-AVERAGE('The List'!AD2:AD730))/STDEV('The List'!AD2:AD730)</f>
        <v>-0.72142221286133823</v>
      </c>
      <c r="R350" s="38">
        <f>(VLOOKUP($A350,'The List'!$B1:$AH730,30,FALSE)-AVERAGE('The List'!AE2:AE730))/STDEV('The List'!AE2:AE730)</f>
        <v>-0.16500848811745331</v>
      </c>
      <c r="S350" s="38">
        <f>(VLOOKUP($A350,'The List'!$B1:$AH730,31,FALSE)-AVERAGE('The List'!AF2:AF730))/STDEV('The List'!AF2:AF730)</f>
        <v>-0.53596016207451314</v>
      </c>
      <c r="T350" s="38">
        <f>(VLOOKUP($A350,'The List'!$B1:$AH730,32,FALSE)-AVERAGE('The List'!AG2:AG730))/STDEV('The List'!AG2:AG730)</f>
        <v>-0.54495068988789086</v>
      </c>
      <c r="U350" s="38">
        <f>(VLOOKUP($A350,'The List'!$B1:$AH730,33,FALSE)-AVERAGE('The List'!AH2:AH730))/STDEV('The List'!AH2:AH730)</f>
        <v>0.26221597925439272</v>
      </c>
      <c r="V350" s="38"/>
      <c r="W350" s="42"/>
      <c r="X350" s="40"/>
      <c r="Y350" s="40"/>
      <c r="Z350" s="40"/>
      <c r="AA350" s="40"/>
      <c r="AB350" s="40"/>
      <c r="AC350" s="43"/>
      <c r="AD350" s="44"/>
      <c r="AE350" s="38"/>
    </row>
    <row r="351" spans="1:31" ht="21.2" customHeight="1">
      <c r="A351" s="8" t="s">
        <v>668</v>
      </c>
      <c r="B351" s="34" t="str">
        <f>VLOOKUP(A351,'Player Data'!A1:B734,2,FALSE)</f>
        <v>NJD</v>
      </c>
      <c r="C351" s="36">
        <f>((E351)*Settings!$C$12)+(F351*Settings!$C$2)+(G351*Settings!$C$3)+(H351*Settings!$C$4)+(I351*Settings!$C$5)+(K351*Settings!$C$9)+(N351*Settings!$C$6)+(J351*Settings!$C$8)+(O351*Settings!$C$7)+(P351*Settings!$C$14)+(Q351*Settings!$C$15)+(R351*Settings!$C$16)+(S351*Settings!$C$17)+(T351*Settings!$C$18)+(U351*Settings!$C$19)+(L351*Settings!$C$10)+(Settings!$C$11*M351)</f>
        <v>-1.5257614178577437</v>
      </c>
      <c r="D351" s="40">
        <f>IF(Settings!$E$12="YES",VLOOKUP(A351,'Player Data'!A1:E734,5,FALSE),82)</f>
        <v>82</v>
      </c>
      <c r="E351" s="38">
        <f>(VLOOKUP($A351,'The List'!$B1:$AH730,17,FALSE)-AVERAGE('The List'!R2:R730))/STDEV('The List'!R2:R730)</f>
        <v>-0.76641810542787847</v>
      </c>
      <c r="F351" s="38">
        <f>(VLOOKUP($A351,'The List'!$B1:$AH730,18,FALSE)-AVERAGE('The List'!S2:S730))/STDEV('The List'!S2:S730)</f>
        <v>-6.4840077470516996E-2</v>
      </c>
      <c r="G351" s="38">
        <f>(VLOOKUP($A351,'The List'!$B1:$AH730,19,FALSE)-AVERAGE('The List'!T2:T730))/STDEV('The List'!T2:T730)</f>
        <v>-0.56888634464230592</v>
      </c>
      <c r="H351" s="38">
        <f>(VLOOKUP($A351,'The List'!$B1:$AH730,20,FALSE)-AVERAGE('The List'!U2:U730))/STDEV('The List'!U2:U730)</f>
        <v>-0.379745446923685</v>
      </c>
      <c r="I351" s="38">
        <f>(VLOOKUP($A351,'The List'!$B1:$AH730,21,FALSE)-AVERAGE('The List'!V2:V730))/STDEV('The List'!V2:V730)</f>
        <v>-0.40069715066450406</v>
      </c>
      <c r="J351" s="38">
        <f>(VLOOKUP($A351,'The List'!$B1:$AH730,22,FALSE)-AVERAGE('The List'!W2:W730))/STDEV('The List'!W2:W730)</f>
        <v>0.35363559907578218</v>
      </c>
      <c r="K351" s="38">
        <f>(VLOOKUP($A351,'The List'!$B1:$AH730,23,FALSE)-AVERAGE('The List'!X2:X730))/STDEV('The List'!X2:X730)</f>
        <v>-0.11159239815673183</v>
      </c>
      <c r="L351" s="38">
        <f>(VLOOKUP($A351,'The List'!$B1:$AH730,24,FALSE)-AVERAGE('The List'!Y2:Y730))/STDEV('The List'!Y2:Y730)</f>
        <v>-0.52515529094994673</v>
      </c>
      <c r="M351" s="38">
        <f>(VLOOKUP($A351,'The List'!$B1:$AH730,25,FALSE)-AVERAGE('The List'!Z2:Z730))/STDEV('The List'!Z2:Z730)</f>
        <v>-0.70378350861314143</v>
      </c>
      <c r="N351" s="38">
        <f>(VLOOKUP($A351,'The List'!$B1:$AH730,26,FALSE)-AVERAGE('The List'!AA2:AA730))/STDEV('The List'!AA2:AA730)</f>
        <v>-0.84375904081313935</v>
      </c>
      <c r="O351" s="38">
        <f>(VLOOKUP($A351,'The List'!$B1:$AH730,27,FALSE)-AVERAGE('The List'!AB2:AB730))/STDEV('The List'!AB2:AB730)</f>
        <v>-0.45590874407429871</v>
      </c>
      <c r="P351" s="38">
        <f>(VLOOKUP($A351,'The List'!$B1:$AH730,28,FALSE)-AVERAGE('The List'!AC2:AC730))/STDEV('The List'!AC2:AC730)</f>
        <v>-0.34949343824895368</v>
      </c>
      <c r="Q351" s="38">
        <f>(VLOOKUP($A351,'The List'!$B1:$AH730,29,FALSE)-AVERAGE('The List'!AD2:AD730))/STDEV('The List'!AD2:AD730)</f>
        <v>-0.19111522106326218</v>
      </c>
      <c r="R351" s="38">
        <f>(VLOOKUP($A351,'The List'!$B1:$AH730,30,FALSE)-AVERAGE('The List'!AE2:AE730))/STDEV('The List'!AE2:AE730)</f>
        <v>-2.3887424256486675E-3</v>
      </c>
      <c r="S351" s="38">
        <f>(VLOOKUP($A351,'The List'!$B1:$AH730,31,FALSE)-AVERAGE('The List'!AF2:AF730))/STDEV('The List'!AF2:AF730)</f>
        <v>-0.56911587195029545</v>
      </c>
      <c r="T351" s="38">
        <f>(VLOOKUP($A351,'The List'!$B1:$AH730,32,FALSE)-AVERAGE('The List'!AG2:AG730))/STDEV('The List'!AG2:AG730)</f>
        <v>-0.61510119871956948</v>
      </c>
      <c r="U351" s="38">
        <f>(VLOOKUP($A351,'The List'!$B1:$AH730,33,FALSE)-AVERAGE('The List'!AH2:AH730))/STDEV('The List'!AH2:AH730)</f>
        <v>-1.2363238714825984</v>
      </c>
      <c r="V351" s="38"/>
      <c r="W351" s="42"/>
      <c r="X351" s="40"/>
      <c r="Y351" s="40"/>
      <c r="Z351" s="40"/>
      <c r="AA351" s="40"/>
      <c r="AB351" s="40"/>
      <c r="AC351" s="43"/>
      <c r="AD351" s="44"/>
      <c r="AE351" s="38"/>
    </row>
    <row r="352" spans="1:31" ht="21.2" customHeight="1">
      <c r="A352" s="8" t="s">
        <v>660</v>
      </c>
      <c r="B352" s="34" t="str">
        <f>VLOOKUP(A352,'Player Data'!A1:B734,2,FALSE)</f>
        <v>CAR</v>
      </c>
      <c r="C352" s="36">
        <f>((E352)*Settings!$C$12)+(F352*Settings!$C$2)+(G352*Settings!$C$3)+(H352*Settings!$C$4)+(I352*Settings!$C$5)+(K352*Settings!$C$9)+(N352*Settings!$C$6)+(J352*Settings!$C$8)+(O352*Settings!$C$7)+(P352*Settings!$C$14)+(Q352*Settings!$C$15)+(R352*Settings!$C$16)+(S352*Settings!$C$17)+(T352*Settings!$C$18)+(U352*Settings!$C$19)+(L352*Settings!$C$10)+(Settings!$C$11*M352)</f>
        <v>-2.133155263977268</v>
      </c>
      <c r="D352" s="40">
        <f>IF(Settings!$E$12="YES",VLOOKUP(A352,'Player Data'!A1:E734,5,FALSE),82)</f>
        <v>82</v>
      </c>
      <c r="E352" s="38">
        <f>(VLOOKUP($A352,'The List'!$B1:$AH730,17,FALSE)-AVERAGE('The List'!R2:R730))/STDEV('The List'!R2:R730)</f>
        <v>-0.3280937605712162</v>
      </c>
      <c r="F352" s="38">
        <f>(VLOOKUP($A352,'The List'!$B1:$AH730,18,FALSE)-AVERAGE('The List'!S2:S730))/STDEV('The List'!S2:S730)</f>
        <v>-4.5304048105232961E-2</v>
      </c>
      <c r="G352" s="38">
        <f>(VLOOKUP($A352,'The List'!$B1:$AH730,19,FALSE)-AVERAGE('The List'!T2:T730))/STDEV('The List'!T2:T730)</f>
        <v>-0.59768155356284725</v>
      </c>
      <c r="H352" s="38">
        <f>(VLOOKUP($A352,'The List'!$B1:$AH730,20,FALSE)-AVERAGE('The List'!U2:U730))/STDEV('The List'!U2:U730)</f>
        <v>-0.38835946048057507</v>
      </c>
      <c r="I352" s="38">
        <f>(VLOOKUP($A352,'The List'!$B1:$AH730,21,FALSE)-AVERAGE('The List'!V2:V730))/STDEV('The List'!V2:V730)</f>
        <v>-0.33878292748911104</v>
      </c>
      <c r="J352" s="38">
        <f>(VLOOKUP($A352,'The List'!$B1:$AH730,22,FALSE)-AVERAGE('The List'!W2:W730))/STDEV('The List'!W2:W730)</f>
        <v>-0.65926932973631158</v>
      </c>
      <c r="K352" s="38">
        <f>(VLOOKUP($A352,'The List'!$B1:$AH730,23,FALSE)-AVERAGE('The List'!X2:X730))/STDEV('The List'!X2:X730)</f>
        <v>-0.76302727433950146</v>
      </c>
      <c r="L352" s="38">
        <f>(VLOOKUP($A352,'The List'!$B1:$AH730,24,FALSE)-AVERAGE('The List'!Y2:Y730))/STDEV('The List'!Y2:Y730)</f>
        <v>-0.90969670813405101</v>
      </c>
      <c r="M352" s="38">
        <f>(VLOOKUP($A352,'The List'!$B1:$AH730,25,FALSE)-AVERAGE('The List'!Z2:Z730))/STDEV('The List'!Z2:Z730)</f>
        <v>-1.2488669047340004</v>
      </c>
      <c r="N352" s="38">
        <f>(VLOOKUP($A352,'The List'!$B1:$AH730,26,FALSE)-AVERAGE('The List'!AA2:AA730))/STDEV('The List'!AA2:AA730)</f>
        <v>-0.69731060255776434</v>
      </c>
      <c r="O352" s="38">
        <f>(VLOOKUP($A352,'The List'!$B1:$AH730,27,FALSE)-AVERAGE('The List'!AB2:AB730))/STDEV('The List'!AB2:AB730)</f>
        <v>1.0953875420904979</v>
      </c>
      <c r="P352" s="38">
        <f>(VLOOKUP($A352,'The List'!$B1:$AH730,28,FALSE)-AVERAGE('The List'!AC2:AC730))/STDEV('The List'!AC2:AC730)</f>
        <v>1.4971018381285053</v>
      </c>
      <c r="Q352" s="38">
        <f>(VLOOKUP($A352,'The List'!$B1:$AH730,29,FALSE)-AVERAGE('The List'!AD2:AD730))/STDEV('The List'!AD2:AD730)</f>
        <v>-0.408109644060417</v>
      </c>
      <c r="R352" s="38">
        <f>(VLOOKUP($A352,'The List'!$B1:$AH730,30,FALSE)-AVERAGE('The List'!AE2:AE730))/STDEV('The List'!AE2:AE730)</f>
        <v>0.29619218588217522</v>
      </c>
      <c r="S352" s="38">
        <f>(VLOOKUP($A352,'The List'!$B1:$AH730,31,FALSE)-AVERAGE('The List'!AF2:AF730))/STDEV('The List'!AF2:AF730)</f>
        <v>3.0878525253695033</v>
      </c>
      <c r="T352" s="38">
        <f>(VLOOKUP($A352,'The List'!$B1:$AH730,32,FALSE)-AVERAGE('The List'!AG2:AG730))/STDEV('The List'!AG2:AG730)</f>
        <v>2.3172934744209663</v>
      </c>
      <c r="U352" s="38">
        <f>(VLOOKUP($A352,'The List'!$B1:$AH730,33,FALSE)-AVERAGE('The List'!AH2:AH730))/STDEV('The List'!AH2:AH730)</f>
        <v>1.3250903736607611</v>
      </c>
      <c r="V352" s="38"/>
      <c r="W352" s="40"/>
      <c r="X352" s="38"/>
      <c r="Y352" s="38"/>
      <c r="Z352" s="38"/>
      <c r="AA352" s="38"/>
      <c r="AB352" s="38"/>
      <c r="AC352" s="38"/>
      <c r="AD352" s="38"/>
      <c r="AE352" s="38"/>
    </row>
    <row r="353" spans="1:31" ht="21.2" customHeight="1">
      <c r="A353" s="8" t="s">
        <v>577</v>
      </c>
      <c r="B353" s="34" t="str">
        <f>VLOOKUP(A353,'Player Data'!A1:B734,2,FALSE)</f>
        <v>DET</v>
      </c>
      <c r="C353" s="36">
        <f>((E353)*Settings!$C$12)+(F353*Settings!$C$2)+(G353*Settings!$C$3)+(H353*Settings!$C$4)+(I353*Settings!$C$5)+(K353*Settings!$C$9)+(N353*Settings!$C$6)+(J353*Settings!$C$8)+(O353*Settings!$C$7)+(P353*Settings!$C$14)+(Q353*Settings!$C$15)+(R353*Settings!$C$16)+(S353*Settings!$C$17)+(T353*Settings!$C$18)+(U353*Settings!$C$19)+(L353*Settings!$C$10)+(Settings!$C$11*M353)</f>
        <v>-1.4735546884016946</v>
      </c>
      <c r="D353" s="40">
        <f>IF(Settings!$E$12="YES",VLOOKUP(A353,'Player Data'!A1:E734,5,FALSE),82)</f>
        <v>82</v>
      </c>
      <c r="E353" s="38">
        <f>(VLOOKUP($A353,'The List'!$B1:$AH730,17,FALSE)-AVERAGE('The List'!R2:R730))/STDEV('The List'!R2:R730)</f>
        <v>-1.0429246088501607</v>
      </c>
      <c r="F353" s="38">
        <f>(VLOOKUP($A353,'The List'!$B1:$AH730,18,FALSE)-AVERAGE('The List'!S2:S730))/STDEV('The List'!S2:S730)</f>
        <v>5.0355660675297564E-2</v>
      </c>
      <c r="G353" s="38">
        <f>(VLOOKUP($A353,'The List'!$B1:$AH730,19,FALSE)-AVERAGE('The List'!T2:T730))/STDEV('The List'!T2:T730)</f>
        <v>-0.67396857798172438</v>
      </c>
      <c r="H353" s="38">
        <f>(VLOOKUP($A353,'The List'!$B1:$AH730,20,FALSE)-AVERAGE('The List'!U2:U730))/STDEV('The List'!U2:U730)</f>
        <v>-0.39077120999531245</v>
      </c>
      <c r="I353" s="38">
        <f>(VLOOKUP($A353,'The List'!$B1:$AH730,21,FALSE)-AVERAGE('The List'!V2:V730))/STDEV('The List'!V2:V730)</f>
        <v>-0.40581697995281413</v>
      </c>
      <c r="J353" s="38">
        <f>(VLOOKUP($A353,'The List'!$B1:$AH730,22,FALSE)-AVERAGE('The List'!W2:W730))/STDEV('The List'!W2:W730)</f>
        <v>0.3189778744580189</v>
      </c>
      <c r="K353" s="38">
        <f>(VLOOKUP($A353,'The List'!$B1:$AH730,23,FALSE)-AVERAGE('The List'!X2:X730))/STDEV('The List'!X2:X730)</f>
        <v>-5.3353581147140984E-2</v>
      </c>
      <c r="L353" s="38">
        <f>(VLOOKUP($A353,'The List'!$B1:$AH730,24,FALSE)-AVERAGE('The List'!Y2:Y730))/STDEV('The List'!Y2:Y730)</f>
        <v>-0.51836081181729177</v>
      </c>
      <c r="M353" s="38">
        <f>(VLOOKUP($A353,'The List'!$B1:$AH730,25,FALSE)-AVERAGE('The List'!Z2:Z730))/STDEV('The List'!Z2:Z730)</f>
        <v>-0.69552844606295394</v>
      </c>
      <c r="N353" s="38">
        <f>(VLOOKUP($A353,'The List'!$B1:$AH730,26,FALSE)-AVERAGE('The List'!AA2:AA730))/STDEV('The List'!AA2:AA730)</f>
        <v>-0.74956889667863102</v>
      </c>
      <c r="O353" s="38">
        <f>(VLOOKUP($A353,'The List'!$B1:$AH730,27,FALSE)-AVERAGE('The List'!AB2:AB730))/STDEV('The List'!AB2:AB730)</f>
        <v>-1.1509213544638093</v>
      </c>
      <c r="P353" s="38">
        <f>(VLOOKUP($A353,'The List'!$B1:$AH730,28,FALSE)-AVERAGE('The List'!AC2:AC730))/STDEV('The List'!AC2:AC730)</f>
        <v>-0.69938958700988607</v>
      </c>
      <c r="Q353" s="38">
        <f>(VLOOKUP($A353,'The List'!$B1:$AH730,29,FALSE)-AVERAGE('The List'!AD2:AD730))/STDEV('The List'!AD2:AD730)</f>
        <v>-0.87473628191308617</v>
      </c>
      <c r="R353" s="38">
        <f>(VLOOKUP($A353,'The List'!$B1:$AH730,30,FALSE)-AVERAGE('The List'!AE2:AE730))/STDEV('The List'!AE2:AE730)</f>
        <v>-2.7561429198088939E-2</v>
      </c>
      <c r="S353" s="38">
        <f>(VLOOKUP($A353,'The List'!$B1:$AH730,31,FALSE)-AVERAGE('The List'!AF2:AF730))/STDEV('The List'!AF2:AF730)</f>
        <v>-0.55298243815374171</v>
      </c>
      <c r="T353" s="38">
        <f>(VLOOKUP($A353,'The List'!$B1:$AH730,32,FALSE)-AVERAGE('The List'!AG2:AG730))/STDEV('The List'!AG2:AG730)</f>
        <v>-0.59815094134032587</v>
      </c>
      <c r="U353" s="38">
        <f>(VLOOKUP($A353,'The List'!$B1:$AH730,33,FALSE)-AVERAGE('The List'!AH2:AH730))/STDEV('The List'!AH2:AH730)</f>
        <v>1.0218490119849142</v>
      </c>
      <c r="V353" s="38"/>
      <c r="W353" s="40"/>
      <c r="X353" s="38"/>
      <c r="Y353" s="38"/>
      <c r="Z353" s="38"/>
      <c r="AA353" s="38"/>
      <c r="AB353" s="38"/>
      <c r="AC353" s="38"/>
      <c r="AD353" s="38"/>
      <c r="AE353" s="38"/>
    </row>
    <row r="354" spans="1:31" ht="21.2" customHeight="1">
      <c r="A354" s="8" t="s">
        <v>618</v>
      </c>
      <c r="B354" s="34" t="str">
        <f>VLOOKUP(A354,'Player Data'!A1:B734,2,FALSE)</f>
        <v>BOS</v>
      </c>
      <c r="C354" s="36">
        <f>((E354)*Settings!$C$12)+(F354*Settings!$C$2)+(G354*Settings!$C$3)+(H354*Settings!$C$4)+(I354*Settings!$C$5)+(K354*Settings!$C$9)+(N354*Settings!$C$6)+(J354*Settings!$C$8)+(O354*Settings!$C$7)+(P354*Settings!$C$14)+(Q354*Settings!$C$15)+(R354*Settings!$C$16)+(S354*Settings!$C$17)+(T354*Settings!$C$18)+(U354*Settings!$C$19)+(L354*Settings!$C$10)+(Settings!$C$11*M354)</f>
        <v>-1.8671699710662846</v>
      </c>
      <c r="D354" s="40">
        <f>IF(Settings!$E$12="YES",VLOOKUP(A354,'Player Data'!A1:E734,5,FALSE),82)</f>
        <v>82</v>
      </c>
      <c r="E354" s="38">
        <f>(VLOOKUP($A354,'The List'!$B1:$AH730,17,FALSE)-AVERAGE('The List'!R2:R730))/STDEV('The List'!R2:R730)</f>
        <v>-1.0935974968486291</v>
      </c>
      <c r="F354" s="38">
        <f>(VLOOKUP($A354,'The List'!$B1:$AH730,18,FALSE)-AVERAGE('The List'!S2:S730))/STDEV('The List'!S2:S730)</f>
        <v>8.0197583821130181E-2</v>
      </c>
      <c r="G354" s="38">
        <f>(VLOOKUP($A354,'The List'!$B1:$AH730,19,FALSE)-AVERAGE('The List'!T2:T730))/STDEV('The List'!T2:T730)</f>
        <v>-0.70355643825241143</v>
      </c>
      <c r="H354" s="38">
        <f>(VLOOKUP($A354,'The List'!$B1:$AH730,20,FALSE)-AVERAGE('The List'!U2:U730))/STDEV('The List'!U2:U730)</f>
        <v>-0.39508140592114371</v>
      </c>
      <c r="I354" s="38">
        <f>(VLOOKUP($A354,'The List'!$B1:$AH730,21,FALSE)-AVERAGE('The List'!V2:V730))/STDEV('The List'!V2:V730)</f>
        <v>-3.5923204669989293E-2</v>
      </c>
      <c r="J354" s="38">
        <f>(VLOOKUP($A354,'The List'!$B1:$AH730,22,FALSE)-AVERAGE('The List'!W2:W730))/STDEV('The List'!W2:W730)</f>
        <v>-0.72292225312606018</v>
      </c>
      <c r="K354" s="38">
        <f>(VLOOKUP($A354,'The List'!$B1:$AH730,23,FALSE)-AVERAGE('The List'!X2:X730))/STDEV('The List'!X2:X730)</f>
        <v>-0.81280650604387028</v>
      </c>
      <c r="L354" s="38">
        <f>(VLOOKUP($A354,'The List'!$B1:$AH730,24,FALSE)-AVERAGE('The List'!Y2:Y730))/STDEV('The List'!Y2:Y730)</f>
        <v>-0.38406629681538579</v>
      </c>
      <c r="M354" s="38">
        <f>(VLOOKUP($A354,'The List'!$B1:$AH730,25,FALSE)-AVERAGE('The List'!Z2:Z730))/STDEV('The List'!Z2:Z730)</f>
        <v>-0.15063009627777882</v>
      </c>
      <c r="N354" s="38">
        <f>(VLOOKUP($A354,'The List'!$B1:$AH730,26,FALSE)-AVERAGE('The List'!AA2:AA730))/STDEV('The List'!AA2:AA730)</f>
        <v>-0.59889219853929543</v>
      </c>
      <c r="O354" s="38">
        <f>(VLOOKUP($A354,'The List'!$B1:$AH730,27,FALSE)-AVERAGE('The List'!AB2:AB730))/STDEV('The List'!AB2:AB730)</f>
        <v>0.67067248757391917</v>
      </c>
      <c r="P354" s="38">
        <f>(VLOOKUP($A354,'The List'!$B1:$AH730,28,FALSE)-AVERAGE('The List'!AC2:AC730))/STDEV('The List'!AC2:AC730)</f>
        <v>1.20085580441794</v>
      </c>
      <c r="Q354" s="38">
        <f>(VLOOKUP($A354,'The List'!$B1:$AH730,29,FALSE)-AVERAGE('The List'!AD2:AD730))/STDEV('The List'!AD2:AD730)</f>
        <v>1.4745687178315101</v>
      </c>
      <c r="R354" s="38">
        <f>(VLOOKUP($A354,'The List'!$B1:$AH730,30,FALSE)-AVERAGE('The List'!AE2:AE730))/STDEV('The List'!AE2:AE730)</f>
        <v>0.3338309333859012</v>
      </c>
      <c r="S354" s="38">
        <f>(VLOOKUP($A354,'The List'!$B1:$AH730,31,FALSE)-AVERAGE('The List'!AF2:AF730))/STDEV('The List'!AF2:AF730)</f>
        <v>-0.40710782595970818</v>
      </c>
      <c r="T354" s="38">
        <f>(VLOOKUP($A354,'The List'!$B1:$AH730,32,FALSE)-AVERAGE('The List'!AG2:AG730))/STDEV('The List'!AG2:AG730)</f>
        <v>-0.34066022021657327</v>
      </c>
      <c r="U354" s="38">
        <f>(VLOOKUP($A354,'The List'!$B1:$AH730,33,FALSE)-AVERAGE('The List'!AH2:AH730))/STDEV('The List'!AH2:AH730)</f>
        <v>0.49251141839634655</v>
      </c>
      <c r="V354" s="38"/>
      <c r="W354" s="42"/>
      <c r="X354" s="40"/>
      <c r="Y354" s="40"/>
      <c r="Z354" s="40"/>
      <c r="AA354" s="40"/>
      <c r="AB354" s="40"/>
      <c r="AC354" s="43"/>
      <c r="AD354" s="44"/>
      <c r="AE354" s="38"/>
    </row>
    <row r="355" spans="1:31" ht="21.2" customHeight="1">
      <c r="A355" s="8" t="s">
        <v>706</v>
      </c>
      <c r="B355" s="34" t="str">
        <f>VLOOKUP(A355,'Player Data'!A1:B734,2,FALSE)</f>
        <v>DET</v>
      </c>
      <c r="C355" s="36">
        <f>((E355)*Settings!$C$12)+(F355*Settings!$C$2)+(G355*Settings!$C$3)+(H355*Settings!$C$4)+(I355*Settings!$C$5)+(K355*Settings!$C$9)+(N355*Settings!$C$6)+(J355*Settings!$C$8)+(O355*Settings!$C$7)+(P355*Settings!$C$14)+(Q355*Settings!$C$15)+(R355*Settings!$C$16)+(S355*Settings!$C$17)+(T355*Settings!$C$18)+(U355*Settings!$C$19)+(L355*Settings!$C$10)+(Settings!$C$11*M355)</f>
        <v>-2.7498306939977932</v>
      </c>
      <c r="D355" s="40">
        <f>IF(Settings!$E$12="YES",VLOOKUP(A355,'Player Data'!A1:E734,5,FALSE),82)</f>
        <v>82</v>
      </c>
      <c r="E355" s="38">
        <f>(VLOOKUP($A355,'The List'!$B1:$AH730,17,FALSE)-AVERAGE('The List'!R2:R730))/STDEV('The List'!R2:R730)</f>
        <v>-1.4142617892737648</v>
      </c>
      <c r="F355" s="38">
        <f>(VLOOKUP($A355,'The List'!$B1:$AH730,18,FALSE)-AVERAGE('The List'!S2:S730))/STDEV('The List'!S2:S730)</f>
        <v>2.9118814446575924E-4</v>
      </c>
      <c r="G355" s="38">
        <f>(VLOOKUP($A355,'The List'!$B1:$AH730,19,FALSE)-AVERAGE('The List'!T2:T730))/STDEV('The List'!T2:T730)</f>
        <v>-0.64447580005008165</v>
      </c>
      <c r="H355" s="38">
        <f>(VLOOKUP($A355,'The List'!$B1:$AH730,20,FALSE)-AVERAGE('The List'!U2:U730))/STDEV('The List'!U2:U730)</f>
        <v>-0.39592036567245592</v>
      </c>
      <c r="I355" s="38">
        <f>(VLOOKUP($A355,'The List'!$B1:$AH730,21,FALSE)-AVERAGE('The List'!V2:V730))/STDEV('The List'!V2:V730)</f>
        <v>-0.90086182290907835</v>
      </c>
      <c r="J355" s="38">
        <f>(VLOOKUP($A355,'The List'!$B1:$AH730,22,FALSE)-AVERAGE('The List'!W2:W730))/STDEV('The List'!W2:W730)</f>
        <v>-0.71874643689295936</v>
      </c>
      <c r="K355" s="38">
        <f>(VLOOKUP($A355,'The List'!$B1:$AH730,23,FALSE)-AVERAGE('The List'!X2:X730))/STDEV('The List'!X2:X730)</f>
        <v>-0.80886389351064303</v>
      </c>
      <c r="L355" s="38">
        <f>(VLOOKUP($A355,'The List'!$B1:$AH730,24,FALSE)-AVERAGE('The List'!Y2:Y730))/STDEV('The List'!Y2:Y730)</f>
        <v>-0.52412127833462918</v>
      </c>
      <c r="M355" s="38">
        <f>(VLOOKUP($A355,'The List'!$B1:$AH730,25,FALSE)-AVERAGE('The List'!Z2:Z730))/STDEV('The List'!Z2:Z730)</f>
        <v>-0.70254541792783998</v>
      </c>
      <c r="N355" s="38">
        <f>(VLOOKUP($A355,'The List'!$B1:$AH730,26,FALSE)-AVERAGE('The List'!AA2:AA730))/STDEV('The List'!AA2:AA730)</f>
        <v>-0.9498932076202744</v>
      </c>
      <c r="O355" s="38">
        <f>(VLOOKUP($A355,'The List'!$B1:$AH730,27,FALSE)-AVERAGE('The List'!AB2:AB730))/STDEV('The List'!AB2:AB730)</f>
        <v>2.2328952861919205</v>
      </c>
      <c r="P355" s="38">
        <f>(VLOOKUP($A355,'The List'!$B1:$AH730,28,FALSE)-AVERAGE('The List'!AC2:AC730))/STDEV('The List'!AC2:AC730)</f>
        <v>-0.46413161137902581</v>
      </c>
      <c r="Q355" s="38">
        <f>(VLOOKUP($A355,'The List'!$B1:$AH730,29,FALSE)-AVERAGE('The List'!AD2:AD730))/STDEV('The List'!AD2:AD730)</f>
        <v>1.4770479003587855</v>
      </c>
      <c r="R355" s="38">
        <f>(VLOOKUP($A355,'The List'!$B1:$AH730,30,FALSE)-AVERAGE('The List'!AE2:AE730))/STDEV('The List'!AE2:AE730)</f>
        <v>-7.0706671699383203E-2</v>
      </c>
      <c r="S355" s="38">
        <f>(VLOOKUP($A355,'The List'!$B1:$AH730,31,FALSE)-AVERAGE('The List'!AF2:AF730))/STDEV('The List'!AF2:AF730)</f>
        <v>-0.53861323903328229</v>
      </c>
      <c r="T355" s="38">
        <f>(VLOOKUP($A355,'The List'!$B1:$AH730,32,FALSE)-AVERAGE('The List'!AG2:AG730))/STDEV('The List'!AG2:AG730)</f>
        <v>-0.57198190360903967</v>
      </c>
      <c r="U355" s="38">
        <f>(VLOOKUP($A355,'The List'!$B1:$AH730,33,FALSE)-AVERAGE('The List'!AH2:AH730))/STDEV('The List'!AH2:AH730)</f>
        <v>0.68920969797524667</v>
      </c>
      <c r="V355" s="38"/>
      <c r="W355" s="42"/>
      <c r="X355" s="40"/>
      <c r="Y355" s="40"/>
      <c r="Z355" s="40"/>
      <c r="AA355" s="40"/>
      <c r="AB355" s="40"/>
      <c r="AC355" s="43"/>
      <c r="AD355" s="44"/>
      <c r="AE355" s="38"/>
    </row>
    <row r="356" spans="1:31" ht="21.2" customHeight="1">
      <c r="A356" s="8" t="s">
        <v>314</v>
      </c>
      <c r="B356" s="34" t="str">
        <f>VLOOKUP(A356,'Player Data'!A1:B734,2,FALSE)</f>
        <v>CAR</v>
      </c>
      <c r="C356" s="36">
        <f>((E356)*Settings!$C$12)+(F356*Settings!$C$2)+(G356*Settings!$C$3)+(H356*Settings!$C$4)+(I356*Settings!$C$5)+(K356*Settings!$C$9)+(N356*Settings!$C$6)+(J356*Settings!$C$8)+(O356*Settings!$C$7)+(P356*Settings!$C$14)+(Q356*Settings!$C$15)+(R356*Settings!$C$16)+(S356*Settings!$C$17)+(T356*Settings!$C$18)+(U356*Settings!$C$19)+(L356*Settings!$C$10)+(Settings!$C$11*M356)</f>
        <v>-1.4221021148618926</v>
      </c>
      <c r="D356" s="40">
        <f>IF(Settings!$E$12="YES",VLOOKUP(A356,'Player Data'!A1:E734,5,FALSE),82)</f>
        <v>82</v>
      </c>
      <c r="E356" s="38">
        <f>(VLOOKUP($A356,'The List'!$B1:$AH730,17,FALSE)-AVERAGE('The List'!R2:R730))/STDEV('The List'!R2:R730)</f>
        <v>0.72324235256446212</v>
      </c>
      <c r="F356" s="38">
        <f>(VLOOKUP($A356,'The List'!$B1:$AH730,18,FALSE)-AVERAGE('The List'!S2:S730))/STDEV('The List'!S2:S730)</f>
        <v>-0.42213972419710866</v>
      </c>
      <c r="G356" s="38">
        <f>(VLOOKUP($A356,'The List'!$B1:$AH730,19,FALSE)-AVERAGE('The List'!T2:T730))/STDEV('The List'!T2:T730)</f>
        <v>-0.32620904572416459</v>
      </c>
      <c r="H356" s="38">
        <f>(VLOOKUP($A356,'The List'!$B1:$AH730,20,FALSE)-AVERAGE('The List'!U2:U730))/STDEV('The List'!U2:U730)</f>
        <v>-0.39670970440686265</v>
      </c>
      <c r="I356" s="38">
        <f>(VLOOKUP($A356,'The List'!$B1:$AH730,21,FALSE)-AVERAGE('The List'!V2:V730))/STDEV('The List'!V2:V730)</f>
        <v>0.25742780682791017</v>
      </c>
      <c r="J356" s="38">
        <f>(VLOOKUP($A356,'The List'!$B1:$AH730,22,FALSE)-AVERAGE('The List'!W2:W730))/STDEV('The List'!W2:W730)</f>
        <v>-0.37296016458751402</v>
      </c>
      <c r="K356" s="38">
        <f>(VLOOKUP($A356,'The List'!$B1:$AH730,23,FALSE)-AVERAGE('The List'!X2:X730))/STDEV('The List'!X2:X730)</f>
        <v>-0.53447144736166696</v>
      </c>
      <c r="L356" s="38">
        <f>(VLOOKUP($A356,'The List'!$B1:$AH730,24,FALSE)-AVERAGE('The List'!Y2:Y730))/STDEV('The List'!Y2:Y730)</f>
        <v>0.15772562701486278</v>
      </c>
      <c r="M356" s="38">
        <f>(VLOOKUP($A356,'The List'!$B1:$AH730,25,FALSE)-AVERAGE('The List'!Z2:Z730))/STDEV('The List'!Z2:Z730)</f>
        <v>-5.9622173806554352E-2</v>
      </c>
      <c r="N356" s="38">
        <f>(VLOOKUP($A356,'The List'!$B1:$AH730,26,FALSE)-AVERAGE('The List'!AA2:AA730))/STDEV('The List'!AA2:AA730)</f>
        <v>0.15849545040267585</v>
      </c>
      <c r="O356" s="38">
        <f>(VLOOKUP($A356,'The List'!$B1:$AH730,27,FALSE)-AVERAGE('The List'!AB2:AB730))/STDEV('The List'!AB2:AB730)</f>
        <v>-0.40306055743619784</v>
      </c>
      <c r="P356" s="38">
        <f>(VLOOKUP($A356,'The List'!$B1:$AH730,28,FALSE)-AVERAGE('The List'!AC2:AC730))/STDEV('The List'!AC2:AC730)</f>
        <v>1.4045934210308215</v>
      </c>
      <c r="Q356" s="38">
        <f>(VLOOKUP($A356,'The List'!$B1:$AH730,29,FALSE)-AVERAGE('The List'!AD2:AD730))/STDEV('The List'!AD2:AD730)</f>
        <v>0.39913360089547695</v>
      </c>
      <c r="R356" s="38">
        <f>(VLOOKUP($A356,'The List'!$B1:$AH730,30,FALSE)-AVERAGE('The List'!AE2:AE730))/STDEV('The List'!AE2:AE730)</f>
        <v>-0.14411358698150389</v>
      </c>
      <c r="S356" s="38">
        <f>(VLOOKUP($A356,'The List'!$B1:$AH730,31,FALSE)-AVERAGE('The List'!AF2:AF730))/STDEV('The List'!AF2:AF730)</f>
        <v>-0.56911587195029545</v>
      </c>
      <c r="T356" s="38">
        <f>(VLOOKUP($A356,'The List'!$B1:$AH730,32,FALSE)-AVERAGE('The List'!AG2:AG730))/STDEV('The List'!AG2:AG730)</f>
        <v>-0.61510119871956948</v>
      </c>
      <c r="U356" s="38">
        <f>(VLOOKUP($A356,'The List'!$B1:$AH730,33,FALSE)-AVERAGE('The List'!AH2:AH730))/STDEV('The List'!AH2:AH730)</f>
        <v>-1.2363238714825984</v>
      </c>
      <c r="V356" s="38"/>
      <c r="W356" s="42"/>
      <c r="X356" s="40"/>
      <c r="Y356" s="40"/>
      <c r="Z356" s="40"/>
      <c r="AA356" s="40"/>
      <c r="AB356" s="40"/>
      <c r="AC356" s="43"/>
      <c r="AD356" s="44"/>
      <c r="AE356" s="38"/>
    </row>
    <row r="357" spans="1:31" ht="21.2" customHeight="1">
      <c r="A357" s="8" t="s">
        <v>284</v>
      </c>
      <c r="B357" s="34" t="str">
        <f>VLOOKUP(A357,'Player Data'!A1:B734,2,FALSE)</f>
        <v>NYR</v>
      </c>
      <c r="C357" s="36">
        <f>((E357)*Settings!$C$12)+(F357*Settings!$C$2)+(G357*Settings!$C$3)+(H357*Settings!$C$4)+(I357*Settings!$C$5)+(K357*Settings!$C$9)+(N357*Settings!$C$6)+(J357*Settings!$C$8)+(O357*Settings!$C$7)+(P357*Settings!$C$14)+(Q357*Settings!$C$15)+(R357*Settings!$C$16)+(S357*Settings!$C$17)+(T357*Settings!$C$18)+(U357*Settings!$C$19)+(L357*Settings!$C$10)+(Settings!$C$11*M357)</f>
        <v>-1.3285820349354824</v>
      </c>
      <c r="D357" s="40">
        <f>IF(Settings!$E$12="YES",VLOOKUP(A357,'Player Data'!A1:E734,5,FALSE),82)</f>
        <v>82</v>
      </c>
      <c r="E357" s="38">
        <f>(VLOOKUP($A357,'The List'!$B1:$AH730,17,FALSE)-AVERAGE('The List'!R2:R730))/STDEV('The List'!R2:R730)</f>
        <v>1.1291232496529136</v>
      </c>
      <c r="F357" s="38">
        <f>(VLOOKUP($A357,'The List'!$B1:$AH730,18,FALSE)-AVERAGE('The List'!S2:S730))/STDEV('The List'!S2:S730)</f>
        <v>-0.65857436202241659</v>
      </c>
      <c r="G357" s="38">
        <f>(VLOOKUP($A357,'The List'!$B1:$AH730,19,FALSE)-AVERAGE('The List'!T2:T730))/STDEV('The List'!T2:T730)</f>
        <v>-0.15008156118556759</v>
      </c>
      <c r="H357" s="38">
        <f>(VLOOKUP($A357,'The List'!$B1:$AH730,20,FALSE)-AVERAGE('The List'!U2:U730))/STDEV('The List'!U2:U730)</f>
        <v>-0.39838454611770091</v>
      </c>
      <c r="I357" s="38">
        <f>(VLOOKUP($A357,'The List'!$B1:$AH730,21,FALSE)-AVERAGE('The List'!V2:V730))/STDEV('The List'!V2:V730)</f>
        <v>0.54182216054989896</v>
      </c>
      <c r="J357" s="38">
        <f>(VLOOKUP($A357,'The List'!$B1:$AH730,22,FALSE)-AVERAGE('The List'!W2:W730))/STDEV('The List'!W2:W730)</f>
        <v>-0.59951863856957255</v>
      </c>
      <c r="K357" s="38">
        <f>(VLOOKUP($A357,'The List'!$B1:$AH730,23,FALSE)-AVERAGE('The List'!X2:X730))/STDEV('The List'!X2:X730)</f>
        <v>-0.66336372615969641</v>
      </c>
      <c r="L357" s="38">
        <f>(VLOOKUP($A357,'The List'!$B1:$AH730,24,FALSE)-AVERAGE('The List'!Y2:Y730))/STDEV('The List'!Y2:Y730)</f>
        <v>-0.5157770916797334</v>
      </c>
      <c r="M357" s="38">
        <f>(VLOOKUP($A357,'The List'!$B1:$AH730,25,FALSE)-AVERAGE('The List'!Z2:Z730))/STDEV('The List'!Z2:Z730)</f>
        <v>0.20543953456739542</v>
      </c>
      <c r="N357" s="38">
        <f>(VLOOKUP($A357,'The List'!$B1:$AH730,26,FALSE)-AVERAGE('The List'!AA2:AA730))/STDEV('The List'!AA2:AA730)</f>
        <v>2.7347530541061382</v>
      </c>
      <c r="O357" s="38">
        <f>(VLOOKUP($A357,'The List'!$B1:$AH730,27,FALSE)-AVERAGE('The List'!AB2:AB730))/STDEV('The List'!AB2:AB730)</f>
        <v>1.886820092049575</v>
      </c>
      <c r="P357" s="38">
        <f>(VLOOKUP($A357,'The List'!$B1:$AH730,28,FALSE)-AVERAGE('The List'!AC2:AC730))/STDEV('The List'!AC2:AC730)</f>
        <v>0.73390106476545536</v>
      </c>
      <c r="Q357" s="38">
        <f>(VLOOKUP($A357,'The List'!$B1:$AH730,29,FALSE)-AVERAGE('The List'!AD2:AD730))/STDEV('The List'!AD2:AD730)</f>
        <v>1.943189960366245</v>
      </c>
      <c r="R357" s="38">
        <f>(VLOOKUP($A357,'The List'!$B1:$AH730,30,FALSE)-AVERAGE('The List'!AE2:AE730))/STDEV('The List'!AE2:AE730)</f>
        <v>-0.46217821213557869</v>
      </c>
      <c r="S357" s="38">
        <f>(VLOOKUP($A357,'The List'!$B1:$AH730,31,FALSE)-AVERAGE('The List'!AF2:AF730))/STDEV('The List'!AF2:AF730)</f>
        <v>-0.56911587195029545</v>
      </c>
      <c r="T357" s="38">
        <f>(VLOOKUP($A357,'The List'!$B1:$AH730,32,FALSE)-AVERAGE('The List'!AG2:AG730))/STDEV('The List'!AG2:AG730)</f>
        <v>-0.611435613065759</v>
      </c>
      <c r="U357" s="38">
        <f>(VLOOKUP($A357,'The List'!$B1:$AH730,33,FALSE)-AVERAGE('The List'!AH2:AH730))/STDEV('The List'!AH2:AH730)</f>
        <v>-1.2363238714825984</v>
      </c>
      <c r="V357" s="38"/>
      <c r="W357" s="42"/>
      <c r="X357" s="40"/>
      <c r="Y357" s="40"/>
      <c r="Z357" s="40"/>
      <c r="AA357" s="40"/>
      <c r="AB357" s="40"/>
      <c r="AC357" s="43"/>
      <c r="AD357" s="44"/>
      <c r="AE357" s="38"/>
    </row>
    <row r="358" spans="1:31" ht="21.2" customHeight="1">
      <c r="A358" s="8" t="s">
        <v>623</v>
      </c>
      <c r="B358" s="34" t="str">
        <f>VLOOKUP(A358,'Player Data'!A1:B734,2,FALSE)</f>
        <v>CBJ</v>
      </c>
      <c r="C358" s="36">
        <f>((E358)*Settings!$C$12)+(F358*Settings!$C$2)+(G358*Settings!$C$3)+(H358*Settings!$C$4)+(I358*Settings!$C$5)+(K358*Settings!$C$9)+(N358*Settings!$C$6)+(J358*Settings!$C$8)+(O358*Settings!$C$7)+(P358*Settings!$C$14)+(Q358*Settings!$C$15)+(R358*Settings!$C$16)+(S358*Settings!$C$17)+(T358*Settings!$C$18)+(U358*Settings!$C$19)+(L358*Settings!$C$10)+(Settings!$C$11*M358)</f>
        <v>-1.7979630022150137</v>
      </c>
      <c r="D358" s="40">
        <f>IF(Settings!$E$12="YES",VLOOKUP(A358,'Player Data'!A1:E734,5,FALSE),82)</f>
        <v>82</v>
      </c>
      <c r="E358" s="38">
        <f>(VLOOKUP($A358,'The List'!$B1:$AH730,17,FALSE)-AVERAGE('The List'!R2:R730))/STDEV('The List'!R2:R730)</f>
        <v>-0.86702539226245645</v>
      </c>
      <c r="F358" s="38">
        <f>(VLOOKUP($A358,'The List'!$B1:$AH730,18,FALSE)-AVERAGE('The List'!S2:S730))/STDEV('The List'!S2:S730)</f>
        <v>-0.22878836387538037</v>
      </c>
      <c r="G358" s="38">
        <f>(VLOOKUP($A358,'The List'!$B1:$AH730,19,FALSE)-AVERAGE('The List'!T2:T730))/STDEV('The List'!T2:T730)</f>
        <v>-0.48119496282606261</v>
      </c>
      <c r="H358" s="38">
        <f>(VLOOKUP($A358,'The List'!$B1:$AH730,20,FALSE)-AVERAGE('The List'!U2:U730))/STDEV('The List'!U2:U730)</f>
        <v>-0.40207079577687349</v>
      </c>
      <c r="I358" s="38">
        <f>(VLOOKUP($A358,'The List'!$B1:$AH730,21,FALSE)-AVERAGE('The List'!V2:V730))/STDEV('The List'!V2:V730)</f>
        <v>-0.30942189181272445</v>
      </c>
      <c r="J358" s="38">
        <f>(VLOOKUP($A358,'The List'!$B1:$AH730,22,FALSE)-AVERAGE('The List'!W2:W730))/STDEV('The List'!W2:W730)</f>
        <v>-0.23147759717893707</v>
      </c>
      <c r="K358" s="38">
        <f>(VLOOKUP($A358,'The List'!$B1:$AH730,23,FALSE)-AVERAGE('The List'!X2:X730))/STDEV('The List'!X2:X730)</f>
        <v>-0.37648698792397267</v>
      </c>
      <c r="L358" s="38">
        <f>(VLOOKUP($A358,'The List'!$B1:$AH730,24,FALSE)-AVERAGE('The List'!Y2:Y730))/STDEV('The List'!Y2:Y730)</f>
        <v>-0.52515529094994673</v>
      </c>
      <c r="M358" s="38">
        <f>(VLOOKUP($A358,'The List'!$B1:$AH730,25,FALSE)-AVERAGE('The List'!Z2:Z730))/STDEV('The List'!Z2:Z730)</f>
        <v>-0.70378350861314143</v>
      </c>
      <c r="N358" s="38">
        <f>(VLOOKUP($A358,'The List'!$B1:$AH730,26,FALSE)-AVERAGE('The List'!AA2:AA730))/STDEV('The List'!AA2:AA730)</f>
        <v>-0.70327803262684241</v>
      </c>
      <c r="O358" s="38">
        <f>(VLOOKUP($A358,'The List'!$B1:$AH730,27,FALSE)-AVERAGE('The List'!AB2:AB730))/STDEV('The List'!AB2:AB730)</f>
        <v>-0.37056089533084258</v>
      </c>
      <c r="P358" s="38">
        <f>(VLOOKUP($A358,'The List'!$B1:$AH730,28,FALSE)-AVERAGE('The List'!AC2:AC730))/STDEV('The List'!AC2:AC730)</f>
        <v>-0.56815154699161097</v>
      </c>
      <c r="Q358" s="38">
        <f>(VLOOKUP($A358,'The List'!$B1:$AH730,29,FALSE)-AVERAGE('The List'!AD2:AD730))/STDEV('The List'!AD2:AD730)</f>
        <v>-0.59097814193915388</v>
      </c>
      <c r="R358" s="38">
        <f>(VLOOKUP($A358,'The List'!$B1:$AH730,30,FALSE)-AVERAGE('The List'!AE2:AE730))/STDEV('The List'!AE2:AE730)</f>
        <v>-0.45524681716488619</v>
      </c>
      <c r="S358" s="38">
        <f>(VLOOKUP($A358,'The List'!$B1:$AH730,31,FALSE)-AVERAGE('The List'!AF2:AF730))/STDEV('The List'!AF2:AF730)</f>
        <v>-0.56417689719031616</v>
      </c>
      <c r="T358" s="38">
        <f>(VLOOKUP($A358,'The List'!$B1:$AH730,32,FALSE)-AVERAGE('The List'!AG2:AG730))/STDEV('The List'!AG2:AG730)</f>
        <v>-0.57954744062254382</v>
      </c>
      <c r="U358" s="38">
        <f>(VLOOKUP($A358,'The List'!$B1:$AH730,33,FALSE)-AVERAGE('The List'!AH2:AH730))/STDEV('The List'!AH2:AH730)</f>
        <v>-0.66111878619593667</v>
      </c>
      <c r="V358" s="38"/>
      <c r="W358" s="40"/>
      <c r="X358" s="38"/>
      <c r="Y358" s="38"/>
      <c r="Z358" s="38"/>
      <c r="AA358" s="38"/>
      <c r="AB358" s="38"/>
      <c r="AC358" s="38"/>
      <c r="AD358" s="38"/>
      <c r="AE358" s="38"/>
    </row>
    <row r="359" spans="1:31" ht="21.2" customHeight="1">
      <c r="A359" s="8" t="s">
        <v>337</v>
      </c>
      <c r="B359" s="34" t="str">
        <f>VLOOKUP(A359,'Player Data'!A1:B734,2,FALSE)</f>
        <v>SJS</v>
      </c>
      <c r="C359" s="36">
        <f>((E359)*Settings!$C$12)+(F359*Settings!$C$2)+(G359*Settings!$C$3)+(H359*Settings!$C$4)+(I359*Settings!$C$5)+(K359*Settings!$C$9)+(N359*Settings!$C$6)+(J359*Settings!$C$8)+(O359*Settings!$C$7)+(P359*Settings!$C$14)+(Q359*Settings!$C$15)+(R359*Settings!$C$16)+(S359*Settings!$C$17)+(T359*Settings!$C$18)+(U359*Settings!$C$19)+(L359*Settings!$C$10)+(Settings!$C$11*M359)</f>
        <v>-2.0593409076692457</v>
      </c>
      <c r="D359" s="40">
        <f>IF(Settings!$E$12="YES",VLOOKUP(A359,'Player Data'!A1:E734,5,FALSE),82)</f>
        <v>82</v>
      </c>
      <c r="E359" s="38">
        <f>(VLOOKUP($A359,'The List'!$B1:$AH730,17,FALSE)-AVERAGE('The List'!R2:R730))/STDEV('The List'!R2:R730)</f>
        <v>2.516940114084552</v>
      </c>
      <c r="F359" s="38">
        <f>(VLOOKUP($A359,'The List'!$B1:$AH730,18,FALSE)-AVERAGE('The List'!S2:S730))/STDEV('The List'!S2:S730)</f>
        <v>-0.83925523112502642</v>
      </c>
      <c r="G359" s="38">
        <f>(VLOOKUP($A359,'The List'!$B1:$AH730,19,FALSE)-AVERAGE('The List'!T2:T730))/STDEV('The List'!T2:T730)</f>
        <v>-2.1458534484528224E-2</v>
      </c>
      <c r="H359" s="38">
        <f>(VLOOKUP($A359,'The List'!$B1:$AH730,20,FALSE)-AVERAGE('The List'!U2:U730))/STDEV('The List'!U2:U730)</f>
        <v>-0.40333431707830003</v>
      </c>
      <c r="I359" s="38">
        <f>(VLOOKUP($A359,'The List'!$B1:$AH730,21,FALSE)-AVERAGE('The List'!V2:V730))/STDEV('The List'!V2:V730)</f>
        <v>-0.72956295015248251</v>
      </c>
      <c r="J359" s="38">
        <f>(VLOOKUP($A359,'The List'!$B1:$AH730,22,FALSE)-AVERAGE('The List'!W2:W730))/STDEV('The List'!W2:W730)</f>
        <v>-0.56612045596642013</v>
      </c>
      <c r="K359" s="38">
        <f>(VLOOKUP($A359,'The List'!$B1:$AH730,23,FALSE)-AVERAGE('The List'!X2:X730))/STDEV('The List'!X2:X730)</f>
        <v>-6.5729874828908741E-2</v>
      </c>
      <c r="L359" s="38">
        <f>(VLOOKUP($A359,'The List'!$B1:$AH730,24,FALSE)-AVERAGE('The List'!Y2:Y730))/STDEV('The List'!Y2:Y730)</f>
        <v>-0.43601886808992479</v>
      </c>
      <c r="M359" s="38">
        <f>(VLOOKUP($A359,'The List'!$B1:$AH730,25,FALSE)-AVERAGE('The List'!Z2:Z730))/STDEV('The List'!Z2:Z730)</f>
        <v>-0.28165979416801573</v>
      </c>
      <c r="N359" s="38">
        <f>(VLOOKUP($A359,'The List'!$B1:$AH730,26,FALSE)-AVERAGE('The List'!AA2:AA730))/STDEV('The List'!AA2:AA730)</f>
        <v>2.8147350230677843</v>
      </c>
      <c r="O359" s="38">
        <f>(VLOOKUP($A359,'The List'!$B1:$AH730,27,FALSE)-AVERAGE('The List'!AB2:AB730))/STDEV('The List'!AB2:AB730)</f>
        <v>1.1999357698132922</v>
      </c>
      <c r="P359" s="38">
        <f>(VLOOKUP($A359,'The List'!$B1:$AH730,28,FALSE)-AVERAGE('The List'!AC2:AC730))/STDEV('The List'!AC2:AC730)</f>
        <v>-0.56072020531744982</v>
      </c>
      <c r="Q359" s="38">
        <f>(VLOOKUP($A359,'The List'!$B1:$AH730,29,FALSE)-AVERAGE('The List'!AD2:AD730))/STDEV('The List'!AD2:AD730)</f>
        <v>-3.0590495295858788E-2</v>
      </c>
      <c r="R359" s="38">
        <f>(VLOOKUP($A359,'The List'!$B1:$AH730,30,FALSE)-AVERAGE('The List'!AE2:AE730))/STDEV('The List'!AE2:AE730)</f>
        <v>-0.82249422224137092</v>
      </c>
      <c r="S359" s="38">
        <f>(VLOOKUP($A359,'The List'!$B1:$AH730,31,FALSE)-AVERAGE('The List'!AF2:AF730))/STDEV('The List'!AF2:AF730)</f>
        <v>-0.56911587195029545</v>
      </c>
      <c r="T359" s="38">
        <f>(VLOOKUP($A359,'The List'!$B1:$AH730,32,FALSE)-AVERAGE('The List'!AG2:AG730))/STDEV('The List'!AG2:AG730)</f>
        <v>-0.61015551281257141</v>
      </c>
      <c r="U359" s="38">
        <f>(VLOOKUP($A359,'The List'!$B1:$AH730,33,FALSE)-AVERAGE('The List'!AH2:AH730))/STDEV('The List'!AH2:AH730)</f>
        <v>-1.2363238714825984</v>
      </c>
      <c r="V359" s="38"/>
      <c r="W359" s="40"/>
      <c r="X359" s="38"/>
      <c r="Y359" s="38"/>
      <c r="Z359" s="38"/>
      <c r="AA359" s="38"/>
      <c r="AB359" s="38"/>
      <c r="AC359" s="38"/>
      <c r="AD359" s="38"/>
      <c r="AE359" s="38"/>
    </row>
    <row r="360" spans="1:31" ht="21.2" customHeight="1">
      <c r="A360" s="8" t="s">
        <v>714</v>
      </c>
      <c r="B360" s="34" t="str">
        <f>VLOOKUP(A360,'Player Data'!A1:B734,2,FALSE)</f>
        <v>OTT</v>
      </c>
      <c r="C360" s="36">
        <f>((E360)*Settings!$C$12)+(F360*Settings!$C$2)+(G360*Settings!$C$3)+(H360*Settings!$C$4)+(I360*Settings!$C$5)+(K360*Settings!$C$9)+(N360*Settings!$C$6)+(J360*Settings!$C$8)+(O360*Settings!$C$7)+(P360*Settings!$C$14)+(Q360*Settings!$C$15)+(R360*Settings!$C$16)+(S360*Settings!$C$17)+(T360*Settings!$C$18)+(U360*Settings!$C$19)+(L360*Settings!$C$10)+(Settings!$C$11*M360)</f>
        <v>-2.318433919128486</v>
      </c>
      <c r="D360" s="40">
        <f>IF(Settings!$E$12="YES",VLOOKUP(A360,'Player Data'!A1:E734,5,FALSE),82)</f>
        <v>82</v>
      </c>
      <c r="E360" s="38">
        <f>(VLOOKUP($A360,'The List'!$B1:$AH730,17,FALSE)-AVERAGE('The List'!R2:R730))/STDEV('The List'!R2:R730)</f>
        <v>-1.1698956577366961</v>
      </c>
      <c r="F360" s="38">
        <f>(VLOOKUP($A360,'The List'!$B1:$AH730,18,FALSE)-AVERAGE('The List'!S2:S730))/STDEV('The List'!S2:S730)</f>
        <v>-0.2958689668158942</v>
      </c>
      <c r="G360" s="38">
        <f>(VLOOKUP($A360,'The List'!$B1:$AH730,19,FALSE)-AVERAGE('The List'!T2:T730))/STDEV('The List'!T2:T730)</f>
        <v>-0.45038451839439458</v>
      </c>
      <c r="H360" s="38">
        <f>(VLOOKUP($A360,'The List'!$B1:$AH730,20,FALSE)-AVERAGE('The List'!U2:U730))/STDEV('The List'!U2:U730)</f>
        <v>-0.4143205353063138</v>
      </c>
      <c r="I360" s="38">
        <f>(VLOOKUP($A360,'The List'!$B1:$AH730,21,FALSE)-AVERAGE('The List'!V2:V730))/STDEV('The List'!V2:V730)</f>
        <v>-0.54701025086086308</v>
      </c>
      <c r="J360" s="38">
        <f>(VLOOKUP($A360,'The List'!$B1:$AH730,22,FALSE)-AVERAGE('The List'!W2:W730))/STDEV('The List'!W2:W730)</f>
        <v>-0.6264982679480755</v>
      </c>
      <c r="K360" s="38">
        <f>(VLOOKUP($A360,'The List'!$B1:$AH730,23,FALSE)-AVERAGE('The List'!X2:X730))/STDEV('The List'!X2:X730)</f>
        <v>-0.61084964775102046</v>
      </c>
      <c r="L360" s="38">
        <f>(VLOOKUP($A360,'The List'!$B1:$AH730,24,FALSE)-AVERAGE('The List'!Y2:Y730))/STDEV('The List'!Y2:Y730)</f>
        <v>-0.24475058580935785</v>
      </c>
      <c r="M360" s="38">
        <f>(VLOOKUP($A360,'The List'!$B1:$AH730,25,FALSE)-AVERAGE('The List'!Z2:Z730))/STDEV('The List'!Z2:Z730)</f>
        <v>-0.35838140709192495</v>
      </c>
      <c r="N360" s="38">
        <f>(VLOOKUP($A360,'The List'!$B1:$AH730,26,FALSE)-AVERAGE('The List'!AA2:AA730))/STDEV('The List'!AA2:AA730)</f>
        <v>-1.0029684855502441</v>
      </c>
      <c r="O360" s="38">
        <f>(VLOOKUP($A360,'The List'!$B1:$AH730,27,FALSE)-AVERAGE('The List'!AB2:AB730))/STDEV('The List'!AB2:AB730)</f>
        <v>0.30550672890192587</v>
      </c>
      <c r="P360" s="38">
        <f>(VLOOKUP($A360,'The List'!$B1:$AH730,28,FALSE)-AVERAGE('The List'!AC2:AC730))/STDEV('The List'!AC2:AC730)</f>
        <v>0.46512258485656799</v>
      </c>
      <c r="Q360" s="38">
        <f>(VLOOKUP($A360,'The List'!$B1:$AH730,29,FALSE)-AVERAGE('The List'!AD2:AD730))/STDEV('The List'!AD2:AD730)</f>
        <v>-0.17613497580824114</v>
      </c>
      <c r="R360" s="38">
        <f>(VLOOKUP($A360,'The List'!$B1:$AH730,30,FALSE)-AVERAGE('The List'!AE2:AE730))/STDEV('The List'!AE2:AE730)</f>
        <v>-0.19967928781481645</v>
      </c>
      <c r="S360" s="38">
        <f>(VLOOKUP($A360,'The List'!$B1:$AH730,31,FALSE)-AVERAGE('The List'!AF2:AF730))/STDEV('The List'!AF2:AF730)</f>
        <v>0.20881216726572494</v>
      </c>
      <c r="T360" s="38">
        <f>(VLOOKUP($A360,'The List'!$B1:$AH730,32,FALSE)-AVERAGE('The List'!AG2:AG730))/STDEV('The List'!AG2:AG730)</f>
        <v>0.63938067649452801</v>
      </c>
      <c r="U360" s="38">
        <f>(VLOOKUP($A360,'The List'!$B1:$AH730,33,FALSE)-AVERAGE('The List'!AH2:AH730))/STDEV('The List'!AH2:AH730)</f>
        <v>0.54535381639085334</v>
      </c>
      <c r="V360" s="38"/>
      <c r="W360" s="40"/>
      <c r="X360" s="38"/>
      <c r="Y360" s="38"/>
      <c r="Z360" s="38"/>
      <c r="AA360" s="38"/>
      <c r="AB360" s="38"/>
      <c r="AC360" s="38"/>
      <c r="AD360" s="38"/>
      <c r="AE360" s="38"/>
    </row>
    <row r="361" spans="1:31" ht="21.2" customHeight="1">
      <c r="A361" s="8" t="s">
        <v>677</v>
      </c>
      <c r="B361" s="34" t="str">
        <f>VLOOKUP(A361,'Player Data'!A1:B734,2,FALSE)</f>
        <v>STL</v>
      </c>
      <c r="C361" s="36">
        <f>((E361)*Settings!$C$12)+(F361*Settings!$C$2)+(G361*Settings!$C$3)+(H361*Settings!$C$4)+(I361*Settings!$C$5)+(K361*Settings!$C$9)+(N361*Settings!$C$6)+(J361*Settings!$C$8)+(O361*Settings!$C$7)+(P361*Settings!$C$14)+(Q361*Settings!$C$15)+(R361*Settings!$C$16)+(S361*Settings!$C$17)+(T361*Settings!$C$18)+(U361*Settings!$C$19)+(L361*Settings!$C$10)+(Settings!$C$11*M361)</f>
        <v>-2.849660354219071</v>
      </c>
      <c r="D361" s="40">
        <f>IF(Settings!$E$12="YES",VLOOKUP(A361,'Player Data'!A1:E734,5,FALSE),82)</f>
        <v>82</v>
      </c>
      <c r="E361" s="38">
        <f>(VLOOKUP($A361,'The List'!$B1:$AH730,17,FALSE)-AVERAGE('The List'!R2:R730))/STDEV('The List'!R2:R730)</f>
        <v>-1.1691170973033826</v>
      </c>
      <c r="F361" s="38">
        <f>(VLOOKUP($A361,'The List'!$B1:$AH730,18,FALSE)-AVERAGE('The List'!S2:S730))/STDEV('The List'!S2:S730)</f>
        <v>-0.31451193017301898</v>
      </c>
      <c r="G361" s="38">
        <f>(VLOOKUP($A361,'The List'!$B1:$AH730,19,FALSE)-AVERAGE('The List'!T2:T730))/STDEV('The List'!T2:T730)</f>
        <v>-0.45115578778448484</v>
      </c>
      <c r="H361" s="38">
        <f>(VLOOKUP($A361,'The List'!$B1:$AH730,20,FALSE)-AVERAGE('The List'!U2:U730))/STDEV('The List'!U2:U730)</f>
        <v>-0.42346112335578873</v>
      </c>
      <c r="I361" s="38">
        <f>(VLOOKUP($A361,'The List'!$B1:$AH730,21,FALSE)-AVERAGE('The List'!V2:V730))/STDEV('The List'!V2:V730)</f>
        <v>-0.97132403178749949</v>
      </c>
      <c r="J361" s="38">
        <f>(VLOOKUP($A361,'The List'!$B1:$AH730,22,FALSE)-AVERAGE('The List'!W2:W730))/STDEV('The List'!W2:W730)</f>
        <v>-0.63671313707682176</v>
      </c>
      <c r="K361" s="38">
        <f>(VLOOKUP($A361,'The List'!$B1:$AH730,23,FALSE)-AVERAGE('The List'!X2:X730))/STDEV('The List'!X2:X730)</f>
        <v>-0.68920748111827901</v>
      </c>
      <c r="L361" s="38">
        <f>(VLOOKUP($A361,'The List'!$B1:$AH730,24,FALSE)-AVERAGE('The List'!Y2:Y730))/STDEV('The List'!Y2:Y730)</f>
        <v>-0.52078892903101304</v>
      </c>
      <c r="M361" s="38">
        <f>(VLOOKUP($A361,'The List'!$B1:$AH730,25,FALSE)-AVERAGE('The List'!Z2:Z730))/STDEV('The List'!Z2:Z730)</f>
        <v>-0.6987176837519018</v>
      </c>
      <c r="N361" s="38">
        <f>(VLOOKUP($A361,'The List'!$B1:$AH730,26,FALSE)-AVERAGE('The List'!AA2:AA730))/STDEV('The List'!AA2:AA730)</f>
        <v>-0.60233761449250944</v>
      </c>
      <c r="O361" s="38">
        <f>(VLOOKUP($A361,'The List'!$B1:$AH730,27,FALSE)-AVERAGE('The List'!AB2:AB730))/STDEV('The List'!AB2:AB730)</f>
        <v>2.7938055753258335</v>
      </c>
      <c r="P361" s="38">
        <f>(VLOOKUP($A361,'The List'!$B1:$AH730,28,FALSE)-AVERAGE('The List'!AC2:AC730))/STDEV('The List'!AC2:AC730)</f>
        <v>-0.84432430115144907</v>
      </c>
      <c r="Q361" s="38">
        <f>(VLOOKUP($A361,'The List'!$B1:$AH730,29,FALSE)-AVERAGE('The List'!AD2:AD730))/STDEV('The List'!AD2:AD730)</f>
        <v>5.7919971773212113E-2</v>
      </c>
      <c r="R361" s="38">
        <f>(VLOOKUP($A361,'The List'!$B1:$AH730,30,FALSE)-AVERAGE('The List'!AE2:AE730))/STDEV('The List'!AE2:AE730)</f>
        <v>-0.46065810802846985</v>
      </c>
      <c r="S361" s="38">
        <f>(VLOOKUP($A361,'The List'!$B1:$AH730,31,FALSE)-AVERAGE('The List'!AF2:AF730))/STDEV('The List'!AF2:AF730)</f>
        <v>-0.55327828406347579</v>
      </c>
      <c r="T361" s="38">
        <f>(VLOOKUP($A361,'The List'!$B1:$AH730,32,FALSE)-AVERAGE('The List'!AG2:AG730))/STDEV('The List'!AG2:AG730)</f>
        <v>-0.5867695308477382</v>
      </c>
      <c r="U361" s="38">
        <f>(VLOOKUP($A361,'The List'!$B1:$AH730,33,FALSE)-AVERAGE('The List'!AH2:AH730))/STDEV('The List'!AH2:AH730)</f>
        <v>0.43473668468524967</v>
      </c>
      <c r="V361" s="38"/>
      <c r="W361" s="40"/>
      <c r="X361" s="38"/>
      <c r="Y361" s="38"/>
      <c r="Z361" s="38"/>
      <c r="AA361" s="38"/>
      <c r="AB361" s="38"/>
      <c r="AC361" s="38"/>
      <c r="AD361" s="38"/>
      <c r="AE361" s="38"/>
    </row>
    <row r="362" spans="1:31" ht="21.2" customHeight="1">
      <c r="A362" s="8" t="s">
        <v>626</v>
      </c>
      <c r="B362" s="34" t="str">
        <f>VLOOKUP(A362,'Player Data'!A1:B734,2,FALSE)</f>
        <v>COL</v>
      </c>
      <c r="C362" s="36">
        <f>((E362)*Settings!$C$12)+(F362*Settings!$C$2)+(G362*Settings!$C$3)+(H362*Settings!$C$4)+(I362*Settings!$C$5)+(K362*Settings!$C$9)+(N362*Settings!$C$6)+(J362*Settings!$C$8)+(O362*Settings!$C$7)+(P362*Settings!$C$14)+(Q362*Settings!$C$15)+(R362*Settings!$C$16)+(S362*Settings!$C$17)+(T362*Settings!$C$18)+(U362*Settings!$C$19)+(L362*Settings!$C$10)+(Settings!$C$11*M362)</f>
        <v>-1.4980451184014609</v>
      </c>
      <c r="D362" s="40">
        <f>IF(Settings!$E$12="YES",VLOOKUP(A362,'Player Data'!A1:E734,5,FALSE),82)</f>
        <v>82</v>
      </c>
      <c r="E362" s="38">
        <f>(VLOOKUP($A362,'The List'!$B1:$AH730,17,FALSE)-AVERAGE('The List'!R2:R730))/STDEV('The List'!R2:R730)</f>
        <v>-1.111351594288768</v>
      </c>
      <c r="F362" s="38">
        <f>(VLOOKUP($A362,'The List'!$B1:$AH730,18,FALSE)-AVERAGE('The List'!S2:S730))/STDEV('The List'!S2:S730)</f>
        <v>-4.1813754652195424E-2</v>
      </c>
      <c r="G362" s="38">
        <f>(VLOOKUP($A362,'The List'!$B1:$AH730,19,FALSE)-AVERAGE('The List'!T2:T730))/STDEV('The List'!T2:T730)</f>
        <v>-0.66479692472773633</v>
      </c>
      <c r="H362" s="38">
        <f>(VLOOKUP($A362,'The List'!$B1:$AH730,20,FALSE)-AVERAGE('The List'!U2:U730))/STDEV('The List'!U2:U730)</f>
        <v>-0.42798195258308841</v>
      </c>
      <c r="I362" s="38">
        <f>(VLOOKUP($A362,'The List'!$B1:$AH730,21,FALSE)-AVERAGE('The List'!V2:V730))/STDEV('The List'!V2:V730)</f>
        <v>0.38615594360806682</v>
      </c>
      <c r="J362" s="38">
        <f>(VLOOKUP($A362,'The List'!$B1:$AH730,22,FALSE)-AVERAGE('The List'!W2:W730))/STDEV('The List'!W2:W730)</f>
        <v>-0.61387239413501493</v>
      </c>
      <c r="K362" s="38">
        <f>(VLOOKUP($A362,'The List'!$B1:$AH730,23,FALSE)-AVERAGE('The List'!X2:X730))/STDEV('The List'!X2:X730)</f>
        <v>-0.74960843004650746</v>
      </c>
      <c r="L362" s="38">
        <f>(VLOOKUP($A362,'The List'!$B1:$AH730,24,FALSE)-AVERAGE('The List'!Y2:Y730))/STDEV('The List'!Y2:Y730)</f>
        <v>-0.50315761213252408</v>
      </c>
      <c r="M362" s="38">
        <f>(VLOOKUP($A362,'The List'!$B1:$AH730,25,FALSE)-AVERAGE('The List'!Z2:Z730))/STDEV('The List'!Z2:Z730)</f>
        <v>-0.67852825535228722</v>
      </c>
      <c r="N362" s="38">
        <f>(VLOOKUP($A362,'The List'!$B1:$AH730,26,FALSE)-AVERAGE('The List'!AA2:AA730))/STDEV('The List'!AA2:AA730)</f>
        <v>-0.95066694746917246</v>
      </c>
      <c r="O362" s="38">
        <f>(VLOOKUP($A362,'The List'!$B1:$AH730,27,FALSE)-AVERAGE('The List'!AB2:AB730))/STDEV('The List'!AB2:AB730)</f>
        <v>0.20712247995714697</v>
      </c>
      <c r="P362" s="38">
        <f>(VLOOKUP($A362,'The List'!$B1:$AH730,28,FALSE)-AVERAGE('The List'!AC2:AC730))/STDEV('The List'!AC2:AC730)</f>
        <v>0.58050965933913634</v>
      </c>
      <c r="Q362" s="38">
        <f>(VLOOKUP($A362,'The List'!$B1:$AH730,29,FALSE)-AVERAGE('The List'!AD2:AD730))/STDEV('The List'!AD2:AD730)</f>
        <v>0.74928273993371519</v>
      </c>
      <c r="R362" s="38">
        <f>(VLOOKUP($A362,'The List'!$B1:$AH730,30,FALSE)-AVERAGE('The List'!AE2:AE730))/STDEV('The List'!AE2:AE730)</f>
        <v>0.11684306997884575</v>
      </c>
      <c r="S362" s="38">
        <f>(VLOOKUP($A362,'The List'!$B1:$AH730,31,FALSE)-AVERAGE('The List'!AF2:AF730))/STDEV('The List'!AF2:AF730)</f>
        <v>-0.55931243970040145</v>
      </c>
      <c r="T362" s="38">
        <f>(VLOOKUP($A362,'The List'!$B1:$AH730,32,FALSE)-AVERAGE('The List'!AG2:AG730))/STDEV('The List'!AG2:AG730)</f>
        <v>-0.57942942445194046</v>
      </c>
      <c r="U362" s="38">
        <f>(VLOOKUP($A362,'The List'!$B1:$AH730,33,FALSE)-AVERAGE('The List'!AH2:AH730))/STDEV('The List'!AH2:AH730)</f>
        <v>-0.22445157970804017</v>
      </c>
      <c r="V362" s="38"/>
      <c r="W362" s="42"/>
      <c r="X362" s="40"/>
      <c r="Y362" s="40"/>
      <c r="Z362" s="40"/>
      <c r="AA362" s="40"/>
      <c r="AB362" s="40"/>
      <c r="AC362" s="43"/>
      <c r="AD362" s="44"/>
      <c r="AE362" s="38"/>
    </row>
    <row r="363" spans="1:31" ht="21.2" customHeight="1">
      <c r="A363" s="8" t="s">
        <v>576</v>
      </c>
      <c r="B363" s="34" t="str">
        <f>VLOOKUP(A363,'Player Data'!A1:B734,2,FALSE)</f>
        <v>EDM</v>
      </c>
      <c r="C363" s="36">
        <f>((E363)*Settings!$C$12)+(F363*Settings!$C$2)+(G363*Settings!$C$3)+(H363*Settings!$C$4)+(I363*Settings!$C$5)+(K363*Settings!$C$9)+(N363*Settings!$C$6)+(J363*Settings!$C$8)+(O363*Settings!$C$7)+(P363*Settings!$C$14)+(Q363*Settings!$C$15)+(R363*Settings!$C$16)+(S363*Settings!$C$17)+(T363*Settings!$C$18)+(U363*Settings!$C$19)+(L363*Settings!$C$10)+(Settings!$C$11*M363)</f>
        <v>-1.9310335203984619</v>
      </c>
      <c r="D363" s="40">
        <f>IF(Settings!$E$12="YES",VLOOKUP(A363,'Player Data'!A1:E734,5,FALSE),82)</f>
        <v>82</v>
      </c>
      <c r="E363" s="38">
        <f>(VLOOKUP($A363,'The List'!$B1:$AH730,17,FALSE)-AVERAGE('The List'!R2:R730))/STDEV('The List'!R2:R730)</f>
        <v>-1.1227188040278206</v>
      </c>
      <c r="F363" s="38">
        <f>(VLOOKUP($A363,'The List'!$B1:$AH730,18,FALSE)-AVERAGE('The List'!S2:S730))/STDEV('The List'!S2:S730)</f>
        <v>-0.1200334834338881</v>
      </c>
      <c r="G363" s="38">
        <f>(VLOOKUP($A363,'The List'!$B1:$AH730,19,FALSE)-AVERAGE('The List'!T2:T730))/STDEV('The List'!T2:T730)</f>
        <v>-0.61213455767814839</v>
      </c>
      <c r="H363" s="38">
        <f>(VLOOKUP($A363,'The List'!$B1:$AH730,20,FALSE)-AVERAGE('The List'!U2:U730))/STDEV('The List'!U2:U730)</f>
        <v>-0.43198110632327541</v>
      </c>
      <c r="I363" s="38">
        <f>(VLOOKUP($A363,'The List'!$B1:$AH730,21,FALSE)-AVERAGE('The List'!V2:V730))/STDEV('The List'!V2:V730)</f>
        <v>-4.4076736749340047E-2</v>
      </c>
      <c r="J363" s="38">
        <f>(VLOOKUP($A363,'The List'!$B1:$AH730,22,FALSE)-AVERAGE('The List'!W2:W730))/STDEV('The List'!W2:W730)</f>
        <v>-0.60087573026994334</v>
      </c>
      <c r="K363" s="38">
        <f>(VLOOKUP($A363,'The List'!$B1:$AH730,23,FALSE)-AVERAGE('The List'!X2:X730))/STDEV('The List'!X2:X730)</f>
        <v>-0.72280763621380995</v>
      </c>
      <c r="L363" s="38">
        <f>(VLOOKUP($A363,'The List'!$B1:$AH730,24,FALSE)-AVERAGE('The List'!Y2:Y730))/STDEV('The List'!Y2:Y730)</f>
        <v>-5.6413242537863229E-2</v>
      </c>
      <c r="M363" s="38">
        <f>(VLOOKUP($A363,'The List'!$B1:$AH730,25,FALSE)-AVERAGE('The List'!Z2:Z730))/STDEV('The List'!Z2:Z730)</f>
        <v>-0.36831317713443928</v>
      </c>
      <c r="N363" s="38">
        <f>(VLOOKUP($A363,'The List'!$B1:$AH730,26,FALSE)-AVERAGE('The List'!AA2:AA730))/STDEV('The List'!AA2:AA730)</f>
        <v>-0.9974096877420825</v>
      </c>
      <c r="O363" s="38">
        <f>(VLOOKUP($A363,'The List'!$B1:$AH730,27,FALSE)-AVERAGE('The List'!AB2:AB730))/STDEV('The List'!AB2:AB730)</f>
        <v>0.27773785888532343</v>
      </c>
      <c r="P363" s="38">
        <f>(VLOOKUP($A363,'The List'!$B1:$AH730,28,FALSE)-AVERAGE('The List'!AC2:AC730))/STDEV('The List'!AC2:AC730)</f>
        <v>1.307576414577122</v>
      </c>
      <c r="Q363" s="38">
        <f>(VLOOKUP($A363,'The List'!$B1:$AH730,29,FALSE)-AVERAGE('The List'!AD2:AD730))/STDEV('The List'!AD2:AD730)</f>
        <v>-0.45185436319719519</v>
      </c>
      <c r="R363" s="38">
        <f>(VLOOKUP($A363,'The List'!$B1:$AH730,30,FALSE)-AVERAGE('The List'!AE2:AE730))/STDEV('The List'!AE2:AE730)</f>
        <v>3.6855411271816532E-2</v>
      </c>
      <c r="S363" s="38">
        <f>(VLOOKUP($A363,'The List'!$B1:$AH730,31,FALSE)-AVERAGE('The List'!AF2:AF730))/STDEV('The List'!AF2:AF730)</f>
        <v>-0.51824661365222757</v>
      </c>
      <c r="T363" s="38">
        <f>(VLOOKUP($A363,'The List'!$B1:$AH730,32,FALSE)-AVERAGE('The List'!AG2:AG730))/STDEV('The List'!AG2:AG730)</f>
        <v>-0.56248506016994249</v>
      </c>
      <c r="U363" s="38">
        <f>(VLOOKUP($A363,'The List'!$B1:$AH730,33,FALSE)-AVERAGE('The List'!AH2:AH730))/STDEV('The List'!AH2:AH730)</f>
        <v>1.0394908041714006</v>
      </c>
      <c r="V363" s="38"/>
      <c r="W363" s="40"/>
      <c r="X363" s="38"/>
      <c r="Y363" s="38"/>
      <c r="Z363" s="38"/>
      <c r="AA363" s="38"/>
      <c r="AB363" s="38"/>
      <c r="AC363" s="38"/>
      <c r="AD363" s="38"/>
      <c r="AE363" s="38"/>
    </row>
    <row r="364" spans="1:31" ht="21.2" customHeight="1">
      <c r="A364" s="8" t="s">
        <v>613</v>
      </c>
      <c r="B364" s="34" t="str">
        <f>VLOOKUP(A364,'Player Data'!A1:B734,2,FALSE)</f>
        <v>UFA</v>
      </c>
      <c r="C364" s="36">
        <f>((E364)*Settings!$C$12)+(F364*Settings!$C$2)+(G364*Settings!$C$3)+(H364*Settings!$C$4)+(I364*Settings!$C$5)+(K364*Settings!$C$9)+(N364*Settings!$C$6)+(J364*Settings!$C$8)+(O364*Settings!$C$7)+(P364*Settings!$C$14)+(Q364*Settings!$C$15)+(R364*Settings!$C$16)+(S364*Settings!$C$17)+(T364*Settings!$C$18)+(U364*Settings!$C$19)+(L364*Settings!$C$10)+(Settings!$C$11*M364)</f>
        <v>-2.2835101723447369</v>
      </c>
      <c r="D364" s="40">
        <f>IF(Settings!$E$12="YES",VLOOKUP(A364,'Player Data'!A1:E734,5,FALSE),82)</f>
        <v>82</v>
      </c>
      <c r="E364" s="38">
        <f>(VLOOKUP($A364,'The List'!$B1:$AH730,17,FALSE)-AVERAGE('The List'!R2:R730))/STDEV('The List'!R2:R730)</f>
        <v>-0.57448379799538263</v>
      </c>
      <c r="F364" s="38">
        <f>(VLOOKUP($A364,'The List'!$B1:$AH730,18,FALSE)-AVERAGE('The List'!S2:S730))/STDEV('The List'!S2:S730)</f>
        <v>4.0794259899637232E-2</v>
      </c>
      <c r="G364" s="38">
        <f>(VLOOKUP($A364,'The List'!$B1:$AH730,19,FALSE)-AVERAGE('The List'!T2:T730))/STDEV('The List'!T2:T730)</f>
        <v>-0.73477015707569282</v>
      </c>
      <c r="H364" s="38">
        <f>(VLOOKUP($A364,'The List'!$B1:$AH730,20,FALSE)-AVERAGE('The List'!U2:U730))/STDEV('The List'!U2:U730)</f>
        <v>-0.43258101040795649</v>
      </c>
      <c r="I364" s="38">
        <f>(VLOOKUP($A364,'The List'!$B1:$AH730,21,FALSE)-AVERAGE('The List'!V2:V730))/STDEV('The List'!V2:V730)</f>
        <v>-0.34476084326526057</v>
      </c>
      <c r="J364" s="38">
        <f>(VLOOKUP($A364,'The List'!$B1:$AH730,22,FALSE)-AVERAGE('The List'!W2:W730))/STDEV('The List'!W2:W730)</f>
        <v>-0.72792095952405955</v>
      </c>
      <c r="K364" s="38">
        <f>(VLOOKUP($A364,'The List'!$B1:$AH730,23,FALSE)-AVERAGE('The List'!X2:X730))/STDEV('The List'!X2:X730)</f>
        <v>-0.81219242149546444</v>
      </c>
      <c r="L364" s="38">
        <f>(VLOOKUP($A364,'The List'!$B1:$AH730,24,FALSE)-AVERAGE('The List'!Y2:Y730))/STDEV('The List'!Y2:Y730)</f>
        <v>2.4810421221359209</v>
      </c>
      <c r="M364" s="38">
        <f>(VLOOKUP($A364,'The List'!$B1:$AH730,25,FALSE)-AVERAGE('The List'!Z2:Z730))/STDEV('The List'!Z2:Z730)</f>
        <v>1.280842226685696</v>
      </c>
      <c r="N364" s="38">
        <f>(VLOOKUP($A364,'The List'!$B1:$AH730,26,FALSE)-AVERAGE('The List'!AA2:AA730))/STDEV('The List'!AA2:AA730)</f>
        <v>-0.63647365045871496</v>
      </c>
      <c r="O364" s="38">
        <f>(VLOOKUP($A364,'The List'!$B1:$AH730,27,FALSE)-AVERAGE('The List'!AB2:AB730))/STDEV('The List'!AB2:AB730)</f>
        <v>-1.1581541290330948</v>
      </c>
      <c r="P364" s="38">
        <f>(VLOOKUP($A364,'The List'!$B1:$AH730,28,FALSE)-AVERAGE('The List'!AC2:AC730))/STDEV('The List'!AC2:AC730)</f>
        <v>5.8962941255137874E-2</v>
      </c>
      <c r="Q364" s="38">
        <f>(VLOOKUP($A364,'The List'!$B1:$AH730,29,FALSE)-AVERAGE('The List'!AD2:AD730))/STDEV('The List'!AD2:AD730)</f>
        <v>-1.2100264678635295</v>
      </c>
      <c r="R364" s="38">
        <f>(VLOOKUP($A364,'The List'!$B1:$AH730,30,FALSE)-AVERAGE('The List'!AE2:AE730))/STDEV('The List'!AE2:AE730)</f>
        <v>-1.2515972607254897</v>
      </c>
      <c r="S364" s="38">
        <f>(VLOOKUP($A364,'The List'!$B1:$AH730,31,FALSE)-AVERAGE('The List'!AF2:AF730))/STDEV('The List'!AF2:AF730)</f>
        <v>0.73210343054439719</v>
      </c>
      <c r="T364" s="38">
        <f>(VLOOKUP($A364,'The List'!$B1:$AH730,32,FALSE)-AVERAGE('The List'!AG2:AG730))/STDEV('The List'!AG2:AG730)</f>
        <v>0.9239710839084998</v>
      </c>
      <c r="U364" s="38">
        <f>(VLOOKUP($A364,'The List'!$B1:$AH730,33,FALSE)-AVERAGE('The List'!AH2:AH730))/STDEV('The List'!AH2:AH730)</f>
        <v>0.88822121233716023</v>
      </c>
      <c r="V364" s="38"/>
      <c r="W364" s="40"/>
      <c r="X364" s="38"/>
      <c r="Y364" s="38"/>
      <c r="Z364" s="38"/>
      <c r="AA364" s="38"/>
      <c r="AB364" s="38"/>
      <c r="AC364" s="38"/>
      <c r="AD364" s="38"/>
      <c r="AE364" s="38"/>
    </row>
    <row r="365" spans="1:31" ht="21.2" customHeight="1">
      <c r="A365" s="8" t="s">
        <v>616</v>
      </c>
      <c r="B365" s="34" t="str">
        <f>VLOOKUP(A365,'Player Data'!A1:B734,2,FALSE)</f>
        <v>CAR</v>
      </c>
      <c r="C365" s="36">
        <f>((E365)*Settings!$C$12)+(F365*Settings!$C$2)+(G365*Settings!$C$3)+(H365*Settings!$C$4)+(I365*Settings!$C$5)+(K365*Settings!$C$9)+(N365*Settings!$C$6)+(J365*Settings!$C$8)+(O365*Settings!$C$7)+(P365*Settings!$C$14)+(Q365*Settings!$C$15)+(R365*Settings!$C$16)+(S365*Settings!$C$17)+(T365*Settings!$C$18)+(U365*Settings!$C$19)+(L365*Settings!$C$10)+(Settings!$C$11*M365)</f>
        <v>-1.940396444016566</v>
      </c>
      <c r="D365" s="40">
        <f>IF(Settings!$E$12="YES",VLOOKUP(A365,'Player Data'!A1:E734,5,FALSE),82)</f>
        <v>82</v>
      </c>
      <c r="E365" s="38">
        <f>(VLOOKUP($A365,'The List'!$B1:$AH730,17,FALSE)-AVERAGE('The List'!R2:R730))/STDEV('The List'!R2:R730)</f>
        <v>-0.40542651300196225</v>
      </c>
      <c r="F365" s="38">
        <f>(VLOOKUP($A365,'The List'!$B1:$AH730,18,FALSE)-AVERAGE('The List'!S2:S730))/STDEV('The List'!S2:S730)</f>
        <v>-0.33198865636619024</v>
      </c>
      <c r="G365" s="38">
        <f>(VLOOKUP($A365,'The List'!$B1:$AH730,19,FALSE)-AVERAGE('The List'!T2:T730))/STDEV('The List'!T2:T730)</f>
        <v>-0.45596599164627549</v>
      </c>
      <c r="H365" s="38">
        <f>(VLOOKUP($A365,'The List'!$B1:$AH730,20,FALSE)-AVERAGE('The List'!U2:U730))/STDEV('The List'!U2:U730)</f>
        <v>-0.43454164320277522</v>
      </c>
      <c r="I365" s="38">
        <f>(VLOOKUP($A365,'The List'!$B1:$AH730,21,FALSE)-AVERAGE('The List'!V2:V730))/STDEV('The List'!V2:V730)</f>
        <v>9.4150239289070431E-2</v>
      </c>
      <c r="J365" s="38">
        <f>(VLOOKUP($A365,'The List'!$B1:$AH730,22,FALSE)-AVERAGE('The List'!W2:W730))/STDEV('The List'!W2:W730)</f>
        <v>-0.72269847668201215</v>
      </c>
      <c r="K365" s="38">
        <f>(VLOOKUP($A365,'The List'!$B1:$AH730,23,FALSE)-AVERAGE('The List'!X2:X730))/STDEV('The List'!X2:X730)</f>
        <v>-0.81205039209039565</v>
      </c>
      <c r="L365" s="38">
        <f>(VLOOKUP($A365,'The List'!$B1:$AH730,24,FALSE)-AVERAGE('The List'!Y2:Y730))/STDEV('The List'!Y2:Y730)</f>
        <v>-0.48574885724081202</v>
      </c>
      <c r="M365" s="38">
        <f>(VLOOKUP($A365,'The List'!$B1:$AH730,25,FALSE)-AVERAGE('The List'!Z2:Z730))/STDEV('The List'!Z2:Z730)</f>
        <v>-0.53145616589168188</v>
      </c>
      <c r="N365" s="38">
        <f>(VLOOKUP($A365,'The List'!$B1:$AH730,26,FALSE)-AVERAGE('The List'!AA2:AA730))/STDEV('The List'!AA2:AA730)</f>
        <v>-0.81781707634610568</v>
      </c>
      <c r="O365" s="38">
        <f>(VLOOKUP($A365,'The List'!$B1:$AH730,27,FALSE)-AVERAGE('The List'!AB2:AB730))/STDEV('The List'!AB2:AB730)</f>
        <v>-0.15794409383058428</v>
      </c>
      <c r="P365" s="38">
        <f>(VLOOKUP($A365,'The List'!$B1:$AH730,28,FALSE)-AVERAGE('The List'!AC2:AC730))/STDEV('The List'!AC2:AC730)</f>
        <v>1.3864563729232142</v>
      </c>
      <c r="Q365" s="38">
        <f>(VLOOKUP($A365,'The List'!$B1:$AH730,29,FALSE)-AVERAGE('The List'!AD2:AD730))/STDEV('The List'!AD2:AD730)</f>
        <v>0.96696698843973394</v>
      </c>
      <c r="R365" s="38">
        <f>(VLOOKUP($A365,'The List'!$B1:$AH730,30,FALSE)-AVERAGE('The List'!AE2:AE730))/STDEV('The List'!AE2:AE730)</f>
        <v>-3.8778455214144344E-2</v>
      </c>
      <c r="S365" s="38">
        <f>(VLOOKUP($A365,'The List'!$B1:$AH730,31,FALSE)-AVERAGE('The List'!AF2:AF730))/STDEV('The List'!AF2:AF730)</f>
        <v>-0.37191049465702264</v>
      </c>
      <c r="T365" s="38">
        <f>(VLOOKUP($A365,'The List'!$B1:$AH730,32,FALSE)-AVERAGE('The List'!AG2:AG730))/STDEV('The List'!AG2:AG730)</f>
        <v>-0.36562931399746207</v>
      </c>
      <c r="U365" s="38">
        <f>(VLOOKUP($A365,'The List'!$B1:$AH730,33,FALSE)-AVERAGE('The List'!AH2:AH730))/STDEV('The List'!AH2:AH730)</f>
        <v>0.81276553433346332</v>
      </c>
      <c r="V365" s="38"/>
      <c r="W365" s="42"/>
      <c r="X365" s="40"/>
      <c r="Y365" s="40"/>
      <c r="Z365" s="40"/>
      <c r="AA365" s="40"/>
      <c r="AB365" s="40"/>
      <c r="AC365" s="43"/>
      <c r="AD365" s="44"/>
      <c r="AE365" s="38"/>
    </row>
    <row r="366" spans="1:31" ht="21.2" customHeight="1">
      <c r="A366" s="8" t="s">
        <v>528</v>
      </c>
      <c r="B366" s="34" t="str">
        <f>VLOOKUP(A366,'Player Data'!A1:B734,2,FALSE)</f>
        <v>LAK</v>
      </c>
      <c r="C366" s="36">
        <f>((E366)*Settings!$C$12)+(F366*Settings!$C$2)+(G366*Settings!$C$3)+(H366*Settings!$C$4)+(I366*Settings!$C$5)+(K366*Settings!$C$9)+(N366*Settings!$C$6)+(J366*Settings!$C$8)+(O366*Settings!$C$7)+(P366*Settings!$C$14)+(Q366*Settings!$C$15)+(R366*Settings!$C$16)+(S366*Settings!$C$17)+(T366*Settings!$C$18)+(U366*Settings!$C$19)+(L366*Settings!$C$10)+(Settings!$C$11*M366)</f>
        <v>-0.11558295116524991</v>
      </c>
      <c r="D366" s="40">
        <f>IF(Settings!$E$12="YES",VLOOKUP(A366,'Player Data'!A1:E734,5,FALSE),82)</f>
        <v>82</v>
      </c>
      <c r="E366" s="38">
        <f>(VLOOKUP($A366,'The List'!$B1:$AH730,17,FALSE)-AVERAGE('The List'!R2:R730))/STDEV('The List'!R2:R730)</f>
        <v>-1.5200794465801863</v>
      </c>
      <c r="F366" s="38">
        <f>(VLOOKUP($A366,'The List'!$B1:$AH730,18,FALSE)-AVERAGE('The List'!S2:S730))/STDEV('The List'!S2:S730)</f>
        <v>-0.10357592552289929</v>
      </c>
      <c r="G366" s="38">
        <f>(VLOOKUP($A366,'The List'!$B1:$AH730,19,FALSE)-AVERAGE('The List'!T2:T730))/STDEV('The List'!T2:T730)</f>
        <v>-0.63012186695182781</v>
      </c>
      <c r="H366" s="38">
        <f>(VLOOKUP($A366,'The List'!$B1:$AH730,20,FALSE)-AVERAGE('The List'!U2:U730))/STDEV('The List'!U2:U730)</f>
        <v>-0.43538433904196561</v>
      </c>
      <c r="I366" s="38">
        <f>(VLOOKUP($A366,'The List'!$B1:$AH730,21,FALSE)-AVERAGE('The List'!V2:V730))/STDEV('The List'!V2:V730)</f>
        <v>1.097641707244011</v>
      </c>
      <c r="J366" s="38">
        <f>(VLOOKUP($A366,'The List'!$B1:$AH730,22,FALSE)-AVERAGE('The List'!W2:W730))/STDEV('The List'!W2:W730)</f>
        <v>0.55687271531238336</v>
      </c>
      <c r="K366" s="38">
        <f>(VLOOKUP($A366,'The List'!$B1:$AH730,23,FALSE)-AVERAGE('The List'!X2:X730))/STDEV('The List'!X2:X730)</f>
        <v>-4.4142526892568319E-2</v>
      </c>
      <c r="L366" s="38">
        <f>(VLOOKUP($A366,'The List'!$B1:$AH730,24,FALSE)-AVERAGE('The List'!Y2:Y730))/STDEV('The List'!Y2:Y730)</f>
        <v>-0.52401417444842513</v>
      </c>
      <c r="M366" s="38">
        <f>(VLOOKUP($A366,'The List'!$B1:$AH730,25,FALSE)-AVERAGE('The List'!Z2:Z730))/STDEV('The List'!Z2:Z730)</f>
        <v>-0.70239200369313848</v>
      </c>
      <c r="N366" s="38">
        <f>(VLOOKUP($A366,'The List'!$B1:$AH730,26,FALSE)-AVERAGE('The List'!AA2:AA730))/STDEV('The List'!AA2:AA730)</f>
        <v>-1.0443077068366378</v>
      </c>
      <c r="O366" s="38">
        <f>(VLOOKUP($A366,'The List'!$B1:$AH730,27,FALSE)-AVERAGE('The List'!AB2:AB730))/STDEV('The List'!AB2:AB730)</f>
        <v>-0.64042843866930821</v>
      </c>
      <c r="P366" s="38">
        <f>(VLOOKUP($A366,'The List'!$B1:$AH730,28,FALSE)-AVERAGE('The List'!AC2:AC730))/STDEV('The List'!AC2:AC730)</f>
        <v>-2.7993047108471527E-2</v>
      </c>
      <c r="Q366" s="38">
        <f>(VLOOKUP($A366,'The List'!$B1:$AH730,29,FALSE)-AVERAGE('The List'!AD2:AD730))/STDEV('The List'!AD2:AD730)</f>
        <v>-0.91155129685410208</v>
      </c>
      <c r="R366" s="38">
        <f>(VLOOKUP($A366,'The List'!$B1:$AH730,30,FALSE)-AVERAGE('The List'!AE2:AE730))/STDEV('The List'!AE2:AE730)</f>
        <v>-3.0532432688994283E-2</v>
      </c>
      <c r="S366" s="38">
        <f>(VLOOKUP($A366,'The List'!$B1:$AH730,31,FALSE)-AVERAGE('The List'!AF2:AF730))/STDEV('The List'!AF2:AF730)</f>
        <v>-0.56911587195029545</v>
      </c>
      <c r="T366" s="38">
        <f>(VLOOKUP($A366,'The List'!$B1:$AH730,32,FALSE)-AVERAGE('The List'!AG2:AG730))/STDEV('The List'!AG2:AG730)</f>
        <v>-0.61510119871956948</v>
      </c>
      <c r="U366" s="38">
        <f>(VLOOKUP($A366,'The List'!$B1:$AH730,33,FALSE)-AVERAGE('The List'!AH2:AH730))/STDEV('The List'!AH2:AH730)</f>
        <v>-1.2363238714825984</v>
      </c>
      <c r="V366" s="38"/>
      <c r="W366" s="42"/>
      <c r="X366" s="40"/>
      <c r="Y366" s="40"/>
      <c r="Z366" s="40"/>
      <c r="AA366" s="40"/>
      <c r="AB366" s="40"/>
      <c r="AC366" s="43"/>
      <c r="AD366" s="44"/>
      <c r="AE366" s="38"/>
    </row>
    <row r="367" spans="1:31" ht="21.2" customHeight="1">
      <c r="A367" s="8" t="s">
        <v>707</v>
      </c>
      <c r="B367" s="34" t="str">
        <f>VLOOKUP(A367,'Player Data'!A1:B734,2,FALSE)</f>
        <v>BUF</v>
      </c>
      <c r="C367" s="36">
        <f>((E367)*Settings!$C$12)+(F367*Settings!$C$2)+(G367*Settings!$C$3)+(H367*Settings!$C$4)+(I367*Settings!$C$5)+(K367*Settings!$C$9)+(N367*Settings!$C$6)+(J367*Settings!$C$8)+(O367*Settings!$C$7)+(P367*Settings!$C$14)+(Q367*Settings!$C$15)+(R367*Settings!$C$16)+(S367*Settings!$C$17)+(T367*Settings!$C$18)+(U367*Settings!$C$19)+(L367*Settings!$C$10)+(Settings!$C$11*M367)</f>
        <v>-2.6070083433644391</v>
      </c>
      <c r="D367" s="40">
        <f>IF(Settings!$E$12="YES",VLOOKUP(A367,'Player Data'!A1:E734,5,FALSE),82)</f>
        <v>82</v>
      </c>
      <c r="E367" s="38">
        <f>(VLOOKUP($A367,'The List'!$B1:$AH730,17,FALSE)-AVERAGE('The List'!R2:R730))/STDEV('The List'!R2:R730)</f>
        <v>-0.90034655154616305</v>
      </c>
      <c r="F367" s="38">
        <f>(VLOOKUP($A367,'The List'!$B1:$AH730,18,FALSE)-AVERAGE('The List'!S2:S730))/STDEV('The List'!S2:S730)</f>
        <v>-0.32010890512583484</v>
      </c>
      <c r="G367" s="38">
        <f>(VLOOKUP($A367,'The List'!$B1:$AH730,19,FALSE)-AVERAGE('The List'!T2:T730))/STDEV('The List'!T2:T730)</f>
        <v>-0.47735329102324542</v>
      </c>
      <c r="H367" s="38">
        <f>(VLOOKUP($A367,'The List'!$B1:$AH730,20,FALSE)-AVERAGE('The List'!U2:U730))/STDEV('The List'!U2:U730)</f>
        <v>-0.44216240288820069</v>
      </c>
      <c r="I367" s="38">
        <f>(VLOOKUP($A367,'The List'!$B1:$AH730,21,FALSE)-AVERAGE('The List'!V2:V730))/STDEV('The List'!V2:V730)</f>
        <v>-0.98180316065732598</v>
      </c>
      <c r="J367" s="38">
        <f>(VLOOKUP($A367,'The List'!$B1:$AH730,22,FALSE)-AVERAGE('The List'!W2:W730))/STDEV('The List'!W2:W730)</f>
        <v>-0.51680430211961514</v>
      </c>
      <c r="K367" s="38">
        <f>(VLOOKUP($A367,'The List'!$B1:$AH730,23,FALSE)-AVERAGE('The List'!X2:X730))/STDEV('The List'!X2:X730)</f>
        <v>-0.38558058366983217</v>
      </c>
      <c r="L367" s="38">
        <f>(VLOOKUP($A367,'The List'!$B1:$AH730,24,FALSE)-AVERAGE('The List'!Y2:Y730))/STDEV('The List'!Y2:Y730)</f>
        <v>0.66995870830637205</v>
      </c>
      <c r="M367" s="38">
        <f>(VLOOKUP($A367,'The List'!$B1:$AH730,25,FALSE)-AVERAGE('The List'!Z2:Z730))/STDEV('The List'!Z2:Z730)</f>
        <v>0.20760389900066822</v>
      </c>
      <c r="N367" s="38">
        <f>(VLOOKUP($A367,'The List'!$B1:$AH730,26,FALSE)-AVERAGE('The List'!AA2:AA730))/STDEV('The List'!AA2:AA730)</f>
        <v>-1.0479560326650255</v>
      </c>
      <c r="O367" s="38">
        <f>(VLOOKUP($A367,'The List'!$B1:$AH730,27,FALSE)-AVERAGE('The List'!AB2:AB730))/STDEV('The List'!AB2:AB730)</f>
        <v>-0.27803304026253034</v>
      </c>
      <c r="P367" s="38">
        <f>(VLOOKUP($A367,'The List'!$B1:$AH730,28,FALSE)-AVERAGE('The List'!AC2:AC730))/STDEV('The List'!AC2:AC730)</f>
        <v>-0.97487278600976124</v>
      </c>
      <c r="Q367" s="38">
        <f>(VLOOKUP($A367,'The List'!$B1:$AH730,29,FALSE)-AVERAGE('The List'!AD2:AD730))/STDEV('The List'!AD2:AD730)</f>
        <v>0.30280974558531387</v>
      </c>
      <c r="R367" s="38">
        <f>(VLOOKUP($A367,'The List'!$B1:$AH730,30,FALSE)-AVERAGE('The List'!AE2:AE730))/STDEV('The List'!AE2:AE730)</f>
        <v>-0.37633913343749403</v>
      </c>
      <c r="S367" s="38">
        <f>(VLOOKUP($A367,'The List'!$B1:$AH730,31,FALSE)-AVERAGE('The List'!AF2:AF730))/STDEV('The List'!AF2:AF730)</f>
        <v>0.46602016384019651</v>
      </c>
      <c r="T367" s="38">
        <f>(VLOOKUP($A367,'The List'!$B1:$AH730,32,FALSE)-AVERAGE('The List'!AG2:AG730))/STDEV('The List'!AG2:AG730)</f>
        <v>0.91356087397401975</v>
      </c>
      <c r="U367" s="38">
        <f>(VLOOKUP($A367,'The List'!$B1:$AH730,33,FALSE)-AVERAGE('The List'!AH2:AH730))/STDEV('The List'!AH2:AH730)</f>
        <v>0.64109905012654478</v>
      </c>
      <c r="V367" s="38"/>
      <c r="W367" s="42"/>
      <c r="X367" s="40"/>
      <c r="Y367" s="40"/>
      <c r="Z367" s="40"/>
      <c r="AA367" s="40"/>
      <c r="AB367" s="40"/>
      <c r="AC367" s="43"/>
      <c r="AD367" s="44"/>
      <c r="AE367" s="38"/>
    </row>
    <row r="368" spans="1:31" ht="21.2" customHeight="1">
      <c r="A368" s="8" t="s">
        <v>416</v>
      </c>
      <c r="B368" s="34" t="str">
        <f>VLOOKUP(A368,'Player Data'!A1:B734,2,FALSE)</f>
        <v>NYR</v>
      </c>
      <c r="C368" s="36">
        <f>((E368)*Settings!$C$12)+(F368*Settings!$C$2)+(G368*Settings!$C$3)+(H368*Settings!$C$4)+(I368*Settings!$C$5)+(K368*Settings!$C$9)+(N368*Settings!$C$6)+(J368*Settings!$C$8)+(O368*Settings!$C$7)+(P368*Settings!$C$14)+(Q368*Settings!$C$15)+(R368*Settings!$C$16)+(S368*Settings!$C$17)+(T368*Settings!$C$18)+(U368*Settings!$C$19)+(L368*Settings!$C$10)+(Settings!$C$11*M368)</f>
        <v>-2.1470053278708616</v>
      </c>
      <c r="D368" s="40">
        <f>IF(Settings!$E$12="YES",VLOOKUP(A368,'Player Data'!A1:E734,5,FALSE),82)</f>
        <v>82</v>
      </c>
      <c r="E368" s="38">
        <f>(VLOOKUP($A368,'The List'!$B1:$AH730,17,FALSE)-AVERAGE('The List'!R2:R730))/STDEV('The List'!R2:R730)</f>
        <v>-0.14520017645669245</v>
      </c>
      <c r="F368" s="38">
        <f>(VLOOKUP($A368,'The List'!$B1:$AH730,18,FALSE)-AVERAGE('The List'!S2:S730))/STDEV('The List'!S2:S730)</f>
        <v>-0.90055797354631417</v>
      </c>
      <c r="G368" s="38">
        <f>(VLOOKUP($A368,'The List'!$B1:$AH730,19,FALSE)-AVERAGE('The List'!T2:T730))/STDEV('The List'!T2:T730)</f>
        <v>-4.6713008720720921E-2</v>
      </c>
      <c r="H368" s="38">
        <f>(VLOOKUP($A368,'The List'!$B1:$AH730,20,FALSE)-AVERAGE('The List'!U2:U730))/STDEV('The List'!U2:U730)</f>
        <v>-0.4473521824984234</v>
      </c>
      <c r="I368" s="38">
        <f>(VLOOKUP($A368,'The List'!$B1:$AH730,21,FALSE)-AVERAGE('The List'!V2:V730))/STDEV('The List'!V2:V730)</f>
        <v>-0.58580365572418047</v>
      </c>
      <c r="J368" s="38">
        <f>(VLOOKUP($A368,'The List'!$B1:$AH730,22,FALSE)-AVERAGE('The List'!W2:W730))/STDEV('The List'!W2:W730)</f>
        <v>-0.71778638534863948</v>
      </c>
      <c r="K368" s="38">
        <f>(VLOOKUP($A368,'The List'!$B1:$AH730,23,FALSE)-AVERAGE('The List'!X2:X730))/STDEV('The List'!X2:X730)</f>
        <v>-0.16657850738122268</v>
      </c>
      <c r="L368" s="38">
        <f>(VLOOKUP($A368,'The List'!$B1:$AH730,24,FALSE)-AVERAGE('The List'!Y2:Y730))/STDEV('The List'!Y2:Y730)</f>
        <v>-0.51141443444321966</v>
      </c>
      <c r="M368" s="38">
        <f>(VLOOKUP($A368,'The List'!$B1:$AH730,25,FALSE)-AVERAGE('The List'!Z2:Z730))/STDEV('The List'!Z2:Z730)</f>
        <v>-0.67233414802122815</v>
      </c>
      <c r="N368" s="38">
        <f>(VLOOKUP($A368,'The List'!$B1:$AH730,26,FALSE)-AVERAGE('The List'!AA2:AA730))/STDEV('The List'!AA2:AA730)</f>
        <v>0.13298938678552805</v>
      </c>
      <c r="O368" s="38">
        <f>(VLOOKUP($A368,'The List'!$B1:$AH730,27,FALSE)-AVERAGE('The List'!AB2:AB730))/STDEV('The List'!AB2:AB730)</f>
        <v>-0.70666493802542585</v>
      </c>
      <c r="P368" s="38">
        <f>(VLOOKUP($A368,'The List'!$B1:$AH730,28,FALSE)-AVERAGE('The List'!AC2:AC730))/STDEV('The List'!AC2:AC730)</f>
        <v>1.2854242982785504</v>
      </c>
      <c r="Q368" s="38">
        <f>(VLOOKUP($A368,'The List'!$B1:$AH730,29,FALSE)-AVERAGE('The List'!AD2:AD730))/STDEV('The List'!AD2:AD730)</f>
        <v>-0.8841570260768491</v>
      </c>
      <c r="R368" s="38">
        <f>(VLOOKUP($A368,'The List'!$B1:$AH730,30,FALSE)-AVERAGE('The List'!AE2:AE730))/STDEV('The List'!AE2:AE730)</f>
        <v>-0.73069813348505575</v>
      </c>
      <c r="S368" s="38">
        <f>(VLOOKUP($A368,'The List'!$B1:$AH730,31,FALSE)-AVERAGE('The List'!AF2:AF730))/STDEV('The List'!AF2:AF730)</f>
        <v>-0.56911587195029545</v>
      </c>
      <c r="T368" s="38">
        <f>(VLOOKUP($A368,'The List'!$B1:$AH730,32,FALSE)-AVERAGE('The List'!AG2:AG730))/STDEV('The List'!AG2:AG730)</f>
        <v>-0.61510119871956948</v>
      </c>
      <c r="U368" s="38">
        <f>(VLOOKUP($A368,'The List'!$B1:$AH730,33,FALSE)-AVERAGE('The List'!AH2:AH730))/STDEV('The List'!AH2:AH730)</f>
        <v>-1.2363238714825984</v>
      </c>
      <c r="V368" s="38"/>
      <c r="W368" s="40"/>
      <c r="X368" s="38"/>
      <c r="Y368" s="38"/>
      <c r="Z368" s="38"/>
      <c r="AA368" s="38"/>
      <c r="AB368" s="38"/>
      <c r="AC368" s="38"/>
      <c r="AD368" s="38"/>
      <c r="AE368" s="38"/>
    </row>
    <row r="369" spans="1:31" ht="21.2" customHeight="1">
      <c r="A369" s="8" t="s">
        <v>735</v>
      </c>
      <c r="B369" s="34" t="str">
        <f>VLOOKUP(A369,'Player Data'!A1:B734,2,FALSE)</f>
        <v>WSH</v>
      </c>
      <c r="C369" s="36">
        <f>((E369)*Settings!$C$12)+(F369*Settings!$C$2)+(G369*Settings!$C$3)+(H369*Settings!$C$4)+(I369*Settings!$C$5)+(K369*Settings!$C$9)+(N369*Settings!$C$6)+(J369*Settings!$C$8)+(O369*Settings!$C$7)+(P369*Settings!$C$14)+(Q369*Settings!$C$15)+(R369*Settings!$C$16)+(S369*Settings!$C$17)+(T369*Settings!$C$18)+(U369*Settings!$C$19)+(L369*Settings!$C$10)+(Settings!$C$11*M369)</f>
        <v>-2.5729813082637349</v>
      </c>
      <c r="D369" s="40">
        <f>IF(Settings!$E$12="YES",VLOOKUP(A369,'Player Data'!A1:E734,5,FALSE),82)</f>
        <v>82</v>
      </c>
      <c r="E369" s="38">
        <f>(VLOOKUP($A369,'The List'!$B1:$AH730,17,FALSE)-AVERAGE('The List'!R2:R730))/STDEV('The List'!R2:R730)</f>
        <v>-1.2016578231794739</v>
      </c>
      <c r="F369" s="38">
        <f>(VLOOKUP($A369,'The List'!$B1:$AH730,18,FALSE)-AVERAGE('The List'!S2:S730))/STDEV('The List'!S2:S730)</f>
        <v>-0.11060064138755091</v>
      </c>
      <c r="G369" s="38">
        <f>(VLOOKUP($A369,'The List'!$B1:$AH730,19,FALSE)-AVERAGE('The List'!T2:T730))/STDEV('The List'!T2:T730)</f>
        <v>-0.64802324154656721</v>
      </c>
      <c r="H369" s="38">
        <f>(VLOOKUP($A369,'The List'!$B1:$AH730,20,FALSE)-AVERAGE('The List'!U2:U730))/STDEV('The List'!U2:U730)</f>
        <v>-0.44965103955543884</v>
      </c>
      <c r="I369" s="38">
        <f>(VLOOKUP($A369,'The List'!$B1:$AH730,21,FALSE)-AVERAGE('The List'!V2:V730))/STDEV('The List'!V2:V730)</f>
        <v>-0.5588286702525227</v>
      </c>
      <c r="J369" s="38">
        <f>(VLOOKUP($A369,'The List'!$B1:$AH730,22,FALSE)-AVERAGE('The List'!W2:W730))/STDEV('The List'!W2:W730)</f>
        <v>-0.7096839895054724</v>
      </c>
      <c r="K369" s="38">
        <f>(VLOOKUP($A369,'The List'!$B1:$AH730,23,FALSE)-AVERAGE('The List'!X2:X730))/STDEV('The List'!X2:X730)</f>
        <v>-0.80587771552165521</v>
      </c>
      <c r="L369" s="38">
        <f>(VLOOKUP($A369,'The List'!$B1:$AH730,24,FALSE)-AVERAGE('The List'!Y2:Y730))/STDEV('The List'!Y2:Y730)</f>
        <v>-0.52515529094994673</v>
      </c>
      <c r="M369" s="38">
        <f>(VLOOKUP($A369,'The List'!$B1:$AH730,25,FALSE)-AVERAGE('The List'!Z2:Z730))/STDEV('The List'!Z2:Z730)</f>
        <v>-0.70378350861314143</v>
      </c>
      <c r="N369" s="38">
        <f>(VLOOKUP($A369,'The List'!$B1:$AH730,26,FALSE)-AVERAGE('The List'!AA2:AA730))/STDEV('The List'!AA2:AA730)</f>
        <v>-0.73342626902890407</v>
      </c>
      <c r="O369" s="38">
        <f>(VLOOKUP($A369,'The List'!$B1:$AH730,27,FALSE)-AVERAGE('The List'!AB2:AB730))/STDEV('The List'!AB2:AB730)</f>
        <v>-0.66813728048963028</v>
      </c>
      <c r="P369" s="38">
        <f>(VLOOKUP($A369,'The List'!$B1:$AH730,28,FALSE)-AVERAGE('The List'!AC2:AC730))/STDEV('The List'!AC2:AC730)</f>
        <v>-0.6190882442293687</v>
      </c>
      <c r="Q369" s="38">
        <f>(VLOOKUP($A369,'The List'!$B1:$AH730,29,FALSE)-AVERAGE('The List'!AD2:AD730))/STDEV('The List'!AD2:AD730)</f>
        <v>-1.0341791739887378</v>
      </c>
      <c r="R369" s="38">
        <f>(VLOOKUP($A369,'The List'!$B1:$AH730,30,FALSE)-AVERAGE('The List'!AE2:AE730))/STDEV('The List'!AE2:AE730)</f>
        <v>-0.24279035366532609</v>
      </c>
      <c r="S369" s="38">
        <f>(VLOOKUP($A369,'The List'!$B1:$AH730,31,FALSE)-AVERAGE('The List'!AF2:AF730))/STDEV('The List'!AF2:AF730)</f>
        <v>-0.53789645084480309</v>
      </c>
      <c r="T369" s="38">
        <f>(VLOOKUP($A369,'The List'!$B1:$AH730,32,FALSE)-AVERAGE('The List'!AG2:AG730))/STDEV('The List'!AG2:AG730)</f>
        <v>-0.5612594209456383</v>
      </c>
      <c r="U369" s="38">
        <f>(VLOOKUP($A369,'The List'!$B1:$AH730,33,FALSE)-AVERAGE('The List'!AH2:AH730))/STDEV('The List'!AH2:AH730)</f>
        <v>0.47343149563158715</v>
      </c>
      <c r="V369" s="38"/>
      <c r="W369" s="42"/>
      <c r="X369" s="40"/>
      <c r="Y369" s="40"/>
      <c r="Z369" s="40"/>
      <c r="AA369" s="40"/>
      <c r="AB369" s="40"/>
      <c r="AC369" s="43"/>
      <c r="AD369" s="44"/>
      <c r="AE369" s="38"/>
    </row>
    <row r="370" spans="1:31" ht="21.2" customHeight="1">
      <c r="A370" s="8" t="s">
        <v>636</v>
      </c>
      <c r="B370" s="34" t="str">
        <f>VLOOKUP(A370,'Player Data'!A1:B734,2,FALSE)</f>
        <v>WPG</v>
      </c>
      <c r="C370" s="36">
        <f>((E370)*Settings!$C$12)+(F370*Settings!$C$2)+(G370*Settings!$C$3)+(H370*Settings!$C$4)+(I370*Settings!$C$5)+(K370*Settings!$C$9)+(N370*Settings!$C$6)+(J370*Settings!$C$8)+(O370*Settings!$C$7)+(P370*Settings!$C$14)+(Q370*Settings!$C$15)+(R370*Settings!$C$16)+(S370*Settings!$C$17)+(T370*Settings!$C$18)+(U370*Settings!$C$19)+(L370*Settings!$C$10)+(Settings!$C$11*M370)</f>
        <v>-2.0937419581492356</v>
      </c>
      <c r="D370" s="40">
        <f>IF(Settings!$E$12="YES",VLOOKUP(A370,'Player Data'!A1:E734,5,FALSE),82)</f>
        <v>82</v>
      </c>
      <c r="E370" s="38">
        <f>(VLOOKUP($A370,'The List'!$B1:$AH730,17,FALSE)-AVERAGE('The List'!R2:R730))/STDEV('The List'!R2:R730)</f>
        <v>-0.43042641485513983</v>
      </c>
      <c r="F370" s="38">
        <f>(VLOOKUP($A370,'The List'!$B1:$AH730,18,FALSE)-AVERAGE('The List'!S2:S730))/STDEV('The List'!S2:S730)</f>
        <v>-0.17574290764965425</v>
      </c>
      <c r="G370" s="38">
        <f>(VLOOKUP($A370,'The List'!$B1:$AH730,19,FALSE)-AVERAGE('The List'!T2:T730))/STDEV('The List'!T2:T730)</f>
        <v>-0.60838137969441786</v>
      </c>
      <c r="H370" s="38">
        <f>(VLOOKUP($A370,'The List'!$B1:$AH730,20,FALSE)-AVERAGE('The List'!U2:U730))/STDEV('The List'!U2:U730)</f>
        <v>-0.45557244504129624</v>
      </c>
      <c r="I370" s="38">
        <f>(VLOOKUP($A370,'The List'!$B1:$AH730,21,FALSE)-AVERAGE('The List'!V2:V730))/STDEV('The List'!V2:V730)</f>
        <v>-0.30041036150621436</v>
      </c>
      <c r="J370" s="38">
        <f>(VLOOKUP($A370,'The List'!$B1:$AH730,22,FALSE)-AVERAGE('The List'!W2:W730))/STDEV('The List'!W2:W730)</f>
        <v>-0.58130439102488862</v>
      </c>
      <c r="K370" s="38">
        <f>(VLOOKUP($A370,'The List'!$B1:$AH730,23,FALSE)-AVERAGE('The List'!X2:X730))/STDEV('The List'!X2:X730)</f>
        <v>-0.55363486425765296</v>
      </c>
      <c r="L370" s="38">
        <f>(VLOOKUP($A370,'The List'!$B1:$AH730,24,FALSE)-AVERAGE('The List'!Y2:Y730))/STDEV('The List'!Y2:Y730)</f>
        <v>3.4034131285332103</v>
      </c>
      <c r="M370" s="38">
        <f>(VLOOKUP($A370,'The List'!$B1:$AH730,25,FALSE)-AVERAGE('The List'!Z2:Z730))/STDEV('The List'!Z2:Z730)</f>
        <v>2.664392553891076</v>
      </c>
      <c r="N370" s="38">
        <f>(VLOOKUP($A370,'The List'!$B1:$AH730,26,FALSE)-AVERAGE('The List'!AA2:AA730))/STDEV('The List'!AA2:AA730)</f>
        <v>-0.4829922252569217</v>
      </c>
      <c r="O370" s="38">
        <f>(VLOOKUP($A370,'The List'!$B1:$AH730,27,FALSE)-AVERAGE('The List'!AB2:AB730))/STDEV('The List'!AB2:AB730)</f>
        <v>1.4728695931613518</v>
      </c>
      <c r="P370" s="38">
        <f>(VLOOKUP($A370,'The List'!$B1:$AH730,28,FALSE)-AVERAGE('The List'!AC2:AC730))/STDEV('The List'!AC2:AC730)</f>
        <v>0.195642784349393</v>
      </c>
      <c r="Q370" s="38">
        <f>(VLOOKUP($A370,'The List'!$B1:$AH730,29,FALSE)-AVERAGE('The List'!AD2:AD730))/STDEV('The List'!AD2:AD730)</f>
        <v>0.37548158390050873</v>
      </c>
      <c r="R370" s="38">
        <f>(VLOOKUP($A370,'The List'!$B1:$AH730,30,FALSE)-AVERAGE('The List'!AE2:AE730))/STDEV('The List'!AE2:AE730)</f>
        <v>-3.8347973369395862E-2</v>
      </c>
      <c r="S370" s="38">
        <f>(VLOOKUP($A370,'The List'!$B1:$AH730,31,FALSE)-AVERAGE('The List'!AF2:AF730))/STDEV('The List'!AF2:AF730)</f>
        <v>2.1041828922877293</v>
      </c>
      <c r="T370" s="38">
        <f>(VLOOKUP($A370,'The List'!$B1:$AH730,32,FALSE)-AVERAGE('The List'!AG2:AG730))/STDEV('The List'!AG2:AG730)</f>
        <v>2.0426588141576221</v>
      </c>
      <c r="U370" s="38">
        <f>(VLOOKUP($A370,'The List'!$B1:$AH730,33,FALSE)-AVERAGE('The List'!AH2:AH730))/STDEV('The List'!AH2:AH730)</f>
        <v>1.0841799740952767</v>
      </c>
      <c r="V370" s="38"/>
      <c r="W370" s="42"/>
      <c r="X370" s="40"/>
      <c r="Y370" s="40"/>
      <c r="Z370" s="40"/>
      <c r="AA370" s="40"/>
      <c r="AB370" s="40"/>
      <c r="AC370" s="43"/>
      <c r="AD370" s="44"/>
      <c r="AE370" s="38"/>
    </row>
    <row r="371" spans="1:31" ht="21.2" customHeight="1">
      <c r="A371" s="8" t="s">
        <v>657</v>
      </c>
      <c r="B371" s="34" t="str">
        <f>VLOOKUP(A371,'Player Data'!A1:B734,2,FALSE)</f>
        <v>CBJ</v>
      </c>
      <c r="C371" s="36">
        <f>((E371)*Settings!$C$12)+(F371*Settings!$C$2)+(G371*Settings!$C$3)+(H371*Settings!$C$4)+(I371*Settings!$C$5)+(K371*Settings!$C$9)+(N371*Settings!$C$6)+(J371*Settings!$C$8)+(O371*Settings!$C$7)+(P371*Settings!$C$14)+(Q371*Settings!$C$15)+(R371*Settings!$C$16)+(S371*Settings!$C$17)+(T371*Settings!$C$18)+(U371*Settings!$C$19)+(L371*Settings!$C$10)+(Settings!$C$11*M371)</f>
        <v>-1.9834869449268013</v>
      </c>
      <c r="D371" s="40">
        <f>IF(Settings!$E$12="YES",VLOOKUP(A371,'Player Data'!A1:E734,5,FALSE),82)</f>
        <v>82</v>
      </c>
      <c r="E371" s="38">
        <f>(VLOOKUP($A371,'The List'!$B1:$AH730,17,FALSE)-AVERAGE('The List'!R2:R730))/STDEV('The List'!R2:R730)</f>
        <v>-0.64872059274632832</v>
      </c>
      <c r="F371" s="38">
        <f>(VLOOKUP($A371,'The List'!$B1:$AH730,18,FALSE)-AVERAGE('The List'!S2:S730))/STDEV('The List'!S2:S730)</f>
        <v>-0.18621295173750713</v>
      </c>
      <c r="G371" s="38">
        <f>(VLOOKUP($A371,'The List'!$B1:$AH730,19,FALSE)-AVERAGE('The List'!T2:T730))/STDEV('The List'!T2:T730)</f>
        <v>-0.60261820851377701</v>
      </c>
      <c r="H371" s="38">
        <f>(VLOOKUP($A371,'The List'!$B1:$AH730,20,FALSE)-AVERAGE('The List'!U2:U730))/STDEV('The List'!U2:U730)</f>
        <v>-0.45689799177518126</v>
      </c>
      <c r="I371" s="38">
        <f>(VLOOKUP($A371,'The List'!$B1:$AH730,21,FALSE)-AVERAGE('The List'!V2:V730))/STDEV('The List'!V2:V730)</f>
        <v>-0.17850768263006436</v>
      </c>
      <c r="J371" s="38">
        <f>(VLOOKUP($A371,'The List'!$B1:$AH730,22,FALSE)-AVERAGE('The List'!W2:W730))/STDEV('The List'!W2:W730)</f>
        <v>-0.41573582443327101</v>
      </c>
      <c r="K371" s="38">
        <f>(VLOOKUP($A371,'The List'!$B1:$AH730,23,FALSE)-AVERAGE('The List'!X2:X730))/STDEV('The List'!X2:X730)</f>
        <v>-0.55925011027027161</v>
      </c>
      <c r="L371" s="38">
        <f>(VLOOKUP($A371,'The List'!$B1:$AH730,24,FALSE)-AVERAGE('The List'!Y2:Y730))/STDEV('The List'!Y2:Y730)</f>
        <v>-0.19369730259334783</v>
      </c>
      <c r="M371" s="38">
        <f>(VLOOKUP($A371,'The List'!$B1:$AH730,25,FALSE)-AVERAGE('The List'!Z2:Z730))/STDEV('The List'!Z2:Z730)</f>
        <v>-0.22211416178262927</v>
      </c>
      <c r="N371" s="38">
        <f>(VLOOKUP($A371,'The List'!$B1:$AH730,26,FALSE)-AVERAGE('The List'!AA2:AA730))/STDEV('The List'!AA2:AA730)</f>
        <v>-0.43980895784577018</v>
      </c>
      <c r="O371" s="38">
        <f>(VLOOKUP($A371,'The List'!$B1:$AH730,27,FALSE)-AVERAGE('The List'!AB2:AB730))/STDEV('The List'!AB2:AB730)</f>
        <v>0.45221396473230963</v>
      </c>
      <c r="P371" s="38">
        <f>(VLOOKUP($A371,'The List'!$B1:$AH730,28,FALSE)-AVERAGE('The List'!AC2:AC730))/STDEV('The List'!AC2:AC730)</f>
        <v>-1.8631102012765053</v>
      </c>
      <c r="Q371" s="38">
        <f>(VLOOKUP($A371,'The List'!$B1:$AH730,29,FALSE)-AVERAGE('The List'!AD2:AD730))/STDEV('The List'!AD2:AD730)</f>
        <v>-9.2730952437039549E-2</v>
      </c>
      <c r="R371" s="38">
        <f>(VLOOKUP($A371,'The List'!$B1:$AH730,30,FALSE)-AVERAGE('The List'!AE2:AE730))/STDEV('The List'!AE2:AE730)</f>
        <v>-0.42553667924083594</v>
      </c>
      <c r="S371" s="38">
        <f>(VLOOKUP($A371,'The List'!$B1:$AH730,31,FALSE)-AVERAGE('The List'!AF2:AF730))/STDEV('The List'!AF2:AF730)</f>
        <v>1.3901927055700265</v>
      </c>
      <c r="T371" s="38">
        <f>(VLOOKUP($A371,'The List'!$B1:$AH730,32,FALSE)-AVERAGE('The List'!AG2:AG730))/STDEV('The List'!AG2:AG730)</f>
        <v>1.8645899891378481</v>
      </c>
      <c r="U371" s="38">
        <f>(VLOOKUP($A371,'The List'!$B1:$AH730,33,FALSE)-AVERAGE('The List'!AH2:AH730))/STDEV('The List'!AH2:AH730)</f>
        <v>0.81227090693096315</v>
      </c>
      <c r="V371" s="38"/>
      <c r="W371" s="40"/>
      <c r="X371" s="38"/>
      <c r="Y371" s="38"/>
      <c r="Z371" s="38"/>
      <c r="AA371" s="38"/>
      <c r="AB371" s="38"/>
      <c r="AC371" s="38"/>
      <c r="AD371" s="38"/>
      <c r="AE371" s="38"/>
    </row>
    <row r="372" spans="1:31" ht="21.2" customHeight="1">
      <c r="A372" s="8" t="s">
        <v>659</v>
      </c>
      <c r="B372" s="34" t="str">
        <f>VLOOKUP(A372,'Player Data'!A1:B734,2,FALSE)</f>
        <v>VGK</v>
      </c>
      <c r="C372" s="36">
        <f>((E372)*Settings!$C$12)+(F372*Settings!$C$2)+(G372*Settings!$C$3)+(H372*Settings!$C$4)+(I372*Settings!$C$5)+(K372*Settings!$C$9)+(N372*Settings!$C$6)+(J372*Settings!$C$8)+(O372*Settings!$C$7)+(P372*Settings!$C$14)+(Q372*Settings!$C$15)+(R372*Settings!$C$16)+(S372*Settings!$C$17)+(T372*Settings!$C$18)+(U372*Settings!$C$19)+(L372*Settings!$C$10)+(Settings!$C$11*M372)</f>
        <v>-2.3998666408683369</v>
      </c>
      <c r="D372" s="40">
        <f>IF(Settings!$E$12="YES",VLOOKUP(A372,'Player Data'!A1:E734,5,FALSE),82)</f>
        <v>82</v>
      </c>
      <c r="E372" s="38">
        <f>(VLOOKUP($A372,'The List'!$B1:$AH730,17,FALSE)-AVERAGE('The List'!R2:R730))/STDEV('The List'!R2:R730)</f>
        <v>-1.1761717979619053</v>
      </c>
      <c r="F372" s="38">
        <f>(VLOOKUP($A372,'The List'!$B1:$AH730,18,FALSE)-AVERAGE('The List'!S2:S730))/STDEV('The List'!S2:S730)</f>
        <v>0.10894131336138857</v>
      </c>
      <c r="G372" s="38">
        <f>(VLOOKUP($A372,'The List'!$B1:$AH730,19,FALSE)-AVERAGE('The List'!T2:T730))/STDEV('The List'!T2:T730)</f>
        <v>-0.84084999949926731</v>
      </c>
      <c r="H372" s="38">
        <f>(VLOOKUP($A372,'The List'!$B1:$AH730,20,FALSE)-AVERAGE('The List'!U2:U730))/STDEV('The List'!U2:U730)</f>
        <v>-0.46609151266817173</v>
      </c>
      <c r="I372" s="38">
        <f>(VLOOKUP($A372,'The List'!$B1:$AH730,21,FALSE)-AVERAGE('The List'!V2:V730))/STDEV('The List'!V2:V730)</f>
        <v>-0.54584546356329278</v>
      </c>
      <c r="J372" s="38">
        <f>(VLOOKUP($A372,'The List'!$B1:$AH730,22,FALSE)-AVERAGE('The List'!W2:W730))/STDEV('The List'!W2:W730)</f>
        <v>-0.55515728713899282</v>
      </c>
      <c r="K372" s="38">
        <f>(VLOOKUP($A372,'The List'!$B1:$AH730,23,FALSE)-AVERAGE('The List'!X2:X730))/STDEV('The List'!X2:X730)</f>
        <v>-0.65602097849899377</v>
      </c>
      <c r="L372" s="38">
        <f>(VLOOKUP($A372,'The List'!$B1:$AH730,24,FALSE)-AVERAGE('The List'!Y2:Y730))/STDEV('The List'!Y2:Y730)</f>
        <v>-0.52515529094994673</v>
      </c>
      <c r="M372" s="38">
        <f>(VLOOKUP($A372,'The List'!$B1:$AH730,25,FALSE)-AVERAGE('The List'!Z2:Z730))/STDEV('The List'!Z2:Z730)</f>
        <v>-0.70378350861314143</v>
      </c>
      <c r="N372" s="38">
        <f>(VLOOKUP($A372,'The List'!$B1:$AH730,26,FALSE)-AVERAGE('The List'!AA2:AA730))/STDEV('The List'!AA2:AA730)</f>
        <v>-0.80924727528278539</v>
      </c>
      <c r="O372" s="38">
        <f>(VLOOKUP($A372,'The List'!$B1:$AH730,27,FALSE)-AVERAGE('The List'!AB2:AB730))/STDEV('The List'!AB2:AB730)</f>
        <v>-0.56997804100909999</v>
      </c>
      <c r="P372" s="38">
        <f>(VLOOKUP($A372,'The List'!$B1:$AH730,28,FALSE)-AVERAGE('The List'!AC2:AC730))/STDEV('The List'!AC2:AC730)</f>
        <v>0.99774634566764686</v>
      </c>
      <c r="Q372" s="38">
        <f>(VLOOKUP($A372,'The List'!$B1:$AH730,29,FALSE)-AVERAGE('The List'!AD2:AD730))/STDEV('The List'!AD2:AD730)</f>
        <v>-1.0271310548407879</v>
      </c>
      <c r="R372" s="38">
        <f>(VLOOKUP($A372,'The List'!$B1:$AH730,30,FALSE)-AVERAGE('The List'!AE2:AE730))/STDEV('The List'!AE2:AE730)</f>
        <v>0.32236833406587712</v>
      </c>
      <c r="S372" s="38">
        <f>(VLOOKUP($A372,'The List'!$B1:$AH730,31,FALSE)-AVERAGE('The List'!AF2:AF730))/STDEV('The List'!AF2:AF730)</f>
        <v>-0.32185978330983483</v>
      </c>
      <c r="T372" s="38">
        <f>(VLOOKUP($A372,'The List'!$B1:$AH730,32,FALSE)-AVERAGE('The List'!AG2:AG730))/STDEV('The List'!AG2:AG730)</f>
        <v>-0.31720628501442194</v>
      </c>
      <c r="U372" s="38">
        <f>(VLOOKUP($A372,'The List'!$B1:$AH730,33,FALSE)-AVERAGE('The List'!AH2:AH730))/STDEV('The List'!AH2:AH730)</f>
        <v>0.86748777974612934</v>
      </c>
      <c r="V372" s="38"/>
      <c r="W372" s="42"/>
      <c r="X372" s="40"/>
      <c r="Y372" s="40"/>
      <c r="Z372" s="40"/>
      <c r="AA372" s="40"/>
      <c r="AB372" s="40"/>
      <c r="AC372" s="43"/>
      <c r="AD372" s="44"/>
      <c r="AE372" s="38"/>
    </row>
    <row r="373" spans="1:31" ht="21.2" customHeight="1">
      <c r="A373" s="8" t="s">
        <v>742</v>
      </c>
      <c r="B373" s="34" t="str">
        <f>VLOOKUP(A373,'Player Data'!A1:B734,2,FALSE)</f>
        <v>TOR</v>
      </c>
      <c r="C373" s="36">
        <f>((E373)*Settings!$C$12)+(F373*Settings!$C$2)+(G373*Settings!$C$3)+(H373*Settings!$C$4)+(I373*Settings!$C$5)+(K373*Settings!$C$9)+(N373*Settings!$C$6)+(J373*Settings!$C$8)+(O373*Settings!$C$7)+(P373*Settings!$C$14)+(Q373*Settings!$C$15)+(R373*Settings!$C$16)+(S373*Settings!$C$17)+(T373*Settings!$C$18)+(U373*Settings!$C$19)+(L373*Settings!$C$10)+(Settings!$C$11*M373)</f>
        <v>-2.1625010816875663</v>
      </c>
      <c r="D373" s="40">
        <f>IF(Settings!$E$12="YES",VLOOKUP(A373,'Player Data'!A1:E734,5,FALSE),82)</f>
        <v>82</v>
      </c>
      <c r="E373" s="38">
        <f>(VLOOKUP($A373,'The List'!$B1:$AH730,17,FALSE)-AVERAGE('The List'!R2:R730))/STDEV('The List'!R2:R730)</f>
        <v>-1.2018523917399186</v>
      </c>
      <c r="F373" s="38">
        <f>(VLOOKUP($A373,'The List'!$B1:$AH730,18,FALSE)-AVERAGE('The List'!S2:S730))/STDEV('The List'!S2:S730)</f>
        <v>-0.18334000260391389</v>
      </c>
      <c r="G373" s="38">
        <f>(VLOOKUP($A373,'The List'!$B1:$AH730,19,FALSE)-AVERAGE('The List'!T2:T730))/STDEV('The List'!T2:T730)</f>
        <v>-0.62009258432854253</v>
      </c>
      <c r="H373" s="38">
        <f>(VLOOKUP($A373,'The List'!$B1:$AH730,20,FALSE)-AVERAGE('The List'!U2:U730))/STDEV('The List'!U2:U730)</f>
        <v>-0.466301126265112</v>
      </c>
      <c r="I373" s="38">
        <f>(VLOOKUP($A373,'The List'!$B1:$AH730,21,FALSE)-AVERAGE('The List'!V2:V730))/STDEV('The List'!V2:V730)</f>
        <v>-0.20948824780056743</v>
      </c>
      <c r="J373" s="38">
        <f>(VLOOKUP($A373,'The List'!$B1:$AH730,22,FALSE)-AVERAGE('The List'!W2:W730))/STDEV('The List'!W2:W730)</f>
        <v>-0.58606345573140262</v>
      </c>
      <c r="K373" s="38">
        <f>(VLOOKUP($A373,'The List'!$B1:$AH730,23,FALSE)-AVERAGE('The List'!X2:X730))/STDEV('The List'!X2:X730)</f>
        <v>-0.6832791206894302</v>
      </c>
      <c r="L373" s="38">
        <f>(VLOOKUP($A373,'The List'!$B1:$AH730,24,FALSE)-AVERAGE('The List'!Y2:Y730))/STDEV('The List'!Y2:Y730)</f>
        <v>-0.49703356862986431</v>
      </c>
      <c r="M373" s="38">
        <f>(VLOOKUP($A373,'The List'!$B1:$AH730,25,FALSE)-AVERAGE('The List'!Z2:Z730))/STDEV('The List'!Z2:Z730)</f>
        <v>-0.66979604681573357</v>
      </c>
      <c r="N373" s="38">
        <f>(VLOOKUP($A373,'The List'!$B1:$AH730,26,FALSE)-AVERAGE('The List'!AA2:AA730))/STDEV('The List'!AA2:AA730)</f>
        <v>-0.69190815374488368</v>
      </c>
      <c r="O373" s="38">
        <f>(VLOOKUP($A373,'The List'!$B1:$AH730,27,FALSE)-AVERAGE('The List'!AB2:AB730))/STDEV('The List'!AB2:AB730)</f>
        <v>9.632744873831145E-2</v>
      </c>
      <c r="P373" s="38">
        <f>(VLOOKUP($A373,'The List'!$B1:$AH730,28,FALSE)-AVERAGE('The List'!AC2:AC730))/STDEV('The List'!AC2:AC730)</f>
        <v>0.79411784603679492</v>
      </c>
      <c r="Q373" s="38">
        <f>(VLOOKUP($A373,'The List'!$B1:$AH730,29,FALSE)-AVERAGE('The List'!AD2:AD730))/STDEV('The List'!AD2:AD730)</f>
        <v>-0.94904453257638188</v>
      </c>
      <c r="R373" s="38">
        <f>(VLOOKUP($A373,'The List'!$B1:$AH730,30,FALSE)-AVERAGE('The List'!AE2:AE730))/STDEV('The List'!AE2:AE730)</f>
        <v>-1.0160602672817598E-2</v>
      </c>
      <c r="S373" s="38">
        <f>(VLOOKUP($A373,'The List'!$B1:$AH730,31,FALSE)-AVERAGE('The List'!AF2:AF730))/STDEV('The List'!AF2:AF730)</f>
        <v>-0.54179257295415473</v>
      </c>
      <c r="T373" s="38">
        <f>(VLOOKUP($A373,'The List'!$B1:$AH730,32,FALSE)-AVERAGE('The List'!AG2:AG730))/STDEV('The List'!AG2:AG730)</f>
        <v>-0.56950147769416215</v>
      </c>
      <c r="U373" s="38">
        <f>(VLOOKUP($A373,'The List'!$B1:$AH730,33,FALSE)-AVERAGE('The List'!AH2:AH730))/STDEV('The List'!AH2:AH730)</f>
        <v>0.50846832947283649</v>
      </c>
      <c r="V373" s="38"/>
      <c r="W373" s="40"/>
      <c r="X373" s="38"/>
      <c r="Y373" s="38"/>
      <c r="Z373" s="38"/>
      <c r="AA373" s="38"/>
      <c r="AB373" s="38"/>
      <c r="AC373" s="38"/>
      <c r="AD373" s="38"/>
      <c r="AE373" s="38"/>
    </row>
    <row r="374" spans="1:31" ht="21.2" customHeight="1">
      <c r="A374" s="8" t="s">
        <v>317</v>
      </c>
      <c r="B374" s="34" t="str">
        <f>VLOOKUP(A374,'Player Data'!A1:B734,2,FALSE)</f>
        <v>SEA</v>
      </c>
      <c r="C374" s="36">
        <f>((E374)*Settings!$C$12)+(F374*Settings!$C$2)+(G374*Settings!$C$3)+(H374*Settings!$C$4)+(I374*Settings!$C$5)+(K374*Settings!$C$9)+(N374*Settings!$C$6)+(J374*Settings!$C$8)+(O374*Settings!$C$7)+(P374*Settings!$C$14)+(Q374*Settings!$C$15)+(R374*Settings!$C$16)+(S374*Settings!$C$17)+(T374*Settings!$C$18)+(U374*Settings!$C$19)+(L374*Settings!$C$10)+(Settings!$C$11*M374)</f>
        <v>-2.3205697347603951</v>
      </c>
      <c r="D374" s="40">
        <f>IF(Settings!$E$12="YES",VLOOKUP(A374,'Player Data'!A1:E734,5,FALSE),82)</f>
        <v>82</v>
      </c>
      <c r="E374" s="38">
        <f>(VLOOKUP($A374,'The List'!$B1:$AH730,17,FALSE)-AVERAGE('The List'!R2:R730))/STDEV('The List'!R2:R730)</f>
        <v>1.9626948407121256</v>
      </c>
      <c r="F374" s="38">
        <f>(VLOOKUP($A374,'The List'!$B1:$AH730,18,FALSE)-AVERAGE('The List'!S2:S730))/STDEV('The List'!S2:S730)</f>
        <v>-0.62613537218456894</v>
      </c>
      <c r="G374" s="38">
        <f>(VLOOKUP($A374,'The List'!$B1:$AH730,19,FALSE)-AVERAGE('The List'!T2:T730))/STDEV('The List'!T2:T730)</f>
        <v>-0.287732211865253</v>
      </c>
      <c r="H374" s="38">
        <f>(VLOOKUP($A374,'The List'!$B1:$AH730,20,FALSE)-AVERAGE('The List'!U2:U730))/STDEV('The List'!U2:U730)</f>
        <v>-0.46789627115918175</v>
      </c>
      <c r="I374" s="38">
        <f>(VLOOKUP($A374,'The List'!$B1:$AH730,21,FALSE)-AVERAGE('The List'!V2:V730))/STDEV('The List'!V2:V730)</f>
        <v>-0.14472862349024607</v>
      </c>
      <c r="J374" s="38">
        <f>(VLOOKUP($A374,'The List'!$B1:$AH730,22,FALSE)-AVERAGE('The List'!W2:W730))/STDEV('The List'!W2:W730)</f>
        <v>-0.7279636382074437</v>
      </c>
      <c r="K374" s="38">
        <f>(VLOOKUP($A374,'The List'!$B1:$AH730,23,FALSE)-AVERAGE('The List'!X2:X730))/STDEV('The List'!X2:X730)</f>
        <v>-0.79407725606114532</v>
      </c>
      <c r="L374" s="38">
        <f>(VLOOKUP($A374,'The List'!$B1:$AH730,24,FALSE)-AVERAGE('The List'!Y2:Y730))/STDEV('The List'!Y2:Y730)</f>
        <v>-0.55034294082531943</v>
      </c>
      <c r="M374" s="38">
        <f>(VLOOKUP($A374,'The List'!$B1:$AH730,25,FALSE)-AVERAGE('The List'!Z2:Z730))/STDEV('The List'!Z2:Z730)</f>
        <v>-0.69330909556301867</v>
      </c>
      <c r="N374" s="38">
        <f>(VLOOKUP($A374,'The List'!$B1:$AH730,26,FALSE)-AVERAGE('The List'!AA2:AA730))/STDEV('The List'!AA2:AA730)</f>
        <v>2.4523391466384652</v>
      </c>
      <c r="O374" s="38">
        <f>(VLOOKUP($A374,'The List'!$B1:$AH730,27,FALSE)-AVERAGE('The List'!AB2:AB730))/STDEV('The List'!AB2:AB730)</f>
        <v>1.9317368730475322</v>
      </c>
      <c r="P374" s="38">
        <f>(VLOOKUP($A374,'The List'!$B1:$AH730,28,FALSE)-AVERAGE('The List'!AC2:AC730))/STDEV('The List'!AC2:AC730)</f>
        <v>-4.4938110954479263E-2</v>
      </c>
      <c r="Q374" s="38">
        <f>(VLOOKUP($A374,'The List'!$B1:$AH730,29,FALSE)-AVERAGE('The List'!AD2:AD730))/STDEV('The List'!AD2:AD730)</f>
        <v>1.1050589393491508</v>
      </c>
      <c r="R374" s="38">
        <f>(VLOOKUP($A374,'The List'!$B1:$AH730,30,FALSE)-AVERAGE('The List'!AE2:AE730))/STDEV('The List'!AE2:AE730)</f>
        <v>-0.5707142865917797</v>
      </c>
      <c r="S374" s="38">
        <f>(VLOOKUP($A374,'The List'!$B1:$AH730,31,FALSE)-AVERAGE('The List'!AF2:AF730))/STDEV('The List'!AF2:AF730)</f>
        <v>-0.56899887247764502</v>
      </c>
      <c r="T374" s="38">
        <f>(VLOOKUP($A374,'The List'!$B1:$AH730,32,FALSE)-AVERAGE('The List'!AG2:AG730))/STDEV('The List'!AG2:AG730)</f>
        <v>-0.61444522069801066</v>
      </c>
      <c r="U374" s="38">
        <f>(VLOOKUP($A374,'The List'!$B1:$AH730,33,FALSE)-AVERAGE('The List'!AH2:AH730))/STDEV('The List'!AH2:AH730)</f>
        <v>-0.5235721702886863</v>
      </c>
      <c r="V374" s="38"/>
      <c r="W374" s="40"/>
      <c r="X374" s="38"/>
      <c r="Y374" s="38"/>
      <c r="Z374" s="38"/>
      <c r="AA374" s="38"/>
      <c r="AB374" s="38"/>
      <c r="AC374" s="38"/>
      <c r="AD374" s="38"/>
      <c r="AE374" s="38"/>
    </row>
    <row r="375" spans="1:31" ht="21.2" customHeight="1">
      <c r="A375" s="8" t="s">
        <v>340</v>
      </c>
      <c r="B375" s="34" t="str">
        <f>VLOOKUP(A375,'Player Data'!A1:B734,2,FALSE)</f>
        <v>PHI</v>
      </c>
      <c r="C375" s="36">
        <f>((E375)*Settings!$C$12)+(F375*Settings!$C$2)+(G375*Settings!$C$3)+(H375*Settings!$C$4)+(I375*Settings!$C$5)+(K375*Settings!$C$9)+(N375*Settings!$C$6)+(J375*Settings!$C$8)+(O375*Settings!$C$7)+(P375*Settings!$C$14)+(Q375*Settings!$C$15)+(R375*Settings!$C$16)+(S375*Settings!$C$17)+(T375*Settings!$C$18)+(U375*Settings!$C$19)+(L375*Settings!$C$10)+(Settings!$C$11*M375)</f>
        <v>-2.4623612641078871</v>
      </c>
      <c r="D375" s="40">
        <f>IF(Settings!$E$12="YES",VLOOKUP(A375,'Player Data'!A1:E734,5,FALSE),82)</f>
        <v>82</v>
      </c>
      <c r="E375" s="38">
        <f>(VLOOKUP($A375,'The List'!$B1:$AH730,17,FALSE)-AVERAGE('The List'!R2:R730))/STDEV('The List'!R2:R730)</f>
        <v>1.3683587568934041</v>
      </c>
      <c r="F375" s="38">
        <f>(VLOOKUP($A375,'The List'!$B1:$AH730,18,FALSE)-AVERAGE('The List'!S2:S730))/STDEV('The List'!S2:S730)</f>
        <v>-0.70433642087450266</v>
      </c>
      <c r="G375" s="38">
        <f>(VLOOKUP($A375,'The List'!$B1:$AH730,19,FALSE)-AVERAGE('The List'!T2:T730))/STDEV('The List'!T2:T730)</f>
        <v>-0.22928045101015027</v>
      </c>
      <c r="H375" s="38">
        <f>(VLOOKUP($A375,'The List'!$B1:$AH730,20,FALSE)-AVERAGE('The List'!U2:U730))/STDEV('The List'!U2:U730)</f>
        <v>-0.46832893079277249</v>
      </c>
      <c r="I375" s="38">
        <f>(VLOOKUP($A375,'The List'!$B1:$AH730,21,FALSE)-AVERAGE('The List'!V2:V730))/STDEV('The List'!V2:V730)</f>
        <v>-0.33690073182696867</v>
      </c>
      <c r="J375" s="38">
        <f>(VLOOKUP($A375,'The List'!$B1:$AH730,22,FALSE)-AVERAGE('The List'!W2:W730))/STDEV('The List'!W2:W730)</f>
        <v>-0.70981754229747973</v>
      </c>
      <c r="K375" s="38">
        <f>(VLOOKUP($A375,'The List'!$B1:$AH730,23,FALSE)-AVERAGE('The List'!X2:X730))/STDEV('The List'!X2:X730)</f>
        <v>-0.72351472960349272</v>
      </c>
      <c r="L375" s="38">
        <f>(VLOOKUP($A375,'The List'!$B1:$AH730,24,FALSE)-AVERAGE('The List'!Y2:Y730))/STDEV('The List'!Y2:Y730)</f>
        <v>0.29054072841413042</v>
      </c>
      <c r="M375" s="38">
        <f>(VLOOKUP($A375,'The List'!$B1:$AH730,25,FALSE)-AVERAGE('The List'!Z2:Z730))/STDEV('The List'!Z2:Z730)</f>
        <v>-5.2991986379136949E-2</v>
      </c>
      <c r="N375" s="38">
        <f>(VLOOKUP($A375,'The List'!$B1:$AH730,26,FALSE)-AVERAGE('The List'!AA2:AA730))/STDEV('The List'!AA2:AA730)</f>
        <v>1.7876418916500179</v>
      </c>
      <c r="O375" s="38">
        <f>(VLOOKUP($A375,'The List'!$B1:$AH730,27,FALSE)-AVERAGE('The List'!AB2:AB730))/STDEV('The List'!AB2:AB730)</f>
        <v>-0.6112425220824057</v>
      </c>
      <c r="P375" s="38">
        <f>(VLOOKUP($A375,'The List'!$B1:$AH730,28,FALSE)-AVERAGE('The List'!AC2:AC730))/STDEV('The List'!AC2:AC730)</f>
        <v>-1.4032990445536018</v>
      </c>
      <c r="Q375" s="38">
        <f>(VLOOKUP($A375,'The List'!$B1:$AH730,29,FALSE)-AVERAGE('The List'!AD2:AD730))/STDEV('The List'!AD2:AD730)</f>
        <v>0.2614802325305654</v>
      </c>
      <c r="R375" s="38">
        <f>(VLOOKUP($A375,'The List'!$B1:$AH730,30,FALSE)-AVERAGE('The List'!AE2:AE730))/STDEV('The List'!AE2:AE730)</f>
        <v>-0.74206260102530541</v>
      </c>
      <c r="S375" s="38">
        <f>(VLOOKUP($A375,'The List'!$B1:$AH730,31,FALSE)-AVERAGE('The List'!AF2:AF730))/STDEV('The List'!AF2:AF730)</f>
        <v>-0.56911587195029545</v>
      </c>
      <c r="T375" s="38">
        <f>(VLOOKUP($A375,'The List'!$B1:$AH730,32,FALSE)-AVERAGE('The List'!AG2:AG730))/STDEV('The List'!AG2:AG730)</f>
        <v>-0.61510119871956948</v>
      </c>
      <c r="U375" s="38">
        <f>(VLOOKUP($A375,'The List'!$B1:$AH730,33,FALSE)-AVERAGE('The List'!AH2:AH730))/STDEV('The List'!AH2:AH730)</f>
        <v>-1.2363238714825984</v>
      </c>
      <c r="V375" s="38"/>
      <c r="W375" s="40"/>
      <c r="X375" s="38"/>
      <c r="Y375" s="38"/>
      <c r="Z375" s="38"/>
      <c r="AA375" s="38"/>
      <c r="AB375" s="38"/>
      <c r="AC375" s="38"/>
      <c r="AD375" s="38"/>
      <c r="AE375" s="38"/>
    </row>
    <row r="376" spans="1:31" ht="21.2" customHeight="1">
      <c r="A376" s="8" t="s">
        <v>667</v>
      </c>
      <c r="B376" s="34" t="str">
        <f>VLOOKUP(A376,'Player Data'!A1:B734,2,FALSE)</f>
        <v>DAL</v>
      </c>
      <c r="C376" s="36">
        <f>((E376)*Settings!$C$12)+(F376*Settings!$C$2)+(G376*Settings!$C$3)+(H376*Settings!$C$4)+(I376*Settings!$C$5)+(K376*Settings!$C$9)+(N376*Settings!$C$6)+(J376*Settings!$C$8)+(O376*Settings!$C$7)+(P376*Settings!$C$14)+(Q376*Settings!$C$15)+(R376*Settings!$C$16)+(S376*Settings!$C$17)+(T376*Settings!$C$18)+(U376*Settings!$C$19)+(L376*Settings!$C$10)+(Settings!$C$11*M376)</f>
        <v>-3.0212929414005476</v>
      </c>
      <c r="D376" s="40">
        <f>IF(Settings!$E$12="YES",VLOOKUP(A376,'Player Data'!A1:E734,5,FALSE),82)</f>
        <v>82</v>
      </c>
      <c r="E376" s="38">
        <f>(VLOOKUP($A376,'The List'!$B1:$AH730,17,FALSE)-AVERAGE('The List'!R2:R730))/STDEV('The List'!R2:R730)</f>
        <v>-0.70049959977626031</v>
      </c>
      <c r="F376" s="38">
        <f>(VLOOKUP($A376,'The List'!$B1:$AH730,18,FALSE)-AVERAGE('The List'!S2:S730))/STDEV('The List'!S2:S730)</f>
        <v>-0.4333863756412738</v>
      </c>
      <c r="G376" s="38">
        <f>(VLOOKUP($A376,'The List'!$B1:$AH730,19,FALSE)-AVERAGE('The List'!T2:T730))/STDEV('The List'!T2:T730)</f>
        <v>-0.43507635408245438</v>
      </c>
      <c r="H376" s="38">
        <f>(VLOOKUP($A376,'The List'!$B1:$AH730,20,FALSE)-AVERAGE('The List'!U2:U730))/STDEV('The List'!U2:U730)</f>
        <v>-0.46884121398718898</v>
      </c>
      <c r="I376" s="38">
        <f>(VLOOKUP($A376,'The List'!$B1:$AH730,21,FALSE)-AVERAGE('The List'!V2:V730))/STDEV('The List'!V2:V730)</f>
        <v>-0.87248038677411555</v>
      </c>
      <c r="J376" s="38">
        <f>(VLOOKUP($A376,'The List'!$B1:$AH730,22,FALSE)-AVERAGE('The List'!W2:W730))/STDEV('The List'!W2:W730)</f>
        <v>-0.71812596216682589</v>
      </c>
      <c r="K376" s="38">
        <f>(VLOOKUP($A376,'The List'!$B1:$AH730,23,FALSE)-AVERAGE('The List'!X2:X730))/STDEV('The List'!X2:X730)</f>
        <v>-0.81150861091551485</v>
      </c>
      <c r="L376" s="38">
        <f>(VLOOKUP($A376,'The List'!$B1:$AH730,24,FALSE)-AVERAGE('The List'!Y2:Y730))/STDEV('The List'!Y2:Y730)</f>
        <v>-7.8848169333429946E-2</v>
      </c>
      <c r="M376" s="38">
        <f>(VLOOKUP($A376,'The List'!$B1:$AH730,25,FALSE)-AVERAGE('The List'!Z2:Z730))/STDEV('The List'!Z2:Z730)</f>
        <v>2.8360466725343159</v>
      </c>
      <c r="N376" s="38">
        <f>(VLOOKUP($A376,'The List'!$B1:$AH730,26,FALSE)-AVERAGE('The List'!AA2:AA730))/STDEV('The List'!AA2:AA730)</f>
        <v>-0.63898027162149906</v>
      </c>
      <c r="O376" s="38">
        <f>(VLOOKUP($A376,'The List'!$B1:$AH730,27,FALSE)-AVERAGE('The List'!AB2:AB730))/STDEV('The List'!AB2:AB730)</f>
        <v>0.37299139008460891</v>
      </c>
      <c r="P376" s="38">
        <f>(VLOOKUP($A376,'The List'!$B1:$AH730,28,FALSE)-AVERAGE('The List'!AC2:AC730))/STDEV('The List'!AC2:AC730)</f>
        <v>0.81476778485037005</v>
      </c>
      <c r="Q376" s="38">
        <f>(VLOOKUP($A376,'The List'!$B1:$AH730,29,FALSE)-AVERAGE('The List'!AD2:AD730))/STDEV('The List'!AD2:AD730)</f>
        <v>0.92116089888965014</v>
      </c>
      <c r="R376" s="38">
        <f>(VLOOKUP($A376,'The List'!$B1:$AH730,30,FALSE)-AVERAGE('The List'!AE2:AE730))/STDEV('The List'!AE2:AE730)</f>
        <v>-0.27575984207955401</v>
      </c>
      <c r="S376" s="38">
        <f>(VLOOKUP($A376,'The List'!$B1:$AH730,31,FALSE)-AVERAGE('The List'!AF2:AF730))/STDEV('The List'!AF2:AF730)</f>
        <v>-8.97695275288318E-2</v>
      </c>
      <c r="T376" s="38">
        <f>(VLOOKUP($A376,'The List'!$B1:$AH730,32,FALSE)-AVERAGE('The List'!AG2:AG730))/STDEV('The List'!AG2:AG730)</f>
        <v>-0.10803902953443205</v>
      </c>
      <c r="U376" s="38">
        <f>(VLOOKUP($A376,'The List'!$B1:$AH730,33,FALSE)-AVERAGE('The List'!AH2:AH730))/STDEV('The List'!AH2:AH730)</f>
        <v>1.0141475905008022</v>
      </c>
      <c r="V376" s="38"/>
      <c r="W376" s="40"/>
      <c r="X376" s="38"/>
      <c r="Y376" s="38"/>
      <c r="Z376" s="38"/>
      <c r="AA376" s="38"/>
      <c r="AB376" s="38"/>
      <c r="AC376" s="38"/>
      <c r="AD376" s="38"/>
      <c r="AE376" s="38"/>
    </row>
    <row r="377" spans="1:31" ht="21.2" customHeight="1">
      <c r="A377" s="8" t="s">
        <v>649</v>
      </c>
      <c r="B377" s="34" t="str">
        <f>VLOOKUP(A377,'Player Data'!A1:B734,2,FALSE)</f>
        <v>CAR</v>
      </c>
      <c r="C377" s="36">
        <f>((E377)*Settings!$C$12)+(F377*Settings!$C$2)+(G377*Settings!$C$3)+(H377*Settings!$C$4)+(I377*Settings!$C$5)+(K377*Settings!$C$9)+(N377*Settings!$C$6)+(J377*Settings!$C$8)+(O377*Settings!$C$7)+(P377*Settings!$C$14)+(Q377*Settings!$C$15)+(R377*Settings!$C$16)+(S377*Settings!$C$17)+(T377*Settings!$C$18)+(U377*Settings!$C$19)+(L377*Settings!$C$10)+(Settings!$C$11*M377)</f>
        <v>-3.1350340136177088</v>
      </c>
      <c r="D377" s="40">
        <f>IF(Settings!$E$12="YES",VLOOKUP(A377,'Player Data'!A1:E734,5,FALSE),82)</f>
        <v>82</v>
      </c>
      <c r="E377" s="38">
        <f>(VLOOKUP($A377,'The List'!$B1:$AH730,17,FALSE)-AVERAGE('The List'!R2:R730))/STDEV('The List'!R2:R730)</f>
        <v>-0.63751136268870268</v>
      </c>
      <c r="F377" s="38">
        <f>(VLOOKUP($A377,'The List'!$B1:$AH730,18,FALSE)-AVERAGE('The List'!S2:S730))/STDEV('The List'!S2:S730)</f>
        <v>-0.39358660725392264</v>
      </c>
      <c r="G377" s="38">
        <f>(VLOOKUP($A377,'The List'!$B1:$AH730,19,FALSE)-AVERAGE('The List'!T2:T730))/STDEV('The List'!T2:T730)</f>
        <v>-0.46641219840767062</v>
      </c>
      <c r="H377" s="38">
        <f>(VLOOKUP($A377,'The List'!$B1:$AH730,20,FALSE)-AVERAGE('The List'!U2:U730))/STDEV('The List'!U2:U730)</f>
        <v>-0.46959648022186357</v>
      </c>
      <c r="I377" s="38">
        <f>(VLOOKUP($A377,'The List'!$B1:$AH730,21,FALSE)-AVERAGE('The List'!V2:V730))/STDEV('The List'!V2:V730)</f>
        <v>-1.0342757578826056</v>
      </c>
      <c r="J377" s="38">
        <f>(VLOOKUP($A377,'The List'!$B1:$AH730,22,FALSE)-AVERAGE('The List'!W2:W730))/STDEV('The List'!W2:W730)</f>
        <v>-0.68424248394917364</v>
      </c>
      <c r="K377" s="38">
        <f>(VLOOKUP($A377,'The List'!$B1:$AH730,23,FALSE)-AVERAGE('The List'!X2:X730))/STDEV('The List'!X2:X730)</f>
        <v>-0.77116296985164623</v>
      </c>
      <c r="L377" s="38">
        <f>(VLOOKUP($A377,'The List'!$B1:$AH730,24,FALSE)-AVERAGE('The List'!Y2:Y730))/STDEV('The List'!Y2:Y730)</f>
        <v>-0.54714733483539568</v>
      </c>
      <c r="M377" s="38">
        <f>(VLOOKUP($A377,'The List'!$B1:$AH730,25,FALSE)-AVERAGE('The List'!Z2:Z730))/STDEV('The List'!Z2:Z730)</f>
        <v>1.0122613657855624</v>
      </c>
      <c r="N377" s="38">
        <f>(VLOOKUP($A377,'The List'!$B1:$AH730,26,FALSE)-AVERAGE('The List'!AA2:AA730))/STDEV('The List'!AA2:AA730)</f>
        <v>-0.64330856678464921</v>
      </c>
      <c r="O377" s="38">
        <f>(VLOOKUP($A377,'The List'!$B1:$AH730,27,FALSE)-AVERAGE('The List'!AB2:AB730))/STDEV('The List'!AB2:AB730)</f>
        <v>3.9526330376233758E-2</v>
      </c>
      <c r="P377" s="38">
        <f>(VLOOKUP($A377,'The List'!$B1:$AH730,28,FALSE)-AVERAGE('The List'!AC2:AC730))/STDEV('The List'!AC2:AC730)</f>
        <v>1.4860016681685622</v>
      </c>
      <c r="Q377" s="38">
        <f>(VLOOKUP($A377,'The List'!$B1:$AH730,29,FALSE)-AVERAGE('The List'!AD2:AD730))/STDEV('The List'!AD2:AD730)</f>
        <v>-1.2440616183793407</v>
      </c>
      <c r="R377" s="38">
        <f>(VLOOKUP($A377,'The List'!$B1:$AH730,30,FALSE)-AVERAGE('The List'!AE2:AE730))/STDEV('The List'!AE2:AE730)</f>
        <v>-0.11075129402209172</v>
      </c>
      <c r="S377" s="38">
        <f>(VLOOKUP($A377,'The List'!$B1:$AH730,31,FALSE)-AVERAGE('The List'!AF2:AF730))/STDEV('The List'!AF2:AF730)</f>
        <v>-0.51608204498720722</v>
      </c>
      <c r="T377" s="38">
        <f>(VLOOKUP($A377,'The List'!$B1:$AH730,32,FALSE)-AVERAGE('The List'!AG2:AG730))/STDEV('The List'!AG2:AG730)</f>
        <v>-0.53016090060489673</v>
      </c>
      <c r="U377" s="38">
        <f>(VLOOKUP($A377,'The List'!$B1:$AH730,33,FALSE)-AVERAGE('The List'!AH2:AH730))/STDEV('The List'!AH2:AH730)</f>
        <v>0.5527222286289869</v>
      </c>
      <c r="V377" s="38"/>
      <c r="W377" s="40"/>
      <c r="X377" s="38"/>
      <c r="Y377" s="38"/>
      <c r="Z377" s="38"/>
      <c r="AA377" s="38"/>
      <c r="AB377" s="38"/>
      <c r="AC377" s="38"/>
      <c r="AD377" s="38"/>
      <c r="AE377" s="38"/>
    </row>
    <row r="378" spans="1:31" ht="21.2" customHeight="1">
      <c r="A378" s="8" t="s">
        <v>638</v>
      </c>
      <c r="B378" s="34" t="str">
        <f>VLOOKUP(A378,'Player Data'!A1:B734,2,FALSE)</f>
        <v>TBL</v>
      </c>
      <c r="C378" s="36">
        <f>((E378)*Settings!$C$12)+(F378*Settings!$C$2)+(G378*Settings!$C$3)+(H378*Settings!$C$4)+(I378*Settings!$C$5)+(K378*Settings!$C$9)+(N378*Settings!$C$6)+(J378*Settings!$C$8)+(O378*Settings!$C$7)+(P378*Settings!$C$14)+(Q378*Settings!$C$15)+(R378*Settings!$C$16)+(S378*Settings!$C$17)+(T378*Settings!$C$18)+(U378*Settings!$C$19)+(L378*Settings!$C$10)+(Settings!$C$11*M378)</f>
        <v>-1.3645858472567038</v>
      </c>
      <c r="D378" s="40">
        <f>IF(Settings!$E$12="YES",VLOOKUP(A378,'Player Data'!A1:E734,5,FALSE),82)</f>
        <v>82</v>
      </c>
      <c r="E378" s="38">
        <f>(VLOOKUP($A378,'The List'!$B1:$AH730,17,FALSE)-AVERAGE('The List'!R2:R730))/STDEV('The List'!R2:R730)</f>
        <v>-0.92788950286150906</v>
      </c>
      <c r="F378" s="38">
        <f>(VLOOKUP($A378,'The List'!$B1:$AH730,18,FALSE)-AVERAGE('The List'!S2:S730))/STDEV('The List'!S2:S730)</f>
        <v>-0.37701351882431849</v>
      </c>
      <c r="G378" s="38">
        <f>(VLOOKUP($A378,'The List'!$B1:$AH730,19,FALSE)-AVERAGE('The List'!T2:T730))/STDEV('The List'!T2:T730)</f>
        <v>-0.48419887363377745</v>
      </c>
      <c r="H378" s="38">
        <f>(VLOOKUP($A378,'The List'!$B1:$AH730,20,FALSE)-AVERAGE('The List'!U2:U730))/STDEV('The List'!U2:U730)</f>
        <v>-0.47282270839243878</v>
      </c>
      <c r="I378" s="38">
        <f>(VLOOKUP($A378,'The List'!$B1:$AH730,21,FALSE)-AVERAGE('The List'!V2:V730))/STDEV('The List'!V2:V730)</f>
        <v>0.67858978947539172</v>
      </c>
      <c r="J378" s="38">
        <f>(VLOOKUP($A378,'The List'!$B1:$AH730,22,FALSE)-AVERAGE('The List'!W2:W730))/STDEV('The List'!W2:W730)</f>
        <v>-0.61679101497103883</v>
      </c>
      <c r="K378" s="38">
        <f>(VLOOKUP($A378,'The List'!$B1:$AH730,23,FALSE)-AVERAGE('The List'!X2:X730))/STDEV('The List'!X2:X730)</f>
        <v>-0.70914053588156101</v>
      </c>
      <c r="L378" s="38">
        <f>(VLOOKUP($A378,'The List'!$B1:$AH730,24,FALSE)-AVERAGE('The List'!Y2:Y730))/STDEV('The List'!Y2:Y730)</f>
        <v>-0.47266098863942879</v>
      </c>
      <c r="M378" s="38">
        <f>(VLOOKUP($A378,'The List'!$B1:$AH730,25,FALSE)-AVERAGE('The List'!Z2:Z730))/STDEV('The List'!Z2:Z730)</f>
        <v>-0.64261868923872978</v>
      </c>
      <c r="N378" s="38">
        <f>(VLOOKUP($A378,'The List'!$B1:$AH730,26,FALSE)-AVERAGE('The List'!AA2:AA730))/STDEV('The List'!AA2:AA730)</f>
        <v>-0.8116352840225951</v>
      </c>
      <c r="O378" s="38">
        <f>(VLOOKUP($A378,'The List'!$B1:$AH730,27,FALSE)-AVERAGE('The List'!AB2:AB730))/STDEV('The List'!AB2:AB730)</f>
        <v>1.0046743881050586</v>
      </c>
      <c r="P378" s="38">
        <f>(VLOOKUP($A378,'The List'!$B1:$AH730,28,FALSE)-AVERAGE('The List'!AC2:AC730))/STDEV('The List'!AC2:AC730)</f>
        <v>0.18916769388843629</v>
      </c>
      <c r="Q378" s="38">
        <f>(VLOOKUP($A378,'The List'!$B1:$AH730,29,FALSE)-AVERAGE('The List'!AD2:AD730))/STDEV('The List'!AD2:AD730)</f>
        <v>1.6038087865667094</v>
      </c>
      <c r="R378" s="38">
        <f>(VLOOKUP($A378,'The List'!$B1:$AH730,30,FALSE)-AVERAGE('The List'!AE2:AE730))/STDEV('The List'!AE2:AE730)</f>
        <v>-0.23960898838586656</v>
      </c>
      <c r="S378" s="38">
        <f>(VLOOKUP($A378,'The List'!$B1:$AH730,31,FALSE)-AVERAGE('The List'!AF2:AF730))/STDEV('The List'!AF2:AF730)</f>
        <v>-0.47899889873886042</v>
      </c>
      <c r="T378" s="38">
        <f>(VLOOKUP($A378,'The List'!$B1:$AH730,32,FALSE)-AVERAGE('The List'!AG2:AG730))/STDEV('The List'!AG2:AG730)</f>
        <v>-0.43956499128858695</v>
      </c>
      <c r="U378" s="38">
        <f>(VLOOKUP($A378,'The List'!$B1:$AH730,33,FALSE)-AVERAGE('The List'!AH2:AH730))/STDEV('The List'!AH2:AH730)</f>
        <v>0.34613572731511055</v>
      </c>
      <c r="V378" s="38"/>
      <c r="W378" s="42"/>
      <c r="X378" s="40"/>
      <c r="Y378" s="40"/>
      <c r="Z378" s="40"/>
      <c r="AA378" s="40"/>
      <c r="AB378" s="40"/>
      <c r="AC378" s="43"/>
      <c r="AD378" s="44"/>
      <c r="AE378" s="38"/>
    </row>
    <row r="379" spans="1:31" ht="21.2" customHeight="1">
      <c r="A379" s="8" t="s">
        <v>681</v>
      </c>
      <c r="B379" s="34" t="str">
        <f>VLOOKUP(A379,'Player Data'!A1:B734,2,FALSE)</f>
        <v>NYI</v>
      </c>
      <c r="C379" s="36">
        <f>((E379)*Settings!$C$12)+(F379*Settings!$C$2)+(G379*Settings!$C$3)+(H379*Settings!$C$4)+(I379*Settings!$C$5)+(K379*Settings!$C$9)+(N379*Settings!$C$6)+(J379*Settings!$C$8)+(O379*Settings!$C$7)+(P379*Settings!$C$14)+(Q379*Settings!$C$15)+(R379*Settings!$C$16)+(S379*Settings!$C$17)+(T379*Settings!$C$18)+(U379*Settings!$C$19)+(L379*Settings!$C$10)+(Settings!$C$11*M379)</f>
        <v>-2.6392232838667899</v>
      </c>
      <c r="D379" s="40">
        <f>IF(Settings!$E$12="YES",VLOOKUP(A379,'Player Data'!A1:E734,5,FALSE),82)</f>
        <v>82</v>
      </c>
      <c r="E379" s="38">
        <f>(VLOOKUP($A379,'The List'!$B1:$AH730,17,FALSE)-AVERAGE('The List'!R2:R730))/STDEV('The List'!R2:R730)</f>
        <v>-1.0655611191268268</v>
      </c>
      <c r="F379" s="38">
        <f>(VLOOKUP($A379,'The List'!$B1:$AH730,18,FALSE)-AVERAGE('The List'!S2:S730))/STDEV('The List'!S2:S730)</f>
        <v>-4.0851355163652292E-2</v>
      </c>
      <c r="G379" s="38">
        <f>(VLOOKUP($A379,'The List'!$B1:$AH730,19,FALSE)-AVERAGE('The List'!T2:T730))/STDEV('The List'!T2:T730)</f>
        <v>-0.74296507624126262</v>
      </c>
      <c r="H379" s="38">
        <f>(VLOOKUP($A379,'The List'!$B1:$AH730,20,FALSE)-AVERAGE('The List'!U2:U730))/STDEV('The List'!U2:U730)</f>
        <v>-0.47557196297049709</v>
      </c>
      <c r="I379" s="38">
        <f>(VLOOKUP($A379,'The List'!$B1:$AH730,21,FALSE)-AVERAGE('The List'!V2:V730))/STDEV('The List'!V2:V730)</f>
        <v>-0.65620503970247857</v>
      </c>
      <c r="J379" s="38">
        <f>(VLOOKUP($A379,'The List'!$B1:$AH730,22,FALSE)-AVERAGE('The List'!W2:W730))/STDEV('The List'!W2:W730)</f>
        <v>-0.66228569872943122</v>
      </c>
      <c r="K379" s="38">
        <f>(VLOOKUP($A379,'The List'!$B1:$AH730,23,FALSE)-AVERAGE('The List'!X2:X730))/STDEV('The List'!X2:X730)</f>
        <v>-0.72362984978889955</v>
      </c>
      <c r="L379" s="38">
        <f>(VLOOKUP($A379,'The List'!$B1:$AH730,24,FALSE)-AVERAGE('The List'!Y2:Y730))/STDEV('The List'!Y2:Y730)</f>
        <v>-0.52473982363256844</v>
      </c>
      <c r="M379" s="38">
        <f>(VLOOKUP($A379,'The List'!$B1:$AH730,25,FALSE)-AVERAGE('The List'!Z2:Z730))/STDEV('The List'!Z2:Z730)</f>
        <v>-0.70330398755455348</v>
      </c>
      <c r="N379" s="38">
        <f>(VLOOKUP($A379,'The List'!$B1:$AH730,26,FALSE)-AVERAGE('The List'!AA2:AA730))/STDEV('The List'!AA2:AA730)</f>
        <v>-0.67759293596880943</v>
      </c>
      <c r="O379" s="38">
        <f>(VLOOKUP($A379,'The List'!$B1:$AH730,27,FALSE)-AVERAGE('The List'!AB2:AB730))/STDEV('The List'!AB2:AB730)</f>
        <v>-0.37471421874762223</v>
      </c>
      <c r="P379" s="38">
        <f>(VLOOKUP($A379,'The List'!$B1:$AH730,28,FALSE)-AVERAGE('The List'!AC2:AC730))/STDEV('The List'!AC2:AC730)</f>
        <v>0.2202445273087078</v>
      </c>
      <c r="Q379" s="38">
        <f>(VLOOKUP($A379,'The List'!$B1:$AH730,29,FALSE)-AVERAGE('The List'!AD2:AD730))/STDEV('The List'!AD2:AD730)</f>
        <v>-1.0022190585748258</v>
      </c>
      <c r="R379" s="38">
        <f>(VLOOKUP($A379,'The List'!$B1:$AH730,30,FALSE)-AVERAGE('The List'!AE2:AE730))/STDEV('The List'!AE2:AE730)</f>
        <v>8.5868046001121981E-2</v>
      </c>
      <c r="S379" s="38">
        <f>(VLOOKUP($A379,'The List'!$B1:$AH730,31,FALSE)-AVERAGE('The List'!AF2:AF730))/STDEV('The List'!AF2:AF730)</f>
        <v>-0.54687001782721711</v>
      </c>
      <c r="T379" s="38">
        <f>(VLOOKUP($A379,'The List'!$B1:$AH730,32,FALSE)-AVERAGE('The List'!AG2:AG730))/STDEV('The List'!AG2:AG730)</f>
        <v>-0.55822561895371603</v>
      </c>
      <c r="U379" s="38">
        <f>(VLOOKUP($A379,'The List'!$B1:$AH730,33,FALSE)-AVERAGE('The List'!AH2:AH730))/STDEV('The List'!AH2:AH730)</f>
        <v>7.9061558295615647E-2</v>
      </c>
      <c r="V379" s="38"/>
      <c r="W379" s="42"/>
      <c r="X379" s="40"/>
      <c r="Y379" s="40"/>
      <c r="Z379" s="40"/>
      <c r="AA379" s="40"/>
      <c r="AB379" s="40"/>
      <c r="AC379" s="43"/>
      <c r="AD379" s="44"/>
      <c r="AE379" s="38"/>
    </row>
    <row r="380" spans="1:31" ht="21.2" customHeight="1">
      <c r="A380" s="8" t="s">
        <v>567</v>
      </c>
      <c r="B380" s="34" t="str">
        <f>VLOOKUP(A380,'Player Data'!A1:B734,2,FALSE)</f>
        <v>UFA</v>
      </c>
      <c r="C380" s="36">
        <f>((E380)*Settings!$C$12)+(F380*Settings!$C$2)+(G380*Settings!$C$3)+(H380*Settings!$C$4)+(I380*Settings!$C$5)+(K380*Settings!$C$9)+(N380*Settings!$C$6)+(J380*Settings!$C$8)+(O380*Settings!$C$7)+(P380*Settings!$C$14)+(Q380*Settings!$C$15)+(R380*Settings!$C$16)+(S380*Settings!$C$17)+(T380*Settings!$C$18)+(U380*Settings!$C$19)+(L380*Settings!$C$10)+(Settings!$C$11*M380)</f>
        <v>-1.4860261729660267</v>
      </c>
      <c r="D380" s="40">
        <f>IF(Settings!$E$12="YES",VLOOKUP(A380,'Player Data'!A1:E734,5,FALSE),82)</f>
        <v>82</v>
      </c>
      <c r="E380" s="38">
        <f>(VLOOKUP($A380,'The List'!$B1:$AH730,17,FALSE)-AVERAGE('The List'!R2:R730))/STDEV('The List'!R2:R730)</f>
        <v>-0.73211523952213231</v>
      </c>
      <c r="F380" s="38">
        <f>(VLOOKUP($A380,'The List'!$B1:$AH730,18,FALSE)-AVERAGE('The List'!S2:S730))/STDEV('The List'!S2:S730)</f>
        <v>7.2152667932335662E-3</v>
      </c>
      <c r="G380" s="38">
        <f>(VLOOKUP($A380,'The List'!$B1:$AH730,19,FALSE)-AVERAGE('The List'!T2:T730))/STDEV('The List'!T2:T730)</f>
        <v>-0.7849682738433027</v>
      </c>
      <c r="H380" s="38">
        <f>(VLOOKUP($A380,'The List'!$B1:$AH730,20,FALSE)-AVERAGE('The List'!U2:U730))/STDEV('The List'!U2:U730)</f>
        <v>-0.47903969935307233</v>
      </c>
      <c r="I380" s="38">
        <f>(VLOOKUP($A380,'The List'!$B1:$AH730,21,FALSE)-AVERAGE('The List'!V2:V730))/STDEV('The List'!V2:V730)</f>
        <v>0.1880971600226288</v>
      </c>
      <c r="J380" s="38">
        <f>(VLOOKUP($A380,'The List'!$B1:$AH730,22,FALSE)-AVERAGE('The List'!W2:W730))/STDEV('The List'!W2:W730)</f>
        <v>-0.28209328726186006</v>
      </c>
      <c r="K380" s="38">
        <f>(VLOOKUP($A380,'The List'!$B1:$AH730,23,FALSE)-AVERAGE('The List'!X2:X730))/STDEV('The List'!X2:X730)</f>
        <v>-0.41733062658551423</v>
      </c>
      <c r="L380" s="38">
        <f>(VLOOKUP($A380,'The List'!$B1:$AH730,24,FALSE)-AVERAGE('The List'!Y2:Y730))/STDEV('The List'!Y2:Y730)</f>
        <v>-0.52515529094994673</v>
      </c>
      <c r="M380" s="38">
        <f>(VLOOKUP($A380,'The List'!$B1:$AH730,25,FALSE)-AVERAGE('The List'!Z2:Z730))/STDEV('The List'!Z2:Z730)</f>
        <v>-0.70378350861314143</v>
      </c>
      <c r="N380" s="38">
        <f>(VLOOKUP($A380,'The List'!$B1:$AH730,26,FALSE)-AVERAGE('The List'!AA2:AA730))/STDEV('The List'!AA2:AA730)</f>
        <v>-0.22301146088453361</v>
      </c>
      <c r="O380" s="38">
        <f>(VLOOKUP($A380,'The List'!$B1:$AH730,27,FALSE)-AVERAGE('The List'!AB2:AB730))/STDEV('The List'!AB2:AB730)</f>
        <v>-0.4759805136095776</v>
      </c>
      <c r="P380" s="38">
        <f>(VLOOKUP($A380,'The List'!$B1:$AH730,28,FALSE)-AVERAGE('The List'!AC2:AC730))/STDEV('The List'!AC2:AC730)</f>
        <v>3.9017445492434126E-2</v>
      </c>
      <c r="Q380" s="38">
        <f>(VLOOKUP($A380,'The List'!$B1:$AH730,29,FALSE)-AVERAGE('The List'!AD2:AD730))/STDEV('The List'!AD2:AD730)</f>
        <v>-0.82023373111290887</v>
      </c>
      <c r="R380" s="38">
        <f>(VLOOKUP($A380,'The List'!$B1:$AH730,30,FALSE)-AVERAGE('The List'!AE2:AE730))/STDEV('The List'!AE2:AE730)</f>
        <v>-1.2515972607254897</v>
      </c>
      <c r="S380" s="38">
        <f>(VLOOKUP($A380,'The List'!$B1:$AH730,31,FALSE)-AVERAGE('The List'!AF2:AF730))/STDEV('The List'!AF2:AF730)</f>
        <v>-0.49665615697191484</v>
      </c>
      <c r="T380" s="38">
        <f>(VLOOKUP($A380,'The List'!$B1:$AH730,32,FALSE)-AVERAGE('The List'!AG2:AG730))/STDEV('The List'!AG2:AG730)</f>
        <v>-0.49183978246387278</v>
      </c>
      <c r="U380" s="38">
        <f>(VLOOKUP($A380,'The List'!$B1:$AH730,33,FALSE)-AVERAGE('The List'!AH2:AH730))/STDEV('The List'!AH2:AH730)</f>
        <v>0.48804647150021374</v>
      </c>
      <c r="V380" s="38"/>
      <c r="W380" s="40"/>
      <c r="X380" s="38"/>
      <c r="Y380" s="38"/>
      <c r="Z380" s="38"/>
      <c r="AA380" s="38"/>
      <c r="AB380" s="38"/>
      <c r="AC380" s="38"/>
      <c r="AD380" s="38"/>
      <c r="AE380" s="38"/>
    </row>
    <row r="381" spans="1:31" ht="21.2" customHeight="1">
      <c r="A381" s="8" t="s">
        <v>746</v>
      </c>
      <c r="B381" s="34" t="str">
        <f>VLOOKUP(A381,'Player Data'!A1:B734,2,FALSE)</f>
        <v>VAN</v>
      </c>
      <c r="C381" s="36">
        <f>((E381)*Settings!$C$12)+(F381*Settings!$C$2)+(G381*Settings!$C$3)+(H381*Settings!$C$4)+(I381*Settings!$C$5)+(K381*Settings!$C$9)+(N381*Settings!$C$6)+(J381*Settings!$C$8)+(O381*Settings!$C$7)+(P381*Settings!$C$14)+(Q381*Settings!$C$15)+(R381*Settings!$C$16)+(S381*Settings!$C$17)+(T381*Settings!$C$18)+(U381*Settings!$C$19)+(L381*Settings!$C$10)+(Settings!$C$11*M381)</f>
        <v>-2.3904770419940826</v>
      </c>
      <c r="D381" s="40">
        <f>IF(Settings!$E$12="YES",VLOOKUP(A381,'Player Data'!A1:E734,5,FALSE),82)</f>
        <v>82</v>
      </c>
      <c r="E381" s="38">
        <f>(VLOOKUP($A381,'The List'!$B1:$AH730,17,FALSE)-AVERAGE('The List'!R2:R730))/STDEV('The List'!R2:R730)</f>
        <v>-1.1890473420902585</v>
      </c>
      <c r="F381" s="38">
        <f>(VLOOKUP($A381,'The List'!$B1:$AH730,18,FALSE)-AVERAGE('The List'!S2:S730))/STDEV('The List'!S2:S730)</f>
        <v>-0.13709436376326703</v>
      </c>
      <c r="G381" s="38">
        <f>(VLOOKUP($A381,'The List'!$B1:$AH730,19,FALSE)-AVERAGE('The List'!T2:T730))/STDEV('The List'!T2:T730)</f>
        <v>-0.67585142599676629</v>
      </c>
      <c r="H381" s="38">
        <f>(VLOOKUP($A381,'The List'!$B1:$AH730,20,FALSE)-AVERAGE('The List'!U2:U730))/STDEV('The List'!U2:U730)</f>
        <v>-0.47906877315456531</v>
      </c>
      <c r="I381" s="38">
        <f>(VLOOKUP($A381,'The List'!$B1:$AH730,21,FALSE)-AVERAGE('The List'!V2:V730))/STDEV('The List'!V2:V730)</f>
        <v>-0.35026421634620425</v>
      </c>
      <c r="J381" s="38">
        <f>(VLOOKUP($A381,'The List'!$B1:$AH730,22,FALSE)-AVERAGE('The List'!W2:W730))/STDEV('The List'!W2:W730)</f>
        <v>-0.65046442169181784</v>
      </c>
      <c r="K381" s="38">
        <f>(VLOOKUP($A381,'The List'!$B1:$AH730,23,FALSE)-AVERAGE('The List'!X2:X730))/STDEV('The List'!X2:X730)</f>
        <v>-0.74819826273327983</v>
      </c>
      <c r="L381" s="38">
        <f>(VLOOKUP($A381,'The List'!$B1:$AH730,24,FALSE)-AVERAGE('The List'!Y2:Y730))/STDEV('The List'!Y2:Y730)</f>
        <v>-0.52515529094994673</v>
      </c>
      <c r="M381" s="38">
        <f>(VLOOKUP($A381,'The List'!$B1:$AH730,25,FALSE)-AVERAGE('The List'!Z2:Z730))/STDEV('The List'!Z2:Z730)</f>
        <v>-0.70378350861314143</v>
      </c>
      <c r="N381" s="38">
        <f>(VLOOKUP($A381,'The List'!$B1:$AH730,26,FALSE)-AVERAGE('The List'!AA2:AA730))/STDEV('The List'!AA2:AA730)</f>
        <v>-0.9555797480890027</v>
      </c>
      <c r="O381" s="38">
        <f>(VLOOKUP($A381,'The List'!$B1:$AH730,27,FALSE)-AVERAGE('The List'!AB2:AB730))/STDEV('The List'!AB2:AB730)</f>
        <v>-0.60111694435626528</v>
      </c>
      <c r="P381" s="38">
        <f>(VLOOKUP($A381,'The List'!$B1:$AH730,28,FALSE)-AVERAGE('The List'!AC2:AC730))/STDEV('The List'!AC2:AC730)</f>
        <v>-9.263631785862321E-2</v>
      </c>
      <c r="Q381" s="38">
        <f>(VLOOKUP($A381,'The List'!$B1:$AH730,29,FALSE)-AVERAGE('The List'!AD2:AD730))/STDEV('The List'!AD2:AD730)</f>
        <v>-0.69890740784998084</v>
      </c>
      <c r="R381" s="38">
        <f>(VLOOKUP($A381,'The List'!$B1:$AH730,30,FALSE)-AVERAGE('The List'!AE2:AE730))/STDEV('The List'!AE2:AE730)</f>
        <v>-0.11504909096766902</v>
      </c>
      <c r="S381" s="38">
        <f>(VLOOKUP($A381,'The List'!$B1:$AH730,31,FALSE)-AVERAGE('The List'!AF2:AF730))/STDEV('The List'!AF2:AF730)</f>
        <v>-0.56386470844569991</v>
      </c>
      <c r="T381" s="38">
        <f>(VLOOKUP($A381,'The List'!$B1:$AH730,32,FALSE)-AVERAGE('The List'!AG2:AG730))/STDEV('The List'!AG2:AG730)</f>
        <v>-0.60071164408136757</v>
      </c>
      <c r="U381" s="38">
        <f>(VLOOKUP($A381,'The List'!$B1:$AH730,33,FALSE)-AVERAGE('The List'!AH2:AH730))/STDEV('The List'!AH2:AH730)</f>
        <v>1.536255904469421E-2</v>
      </c>
      <c r="V381" s="38"/>
      <c r="W381" s="42"/>
      <c r="X381" s="40"/>
      <c r="Y381" s="40"/>
      <c r="Z381" s="40"/>
      <c r="AA381" s="40"/>
      <c r="AB381" s="40"/>
      <c r="AC381" s="43"/>
      <c r="AD381" s="44"/>
      <c r="AE381" s="38"/>
    </row>
    <row r="382" spans="1:31" ht="21.2" customHeight="1">
      <c r="A382" s="8" t="s">
        <v>356</v>
      </c>
      <c r="B382" s="34" t="str">
        <f>VLOOKUP(A382,'Player Data'!A1:B734,2,FALSE)</f>
        <v>NYI</v>
      </c>
      <c r="C382" s="36">
        <f>((E382)*Settings!$C$12)+(F382*Settings!$C$2)+(G382*Settings!$C$3)+(H382*Settings!$C$4)+(I382*Settings!$C$5)+(K382*Settings!$C$9)+(N382*Settings!$C$6)+(J382*Settings!$C$8)+(O382*Settings!$C$7)+(P382*Settings!$C$14)+(Q382*Settings!$C$15)+(R382*Settings!$C$16)+(S382*Settings!$C$17)+(T382*Settings!$C$18)+(U382*Settings!$C$19)+(L382*Settings!$C$10)+(Settings!$C$11*M382)</f>
        <v>-2.5598520797341382</v>
      </c>
      <c r="D382" s="40">
        <f>IF(Settings!$E$12="YES",VLOOKUP(A382,'Player Data'!A1:E734,5,FALSE),82)</f>
        <v>82</v>
      </c>
      <c r="E382" s="38">
        <f>(VLOOKUP($A382,'The List'!$B1:$AH730,17,FALSE)-AVERAGE('The List'!R2:R730))/STDEV('The List'!R2:R730)</f>
        <v>1.4322530968180074</v>
      </c>
      <c r="F382" s="38">
        <f>(VLOOKUP($A382,'The List'!$B1:$AH730,18,FALSE)-AVERAGE('The List'!S2:S730))/STDEV('The List'!S2:S730)</f>
        <v>-0.82858938788770609</v>
      </c>
      <c r="G382" s="38">
        <f>(VLOOKUP($A382,'The List'!$B1:$AH730,19,FALSE)-AVERAGE('The List'!T2:T730))/STDEV('The List'!T2:T730)</f>
        <v>-0.15363869720879386</v>
      </c>
      <c r="H382" s="38">
        <f>(VLOOKUP($A382,'The List'!$B1:$AH730,20,FALSE)-AVERAGE('The List'!U2:U730))/STDEV('The List'!U2:U730)</f>
        <v>-0.47960596281708479</v>
      </c>
      <c r="I382" s="38">
        <f>(VLOOKUP($A382,'The List'!$B1:$AH730,21,FALSE)-AVERAGE('The List'!V2:V730))/STDEV('The List'!V2:V730)</f>
        <v>-0.29538953804195034</v>
      </c>
      <c r="J382" s="38">
        <f>(VLOOKUP($A382,'The List'!$B1:$AH730,22,FALSE)-AVERAGE('The List'!W2:W730))/STDEV('The List'!W2:W730)</f>
        <v>-0.7278571999959742</v>
      </c>
      <c r="K382" s="38">
        <f>(VLOOKUP($A382,'The List'!$B1:$AH730,23,FALSE)-AVERAGE('The List'!X2:X730))/STDEV('The List'!X2:X730)</f>
        <v>-0.80262849377860312</v>
      </c>
      <c r="L382" s="38">
        <f>(VLOOKUP($A382,'The List'!$B1:$AH730,24,FALSE)-AVERAGE('The List'!Y2:Y730))/STDEV('The List'!Y2:Y730)</f>
        <v>-0.15927991118039544</v>
      </c>
      <c r="M382" s="38">
        <f>(VLOOKUP($A382,'The List'!$B1:$AH730,25,FALSE)-AVERAGE('The List'!Z2:Z730))/STDEV('The List'!Z2:Z730)</f>
        <v>1.2227002498213844</v>
      </c>
      <c r="N382" s="38">
        <f>(VLOOKUP($A382,'The List'!$B1:$AH730,26,FALSE)-AVERAGE('The List'!AA2:AA730))/STDEV('The List'!AA2:AA730)</f>
        <v>1.897957431658805</v>
      </c>
      <c r="O382" s="38">
        <f>(VLOOKUP($A382,'The List'!$B1:$AH730,27,FALSE)-AVERAGE('The List'!AB2:AB730))/STDEV('The List'!AB2:AB730)</f>
        <v>1.6121288378585195E-2</v>
      </c>
      <c r="P382" s="38">
        <f>(VLOOKUP($A382,'The List'!$B1:$AH730,28,FALSE)-AVERAGE('The List'!AC2:AC730))/STDEV('The List'!AC2:AC730)</f>
        <v>0.48371984034220411</v>
      </c>
      <c r="Q382" s="38">
        <f>(VLOOKUP($A382,'The List'!$B1:$AH730,29,FALSE)-AVERAGE('The List'!AD2:AD730))/STDEV('The List'!AD2:AD730)</f>
        <v>0.41438642838314133</v>
      </c>
      <c r="R382" s="38">
        <f>(VLOOKUP($A382,'The List'!$B1:$AH730,30,FALSE)-AVERAGE('The List'!AE2:AE730))/STDEV('The List'!AE2:AE730)</f>
        <v>-0.70681114944314649</v>
      </c>
      <c r="S382" s="38">
        <f>(VLOOKUP($A382,'The List'!$B1:$AH730,31,FALSE)-AVERAGE('The List'!AF2:AF730))/STDEV('The List'!AF2:AF730)</f>
        <v>-0.56911587195029545</v>
      </c>
      <c r="T382" s="38">
        <f>(VLOOKUP($A382,'The List'!$B1:$AH730,32,FALSE)-AVERAGE('The List'!AG2:AG730))/STDEV('The List'!AG2:AG730)</f>
        <v>-0.61510119871956948</v>
      </c>
      <c r="U382" s="38">
        <f>(VLOOKUP($A382,'The List'!$B1:$AH730,33,FALSE)-AVERAGE('The List'!AH2:AH730))/STDEV('The List'!AH2:AH730)</f>
        <v>-1.2363238714825984</v>
      </c>
      <c r="V382" s="38"/>
      <c r="W382" s="42"/>
      <c r="X382" s="40"/>
      <c r="Y382" s="40"/>
      <c r="Z382" s="40"/>
      <c r="AA382" s="40"/>
      <c r="AB382" s="40"/>
      <c r="AC382" s="43"/>
      <c r="AD382" s="44"/>
      <c r="AE382" s="38"/>
    </row>
    <row r="383" spans="1:31" ht="21.2" customHeight="1">
      <c r="A383" s="8" t="s">
        <v>375</v>
      </c>
      <c r="B383" s="34" t="str">
        <f>VLOOKUP(A383,'Player Data'!A1:B734,2,FALSE)</f>
        <v>LAK</v>
      </c>
      <c r="C383" s="36">
        <f>((E383)*Settings!$C$12)+(F383*Settings!$C$2)+(G383*Settings!$C$3)+(H383*Settings!$C$4)+(I383*Settings!$C$5)+(K383*Settings!$C$9)+(N383*Settings!$C$6)+(J383*Settings!$C$8)+(O383*Settings!$C$7)+(P383*Settings!$C$14)+(Q383*Settings!$C$15)+(R383*Settings!$C$16)+(S383*Settings!$C$17)+(T383*Settings!$C$18)+(U383*Settings!$C$19)+(L383*Settings!$C$10)+(Settings!$C$11*M383)</f>
        <v>-2.8953305402653968</v>
      </c>
      <c r="D383" s="40">
        <f>IF(Settings!$E$12="YES",VLOOKUP(A383,'Player Data'!A1:E734,5,FALSE),82)</f>
        <v>82</v>
      </c>
      <c r="E383" s="38">
        <f>(VLOOKUP($A383,'The List'!$B1:$AH730,17,FALSE)-AVERAGE('The List'!R2:R730))/STDEV('The List'!R2:R730)</f>
        <v>1.469194638878476</v>
      </c>
      <c r="F383" s="38">
        <f>(VLOOKUP($A383,'The List'!$B1:$AH730,18,FALSE)-AVERAGE('The List'!S2:S730))/STDEV('The List'!S2:S730)</f>
        <v>-0.79973387901152793</v>
      </c>
      <c r="G383" s="38">
        <f>(VLOOKUP($A383,'The List'!$B1:$AH730,19,FALSE)-AVERAGE('The List'!T2:T730))/STDEV('The List'!T2:T730)</f>
        <v>-0.17859875115189422</v>
      </c>
      <c r="H383" s="38">
        <f>(VLOOKUP($A383,'The List'!$B1:$AH730,20,FALSE)-AVERAGE('The List'!U2:U730))/STDEV('The List'!U2:U730)</f>
        <v>-0.4815307471940487</v>
      </c>
      <c r="I383" s="38">
        <f>(VLOOKUP($A383,'The List'!$B1:$AH730,21,FALSE)-AVERAGE('The List'!V2:V730))/STDEV('The List'!V2:V730)</f>
        <v>-0.66328277179787931</v>
      </c>
      <c r="J383" s="38">
        <f>(VLOOKUP($A383,'The List'!$B1:$AH730,22,FALSE)-AVERAGE('The List'!W2:W730))/STDEV('The List'!W2:W730)</f>
        <v>-0.71513455795746128</v>
      </c>
      <c r="K383" s="38">
        <f>(VLOOKUP($A383,'The List'!$B1:$AH730,23,FALSE)-AVERAGE('The List'!X2:X730))/STDEV('The List'!X2:X730)</f>
        <v>-0.77218439111004677</v>
      </c>
      <c r="L383" s="38">
        <f>(VLOOKUP($A383,'The List'!$B1:$AH730,24,FALSE)-AVERAGE('The List'!Y2:Y730))/STDEV('The List'!Y2:Y730)</f>
        <v>0.28288958914194556</v>
      </c>
      <c r="M383" s="38">
        <f>(VLOOKUP($A383,'The List'!$B1:$AH730,25,FALSE)-AVERAGE('The List'!Z2:Z730))/STDEV('The List'!Z2:Z730)</f>
        <v>0.71577906135429892</v>
      </c>
      <c r="N383" s="38">
        <f>(VLOOKUP($A383,'The List'!$B1:$AH730,26,FALSE)-AVERAGE('The List'!AA2:AA730))/STDEV('The List'!AA2:AA730)</f>
        <v>1.5327124368214489</v>
      </c>
      <c r="O383" s="38">
        <f>(VLOOKUP($A383,'The List'!$B1:$AH730,27,FALSE)-AVERAGE('The List'!AB2:AB730))/STDEV('The List'!AB2:AB730)</f>
        <v>-0.12346315874054159</v>
      </c>
      <c r="P383" s="38">
        <f>(VLOOKUP($A383,'The List'!$B1:$AH730,28,FALSE)-AVERAGE('The List'!AC2:AC730))/STDEV('The List'!AC2:AC730)</f>
        <v>-9.6679250007125031E-2</v>
      </c>
      <c r="Q383" s="38">
        <f>(VLOOKUP($A383,'The List'!$B1:$AH730,29,FALSE)-AVERAGE('The List'!AD2:AD730))/STDEV('The List'!AD2:AD730)</f>
        <v>0.97331189662814543</v>
      </c>
      <c r="R383" s="38">
        <f>(VLOOKUP($A383,'The List'!$B1:$AH730,30,FALSE)-AVERAGE('The List'!AE2:AE730))/STDEV('The List'!AE2:AE730)</f>
        <v>-0.7017670668800462</v>
      </c>
      <c r="S383" s="38">
        <f>(VLOOKUP($A383,'The List'!$B1:$AH730,31,FALSE)-AVERAGE('The List'!AF2:AF730))/STDEV('The List'!AF2:AF730)</f>
        <v>-0.56911587195029545</v>
      </c>
      <c r="T383" s="38">
        <f>(VLOOKUP($A383,'The List'!$B1:$AH730,32,FALSE)-AVERAGE('The List'!AG2:AG730))/STDEV('The List'!AG2:AG730)</f>
        <v>-0.61510119871956948</v>
      </c>
      <c r="U383" s="38">
        <f>(VLOOKUP($A383,'The List'!$B1:$AH730,33,FALSE)-AVERAGE('The List'!AH2:AH730))/STDEV('The List'!AH2:AH730)</f>
        <v>-1.2363238714825984</v>
      </c>
      <c r="V383" s="38"/>
      <c r="W383" s="42"/>
      <c r="X383" s="40"/>
      <c r="Y383" s="40"/>
      <c r="Z383" s="40"/>
      <c r="AA383" s="40"/>
      <c r="AB383" s="40"/>
      <c r="AC383" s="43"/>
      <c r="AD383" s="44"/>
      <c r="AE383" s="38"/>
    </row>
    <row r="384" spans="1:31" ht="21.2" customHeight="1">
      <c r="A384" s="8" t="s">
        <v>643</v>
      </c>
      <c r="B384" s="34" t="str">
        <f>VLOOKUP(A384,'Player Data'!A1:B734,2,FALSE)</f>
        <v>EDM</v>
      </c>
      <c r="C384" s="36">
        <f>((E384)*Settings!$C$12)+(F384*Settings!$C$2)+(G384*Settings!$C$3)+(H384*Settings!$C$4)+(I384*Settings!$C$5)+(K384*Settings!$C$9)+(N384*Settings!$C$6)+(J384*Settings!$C$8)+(O384*Settings!$C$7)+(P384*Settings!$C$14)+(Q384*Settings!$C$15)+(R384*Settings!$C$16)+(S384*Settings!$C$17)+(T384*Settings!$C$18)+(U384*Settings!$C$19)+(L384*Settings!$C$10)+(Settings!$C$11*M384)</f>
        <v>-2.885786457550918</v>
      </c>
      <c r="D384" s="40">
        <f>IF(Settings!$E$12="YES",VLOOKUP(A384,'Player Data'!A1:E734,5,FALSE),82)</f>
        <v>82</v>
      </c>
      <c r="E384" s="38">
        <f>(VLOOKUP($A384,'The List'!$B1:$AH730,17,FALSE)-AVERAGE('The List'!R2:R730))/STDEV('The List'!R2:R730)</f>
        <v>-0.7003497573071058</v>
      </c>
      <c r="F384" s="38">
        <f>(VLOOKUP($A384,'The List'!$B1:$AH730,18,FALSE)-AVERAGE('The List'!S2:S730))/STDEV('The List'!S2:S730)</f>
        <v>-0.33391072498366997</v>
      </c>
      <c r="G384" s="38">
        <f>(VLOOKUP($A384,'The List'!$B1:$AH730,19,FALSE)-AVERAGE('The List'!T2:T730))/STDEV('The List'!T2:T730)</f>
        <v>-0.53436568106572879</v>
      </c>
      <c r="H384" s="38">
        <f>(VLOOKUP($A384,'The List'!$B1:$AH730,20,FALSE)-AVERAGE('The List'!U2:U730))/STDEV('The List'!U2:U730)</f>
        <v>-0.48361485444922869</v>
      </c>
      <c r="I384" s="38">
        <f>(VLOOKUP($A384,'The List'!$B1:$AH730,21,FALSE)-AVERAGE('The List'!V2:V730))/STDEV('The List'!V2:V730)</f>
        <v>-0.72356827105466703</v>
      </c>
      <c r="J384" s="38">
        <f>(VLOOKUP($A384,'The List'!$B1:$AH730,22,FALSE)-AVERAGE('The List'!W2:W730))/STDEV('The List'!W2:W730)</f>
        <v>-0.71713621520068593</v>
      </c>
      <c r="K384" s="38">
        <f>(VLOOKUP($A384,'The List'!$B1:$AH730,23,FALSE)-AVERAGE('The List'!X2:X730))/STDEV('The List'!X2:X730)</f>
        <v>-0.81032692599762324</v>
      </c>
      <c r="L384" s="38">
        <f>(VLOOKUP($A384,'The List'!$B1:$AH730,24,FALSE)-AVERAGE('The List'!Y2:Y730))/STDEV('The List'!Y2:Y730)</f>
        <v>3.3472222708170047</v>
      </c>
      <c r="M384" s="38">
        <f>(VLOOKUP($A384,'The List'!$B1:$AH730,25,FALSE)-AVERAGE('The List'!Z2:Z730))/STDEV('The List'!Z2:Z730)</f>
        <v>2.6161992694981837</v>
      </c>
      <c r="N384" s="38">
        <f>(VLOOKUP($A384,'The List'!$B1:$AH730,26,FALSE)-AVERAGE('The List'!AA2:AA730))/STDEV('The List'!AA2:AA730)</f>
        <v>-0.79557213629889889</v>
      </c>
      <c r="O384" s="38">
        <f>(VLOOKUP($A384,'The List'!$B1:$AH730,27,FALSE)-AVERAGE('The List'!AB2:AB730))/STDEV('The List'!AB2:AB730)</f>
        <v>-1.3334144845358267</v>
      </c>
      <c r="P384" s="38">
        <f>(VLOOKUP($A384,'The List'!$B1:$AH730,28,FALSE)-AVERAGE('The List'!AC2:AC730))/STDEV('The List'!AC2:AC730)</f>
        <v>0.84669233666011556</v>
      </c>
      <c r="Q384" s="38">
        <f>(VLOOKUP($A384,'The List'!$B1:$AH730,29,FALSE)-AVERAGE('The List'!AD2:AD730))/STDEV('The List'!AD2:AD730)</f>
        <v>-0.51858039769150877</v>
      </c>
      <c r="R384" s="38">
        <f>(VLOOKUP($A384,'The List'!$B1:$AH730,30,FALSE)-AVERAGE('The List'!AE2:AE730))/STDEV('The List'!AE2:AE730)</f>
        <v>-0.1836106590366077</v>
      </c>
      <c r="S384" s="38">
        <f>(VLOOKUP($A384,'The List'!$B1:$AH730,31,FALSE)-AVERAGE('The List'!AF2:AF730))/STDEV('The List'!AF2:AF730)</f>
        <v>-0.4466935449827214</v>
      </c>
      <c r="T384" s="38">
        <f>(VLOOKUP($A384,'The List'!$B1:$AH730,32,FALSE)-AVERAGE('The List'!AG2:AG730))/STDEV('The List'!AG2:AG730)</f>
        <v>-0.4228460738508289</v>
      </c>
      <c r="U384" s="38">
        <f>(VLOOKUP($A384,'The List'!$B1:$AH730,33,FALSE)-AVERAGE('The List'!AH2:AH730))/STDEV('The List'!AH2:AH730)</f>
        <v>0.57401802906035537</v>
      </c>
      <c r="V384" s="38"/>
      <c r="W384" s="42"/>
      <c r="X384" s="40"/>
      <c r="Y384" s="40"/>
      <c r="Z384" s="40"/>
      <c r="AA384" s="40"/>
      <c r="AB384" s="40"/>
      <c r="AC384" s="43"/>
      <c r="AD384" s="44"/>
      <c r="AE384" s="38"/>
    </row>
    <row r="385" spans="1:31" ht="21.2" customHeight="1">
      <c r="A385" s="8" t="s">
        <v>332</v>
      </c>
      <c r="B385" s="34" t="str">
        <f>VLOOKUP(A385,'Player Data'!A1:B734,2,FALSE)</f>
        <v>PIT</v>
      </c>
      <c r="C385" s="36">
        <f>((E385)*Settings!$C$12)+(F385*Settings!$C$2)+(G385*Settings!$C$3)+(H385*Settings!$C$4)+(I385*Settings!$C$5)+(K385*Settings!$C$9)+(N385*Settings!$C$6)+(J385*Settings!$C$8)+(O385*Settings!$C$7)+(P385*Settings!$C$14)+(Q385*Settings!$C$15)+(R385*Settings!$C$16)+(S385*Settings!$C$17)+(T385*Settings!$C$18)+(U385*Settings!$C$19)+(L385*Settings!$C$10)+(Settings!$C$11*M385)</f>
        <v>-2.3619480638132382</v>
      </c>
      <c r="D385" s="40">
        <f>IF(Settings!$E$12="YES",VLOOKUP(A385,'Player Data'!A1:E734,5,FALSE),82)</f>
        <v>82</v>
      </c>
      <c r="E385" s="38">
        <f>(VLOOKUP($A385,'The List'!$B1:$AH730,17,FALSE)-AVERAGE('The List'!R2:R730))/STDEV('The List'!R2:R730)</f>
        <v>0.97066465999302776</v>
      </c>
      <c r="F385" s="38">
        <f>(VLOOKUP($A385,'The List'!$B1:$AH730,18,FALSE)-AVERAGE('The List'!S2:S730))/STDEV('The List'!S2:S730)</f>
        <v>-0.75077597685925257</v>
      </c>
      <c r="G385" s="38">
        <f>(VLOOKUP($A385,'The List'!$B1:$AH730,19,FALSE)-AVERAGE('The List'!T2:T730))/STDEV('The List'!T2:T730)</f>
        <v>-0.22531296478695051</v>
      </c>
      <c r="H385" s="38">
        <f>(VLOOKUP($A385,'The List'!$B1:$AH730,20,FALSE)-AVERAGE('The List'!U2:U730))/STDEV('The List'!U2:U730)</f>
        <v>-0.48747925603731462</v>
      </c>
      <c r="I385" s="38">
        <f>(VLOOKUP($A385,'The List'!$B1:$AH730,21,FALSE)-AVERAGE('The List'!V2:V730))/STDEV('The List'!V2:V730)</f>
        <v>-8.7982374206114808E-2</v>
      </c>
      <c r="J385" s="38">
        <f>(VLOOKUP($A385,'The List'!$B1:$AH730,22,FALSE)-AVERAGE('The List'!W2:W730))/STDEV('The List'!W2:W730)</f>
        <v>-0.73081670317220737</v>
      </c>
      <c r="K385" s="38">
        <f>(VLOOKUP($A385,'The List'!$B1:$AH730,23,FALSE)-AVERAGE('The List'!X2:X730))/STDEV('The List'!X2:X730)</f>
        <v>-0.81039749192360588</v>
      </c>
      <c r="L385" s="38">
        <f>(VLOOKUP($A385,'The List'!$B1:$AH730,24,FALSE)-AVERAGE('The List'!Y2:Y730))/STDEV('The List'!Y2:Y730)</f>
        <v>-0.50124653210120884</v>
      </c>
      <c r="M385" s="38">
        <f>(VLOOKUP($A385,'The List'!$B1:$AH730,25,FALSE)-AVERAGE('The List'!Z2:Z730))/STDEV('The List'!Z2:Z730)</f>
        <v>0.49458348472257579</v>
      </c>
      <c r="N385" s="38">
        <f>(VLOOKUP($A385,'The List'!$B1:$AH730,26,FALSE)-AVERAGE('The List'!AA2:AA730))/STDEV('The List'!AA2:AA730)</f>
        <v>2.121740518342901</v>
      </c>
      <c r="O385" s="38">
        <f>(VLOOKUP($A385,'The List'!$B1:$AH730,27,FALSE)-AVERAGE('The List'!AB2:AB730))/STDEV('The List'!AB2:AB730)</f>
        <v>-4.2294959388862498E-2</v>
      </c>
      <c r="P385" s="38">
        <f>(VLOOKUP($A385,'The List'!$B1:$AH730,28,FALSE)-AVERAGE('The List'!AC2:AC730))/STDEV('The List'!AC2:AC730)</f>
        <v>0.40268847277963182</v>
      </c>
      <c r="Q385" s="38">
        <f>(VLOOKUP($A385,'The List'!$B1:$AH730,29,FALSE)-AVERAGE('The List'!AD2:AD730))/STDEV('The List'!AD2:AD730)</f>
        <v>2.8967906676335801E-2</v>
      </c>
      <c r="R385" s="38">
        <f>(VLOOKUP($A385,'The List'!$B1:$AH730,30,FALSE)-AVERAGE('The List'!AE2:AE730))/STDEV('The List'!AE2:AE730)</f>
        <v>-0.60432288681563961</v>
      </c>
      <c r="S385" s="38">
        <f>(VLOOKUP($A385,'The List'!$B1:$AH730,31,FALSE)-AVERAGE('The List'!AF2:AF730))/STDEV('The List'!AF2:AF730)</f>
        <v>-0.56911587195029545</v>
      </c>
      <c r="T385" s="38">
        <f>(VLOOKUP($A385,'The List'!$B1:$AH730,32,FALSE)-AVERAGE('The List'!AG2:AG730))/STDEV('The List'!AG2:AG730)</f>
        <v>-0.61510119871956948</v>
      </c>
      <c r="U385" s="38">
        <f>(VLOOKUP($A385,'The List'!$B1:$AH730,33,FALSE)-AVERAGE('The List'!AH2:AH730))/STDEV('The List'!AH2:AH730)</f>
        <v>-1.2363238714825984</v>
      </c>
      <c r="V385" s="38"/>
      <c r="W385" s="42"/>
      <c r="X385" s="40"/>
      <c r="Y385" s="40"/>
      <c r="Z385" s="40"/>
      <c r="AA385" s="40"/>
      <c r="AB385" s="40"/>
      <c r="AC385" s="43"/>
      <c r="AD385" s="44"/>
      <c r="AE385" s="38"/>
    </row>
    <row r="386" spans="1:31" ht="21.2" customHeight="1">
      <c r="A386" s="8" t="s">
        <v>691</v>
      </c>
      <c r="B386" s="34" t="str">
        <f>VLOOKUP(A386,'Player Data'!A1:B734,2,FALSE)</f>
        <v>NSH</v>
      </c>
      <c r="C386" s="36">
        <f>((E386)*Settings!$C$12)+(F386*Settings!$C$2)+(G386*Settings!$C$3)+(H386*Settings!$C$4)+(I386*Settings!$C$5)+(K386*Settings!$C$9)+(N386*Settings!$C$6)+(J386*Settings!$C$8)+(O386*Settings!$C$7)+(P386*Settings!$C$14)+(Q386*Settings!$C$15)+(R386*Settings!$C$16)+(S386*Settings!$C$17)+(T386*Settings!$C$18)+(U386*Settings!$C$19)+(L386*Settings!$C$10)+(Settings!$C$11*M386)</f>
        <v>-2.8853148989283466</v>
      </c>
      <c r="D386" s="40">
        <f>IF(Settings!$E$12="YES",VLOOKUP(A386,'Player Data'!A1:E734,5,FALSE),82)</f>
        <v>82</v>
      </c>
      <c r="E386" s="38">
        <f>(VLOOKUP($A386,'The List'!$B1:$AH730,17,FALSE)-AVERAGE('The List'!R2:R730))/STDEV('The List'!R2:R730)</f>
        <v>-0.26251909646311666</v>
      </c>
      <c r="F386" s="38">
        <f>(VLOOKUP($A386,'The List'!$B1:$AH730,18,FALSE)-AVERAGE('The List'!S2:S730))/STDEV('The List'!S2:S730)</f>
        <v>-0.38435609836635704</v>
      </c>
      <c r="G386" s="38">
        <f>(VLOOKUP($A386,'The List'!$B1:$AH730,19,FALSE)-AVERAGE('The List'!T2:T730))/STDEV('The List'!T2:T730)</f>
        <v>-0.50621554196067597</v>
      </c>
      <c r="H386" s="38">
        <f>(VLOOKUP($A386,'The List'!$B1:$AH730,20,FALSE)-AVERAGE('The List'!U2:U730))/STDEV('The List'!U2:U730)</f>
        <v>-0.489766185071423</v>
      </c>
      <c r="I386" s="38">
        <f>(VLOOKUP($A386,'The List'!$B1:$AH730,21,FALSE)-AVERAGE('The List'!V2:V730))/STDEV('The List'!V2:V730)</f>
        <v>-0.88187138490020278</v>
      </c>
      <c r="J386" s="38">
        <f>(VLOOKUP($A386,'The List'!$B1:$AH730,22,FALSE)-AVERAGE('The List'!W2:W730))/STDEV('The List'!W2:W730)</f>
        <v>-0.61968200739579138</v>
      </c>
      <c r="K386" s="38">
        <f>(VLOOKUP($A386,'The List'!$B1:$AH730,23,FALSE)-AVERAGE('The List'!X2:X730))/STDEV('The List'!X2:X730)</f>
        <v>-0.62310568862968763</v>
      </c>
      <c r="L386" s="38">
        <f>(VLOOKUP($A386,'The List'!$B1:$AH730,24,FALSE)-AVERAGE('The List'!Y2:Y730))/STDEV('The List'!Y2:Y730)</f>
        <v>0.2293618315502946</v>
      </c>
      <c r="M386" s="38">
        <f>(VLOOKUP($A386,'The List'!$B1:$AH730,25,FALSE)-AVERAGE('The List'!Z2:Z730))/STDEV('The List'!Z2:Z730)</f>
        <v>-9.4225422028793249E-2</v>
      </c>
      <c r="N386" s="38">
        <f>(VLOOKUP($A386,'The List'!$B1:$AH730,26,FALSE)-AVERAGE('The List'!AA2:AA730))/STDEV('The List'!AA2:AA730)</f>
        <v>-0.11225977925066341</v>
      </c>
      <c r="O386" s="38">
        <f>(VLOOKUP($A386,'The List'!$B1:$AH730,27,FALSE)-AVERAGE('The List'!AB2:AB730))/STDEV('The List'!AB2:AB730)</f>
        <v>1.129784832314465</v>
      </c>
      <c r="P386" s="38">
        <f>(VLOOKUP($A386,'The List'!$B1:$AH730,28,FALSE)-AVERAGE('The List'!AC2:AC730))/STDEV('The List'!AC2:AC730)</f>
        <v>-0.58855428763112971</v>
      </c>
      <c r="Q386" s="38">
        <f>(VLOOKUP($A386,'The List'!$B1:$AH730,29,FALSE)-AVERAGE('The List'!AD2:AD730))/STDEV('The List'!AD2:AD730)</f>
        <v>-0.55712642607767271</v>
      </c>
      <c r="R386" s="38">
        <f>(VLOOKUP($A386,'The List'!$B1:$AH730,30,FALSE)-AVERAGE('The List'!AE2:AE730))/STDEV('The List'!AE2:AE730)</f>
        <v>-0.31432143962658554</v>
      </c>
      <c r="S386" s="38">
        <f>(VLOOKUP($A386,'The List'!$B1:$AH730,31,FALSE)-AVERAGE('The List'!AF2:AF730))/STDEV('The List'!AF2:AF730)</f>
        <v>2.250634201317252</v>
      </c>
      <c r="T386" s="38">
        <f>(VLOOKUP($A386,'The List'!$B1:$AH730,32,FALSE)-AVERAGE('The List'!AG2:AG730))/STDEV('The List'!AG2:AG730)</f>
        <v>1.8727611084783744</v>
      </c>
      <c r="U386" s="38">
        <f>(VLOOKUP($A386,'The List'!$B1:$AH730,33,FALSE)-AVERAGE('The List'!AH2:AH730))/STDEV('The List'!AH2:AH730)</f>
        <v>1.2185035503954926</v>
      </c>
      <c r="V386" s="38"/>
      <c r="W386" s="42"/>
      <c r="X386" s="40"/>
      <c r="Y386" s="40"/>
      <c r="Z386" s="40"/>
      <c r="AA386" s="40"/>
      <c r="AB386" s="40"/>
      <c r="AC386" s="43"/>
      <c r="AD386" s="44"/>
      <c r="AE386" s="38"/>
    </row>
    <row r="387" spans="1:31" ht="21.2" customHeight="1">
      <c r="A387" s="8" t="s">
        <v>580</v>
      </c>
      <c r="B387" s="34" t="str">
        <f>VLOOKUP(A387,'Player Data'!A1:B734,2,FALSE)</f>
        <v>TOR</v>
      </c>
      <c r="C387" s="36">
        <f>((E387)*Settings!$C$12)+(F387*Settings!$C$2)+(G387*Settings!$C$3)+(H387*Settings!$C$4)+(I387*Settings!$C$5)+(K387*Settings!$C$9)+(N387*Settings!$C$6)+(J387*Settings!$C$8)+(O387*Settings!$C$7)+(P387*Settings!$C$14)+(Q387*Settings!$C$15)+(R387*Settings!$C$16)+(S387*Settings!$C$17)+(T387*Settings!$C$18)+(U387*Settings!$C$19)+(L387*Settings!$C$10)+(Settings!$C$11*M387)</f>
        <v>-3.1477369828223436</v>
      </c>
      <c r="D387" s="40">
        <f>IF(Settings!$E$12="YES",VLOOKUP(A387,'Player Data'!A1:E734,5,FALSE),82)</f>
        <v>82</v>
      </c>
      <c r="E387" s="38">
        <f>(VLOOKUP($A387,'The List'!$B1:$AH730,17,FALSE)-AVERAGE('The List'!R2:R730))/STDEV('The List'!R2:R730)</f>
        <v>-1.5780858163769559E-2</v>
      </c>
      <c r="F387" s="38">
        <f>(VLOOKUP($A387,'The List'!$B1:$AH730,18,FALSE)-AVERAGE('The List'!S2:S730))/STDEV('The List'!S2:S730)</f>
        <v>-0.93941344609154565</v>
      </c>
      <c r="G387" s="38">
        <f>(VLOOKUP($A387,'The List'!$B1:$AH730,19,FALSE)-AVERAGE('The List'!T2:T730))/STDEV('The List'!T2:T730)</f>
        <v>-9.1723485863065404E-2</v>
      </c>
      <c r="H387" s="38">
        <f>(VLOOKUP($A387,'The List'!$B1:$AH730,20,FALSE)-AVERAGE('The List'!U2:U730))/STDEV('The List'!U2:U730)</f>
        <v>-0.49307575632034106</v>
      </c>
      <c r="I387" s="38">
        <f>(VLOOKUP($A387,'The List'!$B1:$AH730,21,FALSE)-AVERAGE('The List'!V2:V730))/STDEV('The List'!V2:V730)</f>
        <v>-1.1028677056663119</v>
      </c>
      <c r="J387" s="38">
        <f>(VLOOKUP($A387,'The List'!$B1:$AH730,22,FALSE)-AVERAGE('The List'!W2:W730))/STDEV('The List'!W2:W730)</f>
        <v>-0.69500150822606188</v>
      </c>
      <c r="K387" s="38">
        <f>(VLOOKUP($A387,'The List'!$B1:$AH730,23,FALSE)-AVERAGE('The List'!X2:X730))/STDEV('The List'!X2:X730)</f>
        <v>-0.52065658888107957</v>
      </c>
      <c r="L387" s="38">
        <f>(VLOOKUP($A387,'The List'!$B1:$AH730,24,FALSE)-AVERAGE('The List'!Y2:Y730))/STDEV('The List'!Y2:Y730)</f>
        <v>-0.51334782799351653</v>
      </c>
      <c r="M387" s="38">
        <f>(VLOOKUP($A387,'The List'!$B1:$AH730,25,FALSE)-AVERAGE('The List'!Z2:Z730))/STDEV('The List'!Z2:Z730)</f>
        <v>-0.67268779506228105</v>
      </c>
      <c r="N387" s="38">
        <f>(VLOOKUP($A387,'The List'!$B1:$AH730,26,FALSE)-AVERAGE('The List'!AA2:AA730))/STDEV('The List'!AA2:AA730)</f>
        <v>0.39783061269900544</v>
      </c>
      <c r="O387" s="38">
        <f>(VLOOKUP($A387,'The List'!$B1:$AH730,27,FALSE)-AVERAGE('The List'!AB2:AB730))/STDEV('The List'!AB2:AB730)</f>
        <v>-0.13790425493052569</v>
      </c>
      <c r="P387" s="38">
        <f>(VLOOKUP($A387,'The List'!$B1:$AH730,28,FALSE)-AVERAGE('The List'!AC2:AC730))/STDEV('The List'!AC2:AC730)</f>
        <v>0.90157077970900712</v>
      </c>
      <c r="Q387" s="38">
        <f>(VLOOKUP($A387,'The List'!$B1:$AH730,29,FALSE)-AVERAGE('The List'!AD2:AD730))/STDEV('The List'!AD2:AD730)</f>
        <v>-0.43069321114342202</v>
      </c>
      <c r="R387" s="38">
        <f>(VLOOKUP($A387,'The List'!$B1:$AH730,30,FALSE)-AVERAGE('The List'!AE2:AE730))/STDEV('The List'!AE2:AE730)</f>
        <v>-0.80114828684256878</v>
      </c>
      <c r="S387" s="38">
        <f>(VLOOKUP($A387,'The List'!$B1:$AH730,31,FALSE)-AVERAGE('The List'!AF2:AF730))/STDEV('The List'!AF2:AF730)</f>
        <v>-0.56911587195029545</v>
      </c>
      <c r="T387" s="38">
        <f>(VLOOKUP($A387,'The List'!$B1:$AH730,32,FALSE)-AVERAGE('The List'!AG2:AG730))/STDEV('The List'!AG2:AG730)</f>
        <v>-0.61510119871956948</v>
      </c>
      <c r="U387" s="38">
        <f>(VLOOKUP($A387,'The List'!$B1:$AH730,33,FALSE)-AVERAGE('The List'!AH2:AH730))/STDEV('The List'!AH2:AH730)</f>
        <v>-1.2363238714825984</v>
      </c>
      <c r="V387" s="38"/>
      <c r="W387" s="40"/>
      <c r="X387" s="38"/>
      <c r="Y387" s="38"/>
      <c r="Z387" s="38"/>
      <c r="AA387" s="38"/>
      <c r="AB387" s="38"/>
      <c r="AC387" s="38"/>
      <c r="AD387" s="38"/>
      <c r="AE387" s="38"/>
    </row>
    <row r="388" spans="1:31" ht="21.2" customHeight="1">
      <c r="A388" s="8" t="s">
        <v>713</v>
      </c>
      <c r="B388" s="34" t="str">
        <f>VLOOKUP(A388,'Player Data'!A1:B734,2,FALSE)</f>
        <v>VGK</v>
      </c>
      <c r="C388" s="36">
        <f>((E388)*Settings!$C$12)+(F388*Settings!$C$2)+(G388*Settings!$C$3)+(H388*Settings!$C$4)+(I388*Settings!$C$5)+(K388*Settings!$C$9)+(N388*Settings!$C$6)+(J388*Settings!$C$8)+(O388*Settings!$C$7)+(P388*Settings!$C$14)+(Q388*Settings!$C$15)+(R388*Settings!$C$16)+(S388*Settings!$C$17)+(T388*Settings!$C$18)+(U388*Settings!$C$19)+(L388*Settings!$C$10)+(Settings!$C$11*M388)</f>
        <v>-3.153600121502623</v>
      </c>
      <c r="D388" s="40">
        <f>IF(Settings!$E$12="YES",VLOOKUP(A388,'Player Data'!A1:E734,5,FALSE),82)</f>
        <v>82</v>
      </c>
      <c r="E388" s="38">
        <f>(VLOOKUP($A388,'The List'!$B1:$AH730,17,FALSE)-AVERAGE('The List'!R2:R730))/STDEV('The List'!R2:R730)</f>
        <v>-0.88822223594424665</v>
      </c>
      <c r="F388" s="38">
        <f>(VLOOKUP($A388,'The List'!$B1:$AH730,18,FALSE)-AVERAGE('The List'!S2:S730))/STDEV('The List'!S2:S730)</f>
        <v>-0.24902741550631313</v>
      </c>
      <c r="G388" s="38">
        <f>(VLOOKUP($A388,'The List'!$B1:$AH730,19,FALSE)-AVERAGE('The List'!T2:T730))/STDEV('The List'!T2:T730)</f>
        <v>-0.6210405325200854</v>
      </c>
      <c r="H388" s="38">
        <f>(VLOOKUP($A388,'The List'!$B1:$AH730,20,FALSE)-AVERAGE('The List'!U2:U730))/STDEV('The List'!U2:U730)</f>
        <v>-0.49741999074887394</v>
      </c>
      <c r="I388" s="38">
        <f>(VLOOKUP($A388,'The List'!$B1:$AH730,21,FALSE)-AVERAGE('The List'!V2:V730))/STDEV('The List'!V2:V730)</f>
        <v>-0.96670798635855915</v>
      </c>
      <c r="J388" s="38">
        <f>(VLOOKUP($A388,'The List'!$B1:$AH730,22,FALSE)-AVERAGE('The List'!W2:W730))/STDEV('The List'!W2:W730)</f>
        <v>-0.72763774010870685</v>
      </c>
      <c r="K388" s="38">
        <f>(VLOOKUP($A388,'The List'!$B1:$AH730,23,FALSE)-AVERAGE('The List'!X2:X730))/STDEV('The List'!X2:X730)</f>
        <v>-0.81940419636879147</v>
      </c>
      <c r="L388" s="38">
        <f>(VLOOKUP($A388,'The List'!$B1:$AH730,24,FALSE)-AVERAGE('The List'!Y2:Y730))/STDEV('The List'!Y2:Y730)</f>
        <v>-0.26590557253656344</v>
      </c>
      <c r="M388" s="38">
        <f>(VLOOKUP($A388,'The List'!$B1:$AH730,25,FALSE)-AVERAGE('The List'!Z2:Z730))/STDEV('The List'!Z2:Z730)</f>
        <v>0.40312637916788241</v>
      </c>
      <c r="N388" s="38">
        <f>(VLOOKUP($A388,'The List'!$B1:$AH730,26,FALSE)-AVERAGE('The List'!AA2:AA730))/STDEV('The List'!AA2:AA730)</f>
        <v>-0.25148448111522731</v>
      </c>
      <c r="O388" s="38">
        <f>(VLOOKUP($A388,'The List'!$B1:$AH730,27,FALSE)-AVERAGE('The List'!AB2:AB730))/STDEV('The List'!AB2:AB730)</f>
        <v>0.7908059858626787</v>
      </c>
      <c r="P388" s="38">
        <f>(VLOOKUP($A388,'The List'!$B1:$AH730,28,FALSE)-AVERAGE('The List'!AC2:AC730))/STDEV('The List'!AC2:AC730)</f>
        <v>0.9566008909722441</v>
      </c>
      <c r="Q388" s="38">
        <f>(VLOOKUP($A388,'The List'!$B1:$AH730,29,FALSE)-AVERAGE('The List'!AD2:AD730))/STDEV('The List'!AD2:AD730)</f>
        <v>0.46632836961134205</v>
      </c>
      <c r="R388" s="38">
        <f>(VLOOKUP($A388,'The List'!$B1:$AH730,30,FALSE)-AVERAGE('The List'!AE2:AE730))/STDEV('The List'!AE2:AE730)</f>
        <v>-5.860570376577149E-2</v>
      </c>
      <c r="S388" s="38">
        <f>(VLOOKUP($A388,'The List'!$B1:$AH730,31,FALSE)-AVERAGE('The List'!AF2:AF730))/STDEV('The List'!AF2:AF730)</f>
        <v>0.35867743274682179</v>
      </c>
      <c r="T388" s="38">
        <f>(VLOOKUP($A388,'The List'!$B1:$AH730,32,FALSE)-AVERAGE('The List'!AG2:AG730))/STDEV('The List'!AG2:AG730)</f>
        <v>0.38005014060986964</v>
      </c>
      <c r="U388" s="38">
        <f>(VLOOKUP($A388,'The List'!$B1:$AH730,33,FALSE)-AVERAGE('The List'!AH2:AH730))/STDEV('The List'!AH2:AH730)</f>
        <v>0.99848161459351648</v>
      </c>
      <c r="V388" s="38"/>
      <c r="W388" s="42"/>
      <c r="X388" s="40"/>
      <c r="Y388" s="40"/>
      <c r="Z388" s="40"/>
      <c r="AA388" s="40"/>
      <c r="AB388" s="40"/>
      <c r="AC388" s="43"/>
      <c r="AD388" s="44"/>
      <c r="AE388" s="38"/>
    </row>
    <row r="389" spans="1:31" ht="21.2" customHeight="1">
      <c r="A389" s="8" t="s">
        <v>425</v>
      </c>
      <c r="B389" s="34" t="str">
        <f>VLOOKUP(A389,'Player Data'!A1:B734,2,FALSE)</f>
        <v>SJS</v>
      </c>
      <c r="C389" s="36">
        <f>((E389)*Settings!$C$12)+(F389*Settings!$C$2)+(G389*Settings!$C$3)+(H389*Settings!$C$4)+(I389*Settings!$C$5)+(K389*Settings!$C$9)+(N389*Settings!$C$6)+(J389*Settings!$C$8)+(O389*Settings!$C$7)+(P389*Settings!$C$14)+(Q389*Settings!$C$15)+(R389*Settings!$C$16)+(S389*Settings!$C$17)+(T389*Settings!$C$18)+(U389*Settings!$C$19)+(L389*Settings!$C$10)+(Settings!$C$11*M389)</f>
        <v>-3.2722196895485283</v>
      </c>
      <c r="D389" s="40">
        <f>IF(Settings!$E$12="YES",VLOOKUP(A389,'Player Data'!A1:E734,5,FALSE),82)</f>
        <v>82</v>
      </c>
      <c r="E389" s="38">
        <f>(VLOOKUP($A389,'The List'!$B1:$AH730,17,FALSE)-AVERAGE('The List'!R2:R730))/STDEV('The List'!R2:R730)</f>
        <v>1.7336053674634933</v>
      </c>
      <c r="F389" s="38">
        <f>(VLOOKUP($A389,'The List'!$B1:$AH730,18,FALSE)-AVERAGE('The List'!S2:S730))/STDEV('The List'!S2:S730)</f>
        <v>-1.1095495301345253</v>
      </c>
      <c r="G389" s="38">
        <f>(VLOOKUP($A389,'The List'!$B1:$AH730,19,FALSE)-AVERAGE('The List'!T2:T730))/STDEV('The List'!T2:T730)</f>
        <v>2.5494555226484531E-2</v>
      </c>
      <c r="H389" s="38">
        <f>(VLOOKUP($A389,'The List'!$B1:$AH730,20,FALSE)-AVERAGE('The List'!U2:U730))/STDEV('The List'!U2:U730)</f>
        <v>-0.50013235238059228</v>
      </c>
      <c r="I389" s="38">
        <f>(VLOOKUP($A389,'The List'!$B1:$AH730,21,FALSE)-AVERAGE('The List'!V2:V730))/STDEV('The List'!V2:V730)</f>
        <v>-1.0795003151273521</v>
      </c>
      <c r="J389" s="38">
        <f>(VLOOKUP($A389,'The List'!$B1:$AH730,22,FALSE)-AVERAGE('The List'!W2:W730))/STDEV('The List'!W2:W730)</f>
        <v>-0.66870663082371351</v>
      </c>
      <c r="K389" s="38">
        <f>(VLOOKUP($A389,'The List'!$B1:$AH730,23,FALSE)-AVERAGE('The List'!X2:X730))/STDEV('The List'!X2:X730)</f>
        <v>-0.60853204713254294</v>
      </c>
      <c r="L389" s="38">
        <f>(VLOOKUP($A389,'The List'!$B1:$AH730,24,FALSE)-AVERAGE('The List'!Y2:Y730))/STDEV('The List'!Y2:Y730)</f>
        <v>-0.51699588924041084</v>
      </c>
      <c r="M389" s="38">
        <f>(VLOOKUP($A389,'The List'!$B1:$AH730,25,FALSE)-AVERAGE('The List'!Z2:Z730))/STDEV('The List'!Z2:Z730)</f>
        <v>0.31551549420055991</v>
      </c>
      <c r="N389" s="38">
        <f>(VLOOKUP($A389,'The List'!$B1:$AH730,26,FALSE)-AVERAGE('The List'!AA2:AA730))/STDEV('The List'!AA2:AA730)</f>
        <v>1.499150669880426</v>
      </c>
      <c r="O389" s="38">
        <f>(VLOOKUP($A389,'The List'!$B1:$AH730,27,FALSE)-AVERAGE('The List'!AB2:AB730))/STDEV('The List'!AB2:AB730)</f>
        <v>0.31855177305487214</v>
      </c>
      <c r="P389" s="38">
        <f>(VLOOKUP($A389,'The List'!$B1:$AH730,28,FALSE)-AVERAGE('The List'!AC2:AC730))/STDEV('The List'!AC2:AC730)</f>
        <v>-0.28231734253269336</v>
      </c>
      <c r="Q389" s="38">
        <f>(VLOOKUP($A389,'The List'!$B1:$AH730,29,FALSE)-AVERAGE('The List'!AD2:AD730))/STDEV('The List'!AD2:AD730)</f>
        <v>0.6878225531547163</v>
      </c>
      <c r="R389" s="38">
        <f>(VLOOKUP($A389,'The List'!$B1:$AH730,30,FALSE)-AVERAGE('The List'!AE2:AE730))/STDEV('The List'!AE2:AE730)</f>
        <v>-1.0410334806777395</v>
      </c>
      <c r="S389" s="38">
        <f>(VLOOKUP($A389,'The List'!$B1:$AH730,31,FALSE)-AVERAGE('The List'!AF2:AF730))/STDEV('The List'!AF2:AF730)</f>
        <v>-0.56911587195029545</v>
      </c>
      <c r="T389" s="38">
        <f>(VLOOKUP($A389,'The List'!$B1:$AH730,32,FALSE)-AVERAGE('The List'!AG2:AG730))/STDEV('The List'!AG2:AG730)</f>
        <v>-0.61510119871956948</v>
      </c>
      <c r="U389" s="38">
        <f>(VLOOKUP($A389,'The List'!$B1:$AH730,33,FALSE)-AVERAGE('The List'!AH2:AH730))/STDEV('The List'!AH2:AH730)</f>
        <v>-1.2363238714825984</v>
      </c>
      <c r="V389" s="38"/>
      <c r="W389" s="42"/>
      <c r="X389" s="40"/>
      <c r="Y389" s="40"/>
      <c r="Z389" s="40"/>
      <c r="AA389" s="40"/>
      <c r="AB389" s="40"/>
      <c r="AC389" s="43"/>
      <c r="AD389" s="44"/>
      <c r="AE389" s="38"/>
    </row>
    <row r="390" spans="1:31" ht="21.2" customHeight="1">
      <c r="A390" s="8" t="s">
        <v>646</v>
      </c>
      <c r="B390" s="34" t="str">
        <f>VLOOKUP(A390,'Player Data'!A1:B734,2,FALSE)</f>
        <v>OTT</v>
      </c>
      <c r="C390" s="36">
        <f>((E390)*Settings!$C$12)+(F390*Settings!$C$2)+(G390*Settings!$C$3)+(H390*Settings!$C$4)+(I390*Settings!$C$5)+(K390*Settings!$C$9)+(N390*Settings!$C$6)+(J390*Settings!$C$8)+(O390*Settings!$C$7)+(P390*Settings!$C$14)+(Q390*Settings!$C$15)+(R390*Settings!$C$16)+(S390*Settings!$C$17)+(T390*Settings!$C$18)+(U390*Settings!$C$19)+(L390*Settings!$C$10)+(Settings!$C$11*M390)</f>
        <v>-2.9760154989923975</v>
      </c>
      <c r="D390" s="40">
        <f>IF(Settings!$E$12="YES",VLOOKUP(A390,'Player Data'!A1:E734,5,FALSE),82)</f>
        <v>82</v>
      </c>
      <c r="E390" s="38">
        <f>(VLOOKUP($A390,'The List'!$B1:$AH730,17,FALSE)-AVERAGE('The List'!R2:R730))/STDEV('The List'!R2:R730)</f>
        <v>-0.79306225673269937</v>
      </c>
      <c r="F390" s="38">
        <f>(VLOOKUP($A390,'The List'!$B1:$AH730,18,FALSE)-AVERAGE('The List'!S2:S730))/STDEV('The List'!S2:S730)</f>
        <v>-0.42447402658787009</v>
      </c>
      <c r="G390" s="38">
        <f>(VLOOKUP($A390,'The List'!$B1:$AH730,19,FALSE)-AVERAGE('The List'!T2:T730))/STDEV('The List'!T2:T730)</f>
        <v>-0.50024451057367525</v>
      </c>
      <c r="H390" s="38">
        <f>(VLOOKUP($A390,'The List'!$B1:$AH730,20,FALSE)-AVERAGE('The List'!U2:U730))/STDEV('The List'!U2:U730)</f>
        <v>-0.50474649813326611</v>
      </c>
      <c r="I390" s="38">
        <f>(VLOOKUP($A390,'The List'!$B1:$AH730,21,FALSE)-AVERAGE('The List'!V2:V730))/STDEV('The List'!V2:V730)</f>
        <v>-0.77661230717742202</v>
      </c>
      <c r="J390" s="38">
        <f>(VLOOKUP($A390,'The List'!$B1:$AH730,22,FALSE)-AVERAGE('The List'!W2:W730))/STDEV('The List'!W2:W730)</f>
        <v>-0.68107887163071634</v>
      </c>
      <c r="K390" s="38">
        <f>(VLOOKUP($A390,'The List'!$B1:$AH730,23,FALSE)-AVERAGE('The List'!X2:X730))/STDEV('The List'!X2:X730)</f>
        <v>-0.76993815652016429</v>
      </c>
      <c r="L390" s="38">
        <f>(VLOOKUP($A390,'The List'!$B1:$AH730,24,FALSE)-AVERAGE('The List'!Y2:Y730))/STDEV('The List'!Y2:Y730)</f>
        <v>2.5140442627405517</v>
      </c>
      <c r="M390" s="38">
        <f>(VLOOKUP($A390,'The List'!$B1:$AH730,25,FALSE)-AVERAGE('The List'!Z2:Z730))/STDEV('The List'!Z2:Z730)</f>
        <v>3.1299501943475763</v>
      </c>
      <c r="N390" s="38">
        <f>(VLOOKUP($A390,'The List'!$B1:$AH730,26,FALSE)-AVERAGE('The List'!AA2:AA730))/STDEV('The List'!AA2:AA730)</f>
        <v>-0.62226760228481182</v>
      </c>
      <c r="O390" s="38">
        <f>(VLOOKUP($A390,'The List'!$B1:$AH730,27,FALSE)-AVERAGE('The List'!AB2:AB730))/STDEV('The List'!AB2:AB730)</f>
        <v>0.39036496949360883</v>
      </c>
      <c r="P390" s="38">
        <f>(VLOOKUP($A390,'The List'!$B1:$AH730,28,FALSE)-AVERAGE('The List'!AC2:AC730))/STDEV('The List'!AC2:AC730)</f>
        <v>0.21894714637827353</v>
      </c>
      <c r="Q390" s="38">
        <f>(VLOOKUP($A390,'The List'!$B1:$AH730,29,FALSE)-AVERAGE('The List'!AD2:AD730))/STDEV('The List'!AD2:AD730)</f>
        <v>-0.24245278712374063</v>
      </c>
      <c r="R390" s="38">
        <f>(VLOOKUP($A390,'The List'!$B1:$AH730,30,FALSE)-AVERAGE('The List'!AE2:AE730))/STDEV('The List'!AE2:AE730)</f>
        <v>-0.32562718600515916</v>
      </c>
      <c r="S390" s="38">
        <f>(VLOOKUP($A390,'The List'!$B1:$AH730,31,FALSE)-AVERAGE('The List'!AF2:AF730))/STDEV('The List'!AF2:AF730)</f>
        <v>-0.49510029902697866</v>
      </c>
      <c r="T390" s="38">
        <f>(VLOOKUP($A390,'The List'!$B1:$AH730,32,FALSE)-AVERAGE('The List'!AG2:AG730))/STDEV('The List'!AG2:AG730)</f>
        <v>-0.48671731714859479</v>
      </c>
      <c r="U390" s="38">
        <f>(VLOOKUP($A390,'The List'!$B1:$AH730,33,FALSE)-AVERAGE('The List'!AH2:AH730))/STDEV('The List'!AH2:AH730)</f>
        <v>0.46733705116664326</v>
      </c>
      <c r="V390" s="38"/>
      <c r="W390" s="42"/>
      <c r="X390" s="40"/>
      <c r="Y390" s="40"/>
      <c r="Z390" s="40"/>
      <c r="AA390" s="40"/>
      <c r="AB390" s="40"/>
      <c r="AC390" s="43"/>
      <c r="AD390" s="44"/>
      <c r="AE390" s="38"/>
    </row>
    <row r="391" spans="1:31" ht="21.2" customHeight="1">
      <c r="A391" s="8" t="s">
        <v>717</v>
      </c>
      <c r="B391" s="34" t="str">
        <f>VLOOKUP(A391,'Player Data'!A1:B734,2,FALSE)</f>
        <v>VGK</v>
      </c>
      <c r="C391" s="36">
        <f>((E391)*Settings!$C$12)+(F391*Settings!$C$2)+(G391*Settings!$C$3)+(H391*Settings!$C$4)+(I391*Settings!$C$5)+(K391*Settings!$C$9)+(N391*Settings!$C$6)+(J391*Settings!$C$8)+(O391*Settings!$C$7)+(P391*Settings!$C$14)+(Q391*Settings!$C$15)+(R391*Settings!$C$16)+(S391*Settings!$C$17)+(T391*Settings!$C$18)+(U391*Settings!$C$19)+(L391*Settings!$C$10)+(Settings!$C$11*M391)</f>
        <v>-2.6563174119345847</v>
      </c>
      <c r="D391" s="40">
        <f>IF(Settings!$E$12="YES",VLOOKUP(A391,'Player Data'!A1:E734,5,FALSE),82)</f>
        <v>82</v>
      </c>
      <c r="E391" s="38">
        <f>(VLOOKUP($A391,'The List'!$B1:$AH730,17,FALSE)-AVERAGE('The List'!R2:R730))/STDEV('The List'!R2:R730)</f>
        <v>-1.254700373406969</v>
      </c>
      <c r="F391" s="38">
        <f>(VLOOKUP($A391,'The List'!$B1:$AH730,18,FALSE)-AVERAGE('The List'!S2:S730))/STDEV('The List'!S2:S730)</f>
        <v>0.27217036596620908</v>
      </c>
      <c r="G391" s="38">
        <f>(VLOOKUP($A391,'The List'!$B1:$AH730,19,FALSE)-AVERAGE('The List'!T2:T730))/STDEV('The List'!T2:T730)</f>
        <v>-1.0297505497525887</v>
      </c>
      <c r="H391" s="38">
        <f>(VLOOKUP($A391,'The List'!$B1:$AH730,20,FALSE)-AVERAGE('The List'!U2:U730))/STDEV('The List'!U2:U730)</f>
        <v>-0.50629753160363233</v>
      </c>
      <c r="I391" s="38">
        <f>(VLOOKUP($A391,'The List'!$B1:$AH730,21,FALSE)-AVERAGE('The List'!V2:V730))/STDEV('The List'!V2:V730)</f>
        <v>-0.63206986810996912</v>
      </c>
      <c r="J391" s="38">
        <f>(VLOOKUP($A391,'The List'!$B1:$AH730,22,FALSE)-AVERAGE('The List'!W2:W730))/STDEV('The List'!W2:W730)</f>
        <v>-0.66792570527456907</v>
      </c>
      <c r="K391" s="38">
        <f>(VLOOKUP($A391,'The List'!$B1:$AH730,23,FALSE)-AVERAGE('The List'!X2:X730))/STDEV('The List'!X2:X730)</f>
        <v>-0.76036982843460343</v>
      </c>
      <c r="L391" s="38">
        <f>(VLOOKUP($A391,'The List'!$B1:$AH730,24,FALSE)-AVERAGE('The List'!Y2:Y730))/STDEV('The List'!Y2:Y730)</f>
        <v>-0.51161637030759777</v>
      </c>
      <c r="M391" s="38">
        <f>(VLOOKUP($A391,'The List'!$B1:$AH730,25,FALSE)-AVERAGE('The List'!Z2:Z730))/STDEV('The List'!Z2:Z730)</f>
        <v>-0.68746371590459932</v>
      </c>
      <c r="N391" s="38">
        <f>(VLOOKUP($A391,'The List'!$B1:$AH730,26,FALSE)-AVERAGE('The List'!AA2:AA730))/STDEV('The List'!AA2:AA730)</f>
        <v>-0.95132218482752751</v>
      </c>
      <c r="O391" s="38">
        <f>(VLOOKUP($A391,'The List'!$B1:$AH730,27,FALSE)-AVERAGE('The List'!AB2:AB730))/STDEV('The List'!AB2:AB730)</f>
        <v>1.9880113288230039</v>
      </c>
      <c r="P391" s="38">
        <f>(VLOOKUP($A391,'The List'!$B1:$AH730,28,FALSE)-AVERAGE('The List'!AC2:AC730))/STDEV('The List'!AC2:AC730)</f>
        <v>0.49706874870813789</v>
      </c>
      <c r="Q391" s="38">
        <f>(VLOOKUP($A391,'The List'!$B1:$AH730,29,FALSE)-AVERAGE('The List'!AD2:AD730))/STDEV('The List'!AD2:AD730)</f>
        <v>-0.64488584803978544</v>
      </c>
      <c r="R391" s="38">
        <f>(VLOOKUP($A391,'The List'!$B1:$AH730,30,FALSE)-AVERAGE('The List'!AE2:AE730))/STDEV('The List'!AE2:AE730)</f>
        <v>0.49608750629356546</v>
      </c>
      <c r="S391" s="38">
        <f>(VLOOKUP($A391,'The List'!$B1:$AH730,31,FALSE)-AVERAGE('The List'!AF2:AF730))/STDEV('The List'!AF2:AF730)</f>
        <v>-0.50362733598742926</v>
      </c>
      <c r="T391" s="38">
        <f>(VLOOKUP($A391,'The List'!$B1:$AH730,32,FALSE)-AVERAGE('The List'!AG2:AG730))/STDEV('The List'!AG2:AG730)</f>
        <v>-0.52290093694022621</v>
      </c>
      <c r="U391" s="38">
        <f>(VLOOKUP($A391,'The List'!$B1:$AH730,33,FALSE)-AVERAGE('The List'!AH2:AH730))/STDEV('The List'!AH2:AH730)</f>
        <v>0.6937063856513932</v>
      </c>
      <c r="V391" s="38"/>
      <c r="W391" s="40"/>
      <c r="X391" s="38"/>
      <c r="Y391" s="38"/>
      <c r="Z391" s="38"/>
      <c r="AA391" s="38"/>
      <c r="AB391" s="38"/>
      <c r="AC391" s="38"/>
      <c r="AD391" s="38"/>
      <c r="AE391" s="38"/>
    </row>
    <row r="392" spans="1:31" ht="21.2" customHeight="1">
      <c r="A392" s="8" t="s">
        <v>666</v>
      </c>
      <c r="B392" s="34" t="str">
        <f>VLOOKUP(A392,'Player Data'!A1:B734,2,FALSE)</f>
        <v>CBJ</v>
      </c>
      <c r="C392" s="36">
        <f>((E392)*Settings!$C$12)+(F392*Settings!$C$2)+(G392*Settings!$C$3)+(H392*Settings!$C$4)+(I392*Settings!$C$5)+(K392*Settings!$C$9)+(N392*Settings!$C$6)+(J392*Settings!$C$8)+(O392*Settings!$C$7)+(P392*Settings!$C$14)+(Q392*Settings!$C$15)+(R392*Settings!$C$16)+(S392*Settings!$C$17)+(T392*Settings!$C$18)+(U392*Settings!$C$19)+(L392*Settings!$C$10)+(Settings!$C$11*M392)</f>
        <v>-2.7666407063710796</v>
      </c>
      <c r="D392" s="40">
        <f>IF(Settings!$E$12="YES",VLOOKUP(A392,'Player Data'!A1:E734,5,FALSE),82)</f>
        <v>82</v>
      </c>
      <c r="E392" s="38">
        <f>(VLOOKUP($A392,'The List'!$B1:$AH730,17,FALSE)-AVERAGE('The List'!R2:R730))/STDEV('The List'!R2:R730)</f>
        <v>-0.83488063654881561</v>
      </c>
      <c r="F392" s="38">
        <f>(VLOOKUP($A392,'The List'!$B1:$AH730,18,FALSE)-AVERAGE('The List'!S2:S730))/STDEV('The List'!S2:S730)</f>
        <v>-0.23443081437384644</v>
      </c>
      <c r="G392" s="38">
        <f>(VLOOKUP($A392,'The List'!$B1:$AH730,19,FALSE)-AVERAGE('The List'!T2:T730))/STDEV('The List'!T2:T730)</f>
        <v>-0.65559509886569778</v>
      </c>
      <c r="H392" s="38">
        <f>(VLOOKUP($A392,'The List'!$B1:$AH730,20,FALSE)-AVERAGE('The List'!U2:U730))/STDEV('The List'!U2:U730)</f>
        <v>-0.51186956344975787</v>
      </c>
      <c r="I392" s="38">
        <f>(VLOOKUP($A392,'The List'!$B1:$AH730,21,FALSE)-AVERAGE('The List'!V2:V730))/STDEV('The List'!V2:V730)</f>
        <v>-0.54246141964284855</v>
      </c>
      <c r="J392" s="38">
        <f>(VLOOKUP($A392,'The List'!$B1:$AH730,22,FALSE)-AVERAGE('The List'!W2:W730))/STDEV('The List'!W2:W730)</f>
        <v>-0.73285741057130305</v>
      </c>
      <c r="K392" s="38">
        <f>(VLOOKUP($A392,'The List'!$B1:$AH730,23,FALSE)-AVERAGE('The List'!X2:X730))/STDEV('The List'!X2:X730)</f>
        <v>-0.82228381003892892</v>
      </c>
      <c r="L392" s="38">
        <f>(VLOOKUP($A392,'The List'!$B1:$AH730,24,FALSE)-AVERAGE('The List'!Y2:Y730))/STDEV('The List'!Y2:Y730)</f>
        <v>1.0422539353658946</v>
      </c>
      <c r="M392" s="38">
        <f>(VLOOKUP($A392,'The List'!$B1:$AH730,25,FALSE)-AVERAGE('The List'!Z2:Z730))/STDEV('The List'!Z2:Z730)</f>
        <v>1.6013545727336194</v>
      </c>
      <c r="N392" s="38">
        <f>(VLOOKUP($A392,'The List'!$B1:$AH730,26,FALSE)-AVERAGE('The List'!AA2:AA730))/STDEV('The List'!AA2:AA730)</f>
        <v>-0.76982790000338974</v>
      </c>
      <c r="O392" s="38">
        <f>(VLOOKUP($A392,'The List'!$B1:$AH730,27,FALSE)-AVERAGE('The List'!AB2:AB730))/STDEV('The List'!AB2:AB730)</f>
        <v>0.48537494517056928</v>
      </c>
      <c r="P392" s="38">
        <f>(VLOOKUP($A392,'The List'!$B1:$AH730,28,FALSE)-AVERAGE('The List'!AC2:AC730))/STDEV('The List'!AC2:AC730)</f>
        <v>-1.5222569621617168</v>
      </c>
      <c r="Q392" s="38">
        <f>(VLOOKUP($A392,'The List'!$B1:$AH730,29,FALSE)-AVERAGE('The List'!AD2:AD730))/STDEV('The List'!AD2:AD730)</f>
        <v>-1.3119677283730826</v>
      </c>
      <c r="R392" s="38">
        <f>(VLOOKUP($A392,'The List'!$B1:$AH730,30,FALSE)-AVERAGE('The List'!AE2:AE730))/STDEV('The List'!AE2:AE730)</f>
        <v>-0.4591842536833185</v>
      </c>
      <c r="S392" s="38">
        <f>(VLOOKUP($A392,'The List'!$B1:$AH730,31,FALSE)-AVERAGE('The List'!AF2:AF730))/STDEV('The List'!AF2:AF730)</f>
        <v>-0.54536724568459782</v>
      </c>
      <c r="T392" s="38">
        <f>(VLOOKUP($A392,'The List'!$B1:$AH730,32,FALSE)-AVERAGE('The List'!AG2:AG730))/STDEV('The List'!AG2:AG730)</f>
        <v>-0.5711432407032756</v>
      </c>
      <c r="U392" s="38">
        <f>(VLOOKUP($A392,'The List'!$B1:$AH730,33,FALSE)-AVERAGE('The List'!AH2:AH730))/STDEV('The List'!AH2:AH730)</f>
        <v>0.3989837897531352</v>
      </c>
      <c r="V392" s="38"/>
      <c r="W392" s="42"/>
      <c r="X392" s="40"/>
      <c r="Y392" s="40"/>
      <c r="Z392" s="40"/>
      <c r="AA392" s="40"/>
      <c r="AB392" s="40"/>
      <c r="AC392" s="43"/>
      <c r="AD392" s="44"/>
      <c r="AE392" s="38"/>
    </row>
    <row r="393" spans="1:31" ht="21.2" customHeight="1">
      <c r="A393" s="8" t="s">
        <v>637</v>
      </c>
      <c r="B393" s="34" t="str">
        <f>VLOOKUP(A393,'Player Data'!A1:B734,2,FALSE)</f>
        <v>NYR</v>
      </c>
      <c r="C393" s="36">
        <f>((E393)*Settings!$C$12)+(F393*Settings!$C$2)+(G393*Settings!$C$3)+(H393*Settings!$C$4)+(I393*Settings!$C$5)+(K393*Settings!$C$9)+(N393*Settings!$C$6)+(J393*Settings!$C$8)+(O393*Settings!$C$7)+(P393*Settings!$C$14)+(Q393*Settings!$C$15)+(R393*Settings!$C$16)+(S393*Settings!$C$17)+(T393*Settings!$C$18)+(U393*Settings!$C$19)+(L393*Settings!$C$10)+(Settings!$C$11*M393)</f>
        <v>-3.1333336128898788</v>
      </c>
      <c r="D393" s="40">
        <f>IF(Settings!$E$12="YES",VLOOKUP(A393,'Player Data'!A1:E734,5,FALSE),82)</f>
        <v>82</v>
      </c>
      <c r="E393" s="38">
        <f>(VLOOKUP($A393,'The List'!$B1:$AH730,17,FALSE)-AVERAGE('The List'!R2:R730))/STDEV('The List'!R2:R730)</f>
        <v>-0.76213750479051734</v>
      </c>
      <c r="F393" s="38">
        <f>(VLOOKUP($A393,'The List'!$B1:$AH730,18,FALSE)-AVERAGE('The List'!S2:S730))/STDEV('The List'!S2:S730)</f>
        <v>-0.45313540711479056</v>
      </c>
      <c r="G393" s="38">
        <f>(VLOOKUP($A393,'The List'!$B1:$AH730,19,FALSE)-AVERAGE('The List'!T2:T730))/STDEV('The List'!T2:T730)</f>
        <v>-0.49676111719568883</v>
      </c>
      <c r="H393" s="38">
        <f>(VLOOKUP($A393,'The List'!$B1:$AH730,20,FALSE)-AVERAGE('The List'!U2:U730))/STDEV('The List'!U2:U730)</f>
        <v>-0.51592972145957527</v>
      </c>
      <c r="I393" s="38">
        <f>(VLOOKUP($A393,'The List'!$B1:$AH730,21,FALSE)-AVERAGE('The List'!V2:V730))/STDEV('The List'!V2:V730)</f>
        <v>-0.87996341411047208</v>
      </c>
      <c r="J393" s="38">
        <f>(VLOOKUP($A393,'The List'!$B1:$AH730,22,FALSE)-AVERAGE('The List'!W2:W730))/STDEV('The List'!W2:W730)</f>
        <v>-0.67961923335834573</v>
      </c>
      <c r="K393" s="38">
        <f>(VLOOKUP($A393,'The List'!$B1:$AH730,23,FALSE)-AVERAGE('The List'!X2:X730))/STDEV('The List'!X2:X730)</f>
        <v>-0.7875439530093522</v>
      </c>
      <c r="L393" s="38">
        <f>(VLOOKUP($A393,'The List'!$B1:$AH730,24,FALSE)-AVERAGE('The List'!Y2:Y730))/STDEV('The List'!Y2:Y730)</f>
        <v>-6.3326692040744967E-2</v>
      </c>
      <c r="M393" s="38">
        <f>(VLOOKUP($A393,'The List'!$B1:$AH730,25,FALSE)-AVERAGE('The List'!Z2:Z730))/STDEV('The List'!Z2:Z730)</f>
        <v>0.59510926593499214</v>
      </c>
      <c r="N393" s="38">
        <f>(VLOOKUP($A393,'The List'!$B1:$AH730,26,FALSE)-AVERAGE('The List'!AA2:AA730))/STDEV('The List'!AA2:AA730)</f>
        <v>-0.24643398209327219</v>
      </c>
      <c r="O393" s="38">
        <f>(VLOOKUP($A393,'The List'!$B1:$AH730,27,FALSE)-AVERAGE('The List'!AB2:AB730))/STDEV('The List'!AB2:AB730)</f>
        <v>0.29526253514809536</v>
      </c>
      <c r="P393" s="38">
        <f>(VLOOKUP($A393,'The List'!$B1:$AH730,28,FALSE)-AVERAGE('The List'!AC2:AC730))/STDEV('The List'!AC2:AC730)</f>
        <v>0.83712366259786131</v>
      </c>
      <c r="Q393" s="38">
        <f>(VLOOKUP($A393,'The List'!$B1:$AH730,29,FALSE)-AVERAGE('The List'!AD2:AD730))/STDEV('The List'!AD2:AD730)</f>
        <v>1.1246436410157876</v>
      </c>
      <c r="R393" s="38">
        <f>(VLOOKUP($A393,'The List'!$B1:$AH730,30,FALSE)-AVERAGE('The List'!AE2:AE730))/STDEV('The List'!AE2:AE730)</f>
        <v>-0.23421049288998619</v>
      </c>
      <c r="S393" s="38">
        <f>(VLOOKUP($A393,'The List'!$B1:$AH730,31,FALSE)-AVERAGE('The List'!AF2:AF730))/STDEV('The List'!AF2:AF730)</f>
        <v>0.70684906391365954</v>
      </c>
      <c r="T393" s="38">
        <f>(VLOOKUP($A393,'The List'!$B1:$AH730,32,FALSE)-AVERAGE('The List'!AG2:AG730))/STDEV('The List'!AG2:AG730)</f>
        <v>0.83661350321136585</v>
      </c>
      <c r="U393" s="38">
        <f>(VLOOKUP($A393,'The List'!$B1:$AH730,33,FALSE)-AVERAGE('The List'!AH2:AH730))/STDEV('The List'!AH2:AH730)</f>
        <v>0.93196091393552738</v>
      </c>
      <c r="V393" s="38"/>
      <c r="W393" s="42"/>
      <c r="X393" s="40"/>
      <c r="Y393" s="40"/>
      <c r="Z393" s="40"/>
      <c r="AA393" s="40"/>
      <c r="AB393" s="40"/>
      <c r="AC393" s="43"/>
      <c r="AD393" s="44"/>
      <c r="AE393" s="38"/>
    </row>
    <row r="394" spans="1:31" ht="21.2" customHeight="1">
      <c r="A394" s="8" t="s">
        <v>354</v>
      </c>
      <c r="B394" s="34" t="str">
        <f>VLOOKUP(A394,'Player Data'!A1:B734,2,FALSE)</f>
        <v>MIN</v>
      </c>
      <c r="C394" s="36">
        <f>((E394)*Settings!$C$12)+(F394*Settings!$C$2)+(G394*Settings!$C$3)+(H394*Settings!$C$4)+(I394*Settings!$C$5)+(K394*Settings!$C$9)+(N394*Settings!$C$6)+(J394*Settings!$C$8)+(O394*Settings!$C$7)+(P394*Settings!$C$14)+(Q394*Settings!$C$15)+(R394*Settings!$C$16)+(S394*Settings!$C$17)+(T394*Settings!$C$18)+(U394*Settings!$C$19)+(L394*Settings!$C$10)+(Settings!$C$11*M394)</f>
        <v>-2.5563201063410528</v>
      </c>
      <c r="D394" s="40">
        <f>IF(Settings!$E$12="YES",VLOOKUP(A394,'Player Data'!A1:E734,5,FALSE),82)</f>
        <v>82</v>
      </c>
      <c r="E394" s="38">
        <f>(VLOOKUP($A394,'The List'!$B1:$AH730,17,FALSE)-AVERAGE('The List'!R2:R730))/STDEV('The List'!R2:R730)</f>
        <v>1.6413926356355217</v>
      </c>
      <c r="F394" s="38">
        <f>(VLOOKUP($A394,'The List'!$B1:$AH730,18,FALSE)-AVERAGE('The List'!S2:S730))/STDEV('The List'!S2:S730)</f>
        <v>-0.76767239399799647</v>
      </c>
      <c r="G394" s="38">
        <f>(VLOOKUP($A394,'The List'!$B1:$AH730,19,FALSE)-AVERAGE('The List'!T2:T730))/STDEV('The List'!T2:T730)</f>
        <v>-0.26721276006136407</v>
      </c>
      <c r="H394" s="38">
        <f>(VLOOKUP($A394,'The List'!$B1:$AH730,20,FALSE)-AVERAGE('The List'!U2:U730))/STDEV('The List'!U2:U730)</f>
        <v>-0.52108301873553609</v>
      </c>
      <c r="I394" s="38">
        <f>(VLOOKUP($A394,'The List'!$B1:$AH730,21,FALSE)-AVERAGE('The List'!V2:V730))/STDEV('The List'!V2:V730)</f>
        <v>-0.29955388715214737</v>
      </c>
      <c r="J394" s="38">
        <f>(VLOOKUP($A394,'The List'!$B1:$AH730,22,FALSE)-AVERAGE('The List'!W2:W730))/STDEV('The List'!W2:W730)</f>
        <v>-0.67582051174661295</v>
      </c>
      <c r="K394" s="38">
        <f>(VLOOKUP($A394,'The List'!$B1:$AH730,23,FALSE)-AVERAGE('The List'!X2:X730))/STDEV('The List'!X2:X730)</f>
        <v>-0.70079804639400889</v>
      </c>
      <c r="L394" s="38">
        <f>(VLOOKUP($A394,'The List'!$B1:$AH730,24,FALSE)-AVERAGE('The List'!Y2:Y730))/STDEV('The List'!Y2:Y730)</f>
        <v>-0.53977684043537433</v>
      </c>
      <c r="M394" s="38">
        <f>(VLOOKUP($A394,'The List'!$B1:$AH730,25,FALSE)-AVERAGE('The List'!Z2:Z730))/STDEV('The List'!Z2:Z730)</f>
        <v>0.88279412935567325</v>
      </c>
      <c r="N394" s="38">
        <f>(VLOOKUP($A394,'The List'!$B1:$AH730,26,FALSE)-AVERAGE('The List'!AA2:AA730))/STDEV('The List'!AA2:AA730)</f>
        <v>2.2628039576316472</v>
      </c>
      <c r="O394" s="38">
        <f>(VLOOKUP($A394,'The List'!$B1:$AH730,27,FALSE)-AVERAGE('The List'!AB2:AB730))/STDEV('The List'!AB2:AB730)</f>
        <v>-0.66330988802181645</v>
      </c>
      <c r="P394" s="38">
        <f>(VLOOKUP($A394,'The List'!$B1:$AH730,28,FALSE)-AVERAGE('The List'!AC2:AC730))/STDEV('The List'!AC2:AC730)</f>
        <v>0.67262610529786793</v>
      </c>
      <c r="Q394" s="38">
        <f>(VLOOKUP($A394,'The List'!$B1:$AH730,29,FALSE)-AVERAGE('The List'!AD2:AD730))/STDEV('The List'!AD2:AD730)</f>
        <v>-0.13506020290379489</v>
      </c>
      <c r="R394" s="38">
        <f>(VLOOKUP($A394,'The List'!$B1:$AH730,30,FALSE)-AVERAGE('The List'!AE2:AE730))/STDEV('The List'!AE2:AE730)</f>
        <v>-0.62176409234670049</v>
      </c>
      <c r="S394" s="38">
        <f>(VLOOKUP($A394,'The List'!$B1:$AH730,31,FALSE)-AVERAGE('The List'!AF2:AF730))/STDEV('The List'!AF2:AF730)</f>
        <v>-0.56911587195029545</v>
      </c>
      <c r="T394" s="38">
        <f>(VLOOKUP($A394,'The List'!$B1:$AH730,32,FALSE)-AVERAGE('The List'!AG2:AG730))/STDEV('The List'!AG2:AG730)</f>
        <v>-0.61510119871956948</v>
      </c>
      <c r="U394" s="38">
        <f>(VLOOKUP($A394,'The List'!$B1:$AH730,33,FALSE)-AVERAGE('The List'!AH2:AH730))/STDEV('The List'!AH2:AH730)</f>
        <v>-1.2363238714825984</v>
      </c>
      <c r="V394" s="38"/>
      <c r="W394" s="42"/>
      <c r="X394" s="40"/>
      <c r="Y394" s="40"/>
      <c r="Z394" s="40"/>
      <c r="AA394" s="40"/>
      <c r="AB394" s="40"/>
      <c r="AC394" s="43"/>
      <c r="AD394" s="44"/>
      <c r="AE394" s="38"/>
    </row>
    <row r="395" spans="1:31" ht="21.2" customHeight="1">
      <c r="A395" s="8" t="s">
        <v>628</v>
      </c>
      <c r="B395" s="34" t="str">
        <f>VLOOKUP(A395,'Player Data'!A1:B734,2,FALSE)</f>
        <v>PIT</v>
      </c>
      <c r="C395" s="36">
        <f>((E395)*Settings!$C$12)+(F395*Settings!$C$2)+(G395*Settings!$C$3)+(H395*Settings!$C$4)+(I395*Settings!$C$5)+(K395*Settings!$C$9)+(N395*Settings!$C$6)+(J395*Settings!$C$8)+(O395*Settings!$C$7)+(P395*Settings!$C$14)+(Q395*Settings!$C$15)+(R395*Settings!$C$16)+(S395*Settings!$C$17)+(T395*Settings!$C$18)+(U395*Settings!$C$19)+(L395*Settings!$C$10)+(Settings!$C$11*M395)</f>
        <v>-1.8047758064220836</v>
      </c>
      <c r="D395" s="40">
        <f>IF(Settings!$E$12="YES",VLOOKUP(A395,'Player Data'!A1:E734,5,FALSE),82)</f>
        <v>82</v>
      </c>
      <c r="E395" s="38">
        <f>(VLOOKUP($A395,'The List'!$B1:$AH730,17,FALSE)-AVERAGE('The List'!R2:R730))/STDEV('The List'!R2:R730)</f>
        <v>-0.88141779820895882</v>
      </c>
      <c r="F395" s="38">
        <f>(VLOOKUP($A395,'The List'!$B1:$AH730,18,FALSE)-AVERAGE('The List'!S2:S730))/STDEV('The List'!S2:S730)</f>
        <v>-0.24629591846799617</v>
      </c>
      <c r="G395" s="38">
        <f>(VLOOKUP($A395,'The List'!$B1:$AH730,19,FALSE)-AVERAGE('The List'!T2:T730))/STDEV('The List'!T2:T730)</f>
        <v>-0.66346988205473589</v>
      </c>
      <c r="H395" s="38">
        <f>(VLOOKUP($A395,'The List'!$B1:$AH730,20,FALSE)-AVERAGE('The List'!U2:U730))/STDEV('The List'!U2:U730)</f>
        <v>-0.52222469553448359</v>
      </c>
      <c r="I395" s="38">
        <f>(VLOOKUP($A395,'The List'!$B1:$AH730,21,FALSE)-AVERAGE('The List'!V2:V730))/STDEV('The List'!V2:V730)</f>
        <v>-1.0884202810139836E-2</v>
      </c>
      <c r="J395" s="38">
        <f>(VLOOKUP($A395,'The List'!$B1:$AH730,22,FALSE)-AVERAGE('The List'!W2:W730))/STDEV('The List'!W2:W730)</f>
        <v>-0.22471427073188055</v>
      </c>
      <c r="K395" s="38">
        <f>(VLOOKUP($A395,'The List'!$B1:$AH730,23,FALSE)-AVERAGE('The List'!X2:X730))/STDEV('The List'!X2:X730)</f>
        <v>-0.3619011075547281</v>
      </c>
      <c r="L395" s="38">
        <f>(VLOOKUP($A395,'The List'!$B1:$AH730,24,FALSE)-AVERAGE('The List'!Y2:Y730))/STDEV('The List'!Y2:Y730)</f>
        <v>-0.21369479654310752</v>
      </c>
      <c r="M395" s="38">
        <f>(VLOOKUP($A395,'The List'!$B1:$AH730,25,FALSE)-AVERAGE('The List'!Z2:Z730))/STDEV('The List'!Z2:Z730)</f>
        <v>-0.26569827295034143</v>
      </c>
      <c r="N395" s="38">
        <f>(VLOOKUP($A395,'The List'!$B1:$AH730,26,FALSE)-AVERAGE('The List'!AA2:AA730))/STDEV('The List'!AA2:AA730)</f>
        <v>-0.39213750818113341</v>
      </c>
      <c r="O395" s="38">
        <f>(VLOOKUP($A395,'The List'!$B1:$AH730,27,FALSE)-AVERAGE('The List'!AB2:AB730))/STDEV('The List'!AB2:AB730)</f>
        <v>-0.33798935852144601</v>
      </c>
      <c r="P395" s="38">
        <f>(VLOOKUP($A395,'The List'!$B1:$AH730,28,FALSE)-AVERAGE('The List'!AC2:AC730))/STDEV('The List'!AC2:AC730)</f>
        <v>-6.2043797476254513E-2</v>
      </c>
      <c r="Q395" s="38">
        <f>(VLOOKUP($A395,'The List'!$B1:$AH730,29,FALSE)-AVERAGE('The List'!AD2:AD730))/STDEV('The List'!AD2:AD730)</f>
        <v>-0.35231137153560138</v>
      </c>
      <c r="R395" s="38">
        <f>(VLOOKUP($A395,'The List'!$B1:$AH730,30,FALSE)-AVERAGE('The List'!AE2:AE730))/STDEV('The List'!AE2:AE730)</f>
        <v>-7.6972894259029562E-2</v>
      </c>
      <c r="S395" s="38">
        <f>(VLOOKUP($A395,'The List'!$B1:$AH730,31,FALSE)-AVERAGE('The List'!AF2:AF730))/STDEV('The List'!AF2:AF730)</f>
        <v>1.7282746934561395</v>
      </c>
      <c r="T395" s="38">
        <f>(VLOOKUP($A395,'The List'!$B1:$AH730,32,FALSE)-AVERAGE('The List'!AG2:AG730))/STDEV('The List'!AG2:AG730)</f>
        <v>1.2485558167533044</v>
      </c>
      <c r="U395" s="38">
        <f>(VLOOKUP($A395,'The List'!$B1:$AH730,33,FALSE)-AVERAGE('The List'!AH2:AH730))/STDEV('The List'!AH2:AH730)</f>
        <v>1.3122394089225133</v>
      </c>
      <c r="V395" s="38"/>
      <c r="W395" s="42"/>
      <c r="X395" s="40"/>
      <c r="Y395" s="40"/>
      <c r="Z395" s="40"/>
      <c r="AA395" s="40"/>
      <c r="AB395" s="40"/>
      <c r="AC395" s="43"/>
      <c r="AD395" s="44"/>
      <c r="AE395" s="38"/>
    </row>
    <row r="396" spans="1:31" ht="21.2" customHeight="1">
      <c r="A396" s="8" t="s">
        <v>541</v>
      </c>
      <c r="B396" s="34" t="str">
        <f>VLOOKUP(A396,'Player Data'!A1:B734,2,FALSE)</f>
        <v>CGY</v>
      </c>
      <c r="C396" s="36">
        <f>((E396)*Settings!$C$12)+(F396*Settings!$C$2)+(G396*Settings!$C$3)+(H396*Settings!$C$4)+(I396*Settings!$C$5)+(K396*Settings!$C$9)+(N396*Settings!$C$6)+(J396*Settings!$C$8)+(O396*Settings!$C$7)+(P396*Settings!$C$14)+(Q396*Settings!$C$15)+(R396*Settings!$C$16)+(S396*Settings!$C$17)+(T396*Settings!$C$18)+(U396*Settings!$C$19)+(L396*Settings!$C$10)+(Settings!$C$11*M396)</f>
        <v>-2.6614220904772212</v>
      </c>
      <c r="D396" s="40">
        <f>IF(Settings!$E$12="YES",VLOOKUP(A396,'Player Data'!A1:E734,5,FALSE),82)</f>
        <v>82</v>
      </c>
      <c r="E396" s="38">
        <f>(VLOOKUP($A396,'The List'!$B1:$AH730,17,FALSE)-AVERAGE('The List'!R2:R730))/STDEV('The List'!R2:R730)</f>
        <v>-0.19227714506752649</v>
      </c>
      <c r="F396" s="38">
        <f>(VLOOKUP($A396,'The List'!$B1:$AH730,18,FALSE)-AVERAGE('The List'!S2:S730))/STDEV('The List'!S2:S730)</f>
        <v>-0.69932271139227353</v>
      </c>
      <c r="G396" s="38">
        <f>(VLOOKUP($A396,'The List'!$B1:$AH730,19,FALSE)-AVERAGE('The List'!T2:T730))/STDEV('The List'!T2:T730)</f>
        <v>-0.32440479683535972</v>
      </c>
      <c r="H396" s="38">
        <f>(VLOOKUP($A396,'The List'!$B1:$AH730,20,FALSE)-AVERAGE('The List'!U2:U730))/STDEV('The List'!U2:U730)</f>
        <v>-0.52445584445490878</v>
      </c>
      <c r="I396" s="38">
        <f>(VLOOKUP($A396,'The List'!$B1:$AH730,21,FALSE)-AVERAGE('The List'!V2:V730))/STDEV('The List'!V2:V730)</f>
        <v>-0.46905906586906193</v>
      </c>
      <c r="J396" s="38">
        <f>(VLOOKUP($A396,'The List'!$B1:$AH730,22,FALSE)-AVERAGE('The List'!W2:W730))/STDEV('The List'!W2:W730)</f>
        <v>-0.61974096310334981</v>
      </c>
      <c r="K396" s="38">
        <f>(VLOOKUP($A396,'The List'!$B1:$AH730,23,FALSE)-AVERAGE('The List'!X2:X730))/STDEV('The List'!X2:X730)</f>
        <v>-0.64417967192561743</v>
      </c>
      <c r="L396" s="38">
        <f>(VLOOKUP($A396,'The List'!$B1:$AH730,24,FALSE)-AVERAGE('The List'!Y2:Y730))/STDEV('The List'!Y2:Y730)</f>
        <v>-0.52515529094994673</v>
      </c>
      <c r="M396" s="38">
        <f>(VLOOKUP($A396,'The List'!$B1:$AH730,25,FALSE)-AVERAGE('The List'!Z2:Z730))/STDEV('The List'!Z2:Z730)</f>
        <v>-0.70378350861314143</v>
      </c>
      <c r="N396" s="38">
        <f>(VLOOKUP($A396,'The List'!$B1:$AH730,26,FALSE)-AVERAGE('The List'!AA2:AA730))/STDEV('The List'!AA2:AA730)</f>
        <v>0.41080492311283562</v>
      </c>
      <c r="O396" s="38">
        <f>(VLOOKUP($A396,'The List'!$B1:$AH730,27,FALSE)-AVERAGE('The List'!AB2:AB730))/STDEV('The List'!AB2:AB730)</f>
        <v>-0.60645975613153658</v>
      </c>
      <c r="P396" s="38">
        <f>(VLOOKUP($A396,'The List'!$B1:$AH730,28,FALSE)-AVERAGE('The List'!AC2:AC730))/STDEV('The List'!AC2:AC730)</f>
        <v>0.75399371758689548</v>
      </c>
      <c r="Q396" s="38">
        <f>(VLOOKUP($A396,'The List'!$B1:$AH730,29,FALSE)-AVERAGE('The List'!AD2:AD730))/STDEV('The List'!AD2:AD730)</f>
        <v>-2.2894574457896004</v>
      </c>
      <c r="R396" s="38">
        <f>(VLOOKUP($A396,'The List'!$B1:$AH730,30,FALSE)-AVERAGE('The List'!AE2:AE730))/STDEV('The List'!AE2:AE730)</f>
        <v>-0.52180710169064615</v>
      </c>
      <c r="S396" s="38">
        <f>(VLOOKUP($A396,'The List'!$B1:$AH730,31,FALSE)-AVERAGE('The List'!AF2:AF730))/STDEV('The List'!AF2:AF730)</f>
        <v>-0.56911587195029545</v>
      </c>
      <c r="T396" s="38">
        <f>(VLOOKUP($A396,'The List'!$B1:$AH730,32,FALSE)-AVERAGE('The List'!AG2:AG730))/STDEV('The List'!AG2:AG730)</f>
        <v>-0.61510119871956948</v>
      </c>
      <c r="U396" s="38">
        <f>(VLOOKUP($A396,'The List'!$B1:$AH730,33,FALSE)-AVERAGE('The List'!AH2:AH730))/STDEV('The List'!AH2:AH730)</f>
        <v>-1.2363238714825984</v>
      </c>
      <c r="V396" s="38"/>
      <c r="W396" s="42"/>
      <c r="X396" s="40"/>
      <c r="Y396" s="40"/>
      <c r="Z396" s="40"/>
      <c r="AA396" s="40"/>
      <c r="AB396" s="40"/>
      <c r="AC396" s="43"/>
      <c r="AD396" s="44"/>
      <c r="AE396" s="38"/>
    </row>
    <row r="397" spans="1:31" ht="21.2" customHeight="1">
      <c r="A397" s="8" t="s">
        <v>333</v>
      </c>
      <c r="B397" s="34" t="str">
        <f>VLOOKUP(A397,'Player Data'!A1:B734,2,FALSE)</f>
        <v>CBJ</v>
      </c>
      <c r="C397" s="36">
        <f>((E397)*Settings!$C$12)+(F397*Settings!$C$2)+(G397*Settings!$C$3)+(H397*Settings!$C$4)+(I397*Settings!$C$5)+(K397*Settings!$C$9)+(N397*Settings!$C$6)+(J397*Settings!$C$8)+(O397*Settings!$C$7)+(P397*Settings!$C$14)+(Q397*Settings!$C$15)+(R397*Settings!$C$16)+(S397*Settings!$C$17)+(T397*Settings!$C$18)+(U397*Settings!$C$19)+(L397*Settings!$C$10)+(Settings!$C$11*M397)</f>
        <v>-2.4510525203842652</v>
      </c>
      <c r="D397" s="40">
        <f>IF(Settings!$E$12="YES",VLOOKUP(A397,'Player Data'!A1:E734,5,FALSE),82)</f>
        <v>82</v>
      </c>
      <c r="E397" s="38">
        <f>(VLOOKUP($A397,'The List'!$B1:$AH730,17,FALSE)-AVERAGE('The List'!R2:R730))/STDEV('The List'!R2:R730)</f>
        <v>1.3851080248694718</v>
      </c>
      <c r="F397" s="38">
        <f>(VLOOKUP($A397,'The List'!$B1:$AH730,18,FALSE)-AVERAGE('The List'!S2:S730))/STDEV('The List'!S2:S730)</f>
        <v>-0.67639572520373881</v>
      </c>
      <c r="G397" s="38">
        <f>(VLOOKUP($A397,'The List'!$B1:$AH730,19,FALSE)-AVERAGE('The List'!T2:T730))/STDEV('The List'!T2:T730)</f>
        <v>-0.3484623838141917</v>
      </c>
      <c r="H397" s="38">
        <f>(VLOOKUP($A397,'The List'!$B1:$AH730,20,FALSE)-AVERAGE('The List'!U2:U730))/STDEV('The List'!U2:U730)</f>
        <v>-0.52858203826087036</v>
      </c>
      <c r="I397" s="38">
        <f>(VLOOKUP($A397,'The List'!$B1:$AH730,21,FALSE)-AVERAGE('The List'!V2:V730))/STDEV('The List'!V2:V730)</f>
        <v>-0.34717150033636823</v>
      </c>
      <c r="J397" s="38">
        <f>(VLOOKUP($A397,'The List'!$B1:$AH730,22,FALSE)-AVERAGE('The List'!W2:W730))/STDEV('The List'!W2:W730)</f>
        <v>-0.68464284637325934</v>
      </c>
      <c r="K397" s="38">
        <f>(VLOOKUP($A397,'The List'!$B1:$AH730,23,FALSE)-AVERAGE('The List'!X2:X730))/STDEV('The List'!X2:X730)</f>
        <v>-0.55044087276909637</v>
      </c>
      <c r="L397" s="38">
        <f>(VLOOKUP($A397,'The List'!$B1:$AH730,24,FALSE)-AVERAGE('The List'!Y2:Y730))/STDEV('The List'!Y2:Y730)</f>
        <v>-0.46696354570784299</v>
      </c>
      <c r="M397" s="38">
        <f>(VLOOKUP($A397,'The List'!$B1:$AH730,25,FALSE)-AVERAGE('The List'!Z2:Z730))/STDEV('The List'!Z2:Z730)</f>
        <v>1.1092153949609767</v>
      </c>
      <c r="N397" s="38">
        <f>(VLOOKUP($A397,'The List'!$B1:$AH730,26,FALSE)-AVERAGE('The List'!AA2:AA730))/STDEV('The List'!AA2:AA730)</f>
        <v>2.1445269247963386</v>
      </c>
      <c r="O397" s="38">
        <f>(VLOOKUP($A397,'The List'!$B1:$AH730,27,FALSE)-AVERAGE('The List'!AB2:AB730))/STDEV('The List'!AB2:AB730)</f>
        <v>-0.1542198552443769</v>
      </c>
      <c r="P397" s="38">
        <f>(VLOOKUP($A397,'The List'!$B1:$AH730,28,FALSE)-AVERAGE('The List'!AC2:AC730))/STDEV('The List'!AC2:AC730)</f>
        <v>-1.6104285384807218</v>
      </c>
      <c r="Q397" s="38">
        <f>(VLOOKUP($A397,'The List'!$B1:$AH730,29,FALSE)-AVERAGE('The List'!AD2:AD730))/STDEV('The List'!AD2:AD730)</f>
        <v>-0.27287935290288112</v>
      </c>
      <c r="R397" s="38">
        <f>(VLOOKUP($A397,'The List'!$B1:$AH730,30,FALSE)-AVERAGE('The List'!AE2:AE730))/STDEV('The List'!AE2:AE730)</f>
        <v>-0.76759790839615638</v>
      </c>
      <c r="S397" s="38">
        <f>(VLOOKUP($A397,'The List'!$B1:$AH730,31,FALSE)-AVERAGE('The List'!AF2:AF730))/STDEV('The List'!AF2:AF730)</f>
        <v>-0.56911587195029545</v>
      </c>
      <c r="T397" s="38">
        <f>(VLOOKUP($A397,'The List'!$B1:$AH730,32,FALSE)-AVERAGE('The List'!AG2:AG730))/STDEV('The List'!AG2:AG730)</f>
        <v>-0.61510119871956948</v>
      </c>
      <c r="U397" s="38">
        <f>(VLOOKUP($A397,'The List'!$B1:$AH730,33,FALSE)-AVERAGE('The List'!AH2:AH730))/STDEV('The List'!AH2:AH730)</f>
        <v>-1.2363238714825984</v>
      </c>
      <c r="V397" s="38"/>
      <c r="W397" s="42"/>
      <c r="X397" s="40"/>
      <c r="Y397" s="40"/>
      <c r="Z397" s="40"/>
      <c r="AA397" s="40"/>
      <c r="AB397" s="40"/>
      <c r="AC397" s="43"/>
      <c r="AD397" s="44"/>
      <c r="AE397" s="38"/>
    </row>
    <row r="398" spans="1:31" ht="21.2" customHeight="1">
      <c r="A398" s="8" t="s">
        <v>680</v>
      </c>
      <c r="B398" s="34" t="str">
        <f>VLOOKUP(A398,'Player Data'!A1:B734,2,FALSE)</f>
        <v>CHI</v>
      </c>
      <c r="C398" s="36">
        <f>((E398)*Settings!$C$12)+(F398*Settings!$C$2)+(G398*Settings!$C$3)+(H398*Settings!$C$4)+(I398*Settings!$C$5)+(K398*Settings!$C$9)+(N398*Settings!$C$6)+(J398*Settings!$C$8)+(O398*Settings!$C$7)+(P398*Settings!$C$14)+(Q398*Settings!$C$15)+(R398*Settings!$C$16)+(S398*Settings!$C$17)+(T398*Settings!$C$18)+(U398*Settings!$C$19)+(L398*Settings!$C$10)+(Settings!$C$11*M398)</f>
        <v>-2.8809082730539424</v>
      </c>
      <c r="D398" s="40">
        <f>IF(Settings!$E$12="YES",VLOOKUP(A398,'Player Data'!A1:E734,5,FALSE),82)</f>
        <v>82</v>
      </c>
      <c r="E398" s="38">
        <f>(VLOOKUP($A398,'The List'!$B1:$AH730,17,FALSE)-AVERAGE('The List'!R2:R730))/STDEV('The List'!R2:R730)</f>
        <v>-0.2910455111504977</v>
      </c>
      <c r="F398" s="38">
        <f>(VLOOKUP($A398,'The List'!$B1:$AH730,18,FALSE)-AVERAGE('The List'!S2:S730))/STDEV('The List'!S2:S730)</f>
        <v>-0.50514319176449285</v>
      </c>
      <c r="G398" s="38">
        <f>(VLOOKUP($A398,'The List'!$B1:$AH730,19,FALSE)-AVERAGE('The List'!T2:T730))/STDEV('The List'!T2:T730)</f>
        <v>-0.48099617875131723</v>
      </c>
      <c r="H398" s="38">
        <f>(VLOOKUP($A398,'The List'!$B1:$AH730,20,FALSE)-AVERAGE('The List'!U2:U730))/STDEV('The List'!U2:U730)</f>
        <v>-0.53041856810204824</v>
      </c>
      <c r="I398" s="38">
        <f>(VLOOKUP($A398,'The List'!$B1:$AH730,21,FALSE)-AVERAGE('The List'!V2:V730))/STDEV('The List'!V2:V730)</f>
        <v>-0.60655570855799534</v>
      </c>
      <c r="J398" s="38">
        <f>(VLOOKUP($A398,'The List'!$B1:$AH730,22,FALSE)-AVERAGE('The List'!W2:W730))/STDEV('The List'!W2:W730)</f>
        <v>-0.64510982614868972</v>
      </c>
      <c r="K398" s="38">
        <f>(VLOOKUP($A398,'The List'!$B1:$AH730,23,FALSE)-AVERAGE('The List'!X2:X730))/STDEV('The List'!X2:X730)</f>
        <v>-0.75779462587808899</v>
      </c>
      <c r="L398" s="38">
        <f>(VLOOKUP($A398,'The List'!$B1:$AH730,24,FALSE)-AVERAGE('The List'!Y2:Y730))/STDEV('The List'!Y2:Y730)</f>
        <v>-0.45543905823801428</v>
      </c>
      <c r="M398" s="38">
        <f>(VLOOKUP($A398,'The List'!$B1:$AH730,25,FALSE)-AVERAGE('The List'!Z2:Z730))/STDEV('The List'!Z2:Z730)</f>
        <v>2.5298114848372135</v>
      </c>
      <c r="N398" s="38">
        <f>(VLOOKUP($A398,'The List'!$B1:$AH730,26,FALSE)-AVERAGE('The List'!AA2:AA730))/STDEV('The List'!AA2:AA730)</f>
        <v>0.22725552532168231</v>
      </c>
      <c r="O398" s="38">
        <f>(VLOOKUP($A398,'The List'!$B1:$AH730,27,FALSE)-AVERAGE('The List'!AB2:AB730))/STDEV('The List'!AB2:AB730)</f>
        <v>0.26077821379037763</v>
      </c>
      <c r="P398" s="38">
        <f>(VLOOKUP($A398,'The List'!$B1:$AH730,28,FALSE)-AVERAGE('The List'!AC2:AC730))/STDEV('The List'!AC2:AC730)</f>
        <v>-2.0200162521919749</v>
      </c>
      <c r="Q398" s="38">
        <f>(VLOOKUP($A398,'The List'!$B1:$AH730,29,FALSE)-AVERAGE('The List'!AD2:AD730))/STDEV('The List'!AD2:AD730)</f>
        <v>-0.34940203691840044</v>
      </c>
      <c r="R398" s="38">
        <f>(VLOOKUP($A398,'The List'!$B1:$AH730,30,FALSE)-AVERAGE('The List'!AE2:AE730))/STDEV('The List'!AE2:AE730)</f>
        <v>-0.59163526906030539</v>
      </c>
      <c r="S398" s="38">
        <f>(VLOOKUP($A398,'The List'!$B1:$AH730,31,FALSE)-AVERAGE('The List'!AF2:AF730))/STDEV('The List'!AF2:AF730)</f>
        <v>0.97102970192350846</v>
      </c>
      <c r="T398" s="38">
        <f>(VLOOKUP($A398,'The List'!$B1:$AH730,32,FALSE)-AVERAGE('The List'!AG2:AG730))/STDEV('The List'!AG2:AG730)</f>
        <v>1.2798674999917983</v>
      </c>
      <c r="U398" s="38">
        <f>(VLOOKUP($A398,'The List'!$B1:$AH730,33,FALSE)-AVERAGE('The List'!AH2:AH730))/STDEV('The List'!AH2:AH730)</f>
        <v>0.84389523729813087</v>
      </c>
      <c r="V398" s="38"/>
      <c r="W398" s="42"/>
      <c r="X398" s="40"/>
      <c r="Y398" s="40"/>
      <c r="Z398" s="40"/>
      <c r="AA398" s="40"/>
      <c r="AB398" s="40"/>
      <c r="AC398" s="43"/>
      <c r="AD398" s="44"/>
      <c r="AE398" s="38"/>
    </row>
    <row r="399" spans="1:31" ht="21.2" customHeight="1">
      <c r="A399" s="8" t="s">
        <v>716</v>
      </c>
      <c r="B399" s="34" t="str">
        <f>VLOOKUP(A399,'Player Data'!A1:B734,2,FALSE)</f>
        <v>MTL</v>
      </c>
      <c r="C399" s="36">
        <f>((E399)*Settings!$C$12)+(F399*Settings!$C$2)+(G399*Settings!$C$3)+(H399*Settings!$C$4)+(I399*Settings!$C$5)+(K399*Settings!$C$9)+(N399*Settings!$C$6)+(J399*Settings!$C$8)+(O399*Settings!$C$7)+(P399*Settings!$C$14)+(Q399*Settings!$C$15)+(R399*Settings!$C$16)+(S399*Settings!$C$17)+(T399*Settings!$C$18)+(U399*Settings!$C$19)+(L399*Settings!$C$10)+(Settings!$C$11*M399)</f>
        <v>-3.181183264652045</v>
      </c>
      <c r="D399" s="40">
        <f>IF(Settings!$E$12="YES",VLOOKUP(A399,'Player Data'!A1:E734,5,FALSE),82)</f>
        <v>82</v>
      </c>
      <c r="E399" s="38">
        <f>(VLOOKUP($A399,'The List'!$B1:$AH730,17,FALSE)-AVERAGE('The List'!R2:R730))/STDEV('The List'!R2:R730)</f>
        <v>-0.79032234131912138</v>
      </c>
      <c r="F399" s="38">
        <f>(VLOOKUP($A399,'The List'!$B1:$AH730,18,FALSE)-AVERAGE('The List'!S2:S730))/STDEV('The List'!S2:S730)</f>
        <v>-0.65674132709614552</v>
      </c>
      <c r="G399" s="38">
        <f>(VLOOKUP($A399,'The List'!$B1:$AH730,19,FALSE)-AVERAGE('The List'!T2:T730))/STDEV('The List'!T2:T730)</f>
        <v>-0.37005509771837564</v>
      </c>
      <c r="H399" s="38">
        <f>(VLOOKUP($A399,'The List'!$B1:$AH730,20,FALSE)-AVERAGE('The List'!U2:U730))/STDEV('The List'!U2:U730)</f>
        <v>-0.53271480885450107</v>
      </c>
      <c r="I399" s="38">
        <f>(VLOOKUP($A399,'The List'!$B1:$AH730,21,FALSE)-AVERAGE('The List'!V2:V730))/STDEV('The List'!V2:V730)</f>
        <v>-0.81358964774919207</v>
      </c>
      <c r="J399" s="38">
        <f>(VLOOKUP($A399,'The List'!$B1:$AH730,22,FALSE)-AVERAGE('The List'!W2:W730))/STDEV('The List'!W2:W730)</f>
        <v>-0.70967046133373468</v>
      </c>
      <c r="K399" s="38">
        <f>(VLOOKUP($A399,'The List'!$B1:$AH730,23,FALSE)-AVERAGE('The List'!X2:X730))/STDEV('The List'!X2:X730)</f>
        <v>-0.80808238323383041</v>
      </c>
      <c r="L399" s="38">
        <f>(VLOOKUP($A399,'The List'!$B1:$AH730,24,FALSE)-AVERAGE('The List'!Y2:Y730))/STDEV('The List'!Y2:Y730)</f>
        <v>1.1339155656498397E-2</v>
      </c>
      <c r="M399" s="38">
        <f>(VLOOKUP($A399,'The List'!$B1:$AH730,25,FALSE)-AVERAGE('The List'!Z2:Z730))/STDEV('The List'!Z2:Z730)</f>
        <v>1.9020527167622516</v>
      </c>
      <c r="N399" s="38">
        <f>(VLOOKUP($A399,'The List'!$B1:$AH730,26,FALSE)-AVERAGE('The List'!AA2:AA730))/STDEV('The List'!AA2:AA730)</f>
        <v>-0.35112454047414737</v>
      </c>
      <c r="O399" s="38">
        <f>(VLOOKUP($A399,'The List'!$B1:$AH730,27,FALSE)-AVERAGE('The List'!AB2:AB730))/STDEV('The List'!AB2:AB730)</f>
        <v>-0.67142862914425527</v>
      </c>
      <c r="P399" s="38">
        <f>(VLOOKUP($A399,'The List'!$B1:$AH730,28,FALSE)-AVERAGE('The List'!AC2:AC730))/STDEV('The List'!AC2:AC730)</f>
        <v>-1.7091389627201441</v>
      </c>
      <c r="Q399" s="38">
        <f>(VLOOKUP($A399,'The List'!$B1:$AH730,29,FALSE)-AVERAGE('The List'!AD2:AD730))/STDEV('The List'!AD2:AD730)</f>
        <v>-0.23174036613475502</v>
      </c>
      <c r="R399" s="38">
        <f>(VLOOKUP($A399,'The List'!$B1:$AH730,30,FALSE)-AVERAGE('The List'!AE2:AE730))/STDEV('The List'!AE2:AE730)</f>
        <v>-0.77578143101901165</v>
      </c>
      <c r="S399" s="38">
        <f>(VLOOKUP($A399,'The List'!$B1:$AH730,31,FALSE)-AVERAGE('The List'!AF2:AF730))/STDEV('The List'!AF2:AF730)</f>
        <v>1.594374016687629</v>
      </c>
      <c r="T399" s="38">
        <f>(VLOOKUP($A399,'The List'!$B1:$AH730,32,FALSE)-AVERAGE('The List'!AG2:AG730))/STDEV('The List'!AG2:AG730)</f>
        <v>1.5962252905293803</v>
      </c>
      <c r="U399" s="38">
        <f>(VLOOKUP($A399,'The List'!$B1:$AH730,33,FALSE)-AVERAGE('The List'!AH2:AH730))/STDEV('The List'!AH2:AH730)</f>
        <v>1.0529187382999079</v>
      </c>
      <c r="V399" s="38"/>
      <c r="W399" s="40"/>
      <c r="X399" s="38"/>
      <c r="Y399" s="38"/>
      <c r="Z399" s="38"/>
      <c r="AA399" s="38"/>
      <c r="AB399" s="38"/>
      <c r="AC399" s="38"/>
      <c r="AD399" s="38"/>
      <c r="AE399" s="38"/>
    </row>
    <row r="400" spans="1:31" ht="21.2" customHeight="1">
      <c r="A400" s="8" t="s">
        <v>683</v>
      </c>
      <c r="B400" s="34" t="str">
        <f>VLOOKUP(A400,'Player Data'!A1:B734,2,FALSE)</f>
        <v>SJS</v>
      </c>
      <c r="C400" s="36">
        <f>((E400)*Settings!$C$12)+(F400*Settings!$C$2)+(G400*Settings!$C$3)+(H400*Settings!$C$4)+(I400*Settings!$C$5)+(K400*Settings!$C$9)+(N400*Settings!$C$6)+(J400*Settings!$C$8)+(O400*Settings!$C$7)+(P400*Settings!$C$14)+(Q400*Settings!$C$15)+(R400*Settings!$C$16)+(S400*Settings!$C$17)+(T400*Settings!$C$18)+(U400*Settings!$C$19)+(L400*Settings!$C$10)+(Settings!$C$11*M400)</f>
        <v>-2.5257917197043875</v>
      </c>
      <c r="D400" s="40">
        <f>IF(Settings!$E$12="YES",VLOOKUP(A400,'Player Data'!A1:E734,5,FALSE),82)</f>
        <v>82</v>
      </c>
      <c r="E400" s="38">
        <f>(VLOOKUP($A400,'The List'!$B1:$AH730,17,FALSE)-AVERAGE('The List'!R2:R730))/STDEV('The List'!R2:R730)</f>
        <v>-0.76937315941414541</v>
      </c>
      <c r="F400" s="38">
        <f>(VLOOKUP($A400,'The List'!$B1:$AH730,18,FALSE)-AVERAGE('The List'!S2:S730))/STDEV('The List'!S2:S730)</f>
        <v>-6.8191864284099998E-2</v>
      </c>
      <c r="G400" s="38">
        <f>(VLOOKUP($A400,'The List'!$B1:$AH730,19,FALSE)-AVERAGE('The List'!T2:T730))/STDEV('The List'!T2:T730)</f>
        <v>-0.81791393930157696</v>
      </c>
      <c r="H400" s="38">
        <f>(VLOOKUP($A400,'The List'!$B1:$AH730,20,FALSE)-AVERAGE('The List'!U2:U730))/STDEV('The List'!U2:U730)</f>
        <v>-0.53434085558835076</v>
      </c>
      <c r="I400" s="38">
        <f>(VLOOKUP($A400,'The List'!$B1:$AH730,21,FALSE)-AVERAGE('The List'!V2:V730))/STDEV('The List'!V2:V730)</f>
        <v>-0.34306494639318763</v>
      </c>
      <c r="J400" s="38">
        <f>(VLOOKUP($A400,'The List'!$B1:$AH730,22,FALSE)-AVERAGE('The List'!W2:W730))/STDEV('The List'!W2:W730)</f>
        <v>-0.66609510157849383</v>
      </c>
      <c r="K400" s="38">
        <f>(VLOOKUP($A400,'The List'!$B1:$AH730,23,FALSE)-AVERAGE('The List'!X2:X730))/STDEV('The List'!X2:X730)</f>
        <v>-0.76228011413717234</v>
      </c>
      <c r="L400" s="38">
        <f>(VLOOKUP($A400,'The List'!$B1:$AH730,24,FALSE)-AVERAGE('The List'!Y2:Y730))/STDEV('The List'!Y2:Y730)</f>
        <v>1.1822654663119416</v>
      </c>
      <c r="M400" s="38">
        <f>(VLOOKUP($A400,'The List'!$B1:$AH730,25,FALSE)-AVERAGE('The List'!Z2:Z730))/STDEV('The List'!Z2:Z730)</f>
        <v>0.43730591186339773</v>
      </c>
      <c r="N400" s="38">
        <f>(VLOOKUP($A400,'The List'!$B1:$AH730,26,FALSE)-AVERAGE('The List'!AA2:AA730))/STDEV('The List'!AA2:AA730)</f>
        <v>-0.48763178249023958</v>
      </c>
      <c r="O400" s="38">
        <f>(VLOOKUP($A400,'The List'!$B1:$AH730,27,FALSE)-AVERAGE('The List'!AB2:AB730))/STDEV('The List'!AB2:AB730)</f>
        <v>0.16327271805329185</v>
      </c>
      <c r="P400" s="38">
        <f>(VLOOKUP($A400,'The List'!$B1:$AH730,28,FALSE)-AVERAGE('The List'!AC2:AC730))/STDEV('The List'!AC2:AC730)</f>
        <v>-0.15211363931593833</v>
      </c>
      <c r="Q400" s="38">
        <f>(VLOOKUP($A400,'The List'!$B1:$AH730,29,FALSE)-AVERAGE('The List'!AD2:AD730))/STDEV('The List'!AD2:AD730)</f>
        <v>-0.65935601898534335</v>
      </c>
      <c r="R400" s="38">
        <f>(VLOOKUP($A400,'The List'!$B1:$AH730,30,FALSE)-AVERAGE('The List'!AE2:AE730))/STDEV('The List'!AE2:AE730)</f>
        <v>-0.19907146780531701</v>
      </c>
      <c r="S400" s="38">
        <f>(VLOOKUP($A400,'The List'!$B1:$AH730,31,FALSE)-AVERAGE('The List'!AF2:AF730))/STDEV('The List'!AF2:AF730)</f>
        <v>1.542650991720693</v>
      </c>
      <c r="T400" s="38">
        <f>(VLOOKUP($A400,'The List'!$B1:$AH730,32,FALSE)-AVERAGE('The List'!AG2:AG730))/STDEV('The List'!AG2:AG730)</f>
        <v>1.2648872753983258</v>
      </c>
      <c r="U400" s="38">
        <f>(VLOOKUP($A400,'The List'!$B1:$AH730,33,FALSE)-AVERAGE('The List'!AH2:AH730))/STDEV('The List'!AH2:AH730)</f>
        <v>1.208454092763124</v>
      </c>
      <c r="V400" s="38"/>
      <c r="W400" s="40"/>
      <c r="X400" s="38"/>
      <c r="Y400" s="38"/>
      <c r="Z400" s="38"/>
      <c r="AA400" s="38"/>
      <c r="AB400" s="38"/>
      <c r="AC400" s="38"/>
      <c r="AD400" s="38"/>
      <c r="AE400" s="38"/>
    </row>
    <row r="401" spans="1:31" ht="21.2" customHeight="1">
      <c r="A401" s="8" t="s">
        <v>645</v>
      </c>
      <c r="B401" s="34" t="str">
        <f>VLOOKUP(A401,'Player Data'!A1:B734,2,FALSE)</f>
        <v>TOR</v>
      </c>
      <c r="C401" s="36">
        <f>((E401)*Settings!$C$12)+(F401*Settings!$C$2)+(G401*Settings!$C$3)+(H401*Settings!$C$4)+(I401*Settings!$C$5)+(K401*Settings!$C$9)+(N401*Settings!$C$6)+(J401*Settings!$C$8)+(O401*Settings!$C$7)+(P401*Settings!$C$14)+(Q401*Settings!$C$15)+(R401*Settings!$C$16)+(S401*Settings!$C$17)+(T401*Settings!$C$18)+(U401*Settings!$C$19)+(L401*Settings!$C$10)+(Settings!$C$11*M401)</f>
        <v>-2.7424901688594581</v>
      </c>
      <c r="D401" s="40">
        <f>IF(Settings!$E$12="YES",VLOOKUP(A401,'Player Data'!A1:E734,5,FALSE),82)</f>
        <v>82</v>
      </c>
      <c r="E401" s="38">
        <f>(VLOOKUP($A401,'The List'!$B1:$AH730,17,FALSE)-AVERAGE('The List'!R2:R730))/STDEV('The List'!R2:R730)</f>
        <v>-0.73095239180662797</v>
      </c>
      <c r="F401" s="38">
        <f>(VLOOKUP($A401,'The List'!$B1:$AH730,18,FALSE)-AVERAGE('The List'!S2:S730))/STDEV('The List'!S2:S730)</f>
        <v>-0.31133607252790824</v>
      </c>
      <c r="G401" s="38">
        <f>(VLOOKUP($A401,'The List'!$B1:$AH730,19,FALSE)-AVERAGE('The List'!T2:T730))/STDEV('The List'!T2:T730)</f>
        <v>-0.63900570887859176</v>
      </c>
      <c r="H401" s="38">
        <f>(VLOOKUP($A401,'The List'!$B1:$AH730,20,FALSE)-AVERAGE('The List'!U2:U730))/STDEV('The List'!U2:U730)</f>
        <v>-0.53742591854577992</v>
      </c>
      <c r="I401" s="38">
        <f>(VLOOKUP($A401,'The List'!$B1:$AH730,21,FALSE)-AVERAGE('The List'!V2:V730))/STDEV('The List'!V2:V730)</f>
        <v>-0.47612320474211578</v>
      </c>
      <c r="J401" s="38">
        <f>(VLOOKUP($A401,'The List'!$B1:$AH730,22,FALSE)-AVERAGE('The List'!W2:W730))/STDEV('The List'!W2:W730)</f>
        <v>-0.68833508904042517</v>
      </c>
      <c r="K401" s="38">
        <f>(VLOOKUP($A401,'The List'!$B1:$AH730,23,FALSE)-AVERAGE('The List'!X2:X730))/STDEV('The List'!X2:X730)</f>
        <v>-0.77859926416506253</v>
      </c>
      <c r="L401" s="38">
        <f>(VLOOKUP($A401,'The List'!$B1:$AH730,24,FALSE)-AVERAGE('The List'!Y2:Y730))/STDEV('The List'!Y2:Y730)</f>
        <v>4.3770251086867447</v>
      </c>
      <c r="M401" s="38">
        <f>(VLOOKUP($A401,'The List'!$B1:$AH730,25,FALSE)-AVERAGE('The List'!Z2:Z730))/STDEV('The List'!Z2:Z730)</f>
        <v>3.1513529883729312</v>
      </c>
      <c r="N401" s="38">
        <f>(VLOOKUP($A401,'The List'!$B1:$AH730,26,FALSE)-AVERAGE('The List'!AA2:AA730))/STDEV('The List'!AA2:AA730)</f>
        <v>-0.63166217890329912</v>
      </c>
      <c r="O401" s="38">
        <f>(VLOOKUP($A401,'The List'!$B1:$AH730,27,FALSE)-AVERAGE('The List'!AB2:AB730))/STDEV('The List'!AB2:AB730)</f>
        <v>0.96347290495346682</v>
      </c>
      <c r="P401" s="38">
        <f>(VLOOKUP($A401,'The List'!$B1:$AH730,28,FALSE)-AVERAGE('The List'!AC2:AC730))/STDEV('The List'!AC2:AC730)</f>
        <v>0.40822743174603299</v>
      </c>
      <c r="Q401" s="38">
        <f>(VLOOKUP($A401,'The List'!$B1:$AH730,29,FALSE)-AVERAGE('The List'!AD2:AD730))/STDEV('The List'!AD2:AD730)</f>
        <v>0.59953460576789641</v>
      </c>
      <c r="R401" s="38">
        <f>(VLOOKUP($A401,'The List'!$B1:$AH730,30,FALSE)-AVERAGE('The List'!AE2:AE730))/STDEV('The List'!AE2:AE730)</f>
        <v>-0.14406732271973452</v>
      </c>
      <c r="S401" s="38">
        <f>(VLOOKUP($A401,'The List'!$B1:$AH730,31,FALSE)-AVERAGE('The List'!AF2:AF730))/STDEV('The List'!AF2:AF730)</f>
        <v>0.56975613293450322</v>
      </c>
      <c r="T401" s="38">
        <f>(VLOOKUP($A401,'The List'!$B1:$AH730,32,FALSE)-AVERAGE('The List'!AG2:AG730))/STDEV('The List'!AG2:AG730)</f>
        <v>0.68990518060043859</v>
      </c>
      <c r="U401" s="38">
        <f>(VLOOKUP($A401,'The List'!$B1:$AH730,33,FALSE)-AVERAGE('The List'!AH2:AH730))/STDEV('The List'!AH2:AH730)</f>
        <v>0.92392792894318221</v>
      </c>
      <c r="V401" s="38"/>
      <c r="W401" s="42"/>
      <c r="X401" s="40"/>
      <c r="Y401" s="40"/>
      <c r="Z401" s="40"/>
      <c r="AA401" s="40"/>
      <c r="AB401" s="40"/>
      <c r="AC401" s="43"/>
      <c r="AD401" s="44"/>
      <c r="AE401" s="38"/>
    </row>
    <row r="402" spans="1:31" ht="21.2" customHeight="1">
      <c r="A402" s="8" t="s">
        <v>378</v>
      </c>
      <c r="B402" s="34" t="str">
        <f>VLOOKUP(A402,'Player Data'!A1:B734,2,FALSE)</f>
        <v>TBL</v>
      </c>
      <c r="C402" s="36">
        <f>((E402)*Settings!$C$12)+(F402*Settings!$C$2)+(G402*Settings!$C$3)+(H402*Settings!$C$4)+(I402*Settings!$C$5)+(K402*Settings!$C$9)+(N402*Settings!$C$6)+(J402*Settings!$C$8)+(O402*Settings!$C$7)+(P402*Settings!$C$14)+(Q402*Settings!$C$15)+(R402*Settings!$C$16)+(S402*Settings!$C$17)+(T402*Settings!$C$18)+(U402*Settings!$C$19)+(L402*Settings!$C$10)+(Settings!$C$11*M402)</f>
        <v>-2.4934381968305086</v>
      </c>
      <c r="D402" s="40">
        <f>IF(Settings!$E$12="YES",VLOOKUP(A402,'Player Data'!A1:E734,5,FALSE),82)</f>
        <v>82</v>
      </c>
      <c r="E402" s="38">
        <f>(VLOOKUP($A402,'The List'!$B1:$AH730,17,FALSE)-AVERAGE('The List'!R2:R730))/STDEV('The List'!R2:R730)</f>
        <v>0.17694049079273361</v>
      </c>
      <c r="F402" s="38">
        <f>(VLOOKUP($A402,'The List'!$B1:$AH730,18,FALSE)-AVERAGE('The List'!S2:S730))/STDEV('The List'!S2:S730)</f>
        <v>-0.74966341432563088</v>
      </c>
      <c r="G402" s="38">
        <f>(VLOOKUP($A402,'The List'!$B1:$AH730,19,FALSE)-AVERAGE('The List'!T2:T730))/STDEV('The List'!T2:T730)</f>
        <v>-0.30831748356057775</v>
      </c>
      <c r="H402" s="38">
        <f>(VLOOKUP($A402,'The List'!$B1:$AH730,20,FALSE)-AVERAGE('The List'!U2:U730))/STDEV('The List'!U2:U730)</f>
        <v>-0.53797159759248669</v>
      </c>
      <c r="I402" s="38">
        <f>(VLOOKUP($A402,'The List'!$B1:$AH730,21,FALSE)-AVERAGE('The List'!V2:V730))/STDEV('The List'!V2:V730)</f>
        <v>-8.5899088829492889E-2</v>
      </c>
      <c r="J402" s="38">
        <f>(VLOOKUP($A402,'The List'!$B1:$AH730,22,FALSE)-AVERAGE('The List'!W2:W730))/STDEV('The List'!W2:W730)</f>
        <v>-0.73115325883564564</v>
      </c>
      <c r="K402" s="38">
        <f>(VLOOKUP($A402,'The List'!$B1:$AH730,23,FALSE)-AVERAGE('The List'!X2:X730))/STDEV('The List'!X2:X730)</f>
        <v>-0.81158661252232034</v>
      </c>
      <c r="L402" s="38">
        <f>(VLOOKUP($A402,'The List'!$B1:$AH730,24,FALSE)-AVERAGE('The List'!Y2:Y730))/STDEV('The List'!Y2:Y730)</f>
        <v>-0.51509161871917941</v>
      </c>
      <c r="M402" s="38">
        <f>(VLOOKUP($A402,'The List'!$B1:$AH730,25,FALSE)-AVERAGE('The List'!Z2:Z730))/STDEV('The List'!Z2:Z730)</f>
        <v>-0.67792186331403304</v>
      </c>
      <c r="N402" s="38">
        <f>(VLOOKUP($A402,'The List'!$B1:$AH730,26,FALSE)-AVERAGE('The List'!AA2:AA730))/STDEV('The List'!AA2:AA730)</f>
        <v>0.68811432835519637</v>
      </c>
      <c r="O402" s="38">
        <f>(VLOOKUP($A402,'The List'!$B1:$AH730,27,FALSE)-AVERAGE('The List'!AB2:AB730))/STDEV('The List'!AB2:AB730)</f>
        <v>2.5549296726741708E-2</v>
      </c>
      <c r="P402" s="38">
        <f>(VLOOKUP($A402,'The List'!$B1:$AH730,28,FALSE)-AVERAGE('The List'!AC2:AC730))/STDEV('The List'!AC2:AC730)</f>
        <v>3.1649700175691589E-2</v>
      </c>
      <c r="Q402" s="38">
        <f>(VLOOKUP($A402,'The List'!$B1:$AH730,29,FALSE)-AVERAGE('The List'!AD2:AD730))/STDEV('The List'!AD2:AD730)</f>
        <v>-0.21025562746743995</v>
      </c>
      <c r="R402" s="38">
        <f>(VLOOKUP($A402,'The List'!$B1:$AH730,30,FALSE)-AVERAGE('The List'!AE2:AE730))/STDEV('The List'!AE2:AE730)</f>
        <v>-0.61939772418052819</v>
      </c>
      <c r="S402" s="38">
        <f>(VLOOKUP($A402,'The List'!$B1:$AH730,31,FALSE)-AVERAGE('The List'!AF2:AF730))/STDEV('The List'!AF2:AF730)</f>
        <v>-0.56911587195029545</v>
      </c>
      <c r="T402" s="38">
        <f>(VLOOKUP($A402,'The List'!$B1:$AH730,32,FALSE)-AVERAGE('The List'!AG2:AG730))/STDEV('The List'!AG2:AG730)</f>
        <v>-0.61510119871956948</v>
      </c>
      <c r="U402" s="38">
        <f>(VLOOKUP($A402,'The List'!$B1:$AH730,33,FALSE)-AVERAGE('The List'!AH2:AH730))/STDEV('The List'!AH2:AH730)</f>
        <v>-1.2363238714825984</v>
      </c>
      <c r="V402" s="38"/>
      <c r="W402" s="42"/>
      <c r="X402" s="40"/>
      <c r="Y402" s="40"/>
      <c r="Z402" s="40"/>
      <c r="AA402" s="40"/>
      <c r="AB402" s="40"/>
      <c r="AC402" s="43"/>
      <c r="AD402" s="44"/>
      <c r="AE402" s="38"/>
    </row>
    <row r="403" spans="1:31" ht="21.2" customHeight="1">
      <c r="A403" s="8" t="s">
        <v>393</v>
      </c>
      <c r="B403" s="34" t="str">
        <f>VLOOKUP(A403,'Player Data'!A1:B734,2,FALSE)</f>
        <v>TOR</v>
      </c>
      <c r="C403" s="36">
        <f>((E403)*Settings!$C$12)+(F403*Settings!$C$2)+(G403*Settings!$C$3)+(H403*Settings!$C$4)+(I403*Settings!$C$5)+(K403*Settings!$C$9)+(N403*Settings!$C$6)+(J403*Settings!$C$8)+(O403*Settings!$C$7)+(P403*Settings!$C$14)+(Q403*Settings!$C$15)+(R403*Settings!$C$16)+(S403*Settings!$C$17)+(T403*Settings!$C$18)+(U403*Settings!$C$19)+(L403*Settings!$C$10)+(Settings!$C$11*M403)</f>
        <v>-2.7204318082011154</v>
      </c>
      <c r="D403" s="40">
        <f>IF(Settings!$E$12="YES",VLOOKUP(A403,'Player Data'!A1:E734,5,FALSE),82)</f>
        <v>82</v>
      </c>
      <c r="E403" s="38">
        <f>(VLOOKUP($A403,'The List'!$B1:$AH730,17,FALSE)-AVERAGE('The List'!R2:R730))/STDEV('The List'!R2:R730)</f>
        <v>0.65474454867606213</v>
      </c>
      <c r="F403" s="38">
        <f>(VLOOKUP($A403,'The List'!$B1:$AH730,18,FALSE)-AVERAGE('The List'!S2:S730))/STDEV('The List'!S2:S730)</f>
        <v>-0.69479590662623447</v>
      </c>
      <c r="G403" s="38">
        <f>(VLOOKUP($A403,'The List'!$B1:$AH730,19,FALSE)-AVERAGE('The List'!T2:T730))/STDEV('The List'!T2:T730)</f>
        <v>-0.35878262601104721</v>
      </c>
      <c r="H403" s="38">
        <f>(VLOOKUP($A403,'The List'!$B1:$AH730,20,FALSE)-AVERAGE('The List'!U2:U730))/STDEV('The List'!U2:U730)</f>
        <v>-0.54347798293599681</v>
      </c>
      <c r="I403" s="38">
        <f>(VLOOKUP($A403,'The List'!$B1:$AH730,21,FALSE)-AVERAGE('The List'!V2:V730))/STDEV('The List'!V2:V730)</f>
        <v>-0.52676615536278215</v>
      </c>
      <c r="J403" s="38">
        <f>(VLOOKUP($A403,'The List'!$B1:$AH730,22,FALSE)-AVERAGE('The List'!W2:W730))/STDEV('The List'!W2:W730)</f>
        <v>-0.59651598268896677</v>
      </c>
      <c r="K403" s="38">
        <f>(VLOOKUP($A403,'The List'!$B1:$AH730,23,FALSE)-AVERAGE('The List'!X2:X730))/STDEV('The List'!X2:X730)</f>
        <v>-0.59660913726505482</v>
      </c>
      <c r="L403" s="38">
        <f>(VLOOKUP($A403,'The List'!$B1:$AH730,24,FALSE)-AVERAGE('The List'!Y2:Y730))/STDEV('The List'!Y2:Y730)</f>
        <v>0.75899604136547916</v>
      </c>
      <c r="M403" s="38">
        <f>(VLOOKUP($A403,'The List'!$B1:$AH730,25,FALSE)-AVERAGE('The List'!Z2:Z730))/STDEV('The List'!Z2:Z730)</f>
        <v>1.0385221336792863</v>
      </c>
      <c r="N403" s="38">
        <f>(VLOOKUP($A403,'The List'!$B1:$AH730,26,FALSE)-AVERAGE('The List'!AA2:AA730))/STDEV('The List'!AA2:AA730)</f>
        <v>1.2493645347995068</v>
      </c>
      <c r="O403" s="38">
        <f>(VLOOKUP($A403,'The List'!$B1:$AH730,27,FALSE)-AVERAGE('The List'!AB2:AB730))/STDEV('The List'!AB2:AB730)</f>
        <v>0.671886575707348</v>
      </c>
      <c r="P403" s="38">
        <f>(VLOOKUP($A403,'The List'!$B1:$AH730,28,FALSE)-AVERAGE('The List'!AC2:AC730))/STDEV('The List'!AC2:AC730)</f>
        <v>1.6432096310282807</v>
      </c>
      <c r="Q403" s="38">
        <f>(VLOOKUP($A403,'The List'!$B1:$AH730,29,FALSE)-AVERAGE('The List'!AD2:AD730))/STDEV('The List'!AD2:AD730)</f>
        <v>-5.7251552486382029E-3</v>
      </c>
      <c r="R403" s="38">
        <f>(VLOOKUP($A403,'The List'!$B1:$AH730,30,FALSE)-AVERAGE('The List'!AE2:AE730))/STDEV('The List'!AE2:AE730)</f>
        <v>-0.54523470765846449</v>
      </c>
      <c r="S403" s="38">
        <f>(VLOOKUP($A403,'The List'!$B1:$AH730,31,FALSE)-AVERAGE('The List'!AF2:AF730))/STDEV('The List'!AF2:AF730)</f>
        <v>-0.56911587195029545</v>
      </c>
      <c r="T403" s="38">
        <f>(VLOOKUP($A403,'The List'!$B1:$AH730,32,FALSE)-AVERAGE('The List'!AG2:AG730))/STDEV('The List'!AG2:AG730)</f>
        <v>-0.61510119871956948</v>
      </c>
      <c r="U403" s="38">
        <f>(VLOOKUP($A403,'The List'!$B1:$AH730,33,FALSE)-AVERAGE('The List'!AH2:AH730))/STDEV('The List'!AH2:AH730)</f>
        <v>-1.2363238714825984</v>
      </c>
      <c r="V403" s="38"/>
      <c r="W403" s="42"/>
      <c r="X403" s="40"/>
      <c r="Y403" s="40"/>
      <c r="Z403" s="40"/>
      <c r="AA403" s="40"/>
      <c r="AB403" s="40"/>
      <c r="AC403" s="43"/>
      <c r="AD403" s="44"/>
      <c r="AE403" s="38"/>
    </row>
    <row r="404" spans="1:31" ht="21.2" customHeight="1">
      <c r="A404" s="8" t="s">
        <v>582</v>
      </c>
      <c r="B404" s="34" t="str">
        <f>VLOOKUP(A404,'Player Data'!A1:B734,2,FALSE)</f>
        <v>NSH</v>
      </c>
      <c r="C404" s="36">
        <f>((E404)*Settings!$C$12)+(F404*Settings!$C$2)+(G404*Settings!$C$3)+(H404*Settings!$C$4)+(I404*Settings!$C$5)+(K404*Settings!$C$9)+(N404*Settings!$C$6)+(J404*Settings!$C$8)+(O404*Settings!$C$7)+(P404*Settings!$C$14)+(Q404*Settings!$C$15)+(R404*Settings!$C$16)+(S404*Settings!$C$17)+(T404*Settings!$C$18)+(U404*Settings!$C$19)+(L404*Settings!$C$10)+(Settings!$C$11*M404)</f>
        <v>-2.1995232175388129</v>
      </c>
      <c r="D404" s="40">
        <f>IF(Settings!$E$12="YES",VLOOKUP(A404,'Player Data'!A1:E734,5,FALSE),82)</f>
        <v>82</v>
      </c>
      <c r="E404" s="38">
        <f>(VLOOKUP($A404,'The List'!$B1:$AH730,17,FALSE)-AVERAGE('The List'!R2:R730))/STDEV('The List'!R2:R730)</f>
        <v>-0.45802285410451082</v>
      </c>
      <c r="F404" s="38">
        <f>(VLOOKUP($A404,'The List'!$B1:$AH730,18,FALSE)-AVERAGE('The List'!S2:S730))/STDEV('The List'!S2:S730)</f>
        <v>1.8497223287899611E-2</v>
      </c>
      <c r="G404" s="38">
        <f>(VLOOKUP($A404,'The List'!$B1:$AH730,19,FALSE)-AVERAGE('The List'!T2:T730))/STDEV('The List'!T2:T730)</f>
        <v>-0.90102673454144977</v>
      </c>
      <c r="H404" s="38">
        <f>(VLOOKUP($A404,'The List'!$B1:$AH730,20,FALSE)-AVERAGE('The List'!U2:U730))/STDEV('The List'!U2:U730)</f>
        <v>-0.54511751051246937</v>
      </c>
      <c r="I404" s="38">
        <f>(VLOOKUP($A404,'The List'!$B1:$AH730,21,FALSE)-AVERAGE('The List'!V2:V730))/STDEV('The List'!V2:V730)</f>
        <v>-3.5225574640237067E-2</v>
      </c>
      <c r="J404" s="38">
        <f>(VLOOKUP($A404,'The List'!$B1:$AH730,22,FALSE)-AVERAGE('The List'!W2:W730))/STDEV('The List'!W2:W730)</f>
        <v>-0.68500119923922054</v>
      </c>
      <c r="K404" s="38">
        <f>(VLOOKUP($A404,'The List'!$B1:$AH730,23,FALSE)-AVERAGE('The List'!X2:X730))/STDEV('The List'!X2:X730)</f>
        <v>-0.73665062113255608</v>
      </c>
      <c r="L404" s="38">
        <f>(VLOOKUP($A404,'The List'!$B1:$AH730,24,FALSE)-AVERAGE('The List'!Y2:Y730))/STDEV('The List'!Y2:Y730)</f>
        <v>1.7521994653924755</v>
      </c>
      <c r="M404" s="38">
        <f>(VLOOKUP($A404,'The List'!$B1:$AH730,25,FALSE)-AVERAGE('The List'!Z2:Z730))/STDEV('The List'!Z2:Z730)</f>
        <v>0.91088016826249407</v>
      </c>
      <c r="N404" s="38">
        <f>(VLOOKUP($A404,'The List'!$B1:$AH730,26,FALSE)-AVERAGE('The List'!AA2:AA730))/STDEV('The List'!AA2:AA730)</f>
        <v>-0.74659095169549627</v>
      </c>
      <c r="O404" s="38">
        <f>(VLOOKUP($A404,'The List'!$B1:$AH730,27,FALSE)-AVERAGE('The List'!AB2:AB730))/STDEV('The List'!AB2:AB730)</f>
        <v>1.3625471071556057</v>
      </c>
      <c r="P404" s="38">
        <f>(VLOOKUP($A404,'The List'!$B1:$AH730,28,FALSE)-AVERAGE('The List'!AC2:AC730))/STDEV('The List'!AC2:AC730)</f>
        <v>-0.56478541427469087</v>
      </c>
      <c r="Q404" s="38">
        <f>(VLOOKUP($A404,'The List'!$B1:$AH730,29,FALSE)-AVERAGE('The List'!AD2:AD730))/STDEV('The List'!AD2:AD730)</f>
        <v>0.43099945357755132</v>
      </c>
      <c r="R404" s="38">
        <f>(VLOOKUP($A404,'The List'!$B1:$AH730,30,FALSE)-AVERAGE('The List'!AE2:AE730))/STDEV('The List'!AE2:AE730)</f>
        <v>6.8770771554154883E-2</v>
      </c>
      <c r="S404" s="38">
        <f>(VLOOKUP($A404,'The List'!$B1:$AH730,31,FALSE)-AVERAGE('The List'!AF2:AF730))/STDEV('The List'!AF2:AF730)</f>
        <v>-0.50676695478178846</v>
      </c>
      <c r="T404" s="38">
        <f>(VLOOKUP($A404,'The List'!$B1:$AH730,32,FALSE)-AVERAGE('The List'!AG2:AG730))/STDEV('The List'!AG2:AG730)</f>
        <v>-0.50045917204058676</v>
      </c>
      <c r="U404" s="38">
        <f>(VLOOKUP($A404,'The List'!$B1:$AH730,33,FALSE)-AVERAGE('The List'!AH2:AH730))/STDEV('The List'!AH2:AH730)</f>
        <v>0.40591773161437728</v>
      </c>
      <c r="V404" s="38"/>
      <c r="W404" s="42"/>
      <c r="X404" s="40"/>
      <c r="Y404" s="40"/>
      <c r="Z404" s="40"/>
      <c r="AA404" s="40"/>
      <c r="AB404" s="40"/>
      <c r="AC404" s="43"/>
      <c r="AD404" s="44"/>
      <c r="AE404" s="38"/>
    </row>
    <row r="405" spans="1:31" ht="21.2" customHeight="1">
      <c r="A405" s="8" t="s">
        <v>382</v>
      </c>
      <c r="B405" s="34" t="str">
        <f>VLOOKUP(A405,'Player Data'!A1:B734,2,FALSE)</f>
        <v>WSH</v>
      </c>
      <c r="C405" s="36">
        <f>((E405)*Settings!$C$12)+(F405*Settings!$C$2)+(G405*Settings!$C$3)+(H405*Settings!$C$4)+(I405*Settings!$C$5)+(K405*Settings!$C$9)+(N405*Settings!$C$6)+(J405*Settings!$C$8)+(O405*Settings!$C$7)+(P405*Settings!$C$14)+(Q405*Settings!$C$15)+(R405*Settings!$C$16)+(S405*Settings!$C$17)+(T405*Settings!$C$18)+(U405*Settings!$C$19)+(L405*Settings!$C$10)+(Settings!$C$11*M405)</f>
        <v>-3.0146891254994812</v>
      </c>
      <c r="D405" s="40">
        <f>IF(Settings!$E$12="YES",VLOOKUP(A405,'Player Data'!A1:E734,5,FALSE),82)</f>
        <v>82</v>
      </c>
      <c r="E405" s="38">
        <f>(VLOOKUP($A405,'The List'!$B1:$AH730,17,FALSE)-AVERAGE('The List'!R2:R730))/STDEV('The List'!R2:R730)</f>
        <v>1.1573717193107211</v>
      </c>
      <c r="F405" s="38">
        <f>(VLOOKUP($A405,'The List'!$B1:$AH730,18,FALSE)-AVERAGE('The List'!S2:S730))/STDEV('The List'!S2:S730)</f>
        <v>-0.8980103948500715</v>
      </c>
      <c r="G405" s="38">
        <f>(VLOOKUP($A405,'The List'!$B1:$AH730,19,FALSE)-AVERAGE('The List'!T2:T730))/STDEV('The List'!T2:T730)</f>
        <v>-0.22439836816173148</v>
      </c>
      <c r="H405" s="38">
        <f>(VLOOKUP($A405,'The List'!$B1:$AH730,20,FALSE)-AVERAGE('The List'!U2:U730))/STDEV('The List'!U2:U730)</f>
        <v>-0.55536252470334668</v>
      </c>
      <c r="I405" s="38">
        <f>(VLOOKUP($A405,'The List'!$B1:$AH730,21,FALSE)-AVERAGE('The List'!V2:V730))/STDEV('The List'!V2:V730)</f>
        <v>-0.52040802278566811</v>
      </c>
      <c r="J405" s="38">
        <f>(VLOOKUP($A405,'The List'!$B1:$AH730,22,FALSE)-AVERAGE('The List'!W2:W730))/STDEV('The List'!W2:W730)</f>
        <v>-0.73348430816402799</v>
      </c>
      <c r="K405" s="38">
        <f>(VLOOKUP($A405,'The List'!$B1:$AH730,23,FALSE)-AVERAGE('The List'!X2:X730))/STDEV('The List'!X2:X730)</f>
        <v>-0.81650981499866349</v>
      </c>
      <c r="L405" s="38">
        <f>(VLOOKUP($A405,'The List'!$B1:$AH730,24,FALSE)-AVERAGE('The List'!Y2:Y730))/STDEV('The List'!Y2:Y730)</f>
        <v>-0.61642367826122924</v>
      </c>
      <c r="M405" s="38">
        <f>(VLOOKUP($A405,'The List'!$B1:$AH730,25,FALSE)-AVERAGE('The List'!Z2:Z730))/STDEV('The List'!Z2:Z730)</f>
        <v>-0.35210551993679756</v>
      </c>
      <c r="N405" s="38">
        <f>(VLOOKUP($A405,'The List'!$B1:$AH730,26,FALSE)-AVERAGE('The List'!AA2:AA730))/STDEV('The List'!AA2:AA730)</f>
        <v>1.62783941042388</v>
      </c>
      <c r="O405" s="38">
        <f>(VLOOKUP($A405,'The List'!$B1:$AH730,27,FALSE)-AVERAGE('The List'!AB2:AB730))/STDEV('The List'!AB2:AB730)</f>
        <v>0.51502523448406157</v>
      </c>
      <c r="P405" s="38">
        <f>(VLOOKUP($A405,'The List'!$B1:$AH730,28,FALSE)-AVERAGE('The List'!AC2:AC730))/STDEV('The List'!AC2:AC730)</f>
        <v>-0.54560253480824372</v>
      </c>
      <c r="Q405" s="38">
        <f>(VLOOKUP($A405,'The List'!$B1:$AH730,29,FALSE)-AVERAGE('The List'!AD2:AD730))/STDEV('The List'!AD2:AD730)</f>
        <v>-0.61310589583742947</v>
      </c>
      <c r="R405" s="38">
        <f>(VLOOKUP($A405,'The List'!$B1:$AH730,30,FALSE)-AVERAGE('The List'!AE2:AE730))/STDEV('The List'!AE2:AE730)</f>
        <v>-0.87353331393992417</v>
      </c>
      <c r="S405" s="38">
        <f>(VLOOKUP($A405,'The List'!$B1:$AH730,31,FALSE)-AVERAGE('The List'!AF2:AF730))/STDEV('The List'!AF2:AF730)</f>
        <v>-0.56911587195029545</v>
      </c>
      <c r="T405" s="38">
        <f>(VLOOKUP($A405,'The List'!$B1:$AH730,32,FALSE)-AVERAGE('The List'!AG2:AG730))/STDEV('The List'!AG2:AG730)</f>
        <v>-0.61510119871956948</v>
      </c>
      <c r="U405" s="38">
        <f>(VLOOKUP($A405,'The List'!$B1:$AH730,33,FALSE)-AVERAGE('The List'!AH2:AH730))/STDEV('The List'!AH2:AH730)</f>
        <v>-1.2363238714825984</v>
      </c>
      <c r="V405" s="38"/>
      <c r="W405" s="42"/>
      <c r="X405" s="40"/>
      <c r="Y405" s="40"/>
      <c r="Z405" s="40"/>
      <c r="AA405" s="40"/>
      <c r="AB405" s="40"/>
      <c r="AC405" s="43"/>
      <c r="AD405" s="44"/>
      <c r="AE405" s="38"/>
    </row>
    <row r="406" spans="1:31" ht="21.2" customHeight="1">
      <c r="A406" s="8" t="s">
        <v>730</v>
      </c>
      <c r="B406" s="34" t="str">
        <f>VLOOKUP(A406,'Player Data'!A1:B734,2,FALSE)</f>
        <v>ARI</v>
      </c>
      <c r="C406" s="36">
        <f>((E406)*Settings!$C$12)+(F406*Settings!$C$2)+(G406*Settings!$C$3)+(H406*Settings!$C$4)+(I406*Settings!$C$5)+(K406*Settings!$C$9)+(N406*Settings!$C$6)+(J406*Settings!$C$8)+(O406*Settings!$C$7)+(P406*Settings!$C$14)+(Q406*Settings!$C$15)+(R406*Settings!$C$16)+(S406*Settings!$C$17)+(T406*Settings!$C$18)+(U406*Settings!$C$19)+(L406*Settings!$C$10)+(Settings!$C$11*M406)</f>
        <v>-3.3704092008296289</v>
      </c>
      <c r="D406" s="40">
        <f>IF(Settings!$E$12="YES",VLOOKUP(A406,'Player Data'!A1:E734,5,FALSE),82)</f>
        <v>82</v>
      </c>
      <c r="E406" s="38">
        <f>(VLOOKUP($A406,'The List'!$B1:$AH730,17,FALSE)-AVERAGE('The List'!R2:R730))/STDEV('The List'!R2:R730)</f>
        <v>-0.92373673742599238</v>
      </c>
      <c r="F406" s="38">
        <f>(VLOOKUP($A406,'The List'!$B1:$AH730,18,FALSE)-AVERAGE('The List'!S2:S730))/STDEV('The List'!S2:S730)</f>
        <v>-0.18237242585475924</v>
      </c>
      <c r="G406" s="38">
        <f>(VLOOKUP($A406,'The List'!$B1:$AH730,19,FALSE)-AVERAGE('The List'!T2:T730))/STDEV('The List'!T2:T730)</f>
        <v>-0.77061713192169767</v>
      </c>
      <c r="H406" s="38">
        <f>(VLOOKUP($A406,'The List'!$B1:$AH730,20,FALSE)-AVERAGE('The List'!U2:U730))/STDEV('The List'!U2:U730)</f>
        <v>-0.55835458159588847</v>
      </c>
      <c r="I406" s="38">
        <f>(VLOOKUP($A406,'The List'!$B1:$AH730,21,FALSE)-AVERAGE('The List'!V2:V730))/STDEV('The List'!V2:V730)</f>
        <v>-1.0723305063439128</v>
      </c>
      <c r="J406" s="38">
        <f>(VLOOKUP($A406,'The List'!$B1:$AH730,22,FALSE)-AVERAGE('The List'!W2:W730))/STDEV('The List'!W2:W730)</f>
        <v>-0.70676712807624009</v>
      </c>
      <c r="K406" s="38">
        <f>(VLOOKUP($A406,'The List'!$B1:$AH730,23,FALSE)-AVERAGE('The List'!X2:X730))/STDEV('The List'!X2:X730)</f>
        <v>-0.78673455511337065</v>
      </c>
      <c r="L406" s="38">
        <f>(VLOOKUP($A406,'The List'!$B1:$AH730,24,FALSE)-AVERAGE('The List'!Y2:Y730))/STDEV('The List'!Y2:Y730)</f>
        <v>5.7187153019538257E-3</v>
      </c>
      <c r="M406" s="38">
        <f>(VLOOKUP($A406,'The List'!$B1:$AH730,25,FALSE)-AVERAGE('The List'!Z2:Z730))/STDEV('The List'!Z2:Z730)</f>
        <v>8.9791500591886814E-2</v>
      </c>
      <c r="N406" s="38">
        <f>(VLOOKUP($A406,'The List'!$B1:$AH730,26,FALSE)-AVERAGE('The List'!AA2:AA730))/STDEV('The List'!AA2:AA730)</f>
        <v>-0.46227427574573632</v>
      </c>
      <c r="O406" s="38">
        <f>(VLOOKUP($A406,'The List'!$B1:$AH730,27,FALSE)-AVERAGE('The List'!AB2:AB730))/STDEV('The List'!AB2:AB730)</f>
        <v>2.9182610635680195</v>
      </c>
      <c r="P406" s="38">
        <f>(VLOOKUP($A406,'The List'!$B1:$AH730,28,FALSE)-AVERAGE('The List'!AC2:AC730))/STDEV('The List'!AC2:AC730)</f>
        <v>-1.2117081546410986</v>
      </c>
      <c r="Q406" s="38">
        <f>(VLOOKUP($A406,'The List'!$B1:$AH730,29,FALSE)-AVERAGE('The List'!AD2:AD730))/STDEV('The List'!AD2:AD730)</f>
        <v>0.95344414643623221</v>
      </c>
      <c r="R406" s="38">
        <f>(VLOOKUP($A406,'The List'!$B1:$AH730,30,FALSE)-AVERAGE('The List'!AE2:AE730))/STDEV('The List'!AE2:AE730)</f>
        <v>-0.2756054421012934</v>
      </c>
      <c r="S406" s="38">
        <f>(VLOOKUP($A406,'The List'!$B1:$AH730,31,FALSE)-AVERAGE('The List'!AF2:AF730))/STDEV('The List'!AF2:AF730)</f>
        <v>1.0163439019629101</v>
      </c>
      <c r="T406" s="38">
        <f>(VLOOKUP($A406,'The List'!$B1:$AH730,32,FALSE)-AVERAGE('The List'!AG2:AG730))/STDEV('The List'!AG2:AG730)</f>
        <v>1.5829637353067021</v>
      </c>
      <c r="U406" s="38">
        <f>(VLOOKUP($A406,'The List'!$B1:$AH730,33,FALSE)-AVERAGE('The List'!AH2:AH730))/STDEV('The List'!AH2:AH730)</f>
        <v>0.71072917004939862</v>
      </c>
      <c r="V406" s="38"/>
      <c r="W406" s="42"/>
      <c r="X406" s="40"/>
      <c r="Y406" s="40"/>
      <c r="Z406" s="40"/>
      <c r="AA406" s="40"/>
      <c r="AB406" s="40"/>
      <c r="AC406" s="43"/>
      <c r="AD406" s="44"/>
      <c r="AE406" s="38"/>
    </row>
    <row r="407" spans="1:31" ht="21.2" customHeight="1">
      <c r="A407" s="8" t="s">
        <v>650</v>
      </c>
      <c r="B407" s="34" t="str">
        <f>VLOOKUP(A407,'Player Data'!A1:B734,2,FALSE)</f>
        <v>UFA</v>
      </c>
      <c r="C407" s="36">
        <f>((E407)*Settings!$C$12)+(F407*Settings!$C$2)+(G407*Settings!$C$3)+(H407*Settings!$C$4)+(I407*Settings!$C$5)+(K407*Settings!$C$9)+(N407*Settings!$C$6)+(J407*Settings!$C$8)+(O407*Settings!$C$7)+(P407*Settings!$C$14)+(Q407*Settings!$C$15)+(R407*Settings!$C$16)+(S407*Settings!$C$17)+(T407*Settings!$C$18)+(U407*Settings!$C$19)+(L407*Settings!$C$10)+(Settings!$C$11*M407)</f>
        <v>-2.3948610898173408</v>
      </c>
      <c r="D407" s="40">
        <f>IF(Settings!$E$12="YES",VLOOKUP(A407,'Player Data'!A1:E734,5,FALSE),82)</f>
        <v>82</v>
      </c>
      <c r="E407" s="38">
        <f>(VLOOKUP($A407,'The List'!$B1:$AH730,17,FALSE)-AVERAGE('The List'!R2:R730))/STDEV('The List'!R2:R730)</f>
        <v>-0.82358263055626357</v>
      </c>
      <c r="F407" s="38">
        <f>(VLOOKUP($A407,'The List'!$B1:$AH730,18,FALSE)-AVERAGE('The List'!S2:S730))/STDEV('The List'!S2:S730)</f>
        <v>-0.37981561318300561</v>
      </c>
      <c r="G407" s="38">
        <f>(VLOOKUP($A407,'The List'!$B1:$AH730,19,FALSE)-AVERAGE('The List'!T2:T730))/STDEV('The List'!T2:T730)</f>
        <v>-0.63533061496419907</v>
      </c>
      <c r="H407" s="38">
        <f>(VLOOKUP($A407,'The List'!$B1:$AH730,20,FALSE)-AVERAGE('The List'!U2:U730))/STDEV('The List'!U2:U730)</f>
        <v>-0.56700172695533568</v>
      </c>
      <c r="I407" s="38">
        <f>(VLOOKUP($A407,'The List'!$B1:$AH730,21,FALSE)-AVERAGE('The List'!V2:V730))/STDEV('The List'!V2:V730)</f>
        <v>-0.20272063737169069</v>
      </c>
      <c r="J407" s="38">
        <f>(VLOOKUP($A407,'The List'!$B1:$AH730,22,FALSE)-AVERAGE('The List'!W2:W730))/STDEV('The List'!W2:W730)</f>
        <v>-0.46389917046386764</v>
      </c>
      <c r="K407" s="38">
        <f>(VLOOKUP($A407,'The List'!$B1:$AH730,23,FALSE)-AVERAGE('The List'!X2:X730))/STDEV('The List'!X2:X730)</f>
        <v>-0.60999249734310956</v>
      </c>
      <c r="L407" s="38">
        <f>(VLOOKUP($A407,'The List'!$B1:$AH730,24,FALSE)-AVERAGE('The List'!Y2:Y730))/STDEV('The List'!Y2:Y730)</f>
        <v>-0.47209497996654598</v>
      </c>
      <c r="M407" s="38">
        <f>(VLOOKUP($A407,'The List'!$B1:$AH730,25,FALSE)-AVERAGE('The List'!Z2:Z730))/STDEV('The List'!Z2:Z730)</f>
        <v>-0.6405532961018412</v>
      </c>
      <c r="N407" s="38">
        <f>(VLOOKUP($A407,'The List'!$B1:$AH730,26,FALSE)-AVERAGE('The List'!AA2:AA730))/STDEV('The List'!AA2:AA730)</f>
        <v>-0.65213604993621932</v>
      </c>
      <c r="O407" s="38">
        <f>(VLOOKUP($A407,'The List'!$B1:$AH730,27,FALSE)-AVERAGE('The List'!AB2:AB730))/STDEV('The List'!AB2:AB730)</f>
        <v>-0.61002022523717159</v>
      </c>
      <c r="P407" s="38">
        <f>(VLOOKUP($A407,'The List'!$B1:$AH730,28,FALSE)-AVERAGE('The List'!AC2:AC730))/STDEV('The List'!AC2:AC730)</f>
        <v>-0.13327435484059036</v>
      </c>
      <c r="Q407" s="38">
        <f>(VLOOKUP($A407,'The List'!$B1:$AH730,29,FALSE)-AVERAGE('The List'!AD2:AD730))/STDEV('The List'!AD2:AD730)</f>
        <v>-1.2443642679221907</v>
      </c>
      <c r="R407" s="38">
        <f>(VLOOKUP($A407,'The List'!$B1:$AH730,30,FALSE)-AVERAGE('The List'!AE2:AE730))/STDEV('The List'!AE2:AE730)</f>
        <v>-1.2515972607254897</v>
      </c>
      <c r="S407" s="38">
        <f>(VLOOKUP($A407,'The List'!$B1:$AH730,31,FALSE)-AVERAGE('The List'!AF2:AF730))/STDEV('The List'!AF2:AF730)</f>
        <v>-0.53833228272871103</v>
      </c>
      <c r="T407" s="38">
        <f>(VLOOKUP($A407,'The List'!$B1:$AH730,32,FALSE)-AVERAGE('The List'!AG2:AG730))/STDEV('The List'!AG2:AG730)</f>
        <v>-0.56975822227116413</v>
      </c>
      <c r="U407" s="38">
        <f>(VLOOKUP($A407,'The List'!$B1:$AH730,33,FALSE)-AVERAGE('The List'!AH2:AH730))/STDEV('The List'!AH2:AH730)</f>
        <v>0.64393700017346855</v>
      </c>
      <c r="V407" s="38"/>
      <c r="W407" s="42"/>
      <c r="X407" s="40"/>
      <c r="Y407" s="40"/>
      <c r="Z407" s="40"/>
      <c r="AA407" s="40"/>
      <c r="AB407" s="40"/>
      <c r="AC407" s="43"/>
      <c r="AD407" s="44"/>
      <c r="AE407" s="38"/>
    </row>
    <row r="408" spans="1:31" ht="21.2" customHeight="1">
      <c r="A408" s="8" t="s">
        <v>325</v>
      </c>
      <c r="B408" s="34" t="str">
        <f>VLOOKUP(A408,'Player Data'!A1:B734,2,FALSE)</f>
        <v>BOS</v>
      </c>
      <c r="C408" s="36">
        <f>((E408)*Settings!$C$12)+(F408*Settings!$C$2)+(G408*Settings!$C$3)+(H408*Settings!$C$4)+(I408*Settings!$C$5)+(K408*Settings!$C$9)+(N408*Settings!$C$6)+(J408*Settings!$C$8)+(O408*Settings!$C$7)+(P408*Settings!$C$14)+(Q408*Settings!$C$15)+(R408*Settings!$C$16)+(S408*Settings!$C$17)+(T408*Settings!$C$18)+(U408*Settings!$C$19)+(L408*Settings!$C$10)+(Settings!$C$11*M408)</f>
        <v>-1.6404727663840566</v>
      </c>
      <c r="D408" s="40">
        <f>IF(Settings!$E$12="YES",VLOOKUP(A408,'Player Data'!A1:E734,5,FALSE),82)</f>
        <v>82</v>
      </c>
      <c r="E408" s="38">
        <f>(VLOOKUP($A408,'The List'!$B1:$AH730,17,FALSE)-AVERAGE('The List'!R2:R730))/STDEV('The List'!R2:R730)</f>
        <v>0.2850865932311461</v>
      </c>
      <c r="F408" s="38">
        <f>(VLOOKUP($A408,'The List'!$B1:$AH730,18,FALSE)-AVERAGE('The List'!S2:S730))/STDEV('The List'!S2:S730)</f>
        <v>-0.93242704460978532</v>
      </c>
      <c r="G408" s="38">
        <f>(VLOOKUP($A408,'The List'!$B1:$AH730,19,FALSE)-AVERAGE('The List'!T2:T730))/STDEV('The List'!T2:T730)</f>
        <v>-0.2185190681311589</v>
      </c>
      <c r="H408" s="38">
        <f>(VLOOKUP($A408,'The List'!$B1:$AH730,20,FALSE)-AVERAGE('The List'!U2:U730))/STDEV('The List'!U2:U730)</f>
        <v>-0.5677488391466643</v>
      </c>
      <c r="I408" s="38">
        <f>(VLOOKUP($A408,'The List'!$B1:$AH730,21,FALSE)-AVERAGE('The List'!V2:V730))/STDEV('The List'!V2:V730)</f>
        <v>-0.11124597966792905</v>
      </c>
      <c r="J408" s="38">
        <f>(VLOOKUP($A408,'The List'!$B1:$AH730,22,FALSE)-AVERAGE('The List'!W2:W730))/STDEV('The List'!W2:W730)</f>
        <v>-0.46293908367188796</v>
      </c>
      <c r="K408" s="38">
        <f>(VLOOKUP($A408,'The List'!$B1:$AH730,23,FALSE)-AVERAGE('The List'!X2:X730))/STDEV('The List'!X2:X730)</f>
        <v>0.18946816517148088</v>
      </c>
      <c r="L408" s="38">
        <f>(VLOOKUP($A408,'The List'!$B1:$AH730,24,FALSE)-AVERAGE('The List'!Y2:Y730))/STDEV('The List'!Y2:Y730)</f>
        <v>-0.53964285086762409</v>
      </c>
      <c r="M408" s="38">
        <f>(VLOOKUP($A408,'The List'!$B1:$AH730,25,FALSE)-AVERAGE('The List'!Z2:Z730))/STDEV('The List'!Z2:Z730)</f>
        <v>-0.75362366264417979</v>
      </c>
      <c r="N408" s="38">
        <f>(VLOOKUP($A408,'The List'!$B1:$AH730,26,FALSE)-AVERAGE('The List'!AA2:AA730))/STDEV('The List'!AA2:AA730)</f>
        <v>0.94577024596670844</v>
      </c>
      <c r="O408" s="38">
        <f>(VLOOKUP($A408,'The List'!$B1:$AH730,27,FALSE)-AVERAGE('The List'!AB2:AB730))/STDEV('The List'!AB2:AB730)</f>
        <v>-0.38368818357573359</v>
      </c>
      <c r="P408" s="38">
        <f>(VLOOKUP($A408,'The List'!$B1:$AH730,28,FALSE)-AVERAGE('The List'!AC2:AC730))/STDEV('The List'!AC2:AC730)</f>
        <v>0.46030317078024852</v>
      </c>
      <c r="Q408" s="38">
        <f>(VLOOKUP($A408,'The List'!$B1:$AH730,29,FALSE)-AVERAGE('The List'!AD2:AD730))/STDEV('The List'!AD2:AD730)</f>
        <v>0.18693167583515075</v>
      </c>
      <c r="R408" s="38">
        <f>(VLOOKUP($A408,'The List'!$B1:$AH730,30,FALSE)-AVERAGE('The List'!AE2:AE730))/STDEV('The List'!AE2:AE730)</f>
        <v>-0.77323631280836203</v>
      </c>
      <c r="S408" s="38">
        <f>(VLOOKUP($A408,'The List'!$B1:$AH730,31,FALSE)-AVERAGE('The List'!AF2:AF730))/STDEV('The List'!AF2:AF730)</f>
        <v>-0.56911587195029545</v>
      </c>
      <c r="T408" s="38">
        <f>(VLOOKUP($A408,'The List'!$B1:$AH730,32,FALSE)-AVERAGE('The List'!AG2:AG730))/STDEV('The List'!AG2:AG730)</f>
        <v>-0.61438782222258181</v>
      </c>
      <c r="U408" s="38">
        <f>(VLOOKUP($A408,'The List'!$B1:$AH730,33,FALSE)-AVERAGE('The List'!AH2:AH730))/STDEV('The List'!AH2:AH730)</f>
        <v>-1.2363238714825984</v>
      </c>
      <c r="V408" s="38"/>
      <c r="W408" s="40"/>
      <c r="X408" s="38"/>
      <c r="Y408" s="38"/>
      <c r="Z408" s="38"/>
      <c r="AA408" s="38"/>
      <c r="AB408" s="38"/>
      <c r="AC408" s="38"/>
      <c r="AD408" s="38"/>
      <c r="AE408" s="38"/>
    </row>
    <row r="409" spans="1:31" ht="21.2" customHeight="1">
      <c r="A409" s="8" t="s">
        <v>403</v>
      </c>
      <c r="B409" s="34" t="str">
        <f>VLOOKUP(A409,'Player Data'!A1:B734,2,FALSE)</f>
        <v>BOS</v>
      </c>
      <c r="C409" s="36">
        <f>((E409)*Settings!$C$12)+(F409*Settings!$C$2)+(G409*Settings!$C$3)+(H409*Settings!$C$4)+(I409*Settings!$C$5)+(K409*Settings!$C$9)+(N409*Settings!$C$6)+(J409*Settings!$C$8)+(O409*Settings!$C$7)+(P409*Settings!$C$14)+(Q409*Settings!$C$15)+(R409*Settings!$C$16)+(S409*Settings!$C$17)+(T409*Settings!$C$18)+(U409*Settings!$C$19)+(L409*Settings!$C$10)+(Settings!$C$11*M409)</f>
        <v>-2.8366520779994189</v>
      </c>
      <c r="D409" s="40">
        <f>IF(Settings!$E$12="YES",VLOOKUP(A409,'Player Data'!A1:E734,5,FALSE),82)</f>
        <v>82</v>
      </c>
      <c r="E409" s="38">
        <f>(VLOOKUP($A409,'The List'!$B1:$AH730,17,FALSE)-AVERAGE('The List'!R2:R730))/STDEV('The List'!R2:R730)</f>
        <v>0.2226830016157943</v>
      </c>
      <c r="F409" s="38">
        <f>(VLOOKUP($A409,'The List'!$B1:$AH730,18,FALSE)-AVERAGE('The List'!S2:S730))/STDEV('The List'!S2:S730)</f>
        <v>-0.89997422155342799</v>
      </c>
      <c r="G409" s="38">
        <f>(VLOOKUP($A409,'The List'!$B1:$AH730,19,FALSE)-AVERAGE('The List'!T2:T730))/STDEV('The List'!T2:T730)</f>
        <v>-0.25152880106641362</v>
      </c>
      <c r="H409" s="38">
        <f>(VLOOKUP($A409,'The List'!$B1:$AH730,20,FALSE)-AVERAGE('The List'!U2:U730))/STDEV('The List'!U2:U730)</f>
        <v>-0.57294817322760661</v>
      </c>
      <c r="I409" s="38">
        <f>(VLOOKUP($A409,'The List'!$B1:$AH730,21,FALSE)-AVERAGE('The List'!V2:V730))/STDEV('The List'!V2:V730)</f>
        <v>-0.4759245732261761</v>
      </c>
      <c r="J409" s="38">
        <f>(VLOOKUP($A409,'The List'!$B1:$AH730,22,FALSE)-AVERAGE('The List'!W2:W730))/STDEV('The List'!W2:W730)</f>
        <v>-0.69353416632018494</v>
      </c>
      <c r="K409" s="38">
        <f>(VLOOKUP($A409,'The List'!$B1:$AH730,23,FALSE)-AVERAGE('The List'!X2:X730))/STDEV('The List'!X2:X730)</f>
        <v>-0.63627630892579434</v>
      </c>
      <c r="L409" s="38">
        <f>(VLOOKUP($A409,'The List'!$B1:$AH730,24,FALSE)-AVERAGE('The List'!Y2:Y730))/STDEV('The List'!Y2:Y730)</f>
        <v>-0.50927002493386742</v>
      </c>
      <c r="M409" s="38">
        <f>(VLOOKUP($A409,'The List'!$B1:$AH730,25,FALSE)-AVERAGE('The List'!Z2:Z730))/STDEV('The List'!Z2:Z730)</f>
        <v>-0.66417683574835007</v>
      </c>
      <c r="N409" s="38">
        <f>(VLOOKUP($A409,'The List'!$B1:$AH730,26,FALSE)-AVERAGE('The List'!AA2:AA730))/STDEV('The List'!AA2:AA730)</f>
        <v>0.59738652189058949</v>
      </c>
      <c r="O409" s="38">
        <f>(VLOOKUP($A409,'The List'!$B1:$AH730,27,FALSE)-AVERAGE('The List'!AB2:AB730))/STDEV('The List'!AB2:AB730)</f>
        <v>-0.70860710016718143</v>
      </c>
      <c r="P409" s="38">
        <f>(VLOOKUP($A409,'The List'!$B1:$AH730,28,FALSE)-AVERAGE('The List'!AC2:AC730))/STDEV('The List'!AC2:AC730)</f>
        <v>1.610212265495339</v>
      </c>
      <c r="Q409" s="38">
        <f>(VLOOKUP($A409,'The List'!$B1:$AH730,29,FALSE)-AVERAGE('The List'!AD2:AD730))/STDEV('The List'!AD2:AD730)</f>
        <v>-0.20435300603131173</v>
      </c>
      <c r="R409" s="38">
        <f>(VLOOKUP($A409,'The List'!$B1:$AH730,30,FALSE)-AVERAGE('The List'!AE2:AE730))/STDEV('The List'!AE2:AE730)</f>
        <v>-0.73775677138351836</v>
      </c>
      <c r="S409" s="38">
        <f>(VLOOKUP($A409,'The List'!$B1:$AH730,31,FALSE)-AVERAGE('The List'!AF2:AF730))/STDEV('The List'!AF2:AF730)</f>
        <v>-0.56911587195029545</v>
      </c>
      <c r="T409" s="38">
        <f>(VLOOKUP($A409,'The List'!$B1:$AH730,32,FALSE)-AVERAGE('The List'!AG2:AG730))/STDEV('The List'!AG2:AG730)</f>
        <v>-0.61510119871956948</v>
      </c>
      <c r="U409" s="38">
        <f>(VLOOKUP($A409,'The List'!$B1:$AH730,33,FALSE)-AVERAGE('The List'!AH2:AH730))/STDEV('The List'!AH2:AH730)</f>
        <v>-1.2363238714825984</v>
      </c>
      <c r="V409" s="38"/>
      <c r="W409" s="42"/>
      <c r="X409" s="40"/>
      <c r="Y409" s="40"/>
      <c r="Z409" s="40"/>
      <c r="AA409" s="40"/>
      <c r="AB409" s="40"/>
      <c r="AC409" s="43"/>
      <c r="AD409" s="44"/>
      <c r="AE409" s="38"/>
    </row>
    <row r="410" spans="1:31" ht="21.2" customHeight="1">
      <c r="A410" s="8" t="s">
        <v>729</v>
      </c>
      <c r="B410" s="34" t="str">
        <f>VLOOKUP(A410,'Player Data'!A1:B734,2,FALSE)</f>
        <v>ANA</v>
      </c>
      <c r="C410" s="36">
        <f>((E410)*Settings!$C$12)+(F410*Settings!$C$2)+(G410*Settings!$C$3)+(H410*Settings!$C$4)+(I410*Settings!$C$5)+(K410*Settings!$C$9)+(N410*Settings!$C$6)+(J410*Settings!$C$8)+(O410*Settings!$C$7)+(P410*Settings!$C$14)+(Q410*Settings!$C$15)+(R410*Settings!$C$16)+(S410*Settings!$C$17)+(T410*Settings!$C$18)+(U410*Settings!$C$19)+(L410*Settings!$C$10)+(Settings!$C$11*M410)</f>
        <v>-3.3096231344637013</v>
      </c>
      <c r="D410" s="40">
        <f>IF(Settings!$E$12="YES",VLOOKUP(A410,'Player Data'!A1:E734,5,FALSE),82)</f>
        <v>82</v>
      </c>
      <c r="E410" s="38">
        <f>(VLOOKUP($A410,'The List'!$B1:$AH730,17,FALSE)-AVERAGE('The List'!R2:R730))/STDEV('The List'!R2:R730)</f>
        <v>-0.58200444167799603</v>
      </c>
      <c r="F410" s="38">
        <f>(VLOOKUP($A410,'The List'!$B1:$AH730,18,FALSE)-AVERAGE('The List'!S2:S730))/STDEV('The List'!S2:S730)</f>
        <v>-0.25434594533709093</v>
      </c>
      <c r="G410" s="38">
        <f>(VLOOKUP($A410,'The List'!$B1:$AH730,19,FALSE)-AVERAGE('The List'!T2:T730))/STDEV('The List'!T2:T730)</f>
        <v>-0.74112716225170772</v>
      </c>
      <c r="H410" s="38">
        <f>(VLOOKUP($A410,'The List'!$B1:$AH730,20,FALSE)-AVERAGE('The List'!U2:U730))/STDEV('The List'!U2:U730)</f>
        <v>-0.57369039022276602</v>
      </c>
      <c r="I410" s="38">
        <f>(VLOOKUP($A410,'The List'!$B1:$AH730,21,FALSE)-AVERAGE('The List'!V2:V730))/STDEV('The List'!V2:V730)</f>
        <v>-0.95849454153367575</v>
      </c>
      <c r="J410" s="38">
        <f>(VLOOKUP($A410,'The List'!$B1:$AH730,22,FALSE)-AVERAGE('The List'!W2:W730))/STDEV('The List'!W2:W730)</f>
        <v>-0.69034263717719579</v>
      </c>
      <c r="K410" s="38">
        <f>(VLOOKUP($A410,'The List'!$B1:$AH730,23,FALSE)-AVERAGE('The List'!X2:X730))/STDEV('The List'!X2:X730)</f>
        <v>-0.78196509511846102</v>
      </c>
      <c r="L410" s="38">
        <f>(VLOOKUP($A410,'The List'!$B1:$AH730,24,FALSE)-AVERAGE('The List'!Y2:Y730))/STDEV('The List'!Y2:Y730)</f>
        <v>1.7039052420522123</v>
      </c>
      <c r="M410" s="38">
        <f>(VLOOKUP($A410,'The List'!$B1:$AH730,25,FALSE)-AVERAGE('The List'!Z2:Z730))/STDEV('The List'!Z2:Z730)</f>
        <v>1.0361769677680337</v>
      </c>
      <c r="N410" s="38">
        <f>(VLOOKUP($A410,'The List'!$B1:$AH730,26,FALSE)-AVERAGE('The List'!AA2:AA730))/STDEV('The List'!AA2:AA730)</f>
        <v>-0.27657883979224213</v>
      </c>
      <c r="O410" s="38">
        <f>(VLOOKUP($A410,'The List'!$B1:$AH730,27,FALSE)-AVERAGE('The List'!AB2:AB730))/STDEV('The List'!AB2:AB730)</f>
        <v>-1.1460560326786406</v>
      </c>
      <c r="P410" s="38">
        <f>(VLOOKUP($A410,'The List'!$B1:$AH730,28,FALSE)-AVERAGE('The List'!AC2:AC730))/STDEV('The List'!AC2:AC730)</f>
        <v>-2.2213027791809306</v>
      </c>
      <c r="Q410" s="38">
        <f>(VLOOKUP($A410,'The List'!$B1:$AH730,29,FALSE)-AVERAGE('The List'!AD2:AD730))/STDEV('The List'!AD2:AD730)</f>
        <v>-1.4197979869700001</v>
      </c>
      <c r="R410" s="38">
        <f>(VLOOKUP($A410,'The List'!$B1:$AH730,30,FALSE)-AVERAGE('The List'!AE2:AE730))/STDEV('The List'!AE2:AE730)</f>
        <v>-0.5551336079084227</v>
      </c>
      <c r="S410" s="38">
        <f>(VLOOKUP($A410,'The List'!$B1:$AH730,31,FALSE)-AVERAGE('The List'!AF2:AF730))/STDEV('The List'!AF2:AF730)</f>
        <v>1.1782997597905283</v>
      </c>
      <c r="T410" s="38">
        <f>(VLOOKUP($A410,'The List'!$B1:$AH730,32,FALSE)-AVERAGE('The List'!AG2:AG730))/STDEV('The List'!AG2:AG730)</f>
        <v>1.5283986393684006</v>
      </c>
      <c r="U410" s="38">
        <f>(VLOOKUP($A410,'The List'!$B1:$AH730,33,FALSE)-AVERAGE('The List'!AH2:AH730))/STDEV('The List'!AH2:AH730)</f>
        <v>0.84728807813536045</v>
      </c>
      <c r="V410" s="38"/>
      <c r="W410" s="40"/>
      <c r="X410" s="38"/>
      <c r="Y410" s="38"/>
      <c r="Z410" s="38"/>
      <c r="AA410" s="38"/>
      <c r="AB410" s="38"/>
      <c r="AC410" s="38"/>
      <c r="AD410" s="38"/>
      <c r="AE410" s="38"/>
    </row>
    <row r="411" spans="1:31" ht="21.2" customHeight="1">
      <c r="A411" s="8" t="s">
        <v>673</v>
      </c>
      <c r="B411" s="34" t="str">
        <f>VLOOKUP(A411,'Player Data'!A1:B734,2,FALSE)</f>
        <v>PHI</v>
      </c>
      <c r="C411" s="36">
        <f>((E411)*Settings!$C$12)+(F411*Settings!$C$2)+(G411*Settings!$C$3)+(H411*Settings!$C$4)+(I411*Settings!$C$5)+(K411*Settings!$C$9)+(N411*Settings!$C$6)+(J411*Settings!$C$8)+(O411*Settings!$C$7)+(P411*Settings!$C$14)+(Q411*Settings!$C$15)+(R411*Settings!$C$16)+(S411*Settings!$C$17)+(T411*Settings!$C$18)+(U411*Settings!$C$19)+(L411*Settings!$C$10)+(Settings!$C$11*M411)</f>
        <v>-2.6193532114010392</v>
      </c>
      <c r="D411" s="40">
        <f>IF(Settings!$E$12="YES",VLOOKUP(A411,'Player Data'!A1:E734,5,FALSE),82)</f>
        <v>82</v>
      </c>
      <c r="E411" s="38">
        <f>(VLOOKUP($A411,'The List'!$B1:$AH730,17,FALSE)-AVERAGE('The List'!R2:R730))/STDEV('The List'!R2:R730)</f>
        <v>-0.95562835568264815</v>
      </c>
      <c r="F411" s="38">
        <f>(VLOOKUP($A411,'The List'!$B1:$AH730,18,FALSE)-AVERAGE('The List'!S2:S730))/STDEV('The List'!S2:S730)</f>
        <v>-8.647689344987787E-2</v>
      </c>
      <c r="G411" s="38">
        <f>(VLOOKUP($A411,'The List'!$B1:$AH730,19,FALSE)-AVERAGE('The List'!T2:T730))/STDEV('The List'!T2:T730)</f>
        <v>-0.87238575016561859</v>
      </c>
      <c r="H411" s="38">
        <f>(VLOOKUP($A411,'The List'!$B1:$AH730,20,FALSE)-AVERAGE('The List'!U2:U730))/STDEV('The List'!U2:U730)</f>
        <v>-0.57631614483339322</v>
      </c>
      <c r="I411" s="38">
        <f>(VLOOKUP($A411,'The List'!$B1:$AH730,21,FALSE)-AVERAGE('The List'!V2:V730))/STDEV('The List'!V2:V730)</f>
        <v>-0.34177949867129781</v>
      </c>
      <c r="J411" s="38">
        <f>(VLOOKUP($A411,'The List'!$B1:$AH730,22,FALSE)-AVERAGE('The List'!W2:W730))/STDEV('The List'!W2:W730)</f>
        <v>-0.63417695352466863</v>
      </c>
      <c r="K411" s="38">
        <f>(VLOOKUP($A411,'The List'!$B1:$AH730,23,FALSE)-AVERAGE('The List'!X2:X730))/STDEV('The List'!X2:X730)</f>
        <v>-0.74239492428085174</v>
      </c>
      <c r="L411" s="38">
        <f>(VLOOKUP($A411,'The List'!$B1:$AH730,24,FALSE)-AVERAGE('The List'!Y2:Y730))/STDEV('The List'!Y2:Y730)</f>
        <v>-0.51362497172334609</v>
      </c>
      <c r="M411" s="38">
        <f>(VLOOKUP($A411,'The List'!$B1:$AH730,25,FALSE)-AVERAGE('The List'!Z2:Z730))/STDEV('The List'!Z2:Z730)</f>
        <v>-0.69009707895023442</v>
      </c>
      <c r="N411" s="38">
        <f>(VLOOKUP($A411,'The List'!$B1:$AH730,26,FALSE)-AVERAGE('The List'!AA2:AA730))/STDEV('The List'!AA2:AA730)</f>
        <v>0.20527553676336066</v>
      </c>
      <c r="O411" s="38">
        <f>(VLOOKUP($A411,'The List'!$B1:$AH730,27,FALSE)-AVERAGE('The List'!AB2:AB730))/STDEV('The List'!AB2:AB730)</f>
        <v>2.3323443500250121</v>
      </c>
      <c r="P411" s="38">
        <f>(VLOOKUP($A411,'The List'!$B1:$AH730,28,FALSE)-AVERAGE('The List'!AC2:AC730))/STDEV('The List'!AC2:AC730)</f>
        <v>-1.3343193919367968</v>
      </c>
      <c r="Q411" s="38">
        <f>(VLOOKUP($A411,'The List'!$B1:$AH730,29,FALSE)-AVERAGE('The List'!AD2:AD730))/STDEV('The List'!AD2:AD730)</f>
        <v>-0.21985921185424373</v>
      </c>
      <c r="R411" s="38">
        <f>(VLOOKUP($A411,'The List'!$B1:$AH730,30,FALSE)-AVERAGE('The List'!AE2:AE730))/STDEV('The List'!AE2:AE730)</f>
        <v>-0.26910521968091161</v>
      </c>
      <c r="S411" s="38">
        <f>(VLOOKUP($A411,'The List'!$B1:$AH730,31,FALSE)-AVERAGE('The List'!AF2:AF730))/STDEV('The List'!AF2:AF730)</f>
        <v>-0.5635956895421399</v>
      </c>
      <c r="T411" s="38">
        <f>(VLOOKUP($A411,'The List'!$B1:$AH730,32,FALSE)-AVERAGE('The List'!AG2:AG730))/STDEV('The List'!AG2:AG730)</f>
        <v>-0.58100684589312557</v>
      </c>
      <c r="U411" s="38">
        <f>(VLOOKUP($A411,'The List'!$B1:$AH730,33,FALSE)-AVERAGE('The List'!AH2:AH730))/STDEV('The List'!AH2:AH730)</f>
        <v>-0.57975192898453709</v>
      </c>
      <c r="V411" s="38"/>
      <c r="W411" s="42"/>
      <c r="X411" s="40"/>
      <c r="Y411" s="40"/>
      <c r="Z411" s="40"/>
      <c r="AA411" s="40"/>
      <c r="AB411" s="40"/>
      <c r="AC411" s="43"/>
      <c r="AD411" s="44"/>
      <c r="AE411" s="38"/>
    </row>
    <row r="412" spans="1:31" ht="21.2" customHeight="1">
      <c r="A412" s="8" t="s">
        <v>392</v>
      </c>
      <c r="B412" s="34" t="str">
        <f>VLOOKUP(A412,'Player Data'!A1:B734,2,FALSE)</f>
        <v>PIT</v>
      </c>
      <c r="C412" s="36">
        <f>((E412)*Settings!$C$12)+(F412*Settings!$C$2)+(G412*Settings!$C$3)+(H412*Settings!$C$4)+(I412*Settings!$C$5)+(K412*Settings!$C$9)+(N412*Settings!$C$6)+(J412*Settings!$C$8)+(O412*Settings!$C$7)+(P412*Settings!$C$14)+(Q412*Settings!$C$15)+(R412*Settings!$C$16)+(S412*Settings!$C$17)+(T412*Settings!$C$18)+(U412*Settings!$C$19)+(L412*Settings!$C$10)+(Settings!$C$11*M412)</f>
        <v>-3.1263685611758247</v>
      </c>
      <c r="D412" s="40">
        <f>IF(Settings!$E$12="YES",VLOOKUP(A412,'Player Data'!A1:E734,5,FALSE),82)</f>
        <v>82</v>
      </c>
      <c r="E412" s="38">
        <f>(VLOOKUP($A412,'The List'!$B1:$AH730,17,FALSE)-AVERAGE('The List'!R2:R730))/STDEV('The List'!R2:R730)</f>
        <v>0.92037426024347346</v>
      </c>
      <c r="F412" s="38">
        <f>(VLOOKUP($A412,'The List'!$B1:$AH730,18,FALSE)-AVERAGE('The List'!S2:S730))/STDEV('The List'!S2:S730)</f>
        <v>-1.0865228438448218</v>
      </c>
      <c r="G412" s="38">
        <f>(VLOOKUP($A412,'The List'!$B1:$AH730,19,FALSE)-AVERAGE('The List'!T2:T730))/STDEV('The List'!T2:T730)</f>
        <v>-0.1173105462146722</v>
      </c>
      <c r="H412" s="38">
        <f>(VLOOKUP($A412,'The List'!$B1:$AH730,20,FALSE)-AVERAGE('The List'!U2:U730))/STDEV('The List'!U2:U730)</f>
        <v>-0.57718721715956356</v>
      </c>
      <c r="I412" s="38">
        <f>(VLOOKUP($A412,'The List'!$B1:$AH730,21,FALSE)-AVERAGE('The List'!V2:V730))/STDEV('The List'!V2:V730)</f>
        <v>-0.54146293000846957</v>
      </c>
      <c r="J412" s="38">
        <f>(VLOOKUP($A412,'The List'!$B1:$AH730,22,FALSE)-AVERAGE('The List'!W2:W730))/STDEV('The List'!W2:W730)</f>
        <v>-0.72800012170031425</v>
      </c>
      <c r="K412" s="38">
        <f>(VLOOKUP($A412,'The List'!$B1:$AH730,23,FALSE)-AVERAGE('The List'!X2:X730))/STDEV('The List'!X2:X730)</f>
        <v>-0.80388502394829775</v>
      </c>
      <c r="L412" s="38">
        <f>(VLOOKUP($A412,'The List'!$B1:$AH730,24,FALSE)-AVERAGE('The List'!Y2:Y730))/STDEV('The List'!Y2:Y730)</f>
        <v>-0.45231029982209586</v>
      </c>
      <c r="M412" s="38">
        <f>(VLOOKUP($A412,'The List'!$B1:$AH730,25,FALSE)-AVERAGE('The List'!Z2:Z730))/STDEV('The List'!Z2:Z730)</f>
        <v>-0.39973305365071959</v>
      </c>
      <c r="N412" s="38">
        <f>(VLOOKUP($A412,'The List'!$B1:$AH730,26,FALSE)-AVERAGE('The List'!AA2:AA730))/STDEV('The List'!AA2:AA730)</f>
        <v>1.846230481962031</v>
      </c>
      <c r="O412" s="38">
        <f>(VLOOKUP($A412,'The List'!$B1:$AH730,27,FALSE)-AVERAGE('The List'!AB2:AB730))/STDEV('The List'!AB2:AB730)</f>
        <v>0.9928598645013611</v>
      </c>
      <c r="P412" s="38">
        <f>(VLOOKUP($A412,'The List'!$B1:$AH730,28,FALSE)-AVERAGE('The List'!AC2:AC730))/STDEV('The List'!AC2:AC730)</f>
        <v>0.6211263502893255</v>
      </c>
      <c r="Q412" s="38">
        <f>(VLOOKUP($A412,'The List'!$B1:$AH730,29,FALSE)-AVERAGE('The List'!AD2:AD730))/STDEV('The List'!AD2:AD730)</f>
        <v>1.1537727090733219</v>
      </c>
      <c r="R412" s="38">
        <f>(VLOOKUP($A412,'The List'!$B1:$AH730,30,FALSE)-AVERAGE('The List'!AE2:AE730))/STDEV('The List'!AE2:AE730)</f>
        <v>-0.95529039258854431</v>
      </c>
      <c r="S412" s="38">
        <f>(VLOOKUP($A412,'The List'!$B1:$AH730,31,FALSE)-AVERAGE('The List'!AF2:AF730))/STDEV('The List'!AF2:AF730)</f>
        <v>-0.56911587195029545</v>
      </c>
      <c r="T412" s="38">
        <f>(VLOOKUP($A412,'The List'!$B1:$AH730,32,FALSE)-AVERAGE('The List'!AG2:AG730))/STDEV('The List'!AG2:AG730)</f>
        <v>-0.61510119871956948</v>
      </c>
      <c r="U412" s="38">
        <f>(VLOOKUP($A412,'The List'!$B1:$AH730,33,FALSE)-AVERAGE('The List'!AH2:AH730))/STDEV('The List'!AH2:AH730)</f>
        <v>-1.2363238714825984</v>
      </c>
      <c r="V412" s="38"/>
      <c r="W412" s="40"/>
      <c r="X412" s="38"/>
      <c r="Y412" s="38"/>
      <c r="Z412" s="38"/>
      <c r="AA412" s="38"/>
      <c r="AB412" s="38"/>
      <c r="AC412" s="38"/>
      <c r="AD412" s="38"/>
      <c r="AE412" s="38"/>
    </row>
    <row r="413" spans="1:31" ht="21.2" customHeight="1">
      <c r="A413" s="8" t="s">
        <v>386</v>
      </c>
      <c r="B413" s="34" t="str">
        <f>VLOOKUP(A413,'Player Data'!A1:B734,2,FALSE)</f>
        <v>UFA</v>
      </c>
      <c r="C413" s="36">
        <f>((E413)*Settings!$C$12)+(F413*Settings!$C$2)+(G413*Settings!$C$3)+(H413*Settings!$C$4)+(I413*Settings!$C$5)+(K413*Settings!$C$9)+(N413*Settings!$C$6)+(J413*Settings!$C$8)+(O413*Settings!$C$7)+(P413*Settings!$C$14)+(Q413*Settings!$C$15)+(R413*Settings!$C$16)+(S413*Settings!$C$17)+(T413*Settings!$C$18)+(U413*Settings!$C$19)+(L413*Settings!$C$10)+(Settings!$C$11*M413)</f>
        <v>-2.6988792595058766</v>
      </c>
      <c r="D413" s="40">
        <f>IF(Settings!$E$12="YES",VLOOKUP(A413,'Player Data'!A1:E734,5,FALSE),82)</f>
        <v>82</v>
      </c>
      <c r="E413" s="38">
        <f>(VLOOKUP($A413,'The List'!$B1:$AH730,17,FALSE)-AVERAGE('The List'!R2:R730))/STDEV('The List'!R2:R730)</f>
        <v>1.4017986069329613</v>
      </c>
      <c r="F413" s="38">
        <f>(VLOOKUP($A413,'The List'!$B1:$AH730,18,FALSE)-AVERAGE('The List'!S2:S730))/STDEV('The List'!S2:S730)</f>
        <v>-0.71561470727614396</v>
      </c>
      <c r="G413" s="38">
        <f>(VLOOKUP($A413,'The List'!$B1:$AH730,19,FALSE)-AVERAGE('The List'!T2:T730))/STDEV('The List'!T2:T730)</f>
        <v>-0.40152064130061194</v>
      </c>
      <c r="H413" s="38">
        <f>(VLOOKUP($A413,'The List'!$B1:$AH730,20,FALSE)-AVERAGE('The List'!U2:U730))/STDEV('The List'!U2:U730)</f>
        <v>-0.57942027549454234</v>
      </c>
      <c r="I413" s="38">
        <f>(VLOOKUP($A413,'The List'!$B1:$AH730,21,FALSE)-AVERAGE('The List'!V2:V730))/STDEV('The List'!V2:V730)</f>
        <v>-0.3630214419668093</v>
      </c>
      <c r="J413" s="38">
        <f>(VLOOKUP($A413,'The List'!$B1:$AH730,22,FALSE)-AVERAGE('The List'!W2:W730))/STDEV('The List'!W2:W730)</f>
        <v>-0.6464352582019155</v>
      </c>
      <c r="K413" s="38">
        <f>(VLOOKUP($A413,'The List'!$B1:$AH730,23,FALSE)-AVERAGE('The List'!X2:X730))/STDEV('The List'!X2:X730)</f>
        <v>-0.63930219346776918</v>
      </c>
      <c r="L413" s="38">
        <f>(VLOOKUP($A413,'The List'!$B1:$AH730,24,FALSE)-AVERAGE('The List'!Y2:Y730))/STDEV('The List'!Y2:Y730)</f>
        <v>-0.50423865111028865</v>
      </c>
      <c r="M413" s="38">
        <f>(VLOOKUP($A413,'The List'!$B1:$AH730,25,FALSE)-AVERAGE('The List'!Z2:Z730))/STDEV('The List'!Z2:Z730)</f>
        <v>-0.61723791527089311</v>
      </c>
      <c r="N413" s="38">
        <f>(VLOOKUP($A413,'The List'!$B1:$AH730,26,FALSE)-AVERAGE('The List'!AA2:AA730))/STDEV('The List'!AA2:AA730)</f>
        <v>1.379996656997738</v>
      </c>
      <c r="O413" s="38">
        <f>(VLOOKUP($A413,'The List'!$B1:$AH730,27,FALSE)-AVERAGE('The List'!AB2:AB730))/STDEV('The List'!AB2:AB730)</f>
        <v>0.27066255721517607</v>
      </c>
      <c r="P413" s="38">
        <f>(VLOOKUP($A413,'The List'!$B1:$AH730,28,FALSE)-AVERAGE('The List'!AC2:AC730))/STDEV('The List'!AC2:AC730)</f>
        <v>-0.85554362817621099</v>
      </c>
      <c r="Q413" s="38">
        <f>(VLOOKUP($A413,'The List'!$B1:$AH730,29,FALSE)-AVERAGE('The List'!AD2:AD730))/STDEV('The List'!AD2:AD730)</f>
        <v>1.8271670369790523</v>
      </c>
      <c r="R413" s="38">
        <f>(VLOOKUP($A413,'The List'!$B1:$AH730,30,FALSE)-AVERAGE('The List'!AE2:AE730))/STDEV('The List'!AE2:AE730)</f>
        <v>-1.2515972607254897</v>
      </c>
      <c r="S413" s="38">
        <f>(VLOOKUP($A413,'The List'!$B1:$AH730,31,FALSE)-AVERAGE('The List'!AF2:AF730))/STDEV('The List'!AF2:AF730)</f>
        <v>-0.56911587195029545</v>
      </c>
      <c r="T413" s="38">
        <f>(VLOOKUP($A413,'The List'!$B1:$AH730,32,FALSE)-AVERAGE('The List'!AG2:AG730))/STDEV('The List'!AG2:AG730)</f>
        <v>-0.61510119871956948</v>
      </c>
      <c r="U413" s="38">
        <f>(VLOOKUP($A413,'The List'!$B1:$AH730,33,FALSE)-AVERAGE('The List'!AH2:AH730))/STDEV('The List'!AH2:AH730)</f>
        <v>-1.2363238714825984</v>
      </c>
      <c r="V413" s="38"/>
      <c r="W413" s="42"/>
      <c r="X413" s="40"/>
      <c r="Y413" s="40"/>
      <c r="Z413" s="40"/>
      <c r="AA413" s="40"/>
      <c r="AB413" s="40"/>
      <c r="AC413" s="43"/>
      <c r="AD413" s="44"/>
      <c r="AE413" s="38"/>
    </row>
    <row r="414" spans="1:31" ht="21.2" customHeight="1">
      <c r="A414" s="8" t="s">
        <v>685</v>
      </c>
      <c r="B414" s="34" t="str">
        <f>VLOOKUP(A414,'Player Data'!A1:B734,2,FALSE)</f>
        <v>CBJ</v>
      </c>
      <c r="C414" s="36">
        <f>((E414)*Settings!$C$12)+(F414*Settings!$C$2)+(G414*Settings!$C$3)+(H414*Settings!$C$4)+(I414*Settings!$C$5)+(K414*Settings!$C$9)+(N414*Settings!$C$6)+(J414*Settings!$C$8)+(O414*Settings!$C$7)+(P414*Settings!$C$14)+(Q414*Settings!$C$15)+(R414*Settings!$C$16)+(S414*Settings!$C$17)+(T414*Settings!$C$18)+(U414*Settings!$C$19)+(L414*Settings!$C$10)+(Settings!$C$11*M414)</f>
        <v>-2.7323736687853604</v>
      </c>
      <c r="D414" s="40">
        <f>IF(Settings!$E$12="YES",VLOOKUP(A414,'Player Data'!A1:E734,5,FALSE),82)</f>
        <v>82</v>
      </c>
      <c r="E414" s="38">
        <f>(VLOOKUP($A414,'The List'!$B1:$AH730,17,FALSE)-AVERAGE('The List'!R2:R730))/STDEV('The List'!R2:R730)</f>
        <v>-1.3991359506254357</v>
      </c>
      <c r="F414" s="38">
        <f>(VLOOKUP($A414,'The List'!$B1:$AH730,18,FALSE)-AVERAGE('The List'!S2:S730))/STDEV('The List'!S2:S730)</f>
        <v>-0.42402864730340012</v>
      </c>
      <c r="G414" s="38">
        <f>(VLOOKUP($A414,'The List'!$B1:$AH730,19,FALSE)-AVERAGE('The List'!T2:T730))/STDEV('The List'!T2:T730)</f>
        <v>-0.62630986153731272</v>
      </c>
      <c r="H414" s="38">
        <f>(VLOOKUP($A414,'The List'!$B1:$AH730,20,FALSE)-AVERAGE('The List'!U2:U730))/STDEV('The List'!U2:U730)</f>
        <v>-0.58201157053910602</v>
      </c>
      <c r="I414" s="38">
        <f>(VLOOKUP($A414,'The List'!$B1:$AH730,21,FALSE)-AVERAGE('The List'!V2:V730))/STDEV('The List'!V2:V730)</f>
        <v>-0.4900755021458662</v>
      </c>
      <c r="J414" s="38">
        <f>(VLOOKUP($A414,'The List'!$B1:$AH730,22,FALSE)-AVERAGE('The List'!W2:W730))/STDEV('The List'!W2:W730)</f>
        <v>-0.45741174063764356</v>
      </c>
      <c r="K414" s="38">
        <f>(VLOOKUP($A414,'The List'!$B1:$AH730,23,FALSE)-AVERAGE('The List'!X2:X730))/STDEV('The List'!X2:X730)</f>
        <v>-0.60994808725967498</v>
      </c>
      <c r="L414" s="38">
        <f>(VLOOKUP($A414,'The List'!$B1:$AH730,24,FALSE)-AVERAGE('The List'!Y2:Y730))/STDEV('The List'!Y2:Y730)</f>
        <v>-0.52515529094994673</v>
      </c>
      <c r="M414" s="38">
        <f>(VLOOKUP($A414,'The List'!$B1:$AH730,25,FALSE)-AVERAGE('The List'!Z2:Z730))/STDEV('The List'!Z2:Z730)</f>
        <v>-0.70378350861314143</v>
      </c>
      <c r="N414" s="38">
        <f>(VLOOKUP($A414,'The List'!$B1:$AH730,26,FALSE)-AVERAGE('The List'!AA2:AA730))/STDEV('The List'!AA2:AA730)</f>
        <v>-0.88267740825195973</v>
      </c>
      <c r="O414" s="38">
        <f>(VLOOKUP($A414,'The List'!$B1:$AH730,27,FALSE)-AVERAGE('The List'!AB2:AB730))/STDEV('The List'!AB2:AB730)</f>
        <v>-0.86239867718956187</v>
      </c>
      <c r="P414" s="38">
        <f>(VLOOKUP($A414,'The List'!$B1:$AH730,28,FALSE)-AVERAGE('The List'!AC2:AC730))/STDEV('The List'!AC2:AC730)</f>
        <v>-1.2237920639027766</v>
      </c>
      <c r="Q414" s="38">
        <f>(VLOOKUP($A414,'The List'!$B1:$AH730,29,FALSE)-AVERAGE('The List'!AD2:AD730))/STDEV('The List'!AD2:AD730)</f>
        <v>-1.4524844931806438</v>
      </c>
      <c r="R414" s="38">
        <f>(VLOOKUP($A414,'The List'!$B1:$AH730,30,FALSE)-AVERAGE('The List'!AE2:AE730))/STDEV('The List'!AE2:AE730)</f>
        <v>-0.59149014301204317</v>
      </c>
      <c r="S414" s="38">
        <f>(VLOOKUP($A414,'The List'!$B1:$AH730,31,FALSE)-AVERAGE('The List'!AF2:AF730))/STDEV('The List'!AF2:AF730)</f>
        <v>-0.5321845930416127</v>
      </c>
      <c r="T414" s="38">
        <f>(VLOOKUP($A414,'The List'!$B1:$AH730,32,FALSE)-AVERAGE('The List'!AG2:AG730))/STDEV('The List'!AG2:AG730)</f>
        <v>-0.55328460817585667</v>
      </c>
      <c r="U414" s="38">
        <f>(VLOOKUP($A414,'The List'!$B1:$AH730,33,FALSE)-AVERAGE('The List'!AH2:AH730))/STDEV('The List'!AH2:AH730)</f>
        <v>0.50530955315802262</v>
      </c>
      <c r="V414" s="38"/>
      <c r="W414" s="42"/>
      <c r="X414" s="40"/>
      <c r="Y414" s="40"/>
      <c r="Z414" s="40"/>
      <c r="AA414" s="40"/>
      <c r="AB414" s="40"/>
      <c r="AC414" s="43"/>
      <c r="AD414" s="44"/>
      <c r="AE414" s="38"/>
    </row>
    <row r="415" spans="1:31" ht="21.2" customHeight="1">
      <c r="A415" s="8" t="s">
        <v>342</v>
      </c>
      <c r="B415" s="34" t="str">
        <f>VLOOKUP(A415,'Player Data'!A1:B734,2,FALSE)</f>
        <v>NYI</v>
      </c>
      <c r="C415" s="36">
        <f>((E415)*Settings!$C$12)+(F415*Settings!$C$2)+(G415*Settings!$C$3)+(H415*Settings!$C$4)+(I415*Settings!$C$5)+(K415*Settings!$C$9)+(N415*Settings!$C$6)+(J415*Settings!$C$8)+(O415*Settings!$C$7)+(P415*Settings!$C$14)+(Q415*Settings!$C$15)+(R415*Settings!$C$16)+(S415*Settings!$C$17)+(T415*Settings!$C$18)+(U415*Settings!$C$19)+(L415*Settings!$C$10)+(Settings!$C$11*M415)</f>
        <v>-2.2281052678362059</v>
      </c>
      <c r="D415" s="40">
        <f>IF(Settings!$E$12="YES",VLOOKUP(A415,'Player Data'!A1:E734,5,FALSE),82)</f>
        <v>82</v>
      </c>
      <c r="E415" s="38">
        <f>(VLOOKUP($A415,'The List'!$B1:$AH730,17,FALSE)-AVERAGE('The List'!R2:R730))/STDEV('The List'!R2:R730)</f>
        <v>1.1559690482915566</v>
      </c>
      <c r="F415" s="38">
        <f>(VLOOKUP($A415,'The List'!$B1:$AH730,18,FALSE)-AVERAGE('The List'!S2:S730))/STDEV('The List'!S2:S730)</f>
        <v>-0.90035597087202579</v>
      </c>
      <c r="G415" s="38">
        <f>(VLOOKUP($A415,'The List'!$B1:$AH730,19,FALSE)-AVERAGE('The List'!T2:T730))/STDEV('The List'!T2:T730)</f>
        <v>-0.26776964156757332</v>
      </c>
      <c r="H415" s="38">
        <f>(VLOOKUP($A415,'The List'!$B1:$AH730,20,FALSE)-AVERAGE('The List'!U2:U730))/STDEV('The List'!U2:U730)</f>
        <v>-0.58310627358949529</v>
      </c>
      <c r="I415" s="38">
        <f>(VLOOKUP($A415,'The List'!$B1:$AH730,21,FALSE)-AVERAGE('The List'!V2:V730))/STDEV('The List'!V2:V730)</f>
        <v>-8.0541737827660248E-2</v>
      </c>
      <c r="J415" s="38">
        <f>(VLOOKUP($A415,'The List'!$B1:$AH730,22,FALSE)-AVERAGE('The List'!W2:W730))/STDEV('The List'!W2:W730)</f>
        <v>-0.47886500117303993</v>
      </c>
      <c r="K415" s="38">
        <f>(VLOOKUP($A415,'The List'!$B1:$AH730,23,FALSE)-AVERAGE('The List'!X2:X730))/STDEV('The List'!X2:X730)</f>
        <v>-0.39633164397945153</v>
      </c>
      <c r="L415" s="38">
        <f>(VLOOKUP($A415,'The List'!$B1:$AH730,24,FALSE)-AVERAGE('The List'!Y2:Y730))/STDEV('The List'!Y2:Y730)</f>
        <v>-0.48846624445294851</v>
      </c>
      <c r="M415" s="38">
        <f>(VLOOKUP($A415,'The List'!$B1:$AH730,25,FALSE)-AVERAGE('The List'!Z2:Z730))/STDEV('The List'!Z2:Z730)</f>
        <v>-0.27815323294185096</v>
      </c>
      <c r="N415" s="38">
        <f>(VLOOKUP($A415,'The List'!$B1:$AH730,26,FALSE)-AVERAGE('The List'!AA2:AA730))/STDEV('The List'!AA2:AA730)</f>
        <v>1.8491217267794098</v>
      </c>
      <c r="O415" s="38">
        <f>(VLOOKUP($A415,'The List'!$B1:$AH730,27,FALSE)-AVERAGE('The List'!AB2:AB730))/STDEV('The List'!AB2:AB730)</f>
        <v>0.69947162883314351</v>
      </c>
      <c r="P415" s="38">
        <f>(VLOOKUP($A415,'The List'!$B1:$AH730,28,FALSE)-AVERAGE('The List'!AC2:AC730))/STDEV('The List'!AC2:AC730)</f>
        <v>0.17764661183107455</v>
      </c>
      <c r="Q415" s="38">
        <f>(VLOOKUP($A415,'The List'!$B1:$AH730,29,FALSE)-AVERAGE('The List'!AD2:AD730))/STDEV('The List'!AD2:AD730)</f>
        <v>-1.287172553129176</v>
      </c>
      <c r="R415" s="38">
        <f>(VLOOKUP($A415,'The List'!$B1:$AH730,30,FALSE)-AVERAGE('The List'!AE2:AE730))/STDEV('The List'!AE2:AE730)</f>
        <v>-0.77902789523498317</v>
      </c>
      <c r="S415" s="38">
        <f>(VLOOKUP($A415,'The List'!$B1:$AH730,31,FALSE)-AVERAGE('The List'!AF2:AF730))/STDEV('The List'!AF2:AF730)</f>
        <v>-0.56911587195029545</v>
      </c>
      <c r="T415" s="38">
        <f>(VLOOKUP($A415,'The List'!$B1:$AH730,32,FALSE)-AVERAGE('The List'!AG2:AG730))/STDEV('The List'!AG2:AG730)</f>
        <v>-0.61510119871956948</v>
      </c>
      <c r="U415" s="38">
        <f>(VLOOKUP($A415,'The List'!$B1:$AH730,33,FALSE)-AVERAGE('The List'!AH2:AH730))/STDEV('The List'!AH2:AH730)</f>
        <v>-1.2363238714825984</v>
      </c>
      <c r="V415" s="38"/>
      <c r="W415" s="42"/>
      <c r="X415" s="40"/>
      <c r="Y415" s="40"/>
      <c r="Z415" s="40"/>
      <c r="AA415" s="40"/>
      <c r="AB415" s="40"/>
      <c r="AC415" s="43"/>
      <c r="AD415" s="44"/>
      <c r="AE415" s="38"/>
    </row>
    <row r="416" spans="1:31" ht="21.2" customHeight="1">
      <c r="A416" s="8" t="s">
        <v>696</v>
      </c>
      <c r="B416" s="34" t="str">
        <f>VLOOKUP(A416,'Player Data'!A1:B734,2,FALSE)</f>
        <v>VAN</v>
      </c>
      <c r="C416" s="36">
        <f>((E416)*Settings!$C$12)+(F416*Settings!$C$2)+(G416*Settings!$C$3)+(H416*Settings!$C$4)+(I416*Settings!$C$5)+(K416*Settings!$C$9)+(N416*Settings!$C$6)+(J416*Settings!$C$8)+(O416*Settings!$C$7)+(P416*Settings!$C$14)+(Q416*Settings!$C$15)+(R416*Settings!$C$16)+(S416*Settings!$C$17)+(T416*Settings!$C$18)+(U416*Settings!$C$19)+(L416*Settings!$C$10)+(Settings!$C$11*M416)</f>
        <v>-2.6329551939783351</v>
      </c>
      <c r="D416" s="40">
        <f>IF(Settings!$E$12="YES",VLOOKUP(A416,'Player Data'!A1:E734,5,FALSE),82)</f>
        <v>82</v>
      </c>
      <c r="E416" s="38">
        <f>(VLOOKUP($A416,'The List'!$B1:$AH730,17,FALSE)-AVERAGE('The List'!R2:R730))/STDEV('The List'!R2:R730)</f>
        <v>-1.0579244543018309</v>
      </c>
      <c r="F416" s="38">
        <f>(VLOOKUP($A416,'The List'!$B1:$AH730,18,FALSE)-AVERAGE('The List'!S2:S730))/STDEV('The List'!S2:S730)</f>
        <v>-0.14286166131265321</v>
      </c>
      <c r="G416" s="38">
        <f>(VLOOKUP($A416,'The List'!$B1:$AH730,19,FALSE)-AVERAGE('The List'!T2:T730))/STDEV('The List'!T2:T730)</f>
        <v>-0.84472989294786383</v>
      </c>
      <c r="H416" s="38">
        <f>(VLOOKUP($A416,'The List'!$B1:$AH730,20,FALSE)-AVERAGE('The List'!U2:U730))/STDEV('The List'!U2:U730)</f>
        <v>-0.58553229600266832</v>
      </c>
      <c r="I416" s="38">
        <f>(VLOOKUP($A416,'The List'!$B1:$AH730,21,FALSE)-AVERAGE('The List'!V2:V730))/STDEV('The List'!V2:V730)</f>
        <v>-0.57733815092898266</v>
      </c>
      <c r="J416" s="38">
        <f>(VLOOKUP($A416,'The List'!$B1:$AH730,22,FALSE)-AVERAGE('The List'!W2:W730))/STDEV('The List'!W2:W730)</f>
        <v>-0.27722086403887308</v>
      </c>
      <c r="K416" s="38">
        <f>(VLOOKUP($A416,'The List'!$B1:$AH730,23,FALSE)-AVERAGE('The List'!X2:X730))/STDEV('The List'!X2:X730)</f>
        <v>-0.48249319278616698</v>
      </c>
      <c r="L416" s="38">
        <f>(VLOOKUP($A416,'The List'!$B1:$AH730,24,FALSE)-AVERAGE('The List'!Y2:Y730))/STDEV('The List'!Y2:Y730)</f>
        <v>-0.511121930257317</v>
      </c>
      <c r="M416" s="38">
        <f>(VLOOKUP($A416,'The List'!$B1:$AH730,25,FALSE)-AVERAGE('The List'!Z2:Z730))/STDEV('The List'!Z2:Z730)</f>
        <v>-0.6866500203926279</v>
      </c>
      <c r="N416" s="38">
        <f>(VLOOKUP($A416,'The List'!$B1:$AH730,26,FALSE)-AVERAGE('The List'!AA2:AA730))/STDEV('The List'!AA2:AA730)</f>
        <v>-0.75958014831164478</v>
      </c>
      <c r="O416" s="38">
        <f>(VLOOKUP($A416,'The List'!$B1:$AH730,27,FALSE)-AVERAGE('The List'!AB2:AB730))/STDEV('The List'!AB2:AB730)</f>
        <v>6.2613820406830736E-2</v>
      </c>
      <c r="P416" s="38">
        <f>(VLOOKUP($A416,'The List'!$B1:$AH730,28,FALSE)-AVERAGE('The List'!AC2:AC730))/STDEV('The List'!AC2:AC730)</f>
        <v>-8.6269549360433982E-3</v>
      </c>
      <c r="Q416" s="38">
        <f>(VLOOKUP($A416,'The List'!$B1:$AH730,29,FALSE)-AVERAGE('The List'!AD2:AD730))/STDEV('The List'!AD2:AD730)</f>
        <v>-0.65393746004179998</v>
      </c>
      <c r="R416" s="38">
        <f>(VLOOKUP($A416,'The List'!$B1:$AH730,30,FALSE)-AVERAGE('The List'!AE2:AE730))/STDEV('The List'!AE2:AE730)</f>
        <v>-0.12036573472625695</v>
      </c>
      <c r="S416" s="38">
        <f>(VLOOKUP($A416,'The List'!$B1:$AH730,31,FALSE)-AVERAGE('The List'!AF2:AF730))/STDEV('The List'!AF2:AF730)</f>
        <v>-0.50783597206289521</v>
      </c>
      <c r="T416" s="38">
        <f>(VLOOKUP($A416,'The List'!$B1:$AH730,32,FALSE)-AVERAGE('The List'!AG2:AG730))/STDEV('The List'!AG2:AG730)</f>
        <v>-0.52866767133347092</v>
      </c>
      <c r="U416" s="38">
        <f>(VLOOKUP($A416,'The List'!$B1:$AH730,33,FALSE)-AVERAGE('The List'!AH2:AH730))/STDEV('The List'!AH2:AH730)</f>
        <v>0.69167754774268631</v>
      </c>
      <c r="V416" s="38"/>
      <c r="W416" s="42"/>
      <c r="X416" s="40"/>
      <c r="Y416" s="40"/>
      <c r="Z416" s="40"/>
      <c r="AA416" s="40"/>
      <c r="AB416" s="40"/>
      <c r="AC416" s="43"/>
      <c r="AD416" s="44"/>
      <c r="AE416" s="38"/>
    </row>
    <row r="417" spans="1:31" ht="21.2" customHeight="1">
      <c r="A417" s="8" t="s">
        <v>733</v>
      </c>
      <c r="B417" s="34" t="str">
        <f>VLOOKUP(A417,'Player Data'!A1:B734,2,FALSE)</f>
        <v>ARI</v>
      </c>
      <c r="C417" s="36">
        <f>((E417)*Settings!$C$12)+(F417*Settings!$C$2)+(G417*Settings!$C$3)+(H417*Settings!$C$4)+(I417*Settings!$C$5)+(K417*Settings!$C$9)+(N417*Settings!$C$6)+(J417*Settings!$C$8)+(O417*Settings!$C$7)+(P417*Settings!$C$14)+(Q417*Settings!$C$15)+(R417*Settings!$C$16)+(S417*Settings!$C$17)+(T417*Settings!$C$18)+(U417*Settings!$C$19)+(L417*Settings!$C$10)+(Settings!$C$11*M417)</f>
        <v>-2.6902452776734291</v>
      </c>
      <c r="D417" s="40">
        <f>IF(Settings!$E$12="YES",VLOOKUP(A417,'Player Data'!A1:E734,5,FALSE),82)</f>
        <v>82</v>
      </c>
      <c r="E417" s="38">
        <f>(VLOOKUP($A417,'The List'!$B1:$AH730,17,FALSE)-AVERAGE('The List'!R2:R730))/STDEV('The List'!R2:R730)</f>
        <v>-1.2055694210963632</v>
      </c>
      <c r="F417" s="38">
        <f>(VLOOKUP($A417,'The List'!$B1:$AH730,18,FALSE)-AVERAGE('The List'!S2:S730))/STDEV('The List'!S2:S730)</f>
        <v>-8.9570123076231772E-2</v>
      </c>
      <c r="G417" s="38">
        <f>(VLOOKUP($A417,'The List'!$B1:$AH730,19,FALSE)-AVERAGE('The List'!T2:T730))/STDEV('The List'!T2:T730)</f>
        <v>-0.88721066490313494</v>
      </c>
      <c r="H417" s="38">
        <f>(VLOOKUP($A417,'The List'!$B1:$AH730,20,FALSE)-AVERAGE('The List'!U2:U730))/STDEV('The List'!U2:U730)</f>
        <v>-0.58686459744354169</v>
      </c>
      <c r="I417" s="38">
        <f>(VLOOKUP($A417,'The List'!$B1:$AH730,21,FALSE)-AVERAGE('The List'!V2:V730))/STDEV('The List'!V2:V730)</f>
        <v>-0.38064255508921918</v>
      </c>
      <c r="J417" s="38">
        <f>(VLOOKUP($A417,'The List'!$B1:$AH730,22,FALSE)-AVERAGE('The List'!W2:W730))/STDEV('The List'!W2:W730)</f>
        <v>-0.65387865871604289</v>
      </c>
      <c r="K417" s="38">
        <f>(VLOOKUP($A417,'The List'!$B1:$AH730,23,FALSE)-AVERAGE('The List'!X2:X730))/STDEV('The List'!X2:X730)</f>
        <v>-0.74595733716130153</v>
      </c>
      <c r="L417" s="38">
        <f>(VLOOKUP($A417,'The List'!$B1:$AH730,24,FALSE)-AVERAGE('The List'!Y2:Y730))/STDEV('The List'!Y2:Y730)</f>
        <v>-0.52243933656978736</v>
      </c>
      <c r="M417" s="38">
        <f>(VLOOKUP($A417,'The List'!$B1:$AH730,25,FALSE)-AVERAGE('The List'!Z2:Z730))/STDEV('The List'!Z2:Z730)</f>
        <v>-0.7006366412269579</v>
      </c>
      <c r="N417" s="38">
        <f>(VLOOKUP($A417,'The List'!$B1:$AH730,26,FALSE)-AVERAGE('The List'!AA2:AA730))/STDEV('The List'!AA2:AA730)</f>
        <v>-0.94802404304715204</v>
      </c>
      <c r="O417" s="38">
        <f>(VLOOKUP($A417,'The List'!$B1:$AH730,27,FALSE)-AVERAGE('The List'!AB2:AB730))/STDEV('The List'!AB2:AB730)</f>
        <v>0.32961008736176689</v>
      </c>
      <c r="P417" s="38">
        <f>(VLOOKUP($A417,'The List'!$B1:$AH730,28,FALSE)-AVERAGE('The List'!AC2:AC730))/STDEV('The List'!AC2:AC730)</f>
        <v>-0.59061413473197111</v>
      </c>
      <c r="Q417" s="38">
        <f>(VLOOKUP($A417,'The List'!$B1:$AH730,29,FALSE)-AVERAGE('The List'!AD2:AD730))/STDEV('The List'!AD2:AD730)</f>
        <v>-0.29445927718743636</v>
      </c>
      <c r="R417" s="38">
        <f>(VLOOKUP($A417,'The List'!$B1:$AH730,30,FALSE)-AVERAGE('The List'!AE2:AE730))/STDEV('The List'!AE2:AE730)</f>
        <v>-0.1993392389455575</v>
      </c>
      <c r="S417" s="38">
        <f>(VLOOKUP($A417,'The List'!$B1:$AH730,31,FALSE)-AVERAGE('The List'!AF2:AF730))/STDEV('The List'!AF2:AF730)</f>
        <v>-0.56911587195029545</v>
      </c>
      <c r="T417" s="38">
        <f>(VLOOKUP($A417,'The List'!$B1:$AH730,32,FALSE)-AVERAGE('The List'!AG2:AG730))/STDEV('The List'!AG2:AG730)</f>
        <v>-0.57324280087683699</v>
      </c>
      <c r="U417" s="38">
        <f>(VLOOKUP($A417,'The List'!$B1:$AH730,33,FALSE)-AVERAGE('The List'!AH2:AH730))/STDEV('The List'!AH2:AH730)</f>
        <v>-1.2363238714825984</v>
      </c>
      <c r="V417" s="38"/>
      <c r="W417" s="42"/>
      <c r="X417" s="40"/>
      <c r="Y417" s="40"/>
      <c r="Z417" s="40"/>
      <c r="AA417" s="40"/>
      <c r="AB417" s="40"/>
      <c r="AC417" s="43"/>
      <c r="AD417" s="44"/>
      <c r="AE417" s="38"/>
    </row>
    <row r="418" spans="1:31" ht="21.2" customHeight="1">
      <c r="A418" s="8" t="s">
        <v>426</v>
      </c>
      <c r="B418" s="34" t="str">
        <f>VLOOKUP(A418,'Player Data'!A1:B734,2,FALSE)</f>
        <v>CBJ</v>
      </c>
      <c r="C418" s="36">
        <f>((E418)*Settings!$C$12)+(F418*Settings!$C$2)+(G418*Settings!$C$3)+(H418*Settings!$C$4)+(I418*Settings!$C$5)+(K418*Settings!$C$9)+(N418*Settings!$C$6)+(J418*Settings!$C$8)+(O418*Settings!$C$7)+(P418*Settings!$C$14)+(Q418*Settings!$C$15)+(R418*Settings!$C$16)+(S418*Settings!$C$17)+(T418*Settings!$C$18)+(U418*Settings!$C$19)+(L418*Settings!$C$10)+(Settings!$C$11*M418)</f>
        <v>-2.7869626266004035</v>
      </c>
      <c r="D418" s="40">
        <f>IF(Settings!$E$12="YES",VLOOKUP(A418,'Player Data'!A1:E734,5,FALSE),82)</f>
        <v>82</v>
      </c>
      <c r="E418" s="38">
        <f>(VLOOKUP($A418,'The List'!$B1:$AH730,17,FALSE)-AVERAGE('The List'!R2:R730))/STDEV('The List'!R2:R730)</f>
        <v>-0.1279189344937102</v>
      </c>
      <c r="F418" s="38">
        <f>(VLOOKUP($A418,'The List'!$B1:$AH730,18,FALSE)-AVERAGE('The List'!S2:S730))/STDEV('The List'!S2:S730)</f>
        <v>-0.91435419584063449</v>
      </c>
      <c r="G418" s="38">
        <f>(VLOOKUP($A418,'The List'!$B1:$AH730,19,FALSE)-AVERAGE('The List'!T2:T730))/STDEV('The List'!T2:T730)</f>
        <v>-0.26517507491939202</v>
      </c>
      <c r="H418" s="38">
        <f>(VLOOKUP($A418,'The List'!$B1:$AH730,20,FALSE)-AVERAGE('The List'!U2:U730))/STDEV('The List'!U2:U730)</f>
        <v>-0.58801920893174864</v>
      </c>
      <c r="I418" s="38">
        <f>(VLOOKUP($A418,'The List'!$B1:$AH730,21,FALSE)-AVERAGE('The List'!V2:V730))/STDEV('The List'!V2:V730)</f>
        <v>-0.51844125147419495</v>
      </c>
      <c r="J418" s="38">
        <f>(VLOOKUP($A418,'The List'!$B1:$AH730,22,FALSE)-AVERAGE('The List'!W2:W730))/STDEV('The List'!W2:W730)</f>
        <v>-0.57957700650811694</v>
      </c>
      <c r="K418" s="38">
        <f>(VLOOKUP($A418,'The List'!$B1:$AH730,23,FALSE)-AVERAGE('The List'!X2:X730))/STDEV('The List'!X2:X730)</f>
        <v>-0.50097289543443324</v>
      </c>
      <c r="L418" s="38">
        <f>(VLOOKUP($A418,'The List'!$B1:$AH730,24,FALSE)-AVERAGE('The List'!Y2:Y730))/STDEV('The List'!Y2:Y730)</f>
        <v>-0.52515529094994673</v>
      </c>
      <c r="M418" s="38">
        <f>(VLOOKUP($A418,'The List'!$B1:$AH730,25,FALSE)-AVERAGE('The List'!Z2:Z730))/STDEV('The List'!Z2:Z730)</f>
        <v>-0.70378350861314143</v>
      </c>
      <c r="N418" s="38">
        <f>(VLOOKUP($A418,'The List'!$B1:$AH730,26,FALSE)-AVERAGE('The List'!AA2:AA730))/STDEV('The List'!AA2:AA730)</f>
        <v>0.61426481303090774</v>
      </c>
      <c r="O418" s="38">
        <f>(VLOOKUP($A418,'The List'!$B1:$AH730,27,FALSE)-AVERAGE('The List'!AB2:AB730))/STDEV('The List'!AB2:AB730)</f>
        <v>-4.706427659623218E-3</v>
      </c>
      <c r="P418" s="38">
        <f>(VLOOKUP($A418,'The List'!$B1:$AH730,28,FALSE)-AVERAGE('The List'!AC2:AC730))/STDEV('The List'!AC2:AC730)</f>
        <v>-4.0135424574237813E-2</v>
      </c>
      <c r="Q418" s="38">
        <f>(VLOOKUP($A418,'The List'!$B1:$AH730,29,FALSE)-AVERAGE('The List'!AD2:AD730))/STDEV('The List'!AD2:AD730)</f>
        <v>-6.3784067363970548E-2</v>
      </c>
      <c r="R418" s="38">
        <f>(VLOOKUP($A418,'The List'!$B1:$AH730,30,FALSE)-AVERAGE('The List'!AE2:AE730))/STDEV('The List'!AE2:AE730)</f>
        <v>-0.93365100401679324</v>
      </c>
      <c r="S418" s="38">
        <f>(VLOOKUP($A418,'The List'!$B1:$AH730,31,FALSE)-AVERAGE('The List'!AF2:AF730))/STDEV('The List'!AF2:AF730)</f>
        <v>-0.56911587195029545</v>
      </c>
      <c r="T418" s="38">
        <f>(VLOOKUP($A418,'The List'!$B1:$AH730,32,FALSE)-AVERAGE('The List'!AG2:AG730))/STDEV('The List'!AG2:AG730)</f>
        <v>-0.61510119871956948</v>
      </c>
      <c r="U418" s="38">
        <f>(VLOOKUP($A418,'The List'!$B1:$AH730,33,FALSE)-AVERAGE('The List'!AH2:AH730))/STDEV('The List'!AH2:AH730)</f>
        <v>-1.2363238714825984</v>
      </c>
      <c r="V418" s="38"/>
      <c r="W418" s="42"/>
      <c r="X418" s="40"/>
      <c r="Y418" s="40"/>
      <c r="Z418" s="40"/>
      <c r="AA418" s="40"/>
      <c r="AB418" s="40"/>
      <c r="AC418" s="43"/>
      <c r="AD418" s="44"/>
      <c r="AE418" s="38"/>
    </row>
    <row r="419" spans="1:31" ht="21.2" customHeight="1">
      <c r="A419" s="8" t="s">
        <v>644</v>
      </c>
      <c r="B419" s="34" t="str">
        <f>VLOOKUP(A419,'Player Data'!A1:B734,2,FALSE)</f>
        <v>COL</v>
      </c>
      <c r="C419" s="36">
        <f>((E419)*Settings!$C$12)+(F419*Settings!$C$2)+(G419*Settings!$C$3)+(H419*Settings!$C$4)+(I419*Settings!$C$5)+(K419*Settings!$C$9)+(N419*Settings!$C$6)+(J419*Settings!$C$8)+(O419*Settings!$C$7)+(P419*Settings!$C$14)+(Q419*Settings!$C$15)+(R419*Settings!$C$16)+(S419*Settings!$C$17)+(T419*Settings!$C$18)+(U419*Settings!$C$19)+(L419*Settings!$C$10)+(Settings!$C$11*M419)</f>
        <v>-3.0930672637696235</v>
      </c>
      <c r="D419" s="40">
        <f>IF(Settings!$E$12="YES",VLOOKUP(A419,'Player Data'!A1:E734,5,FALSE),82)</f>
        <v>82</v>
      </c>
      <c r="E419" s="38">
        <f>(VLOOKUP($A419,'The List'!$B1:$AH730,17,FALSE)-AVERAGE('The List'!R2:R730))/STDEV('The List'!R2:R730)</f>
        <v>-0.7097604048827677</v>
      </c>
      <c r="F419" s="38">
        <f>(VLOOKUP($A419,'The List'!$B1:$AH730,18,FALSE)-AVERAGE('The List'!S2:S730))/STDEV('The List'!S2:S730)</f>
        <v>-0.47975643736478091</v>
      </c>
      <c r="G419" s="38">
        <f>(VLOOKUP($A419,'The List'!$B1:$AH730,19,FALSE)-AVERAGE('The List'!T2:T730))/STDEV('The List'!T2:T730)</f>
        <v>-0.59444414072680218</v>
      </c>
      <c r="H419" s="38">
        <f>(VLOOKUP($A419,'The List'!$B1:$AH730,20,FALSE)-AVERAGE('The List'!U2:U730))/STDEV('The List'!U2:U730)</f>
        <v>-0.58833518360020509</v>
      </c>
      <c r="I419" s="38">
        <f>(VLOOKUP($A419,'The List'!$B1:$AH730,21,FALSE)-AVERAGE('The List'!V2:V730))/STDEV('The List'!V2:V730)</f>
        <v>-0.62121060261979721</v>
      </c>
      <c r="J419" s="38">
        <f>(VLOOKUP($A419,'The List'!$B1:$AH730,22,FALSE)-AVERAGE('The List'!W2:W730))/STDEV('The List'!W2:W730)</f>
        <v>-0.71943659942534299</v>
      </c>
      <c r="K419" s="38">
        <f>(VLOOKUP($A419,'The List'!$B1:$AH730,23,FALSE)-AVERAGE('The List'!X2:X730))/STDEV('The List'!X2:X730)</f>
        <v>-0.80932089945803809</v>
      </c>
      <c r="L419" s="38">
        <f>(VLOOKUP($A419,'The List'!$B1:$AH730,24,FALSE)-AVERAGE('The List'!Y2:Y730))/STDEV('The List'!Y2:Y730)</f>
        <v>2.0070535471852398</v>
      </c>
      <c r="M419" s="38">
        <f>(VLOOKUP($A419,'The List'!$B1:$AH730,25,FALSE)-AVERAGE('The List'!Z2:Z730))/STDEV('The List'!Z2:Z730)</f>
        <v>2.5002436245367541</v>
      </c>
      <c r="N419" s="38">
        <f>(VLOOKUP($A419,'The List'!$B1:$AH730,26,FALSE)-AVERAGE('The List'!AA2:AA730))/STDEV('The List'!AA2:AA730)</f>
        <v>-0.38574332498477404</v>
      </c>
      <c r="O419" s="38">
        <f>(VLOOKUP($A419,'The List'!$B1:$AH730,27,FALSE)-AVERAGE('The List'!AB2:AB730))/STDEV('The List'!AB2:AB730)</f>
        <v>8.6971089360815532E-2</v>
      </c>
      <c r="P419" s="38">
        <f>(VLOOKUP($A419,'The List'!$B1:$AH730,28,FALSE)-AVERAGE('The List'!AC2:AC730))/STDEV('The List'!AC2:AC730)</f>
        <v>0.91580198558458081</v>
      </c>
      <c r="Q419" s="38">
        <f>(VLOOKUP($A419,'The List'!$B1:$AH730,29,FALSE)-AVERAGE('The List'!AD2:AD730))/STDEV('The List'!AD2:AD730)</f>
        <v>2.3365477351950048E-2</v>
      </c>
      <c r="R419" s="38">
        <f>(VLOOKUP($A419,'The List'!$B1:$AH730,30,FALSE)-AVERAGE('The List'!AE2:AE730))/STDEV('The List'!AE2:AE730)</f>
        <v>-0.33437952546808741</v>
      </c>
      <c r="S419" s="38">
        <f>(VLOOKUP($A419,'The List'!$B1:$AH730,31,FALSE)-AVERAGE('The List'!AF2:AF730))/STDEV('The List'!AF2:AF730)</f>
        <v>-0.55549762176104744</v>
      </c>
      <c r="T419" s="38">
        <f>(VLOOKUP($A419,'The List'!$B1:$AH730,32,FALSE)-AVERAGE('The List'!AG2:AG730))/STDEV('The List'!AG2:AG730)</f>
        <v>-0.56223218363058813</v>
      </c>
      <c r="U419" s="38">
        <f>(VLOOKUP($A419,'The List'!$B1:$AH730,33,FALSE)-AVERAGE('The List'!AH2:AH730))/STDEV('The List'!AH2:AH730)</f>
        <v>-0.27440375209566331</v>
      </c>
      <c r="V419" s="38"/>
      <c r="W419" s="42"/>
      <c r="X419" s="40"/>
      <c r="Y419" s="40"/>
      <c r="Z419" s="40"/>
      <c r="AA419" s="40"/>
      <c r="AB419" s="40"/>
      <c r="AC419" s="43"/>
      <c r="AD419" s="44"/>
      <c r="AE419" s="38"/>
    </row>
    <row r="420" spans="1:31" ht="21.2" customHeight="1">
      <c r="A420" s="8" t="s">
        <v>526</v>
      </c>
      <c r="B420" s="34" t="str">
        <f>VLOOKUP(A420,'Player Data'!A1:B734,2,FALSE)</f>
        <v>STL</v>
      </c>
      <c r="C420" s="36">
        <f>((E420)*Settings!$C$12)+(F420*Settings!$C$2)+(G420*Settings!$C$3)+(H420*Settings!$C$4)+(I420*Settings!$C$5)+(K420*Settings!$C$9)+(N420*Settings!$C$6)+(J420*Settings!$C$8)+(O420*Settings!$C$7)+(P420*Settings!$C$14)+(Q420*Settings!$C$15)+(R420*Settings!$C$16)+(S420*Settings!$C$17)+(T420*Settings!$C$18)+(U420*Settings!$C$19)+(L420*Settings!$C$10)+(Settings!$C$11*M420)</f>
        <v>-3.271870409352478</v>
      </c>
      <c r="D420" s="40">
        <f>IF(Settings!$E$12="YES",VLOOKUP(A420,'Player Data'!A1:E734,5,FALSE),82)</f>
        <v>82</v>
      </c>
      <c r="E420" s="38">
        <f>(VLOOKUP($A420,'The List'!$B1:$AH730,17,FALSE)-AVERAGE('The List'!R2:R730))/STDEV('The List'!R2:R730)</f>
        <v>-0.26367202144155683</v>
      </c>
      <c r="F420" s="38">
        <f>(VLOOKUP($A420,'The List'!$B1:$AH730,18,FALSE)-AVERAGE('The List'!S2:S730))/STDEV('The List'!S2:S730)</f>
        <v>-0.52013791020267541</v>
      </c>
      <c r="G420" s="38">
        <f>(VLOOKUP($A420,'The List'!$B1:$AH730,19,FALSE)-AVERAGE('The List'!T2:T730))/STDEV('The List'!T2:T730)</f>
        <v>-0.56723640416629517</v>
      </c>
      <c r="H420" s="38">
        <f>(VLOOKUP($A420,'The List'!$B1:$AH730,20,FALSE)-AVERAGE('The List'!U2:U730))/STDEV('The List'!U2:U730)</f>
        <v>-0.59038722074332151</v>
      </c>
      <c r="I420" s="38">
        <f>(VLOOKUP($A420,'The List'!$B1:$AH730,21,FALSE)-AVERAGE('The List'!V2:V730))/STDEV('The List'!V2:V730)</f>
        <v>-0.78138548139072939</v>
      </c>
      <c r="J420" s="38">
        <f>(VLOOKUP($A420,'The List'!$B1:$AH730,22,FALSE)-AVERAGE('The List'!W2:W730))/STDEV('The List'!W2:W730)</f>
        <v>-0.731869030520366</v>
      </c>
      <c r="K420" s="38">
        <f>(VLOOKUP($A420,'The List'!$B1:$AH730,23,FALSE)-AVERAGE('The List'!X2:X730))/STDEV('The List'!X2:X730)</f>
        <v>-0.81272339284945683</v>
      </c>
      <c r="L420" s="38">
        <f>(VLOOKUP($A420,'The List'!$B1:$AH730,24,FALSE)-AVERAGE('The List'!Y2:Y730))/STDEV('The List'!Y2:Y730)</f>
        <v>-0.46072946416426364</v>
      </c>
      <c r="M420" s="38">
        <f>(VLOOKUP($A420,'The List'!$B1:$AH730,25,FALSE)-AVERAGE('The List'!Z2:Z730))/STDEV('The List'!Z2:Z730)</f>
        <v>-0.54087769810448583</v>
      </c>
      <c r="N420" s="38">
        <f>(VLOOKUP($A420,'The List'!$B1:$AH730,26,FALSE)-AVERAGE('The List'!AA2:AA730))/STDEV('The List'!AA2:AA730)</f>
        <v>0.59575340681999023</v>
      </c>
      <c r="O420" s="38">
        <f>(VLOOKUP($A420,'The List'!$B1:$AH730,27,FALSE)-AVERAGE('The List'!AB2:AB730))/STDEV('The List'!AB2:AB730)</f>
        <v>-0.86897922203704836</v>
      </c>
      <c r="P420" s="38">
        <f>(VLOOKUP($A420,'The List'!$B1:$AH730,28,FALSE)-AVERAGE('The List'!AC2:AC730))/STDEV('The List'!AC2:AC730)</f>
        <v>-0.56049404651085133</v>
      </c>
      <c r="Q420" s="38">
        <f>(VLOOKUP($A420,'The List'!$B1:$AH730,29,FALSE)-AVERAGE('The List'!AD2:AD730))/STDEV('The List'!AD2:AD730)</f>
        <v>-0.89214900775677886</v>
      </c>
      <c r="R420" s="38">
        <f>(VLOOKUP($A420,'The List'!$B1:$AH730,30,FALSE)-AVERAGE('The List'!AE2:AE730))/STDEV('The List'!AE2:AE730)</f>
        <v>-0.61474870369973733</v>
      </c>
      <c r="S420" s="38">
        <f>(VLOOKUP($A420,'The List'!$B1:$AH730,31,FALSE)-AVERAGE('The List'!AF2:AF730))/STDEV('The List'!AF2:AF730)</f>
        <v>-0.56911587195029545</v>
      </c>
      <c r="T420" s="38">
        <f>(VLOOKUP($A420,'The List'!$B1:$AH730,32,FALSE)-AVERAGE('The List'!AG2:AG730))/STDEV('The List'!AG2:AG730)</f>
        <v>-0.61510119871956948</v>
      </c>
      <c r="U420" s="38">
        <f>(VLOOKUP($A420,'The List'!$B1:$AH730,33,FALSE)-AVERAGE('The List'!AH2:AH730))/STDEV('The List'!AH2:AH730)</f>
        <v>-1.2363238714825984</v>
      </c>
      <c r="V420" s="38"/>
      <c r="W420" s="42"/>
      <c r="X420" s="40"/>
      <c r="Y420" s="40"/>
      <c r="Z420" s="40"/>
      <c r="AA420" s="40"/>
      <c r="AB420" s="40"/>
      <c r="AC420" s="43"/>
      <c r="AD420" s="44"/>
      <c r="AE420" s="38"/>
    </row>
    <row r="421" spans="1:31" ht="21.2" customHeight="1">
      <c r="A421" s="8" t="s">
        <v>709</v>
      </c>
      <c r="B421" s="34" t="str">
        <f>VLOOKUP(A421,'Player Data'!A1:B734,2,FALSE)</f>
        <v>WPG</v>
      </c>
      <c r="C421" s="36">
        <f>((E421)*Settings!$C$12)+(F421*Settings!$C$2)+(G421*Settings!$C$3)+(H421*Settings!$C$4)+(I421*Settings!$C$5)+(K421*Settings!$C$9)+(N421*Settings!$C$6)+(J421*Settings!$C$8)+(O421*Settings!$C$7)+(P421*Settings!$C$14)+(Q421*Settings!$C$15)+(R421*Settings!$C$16)+(S421*Settings!$C$17)+(T421*Settings!$C$18)+(U421*Settings!$C$19)+(L421*Settings!$C$10)+(Settings!$C$11*M421)</f>
        <v>-2.778755064654594</v>
      </c>
      <c r="D421" s="40">
        <f>IF(Settings!$E$12="YES",VLOOKUP(A421,'Player Data'!A1:E734,5,FALSE),82)</f>
        <v>82</v>
      </c>
      <c r="E421" s="38">
        <f>(VLOOKUP($A421,'The List'!$B1:$AH730,17,FALSE)-AVERAGE('The List'!R2:R730))/STDEV('The List'!R2:R730)</f>
        <v>-0.96635717156848655</v>
      </c>
      <c r="F421" s="38">
        <f>(VLOOKUP($A421,'The List'!$B1:$AH730,18,FALSE)-AVERAGE('The List'!S2:S730))/STDEV('The List'!S2:S730)</f>
        <v>-0.39161039103076317</v>
      </c>
      <c r="G421" s="38">
        <f>(VLOOKUP($A421,'The List'!$B1:$AH730,19,FALSE)-AVERAGE('The List'!T2:T730))/STDEV('The List'!T2:T730)</f>
        <v>-0.66534784413947456</v>
      </c>
      <c r="H421" s="38">
        <f>(VLOOKUP($A421,'The List'!$B1:$AH730,20,FALSE)-AVERAGE('The List'!U2:U730))/STDEV('The List'!U2:U730)</f>
        <v>-0.59093157034563637</v>
      </c>
      <c r="I421" s="38">
        <f>(VLOOKUP($A421,'The List'!$B1:$AH730,21,FALSE)-AVERAGE('The List'!V2:V730))/STDEV('The List'!V2:V730)</f>
        <v>-0.32079528122540701</v>
      </c>
      <c r="J421" s="38">
        <f>(VLOOKUP($A421,'The List'!$B1:$AH730,22,FALSE)-AVERAGE('The List'!W2:W730))/STDEV('The List'!W2:W730)</f>
        <v>-0.71985997515867761</v>
      </c>
      <c r="K421" s="38">
        <f>(VLOOKUP($A421,'The List'!$B1:$AH730,23,FALSE)-AVERAGE('The List'!X2:X730))/STDEV('The List'!X2:X730)</f>
        <v>-0.81006997791331292</v>
      </c>
      <c r="L421" s="38">
        <f>(VLOOKUP($A421,'The List'!$B1:$AH730,24,FALSE)-AVERAGE('The List'!Y2:Y730))/STDEV('The List'!Y2:Y730)</f>
        <v>-0.18728347004897847</v>
      </c>
      <c r="M421" s="38">
        <f>(VLOOKUP($A421,'The List'!$B1:$AH730,25,FALSE)-AVERAGE('The List'!Z2:Z730))/STDEV('The List'!Z2:Z730)</f>
        <v>1.2479328124221658</v>
      </c>
      <c r="N421" s="38">
        <f>(VLOOKUP($A421,'The List'!$B1:$AH730,26,FALSE)-AVERAGE('The List'!AA2:AA730))/STDEV('The List'!AA2:AA730)</f>
        <v>-0.46830379043239739</v>
      </c>
      <c r="O421" s="38">
        <f>(VLOOKUP($A421,'The List'!$B1:$AH730,27,FALSE)-AVERAGE('The List'!AB2:AB730))/STDEV('The List'!AB2:AB730)</f>
        <v>0.69640713339155813</v>
      </c>
      <c r="P421" s="38">
        <f>(VLOOKUP($A421,'The List'!$B1:$AH730,28,FALSE)-AVERAGE('The List'!AC2:AC730))/STDEV('The List'!AC2:AC730)</f>
        <v>0.21255014501056052</v>
      </c>
      <c r="Q421" s="38">
        <f>(VLOOKUP($A421,'The List'!$B1:$AH730,29,FALSE)-AVERAGE('The List'!AD2:AD730))/STDEV('The List'!AD2:AD730)</f>
        <v>-0.15962842979760739</v>
      </c>
      <c r="R421" s="38">
        <f>(VLOOKUP($A421,'The List'!$B1:$AH730,30,FALSE)-AVERAGE('The List'!AE2:AE730))/STDEV('The List'!AE2:AE730)</f>
        <v>-0.25765213400085685</v>
      </c>
      <c r="S421" s="38">
        <f>(VLOOKUP($A421,'The List'!$B1:$AH730,31,FALSE)-AVERAGE('The List'!AF2:AF730))/STDEV('The List'!AF2:AF730)</f>
        <v>-0.46646429876423889</v>
      </c>
      <c r="T421" s="38">
        <f>(VLOOKUP($A421,'The List'!$B1:$AH730,32,FALSE)-AVERAGE('The List'!AG2:AG730))/STDEV('The List'!AG2:AG730)</f>
        <v>-0.49342674654695623</v>
      </c>
      <c r="U421" s="38">
        <f>(VLOOKUP($A421,'The List'!$B1:$AH730,33,FALSE)-AVERAGE('The List'!AH2:AH730))/STDEV('The List'!AH2:AH730)</f>
        <v>0.88582425433242451</v>
      </c>
      <c r="V421" s="38"/>
      <c r="W421" s="42"/>
      <c r="X421" s="40"/>
      <c r="Y421" s="40"/>
      <c r="Z421" s="40"/>
      <c r="AA421" s="40"/>
      <c r="AB421" s="40"/>
      <c r="AC421" s="43"/>
      <c r="AD421" s="44"/>
      <c r="AE421" s="38"/>
    </row>
    <row r="422" spans="1:31" ht="21.2" customHeight="1">
      <c r="A422" s="8" t="s">
        <v>605</v>
      </c>
      <c r="B422" s="34" t="str">
        <f>VLOOKUP(A422,'Player Data'!A1:B734,2,FALSE)</f>
        <v>ARI</v>
      </c>
      <c r="C422" s="36">
        <f>((E422)*Settings!$C$12)+(F422*Settings!$C$2)+(G422*Settings!$C$3)+(H422*Settings!$C$4)+(I422*Settings!$C$5)+(K422*Settings!$C$9)+(N422*Settings!$C$6)+(J422*Settings!$C$8)+(O422*Settings!$C$7)+(P422*Settings!$C$14)+(Q422*Settings!$C$15)+(R422*Settings!$C$16)+(S422*Settings!$C$17)+(T422*Settings!$C$18)+(U422*Settings!$C$19)+(L422*Settings!$C$10)+(Settings!$C$11*M422)</f>
        <v>-2.3545222506362831</v>
      </c>
      <c r="D422" s="40">
        <f>IF(Settings!$E$12="YES",VLOOKUP(A422,'Player Data'!A1:E734,5,FALSE),82)</f>
        <v>82</v>
      </c>
      <c r="E422" s="38">
        <f>(VLOOKUP($A422,'The List'!$B1:$AH730,17,FALSE)-AVERAGE('The List'!R2:R730))/STDEV('The List'!R2:R730)</f>
        <v>-0.5510503349824335</v>
      </c>
      <c r="F422" s="38">
        <f>(VLOOKUP($A422,'The List'!$B1:$AH730,18,FALSE)-AVERAGE('The List'!S2:S730))/STDEV('The List'!S2:S730)</f>
        <v>-0.11163807432867237</v>
      </c>
      <c r="G422" s="38">
        <f>(VLOOKUP($A422,'The List'!$B1:$AH730,19,FALSE)-AVERAGE('The List'!T2:T730))/STDEV('The List'!T2:T730)</f>
        <v>-0.87767767238019712</v>
      </c>
      <c r="H422" s="38">
        <f>(VLOOKUP($A422,'The List'!$B1:$AH730,20,FALSE)-AVERAGE('The List'!U2:U730))/STDEV('The List'!U2:U730)</f>
        <v>-0.59126499603556071</v>
      </c>
      <c r="I422" s="38">
        <f>(VLOOKUP($A422,'The List'!$B1:$AH730,21,FALSE)-AVERAGE('The List'!V2:V730))/STDEV('The List'!V2:V730)</f>
        <v>-1.4402627919964354E-2</v>
      </c>
      <c r="J422" s="38">
        <f>(VLOOKUP($A422,'The List'!$B1:$AH730,22,FALSE)-AVERAGE('The List'!W2:W730))/STDEV('The List'!W2:W730)</f>
        <v>-0.63644457655728381</v>
      </c>
      <c r="K422" s="38">
        <f>(VLOOKUP($A422,'The List'!$B1:$AH730,23,FALSE)-AVERAGE('The List'!X2:X730))/STDEV('The List'!X2:X730)</f>
        <v>-0.7595388799718884</v>
      </c>
      <c r="L422" s="38">
        <f>(VLOOKUP($A422,'The List'!$B1:$AH730,24,FALSE)-AVERAGE('The List'!Y2:Y730))/STDEV('The List'!Y2:Y730)</f>
        <v>0.90618234040390666</v>
      </c>
      <c r="M422" s="38">
        <f>(VLOOKUP($A422,'The List'!$B1:$AH730,25,FALSE)-AVERAGE('The List'!Z2:Z730))/STDEV('The List'!Z2:Z730)</f>
        <v>0.12388899618726704</v>
      </c>
      <c r="N422" s="38">
        <f>(VLOOKUP($A422,'The List'!$B1:$AH730,26,FALSE)-AVERAGE('The List'!AA2:AA730))/STDEV('The List'!AA2:AA730)</f>
        <v>-0.56095277380581188</v>
      </c>
      <c r="O422" s="38">
        <f>(VLOOKUP($A422,'The List'!$B1:$AH730,27,FALSE)-AVERAGE('The List'!AB2:AB730))/STDEV('The List'!AB2:AB730)</f>
        <v>1.065035320466833</v>
      </c>
      <c r="P422" s="38">
        <f>(VLOOKUP($A422,'The List'!$B1:$AH730,28,FALSE)-AVERAGE('The List'!AC2:AC730))/STDEV('The List'!AC2:AC730)</f>
        <v>-0.52500185168560476</v>
      </c>
      <c r="Q422" s="38">
        <f>(VLOOKUP($A422,'The List'!$B1:$AH730,29,FALSE)-AVERAGE('The List'!AD2:AD730))/STDEV('The List'!AD2:AD730)</f>
        <v>-5.3065530806233115E-2</v>
      </c>
      <c r="R422" s="38">
        <f>(VLOOKUP($A422,'The List'!$B1:$AH730,30,FALSE)-AVERAGE('The List'!AE2:AE730))/STDEV('The List'!AE2:AE730)</f>
        <v>-0.21747498345898666</v>
      </c>
      <c r="S422" s="38">
        <f>(VLOOKUP($A422,'The List'!$B1:$AH730,31,FALSE)-AVERAGE('The List'!AF2:AF730))/STDEV('The List'!AF2:AF730)</f>
        <v>1.6671414018412034</v>
      </c>
      <c r="T422" s="38">
        <f>(VLOOKUP($A422,'The List'!$B1:$AH730,32,FALSE)-AVERAGE('The List'!AG2:AG730))/STDEV('The List'!AG2:AG730)</f>
        <v>1.7946421544894147</v>
      </c>
      <c r="U422" s="38">
        <f>(VLOOKUP($A422,'The List'!$B1:$AH730,33,FALSE)-AVERAGE('The List'!AH2:AH730))/STDEV('The List'!AH2:AH730)</f>
        <v>0.99325374524990284</v>
      </c>
      <c r="V422" s="38"/>
      <c r="W422" s="42"/>
      <c r="X422" s="40"/>
      <c r="Y422" s="40"/>
      <c r="Z422" s="40"/>
      <c r="AA422" s="40"/>
      <c r="AB422" s="40"/>
      <c r="AC422" s="43"/>
      <c r="AD422" s="44"/>
      <c r="AE422" s="38"/>
    </row>
    <row r="423" spans="1:31" ht="21.2" customHeight="1">
      <c r="A423" s="8" t="s">
        <v>705</v>
      </c>
      <c r="B423" s="34" t="str">
        <f>VLOOKUP(A423,'Player Data'!A1:B734,2,FALSE)</f>
        <v>TOR</v>
      </c>
      <c r="C423" s="36">
        <f>((E423)*Settings!$C$12)+(F423*Settings!$C$2)+(G423*Settings!$C$3)+(H423*Settings!$C$4)+(I423*Settings!$C$5)+(K423*Settings!$C$9)+(N423*Settings!$C$6)+(J423*Settings!$C$8)+(O423*Settings!$C$7)+(P423*Settings!$C$14)+(Q423*Settings!$C$15)+(R423*Settings!$C$16)+(S423*Settings!$C$17)+(T423*Settings!$C$18)+(U423*Settings!$C$19)+(L423*Settings!$C$10)+(Settings!$C$11*M423)</f>
        <v>-3.2758866960987159</v>
      </c>
      <c r="D423" s="40">
        <f>IF(Settings!$E$12="YES",VLOOKUP(A423,'Player Data'!A1:E734,5,FALSE),82)</f>
        <v>82</v>
      </c>
      <c r="E423" s="38">
        <f>(VLOOKUP($A423,'The List'!$B1:$AH730,17,FALSE)-AVERAGE('The List'!R2:R730))/STDEV('The List'!R2:R730)</f>
        <v>-0.42883487314686736</v>
      </c>
      <c r="F423" s="38">
        <f>(VLOOKUP($A423,'The List'!$B1:$AH730,18,FALSE)-AVERAGE('The List'!S2:S730))/STDEV('The List'!S2:S730)</f>
        <v>-0.61497214578941273</v>
      </c>
      <c r="G423" s="38">
        <f>(VLOOKUP($A423,'The List'!$B1:$AH730,19,FALSE)-AVERAGE('The List'!T2:T730))/STDEV('The List'!T2:T730)</f>
        <v>-0.50129709453487747</v>
      </c>
      <c r="H423" s="38">
        <f>(VLOOKUP($A423,'The List'!$B1:$AH730,20,FALSE)-AVERAGE('The List'!U2:U730))/STDEV('The List'!U2:U730)</f>
        <v>-0.59395080871427608</v>
      </c>
      <c r="I423" s="38">
        <f>(VLOOKUP($A423,'The List'!$B1:$AH730,21,FALSE)-AVERAGE('The List'!V2:V730))/STDEV('The List'!V2:V730)</f>
        <v>-0.75506082582308065</v>
      </c>
      <c r="J423" s="38">
        <f>(VLOOKUP($A423,'The List'!$B1:$AH730,22,FALSE)-AVERAGE('The List'!W2:W730))/STDEV('The List'!W2:W730)</f>
        <v>-0.72078281330053318</v>
      </c>
      <c r="K423" s="38">
        <f>(VLOOKUP($A423,'The List'!$B1:$AH730,23,FALSE)-AVERAGE('The List'!X2:X730))/STDEV('The List'!X2:X730)</f>
        <v>-0.8106058212370687</v>
      </c>
      <c r="L423" s="38">
        <f>(VLOOKUP($A423,'The List'!$B1:$AH730,24,FALSE)-AVERAGE('The List'!Y2:Y730))/STDEV('The List'!Y2:Y730)</f>
        <v>0.55048783923727329</v>
      </c>
      <c r="M423" s="38">
        <f>(VLOOKUP($A423,'The List'!$B1:$AH730,25,FALSE)-AVERAGE('The List'!Z2:Z730))/STDEV('The List'!Z2:Z730)</f>
        <v>1.8286881191545694</v>
      </c>
      <c r="N423" s="38">
        <f>(VLOOKUP($A423,'The List'!$B1:$AH730,26,FALSE)-AVERAGE('The List'!AA2:AA730))/STDEV('The List'!AA2:AA730)</f>
        <v>-0.89043335231428633</v>
      </c>
      <c r="O423" s="38">
        <f>(VLOOKUP($A423,'The List'!$B1:$AH730,27,FALSE)-AVERAGE('The List'!AB2:AB730))/STDEV('The List'!AB2:AB730)</f>
        <v>-0.50880050844879821</v>
      </c>
      <c r="P423" s="38">
        <f>(VLOOKUP($A423,'The List'!$B1:$AH730,28,FALSE)-AVERAGE('The List'!AC2:AC730))/STDEV('The List'!AC2:AC730)</f>
        <v>0.70011678723582216</v>
      </c>
      <c r="Q423" s="38">
        <f>(VLOOKUP($A423,'The List'!$B1:$AH730,29,FALSE)-AVERAGE('The List'!AD2:AD730))/STDEV('The List'!AD2:AD730)</f>
        <v>-1.0669756218861097</v>
      </c>
      <c r="R423" s="38">
        <f>(VLOOKUP($A423,'The List'!$B1:$AH730,30,FALSE)-AVERAGE('The List'!AE2:AE730))/STDEV('The List'!AE2:AE730)</f>
        <v>-0.46172481550462224</v>
      </c>
      <c r="S423" s="38">
        <f>(VLOOKUP($A423,'The List'!$B1:$AH730,31,FALSE)-AVERAGE('The List'!AF2:AF730))/STDEV('The List'!AF2:AF730)</f>
        <v>2.1832825905446782</v>
      </c>
      <c r="T423" s="38">
        <f>(VLOOKUP($A423,'The List'!$B1:$AH730,32,FALSE)-AVERAGE('The List'!AG2:AG730))/STDEV('The List'!AG2:AG730)</f>
        <v>2.0279738305982806</v>
      </c>
      <c r="U423" s="38">
        <f>(VLOOKUP($A423,'The List'!$B1:$AH730,33,FALSE)-AVERAGE('The List'!AH2:AH730))/STDEV('The List'!AH2:AH730)</f>
        <v>1.123306919600755</v>
      </c>
      <c r="V423" s="38"/>
      <c r="W423" s="42"/>
      <c r="X423" s="40"/>
      <c r="Y423" s="40"/>
      <c r="Z423" s="40"/>
      <c r="AA423" s="40"/>
      <c r="AB423" s="40"/>
      <c r="AC423" s="43"/>
      <c r="AD423" s="44"/>
      <c r="AE423" s="38"/>
    </row>
    <row r="424" spans="1:31" ht="21.2" customHeight="1">
      <c r="A424" s="8" t="s">
        <v>738</v>
      </c>
      <c r="B424" s="34" t="str">
        <f>VLOOKUP(A424,'Player Data'!A1:B734,2,FALSE)</f>
        <v>NYR</v>
      </c>
      <c r="C424" s="36">
        <f>((E424)*Settings!$C$12)+(F424*Settings!$C$2)+(G424*Settings!$C$3)+(H424*Settings!$C$4)+(I424*Settings!$C$5)+(K424*Settings!$C$9)+(N424*Settings!$C$6)+(J424*Settings!$C$8)+(O424*Settings!$C$7)+(P424*Settings!$C$14)+(Q424*Settings!$C$15)+(R424*Settings!$C$16)+(S424*Settings!$C$17)+(T424*Settings!$C$18)+(U424*Settings!$C$19)+(L424*Settings!$C$10)+(Settings!$C$11*M424)</f>
        <v>-3.0449206317509745</v>
      </c>
      <c r="D424" s="40">
        <f>IF(Settings!$E$12="YES",VLOOKUP(A424,'Player Data'!A1:E734,5,FALSE),82)</f>
        <v>82</v>
      </c>
      <c r="E424" s="38">
        <f>(VLOOKUP($A424,'The List'!$B1:$AH730,17,FALSE)-AVERAGE('The List'!R2:R730))/STDEV('The List'!R2:R730)</f>
        <v>-1.1452766261967444</v>
      </c>
      <c r="F424" s="38">
        <f>(VLOOKUP($A424,'The List'!$B1:$AH730,18,FALSE)-AVERAGE('The List'!S2:S730))/STDEV('The List'!S2:S730)</f>
        <v>-0.36009322157629997</v>
      </c>
      <c r="G424" s="38">
        <f>(VLOOKUP($A424,'The List'!$B1:$AH730,19,FALSE)-AVERAGE('The List'!T2:T730))/STDEV('The List'!T2:T730)</f>
        <v>-0.70376510376921309</v>
      </c>
      <c r="H424" s="38">
        <f>(VLOOKUP($A424,'The List'!$B1:$AH730,20,FALSE)-AVERAGE('The List'!U2:U730))/STDEV('The List'!U2:U730)</f>
        <v>-0.59988900251462607</v>
      </c>
      <c r="I424" s="38">
        <f>(VLOOKUP($A424,'The List'!$B1:$AH730,21,FALSE)-AVERAGE('The List'!V2:V730))/STDEV('The List'!V2:V730)</f>
        <v>-0.62642034824024562</v>
      </c>
      <c r="J424" s="38">
        <f>(VLOOKUP($A424,'The List'!$B1:$AH730,22,FALSE)-AVERAGE('The List'!W2:W730))/STDEV('The List'!W2:W730)</f>
        <v>-0.66535874915669035</v>
      </c>
      <c r="K424" s="38">
        <f>(VLOOKUP($A424,'The List'!$B1:$AH730,23,FALSE)-AVERAGE('The List'!X2:X730))/STDEV('The List'!X2:X730)</f>
        <v>-0.75475295565058986</v>
      </c>
      <c r="L424" s="38">
        <f>(VLOOKUP($A424,'The List'!$B1:$AH730,24,FALSE)-AVERAGE('The List'!Y2:Y730))/STDEV('The List'!Y2:Y730)</f>
        <v>-0.21391080725100337</v>
      </c>
      <c r="M424" s="38">
        <f>(VLOOKUP($A424,'The List'!$B1:$AH730,25,FALSE)-AVERAGE('The List'!Z2:Z730))/STDEV('The List'!Z2:Z730)</f>
        <v>-0.41346077327214181</v>
      </c>
      <c r="N424" s="38">
        <f>(VLOOKUP($A424,'The List'!$B1:$AH730,26,FALSE)-AVERAGE('The List'!AA2:AA730))/STDEV('The List'!AA2:AA730)</f>
        <v>-0.34312604197263141</v>
      </c>
      <c r="O424" s="38">
        <f>(VLOOKUP($A424,'The List'!$B1:$AH730,27,FALSE)-AVERAGE('The List'!AB2:AB730))/STDEV('The List'!AB2:AB730)</f>
        <v>-2.9575586388585966E-2</v>
      </c>
      <c r="P424" s="38">
        <f>(VLOOKUP($A424,'The List'!$B1:$AH730,28,FALSE)-AVERAGE('The List'!AC2:AC730))/STDEV('The List'!AC2:AC730)</f>
        <v>-8.813348124836283E-2</v>
      </c>
      <c r="Q424" s="38">
        <f>(VLOOKUP($A424,'The List'!$B1:$AH730,29,FALSE)-AVERAGE('The List'!AD2:AD730))/STDEV('The List'!AD2:AD730)</f>
        <v>-0.34973852605104694</v>
      </c>
      <c r="R424" s="38">
        <f>(VLOOKUP($A424,'The List'!$B1:$AH730,30,FALSE)-AVERAGE('The List'!AE2:AE730))/STDEV('The List'!AE2:AE730)</f>
        <v>-0.13096515249010018</v>
      </c>
      <c r="S424" s="38">
        <f>(VLOOKUP($A424,'The List'!$B1:$AH730,31,FALSE)-AVERAGE('The List'!AF2:AF730))/STDEV('The List'!AF2:AF730)</f>
        <v>0.58615739931784661</v>
      </c>
      <c r="T424" s="38">
        <f>(VLOOKUP($A424,'The List'!$B1:$AH730,32,FALSE)-AVERAGE('The List'!AG2:AG730))/STDEV('The List'!AG2:AG730)</f>
        <v>0.72343961235554466</v>
      </c>
      <c r="U424" s="38">
        <f>(VLOOKUP($A424,'The List'!$B1:$AH730,33,FALSE)-AVERAGE('The List'!AH2:AH730))/STDEV('The List'!AH2:AH730)</f>
        <v>0.91145158561367745</v>
      </c>
      <c r="V424" s="38"/>
      <c r="W424" s="40"/>
      <c r="X424" s="38"/>
      <c r="Y424" s="38"/>
      <c r="Z424" s="38"/>
      <c r="AA424" s="38"/>
      <c r="AB424" s="38"/>
      <c r="AC424" s="38"/>
      <c r="AD424" s="38"/>
      <c r="AE424" s="38"/>
    </row>
    <row r="425" spans="1:31" ht="21.2" customHeight="1">
      <c r="A425" s="8" t="s">
        <v>701</v>
      </c>
      <c r="B425" s="34" t="str">
        <f>VLOOKUP(A425,'Player Data'!A1:B734,2,FALSE)</f>
        <v>ARI</v>
      </c>
      <c r="C425" s="36">
        <f>((E425)*Settings!$C$12)+(F425*Settings!$C$2)+(G425*Settings!$C$3)+(H425*Settings!$C$4)+(I425*Settings!$C$5)+(K425*Settings!$C$9)+(N425*Settings!$C$6)+(J425*Settings!$C$8)+(O425*Settings!$C$7)+(P425*Settings!$C$14)+(Q425*Settings!$C$15)+(R425*Settings!$C$16)+(S425*Settings!$C$17)+(T425*Settings!$C$18)+(U425*Settings!$C$19)+(L425*Settings!$C$10)+(Settings!$C$11*M425)</f>
        <v>-3.3951565016949661</v>
      </c>
      <c r="D425" s="40">
        <f>IF(Settings!$E$12="YES",VLOOKUP(A425,'Player Data'!A1:E734,5,FALSE),82)</f>
        <v>82</v>
      </c>
      <c r="E425" s="38">
        <f>(VLOOKUP($A425,'The List'!$B1:$AH730,17,FALSE)-AVERAGE('The List'!R2:R730))/STDEV('The List'!R2:R730)</f>
        <v>-0.95826854617450663</v>
      </c>
      <c r="F425" s="38">
        <f>(VLOOKUP($A425,'The List'!$B1:$AH730,18,FALSE)-AVERAGE('The List'!S2:S730))/STDEV('The List'!S2:S730)</f>
        <v>-0.23719264556869221</v>
      </c>
      <c r="G425" s="38">
        <f>(VLOOKUP($A425,'The List'!$B1:$AH730,19,FALSE)-AVERAGE('The List'!T2:T730))/STDEV('The List'!T2:T730)</f>
        <v>-0.80432530460081431</v>
      </c>
      <c r="H425" s="38">
        <f>(VLOOKUP($A425,'The List'!$B1:$AH730,20,FALSE)-AVERAGE('The List'!U2:U730))/STDEV('The List'!U2:U730)</f>
        <v>-0.60455402665599423</v>
      </c>
      <c r="I425" s="38">
        <f>(VLOOKUP($A425,'The List'!$B1:$AH730,21,FALSE)-AVERAGE('The List'!V2:V730))/STDEV('The List'!V2:V730)</f>
        <v>-1.2215052110289297</v>
      </c>
      <c r="J425" s="38">
        <f>(VLOOKUP($A425,'The List'!$B1:$AH730,22,FALSE)-AVERAGE('The List'!W2:W730))/STDEV('The List'!W2:W730)</f>
        <v>-0.51593859283550991</v>
      </c>
      <c r="K425" s="38">
        <f>(VLOOKUP($A425,'The List'!$B1:$AH730,23,FALSE)-AVERAGE('The List'!X2:X730))/STDEV('The List'!X2:X730)</f>
        <v>-0.52757931384053558</v>
      </c>
      <c r="L425" s="38">
        <f>(VLOOKUP($A425,'The List'!$B1:$AH730,24,FALSE)-AVERAGE('The List'!Y2:Y730))/STDEV('The List'!Y2:Y730)</f>
        <v>-0.43244827022203264</v>
      </c>
      <c r="M425" s="38">
        <f>(VLOOKUP($A425,'The List'!$B1:$AH730,25,FALSE)-AVERAGE('The List'!Z2:Z730))/STDEV('The List'!Z2:Z730)</f>
        <v>-0.62411036254555297</v>
      </c>
      <c r="N425" s="38">
        <f>(VLOOKUP($A425,'The List'!$B1:$AH730,26,FALSE)-AVERAGE('The List'!AA2:AA730))/STDEV('The List'!AA2:AA730)</f>
        <v>-0.45917622201917918</v>
      </c>
      <c r="O425" s="38">
        <f>(VLOOKUP($A425,'The List'!$B1:$AH730,27,FALSE)-AVERAGE('The List'!AB2:AB730))/STDEV('The List'!AB2:AB730)</f>
        <v>-0.98484697126772536</v>
      </c>
      <c r="P425" s="38">
        <f>(VLOOKUP($A425,'The List'!$B1:$AH730,28,FALSE)-AVERAGE('The List'!AC2:AC730))/STDEV('The List'!AC2:AC730)</f>
        <v>-1.2889324494361825</v>
      </c>
      <c r="Q425" s="38">
        <f>(VLOOKUP($A425,'The List'!$B1:$AH730,29,FALSE)-AVERAGE('The List'!AD2:AD730))/STDEV('The List'!AD2:AD730)</f>
        <v>-0.76626997674074715</v>
      </c>
      <c r="R425" s="38">
        <f>(VLOOKUP($A425,'The List'!$B1:$AH730,30,FALSE)-AVERAGE('The List'!AE2:AE730))/STDEV('The List'!AE2:AE730)</f>
        <v>-0.32065744930979762</v>
      </c>
      <c r="S425" s="38">
        <f>(VLOOKUP($A425,'The List'!$B1:$AH730,31,FALSE)-AVERAGE('The List'!AF2:AF730))/STDEV('The List'!AF2:AF730)</f>
        <v>1.2326808647342278</v>
      </c>
      <c r="T425" s="38">
        <f>(VLOOKUP($A425,'The List'!$B1:$AH730,32,FALSE)-AVERAGE('The List'!AG2:AG730))/STDEV('The List'!AG2:AG730)</f>
        <v>1.7478106674393257</v>
      </c>
      <c r="U425" s="38">
        <f>(VLOOKUP($A425,'The List'!$B1:$AH730,33,FALSE)-AVERAGE('The List'!AH2:AH730))/STDEV('The List'!AH2:AH730)</f>
        <v>0.77252730396626634</v>
      </c>
      <c r="V425" s="38"/>
      <c r="W425" s="42"/>
      <c r="X425" s="40"/>
      <c r="Y425" s="40"/>
      <c r="Z425" s="40"/>
      <c r="AA425" s="40"/>
      <c r="AB425" s="40"/>
      <c r="AC425" s="43"/>
      <c r="AD425" s="44"/>
      <c r="AE425" s="38"/>
    </row>
    <row r="426" spans="1:31" ht="21.2" customHeight="1">
      <c r="A426" s="8" t="s">
        <v>675</v>
      </c>
      <c r="B426" s="34" t="str">
        <f>VLOOKUP(A426,'Player Data'!A1:B734,2,FALSE)</f>
        <v>UFA</v>
      </c>
      <c r="C426" s="36">
        <f>((E426)*Settings!$C$12)+(F426*Settings!$C$2)+(G426*Settings!$C$3)+(H426*Settings!$C$4)+(I426*Settings!$C$5)+(K426*Settings!$C$9)+(N426*Settings!$C$6)+(J426*Settings!$C$8)+(O426*Settings!$C$7)+(P426*Settings!$C$14)+(Q426*Settings!$C$15)+(R426*Settings!$C$16)+(S426*Settings!$C$17)+(T426*Settings!$C$18)+(U426*Settings!$C$19)+(L426*Settings!$C$10)+(Settings!$C$11*M426)</f>
        <v>-2.5634290665106083</v>
      </c>
      <c r="D426" s="40">
        <f>IF(Settings!$E$12="YES",VLOOKUP(A426,'Player Data'!A1:E734,5,FALSE),82)</f>
        <v>82</v>
      </c>
      <c r="E426" s="38">
        <f>(VLOOKUP($A426,'The List'!$B1:$AH730,17,FALSE)-AVERAGE('The List'!R2:R730))/STDEV('The List'!R2:R730)</f>
        <v>-1.2009694526098349</v>
      </c>
      <c r="F426" s="38">
        <f>(VLOOKUP($A426,'The List'!$B1:$AH730,18,FALSE)-AVERAGE('The List'!S2:S730))/STDEV('The List'!S2:S730)</f>
        <v>-0.12394019541414292</v>
      </c>
      <c r="G426" s="38">
        <f>(VLOOKUP($A426,'The List'!$B1:$AH730,19,FALSE)-AVERAGE('The List'!T2:T730))/STDEV('The List'!T2:T730)</f>
        <v>-0.89135906718954827</v>
      </c>
      <c r="H426" s="38">
        <f>(VLOOKUP($A426,'The List'!$B1:$AH730,20,FALSE)-AVERAGE('The List'!U2:U730))/STDEV('The List'!U2:U730)</f>
        <v>-0.60539167683395534</v>
      </c>
      <c r="I426" s="38">
        <f>(VLOOKUP($A426,'The List'!$B1:$AH730,21,FALSE)-AVERAGE('The List'!V2:V730))/STDEV('The List'!V2:V730)</f>
        <v>-0.44767630244482726</v>
      </c>
      <c r="J426" s="38">
        <f>(VLOOKUP($A426,'The List'!$B1:$AH730,22,FALSE)-AVERAGE('The List'!W2:W730))/STDEV('The List'!W2:W730)</f>
        <v>-0.37910518266523507</v>
      </c>
      <c r="K426" s="38">
        <f>(VLOOKUP($A426,'The List'!$B1:$AH730,23,FALSE)-AVERAGE('The List'!X2:X730))/STDEV('The List'!X2:X730)</f>
        <v>-0.49506182462813447</v>
      </c>
      <c r="L426" s="38">
        <f>(VLOOKUP($A426,'The List'!$B1:$AH730,24,FALSE)-AVERAGE('The List'!Y2:Y730))/STDEV('The List'!Y2:Y730)</f>
        <v>-0.52515529094994673</v>
      </c>
      <c r="M426" s="38">
        <f>(VLOOKUP($A426,'The List'!$B1:$AH730,25,FALSE)-AVERAGE('The List'!Z2:Z730))/STDEV('The List'!Z2:Z730)</f>
        <v>-0.70378350861314143</v>
      </c>
      <c r="N426" s="38">
        <f>(VLOOKUP($A426,'The List'!$B1:$AH730,26,FALSE)-AVERAGE('The List'!AA2:AA730))/STDEV('The List'!AA2:AA730)</f>
        <v>-0.75944861410193221</v>
      </c>
      <c r="O426" s="38">
        <f>(VLOOKUP($A426,'The List'!$B1:$AH730,27,FALSE)-AVERAGE('The List'!AB2:AB730))/STDEV('The List'!AB2:AB730)</f>
        <v>2.070089846099759</v>
      </c>
      <c r="P426" s="38">
        <f>(VLOOKUP($A426,'The List'!$B1:$AH730,28,FALSE)-AVERAGE('The List'!AC2:AC730))/STDEV('The List'!AC2:AC730)</f>
        <v>-0.36170033680298719</v>
      </c>
      <c r="Q426" s="38">
        <f>(VLOOKUP($A426,'The List'!$B1:$AH730,29,FALSE)-AVERAGE('The List'!AD2:AD730))/STDEV('The List'!AD2:AD730)</f>
        <v>0.74258071069106879</v>
      </c>
      <c r="R426" s="38">
        <f>(VLOOKUP($A426,'The List'!$B1:$AH730,30,FALSE)-AVERAGE('The List'!AE2:AE730))/STDEV('The List'!AE2:AE730)</f>
        <v>-1.2515972607254897</v>
      </c>
      <c r="S426" s="38">
        <f>(VLOOKUP($A426,'The List'!$B1:$AH730,31,FALSE)-AVERAGE('The List'!AF2:AF730))/STDEV('The List'!AF2:AF730)</f>
        <v>-0.56535318818170843</v>
      </c>
      <c r="T426" s="38">
        <f>(VLOOKUP($A426,'The List'!$B1:$AH730,32,FALSE)-AVERAGE('The List'!AG2:AG730))/STDEV('The List'!AG2:AG730)</f>
        <v>-0.56916045756756817</v>
      </c>
      <c r="U426" s="38">
        <f>(VLOOKUP($A426,'The List'!$B1:$AH730,33,FALSE)-AVERAGE('The List'!AH2:AH730))/STDEV('The List'!AH2:AH730)</f>
        <v>-0.87848566848496623</v>
      </c>
      <c r="V426" s="38"/>
      <c r="W426" s="40"/>
      <c r="X426" s="38"/>
      <c r="Y426" s="38"/>
      <c r="Z426" s="38"/>
      <c r="AA426" s="38"/>
      <c r="AB426" s="38"/>
      <c r="AC426" s="38"/>
      <c r="AD426" s="38"/>
      <c r="AE426" s="38"/>
    </row>
    <row r="427" spans="1:31" ht="21.2" customHeight="1">
      <c r="A427" s="8" t="s">
        <v>787</v>
      </c>
      <c r="B427" s="34" t="str">
        <f>VLOOKUP(A427,'Player Data'!A1:B734,2,FALSE)</f>
        <v>PIT</v>
      </c>
      <c r="C427" s="36">
        <f>((E427)*Settings!$C$12)+(F427*Settings!$C$2)+(G427*Settings!$C$3)+(H427*Settings!$C$4)+(I427*Settings!$C$5)+(K427*Settings!$C$9)+(N427*Settings!$C$6)+(J427*Settings!$C$8)+(O427*Settings!$C$7)+(P427*Settings!$C$14)+(Q427*Settings!$C$15)+(R427*Settings!$C$16)+(S427*Settings!$C$17)+(T427*Settings!$C$18)+(U427*Settings!$C$19)+(L427*Settings!$C$10)+(Settings!$C$11*M427)</f>
        <v>-3.2288039069087691</v>
      </c>
      <c r="D427" s="40">
        <f>IF(Settings!$E$12="YES",VLOOKUP(A427,'Player Data'!A1:E734,5,FALSE),82)</f>
        <v>82</v>
      </c>
      <c r="E427" s="38">
        <f>(VLOOKUP($A427,'The List'!$B1:$AH730,17,FALSE)-AVERAGE('The List'!R2:R730))/STDEV('The List'!R2:R730)</f>
        <v>-1.2696268846853054</v>
      </c>
      <c r="F427" s="38">
        <f>(VLOOKUP($A427,'The List'!$B1:$AH730,18,FALSE)-AVERAGE('The List'!S2:S730))/STDEV('The List'!S2:S730)</f>
        <v>-0.5103678810662905</v>
      </c>
      <c r="G427" s="38">
        <f>(VLOOKUP($A427,'The List'!$B1:$AH730,19,FALSE)-AVERAGE('The List'!T2:T730))/STDEV('The List'!T2:T730)</f>
        <v>-0.59977034554218667</v>
      </c>
      <c r="H427" s="38">
        <f>(VLOOKUP($A427,'The List'!$B1:$AH730,20,FALSE)-AVERAGE('The List'!U2:U730))/STDEV('The List'!U2:U730)</f>
        <v>-0.60583878352966836</v>
      </c>
      <c r="I427" s="38">
        <f>(VLOOKUP($A427,'The List'!$B1:$AH730,21,FALSE)-AVERAGE('The List'!V2:V730))/STDEV('The List'!V2:V730)</f>
        <v>-0.79601692381690636</v>
      </c>
      <c r="J427" s="38">
        <f>(VLOOKUP($A427,'The List'!$B1:$AH730,22,FALSE)-AVERAGE('The List'!W2:W730))/STDEV('The List'!W2:W730)</f>
        <v>-0.57462960037840327</v>
      </c>
      <c r="K427" s="38">
        <f>(VLOOKUP($A427,'The List'!$B1:$AH730,23,FALSE)-AVERAGE('The List'!X2:X730))/STDEV('The List'!X2:X730)</f>
        <v>-0.71680997295371707</v>
      </c>
      <c r="L427" s="38">
        <f>(VLOOKUP($A427,'The List'!$B1:$AH730,24,FALSE)-AVERAGE('The List'!Y2:Y730))/STDEV('The List'!Y2:Y730)</f>
        <v>-0.51936869520355711</v>
      </c>
      <c r="M427" s="38">
        <f>(VLOOKUP($A427,'The List'!$B1:$AH730,25,FALSE)-AVERAGE('The List'!Z2:Z730))/STDEV('The List'!Z2:Z730)</f>
        <v>-0.69726622097842517</v>
      </c>
      <c r="N427" s="38">
        <f>(VLOOKUP($A427,'The List'!$B1:$AH730,26,FALSE)-AVERAGE('The List'!AA2:AA730))/STDEV('The List'!AA2:AA730)</f>
        <v>-0.95226010811887307</v>
      </c>
      <c r="O427" s="38">
        <f>(VLOOKUP($A427,'The List'!$B1:$AH730,27,FALSE)-AVERAGE('The List'!AB2:AB730))/STDEV('The List'!AB2:AB730)</f>
        <v>-0.56052038155175332</v>
      </c>
      <c r="P427" s="38">
        <f>(VLOOKUP($A427,'The List'!$B1:$AH730,28,FALSE)-AVERAGE('The List'!AC2:AC730))/STDEV('The List'!AC2:AC730)</f>
        <v>0.41151635082866361</v>
      </c>
      <c r="Q427" s="38">
        <f>(VLOOKUP($A427,'The List'!$B1:$AH730,29,FALSE)-AVERAGE('The List'!AD2:AD730))/STDEV('The List'!AD2:AD730)</f>
        <v>-0.58452418305581155</v>
      </c>
      <c r="R427" s="38">
        <f>(VLOOKUP($A427,'The List'!$B1:$AH730,30,FALSE)-AVERAGE('The List'!AE2:AE730))/STDEV('The List'!AE2:AE730)</f>
        <v>-0.35301620894365532</v>
      </c>
      <c r="S427" s="38">
        <f>(VLOOKUP($A427,'The List'!$B1:$AH730,31,FALSE)-AVERAGE('The List'!AF2:AF730))/STDEV('The List'!AF2:AF730)</f>
        <v>-0.50646992484108477</v>
      </c>
      <c r="T427" s="38">
        <f>(VLOOKUP($A427,'The List'!$B1:$AH730,32,FALSE)-AVERAGE('The List'!AG2:AG730))/STDEV('The List'!AG2:AG730)</f>
        <v>-0.48614747383128387</v>
      </c>
      <c r="U427" s="38">
        <f>(VLOOKUP($A427,'The List'!$B1:$AH730,33,FALSE)-AVERAGE('The List'!AH2:AH730))/STDEV('The List'!AH2:AH730)</f>
        <v>0.28985166360099557</v>
      </c>
      <c r="V427" s="38"/>
      <c r="W427" s="40"/>
      <c r="X427" s="38"/>
      <c r="Y427" s="38"/>
      <c r="Z427" s="38"/>
      <c r="AA427" s="38"/>
      <c r="AB427" s="38"/>
      <c r="AC427" s="38"/>
      <c r="AD427" s="38"/>
      <c r="AE427" s="38"/>
    </row>
    <row r="428" spans="1:31" ht="21.2" customHeight="1">
      <c r="A428" s="8" t="s">
        <v>492</v>
      </c>
      <c r="B428" s="34" t="str">
        <f>VLOOKUP(A428,'Player Data'!A1:B734,2,FALSE)</f>
        <v>NYI</v>
      </c>
      <c r="C428" s="36">
        <f>((E428)*Settings!$C$12)+(F428*Settings!$C$2)+(G428*Settings!$C$3)+(H428*Settings!$C$4)+(I428*Settings!$C$5)+(K428*Settings!$C$9)+(N428*Settings!$C$6)+(J428*Settings!$C$8)+(O428*Settings!$C$7)+(P428*Settings!$C$14)+(Q428*Settings!$C$15)+(R428*Settings!$C$16)+(S428*Settings!$C$17)+(T428*Settings!$C$18)+(U428*Settings!$C$19)+(L428*Settings!$C$10)+(Settings!$C$11*M428)</f>
        <v>-3.0859099688388514</v>
      </c>
      <c r="D428" s="40">
        <f>IF(Settings!$E$12="YES",VLOOKUP(A428,'Player Data'!A1:E734,5,FALSE),82)</f>
        <v>82</v>
      </c>
      <c r="E428" s="38">
        <f>(VLOOKUP($A428,'The List'!$B1:$AH730,17,FALSE)-AVERAGE('The List'!R2:R730))/STDEV('The List'!R2:R730)</f>
        <v>4.5656940265590688E-2</v>
      </c>
      <c r="F428" s="38">
        <f>(VLOOKUP($A428,'The List'!$B1:$AH730,18,FALSE)-AVERAGE('The List'!S2:S730))/STDEV('The List'!S2:S730)</f>
        <v>-0.84702212067128735</v>
      </c>
      <c r="G428" s="38">
        <f>(VLOOKUP($A428,'The List'!$B1:$AH730,19,FALSE)-AVERAGE('The List'!T2:T730))/STDEV('The List'!T2:T730)</f>
        <v>-0.34544187065789239</v>
      </c>
      <c r="H428" s="38">
        <f>(VLOOKUP($A428,'The List'!$B1:$AH730,20,FALSE)-AVERAGE('The List'!U2:U730))/STDEV('The List'!U2:U730)</f>
        <v>-0.6060454400896349</v>
      </c>
      <c r="I428" s="38">
        <f>(VLOOKUP($A428,'The List'!$B1:$AH730,21,FALSE)-AVERAGE('The List'!V2:V730))/STDEV('The List'!V2:V730)</f>
        <v>-0.74874044984477994</v>
      </c>
      <c r="J428" s="38">
        <f>(VLOOKUP($A428,'The List'!$B1:$AH730,22,FALSE)-AVERAGE('The List'!W2:W730))/STDEV('The List'!W2:W730)</f>
        <v>-0.69296634818545566</v>
      </c>
      <c r="K428" s="38">
        <f>(VLOOKUP($A428,'The List'!$B1:$AH730,23,FALSE)-AVERAGE('The List'!X2:X730))/STDEV('The List'!X2:X730)</f>
        <v>-0.53866008757525707</v>
      </c>
      <c r="L428" s="38">
        <f>(VLOOKUP($A428,'The List'!$B1:$AH730,24,FALSE)-AVERAGE('The List'!Y2:Y730))/STDEV('The List'!Y2:Y730)</f>
        <v>-0.47520309810187183</v>
      </c>
      <c r="M428" s="38">
        <f>(VLOOKUP($A428,'The List'!$B1:$AH730,25,FALSE)-AVERAGE('The List'!Z2:Z730))/STDEV('The List'!Z2:Z730)</f>
        <v>-0.57377555177532069</v>
      </c>
      <c r="N428" s="38">
        <f>(VLOOKUP($A428,'The List'!$B1:$AH730,26,FALSE)-AVERAGE('The List'!AA2:AA730))/STDEV('The List'!AA2:AA730)</f>
        <v>0.5344297144512381</v>
      </c>
      <c r="O428" s="38">
        <f>(VLOOKUP($A428,'The List'!$B1:$AH730,27,FALSE)-AVERAGE('The List'!AB2:AB730))/STDEV('The List'!AB2:AB730)</f>
        <v>-0.68506219234683896</v>
      </c>
      <c r="P428" s="38">
        <f>(VLOOKUP($A428,'The List'!$B1:$AH730,28,FALSE)-AVERAGE('The List'!AC2:AC730))/STDEV('The List'!AC2:AC730)</f>
        <v>0.18886644664600361</v>
      </c>
      <c r="Q428" s="38">
        <f>(VLOOKUP($A428,'The List'!$B1:$AH730,29,FALSE)-AVERAGE('The List'!AD2:AD730))/STDEV('The List'!AD2:AD730)</f>
        <v>-0.45580964411871139</v>
      </c>
      <c r="R428" s="38">
        <f>(VLOOKUP($A428,'The List'!$B1:$AH730,30,FALSE)-AVERAGE('The List'!AE2:AE730))/STDEV('The List'!AE2:AE730)</f>
        <v>-0.72535950331937138</v>
      </c>
      <c r="S428" s="38">
        <f>(VLOOKUP($A428,'The List'!$B1:$AH730,31,FALSE)-AVERAGE('The List'!AF2:AF730))/STDEV('The List'!AF2:AF730)</f>
        <v>-0.56911587195029545</v>
      </c>
      <c r="T428" s="38">
        <f>(VLOOKUP($A428,'The List'!$B1:$AH730,32,FALSE)-AVERAGE('The List'!AG2:AG730))/STDEV('The List'!AG2:AG730)</f>
        <v>-0.61510119871956948</v>
      </c>
      <c r="U428" s="38">
        <f>(VLOOKUP($A428,'The List'!$B1:$AH730,33,FALSE)-AVERAGE('The List'!AH2:AH730))/STDEV('The List'!AH2:AH730)</f>
        <v>-1.2363238714825984</v>
      </c>
      <c r="V428" s="38"/>
      <c r="W428" s="42"/>
      <c r="X428" s="40"/>
      <c r="Y428" s="40"/>
      <c r="Z428" s="40"/>
      <c r="AA428" s="40"/>
      <c r="AB428" s="40"/>
      <c r="AC428" s="43"/>
      <c r="AD428" s="44"/>
      <c r="AE428" s="38"/>
    </row>
    <row r="429" spans="1:31" ht="21.2" customHeight="1">
      <c r="A429" s="8" t="s">
        <v>658</v>
      </c>
      <c r="B429" s="34" t="str">
        <f>VLOOKUP(A429,'Player Data'!A1:B734,2,FALSE)</f>
        <v>FLA</v>
      </c>
      <c r="C429" s="36">
        <f>((E429)*Settings!$C$12)+(F429*Settings!$C$2)+(G429*Settings!$C$3)+(H429*Settings!$C$4)+(I429*Settings!$C$5)+(K429*Settings!$C$9)+(N429*Settings!$C$6)+(J429*Settings!$C$8)+(O429*Settings!$C$7)+(P429*Settings!$C$14)+(Q429*Settings!$C$15)+(R429*Settings!$C$16)+(S429*Settings!$C$17)+(T429*Settings!$C$18)+(U429*Settings!$C$19)+(L429*Settings!$C$10)+(Settings!$C$11*M429)</f>
        <v>-3.1769567964247893</v>
      </c>
      <c r="D429" s="40">
        <f>IF(Settings!$E$12="YES",VLOOKUP(A429,'Player Data'!A1:E734,5,FALSE),82)</f>
        <v>82</v>
      </c>
      <c r="E429" s="38">
        <f>(VLOOKUP($A429,'The List'!$B1:$AH730,17,FALSE)-AVERAGE('The List'!R2:R730))/STDEV('The List'!R2:R730)</f>
        <v>-1.3690730324054305</v>
      </c>
      <c r="F429" s="38">
        <f>(VLOOKUP($A429,'The List'!$B1:$AH730,18,FALSE)-AVERAGE('The List'!S2:S730))/STDEV('The List'!S2:S730)</f>
        <v>-0.56181467249331751</v>
      </c>
      <c r="G429" s="38">
        <f>(VLOOKUP($A429,'The List'!$B1:$AH730,19,FALSE)-AVERAGE('The List'!T2:T730))/STDEV('The List'!T2:T730)</f>
        <v>-0.57742034405506559</v>
      </c>
      <c r="H429" s="38">
        <f>(VLOOKUP($A429,'The List'!$B1:$AH730,20,FALSE)-AVERAGE('The List'!U2:U730))/STDEV('The List'!U2:U730)</f>
        <v>-0.61602005921870706</v>
      </c>
      <c r="I429" s="38">
        <f>(VLOOKUP($A429,'The List'!$B1:$AH730,21,FALSE)-AVERAGE('The List'!V2:V730))/STDEV('The List'!V2:V730)</f>
        <v>-0.60967137754132772</v>
      </c>
      <c r="J429" s="38">
        <f>(VLOOKUP($A429,'The List'!$B1:$AH730,22,FALSE)-AVERAGE('The List'!W2:W730))/STDEV('The List'!W2:W730)</f>
        <v>-0.71983479329194766</v>
      </c>
      <c r="K429" s="38">
        <f>(VLOOKUP($A429,'The List'!$B1:$AH730,23,FALSE)-AVERAGE('The List'!X2:X730))/STDEV('The List'!X2:X730)</f>
        <v>-0.81203034311637134</v>
      </c>
      <c r="L429" s="38">
        <f>(VLOOKUP($A429,'The List'!$B1:$AH730,24,FALSE)-AVERAGE('The List'!Y2:Y730))/STDEV('The List'!Y2:Y730)</f>
        <v>-0.5059779457131236</v>
      </c>
      <c r="M429" s="38">
        <f>(VLOOKUP($A429,'The List'!$B1:$AH730,25,FALSE)-AVERAGE('The List'!Z2:Z730))/STDEV('The List'!Z2:Z730)</f>
        <v>-0.6824790129702667</v>
      </c>
      <c r="N429" s="38">
        <f>(VLOOKUP($A429,'The List'!$B1:$AH730,26,FALSE)-AVERAGE('The List'!AA2:AA730))/STDEV('The List'!AA2:AA730)</f>
        <v>-0.68093394378312688</v>
      </c>
      <c r="O429" s="38">
        <f>(VLOOKUP($A429,'The List'!$B1:$AH730,27,FALSE)-AVERAGE('The List'!AB2:AB730))/STDEV('The List'!AB2:AB730)</f>
        <v>-0.17447081834304234</v>
      </c>
      <c r="P429" s="38">
        <f>(VLOOKUP($A429,'The List'!$B1:$AH730,28,FALSE)-AVERAGE('The List'!AC2:AC730))/STDEV('The List'!AC2:AC730)</f>
        <v>0.4022209062944429</v>
      </c>
      <c r="Q429" s="38">
        <f>(VLOOKUP($A429,'The List'!$B1:$AH730,29,FALSE)-AVERAGE('The List'!AD2:AD730))/STDEV('The List'!AD2:AD730)</f>
        <v>5.8264119432892496E-2</v>
      </c>
      <c r="R429" s="38">
        <f>(VLOOKUP($A429,'The List'!$B1:$AH730,30,FALSE)-AVERAGE('The List'!AE2:AE730))/STDEV('The List'!AE2:AE730)</f>
        <v>-0.49662121715139929</v>
      </c>
      <c r="S429" s="38">
        <f>(VLOOKUP($A429,'The List'!$B1:$AH730,31,FALSE)-AVERAGE('The List'!AF2:AF730))/STDEV('The List'!AF2:AF730)</f>
        <v>-0.27622532774669967</v>
      </c>
      <c r="T429" s="38">
        <f>(VLOOKUP($A429,'The List'!$B1:$AH730,32,FALSE)-AVERAGE('The List'!AG2:AG730))/STDEV('The List'!AG2:AG730)</f>
        <v>-0.29714350870865025</v>
      </c>
      <c r="U429" s="38">
        <f>(VLOOKUP($A429,'The List'!$B1:$AH730,33,FALSE)-AVERAGE('The List'!AH2:AH730))/STDEV('The List'!AH2:AH730)</f>
        <v>0.98489721267893893</v>
      </c>
      <c r="V429" s="38"/>
      <c r="W429" s="42"/>
      <c r="X429" s="40"/>
      <c r="Y429" s="40"/>
      <c r="Z429" s="40"/>
      <c r="AA429" s="40"/>
      <c r="AB429" s="40"/>
      <c r="AC429" s="43"/>
      <c r="AD429" s="44"/>
      <c r="AE429" s="38"/>
    </row>
    <row r="430" spans="1:31" ht="21.2" customHeight="1">
      <c r="A430" s="8" t="s">
        <v>748</v>
      </c>
      <c r="B430" s="34" t="str">
        <f>VLOOKUP(A430,'Player Data'!A1:B734,2,FALSE)</f>
        <v>PIT</v>
      </c>
      <c r="C430" s="36">
        <f>((E430)*Settings!$C$12)+(F430*Settings!$C$2)+(G430*Settings!$C$3)+(H430*Settings!$C$4)+(I430*Settings!$C$5)+(K430*Settings!$C$9)+(N430*Settings!$C$6)+(J430*Settings!$C$8)+(O430*Settings!$C$7)+(P430*Settings!$C$14)+(Q430*Settings!$C$15)+(R430*Settings!$C$16)+(S430*Settings!$C$17)+(T430*Settings!$C$18)+(U430*Settings!$C$19)+(L430*Settings!$C$10)+(Settings!$C$11*M430)</f>
        <v>-3.3040523489701288</v>
      </c>
      <c r="D430" s="40">
        <f>IF(Settings!$E$12="YES",VLOOKUP(A430,'Player Data'!A1:E734,5,FALSE),82)</f>
        <v>82</v>
      </c>
      <c r="E430" s="38">
        <f>(VLOOKUP($A430,'The List'!$B1:$AH730,17,FALSE)-AVERAGE('The List'!R2:R730))/STDEV('The List'!R2:R730)</f>
        <v>-1.4704771192733554</v>
      </c>
      <c r="F430" s="38">
        <f>(VLOOKUP($A430,'The List'!$B1:$AH730,18,FALSE)-AVERAGE('The List'!S2:S730))/STDEV('The List'!S2:S730)</f>
        <v>-0.47974349138562156</v>
      </c>
      <c r="G430" s="38">
        <f>(VLOOKUP($A430,'The List'!$B1:$AH730,19,FALSE)-AVERAGE('The List'!T2:T730))/STDEV('The List'!T2:T730)</f>
        <v>-0.64298763186192598</v>
      </c>
      <c r="H430" s="38">
        <f>(VLOOKUP($A430,'The List'!$B1:$AH730,20,FALSE)-AVERAGE('The List'!U2:U730))/STDEV('The List'!U2:U730)</f>
        <v>-0.61816105024587376</v>
      </c>
      <c r="I430" s="38">
        <f>(VLOOKUP($A430,'The List'!$B1:$AH730,21,FALSE)-AVERAGE('The List'!V2:V730))/STDEV('The List'!V2:V730)</f>
        <v>-0.75366395785383933</v>
      </c>
      <c r="J430" s="38">
        <f>(VLOOKUP($A430,'The List'!$B1:$AH730,22,FALSE)-AVERAGE('The List'!W2:W730))/STDEV('The List'!W2:W730)</f>
        <v>-0.71469648729225366</v>
      </c>
      <c r="K430" s="38">
        <f>(VLOOKUP($A430,'The List'!$B1:$AH730,23,FALSE)-AVERAGE('The List'!X2:X730))/STDEV('The List'!X2:X730)</f>
        <v>-0.80949621762286805</v>
      </c>
      <c r="L430" s="38">
        <f>(VLOOKUP($A430,'The List'!$B1:$AH730,24,FALSE)-AVERAGE('The List'!Y2:Y730))/STDEV('The List'!Y2:Y730)</f>
        <v>-0.38738817690943422</v>
      </c>
      <c r="M430" s="38">
        <f>(VLOOKUP($A430,'The List'!$B1:$AH730,25,FALSE)-AVERAGE('The List'!Z2:Z730))/STDEV('The List'!Z2:Z730)</f>
        <v>-6.3212162320924789E-2</v>
      </c>
      <c r="N430" s="38">
        <f>(VLOOKUP($A430,'The List'!$B1:$AH730,26,FALSE)-AVERAGE('The List'!AA2:AA730))/STDEV('The List'!AA2:AA730)</f>
        <v>-1.0688279344825264</v>
      </c>
      <c r="O430" s="38">
        <f>(VLOOKUP($A430,'The List'!$B1:$AH730,27,FALSE)-AVERAGE('The List'!AB2:AB730))/STDEV('The List'!AB2:AB730)</f>
        <v>-1.0884797242815909</v>
      </c>
      <c r="P430" s="38">
        <f>(VLOOKUP($A430,'The List'!$B1:$AH730,28,FALSE)-AVERAGE('The List'!AC2:AC730))/STDEV('The List'!AC2:AC730)</f>
        <v>8.5070835825483554E-2</v>
      </c>
      <c r="Q430" s="38">
        <f>(VLOOKUP($A430,'The List'!$B1:$AH730,29,FALSE)-AVERAGE('The List'!AD2:AD730))/STDEV('The List'!AD2:AD730)</f>
        <v>-0.79869924753442156</v>
      </c>
      <c r="R430" s="38">
        <f>(VLOOKUP($A430,'The List'!$B1:$AH730,30,FALSE)-AVERAGE('The List'!AE2:AE730))/STDEV('The List'!AE2:AE730)</f>
        <v>-0.32100350318547327</v>
      </c>
      <c r="S430" s="38">
        <f>(VLOOKUP($A430,'The List'!$B1:$AH730,31,FALSE)-AVERAGE('The List'!AF2:AF730))/STDEV('The List'!AF2:AF730)</f>
        <v>-0.53421658875718958</v>
      </c>
      <c r="T430" s="38">
        <f>(VLOOKUP($A430,'The List'!$B1:$AH730,32,FALSE)-AVERAGE('The List'!AG2:AG730))/STDEV('The List'!AG2:AG730)</f>
        <v>-0.5434403425286074</v>
      </c>
      <c r="U430" s="38">
        <f>(VLOOKUP($A430,'The List'!$B1:$AH730,33,FALSE)-AVERAGE('The List'!AH2:AH730))/STDEV('The List'!AH2:AH730)</f>
        <v>0.29235479488699628</v>
      </c>
      <c r="V430" s="38"/>
      <c r="W430" s="40"/>
      <c r="X430" s="38"/>
      <c r="Y430" s="38"/>
      <c r="Z430" s="38"/>
      <c r="AA430" s="38"/>
      <c r="AB430" s="38"/>
      <c r="AC430" s="38"/>
      <c r="AD430" s="38"/>
      <c r="AE430" s="38"/>
    </row>
    <row r="431" spans="1:31" ht="21.2" customHeight="1">
      <c r="A431" s="8" t="s">
        <v>699</v>
      </c>
      <c r="B431" s="34" t="str">
        <f>VLOOKUP(A431,'Player Data'!A1:B734,2,FALSE)</f>
        <v>VAN</v>
      </c>
      <c r="C431" s="36">
        <f>((E431)*Settings!$C$12)+(F431*Settings!$C$2)+(G431*Settings!$C$3)+(H431*Settings!$C$4)+(I431*Settings!$C$5)+(K431*Settings!$C$9)+(N431*Settings!$C$6)+(J431*Settings!$C$8)+(O431*Settings!$C$7)+(P431*Settings!$C$14)+(Q431*Settings!$C$15)+(R431*Settings!$C$16)+(S431*Settings!$C$17)+(T431*Settings!$C$18)+(U431*Settings!$C$19)+(L431*Settings!$C$10)+(Settings!$C$11*M431)</f>
        <v>-3.2771970947890514</v>
      </c>
      <c r="D431" s="40">
        <f>IF(Settings!$E$12="YES",VLOOKUP(A431,'Player Data'!A1:E734,5,FALSE),82)</f>
        <v>82</v>
      </c>
      <c r="E431" s="38">
        <f>(VLOOKUP($A431,'The List'!$B1:$AH730,17,FALSE)-AVERAGE('The List'!R2:R730))/STDEV('The List'!R2:R730)</f>
        <v>-0.94333609506870031</v>
      </c>
      <c r="F431" s="38">
        <f>(VLOOKUP($A431,'The List'!$B1:$AH730,18,FALSE)-AVERAGE('The List'!S2:S730))/STDEV('The List'!S2:S730)</f>
        <v>-0.64799673442110284</v>
      </c>
      <c r="G431" s="38">
        <f>(VLOOKUP($A431,'The List'!$B1:$AH730,19,FALSE)-AVERAGE('The List'!T2:T730))/STDEV('The List'!T2:T730)</f>
        <v>-0.53407585361486209</v>
      </c>
      <c r="H431" s="38">
        <f>(VLOOKUP($A431,'The List'!$B1:$AH730,20,FALSE)-AVERAGE('The List'!U2:U730))/STDEV('The List'!U2:U730)</f>
        <v>-0.62944688938417792</v>
      </c>
      <c r="I431" s="38">
        <f>(VLOOKUP($A431,'The List'!$B1:$AH730,21,FALSE)-AVERAGE('The List'!V2:V730))/STDEV('The List'!V2:V730)</f>
        <v>-0.65484483448461539</v>
      </c>
      <c r="J431" s="38">
        <f>(VLOOKUP($A431,'The List'!$B1:$AH730,22,FALSE)-AVERAGE('The List'!W2:W730))/STDEV('The List'!W2:W730)</f>
        <v>-0.72122436938758527</v>
      </c>
      <c r="K431" s="38">
        <f>(VLOOKUP($A431,'The List'!$B1:$AH730,23,FALSE)-AVERAGE('The List'!X2:X730))/STDEV('The List'!X2:X730)</f>
        <v>-0.81083278288429317</v>
      </c>
      <c r="L431" s="38">
        <f>(VLOOKUP($A431,'The List'!$B1:$AH730,24,FALSE)-AVERAGE('The List'!Y2:Y730))/STDEV('The List'!Y2:Y730)</f>
        <v>1.200606194388657</v>
      </c>
      <c r="M431" s="38">
        <f>(VLOOKUP($A431,'The List'!$B1:$AH730,25,FALSE)-AVERAGE('The List'!Z2:Z730))/STDEV('The List'!Z2:Z730)</f>
        <v>1.429441855183436</v>
      </c>
      <c r="N431" s="38">
        <f>(VLOOKUP($A431,'The List'!$B1:$AH730,26,FALSE)-AVERAGE('The List'!AA2:AA730))/STDEV('The List'!AA2:AA730)</f>
        <v>-0.32609263022380475</v>
      </c>
      <c r="O431" s="38">
        <f>(VLOOKUP($A431,'The List'!$B1:$AH730,27,FALSE)-AVERAGE('The List'!AB2:AB730))/STDEV('The List'!AB2:AB730)</f>
        <v>-5.5105177826295378E-2</v>
      </c>
      <c r="P431" s="38">
        <f>(VLOOKUP($A431,'The List'!$B1:$AH730,28,FALSE)-AVERAGE('The List'!AC2:AC730))/STDEV('The List'!AC2:AC730)</f>
        <v>-0.20039829036553347</v>
      </c>
      <c r="Q431" s="38">
        <f>(VLOOKUP($A431,'The List'!$B1:$AH730,29,FALSE)-AVERAGE('The List'!AD2:AD730))/STDEV('The List'!AD2:AD730)</f>
        <v>-1.1167971402058685</v>
      </c>
      <c r="R431" s="38">
        <f>(VLOOKUP($A431,'The List'!$B1:$AH730,30,FALSE)-AVERAGE('The List'!AE2:AE730))/STDEV('The List'!AE2:AE730)</f>
        <v>-0.58602980194062448</v>
      </c>
      <c r="S431" s="38">
        <f>(VLOOKUP($A431,'The List'!$B1:$AH730,31,FALSE)-AVERAGE('The List'!AF2:AF730))/STDEV('The List'!AF2:AF730)</f>
        <v>1.2349326462492671</v>
      </c>
      <c r="T431" s="38">
        <f>(VLOOKUP($A431,'The List'!$B1:$AH730,32,FALSE)-AVERAGE('The List'!AG2:AG730))/STDEV('The List'!AG2:AG730)</f>
        <v>1.149052672171381</v>
      </c>
      <c r="U431" s="38">
        <f>(VLOOKUP($A431,'The List'!$B1:$AH730,33,FALSE)-AVERAGE('The List'!AH2:AH730))/STDEV('The List'!AH2:AH730)</f>
        <v>1.1028278063409487</v>
      </c>
      <c r="V431" s="38"/>
      <c r="W431" s="42"/>
      <c r="X431" s="40"/>
      <c r="Y431" s="40"/>
      <c r="Z431" s="40"/>
      <c r="AA431" s="40"/>
      <c r="AB431" s="40"/>
      <c r="AC431" s="43"/>
      <c r="AD431" s="44"/>
      <c r="AE431" s="38"/>
    </row>
    <row r="432" spans="1:31" ht="21.2" customHeight="1">
      <c r="A432" s="8" t="s">
        <v>712</v>
      </c>
      <c r="B432" s="34" t="str">
        <f>VLOOKUP(A432,'Player Data'!A1:B734,2,FALSE)</f>
        <v>STL</v>
      </c>
      <c r="C432" s="36">
        <f>((E432)*Settings!$C$12)+(F432*Settings!$C$2)+(G432*Settings!$C$3)+(H432*Settings!$C$4)+(I432*Settings!$C$5)+(K432*Settings!$C$9)+(N432*Settings!$C$6)+(J432*Settings!$C$8)+(O432*Settings!$C$7)+(P432*Settings!$C$14)+(Q432*Settings!$C$15)+(R432*Settings!$C$16)+(S432*Settings!$C$17)+(T432*Settings!$C$18)+(U432*Settings!$C$19)+(L432*Settings!$C$10)+(Settings!$C$11*M432)</f>
        <v>-2.9400181095136171</v>
      </c>
      <c r="D432" s="40">
        <f>IF(Settings!$E$12="YES",VLOOKUP(A432,'Player Data'!A1:E734,5,FALSE),82)</f>
        <v>82</v>
      </c>
      <c r="E432" s="38">
        <f>(VLOOKUP($A432,'The List'!$B1:$AH730,17,FALSE)-AVERAGE('The List'!R2:R730))/STDEV('The List'!R2:R730)</f>
        <v>-1.1541593454766692</v>
      </c>
      <c r="F432" s="38">
        <f>(VLOOKUP($A432,'The List'!$B1:$AH730,18,FALSE)-AVERAGE('The List'!S2:S730))/STDEV('The List'!S2:S730)</f>
        <v>-0.18808602943006619</v>
      </c>
      <c r="G432" s="38">
        <f>(VLOOKUP($A432,'The List'!$B1:$AH730,19,FALSE)-AVERAGE('The List'!T2:T730))/STDEV('The List'!T2:T730)</f>
        <v>-0.88940902016289169</v>
      </c>
      <c r="H432" s="38">
        <f>(VLOOKUP($A432,'The List'!$B1:$AH730,20,FALSE)-AVERAGE('The List'!U2:U730))/STDEV('The List'!U2:U730)</f>
        <v>-0.63401297065893525</v>
      </c>
      <c r="I432" s="38">
        <f>(VLOOKUP($A432,'The List'!$B1:$AH730,21,FALSE)-AVERAGE('The List'!V2:V730))/STDEV('The List'!V2:V730)</f>
        <v>-0.68670404024119469</v>
      </c>
      <c r="J432" s="38">
        <f>(VLOOKUP($A432,'The List'!$B1:$AH730,22,FALSE)-AVERAGE('The List'!W2:W730))/STDEV('The List'!W2:W730)</f>
        <v>-0.39923969339023518</v>
      </c>
      <c r="K432" s="38">
        <f>(VLOOKUP($A432,'The List'!$B1:$AH730,23,FALSE)-AVERAGE('The List'!X2:X730))/STDEV('The List'!X2:X730)</f>
        <v>-0.54180604902052898</v>
      </c>
      <c r="L432" s="38">
        <f>(VLOOKUP($A432,'The List'!$B1:$AH730,24,FALSE)-AVERAGE('The List'!Y2:Y730))/STDEV('The List'!Y2:Y730)</f>
        <v>-0.39749555816766641</v>
      </c>
      <c r="M432" s="38">
        <f>(VLOOKUP($A432,'The List'!$B1:$AH730,25,FALSE)-AVERAGE('The List'!Z2:Z730))/STDEV('The List'!Z2:Z730)</f>
        <v>-0.5453216761916595</v>
      </c>
      <c r="N432" s="38">
        <f>(VLOOKUP($A432,'The List'!$B1:$AH730,26,FALSE)-AVERAGE('The List'!AA2:AA730))/STDEV('The List'!AA2:AA730)</f>
        <v>-0.67162768635058245</v>
      </c>
      <c r="O432" s="38">
        <f>(VLOOKUP($A432,'The List'!$B1:$AH730,27,FALSE)-AVERAGE('The List'!AB2:AB730))/STDEV('The List'!AB2:AB730)</f>
        <v>0.28048825340520489</v>
      </c>
      <c r="P432" s="38">
        <f>(VLOOKUP($A432,'The List'!$B1:$AH730,28,FALSE)-AVERAGE('The List'!AC2:AC730))/STDEV('The List'!AC2:AC730)</f>
        <v>-1.5006504687457394</v>
      </c>
      <c r="Q432" s="38">
        <f>(VLOOKUP($A432,'The List'!$B1:$AH730,29,FALSE)-AVERAGE('The List'!AD2:AD730))/STDEV('The List'!AD2:AD730)</f>
        <v>-1.2034505521070512E-2</v>
      </c>
      <c r="R432" s="38">
        <f>(VLOOKUP($A432,'The List'!$B1:$AH730,30,FALSE)-AVERAGE('The List'!AE2:AE730))/STDEV('The List'!AE2:AE730)</f>
        <v>-0.36591792806216522</v>
      </c>
      <c r="S432" s="38">
        <f>(VLOOKUP($A432,'The List'!$B1:$AH730,31,FALSE)-AVERAGE('The List'!AF2:AF730))/STDEV('The List'!AF2:AF730)</f>
        <v>-0.50833448702105821</v>
      </c>
      <c r="T432" s="38">
        <f>(VLOOKUP($A432,'The List'!$B1:$AH730,32,FALSE)-AVERAGE('The List'!AG2:AG730))/STDEV('The List'!AG2:AG730)</f>
        <v>-0.50370662001970046</v>
      </c>
      <c r="U432" s="38">
        <f>(VLOOKUP($A432,'The List'!$B1:$AH730,33,FALSE)-AVERAGE('The List'!AH2:AH730))/STDEV('The List'!AH2:AH730)</f>
        <v>0.40933989743897892</v>
      </c>
      <c r="V432" s="38"/>
      <c r="W432" s="40"/>
      <c r="X432" s="38"/>
      <c r="Y432" s="38"/>
      <c r="Z432" s="38"/>
      <c r="AA432" s="38"/>
      <c r="AB432" s="38"/>
      <c r="AC432" s="38"/>
      <c r="AD432" s="38"/>
      <c r="AE432" s="38"/>
    </row>
    <row r="433" spans="1:31" ht="21.2" customHeight="1">
      <c r="A433" s="8" t="s">
        <v>632</v>
      </c>
      <c r="B433" s="34" t="str">
        <f>VLOOKUP(A433,'Player Data'!A1:B734,2,FALSE)</f>
        <v>UFA</v>
      </c>
      <c r="C433" s="36">
        <f>((E433)*Settings!$C$12)+(F433*Settings!$C$2)+(G433*Settings!$C$3)+(H433*Settings!$C$4)+(I433*Settings!$C$5)+(K433*Settings!$C$9)+(N433*Settings!$C$6)+(J433*Settings!$C$8)+(O433*Settings!$C$7)+(P433*Settings!$C$14)+(Q433*Settings!$C$15)+(R433*Settings!$C$16)+(S433*Settings!$C$17)+(T433*Settings!$C$18)+(U433*Settings!$C$19)+(L433*Settings!$C$10)+(Settings!$C$11*M433)</f>
        <v>-2.2738576876169145</v>
      </c>
      <c r="D433" s="40">
        <f>IF(Settings!$E$12="YES",VLOOKUP(A433,'Player Data'!A1:E734,5,FALSE),82)</f>
        <v>82</v>
      </c>
      <c r="E433" s="38">
        <f>(VLOOKUP($A433,'The List'!$B1:$AH730,17,FALSE)-AVERAGE('The List'!R2:R730))/STDEV('The List'!R2:R730)</f>
        <v>-1.1519831876107249</v>
      </c>
      <c r="F433" s="38">
        <f>(VLOOKUP($A433,'The List'!$B1:$AH730,18,FALSE)-AVERAGE('The List'!S2:S730))/STDEV('The List'!S2:S730)</f>
        <v>-0.20124413951823958</v>
      </c>
      <c r="G433" s="38">
        <f>(VLOOKUP($A433,'The List'!$B1:$AH730,19,FALSE)-AVERAGE('The List'!T2:T730))/STDEV('The List'!T2:T730)</f>
        <v>-0.88786889236211886</v>
      </c>
      <c r="H433" s="38">
        <f>(VLOOKUP($A433,'The List'!$B1:$AH730,20,FALSE)-AVERAGE('The List'!U2:U730))/STDEV('The List'!U2:U730)</f>
        <v>-0.6391833533205642</v>
      </c>
      <c r="I433" s="38">
        <f>(VLOOKUP($A433,'The List'!$B1:$AH730,21,FALSE)-AVERAGE('The List'!V2:V730))/STDEV('The List'!V2:V730)</f>
        <v>0.23906020716018278</v>
      </c>
      <c r="J433" s="38">
        <f>(VLOOKUP($A433,'The List'!$B1:$AH730,22,FALSE)-AVERAGE('The List'!W2:W730))/STDEV('The List'!W2:W730)</f>
        <v>-0.71094354531198234</v>
      </c>
      <c r="K433" s="38">
        <f>(VLOOKUP($A433,'The List'!$B1:$AH730,23,FALSE)-AVERAGE('The List'!X2:X730))/STDEV('The List'!X2:X730)</f>
        <v>-0.78462150957617471</v>
      </c>
      <c r="L433" s="38">
        <f>(VLOOKUP($A433,'The List'!$B1:$AH730,24,FALSE)-AVERAGE('The List'!Y2:Y730))/STDEV('The List'!Y2:Y730)</f>
        <v>-0.52515529094994673</v>
      </c>
      <c r="M433" s="38">
        <f>(VLOOKUP($A433,'The List'!$B1:$AH730,25,FALSE)-AVERAGE('The List'!Z2:Z730))/STDEV('The List'!Z2:Z730)</f>
        <v>-0.70378350861314143</v>
      </c>
      <c r="N433" s="38">
        <f>(VLOOKUP($A433,'The List'!$B1:$AH730,26,FALSE)-AVERAGE('The List'!AA2:AA730))/STDEV('The List'!AA2:AA730)</f>
        <v>-0.41595571862044201</v>
      </c>
      <c r="O433" s="38">
        <f>(VLOOKUP($A433,'The List'!$B1:$AH730,27,FALSE)-AVERAGE('The List'!AB2:AB730))/STDEV('The List'!AB2:AB730)</f>
        <v>0.571011434234864</v>
      </c>
      <c r="P433" s="38">
        <f>(VLOOKUP($A433,'The List'!$B1:$AH730,28,FALSE)-AVERAGE('The List'!AC2:AC730))/STDEV('The List'!AC2:AC730)</f>
        <v>-0.31880880613665796</v>
      </c>
      <c r="Q433" s="38">
        <f>(VLOOKUP($A433,'The List'!$B1:$AH730,29,FALSE)-AVERAGE('The List'!AD2:AD730))/STDEV('The List'!AD2:AD730)</f>
        <v>-0.22967004910713465</v>
      </c>
      <c r="R433" s="38">
        <f>(VLOOKUP($A433,'The List'!$B1:$AH730,30,FALSE)-AVERAGE('The List'!AE2:AE730))/STDEV('The List'!AE2:AE730)</f>
        <v>-1.2515972607254897</v>
      </c>
      <c r="S433" s="38">
        <f>(VLOOKUP($A433,'The List'!$B1:$AH730,31,FALSE)-AVERAGE('The List'!AF2:AF730))/STDEV('The List'!AF2:AF730)</f>
        <v>-0.50278208757040799</v>
      </c>
      <c r="T433" s="38">
        <f>(VLOOKUP($A433,'The List'!$B1:$AH730,32,FALSE)-AVERAGE('The List'!AG2:AG730))/STDEV('The List'!AG2:AG730)</f>
        <v>-0.46701590061885184</v>
      </c>
      <c r="U433" s="38">
        <f>(VLOOKUP($A433,'The List'!$B1:$AH730,33,FALSE)-AVERAGE('The List'!AH2:AH730))/STDEV('The List'!AH2:AH730)</f>
        <v>0.20897749214418071</v>
      </c>
      <c r="V433" s="38"/>
      <c r="W433" s="42"/>
      <c r="X433" s="40"/>
      <c r="Y433" s="40"/>
      <c r="Z433" s="40"/>
      <c r="AA433" s="40"/>
      <c r="AB433" s="40"/>
      <c r="AC433" s="43"/>
      <c r="AD433" s="44"/>
      <c r="AE433" s="38"/>
    </row>
    <row r="434" spans="1:31" ht="21.2" customHeight="1">
      <c r="A434" s="8" t="s">
        <v>723</v>
      </c>
      <c r="B434" s="34" t="str">
        <f>VLOOKUP(A434,'Player Data'!A1:B734,2,FALSE)</f>
        <v>WSH</v>
      </c>
      <c r="C434" s="36">
        <f>((E434)*Settings!$C$12)+(F434*Settings!$C$2)+(G434*Settings!$C$3)+(H434*Settings!$C$4)+(I434*Settings!$C$5)+(K434*Settings!$C$9)+(N434*Settings!$C$6)+(J434*Settings!$C$8)+(O434*Settings!$C$7)+(P434*Settings!$C$14)+(Q434*Settings!$C$15)+(R434*Settings!$C$16)+(S434*Settings!$C$17)+(T434*Settings!$C$18)+(U434*Settings!$C$19)+(L434*Settings!$C$10)+(Settings!$C$11*M434)</f>
        <v>-3.181932982573926</v>
      </c>
      <c r="D434" s="40">
        <f>IF(Settings!$E$12="YES",VLOOKUP(A434,'Player Data'!A1:E734,5,FALSE),82)</f>
        <v>82</v>
      </c>
      <c r="E434" s="38">
        <f>(VLOOKUP($A434,'The List'!$B1:$AH730,17,FALSE)-AVERAGE('The List'!R2:R730))/STDEV('The List'!R2:R730)</f>
        <v>-1.2752321029289946</v>
      </c>
      <c r="F434" s="38">
        <f>(VLOOKUP($A434,'The List'!$B1:$AH730,18,FALSE)-AVERAGE('The List'!S2:S730))/STDEV('The List'!S2:S730)</f>
        <v>-0.56185219289752264</v>
      </c>
      <c r="G434" s="38">
        <f>(VLOOKUP($A434,'The List'!$B1:$AH730,19,FALSE)-AVERAGE('The List'!T2:T730))/STDEV('The List'!T2:T730)</f>
        <v>-0.61946922151378203</v>
      </c>
      <c r="H434" s="38">
        <f>(VLOOKUP($A434,'The List'!$B1:$AH730,20,FALSE)-AVERAGE('The List'!U2:U730))/STDEV('The List'!U2:U730)</f>
        <v>-0.64187819074361041</v>
      </c>
      <c r="I434" s="38">
        <f>(VLOOKUP($A434,'The List'!$B1:$AH730,21,FALSE)-AVERAGE('The List'!V2:V730))/STDEV('The List'!V2:V730)</f>
        <v>-0.54806344210051727</v>
      </c>
      <c r="J434" s="38">
        <f>(VLOOKUP($A434,'The List'!$B1:$AH730,22,FALSE)-AVERAGE('The List'!W2:W730))/STDEV('The List'!W2:W730)</f>
        <v>-0.72332815981276544</v>
      </c>
      <c r="K434" s="38">
        <f>(VLOOKUP($A434,'The List'!$B1:$AH730,23,FALSE)-AVERAGE('The List'!X2:X730))/STDEV('The List'!X2:X730)</f>
        <v>-0.81066993531849341</v>
      </c>
      <c r="L434" s="38">
        <f>(VLOOKUP($A434,'The List'!$B1:$AH730,24,FALSE)-AVERAGE('The List'!Y2:Y730))/STDEV('The List'!Y2:Y730)</f>
        <v>-0.13735813966772767</v>
      </c>
      <c r="M434" s="38">
        <f>(VLOOKUP($A434,'The List'!$B1:$AH730,25,FALSE)-AVERAGE('The List'!Z2:Z730))/STDEV('The List'!Z2:Z730)</f>
        <v>-0.21970087653299739</v>
      </c>
      <c r="N434" s="38">
        <f>(VLOOKUP($A434,'The List'!$B1:$AH730,26,FALSE)-AVERAGE('The List'!AA2:AA730))/STDEV('The List'!AA2:AA730)</f>
        <v>-0.92327617408544216</v>
      </c>
      <c r="O434" s="38">
        <f>(VLOOKUP($A434,'The List'!$B1:$AH730,27,FALSE)-AVERAGE('The List'!AB2:AB730))/STDEV('The List'!AB2:AB730)</f>
        <v>-0.71067803931902618</v>
      </c>
      <c r="P434" s="38">
        <f>(VLOOKUP($A434,'The List'!$B1:$AH730,28,FALSE)-AVERAGE('The List'!AC2:AC730))/STDEV('The List'!AC2:AC730)</f>
        <v>-0.62944398066854501</v>
      </c>
      <c r="Q434" s="38">
        <f>(VLOOKUP($A434,'The List'!$B1:$AH730,29,FALSE)-AVERAGE('The List'!AD2:AD730))/STDEV('The List'!AD2:AD730)</f>
        <v>-1.1836425950672171</v>
      </c>
      <c r="R434" s="38">
        <f>(VLOOKUP($A434,'The List'!$B1:$AH730,30,FALSE)-AVERAGE('The List'!AE2:AE730))/STDEV('The List'!AE2:AE730)</f>
        <v>-0.60425874820363756</v>
      </c>
      <c r="S434" s="38">
        <f>(VLOOKUP($A434,'The List'!$B1:$AH730,31,FALSE)-AVERAGE('The List'!AF2:AF730))/STDEV('The List'!AF2:AF730)</f>
        <v>-0.37017788327068452</v>
      </c>
      <c r="T434" s="38">
        <f>(VLOOKUP($A434,'The List'!$B1:$AH730,32,FALSE)-AVERAGE('The List'!AG2:AG730))/STDEV('The List'!AG2:AG730)</f>
        <v>-0.25501911102136021</v>
      </c>
      <c r="U434" s="38">
        <f>(VLOOKUP($A434,'The List'!$B1:$AH730,33,FALSE)-AVERAGE('The List'!AH2:AH730))/STDEV('The List'!AH2:AH730)</f>
        <v>0.42239120514313194</v>
      </c>
      <c r="V434" s="38"/>
      <c r="W434" s="40"/>
      <c r="X434" s="38"/>
      <c r="Y434" s="38"/>
      <c r="Z434" s="38"/>
      <c r="AA434" s="38"/>
      <c r="AB434" s="38"/>
      <c r="AC434" s="38"/>
      <c r="AD434" s="38"/>
      <c r="AE434" s="38"/>
    </row>
    <row r="435" spans="1:31" ht="21.2" customHeight="1">
      <c r="A435" s="8" t="s">
        <v>634</v>
      </c>
      <c r="B435" s="34" t="str">
        <f>VLOOKUP(A435,'Player Data'!A1:B734,2,FALSE)</f>
        <v>BUF</v>
      </c>
      <c r="C435" s="36">
        <f>((E435)*Settings!$C$12)+(F435*Settings!$C$2)+(G435*Settings!$C$3)+(H435*Settings!$C$4)+(I435*Settings!$C$5)+(K435*Settings!$C$9)+(N435*Settings!$C$6)+(J435*Settings!$C$8)+(O435*Settings!$C$7)+(P435*Settings!$C$14)+(Q435*Settings!$C$15)+(R435*Settings!$C$16)+(S435*Settings!$C$17)+(T435*Settings!$C$18)+(U435*Settings!$C$19)+(L435*Settings!$C$10)+(Settings!$C$11*M435)</f>
        <v>-2.6238900985348073</v>
      </c>
      <c r="D435" s="40">
        <f>IF(Settings!$E$12="YES",VLOOKUP(A435,'Player Data'!A1:E734,5,FALSE),82)</f>
        <v>82</v>
      </c>
      <c r="E435" s="38">
        <f>(VLOOKUP($A435,'The List'!$B1:$AH730,17,FALSE)-AVERAGE('The List'!R2:R730))/STDEV('The List'!R2:R730)</f>
        <v>-1.0229241749028526</v>
      </c>
      <c r="F435" s="38">
        <f>(VLOOKUP($A435,'The List'!$B1:$AH730,18,FALSE)-AVERAGE('The List'!S2:S730))/STDEV('The List'!S2:S730)</f>
        <v>-0.42853464981101103</v>
      </c>
      <c r="G435" s="38">
        <f>(VLOOKUP($A435,'The List'!$B1:$AH730,19,FALSE)-AVERAGE('The List'!T2:T730))/STDEV('The List'!T2:T730)</f>
        <v>-0.72224853687108659</v>
      </c>
      <c r="H435" s="38">
        <f>(VLOOKUP($A435,'The List'!$B1:$AH730,20,FALSE)-AVERAGE('The List'!U2:U730))/STDEV('The List'!U2:U730)</f>
        <v>-0.64306437999732002</v>
      </c>
      <c r="I435" s="38">
        <f>(VLOOKUP($A435,'The List'!$B1:$AH730,21,FALSE)-AVERAGE('The List'!V2:V730))/STDEV('The List'!V2:V730)</f>
        <v>-0.14778958796792813</v>
      </c>
      <c r="J435" s="38">
        <f>(VLOOKUP($A435,'The List'!$B1:$AH730,22,FALSE)-AVERAGE('The List'!W2:W730))/STDEV('The List'!W2:W730)</f>
        <v>-0.59017376488119477</v>
      </c>
      <c r="K435" s="38">
        <f>(VLOOKUP($A435,'The List'!$B1:$AH730,23,FALSE)-AVERAGE('The List'!X2:X730))/STDEV('The List'!X2:X730)</f>
        <v>-0.68225294388746183</v>
      </c>
      <c r="L435" s="38">
        <f>(VLOOKUP($A435,'The List'!$B1:$AH730,24,FALSE)-AVERAGE('The List'!Y2:Y730))/STDEV('The List'!Y2:Y730)</f>
        <v>1.5448930729796027</v>
      </c>
      <c r="M435" s="38">
        <f>(VLOOKUP($A435,'The List'!$B1:$AH730,25,FALSE)-AVERAGE('The List'!Z2:Z730))/STDEV('The List'!Z2:Z730)</f>
        <v>0.64587232657970017</v>
      </c>
      <c r="N435" s="38">
        <f>(VLOOKUP($A435,'The List'!$B1:$AH730,26,FALSE)-AVERAGE('The List'!AA2:AA730))/STDEV('The List'!AA2:AA730)</f>
        <v>-0.97408393644982127</v>
      </c>
      <c r="O435" s="38">
        <f>(VLOOKUP($A435,'The List'!$B1:$AH730,27,FALSE)-AVERAGE('The List'!AB2:AB730))/STDEV('The List'!AB2:AB730)</f>
        <v>-0.53617573706348554</v>
      </c>
      <c r="P435" s="38">
        <f>(VLOOKUP($A435,'The List'!$B1:$AH730,28,FALSE)-AVERAGE('The List'!AC2:AC730))/STDEV('The List'!AC2:AC730)</f>
        <v>-0.60879128810089289</v>
      </c>
      <c r="Q435" s="38">
        <f>(VLOOKUP($A435,'The List'!$B1:$AH730,29,FALSE)-AVERAGE('The List'!AD2:AD730))/STDEV('The List'!AD2:AD730)</f>
        <v>-0.31526587591330579</v>
      </c>
      <c r="R435" s="38">
        <f>(VLOOKUP($A435,'The List'!$B1:$AH730,30,FALSE)-AVERAGE('The List'!AE2:AE730))/STDEV('The List'!AE2:AE730)</f>
        <v>-0.46673170919172696</v>
      </c>
      <c r="S435" s="38">
        <f>(VLOOKUP($A435,'The List'!$B1:$AH730,31,FALSE)-AVERAGE('The List'!AF2:AF730))/STDEV('The List'!AF2:AF730)</f>
        <v>8.3615375585753174E-2</v>
      </c>
      <c r="T435" s="38">
        <f>(VLOOKUP($A435,'The List'!$B1:$AH730,32,FALSE)-AVERAGE('The List'!AG2:AG730))/STDEV('The List'!AG2:AG730)</f>
        <v>0.1001930750586436</v>
      </c>
      <c r="U435" s="38">
        <f>(VLOOKUP($A435,'The List'!$B1:$AH730,33,FALSE)-AVERAGE('The List'!AH2:AH730))/STDEV('The List'!AH2:AH730)</f>
        <v>0.97427715623309452</v>
      </c>
      <c r="V435" s="38"/>
      <c r="W435" s="40"/>
      <c r="X435" s="38"/>
      <c r="Y435" s="38"/>
      <c r="Z435" s="38"/>
      <c r="AA435" s="38"/>
      <c r="AB435" s="38"/>
      <c r="AC435" s="38"/>
      <c r="AD435" s="38"/>
      <c r="AE435" s="38"/>
    </row>
    <row r="436" spans="1:31" ht="21.2" customHeight="1">
      <c r="A436" s="8" t="s">
        <v>506</v>
      </c>
      <c r="B436" s="34" t="str">
        <f>VLOOKUP(A436,'Player Data'!A1:B734,2,FALSE)</f>
        <v>CHI</v>
      </c>
      <c r="C436" s="36">
        <f>((E436)*Settings!$C$12)+(F436*Settings!$C$2)+(G436*Settings!$C$3)+(H436*Settings!$C$4)+(I436*Settings!$C$5)+(K436*Settings!$C$9)+(N436*Settings!$C$6)+(J436*Settings!$C$8)+(O436*Settings!$C$7)+(P436*Settings!$C$14)+(Q436*Settings!$C$15)+(R436*Settings!$C$16)+(S436*Settings!$C$17)+(T436*Settings!$C$18)+(U436*Settings!$C$19)+(L436*Settings!$C$10)+(Settings!$C$11*M436)</f>
        <v>-3.3870802418735</v>
      </c>
      <c r="D436" s="40">
        <f>IF(Settings!$E$12="YES",VLOOKUP(A436,'Player Data'!A1:E734,5,FALSE),82)</f>
        <v>82</v>
      </c>
      <c r="E436" s="38">
        <f>(VLOOKUP($A436,'The List'!$B1:$AH730,17,FALSE)-AVERAGE('The List'!R2:R730))/STDEV('The List'!R2:R730)</f>
        <v>1.1631660878811696</v>
      </c>
      <c r="F436" s="38">
        <f>(VLOOKUP($A436,'The List'!$B1:$AH730,18,FALSE)-AVERAGE('The List'!S2:S730))/STDEV('The List'!S2:S730)</f>
        <v>-0.80785690623199935</v>
      </c>
      <c r="G436" s="38">
        <f>(VLOOKUP($A436,'The List'!$B1:$AH730,19,FALSE)-AVERAGE('The List'!T2:T730))/STDEV('The List'!T2:T730)</f>
        <v>-0.43538017056861805</v>
      </c>
      <c r="H436" s="38">
        <f>(VLOOKUP($A436,'The List'!$B1:$AH730,20,FALSE)-AVERAGE('The List'!U2:U730))/STDEV('The List'!U2:U730)</f>
        <v>-0.6431092076353353</v>
      </c>
      <c r="I436" s="38">
        <f>(VLOOKUP($A436,'The List'!$B1:$AH730,21,FALSE)-AVERAGE('The List'!V2:V730))/STDEV('The List'!V2:V730)</f>
        <v>-0.69265118587378638</v>
      </c>
      <c r="J436" s="38">
        <f>(VLOOKUP($A436,'The List'!$B1:$AH730,22,FALSE)-AVERAGE('The List'!W2:W730))/STDEV('The List'!W2:W730)</f>
        <v>-0.72934601395826726</v>
      </c>
      <c r="K436" s="38">
        <f>(VLOOKUP($A436,'The List'!$B1:$AH730,23,FALSE)-AVERAGE('The List'!X2:X730))/STDEV('The List'!X2:X730)</f>
        <v>-0.80808277156376107</v>
      </c>
      <c r="L436" s="38">
        <f>(VLOOKUP($A436,'The List'!$B1:$AH730,24,FALSE)-AVERAGE('The List'!Y2:Y730))/STDEV('The List'!Y2:Y730)</f>
        <v>-0.24001840088145571</v>
      </c>
      <c r="M436" s="38">
        <f>(VLOOKUP($A436,'The List'!$B1:$AH730,25,FALSE)-AVERAGE('The List'!Z2:Z730))/STDEV('The List'!Z2:Z730)</f>
        <v>0.2713756856425264</v>
      </c>
      <c r="N436" s="38">
        <f>(VLOOKUP($A436,'The List'!$B1:$AH730,26,FALSE)-AVERAGE('The List'!AA2:AA730))/STDEV('The List'!AA2:AA730)</f>
        <v>1.8347373810148893</v>
      </c>
      <c r="O436" s="38">
        <f>(VLOOKUP($A436,'The List'!$B1:$AH730,27,FALSE)-AVERAGE('The List'!AB2:AB730))/STDEV('The List'!AB2:AB730)</f>
        <v>0.42739306650366565</v>
      </c>
      <c r="P436" s="38">
        <f>(VLOOKUP($A436,'The List'!$B1:$AH730,28,FALSE)-AVERAGE('The List'!AC2:AC730))/STDEV('The List'!AC2:AC730)</f>
        <v>-1.4079845944152101</v>
      </c>
      <c r="Q436" s="38">
        <f>(VLOOKUP($A436,'The List'!$B1:$AH730,29,FALSE)-AVERAGE('The List'!AD2:AD730))/STDEV('The List'!AD2:AD730)</f>
        <v>-0.17159806519544057</v>
      </c>
      <c r="R436" s="38">
        <f>(VLOOKUP($A436,'The List'!$B1:$AH730,30,FALSE)-AVERAGE('The List'!AE2:AE730))/STDEV('The List'!AE2:AE730)</f>
        <v>-0.82263797582223352</v>
      </c>
      <c r="S436" s="38">
        <f>(VLOOKUP($A436,'The List'!$B1:$AH730,31,FALSE)-AVERAGE('The List'!AF2:AF730))/STDEV('The List'!AF2:AF730)</f>
        <v>-0.56911587195029545</v>
      </c>
      <c r="T436" s="38">
        <f>(VLOOKUP($A436,'The List'!$B1:$AH730,32,FALSE)-AVERAGE('The List'!AG2:AG730))/STDEV('The List'!AG2:AG730)</f>
        <v>-0.61510119871956948</v>
      </c>
      <c r="U436" s="38">
        <f>(VLOOKUP($A436,'The List'!$B1:$AH730,33,FALSE)-AVERAGE('The List'!AH2:AH730))/STDEV('The List'!AH2:AH730)</f>
        <v>-1.2363238714825984</v>
      </c>
      <c r="V436" s="38"/>
      <c r="W436" s="42"/>
      <c r="X436" s="40"/>
      <c r="Y436" s="40"/>
      <c r="Z436" s="40"/>
      <c r="AA436" s="40"/>
      <c r="AB436" s="40"/>
      <c r="AC436" s="43"/>
      <c r="AD436" s="44"/>
      <c r="AE436" s="38"/>
    </row>
    <row r="437" spans="1:31" ht="21.2" customHeight="1">
      <c r="A437" s="8" t="s">
        <v>726</v>
      </c>
      <c r="B437" s="34" t="str">
        <f>VLOOKUP(A437,'Player Data'!A1:B734,2,FALSE)</f>
        <v>WSH</v>
      </c>
      <c r="C437" s="36">
        <f>((E437)*Settings!$C$12)+(F437*Settings!$C$2)+(G437*Settings!$C$3)+(H437*Settings!$C$4)+(I437*Settings!$C$5)+(K437*Settings!$C$9)+(N437*Settings!$C$6)+(J437*Settings!$C$8)+(O437*Settings!$C$7)+(P437*Settings!$C$14)+(Q437*Settings!$C$15)+(R437*Settings!$C$16)+(S437*Settings!$C$17)+(T437*Settings!$C$18)+(U437*Settings!$C$19)+(L437*Settings!$C$10)+(Settings!$C$11*M437)</f>
        <v>-3.4968471789960325</v>
      </c>
      <c r="D437" s="40">
        <f>IF(Settings!$E$12="YES",VLOOKUP(A437,'Player Data'!A1:E734,5,FALSE),82)</f>
        <v>82</v>
      </c>
      <c r="E437" s="38">
        <f>(VLOOKUP($A437,'The List'!$B1:$AH730,17,FALSE)-AVERAGE('The List'!R2:R730))/STDEV('The List'!R2:R730)</f>
        <v>-0.83340605620765762</v>
      </c>
      <c r="F437" s="38">
        <f>(VLOOKUP($A437,'The List'!$B1:$AH730,18,FALSE)-AVERAGE('The List'!S2:S730))/STDEV('The List'!S2:S730)</f>
        <v>-0.23474523943494152</v>
      </c>
      <c r="G437" s="38">
        <f>(VLOOKUP($A437,'The List'!$B1:$AH730,19,FALSE)-AVERAGE('The List'!T2:T730))/STDEV('The List'!T2:T730)</f>
        <v>-0.86976762858944989</v>
      </c>
      <c r="H437" s="38">
        <f>(VLOOKUP($A437,'The List'!$B1:$AH730,20,FALSE)-AVERAGE('The List'!U2:U730))/STDEV('The List'!U2:U730)</f>
        <v>-0.64363317574422041</v>
      </c>
      <c r="I437" s="38">
        <f>(VLOOKUP($A437,'The List'!$B1:$AH730,21,FALSE)-AVERAGE('The List'!V2:V730))/STDEV('The List'!V2:V730)</f>
        <v>-0.93098256550030933</v>
      </c>
      <c r="J437" s="38">
        <f>(VLOOKUP($A437,'The List'!$B1:$AH730,22,FALSE)-AVERAGE('The List'!W2:W730))/STDEV('The List'!W2:W730)</f>
        <v>-0.73027733426868258</v>
      </c>
      <c r="K437" s="38">
        <f>(VLOOKUP($A437,'The List'!$B1:$AH730,23,FALSE)-AVERAGE('The List'!X2:X730))/STDEV('The List'!X2:X730)</f>
        <v>-0.81771856972711143</v>
      </c>
      <c r="L437" s="38">
        <f>(VLOOKUP($A437,'The List'!$B1:$AH730,24,FALSE)-AVERAGE('The List'!Y2:Y730))/STDEV('The List'!Y2:Y730)</f>
        <v>-0.17192572402857542</v>
      </c>
      <c r="M437" s="38">
        <f>(VLOOKUP($A437,'The List'!$B1:$AH730,25,FALSE)-AVERAGE('The List'!Z2:Z730))/STDEV('The List'!Z2:Z730)</f>
        <v>-0.10779778384440268</v>
      </c>
      <c r="N437" s="38">
        <f>(VLOOKUP($A437,'The List'!$B1:$AH730,26,FALSE)-AVERAGE('The List'!AA2:AA730))/STDEV('The List'!AA2:AA730)</f>
        <v>0.10837009381489029</v>
      </c>
      <c r="O437" s="38">
        <f>(VLOOKUP($A437,'The List'!$B1:$AH730,27,FALSE)-AVERAGE('The List'!AB2:AB730))/STDEV('The List'!AB2:AB730)</f>
        <v>1.2127020874242176</v>
      </c>
      <c r="P437" s="38">
        <f>(VLOOKUP($A437,'The List'!$B1:$AH730,28,FALSE)-AVERAGE('The List'!AC2:AC730))/STDEV('The List'!AC2:AC730)</f>
        <v>-0.61557194823107952</v>
      </c>
      <c r="Q437" s="38">
        <f>(VLOOKUP($A437,'The List'!$B1:$AH730,29,FALSE)-AVERAGE('The List'!AD2:AD730))/STDEV('The List'!AD2:AD730)</f>
        <v>0.27770893476560682</v>
      </c>
      <c r="R437" s="38">
        <f>(VLOOKUP($A437,'The List'!$B1:$AH730,30,FALSE)-AVERAGE('The List'!AE2:AE730))/STDEV('The List'!AE2:AE730)</f>
        <v>-0.34223455146727916</v>
      </c>
      <c r="S437" s="38">
        <f>(VLOOKUP($A437,'The List'!$B1:$AH730,31,FALSE)-AVERAGE('The List'!AF2:AF730))/STDEV('The List'!AF2:AF730)</f>
        <v>2.1252094912760837</v>
      </c>
      <c r="T437" s="38">
        <f>(VLOOKUP($A437,'The List'!$B1:$AH730,32,FALSE)-AVERAGE('The List'!AG2:AG730))/STDEV('The List'!AG2:AG730)</f>
        <v>1.8881528068074254</v>
      </c>
      <c r="U437" s="38">
        <f>(VLOOKUP($A437,'The List'!$B1:$AH730,33,FALSE)-AVERAGE('The List'!AH2:AH730))/STDEV('The List'!AH2:AH730)</f>
        <v>1.1604906534404931</v>
      </c>
      <c r="V437" s="38"/>
      <c r="W437" s="42"/>
      <c r="X437" s="40"/>
      <c r="Y437" s="40"/>
      <c r="Z437" s="40"/>
      <c r="AA437" s="40"/>
      <c r="AB437" s="40"/>
      <c r="AC437" s="43"/>
      <c r="AD437" s="44"/>
      <c r="AE437" s="38"/>
    </row>
    <row r="438" spans="1:31" ht="21.2" customHeight="1">
      <c r="A438" s="8" t="s">
        <v>731</v>
      </c>
      <c r="B438" s="34" t="str">
        <f>VLOOKUP(A438,'Player Data'!A1:B734,2,FALSE)</f>
        <v>NJD</v>
      </c>
      <c r="C438" s="36">
        <f>((E438)*Settings!$C$12)+(F438*Settings!$C$2)+(G438*Settings!$C$3)+(H438*Settings!$C$4)+(I438*Settings!$C$5)+(K438*Settings!$C$9)+(N438*Settings!$C$6)+(J438*Settings!$C$8)+(O438*Settings!$C$7)+(P438*Settings!$C$14)+(Q438*Settings!$C$15)+(R438*Settings!$C$16)+(S438*Settings!$C$17)+(T438*Settings!$C$18)+(U438*Settings!$C$19)+(L438*Settings!$C$10)+(Settings!$C$11*M438)</f>
        <v>-3.6247672085559506</v>
      </c>
      <c r="D438" s="40">
        <f>IF(Settings!$E$12="YES",VLOOKUP(A438,'Player Data'!A1:E734,5,FALSE),82)</f>
        <v>82</v>
      </c>
      <c r="E438" s="38">
        <f>(VLOOKUP($A438,'The List'!$B1:$AH730,17,FALSE)-AVERAGE('The List'!R2:R730))/STDEV('The List'!R2:R730)</f>
        <v>-1.1390046274691477</v>
      </c>
      <c r="F438" s="38">
        <f>(VLOOKUP($A438,'The List'!$B1:$AH730,18,FALSE)-AVERAGE('The List'!S2:S730))/STDEV('The List'!S2:S730)</f>
        <v>-0.73197713577128187</v>
      </c>
      <c r="G438" s="38">
        <f>(VLOOKUP($A438,'The List'!$B1:$AH730,19,FALSE)-AVERAGE('The List'!T2:T730))/STDEV('The List'!T2:T730)</f>
        <v>-0.50102202844785326</v>
      </c>
      <c r="H438" s="38">
        <f>(VLOOKUP($A438,'The List'!$B1:$AH730,20,FALSE)-AVERAGE('The List'!U2:U730))/STDEV('The List'!U2:U730)</f>
        <v>-0.6481742453324042</v>
      </c>
      <c r="I438" s="38">
        <f>(VLOOKUP($A438,'The List'!$B1:$AH730,21,FALSE)-AVERAGE('The List'!V2:V730))/STDEV('The List'!V2:V730)</f>
        <v>-0.93021957943353017</v>
      </c>
      <c r="J438" s="38">
        <f>(VLOOKUP($A438,'The List'!$B1:$AH730,22,FALSE)-AVERAGE('The List'!W2:W730))/STDEV('The List'!W2:W730)</f>
        <v>-0.72349413344215874</v>
      </c>
      <c r="K438" s="38">
        <f>(VLOOKUP($A438,'The List'!$B1:$AH730,23,FALSE)-AVERAGE('The List'!X2:X730))/STDEV('The List'!X2:X730)</f>
        <v>-0.81337421957088096</v>
      </c>
      <c r="L438" s="38">
        <f>(VLOOKUP($A438,'The List'!$B1:$AH730,24,FALSE)-AVERAGE('The List'!Y2:Y730))/STDEV('The List'!Y2:Y730)</f>
        <v>-0.33631505438360304</v>
      </c>
      <c r="M438" s="38">
        <f>(VLOOKUP($A438,'The List'!$B1:$AH730,25,FALSE)-AVERAGE('The List'!Z2:Z730))/STDEV('The List'!Z2:Z730)</f>
        <v>0.24892396485777823</v>
      </c>
      <c r="N438" s="38">
        <f>(VLOOKUP($A438,'The List'!$B1:$AH730,26,FALSE)-AVERAGE('The List'!AA2:AA730))/STDEV('The List'!AA2:AA730)</f>
        <v>-0.48669725560907634</v>
      </c>
      <c r="O438" s="38">
        <f>(VLOOKUP($A438,'The List'!$B1:$AH730,27,FALSE)-AVERAGE('The List'!AB2:AB730))/STDEV('The List'!AB2:AB730)</f>
        <v>0.67211317530893977</v>
      </c>
      <c r="P438" s="38">
        <f>(VLOOKUP($A438,'The List'!$B1:$AH730,28,FALSE)-AVERAGE('The List'!AC2:AC730))/STDEV('The List'!AC2:AC730)</f>
        <v>-0.22512744659085257</v>
      </c>
      <c r="Q438" s="38">
        <f>(VLOOKUP($A438,'The List'!$B1:$AH730,29,FALSE)-AVERAGE('The List'!AD2:AD730))/STDEV('The List'!AD2:AD730)</f>
        <v>0.40936253004651851</v>
      </c>
      <c r="R438" s="38">
        <f>(VLOOKUP($A438,'The List'!$B1:$AH730,30,FALSE)-AVERAGE('The List'!AE2:AE730))/STDEV('The List'!AE2:AE730)</f>
        <v>-0.6409360367026975</v>
      </c>
      <c r="S438" s="38">
        <f>(VLOOKUP($A438,'The List'!$B1:$AH730,31,FALSE)-AVERAGE('The List'!AF2:AF730))/STDEV('The List'!AF2:AF730)</f>
        <v>2.0992556616579963</v>
      </c>
      <c r="T438" s="38">
        <f>(VLOOKUP($A438,'The List'!$B1:$AH730,32,FALSE)-AVERAGE('The List'!AG2:AG730))/STDEV('The List'!AG2:AG730)</f>
        <v>1.4445857045249373</v>
      </c>
      <c r="U438" s="38">
        <f>(VLOOKUP($A438,'The List'!$B1:$AH730,33,FALSE)-AVERAGE('The List'!AH2:AH730))/STDEV('The List'!AH2:AH730)</f>
        <v>1.3672191632713022</v>
      </c>
      <c r="V438" s="38"/>
      <c r="W438" s="42"/>
      <c r="X438" s="40"/>
      <c r="Y438" s="40"/>
      <c r="Z438" s="40"/>
      <c r="AA438" s="40"/>
      <c r="AB438" s="40"/>
      <c r="AC438" s="43"/>
      <c r="AD438" s="44"/>
      <c r="AE438" s="38"/>
    </row>
    <row r="439" spans="1:31" ht="21.2" customHeight="1">
      <c r="A439" s="8" t="s">
        <v>377</v>
      </c>
      <c r="B439" s="34" t="str">
        <f>VLOOKUP(A439,'Player Data'!A1:B734,2,FALSE)</f>
        <v>PHI</v>
      </c>
      <c r="C439" s="36">
        <f>((E439)*Settings!$C$12)+(F439*Settings!$C$2)+(G439*Settings!$C$3)+(H439*Settings!$C$4)+(I439*Settings!$C$5)+(K439*Settings!$C$9)+(N439*Settings!$C$6)+(J439*Settings!$C$8)+(O439*Settings!$C$7)+(P439*Settings!$C$14)+(Q439*Settings!$C$15)+(R439*Settings!$C$16)+(S439*Settings!$C$17)+(T439*Settings!$C$18)+(U439*Settings!$C$19)+(L439*Settings!$C$10)+(Settings!$C$11*M439)</f>
        <v>-2.8988055969033466</v>
      </c>
      <c r="D439" s="40">
        <f>IF(Settings!$E$12="YES",VLOOKUP(A439,'Player Data'!A1:E734,5,FALSE),82)</f>
        <v>82</v>
      </c>
      <c r="E439" s="38">
        <f>(VLOOKUP($A439,'The List'!$B1:$AH730,17,FALSE)-AVERAGE('The List'!R2:R730))/STDEV('The List'!R2:R730)</f>
        <v>1.1490621084989814</v>
      </c>
      <c r="F439" s="38">
        <f>(VLOOKUP($A439,'The List'!$B1:$AH730,18,FALSE)-AVERAGE('The List'!S2:S730))/STDEV('The List'!S2:S730)</f>
        <v>-0.97082824297844139</v>
      </c>
      <c r="G439" s="38">
        <f>(VLOOKUP($A439,'The List'!$B1:$AH730,19,FALSE)-AVERAGE('The List'!T2:T730))/STDEV('The List'!T2:T730)</f>
        <v>-0.32614794468621033</v>
      </c>
      <c r="H439" s="38">
        <f>(VLOOKUP($A439,'The List'!$B1:$AH730,20,FALSE)-AVERAGE('The List'!U2:U730))/STDEV('The List'!U2:U730)</f>
        <v>-0.65174270280382918</v>
      </c>
      <c r="I439" s="38">
        <f>(VLOOKUP($A439,'The List'!$B1:$AH730,21,FALSE)-AVERAGE('The List'!V2:V730))/STDEV('The List'!V2:V730)</f>
        <v>-0.5602379803767914</v>
      </c>
      <c r="J439" s="38">
        <f>(VLOOKUP($A439,'The List'!$B1:$AH730,22,FALSE)-AVERAGE('The List'!W2:W730))/STDEV('The List'!W2:W730)</f>
        <v>-0.55149996452219552</v>
      </c>
      <c r="K439" s="38">
        <f>(VLOOKUP($A439,'The List'!$B1:$AH730,23,FALSE)-AVERAGE('The List'!X2:X730))/STDEV('The List'!X2:X730)</f>
        <v>-0.38984872605807452</v>
      </c>
      <c r="L439" s="38">
        <f>(VLOOKUP($A439,'The List'!$B1:$AH730,24,FALSE)-AVERAGE('The List'!Y2:Y730))/STDEV('The List'!Y2:Y730)</f>
        <v>0.32982491769043792</v>
      </c>
      <c r="M439" s="38">
        <f>(VLOOKUP($A439,'The List'!$B1:$AH730,25,FALSE)-AVERAGE('The List'!Z2:Z730))/STDEV('The List'!Z2:Z730)</f>
        <v>0.92687617230187702</v>
      </c>
      <c r="N439" s="38">
        <f>(VLOOKUP($A439,'The List'!$B1:$AH730,26,FALSE)-AVERAGE('The List'!AA2:AA730))/STDEV('The List'!AA2:AA730)</f>
        <v>2.1500390825073556</v>
      </c>
      <c r="O439" s="38">
        <f>(VLOOKUP($A439,'The List'!$B1:$AH730,27,FALSE)-AVERAGE('The List'!AB2:AB730))/STDEV('The List'!AB2:AB730)</f>
        <v>1.9992645463272747</v>
      </c>
      <c r="P439" s="38">
        <f>(VLOOKUP($A439,'The List'!$B1:$AH730,28,FALSE)-AVERAGE('The List'!AC2:AC730))/STDEV('The List'!AC2:AC730)</f>
        <v>-1.4683680949599829</v>
      </c>
      <c r="Q439" s="38">
        <f>(VLOOKUP($A439,'The List'!$B1:$AH730,29,FALSE)-AVERAGE('The List'!AD2:AD730))/STDEV('The List'!AD2:AD730)</f>
        <v>0.65970017966267624</v>
      </c>
      <c r="R439" s="38">
        <f>(VLOOKUP($A439,'The List'!$B1:$AH730,30,FALSE)-AVERAGE('The List'!AE2:AE730))/STDEV('The List'!AE2:AE730)</f>
        <v>-0.94605601496088632</v>
      </c>
      <c r="S439" s="38">
        <f>(VLOOKUP($A439,'The List'!$B1:$AH730,31,FALSE)-AVERAGE('The List'!AF2:AF730))/STDEV('The List'!AF2:AF730)</f>
        <v>-0.56911587195029545</v>
      </c>
      <c r="T439" s="38">
        <f>(VLOOKUP($A439,'The List'!$B1:$AH730,32,FALSE)-AVERAGE('The List'!AG2:AG730))/STDEV('The List'!AG2:AG730)</f>
        <v>-0.61510119871956948</v>
      </c>
      <c r="U439" s="38">
        <f>(VLOOKUP($A439,'The List'!$B1:$AH730,33,FALSE)-AVERAGE('The List'!AH2:AH730))/STDEV('The List'!AH2:AH730)</f>
        <v>-1.2363238714825984</v>
      </c>
      <c r="V439" s="38"/>
      <c r="W439" s="40"/>
      <c r="X439" s="38"/>
      <c r="Y439" s="38"/>
      <c r="Z439" s="38"/>
      <c r="AA439" s="38"/>
      <c r="AB439" s="38"/>
      <c r="AC439" s="38"/>
      <c r="AD439" s="38"/>
      <c r="AE439" s="38"/>
    </row>
    <row r="440" spans="1:31" ht="21.2" customHeight="1">
      <c r="A440" s="8" t="s">
        <v>448</v>
      </c>
      <c r="B440" s="34" t="str">
        <f>VLOOKUP(A440,'Player Data'!A1:B734,2,FALSE)</f>
        <v>CBJ</v>
      </c>
      <c r="C440" s="36">
        <f>((E440)*Settings!$C$12)+(F440*Settings!$C$2)+(G440*Settings!$C$3)+(H440*Settings!$C$4)+(I440*Settings!$C$5)+(K440*Settings!$C$9)+(N440*Settings!$C$6)+(J440*Settings!$C$8)+(O440*Settings!$C$7)+(P440*Settings!$C$14)+(Q440*Settings!$C$15)+(R440*Settings!$C$16)+(S440*Settings!$C$17)+(T440*Settings!$C$18)+(U440*Settings!$C$19)+(L440*Settings!$C$10)+(Settings!$C$11*M440)</f>
        <v>-3.3624082477101074</v>
      </c>
      <c r="D440" s="40">
        <f>IF(Settings!$E$12="YES",VLOOKUP(A440,'Player Data'!A1:E734,5,FALSE),82)</f>
        <v>82</v>
      </c>
      <c r="E440" s="38">
        <f>(VLOOKUP($A440,'The List'!$B1:$AH730,17,FALSE)-AVERAGE('The List'!R2:R730))/STDEV('The List'!R2:R730)</f>
        <v>0.33036653426417162</v>
      </c>
      <c r="F440" s="38">
        <f>(VLOOKUP($A440,'The List'!$B1:$AH730,18,FALSE)-AVERAGE('The List'!S2:S730))/STDEV('The List'!S2:S730)</f>
        <v>-0.86314743550653827</v>
      </c>
      <c r="G440" s="38">
        <f>(VLOOKUP($A440,'The List'!$B1:$AH730,19,FALSE)-AVERAGE('The List'!T2:T730))/STDEV('The List'!T2:T730)</f>
        <v>-0.40862158265590898</v>
      </c>
      <c r="H440" s="38">
        <f>(VLOOKUP($A440,'The List'!$B1:$AH730,20,FALSE)-AVERAGE('The List'!U2:U730))/STDEV('The List'!U2:U730)</f>
        <v>-0.65236808397489243</v>
      </c>
      <c r="I440" s="38">
        <f>(VLOOKUP($A440,'The List'!$B1:$AH730,21,FALSE)-AVERAGE('The List'!V2:V730))/STDEV('The List'!V2:V730)</f>
        <v>-0.75044588130705037</v>
      </c>
      <c r="J440" s="38">
        <f>(VLOOKUP($A440,'The List'!$B1:$AH730,22,FALSE)-AVERAGE('The List'!W2:W730))/STDEV('The List'!W2:W730)</f>
        <v>-0.66528336626389606</v>
      </c>
      <c r="K440" s="38">
        <f>(VLOOKUP($A440,'The List'!$B1:$AH730,23,FALSE)-AVERAGE('The List'!X2:X730))/STDEV('The List'!X2:X730)</f>
        <v>-0.68782526426571733</v>
      </c>
      <c r="L440" s="38">
        <f>(VLOOKUP($A440,'The List'!$B1:$AH730,24,FALSE)-AVERAGE('The List'!Y2:Y730))/STDEV('The List'!Y2:Y730)</f>
        <v>-0.46436023064670834</v>
      </c>
      <c r="M440" s="38">
        <f>(VLOOKUP($A440,'The List'!$B1:$AH730,25,FALSE)-AVERAGE('The List'!Z2:Z730))/STDEV('The List'!Z2:Z730)</f>
        <v>-0.26014687068206349</v>
      </c>
      <c r="N440" s="38">
        <f>(VLOOKUP($A440,'The List'!$B1:$AH730,26,FALSE)-AVERAGE('The List'!AA2:AA730))/STDEV('The List'!AA2:AA730)</f>
        <v>0.81183503312851601</v>
      </c>
      <c r="O440" s="38">
        <f>(VLOOKUP($A440,'The List'!$B1:$AH730,27,FALSE)-AVERAGE('The List'!AB2:AB730))/STDEV('The List'!AB2:AB730)</f>
        <v>-0.39324829280175039</v>
      </c>
      <c r="P440" s="38">
        <f>(VLOOKUP($A440,'The List'!$B1:$AH730,28,FALSE)-AVERAGE('The List'!AC2:AC730))/STDEV('The List'!AC2:AC730)</f>
        <v>-1.3849536135463423</v>
      </c>
      <c r="Q440" s="38">
        <f>(VLOOKUP($A440,'The List'!$B1:$AH730,29,FALSE)-AVERAGE('The List'!AD2:AD730))/STDEV('The List'!AD2:AD730)</f>
        <v>-0.26448293849681459</v>
      </c>
      <c r="R440" s="38">
        <f>(VLOOKUP($A440,'The List'!$B1:$AH730,30,FALSE)-AVERAGE('The List'!AE2:AE730))/STDEV('The List'!AE2:AE730)</f>
        <v>-0.89791770548187522</v>
      </c>
      <c r="S440" s="38">
        <f>(VLOOKUP($A440,'The List'!$B1:$AH730,31,FALSE)-AVERAGE('The List'!AF2:AF730))/STDEV('The List'!AF2:AF730)</f>
        <v>-0.56911587195029545</v>
      </c>
      <c r="T440" s="38">
        <f>(VLOOKUP($A440,'The List'!$B1:$AH730,32,FALSE)-AVERAGE('The List'!AG2:AG730))/STDEV('The List'!AG2:AG730)</f>
        <v>-0.61510119871956948</v>
      </c>
      <c r="U440" s="38">
        <f>(VLOOKUP($A440,'The List'!$B1:$AH730,33,FALSE)-AVERAGE('The List'!AH2:AH730))/STDEV('The List'!AH2:AH730)</f>
        <v>-1.2363238714825984</v>
      </c>
      <c r="V440" s="38"/>
      <c r="W440" s="42"/>
      <c r="X440" s="40"/>
      <c r="Y440" s="40"/>
      <c r="Z440" s="40"/>
      <c r="AA440" s="40"/>
      <c r="AB440" s="40"/>
      <c r="AC440" s="43"/>
      <c r="AD440" s="44"/>
      <c r="AE440" s="38"/>
    </row>
    <row r="441" spans="1:31" ht="21.2" customHeight="1">
      <c r="A441" s="8" t="s">
        <v>406</v>
      </c>
      <c r="B441" s="34" t="str">
        <f>VLOOKUP(A441,'Player Data'!A1:B734,2,FALSE)</f>
        <v>TBL</v>
      </c>
      <c r="C441" s="36">
        <f>((E441)*Settings!$C$12)+(F441*Settings!$C$2)+(G441*Settings!$C$3)+(H441*Settings!$C$4)+(I441*Settings!$C$5)+(K441*Settings!$C$9)+(N441*Settings!$C$6)+(J441*Settings!$C$8)+(O441*Settings!$C$7)+(P441*Settings!$C$14)+(Q441*Settings!$C$15)+(R441*Settings!$C$16)+(S441*Settings!$C$17)+(T441*Settings!$C$18)+(U441*Settings!$C$19)+(L441*Settings!$C$10)+(Settings!$C$11*M441)</f>
        <v>-3.2040053628536138</v>
      </c>
      <c r="D441" s="40">
        <f>IF(Settings!$E$12="YES",VLOOKUP(A441,'Player Data'!A1:E734,5,FALSE),82)</f>
        <v>82</v>
      </c>
      <c r="E441" s="38">
        <f>(VLOOKUP($A441,'The List'!$B1:$AH730,17,FALSE)-AVERAGE('The List'!R2:R730))/STDEV('The List'!R2:R730)</f>
        <v>0.97505768285608785</v>
      </c>
      <c r="F441" s="38">
        <f>(VLOOKUP($A441,'The List'!$B1:$AH730,18,FALSE)-AVERAGE('The List'!S2:S730))/STDEV('The List'!S2:S730)</f>
        <v>-0.97640151414860099</v>
      </c>
      <c r="G441" s="38">
        <f>(VLOOKUP($A441,'The List'!$B1:$AH730,19,FALSE)-AVERAGE('The List'!T2:T730))/STDEV('The List'!T2:T730)</f>
        <v>-0.32472894048653123</v>
      </c>
      <c r="H441" s="38">
        <f>(VLOOKUP($A441,'The List'!$B1:$AH730,20,FALSE)-AVERAGE('The List'!U2:U730))/STDEV('The List'!U2:U730)</f>
        <v>-0.65346153289862097</v>
      </c>
      <c r="I441" s="38">
        <f>(VLOOKUP($A441,'The List'!$B1:$AH730,21,FALSE)-AVERAGE('The List'!V2:V730))/STDEV('The List'!V2:V730)</f>
        <v>-0.43722045539715992</v>
      </c>
      <c r="J441" s="38">
        <f>(VLOOKUP($A441,'The List'!$B1:$AH730,22,FALSE)-AVERAGE('The List'!W2:W730))/STDEV('The List'!W2:W730)</f>
        <v>-0.73140325755032154</v>
      </c>
      <c r="K441" s="38">
        <f>(VLOOKUP($A441,'The List'!$B1:$AH730,23,FALSE)-AVERAGE('The List'!X2:X730))/STDEV('The List'!X2:X730)</f>
        <v>-0.8121929199227006</v>
      </c>
      <c r="L441" s="38">
        <f>(VLOOKUP($A441,'The List'!$B1:$AH730,24,FALSE)-AVERAGE('The List'!Y2:Y730))/STDEV('The List'!Y2:Y730)</f>
        <v>-0.45560451562716431</v>
      </c>
      <c r="M441" s="38">
        <f>(VLOOKUP($A441,'The List'!$B1:$AH730,25,FALSE)-AVERAGE('The List'!Z2:Z730))/STDEV('The List'!Z2:Z730)</f>
        <v>0.22338678456994526</v>
      </c>
      <c r="N441" s="38">
        <f>(VLOOKUP($A441,'The List'!$B1:$AH730,26,FALSE)-AVERAGE('The List'!AA2:AA730))/STDEV('The List'!AA2:AA730)</f>
        <v>1.4243959348078723</v>
      </c>
      <c r="O441" s="38">
        <f>(VLOOKUP($A441,'The List'!$B1:$AH730,27,FALSE)-AVERAGE('The List'!AB2:AB730))/STDEV('The List'!AB2:AB730)</f>
        <v>2.4059878161127308</v>
      </c>
      <c r="P441" s="38">
        <f>(VLOOKUP($A441,'The List'!$B1:$AH730,28,FALSE)-AVERAGE('The List'!AC2:AC730))/STDEV('The List'!AC2:AC730)</f>
        <v>-6.2643849707844437E-2</v>
      </c>
      <c r="Q441" s="38">
        <f>(VLOOKUP($A441,'The List'!$B1:$AH730,29,FALSE)-AVERAGE('The List'!AD2:AD730))/STDEV('The List'!AD2:AD730)</f>
        <v>1.5648398930340508</v>
      </c>
      <c r="R441" s="38">
        <f>(VLOOKUP($A441,'The List'!$B1:$AH730,30,FALSE)-AVERAGE('The List'!AE2:AE730))/STDEV('The List'!AE2:AE730)</f>
        <v>-0.8504794374127399</v>
      </c>
      <c r="S441" s="38">
        <f>(VLOOKUP($A441,'The List'!$B1:$AH730,31,FALSE)-AVERAGE('The List'!AF2:AF730))/STDEV('The List'!AF2:AF730)</f>
        <v>-0.56911587195029545</v>
      </c>
      <c r="T441" s="38">
        <f>(VLOOKUP($A441,'The List'!$B1:$AH730,32,FALSE)-AVERAGE('The List'!AG2:AG730))/STDEV('The List'!AG2:AG730)</f>
        <v>-0.61510119871956948</v>
      </c>
      <c r="U441" s="38">
        <f>(VLOOKUP($A441,'The List'!$B1:$AH730,33,FALSE)-AVERAGE('The List'!AH2:AH730))/STDEV('The List'!AH2:AH730)</f>
        <v>-1.2363238714825984</v>
      </c>
      <c r="V441" s="38"/>
      <c r="W441" s="40"/>
      <c r="X441" s="38"/>
      <c r="Y441" s="38"/>
      <c r="Z441" s="38"/>
      <c r="AA441" s="38"/>
      <c r="AB441" s="38"/>
      <c r="AC441" s="38"/>
      <c r="AD441" s="38"/>
      <c r="AE441" s="38"/>
    </row>
    <row r="442" spans="1:31" ht="21.2" customHeight="1">
      <c r="A442" s="8" t="s">
        <v>450</v>
      </c>
      <c r="B442" s="34" t="str">
        <f>VLOOKUP(A442,'Player Data'!A1:B734,2,FALSE)</f>
        <v>PIT</v>
      </c>
      <c r="C442" s="36">
        <f>((E442)*Settings!$C$12)+(F442*Settings!$C$2)+(G442*Settings!$C$3)+(H442*Settings!$C$4)+(I442*Settings!$C$5)+(K442*Settings!$C$9)+(N442*Settings!$C$6)+(J442*Settings!$C$8)+(O442*Settings!$C$7)+(P442*Settings!$C$14)+(Q442*Settings!$C$15)+(R442*Settings!$C$16)+(S442*Settings!$C$17)+(T442*Settings!$C$18)+(U442*Settings!$C$19)+(L442*Settings!$C$10)+(Settings!$C$11*M442)</f>
        <v>-2.6161713664567845</v>
      </c>
      <c r="D442" s="40">
        <f>IF(Settings!$E$12="YES",VLOOKUP(A442,'Player Data'!A1:E734,5,FALSE),82)</f>
        <v>82</v>
      </c>
      <c r="E442" s="38">
        <f>(VLOOKUP($A442,'The List'!$B1:$AH730,17,FALSE)-AVERAGE('The List'!R2:R730))/STDEV('The List'!R2:R730)</f>
        <v>0.11458558607657082</v>
      </c>
      <c r="F442" s="38">
        <f>(VLOOKUP($A442,'The List'!$B1:$AH730,18,FALSE)-AVERAGE('The List'!S2:S730))/STDEV('The List'!S2:S730)</f>
        <v>-0.85808097788650162</v>
      </c>
      <c r="G442" s="38">
        <f>(VLOOKUP($A442,'The List'!$B1:$AH730,19,FALSE)-AVERAGE('The List'!T2:T730))/STDEV('The List'!T2:T730)</f>
        <v>-0.41526996674421385</v>
      </c>
      <c r="H442" s="38">
        <f>(VLOOKUP($A442,'The List'!$B1:$AH730,20,FALSE)-AVERAGE('The List'!U2:U730))/STDEV('The List'!U2:U730)</f>
        <v>-0.6540985175323113</v>
      </c>
      <c r="I442" s="38">
        <f>(VLOOKUP($A442,'The List'!$B1:$AH730,21,FALSE)-AVERAGE('The List'!V2:V730))/STDEV('The List'!V2:V730)</f>
        <v>-0.22223111964177975</v>
      </c>
      <c r="J442" s="38">
        <f>(VLOOKUP($A442,'The List'!$B1:$AH730,22,FALSE)-AVERAGE('The List'!W2:W730))/STDEV('The List'!W2:W730)</f>
        <v>-0.49082514638090302</v>
      </c>
      <c r="K442" s="38">
        <f>(VLOOKUP($A442,'The List'!$B1:$AH730,23,FALSE)-AVERAGE('The List'!X2:X730))/STDEV('The List'!X2:X730)</f>
        <v>-0.46649078465197785</v>
      </c>
      <c r="L442" s="38">
        <f>(VLOOKUP($A442,'The List'!$B1:$AH730,24,FALSE)-AVERAGE('The List'!Y2:Y730))/STDEV('The List'!Y2:Y730)</f>
        <v>-0.50332229368851178</v>
      </c>
      <c r="M442" s="38">
        <f>(VLOOKUP($A442,'The List'!$B1:$AH730,25,FALSE)-AVERAGE('The List'!Z2:Z730))/STDEV('The List'!Z2:Z730)</f>
        <v>-0.6439645599770466</v>
      </c>
      <c r="N442" s="38">
        <f>(VLOOKUP($A442,'The List'!$B1:$AH730,26,FALSE)-AVERAGE('The List'!AA2:AA730))/STDEV('The List'!AA2:AA730)</f>
        <v>-6.5886135287057376E-2</v>
      </c>
      <c r="O442" s="38">
        <f>(VLOOKUP($A442,'The List'!$B1:$AH730,27,FALSE)-AVERAGE('The List'!AB2:AB730))/STDEV('The List'!AB2:AB730)</f>
        <v>0.16365153239283481</v>
      </c>
      <c r="P442" s="38">
        <f>(VLOOKUP($A442,'The List'!$B1:$AH730,28,FALSE)-AVERAGE('The List'!AC2:AC730))/STDEV('The List'!AC2:AC730)</f>
        <v>0.73664820138173459</v>
      </c>
      <c r="Q442" s="38">
        <f>(VLOOKUP($A442,'The List'!$B1:$AH730,29,FALSE)-AVERAGE('The List'!AD2:AD730))/STDEV('The List'!AD2:AD730)</f>
        <v>0.74890852563569721</v>
      </c>
      <c r="R442" s="38">
        <f>(VLOOKUP($A442,'The List'!$B1:$AH730,30,FALSE)-AVERAGE('The List'!AE2:AE730))/STDEV('The List'!AE2:AE730)</f>
        <v>-0.7164924177054437</v>
      </c>
      <c r="S442" s="38">
        <f>(VLOOKUP($A442,'The List'!$B1:$AH730,31,FALSE)-AVERAGE('The List'!AF2:AF730))/STDEV('The List'!AF2:AF730)</f>
        <v>-0.56911587195029545</v>
      </c>
      <c r="T442" s="38">
        <f>(VLOOKUP($A442,'The List'!$B1:$AH730,32,FALSE)-AVERAGE('The List'!AG2:AG730))/STDEV('The List'!AG2:AG730)</f>
        <v>-0.61510119871956948</v>
      </c>
      <c r="U442" s="38">
        <f>(VLOOKUP($A442,'The List'!$B1:$AH730,33,FALSE)-AVERAGE('The List'!AH2:AH730))/STDEV('The List'!AH2:AH730)</f>
        <v>-1.2363238714825984</v>
      </c>
      <c r="V442" s="38"/>
      <c r="W442" s="42"/>
      <c r="X442" s="40"/>
      <c r="Y442" s="40"/>
      <c r="Z442" s="40"/>
      <c r="AA442" s="40"/>
      <c r="AB442" s="40"/>
      <c r="AC442" s="43"/>
      <c r="AD442" s="44"/>
      <c r="AE442" s="38"/>
    </row>
    <row r="443" spans="1:31" ht="21.2" customHeight="1">
      <c r="A443" s="8" t="s">
        <v>670</v>
      </c>
      <c r="B443" s="34" t="str">
        <f>VLOOKUP(A443,'Player Data'!A1:B734,2,FALSE)</f>
        <v>UFA</v>
      </c>
      <c r="C443" s="36">
        <f>((E443)*Settings!$C$12)+(F443*Settings!$C$2)+(G443*Settings!$C$3)+(H443*Settings!$C$4)+(I443*Settings!$C$5)+(K443*Settings!$C$9)+(N443*Settings!$C$6)+(J443*Settings!$C$8)+(O443*Settings!$C$7)+(P443*Settings!$C$14)+(Q443*Settings!$C$15)+(R443*Settings!$C$16)+(S443*Settings!$C$17)+(T443*Settings!$C$18)+(U443*Settings!$C$19)+(L443*Settings!$C$10)+(Settings!$C$11*M443)</f>
        <v>-3.1225923403291196</v>
      </c>
      <c r="D443" s="40">
        <f>IF(Settings!$E$12="YES",VLOOKUP(A443,'Player Data'!A1:E734,5,FALSE),82)</f>
        <v>82</v>
      </c>
      <c r="E443" s="38">
        <f>(VLOOKUP($A443,'The List'!$B1:$AH730,17,FALSE)-AVERAGE('The List'!R2:R730))/STDEV('The List'!R2:R730)</f>
        <v>-1.6831688187010616</v>
      </c>
      <c r="F443" s="38">
        <f>(VLOOKUP($A443,'The List'!$B1:$AH730,18,FALSE)-AVERAGE('The List'!S2:S730))/STDEV('The List'!S2:S730)</f>
        <v>-0.37120654629291394</v>
      </c>
      <c r="G443" s="38">
        <f>(VLOOKUP($A443,'The List'!$B1:$AH730,19,FALSE)-AVERAGE('The List'!T2:T730))/STDEV('The List'!T2:T730)</f>
        <v>-0.78593832750253456</v>
      </c>
      <c r="H443" s="38">
        <f>(VLOOKUP($A443,'The List'!$B1:$AH730,20,FALSE)-AVERAGE('The List'!U2:U730))/STDEV('The List'!U2:U730)</f>
        <v>-0.65555396700087654</v>
      </c>
      <c r="I443" s="38">
        <f>(VLOOKUP($A443,'The List'!$B1:$AH730,21,FALSE)-AVERAGE('The List'!V2:V730))/STDEV('The List'!V2:V730)</f>
        <v>-0.56820879290197945</v>
      </c>
      <c r="J443" s="38">
        <f>(VLOOKUP($A443,'The List'!$B1:$AH730,22,FALSE)-AVERAGE('The List'!W2:W730))/STDEV('The List'!W2:W730)</f>
        <v>-0.61204267448510197</v>
      </c>
      <c r="K443" s="38">
        <f>(VLOOKUP($A443,'The List'!$B1:$AH730,23,FALSE)-AVERAGE('The List'!X2:X730))/STDEV('The List'!X2:X730)</f>
        <v>-0.74168470663081509</v>
      </c>
      <c r="L443" s="38">
        <f>(VLOOKUP($A443,'The List'!$B1:$AH730,24,FALSE)-AVERAGE('The List'!Y2:Y730))/STDEV('The List'!Y2:Y730)</f>
        <v>-0.52515529094994673</v>
      </c>
      <c r="M443" s="38">
        <f>(VLOOKUP($A443,'The List'!$B1:$AH730,25,FALSE)-AVERAGE('The List'!Z2:Z730))/STDEV('The List'!Z2:Z730)</f>
        <v>-0.70378350861314143</v>
      </c>
      <c r="N443" s="38">
        <f>(VLOOKUP($A443,'The List'!$B1:$AH730,26,FALSE)-AVERAGE('The List'!AA2:AA730))/STDEV('The List'!AA2:AA730)</f>
        <v>-0.79037787598506892</v>
      </c>
      <c r="O443" s="38">
        <f>(VLOOKUP($A443,'The List'!$B1:$AH730,27,FALSE)-AVERAGE('The List'!AB2:AB730))/STDEV('The List'!AB2:AB730)</f>
        <v>-0.25481365118397653</v>
      </c>
      <c r="P443" s="38">
        <f>(VLOOKUP($A443,'The List'!$B1:$AH730,28,FALSE)-AVERAGE('The List'!AC2:AC730))/STDEV('The List'!AC2:AC730)</f>
        <v>2.5216943725014124E-2</v>
      </c>
      <c r="Q443" s="38">
        <f>(VLOOKUP($A443,'The List'!$B1:$AH730,29,FALSE)-AVERAGE('The List'!AD2:AD730))/STDEV('The List'!AD2:AD730)</f>
        <v>-1.3883300174791195</v>
      </c>
      <c r="R443" s="38">
        <f>(VLOOKUP($A443,'The List'!$B1:$AH730,30,FALSE)-AVERAGE('The List'!AE2:AE730))/STDEV('The List'!AE2:AE730)</f>
        <v>-1.2515972607254897</v>
      </c>
      <c r="S443" s="38">
        <f>(VLOOKUP($A443,'The List'!$B1:$AH730,31,FALSE)-AVERAGE('The List'!AF2:AF730))/STDEV('The List'!AF2:AF730)</f>
        <v>-0.5641800929548213</v>
      </c>
      <c r="T443" s="38">
        <f>(VLOOKUP($A443,'The List'!$B1:$AH730,32,FALSE)-AVERAGE('The List'!AG2:AG730))/STDEV('The List'!AG2:AG730)</f>
        <v>-0.59110643868823376</v>
      </c>
      <c r="U443" s="38">
        <f>(VLOOKUP($A443,'The List'!$B1:$AH730,33,FALSE)-AVERAGE('The List'!AH2:AH730))/STDEV('The List'!AH2:AH730)</f>
        <v>-0.43372114418856134</v>
      </c>
      <c r="V443" s="38"/>
      <c r="W443" s="42"/>
      <c r="X443" s="40"/>
      <c r="Y443" s="40"/>
      <c r="Z443" s="40"/>
      <c r="AA443" s="40"/>
      <c r="AB443" s="40"/>
      <c r="AC443" s="43"/>
      <c r="AD443" s="44"/>
      <c r="AE443" s="38"/>
    </row>
    <row r="444" spans="1:31" ht="21.2" customHeight="1">
      <c r="A444" s="8" t="s">
        <v>766</v>
      </c>
      <c r="B444" s="34" t="str">
        <f>VLOOKUP(A444,'Player Data'!A1:B734,2,FALSE)</f>
        <v>BOS</v>
      </c>
      <c r="C444" s="36">
        <f>((E444)*Settings!$C$12)+(F444*Settings!$C$2)+(G444*Settings!$C$3)+(H444*Settings!$C$4)+(I444*Settings!$C$5)+(K444*Settings!$C$9)+(N444*Settings!$C$6)+(J444*Settings!$C$8)+(O444*Settings!$C$7)+(P444*Settings!$C$14)+(Q444*Settings!$C$15)+(R444*Settings!$C$16)+(S444*Settings!$C$17)+(T444*Settings!$C$18)+(U444*Settings!$C$19)+(L444*Settings!$C$10)+(Settings!$C$11*M444)</f>
        <v>-3.6277871407283206</v>
      </c>
      <c r="D444" s="40">
        <f>IF(Settings!$E$12="YES",VLOOKUP(A444,'Player Data'!A1:E734,5,FALSE),82)</f>
        <v>82</v>
      </c>
      <c r="E444" s="38">
        <f>(VLOOKUP($A444,'The List'!$B1:$AH730,17,FALSE)-AVERAGE('The List'!R2:R730))/STDEV('The List'!R2:R730)</f>
        <v>-1.6105690280561311</v>
      </c>
      <c r="F444" s="38">
        <f>(VLOOKUP($A444,'The List'!$B1:$AH730,18,FALSE)-AVERAGE('The List'!S2:S730))/STDEV('The List'!S2:S730)</f>
        <v>-0.22015690237750413</v>
      </c>
      <c r="G444" s="38">
        <f>(VLOOKUP($A444,'The List'!$B1:$AH730,19,FALSE)-AVERAGE('The List'!T2:T730))/STDEV('The List'!T2:T730)</f>
        <v>-0.90270120834980838</v>
      </c>
      <c r="H444" s="38">
        <f>(VLOOKUP($A444,'The List'!$B1:$AH730,20,FALSE)-AVERAGE('The List'!U2:U730))/STDEV('The List'!U2:U730)</f>
        <v>-0.65709043016925972</v>
      </c>
      <c r="I444" s="38">
        <f>(VLOOKUP($A444,'The List'!$B1:$AH730,21,FALSE)-AVERAGE('The List'!V2:V730))/STDEV('The List'!V2:V730)</f>
        <v>-1.024944335429103</v>
      </c>
      <c r="J444" s="38">
        <f>(VLOOKUP($A444,'The List'!$B1:$AH730,22,FALSE)-AVERAGE('The List'!W2:W730))/STDEV('The List'!W2:W730)</f>
        <v>-0.73336444261283429</v>
      </c>
      <c r="K444" s="38">
        <f>(VLOOKUP($A444,'The List'!$B1:$AH730,23,FALSE)-AVERAGE('The List'!X2:X730))/STDEV('The List'!X2:X730)</f>
        <v>-0.82289426440264535</v>
      </c>
      <c r="L444" s="38">
        <f>(VLOOKUP($A444,'The List'!$B1:$AH730,24,FALSE)-AVERAGE('The List'!Y2:Y730))/STDEV('The List'!Y2:Y730)</f>
        <v>-0.28138387021368544</v>
      </c>
      <c r="M444" s="38">
        <f>(VLOOKUP($A444,'The List'!$B1:$AH730,25,FALSE)-AVERAGE('The List'!Z2:Z730))/STDEV('The List'!Z2:Z730)</f>
        <v>-0.40473249951435331</v>
      </c>
      <c r="N444" s="38">
        <f>(VLOOKUP($A444,'The List'!$B1:$AH730,26,FALSE)-AVERAGE('The List'!AA2:AA730))/STDEV('The List'!AA2:AA730)</f>
        <v>-0.80741552676229977</v>
      </c>
      <c r="O444" s="38">
        <f>(VLOOKUP($A444,'The List'!$B1:$AH730,27,FALSE)-AVERAGE('The List'!AB2:AB730))/STDEV('The List'!AB2:AB730)</f>
        <v>1.2338261054243949</v>
      </c>
      <c r="P444" s="38">
        <f>(VLOOKUP($A444,'The List'!$B1:$AH730,28,FALSE)-AVERAGE('The List'!AC2:AC730))/STDEV('The List'!AC2:AC730)</f>
        <v>0.61311908459241105</v>
      </c>
      <c r="Q444" s="38">
        <f>(VLOOKUP($A444,'The List'!$B1:$AH730,29,FALSE)-AVERAGE('The List'!AD2:AD730))/STDEV('The List'!AD2:AD730)</f>
        <v>-0.40652198133468037</v>
      </c>
      <c r="R444" s="38">
        <f>(VLOOKUP($A444,'The List'!$B1:$AH730,30,FALSE)-AVERAGE('The List'!AE2:AE730))/STDEV('The List'!AE2:AE730)</f>
        <v>5.4638321104226433E-3</v>
      </c>
      <c r="S444" s="38">
        <f>(VLOOKUP($A444,'The List'!$B1:$AH730,31,FALSE)-AVERAGE('The List'!AF2:AF730))/STDEV('The List'!AF2:AF730)</f>
        <v>-0.56911587195029545</v>
      </c>
      <c r="T444" s="38">
        <f>(VLOOKUP($A444,'The List'!$B1:$AH730,32,FALSE)-AVERAGE('The List'!AG2:AG730))/STDEV('The List'!AG2:AG730)</f>
        <v>-0.53185766313240324</v>
      </c>
      <c r="U444" s="38">
        <f>(VLOOKUP($A444,'The List'!$B1:$AH730,33,FALSE)-AVERAGE('The List'!AH2:AH730))/STDEV('The List'!AH2:AH730)</f>
        <v>-1.2363238714825984</v>
      </c>
      <c r="V444" s="38"/>
      <c r="W444" s="42"/>
      <c r="X444" s="40"/>
      <c r="Y444" s="40"/>
      <c r="Z444" s="40"/>
      <c r="AA444" s="40"/>
      <c r="AB444" s="40"/>
      <c r="AC444" s="43"/>
      <c r="AD444" s="44"/>
      <c r="AE444" s="38"/>
    </row>
    <row r="445" spans="1:31" ht="21.2" customHeight="1">
      <c r="A445" s="8" t="s">
        <v>415</v>
      </c>
      <c r="B445" s="34" t="str">
        <f>VLOOKUP(A445,'Player Data'!A1:B734,2,FALSE)</f>
        <v>NJD</v>
      </c>
      <c r="C445" s="36">
        <f>((E445)*Settings!$C$12)+(F445*Settings!$C$2)+(G445*Settings!$C$3)+(H445*Settings!$C$4)+(I445*Settings!$C$5)+(K445*Settings!$C$9)+(N445*Settings!$C$6)+(J445*Settings!$C$8)+(O445*Settings!$C$7)+(P445*Settings!$C$14)+(Q445*Settings!$C$15)+(R445*Settings!$C$16)+(S445*Settings!$C$17)+(T445*Settings!$C$18)+(U445*Settings!$C$19)+(L445*Settings!$C$10)+(Settings!$C$11*M445)</f>
        <v>-3.5244629787078701</v>
      </c>
      <c r="D445" s="40">
        <f>IF(Settings!$E$12="YES",VLOOKUP(A445,'Player Data'!A1:E734,5,FALSE),82)</f>
        <v>82</v>
      </c>
      <c r="E445" s="38">
        <f>(VLOOKUP($A445,'The List'!$B1:$AH730,17,FALSE)-AVERAGE('The List'!R2:R730))/STDEV('The List'!R2:R730)</f>
        <v>1.2440514014935622</v>
      </c>
      <c r="F445" s="38">
        <f>(VLOOKUP($A445,'The List'!$B1:$AH730,18,FALSE)-AVERAGE('The List'!S2:S730))/STDEV('The List'!S2:S730)</f>
        <v>-1.0166237200106694</v>
      </c>
      <c r="G445" s="38">
        <f>(VLOOKUP($A445,'The List'!$B1:$AH730,19,FALSE)-AVERAGE('The List'!T2:T730))/STDEV('The List'!T2:T730)</f>
        <v>-0.30427455300285133</v>
      </c>
      <c r="H445" s="38">
        <f>(VLOOKUP($A445,'The List'!$B1:$AH730,20,FALSE)-AVERAGE('The List'!U2:U730))/STDEV('The List'!U2:U730)</f>
        <v>-0.65958972977245178</v>
      </c>
      <c r="I445" s="38">
        <f>(VLOOKUP($A445,'The List'!$B1:$AH730,21,FALSE)-AVERAGE('The List'!V2:V730))/STDEV('The List'!V2:V730)</f>
        <v>-0.78184537783847829</v>
      </c>
      <c r="J445" s="38">
        <f>(VLOOKUP($A445,'The List'!$B1:$AH730,22,FALSE)-AVERAGE('The List'!W2:W730))/STDEV('The List'!W2:W730)</f>
        <v>-0.71248962904926172</v>
      </c>
      <c r="K445" s="38">
        <f>(VLOOKUP($A445,'The List'!$B1:$AH730,23,FALSE)-AVERAGE('The List'!X2:X730))/STDEV('The List'!X2:X730)</f>
        <v>-0.76212959808341929</v>
      </c>
      <c r="L445" s="38">
        <f>(VLOOKUP($A445,'The List'!$B1:$AH730,24,FALSE)-AVERAGE('The List'!Y2:Y730))/STDEV('The List'!Y2:Y730)</f>
        <v>-0.45963641469035604</v>
      </c>
      <c r="M445" s="38">
        <f>(VLOOKUP($A445,'The List'!$B1:$AH730,25,FALSE)-AVERAGE('The List'!Z2:Z730))/STDEV('The List'!Z2:Z730)</f>
        <v>1.0884017327960478</v>
      </c>
      <c r="N445" s="38">
        <f>(VLOOKUP($A445,'The List'!$B1:$AH730,26,FALSE)-AVERAGE('The List'!AA2:AA730))/STDEV('The List'!AA2:AA730)</f>
        <v>1.1510227509367101</v>
      </c>
      <c r="O445" s="38">
        <f>(VLOOKUP($A445,'The List'!$B1:$AH730,27,FALSE)-AVERAGE('The List'!AB2:AB730))/STDEV('The List'!AB2:AB730)</f>
        <v>-0.55308851035537598</v>
      </c>
      <c r="P445" s="38">
        <f>(VLOOKUP($A445,'The List'!$B1:$AH730,28,FALSE)-AVERAGE('The List'!AC2:AC730))/STDEV('The List'!AC2:AC730)</f>
        <v>-0.14431960055264431</v>
      </c>
      <c r="Q445" s="38">
        <f>(VLOOKUP($A445,'The List'!$B1:$AH730,29,FALSE)-AVERAGE('The List'!AD2:AD730))/STDEV('The List'!AD2:AD730)</f>
        <v>-0.58894838025944318</v>
      </c>
      <c r="R445" s="38">
        <f>(VLOOKUP($A445,'The List'!$B1:$AH730,30,FALSE)-AVERAGE('The List'!AE2:AE730))/STDEV('The List'!AE2:AE730)</f>
        <v>-0.91338425994219297</v>
      </c>
      <c r="S445" s="38">
        <f>(VLOOKUP($A445,'The List'!$B1:$AH730,31,FALSE)-AVERAGE('The List'!AF2:AF730))/STDEV('The List'!AF2:AF730)</f>
        <v>-0.56911587195029545</v>
      </c>
      <c r="T445" s="38">
        <f>(VLOOKUP($A445,'The List'!$B1:$AH730,32,FALSE)-AVERAGE('The List'!AG2:AG730))/STDEV('The List'!AG2:AG730)</f>
        <v>-0.61510119871956948</v>
      </c>
      <c r="U445" s="38">
        <f>(VLOOKUP($A445,'The List'!$B1:$AH730,33,FALSE)-AVERAGE('The List'!AH2:AH730))/STDEV('The List'!AH2:AH730)</f>
        <v>-1.2363238714825984</v>
      </c>
      <c r="V445" s="38"/>
      <c r="W445" s="40"/>
      <c r="X445" s="38"/>
      <c r="Y445" s="38"/>
      <c r="Z445" s="38"/>
      <c r="AA445" s="38"/>
      <c r="AB445" s="38"/>
      <c r="AC445" s="38"/>
      <c r="AD445" s="38"/>
      <c r="AE445" s="38"/>
    </row>
    <row r="446" spans="1:31" ht="21.2" customHeight="1">
      <c r="A446" s="8" t="s">
        <v>721</v>
      </c>
      <c r="B446" s="34" t="str">
        <f>VLOOKUP(A446,'Player Data'!A1:B734,2,FALSE)</f>
        <v>BUF</v>
      </c>
      <c r="C446" s="36">
        <f>((E446)*Settings!$C$12)+(F446*Settings!$C$2)+(G446*Settings!$C$3)+(H446*Settings!$C$4)+(I446*Settings!$C$5)+(K446*Settings!$C$9)+(N446*Settings!$C$6)+(J446*Settings!$C$8)+(O446*Settings!$C$7)+(P446*Settings!$C$14)+(Q446*Settings!$C$15)+(R446*Settings!$C$16)+(S446*Settings!$C$17)+(T446*Settings!$C$18)+(U446*Settings!$C$19)+(L446*Settings!$C$10)+(Settings!$C$11*M446)</f>
        <v>-3.3766255928054751</v>
      </c>
      <c r="D446" s="40">
        <f>IF(Settings!$E$12="YES",VLOOKUP(A446,'Player Data'!A1:E734,5,FALSE),82)</f>
        <v>82</v>
      </c>
      <c r="E446" s="38">
        <f>(VLOOKUP($A446,'The List'!$B1:$AH730,17,FALSE)-AVERAGE('The List'!R2:R730))/STDEV('The List'!R2:R730)</f>
        <v>-1.2578466365999157</v>
      </c>
      <c r="F446" s="38">
        <f>(VLOOKUP($A446,'The List'!$B1:$AH730,18,FALSE)-AVERAGE('The List'!S2:S730))/STDEV('The List'!S2:S730)</f>
        <v>-0.5662988138518954</v>
      </c>
      <c r="G446" s="38">
        <f>(VLOOKUP($A446,'The List'!$B1:$AH730,19,FALSE)-AVERAGE('The List'!T2:T730))/STDEV('The List'!T2:T730)</f>
        <v>-0.64747789814336865</v>
      </c>
      <c r="H446" s="38">
        <f>(VLOOKUP($A446,'The List'!$B1:$AH730,20,FALSE)-AVERAGE('The List'!U2:U730))/STDEV('The List'!U2:U730)</f>
        <v>-0.66115773891153728</v>
      </c>
      <c r="I446" s="38">
        <f>(VLOOKUP($A446,'The List'!$B1:$AH730,21,FALSE)-AVERAGE('The List'!V2:V730))/STDEV('The List'!V2:V730)</f>
        <v>-0.68700108705707918</v>
      </c>
      <c r="J446" s="38">
        <f>(VLOOKUP($A446,'The List'!$B1:$AH730,22,FALSE)-AVERAGE('The List'!W2:W730))/STDEV('The List'!W2:W730)</f>
        <v>-0.72492930097226438</v>
      </c>
      <c r="K446" s="38">
        <f>(VLOOKUP($A446,'The List'!$B1:$AH730,23,FALSE)-AVERAGE('The List'!X2:X730))/STDEV('The List'!X2:X730)</f>
        <v>-0.81469005484159451</v>
      </c>
      <c r="L446" s="38">
        <f>(VLOOKUP($A446,'The List'!$B1:$AH730,24,FALSE)-AVERAGE('The List'!Y2:Y730))/STDEV('The List'!Y2:Y730)</f>
        <v>-0.37352783338625178</v>
      </c>
      <c r="M446" s="38">
        <f>(VLOOKUP($A446,'The List'!$B1:$AH730,25,FALSE)-AVERAGE('The List'!Z2:Z730))/STDEV('The List'!Z2:Z730)</f>
        <v>-0.27051926648822261</v>
      </c>
      <c r="N446" s="38">
        <f>(VLOOKUP($A446,'The List'!$B1:$AH730,26,FALSE)-AVERAGE('The List'!AA2:AA730))/STDEV('The List'!AA2:AA730)</f>
        <v>-0.75656709174325321</v>
      </c>
      <c r="O446" s="38">
        <f>(VLOOKUP($A446,'The List'!$B1:$AH730,27,FALSE)-AVERAGE('The List'!AB2:AB730))/STDEV('The List'!AB2:AB730)</f>
        <v>-0.57251295474220376</v>
      </c>
      <c r="P446" s="38">
        <f>(VLOOKUP($A446,'The List'!$B1:$AH730,28,FALSE)-AVERAGE('The List'!AC2:AC730))/STDEV('The List'!AC2:AC730)</f>
        <v>-0.65952689879637449</v>
      </c>
      <c r="Q446" s="38">
        <f>(VLOOKUP($A446,'The List'!$B1:$AH730,29,FALSE)-AVERAGE('The List'!AD2:AD730))/STDEV('The List'!AD2:AD730)</f>
        <v>-0.21320120444533983</v>
      </c>
      <c r="R446" s="38">
        <f>(VLOOKUP($A446,'The List'!$B1:$AH730,30,FALSE)-AVERAGE('The List'!AE2:AE730))/STDEV('The List'!AE2:AE730)</f>
        <v>-0.58158319276181669</v>
      </c>
      <c r="S446" s="38">
        <f>(VLOOKUP($A446,'The List'!$B1:$AH730,31,FALSE)-AVERAGE('The List'!AF2:AF730))/STDEV('The List'!AF2:AF730)</f>
        <v>0.29919399373117533</v>
      </c>
      <c r="T446" s="38">
        <f>(VLOOKUP($A446,'The List'!$B1:$AH730,32,FALSE)-AVERAGE('The List'!AG2:AG730))/STDEV('The List'!AG2:AG730)</f>
        <v>0.69739090246829671</v>
      </c>
      <c r="U446" s="38">
        <f>(VLOOKUP($A446,'The List'!$B1:$AH730,33,FALSE)-AVERAGE('The List'!AH2:AH730))/STDEV('The List'!AH2:AH730)</f>
        <v>0.61561858314254314</v>
      </c>
      <c r="V446" s="38"/>
      <c r="W446" s="42"/>
      <c r="X446" s="40"/>
      <c r="Y446" s="40"/>
      <c r="Z446" s="40"/>
      <c r="AA446" s="40"/>
      <c r="AB446" s="40"/>
      <c r="AC446" s="43"/>
      <c r="AD446" s="44"/>
      <c r="AE446" s="38"/>
    </row>
    <row r="447" spans="1:31" ht="21.2" customHeight="1">
      <c r="A447" s="8" t="s">
        <v>756</v>
      </c>
      <c r="B447" s="34" t="str">
        <f>VLOOKUP(A447,'Player Data'!A1:B734,2,FALSE)</f>
        <v>DAL</v>
      </c>
      <c r="C447" s="36">
        <f>((E447)*Settings!$C$12)+(F447*Settings!$C$2)+(G447*Settings!$C$3)+(H447*Settings!$C$4)+(I447*Settings!$C$5)+(K447*Settings!$C$9)+(N447*Settings!$C$6)+(J447*Settings!$C$8)+(O447*Settings!$C$7)+(P447*Settings!$C$14)+(Q447*Settings!$C$15)+(R447*Settings!$C$16)+(S447*Settings!$C$17)+(T447*Settings!$C$18)+(U447*Settings!$C$19)+(L447*Settings!$C$10)+(Settings!$C$11*M447)</f>
        <v>-3.6725022325197183</v>
      </c>
      <c r="D447" s="40">
        <f>IF(Settings!$E$12="YES",VLOOKUP(A447,'Player Data'!A1:E734,5,FALSE),82)</f>
        <v>82</v>
      </c>
      <c r="E447" s="38">
        <f>(VLOOKUP($A447,'The List'!$B1:$AH730,17,FALSE)-AVERAGE('The List'!R2:R730))/STDEV('The List'!R2:R730)</f>
        <v>-1.2636773362467719</v>
      </c>
      <c r="F447" s="38">
        <f>(VLOOKUP($A447,'The List'!$B1:$AH730,18,FALSE)-AVERAGE('The List'!S2:S730))/STDEV('The List'!S2:S730)</f>
        <v>-0.45422841466168645</v>
      </c>
      <c r="G447" s="38">
        <f>(VLOOKUP($A447,'The List'!$B1:$AH730,19,FALSE)-AVERAGE('The List'!T2:T730))/STDEV('The List'!T2:T730)</f>
        <v>-0.73320277230747921</v>
      </c>
      <c r="H447" s="38">
        <f>(VLOOKUP($A447,'The List'!$B1:$AH730,20,FALSE)-AVERAGE('The List'!U2:U730))/STDEV('The List'!U2:U730)</f>
        <v>-0.66174052939201211</v>
      </c>
      <c r="I447" s="38">
        <f>(VLOOKUP($A447,'The List'!$B1:$AH730,21,FALSE)-AVERAGE('The List'!V2:V730))/STDEV('The List'!V2:V730)</f>
        <v>-1.0355409905496769</v>
      </c>
      <c r="J447" s="38">
        <f>(VLOOKUP($A447,'The List'!$B1:$AH730,22,FALSE)-AVERAGE('The List'!W2:W730))/STDEV('The List'!W2:W730)</f>
        <v>-0.72285918646976921</v>
      </c>
      <c r="K447" s="38">
        <f>(VLOOKUP($A447,'The List'!$B1:$AH730,23,FALSE)-AVERAGE('The List'!X2:X730))/STDEV('The List'!X2:X730)</f>
        <v>-0.78778952560886362</v>
      </c>
      <c r="L447" s="38">
        <f>(VLOOKUP($A447,'The List'!$B1:$AH730,24,FALSE)-AVERAGE('The List'!Y2:Y730))/STDEV('The List'!Y2:Y730)</f>
        <v>0.83677153393786641</v>
      </c>
      <c r="M447" s="38">
        <f>(VLOOKUP($A447,'The List'!$B1:$AH730,25,FALSE)-AVERAGE('The List'!Z2:Z730))/STDEV('The List'!Z2:Z730)</f>
        <v>0.31268308494402886</v>
      </c>
      <c r="N447" s="38">
        <f>(VLOOKUP($A447,'The List'!$B1:$AH730,26,FALSE)-AVERAGE('The List'!AA2:AA730))/STDEV('The List'!AA2:AA730)</f>
        <v>-1.0140208532677644</v>
      </c>
      <c r="O447" s="38">
        <f>(VLOOKUP($A447,'The List'!$B1:$AH730,27,FALSE)-AVERAGE('The List'!AB2:AB730))/STDEV('The List'!AB2:AB730)</f>
        <v>-0.80404952644059036</v>
      </c>
      <c r="P447" s="38">
        <f>(VLOOKUP($A447,'The List'!$B1:$AH730,28,FALSE)-AVERAGE('The List'!AC2:AC730))/STDEV('The List'!AC2:AC730)</f>
        <v>0.87625749321150648</v>
      </c>
      <c r="Q447" s="38">
        <f>(VLOOKUP($A447,'The List'!$B1:$AH730,29,FALSE)-AVERAGE('The List'!AD2:AD730))/STDEV('The List'!AD2:AD730)</f>
        <v>-1.0447779817878937</v>
      </c>
      <c r="R447" s="38">
        <f>(VLOOKUP($A447,'The List'!$B1:$AH730,30,FALSE)-AVERAGE('The List'!AE2:AE730))/STDEV('The List'!AE2:AE730)</f>
        <v>-0.29747518394480565</v>
      </c>
      <c r="S447" s="38">
        <f>(VLOOKUP($A447,'The List'!$B1:$AH730,31,FALSE)-AVERAGE('The List'!AF2:AF730))/STDEV('The List'!AF2:AF730)</f>
        <v>0.86528424981420782</v>
      </c>
      <c r="T447" s="38">
        <f>(VLOOKUP($A447,'The List'!$B1:$AH730,32,FALSE)-AVERAGE('The List'!AG2:AG730))/STDEV('The List'!AG2:AG730)</f>
        <v>0.91630951297616259</v>
      </c>
      <c r="U447" s="38">
        <f>(VLOOKUP($A447,'The List'!$B1:$AH730,33,FALSE)-AVERAGE('The List'!AH2:AH730))/STDEV('The List'!AH2:AH730)</f>
        <v>1.0037237814651676</v>
      </c>
      <c r="V447" s="38"/>
      <c r="W447" s="42"/>
      <c r="X447" s="40"/>
      <c r="Y447" s="40"/>
      <c r="Z447" s="40"/>
      <c r="AA447" s="40"/>
      <c r="AB447" s="40"/>
      <c r="AC447" s="43"/>
      <c r="AD447" s="44"/>
      <c r="AE447" s="38"/>
    </row>
    <row r="448" spans="1:31" ht="21.2" customHeight="1">
      <c r="A448" s="8" t="s">
        <v>695</v>
      </c>
      <c r="B448" s="34" t="str">
        <f>VLOOKUP(A448,'Player Data'!A1:B734,2,FALSE)</f>
        <v>WPG</v>
      </c>
      <c r="C448" s="36">
        <f>((E448)*Settings!$C$12)+(F448*Settings!$C$2)+(G448*Settings!$C$3)+(H448*Settings!$C$4)+(I448*Settings!$C$5)+(K448*Settings!$C$9)+(N448*Settings!$C$6)+(J448*Settings!$C$8)+(O448*Settings!$C$7)+(P448*Settings!$C$14)+(Q448*Settings!$C$15)+(R448*Settings!$C$16)+(S448*Settings!$C$17)+(T448*Settings!$C$18)+(U448*Settings!$C$19)+(L448*Settings!$C$10)+(Settings!$C$11*M448)</f>
        <v>-3.2061896101337308</v>
      </c>
      <c r="D448" s="40">
        <f>IF(Settings!$E$12="YES",VLOOKUP(A448,'Player Data'!A1:E734,5,FALSE),82)</f>
        <v>82</v>
      </c>
      <c r="E448" s="38">
        <f>(VLOOKUP($A448,'The List'!$B1:$AH730,17,FALSE)-AVERAGE('The List'!R2:R730))/STDEV('The List'!R2:R730)</f>
        <v>-1.2211624966662029</v>
      </c>
      <c r="F448" s="38">
        <f>(VLOOKUP($A448,'The List'!$B1:$AH730,18,FALSE)-AVERAGE('The List'!S2:S730))/STDEV('The List'!S2:S730)</f>
        <v>-0.41832329264195189</v>
      </c>
      <c r="G448" s="38">
        <f>(VLOOKUP($A448,'The List'!$B1:$AH730,19,FALSE)-AVERAGE('The List'!T2:T730))/STDEV('The List'!T2:T730)</f>
        <v>-0.7718907450212833</v>
      </c>
      <c r="H448" s="38">
        <f>(VLOOKUP($A448,'The List'!$B1:$AH730,20,FALSE)-AVERAGE('The List'!U2:U730))/STDEV('The List'!U2:U730)</f>
        <v>-0.66882448417089013</v>
      </c>
      <c r="I448" s="38">
        <f>(VLOOKUP($A448,'The List'!$B1:$AH730,21,FALSE)-AVERAGE('The List'!V2:V730))/STDEV('The List'!V2:V730)</f>
        <v>-0.6592395599640728</v>
      </c>
      <c r="J448" s="38">
        <f>(VLOOKUP($A448,'The List'!$B1:$AH730,22,FALSE)-AVERAGE('The List'!W2:W730))/STDEV('The List'!W2:W730)</f>
        <v>-0.67317607410291058</v>
      </c>
      <c r="K448" s="38">
        <f>(VLOOKUP($A448,'The List'!$B1:$AH730,23,FALSE)-AVERAGE('The List'!X2:X730))/STDEV('The List'!X2:X730)</f>
        <v>-0.68791152833553282</v>
      </c>
      <c r="L448" s="38">
        <f>(VLOOKUP($A448,'The List'!$B1:$AH730,24,FALSE)-AVERAGE('The List'!Y2:Y730))/STDEV('The List'!Y2:Y730)</f>
        <v>-0.30976398230556612</v>
      </c>
      <c r="M448" s="38">
        <f>(VLOOKUP($A448,'The List'!$B1:$AH730,25,FALSE)-AVERAGE('The List'!Z2:Z730))/STDEV('The List'!Z2:Z730)</f>
        <v>-0.44675572627234877</v>
      </c>
      <c r="N448" s="38">
        <f>(VLOOKUP($A448,'The List'!$B1:$AH730,26,FALSE)-AVERAGE('The List'!AA2:AA730))/STDEV('The List'!AA2:AA730)</f>
        <v>-0.65435051136446409</v>
      </c>
      <c r="O448" s="38">
        <f>(VLOOKUP($A448,'The List'!$B1:$AH730,27,FALSE)-AVERAGE('The List'!AB2:AB730))/STDEV('The List'!AB2:AB730)</f>
        <v>7.0909839878935486E-3</v>
      </c>
      <c r="P448" s="38">
        <f>(VLOOKUP($A448,'The List'!$B1:$AH730,28,FALSE)-AVERAGE('The List'!AC2:AC730))/STDEV('The List'!AC2:AC730)</f>
        <v>0.4289149778709585</v>
      </c>
      <c r="Q448" s="38">
        <f>(VLOOKUP($A448,'The List'!$B1:$AH730,29,FALSE)-AVERAGE('The List'!AD2:AD730))/STDEV('The List'!AD2:AD730)</f>
        <v>-4.0626086607506322E-2</v>
      </c>
      <c r="R448" s="38">
        <f>(VLOOKUP($A448,'The List'!$B1:$AH730,30,FALSE)-AVERAGE('The List'!AE2:AE730))/STDEV('The List'!AE2:AE730)</f>
        <v>-0.28479031328620219</v>
      </c>
      <c r="S448" s="38">
        <f>(VLOOKUP($A448,'The List'!$B1:$AH730,31,FALSE)-AVERAGE('The List'!AF2:AF730))/STDEV('The List'!AF2:AF730)</f>
        <v>-0.17499732524895037</v>
      </c>
      <c r="T448" s="38">
        <f>(VLOOKUP($A448,'The List'!$B1:$AH730,32,FALSE)-AVERAGE('The List'!AG2:AG730))/STDEV('The List'!AG2:AG730)</f>
        <v>-1.8422268444055315E-2</v>
      </c>
      <c r="U448" s="38">
        <f>(VLOOKUP($A448,'The List'!$B1:$AH730,33,FALSE)-AVERAGE('The List'!AH2:AH730))/STDEV('The List'!AH2:AH730)</f>
        <v>0.6138783150758611</v>
      </c>
      <c r="V448" s="38"/>
      <c r="W448" s="42"/>
      <c r="X448" s="40"/>
      <c r="Y448" s="40"/>
      <c r="Z448" s="40"/>
      <c r="AA448" s="40"/>
      <c r="AB448" s="40"/>
      <c r="AC448" s="43"/>
      <c r="AD448" s="44"/>
      <c r="AE448" s="38"/>
    </row>
    <row r="449" spans="1:31" ht="21.2" customHeight="1">
      <c r="A449" s="8" t="s">
        <v>481</v>
      </c>
      <c r="B449" s="34" t="str">
        <f>VLOOKUP(A449,'Player Data'!A1:B734,2,FALSE)</f>
        <v>NSH</v>
      </c>
      <c r="C449" s="36">
        <f>((E449)*Settings!$C$12)+(F449*Settings!$C$2)+(G449*Settings!$C$3)+(H449*Settings!$C$4)+(I449*Settings!$C$5)+(K449*Settings!$C$9)+(N449*Settings!$C$6)+(J449*Settings!$C$8)+(O449*Settings!$C$7)+(P449*Settings!$C$14)+(Q449*Settings!$C$15)+(R449*Settings!$C$16)+(S449*Settings!$C$17)+(T449*Settings!$C$18)+(U449*Settings!$C$19)+(L449*Settings!$C$10)+(Settings!$C$11*M449)</f>
        <v>-3.4891616559337857</v>
      </c>
      <c r="D449" s="40">
        <f>IF(Settings!$E$12="YES",VLOOKUP(A449,'Player Data'!A1:E734,5,FALSE),82)</f>
        <v>82</v>
      </c>
      <c r="E449" s="38">
        <f>(VLOOKUP($A449,'The List'!$B1:$AH730,17,FALSE)-AVERAGE('The List'!R2:R730))/STDEV('The List'!R2:R730)</f>
        <v>0.49428399753058333</v>
      </c>
      <c r="F449" s="38">
        <f>(VLOOKUP($A449,'The List'!$B1:$AH730,18,FALSE)-AVERAGE('The List'!S2:S730))/STDEV('The List'!S2:S730)</f>
        <v>-1.025502386078476</v>
      </c>
      <c r="G449" s="38">
        <f>(VLOOKUP($A449,'The List'!$B1:$AH730,19,FALSE)-AVERAGE('The List'!T2:T730))/STDEV('The List'!T2:T730)</f>
        <v>-0.32409035722396323</v>
      </c>
      <c r="H449" s="38">
        <f>(VLOOKUP($A449,'The List'!$B1:$AH730,20,FALSE)-AVERAGE('The List'!U2:U730))/STDEV('The List'!U2:U730)</f>
        <v>-0.67589477422821065</v>
      </c>
      <c r="I449" s="38">
        <f>(VLOOKUP($A449,'The List'!$B1:$AH730,21,FALSE)-AVERAGE('The List'!V2:V730))/STDEV('The List'!V2:V730)</f>
        <v>-0.79433654411567711</v>
      </c>
      <c r="J449" s="38">
        <f>(VLOOKUP($A449,'The List'!$B1:$AH730,22,FALSE)-AVERAGE('The List'!W2:W730))/STDEV('The List'!W2:W730)</f>
        <v>-0.65033890221720125</v>
      </c>
      <c r="K449" s="38">
        <f>(VLOOKUP($A449,'The List'!$B1:$AH730,23,FALSE)-AVERAGE('The List'!X2:X730))/STDEV('The List'!X2:X730)</f>
        <v>-0.66933759428745909</v>
      </c>
      <c r="L449" s="38">
        <f>(VLOOKUP($A449,'The List'!$B1:$AH730,24,FALSE)-AVERAGE('The List'!Y2:Y730))/STDEV('The List'!Y2:Y730)</f>
        <v>-0.47036184667243253</v>
      </c>
      <c r="M449" s="38">
        <f>(VLOOKUP($A449,'The List'!$B1:$AH730,25,FALSE)-AVERAGE('The List'!Z2:Z730))/STDEV('The List'!Z2:Z730)</f>
        <v>-0.2431003772038213</v>
      </c>
      <c r="N449" s="38">
        <f>(VLOOKUP($A449,'The List'!$B1:$AH730,26,FALSE)-AVERAGE('The List'!AA2:AA730))/STDEV('The List'!AA2:AA730)</f>
        <v>1.2700445630498769</v>
      </c>
      <c r="O449" s="38">
        <f>(VLOOKUP($A449,'The List'!$B1:$AH730,27,FALSE)-AVERAGE('The List'!AB2:AB730))/STDEV('The List'!AB2:AB730)</f>
        <v>0.12429168445955679</v>
      </c>
      <c r="P449" s="38">
        <f>(VLOOKUP($A449,'The List'!$B1:$AH730,28,FALSE)-AVERAGE('The List'!AC2:AC730))/STDEV('The List'!AC2:AC730)</f>
        <v>-0.27332246509795982</v>
      </c>
      <c r="Q449" s="38">
        <f>(VLOOKUP($A449,'The List'!$B1:$AH730,29,FALSE)-AVERAGE('The List'!AD2:AD730))/STDEV('The List'!AD2:AD730)</f>
        <v>0.7717086473661493</v>
      </c>
      <c r="R449" s="38">
        <f>(VLOOKUP($A449,'The List'!$B1:$AH730,30,FALSE)-AVERAGE('The List'!AE2:AE730))/STDEV('The List'!AE2:AE730)</f>
        <v>-0.92401766365514659</v>
      </c>
      <c r="S449" s="38">
        <f>(VLOOKUP($A449,'The List'!$B1:$AH730,31,FALSE)-AVERAGE('The List'!AF2:AF730))/STDEV('The List'!AF2:AF730)</f>
        <v>-0.56911587195029545</v>
      </c>
      <c r="T449" s="38">
        <f>(VLOOKUP($A449,'The List'!$B1:$AH730,32,FALSE)-AVERAGE('The List'!AG2:AG730))/STDEV('The List'!AG2:AG730)</f>
        <v>-0.61380895237956512</v>
      </c>
      <c r="U449" s="38">
        <f>(VLOOKUP($A449,'The List'!$B1:$AH730,33,FALSE)-AVERAGE('The List'!AH2:AH730))/STDEV('The List'!AH2:AH730)</f>
        <v>-1.2363238714825984</v>
      </c>
      <c r="V449" s="38"/>
      <c r="W449" s="40"/>
      <c r="X449" s="38"/>
      <c r="Y449" s="38"/>
      <c r="Z449" s="38"/>
      <c r="AA449" s="38"/>
      <c r="AB449" s="38"/>
      <c r="AC449" s="38"/>
      <c r="AD449" s="38"/>
      <c r="AE449" s="38"/>
    </row>
    <row r="450" spans="1:31" ht="21.2" customHeight="1">
      <c r="A450" s="8" t="s">
        <v>770</v>
      </c>
      <c r="B450" s="34" t="str">
        <f>VLOOKUP(A450,'Player Data'!A1:B734,2,FALSE)</f>
        <v>TOR</v>
      </c>
      <c r="C450" s="36">
        <f>((E450)*Settings!$C$12)+(F450*Settings!$C$2)+(G450*Settings!$C$3)+(H450*Settings!$C$4)+(I450*Settings!$C$5)+(K450*Settings!$C$9)+(N450*Settings!$C$6)+(J450*Settings!$C$8)+(O450*Settings!$C$7)+(P450*Settings!$C$14)+(Q450*Settings!$C$15)+(R450*Settings!$C$16)+(S450*Settings!$C$17)+(T450*Settings!$C$18)+(U450*Settings!$C$19)+(L450*Settings!$C$10)+(Settings!$C$11*M450)</f>
        <v>-4.0045767257232789</v>
      </c>
      <c r="D450" s="40">
        <f>IF(Settings!$E$12="YES",VLOOKUP(A450,'Player Data'!A1:E734,5,FALSE),82)</f>
        <v>82</v>
      </c>
      <c r="E450" s="38">
        <f>(VLOOKUP($A450,'The List'!$B1:$AH730,17,FALSE)-AVERAGE('The List'!R2:R730))/STDEV('The List'!R2:R730)</f>
        <v>-1.7087209450645757</v>
      </c>
      <c r="F450" s="38">
        <f>(VLOOKUP($A450,'The List'!$B1:$AH730,18,FALSE)-AVERAGE('The List'!S2:S730))/STDEV('The List'!S2:S730)</f>
        <v>-0.51837720247787789</v>
      </c>
      <c r="G450" s="38">
        <f>(VLOOKUP($A450,'The List'!$B1:$AH730,19,FALSE)-AVERAGE('The List'!T2:T730))/STDEV('The List'!T2:T730)</f>
        <v>-0.70972295501484728</v>
      </c>
      <c r="H450" s="38">
        <f>(VLOOKUP($A450,'The List'!$B1:$AH730,20,FALSE)-AVERAGE('The List'!U2:U730))/STDEV('The List'!U2:U730)</f>
        <v>-0.67713230560297377</v>
      </c>
      <c r="I450" s="38">
        <f>(VLOOKUP($A450,'The List'!$B1:$AH730,21,FALSE)-AVERAGE('The List'!V2:V730))/STDEV('The List'!V2:V730)</f>
        <v>-1.2918363211402624</v>
      </c>
      <c r="J450" s="38">
        <f>(VLOOKUP($A450,'The List'!$B1:$AH730,22,FALSE)-AVERAGE('The List'!W2:W730))/STDEV('The List'!W2:W730)</f>
        <v>-0.7087243966340282</v>
      </c>
      <c r="K450" s="38">
        <f>(VLOOKUP($A450,'The List'!$B1:$AH730,23,FALSE)-AVERAGE('The List'!X2:X730))/STDEV('The List'!X2:X730)</f>
        <v>-0.80750794148731719</v>
      </c>
      <c r="L450" s="38">
        <f>(VLOOKUP($A450,'The List'!$B1:$AH730,24,FALSE)-AVERAGE('The List'!Y2:Y730))/STDEV('The List'!Y2:Y730)</f>
        <v>-0.29301082395141775</v>
      </c>
      <c r="M450" s="38">
        <f>(VLOOKUP($A450,'The List'!$B1:$AH730,25,FALSE)-AVERAGE('The List'!Z2:Z730))/STDEV('The List'!Z2:Z730)</f>
        <v>-0.42391049607920883</v>
      </c>
      <c r="N450" s="38">
        <f>(VLOOKUP($A450,'The List'!$B1:$AH730,26,FALSE)-AVERAGE('The List'!AA2:AA730))/STDEV('The List'!AA2:AA730)</f>
        <v>-0.6643246249986946</v>
      </c>
      <c r="O450" s="38">
        <f>(VLOOKUP($A450,'The List'!$B1:$AH730,27,FALSE)-AVERAGE('The List'!AB2:AB730))/STDEV('The List'!AB2:AB730)</f>
        <v>-0.44802726578846902</v>
      </c>
      <c r="P450" s="38">
        <f>(VLOOKUP($A450,'The List'!$B1:$AH730,28,FALSE)-AVERAGE('The List'!AC2:AC730))/STDEV('The List'!AC2:AC730)</f>
        <v>0.8807045442079996</v>
      </c>
      <c r="Q450" s="38">
        <f>(VLOOKUP($A450,'The List'!$B1:$AH730,29,FALSE)-AVERAGE('The List'!AD2:AD730))/STDEV('The List'!AD2:AD730)</f>
        <v>-0.4126703817588312</v>
      </c>
      <c r="R450" s="38">
        <f>(VLOOKUP($A450,'The List'!$B1:$AH730,30,FALSE)-AVERAGE('The List'!AE2:AE730))/STDEV('The List'!AE2:AE730)</f>
        <v>-0.3606692749739932</v>
      </c>
      <c r="S450" s="38">
        <f>(VLOOKUP($A450,'The List'!$B1:$AH730,31,FALSE)-AVERAGE('The List'!AF2:AF730))/STDEV('The List'!AF2:AF730)</f>
        <v>0.37094433443635932</v>
      </c>
      <c r="T450" s="38">
        <f>(VLOOKUP($A450,'The List'!$B1:$AH730,32,FALSE)-AVERAGE('The List'!AG2:AG730))/STDEV('The List'!AG2:AG730)</f>
        <v>0.72301168226886103</v>
      </c>
      <c r="U450" s="38">
        <f>(VLOOKUP($A450,'The List'!$B1:$AH730,33,FALSE)-AVERAGE('The List'!AH2:AH730))/STDEV('The List'!AH2:AH730)</f>
        <v>0.68157638570898604</v>
      </c>
      <c r="V450" s="38"/>
      <c r="W450" s="42"/>
      <c r="X450" s="40"/>
      <c r="Y450" s="40"/>
      <c r="Z450" s="40"/>
      <c r="AA450" s="40"/>
      <c r="AB450" s="40"/>
      <c r="AC450" s="43"/>
      <c r="AD450" s="44"/>
      <c r="AE450" s="38"/>
    </row>
    <row r="451" spans="1:31" ht="21.2" customHeight="1">
      <c r="A451" s="8" t="s">
        <v>724</v>
      </c>
      <c r="B451" s="34" t="str">
        <f>VLOOKUP(A451,'Player Data'!A1:B734,2,FALSE)</f>
        <v>ARI</v>
      </c>
      <c r="C451" s="36">
        <f>((E451)*Settings!$C$12)+(F451*Settings!$C$2)+(G451*Settings!$C$3)+(H451*Settings!$C$4)+(I451*Settings!$C$5)+(K451*Settings!$C$9)+(N451*Settings!$C$6)+(J451*Settings!$C$8)+(O451*Settings!$C$7)+(P451*Settings!$C$14)+(Q451*Settings!$C$15)+(R451*Settings!$C$16)+(S451*Settings!$C$17)+(T451*Settings!$C$18)+(U451*Settings!$C$19)+(L451*Settings!$C$10)+(Settings!$C$11*M451)</f>
        <v>-2.8422080971613628</v>
      </c>
      <c r="D451" s="40">
        <f>IF(Settings!$E$12="YES",VLOOKUP(A451,'Player Data'!A1:E734,5,FALSE),82)</f>
        <v>82</v>
      </c>
      <c r="E451" s="38">
        <f>(VLOOKUP($A451,'The List'!$B1:$AH730,17,FALSE)-AVERAGE('The List'!R2:R730))/STDEV('The List'!R2:R730)</f>
        <v>-0.79877931648065648</v>
      </c>
      <c r="F451" s="38">
        <f>(VLOOKUP($A451,'The List'!$B1:$AH730,18,FALSE)-AVERAGE('The List'!S2:S730))/STDEV('The List'!S2:S730)</f>
        <v>-0.29787239337213467</v>
      </c>
      <c r="G451" s="38">
        <f>(VLOOKUP($A451,'The List'!$B1:$AH730,19,FALSE)-AVERAGE('The List'!T2:T730))/STDEV('The List'!T2:T730)</f>
        <v>-0.88382984484368898</v>
      </c>
      <c r="H451" s="38">
        <f>(VLOOKUP($A451,'The List'!$B1:$AH730,20,FALSE)-AVERAGE('The List'!U2:U730))/STDEV('The List'!U2:U730)</f>
        <v>-0.68162107824471629</v>
      </c>
      <c r="I451" s="38">
        <f>(VLOOKUP($A451,'The List'!$B1:$AH730,21,FALSE)-AVERAGE('The List'!V2:V730))/STDEV('The List'!V2:V730)</f>
        <v>-0.59689692505698588</v>
      </c>
      <c r="J451" s="38">
        <f>(VLOOKUP($A451,'The List'!$B1:$AH730,22,FALSE)-AVERAGE('The List'!W2:W730))/STDEV('The List'!W2:W730)</f>
        <v>-0.16921181225056153</v>
      </c>
      <c r="K451" s="38">
        <f>(VLOOKUP($A451,'The List'!$B1:$AH730,23,FALSE)-AVERAGE('The List'!X2:X730))/STDEV('The List'!X2:X730)</f>
        <v>-0.38198785564383719</v>
      </c>
      <c r="L451" s="38">
        <f>(VLOOKUP($A451,'The List'!$B1:$AH730,24,FALSE)-AVERAGE('The List'!Y2:Y730))/STDEV('The List'!Y2:Y730)</f>
        <v>-0.44455160304441554</v>
      </c>
      <c r="M451" s="38">
        <f>(VLOOKUP($A451,'The List'!$B1:$AH730,25,FALSE)-AVERAGE('The List'!Z2:Z730))/STDEV('The List'!Z2:Z730)</f>
        <v>-0.51036570642249302</v>
      </c>
      <c r="N451" s="38">
        <f>(VLOOKUP($A451,'The List'!$B1:$AH730,26,FALSE)-AVERAGE('The List'!AA2:AA730))/STDEV('The List'!AA2:AA730)</f>
        <v>3.3539197918547363E-2</v>
      </c>
      <c r="O451" s="38">
        <f>(VLOOKUP($A451,'The List'!$B1:$AH730,27,FALSE)-AVERAGE('The List'!AB2:AB730))/STDEV('The List'!AB2:AB730)</f>
        <v>0.65505385415204098</v>
      </c>
      <c r="P451" s="38">
        <f>(VLOOKUP($A451,'The List'!$B1:$AH730,28,FALSE)-AVERAGE('The List'!AC2:AC730))/STDEV('The List'!AC2:AC730)</f>
        <v>-0.20194905470389518</v>
      </c>
      <c r="Q451" s="38">
        <f>(VLOOKUP($A451,'The List'!$B1:$AH730,29,FALSE)-AVERAGE('The List'!AD2:AD730))/STDEV('The List'!AD2:AD730)</f>
        <v>0.17847967718510876</v>
      </c>
      <c r="R451" s="38">
        <f>(VLOOKUP($A451,'The List'!$B1:$AH730,30,FALSE)-AVERAGE('The List'!AE2:AE730))/STDEV('The List'!AE2:AE730)</f>
        <v>-0.37052489693618379</v>
      </c>
      <c r="S451" s="38">
        <f>(VLOOKUP($A451,'The List'!$B1:$AH730,31,FALSE)-AVERAGE('The List'!AF2:AF730))/STDEV('The List'!AF2:AF730)</f>
        <v>-0.49682181673480325</v>
      </c>
      <c r="T451" s="38">
        <f>(VLOOKUP($A451,'The List'!$B1:$AH730,32,FALSE)-AVERAGE('The List'!AG2:AG730))/STDEV('The List'!AG2:AG730)</f>
        <v>-0.40906378168495544</v>
      </c>
      <c r="U451" s="38">
        <f>(VLOOKUP($A451,'The List'!$B1:$AH730,33,FALSE)-AVERAGE('The List'!AH2:AH730))/STDEV('The List'!AH2:AH730)</f>
        <v>-1.9849445943566808E-2</v>
      </c>
      <c r="V451" s="38"/>
      <c r="W451" s="42"/>
      <c r="X451" s="40"/>
      <c r="Y451" s="40"/>
      <c r="Z451" s="40"/>
      <c r="AA451" s="40"/>
      <c r="AB451" s="40"/>
      <c r="AC451" s="43"/>
      <c r="AD451" s="44"/>
      <c r="AE451" s="38"/>
    </row>
    <row r="452" spans="1:31" ht="21.2" customHeight="1">
      <c r="A452" s="8" t="s">
        <v>704</v>
      </c>
      <c r="B452" s="34" t="str">
        <f>VLOOKUP(A452,'Player Data'!A1:B734,2,FALSE)</f>
        <v>BUF</v>
      </c>
      <c r="C452" s="36">
        <f>((E452)*Settings!$C$12)+(F452*Settings!$C$2)+(G452*Settings!$C$3)+(H452*Settings!$C$4)+(I452*Settings!$C$5)+(K452*Settings!$C$9)+(N452*Settings!$C$6)+(J452*Settings!$C$8)+(O452*Settings!$C$7)+(P452*Settings!$C$14)+(Q452*Settings!$C$15)+(R452*Settings!$C$16)+(S452*Settings!$C$17)+(T452*Settings!$C$18)+(U452*Settings!$C$19)+(L452*Settings!$C$10)+(Settings!$C$11*M452)</f>
        <v>-3.2601939343875066</v>
      </c>
      <c r="D452" s="40">
        <f>IF(Settings!$E$12="YES",VLOOKUP(A452,'Player Data'!A1:E734,5,FALSE),82)</f>
        <v>82</v>
      </c>
      <c r="E452" s="38">
        <f>(VLOOKUP($A452,'The List'!$B1:$AH730,17,FALSE)-AVERAGE('The List'!R2:R730))/STDEV('The List'!R2:R730)</f>
        <v>-1.3344002676813698</v>
      </c>
      <c r="F452" s="38">
        <f>(VLOOKUP($A452,'The List'!$B1:$AH730,18,FALSE)-AVERAGE('The List'!S2:S730))/STDEV('The List'!S2:S730)</f>
        <v>-0.53652712180749917</v>
      </c>
      <c r="G452" s="38">
        <f>(VLOOKUP($A452,'The List'!$B1:$AH730,19,FALSE)-AVERAGE('The List'!T2:T730))/STDEV('The List'!T2:T730)</f>
        <v>-0.70701372784783434</v>
      </c>
      <c r="H452" s="38">
        <f>(VLOOKUP($A452,'The List'!$B1:$AH730,20,FALSE)-AVERAGE('The List'!U2:U730))/STDEV('The List'!U2:U730)</f>
        <v>-0.68390478868524129</v>
      </c>
      <c r="I452" s="38">
        <f>(VLOOKUP($A452,'The List'!$B1:$AH730,21,FALSE)-AVERAGE('The List'!V2:V730))/STDEV('The List'!V2:V730)</f>
        <v>-0.53331784949425043</v>
      </c>
      <c r="J452" s="38">
        <f>(VLOOKUP($A452,'The List'!$B1:$AH730,22,FALSE)-AVERAGE('The List'!W2:W730))/STDEV('The List'!W2:W730)</f>
        <v>-0.70949342797485682</v>
      </c>
      <c r="K452" s="38">
        <f>(VLOOKUP($A452,'The List'!$B1:$AH730,23,FALSE)-AVERAGE('The List'!X2:X730))/STDEV('The List'!X2:X730)</f>
        <v>-0.79943044655268158</v>
      </c>
      <c r="L452" s="38">
        <f>(VLOOKUP($A452,'The List'!$B1:$AH730,24,FALSE)-AVERAGE('The List'!Y2:Y730))/STDEV('The List'!Y2:Y730)</f>
        <v>-0.47745077746224068</v>
      </c>
      <c r="M452" s="38">
        <f>(VLOOKUP($A452,'The List'!$B1:$AH730,25,FALSE)-AVERAGE('The List'!Z2:Z730))/STDEV('The List'!Z2:Z730)</f>
        <v>-0.64027933266074799</v>
      </c>
      <c r="N452" s="38">
        <f>(VLOOKUP($A452,'The List'!$B1:$AH730,26,FALSE)-AVERAGE('The List'!AA2:AA730))/STDEV('The List'!AA2:AA730)</f>
        <v>-0.61426555934391103</v>
      </c>
      <c r="O452" s="38">
        <f>(VLOOKUP($A452,'The List'!$B1:$AH730,27,FALSE)-AVERAGE('The List'!AB2:AB730))/STDEV('The List'!AB2:AB730)</f>
        <v>0.70986941979017537</v>
      </c>
      <c r="P452" s="38">
        <f>(VLOOKUP($A452,'The List'!$B1:$AH730,28,FALSE)-AVERAGE('The List'!AC2:AC730))/STDEV('The List'!AC2:AC730)</f>
        <v>-0.36048926072677762</v>
      </c>
      <c r="Q452" s="38">
        <f>(VLOOKUP($A452,'The List'!$B1:$AH730,29,FALSE)-AVERAGE('The List'!AD2:AD730))/STDEV('The List'!AD2:AD730)</f>
        <v>0.66110812187717927</v>
      </c>
      <c r="R452" s="38">
        <f>(VLOOKUP($A452,'The List'!$B1:$AH730,30,FALSE)-AVERAGE('The List'!AE2:AE730))/STDEV('The List'!AE2:AE730)</f>
        <v>-0.55676307336794595</v>
      </c>
      <c r="S452" s="38">
        <f>(VLOOKUP($A452,'The List'!$B1:$AH730,31,FALSE)-AVERAGE('The List'!AF2:AF730))/STDEV('The List'!AF2:AF730)</f>
        <v>-0.53423113070077088</v>
      </c>
      <c r="T452" s="38">
        <f>(VLOOKUP($A452,'The List'!$B1:$AH730,32,FALSE)-AVERAGE('The List'!AG2:AG730))/STDEV('The List'!AG2:AG730)</f>
        <v>-0.53242134286285536</v>
      </c>
      <c r="U452" s="38">
        <f>(VLOOKUP($A452,'The List'!$B1:$AH730,33,FALSE)-AVERAGE('The List'!AH2:AH730))/STDEV('The List'!AH2:AH730)</f>
        <v>0.15081415364303574</v>
      </c>
      <c r="V452" s="38"/>
      <c r="W452" s="42"/>
      <c r="X452" s="40"/>
      <c r="Y452" s="40"/>
      <c r="Z452" s="40"/>
      <c r="AA452" s="40"/>
      <c r="AB452" s="40"/>
      <c r="AC452" s="43"/>
      <c r="AD452" s="44"/>
      <c r="AE452" s="38"/>
    </row>
    <row r="453" spans="1:31" ht="21.2" customHeight="1">
      <c r="A453" s="8" t="s">
        <v>606</v>
      </c>
      <c r="B453" s="34" t="str">
        <f>VLOOKUP(A453,'Player Data'!A1:B734,2,FALSE)</f>
        <v>ANA</v>
      </c>
      <c r="C453" s="36">
        <f>((E453)*Settings!$C$12)+(F453*Settings!$C$2)+(G453*Settings!$C$3)+(H453*Settings!$C$4)+(I453*Settings!$C$5)+(K453*Settings!$C$9)+(N453*Settings!$C$6)+(J453*Settings!$C$8)+(O453*Settings!$C$7)+(P453*Settings!$C$14)+(Q453*Settings!$C$15)+(R453*Settings!$C$16)+(S453*Settings!$C$17)+(T453*Settings!$C$18)+(U453*Settings!$C$19)+(L453*Settings!$C$10)+(Settings!$C$11*M453)</f>
        <v>-2.3004301613143303</v>
      </c>
      <c r="D453" s="40">
        <f>IF(Settings!$E$12="YES",VLOOKUP(A453,'Player Data'!A1:E734,5,FALSE),82)</f>
        <v>82</v>
      </c>
      <c r="E453" s="38">
        <f>(VLOOKUP($A453,'The List'!$B1:$AH730,17,FALSE)-AVERAGE('The List'!R2:R730))/STDEV('The List'!R2:R730)</f>
        <v>-0.43409195951637514</v>
      </c>
      <c r="F453" s="38">
        <f>(VLOOKUP($A453,'The List'!$B1:$AH730,18,FALSE)-AVERAGE('The List'!S2:S730))/STDEV('The List'!S2:S730)</f>
        <v>-0.59355958079436277</v>
      </c>
      <c r="G453" s="38">
        <f>(VLOOKUP($A453,'The List'!$B1:$AH730,19,FALSE)-AVERAGE('The List'!T2:T730))/STDEV('The List'!T2:T730)</f>
        <v>-0.66569533903234124</v>
      </c>
      <c r="H453" s="38">
        <f>(VLOOKUP($A453,'The List'!$B1:$AH730,20,FALSE)-AVERAGE('The List'!U2:U730))/STDEV('The List'!U2:U730)</f>
        <v>-0.68502587093556833</v>
      </c>
      <c r="I453" s="38">
        <f>(VLOOKUP($A453,'The List'!$B1:$AH730,21,FALSE)-AVERAGE('The List'!V2:V730))/STDEV('The List'!V2:V730)</f>
        <v>-7.6705023291716273E-2</v>
      </c>
      <c r="J453" s="38">
        <f>(VLOOKUP($A453,'The List'!$B1:$AH730,22,FALSE)-AVERAGE('The List'!W2:W730))/STDEV('The List'!W2:W730)</f>
        <v>-0.13551257375479864</v>
      </c>
      <c r="K453" s="38">
        <f>(VLOOKUP($A453,'The List'!$B1:$AH730,23,FALSE)-AVERAGE('The List'!X2:X730))/STDEV('The List'!X2:X730)</f>
        <v>-0.27944434726034156</v>
      </c>
      <c r="L453" s="38">
        <f>(VLOOKUP($A453,'The List'!$B1:$AH730,24,FALSE)-AVERAGE('The List'!Y2:Y730))/STDEV('The List'!Y2:Y730)</f>
        <v>-0.42391232450547761</v>
      </c>
      <c r="M453" s="38">
        <f>(VLOOKUP($A453,'The List'!$B1:$AH730,25,FALSE)-AVERAGE('The List'!Z2:Z730))/STDEV('The List'!Z2:Z730)</f>
        <v>-0.93802687167758181</v>
      </c>
      <c r="N453" s="38">
        <f>(VLOOKUP($A453,'The List'!$B1:$AH730,26,FALSE)-AVERAGE('The List'!AA2:AA730))/STDEV('The List'!AA2:AA730)</f>
        <v>-0.35092020782810179</v>
      </c>
      <c r="O453" s="38">
        <f>(VLOOKUP($A453,'The List'!$B1:$AH730,27,FALSE)-AVERAGE('The List'!AB2:AB730))/STDEV('The List'!AB2:AB730)</f>
        <v>-1.3658899879767328</v>
      </c>
      <c r="P453" s="38">
        <f>(VLOOKUP($A453,'The List'!$B1:$AH730,28,FALSE)-AVERAGE('The List'!AC2:AC730))/STDEV('The List'!AC2:AC730)</f>
        <v>-2.3065772294438069</v>
      </c>
      <c r="Q453" s="38">
        <f>(VLOOKUP($A453,'The List'!$B1:$AH730,29,FALSE)-AVERAGE('The List'!AD2:AD730))/STDEV('The List'!AD2:AD730)</f>
        <v>-7.4508918755978135E-2</v>
      </c>
      <c r="R453" s="38">
        <f>(VLOOKUP($A453,'The List'!$B1:$AH730,30,FALSE)-AVERAGE('The List'!AE2:AE730))/STDEV('The List'!AE2:AE730)</f>
        <v>-0.766896646349433</v>
      </c>
      <c r="S453" s="38">
        <f>(VLOOKUP($A453,'The List'!$B1:$AH730,31,FALSE)-AVERAGE('The List'!AF2:AF730))/STDEV('The List'!AF2:AF730)</f>
        <v>-0.49021946283466528</v>
      </c>
      <c r="T453" s="38">
        <f>(VLOOKUP($A453,'The List'!$B1:$AH730,32,FALSE)-AVERAGE('The List'!AG2:AG730))/STDEV('The List'!AG2:AG730)</f>
        <v>-0.46402111321185718</v>
      </c>
      <c r="U453" s="38">
        <f>(VLOOKUP($A453,'The List'!$B1:$AH730,33,FALSE)-AVERAGE('The List'!AH2:AH730))/STDEV('The List'!AH2:AH730)</f>
        <v>0.36372021521586884</v>
      </c>
      <c r="V453" s="38"/>
      <c r="W453" s="42"/>
      <c r="X453" s="40"/>
      <c r="Y453" s="40"/>
      <c r="Z453" s="40"/>
      <c r="AA453" s="40"/>
      <c r="AB453" s="40"/>
      <c r="AC453" s="43"/>
      <c r="AD453" s="44"/>
      <c r="AE453" s="38"/>
    </row>
    <row r="454" spans="1:31" ht="21.2" customHeight="1">
      <c r="A454" s="8" t="s">
        <v>694</v>
      </c>
      <c r="B454" s="34" t="str">
        <f>VLOOKUP(A454,'Player Data'!A1:B734,2,FALSE)</f>
        <v>WSH</v>
      </c>
      <c r="C454" s="36">
        <f>((E454)*Settings!$C$12)+(F454*Settings!$C$2)+(G454*Settings!$C$3)+(H454*Settings!$C$4)+(I454*Settings!$C$5)+(K454*Settings!$C$9)+(N454*Settings!$C$6)+(J454*Settings!$C$8)+(O454*Settings!$C$7)+(P454*Settings!$C$14)+(Q454*Settings!$C$15)+(R454*Settings!$C$16)+(S454*Settings!$C$17)+(T454*Settings!$C$18)+(U454*Settings!$C$19)+(L454*Settings!$C$10)+(Settings!$C$11*M454)</f>
        <v>-3.3932300952228558</v>
      </c>
      <c r="D454" s="40">
        <f>IF(Settings!$E$12="YES",VLOOKUP(A454,'Player Data'!A1:E734,5,FALSE),82)</f>
        <v>82</v>
      </c>
      <c r="E454" s="38">
        <f>(VLOOKUP($A454,'The List'!$B1:$AH730,17,FALSE)-AVERAGE('The List'!R2:R730))/STDEV('The List'!R2:R730)</f>
        <v>-1.2955947735364703</v>
      </c>
      <c r="F454" s="38">
        <f>(VLOOKUP($A454,'The List'!$B1:$AH730,18,FALSE)-AVERAGE('The List'!S2:S730))/STDEV('The List'!S2:S730)</f>
        <v>-0.48528505278264028</v>
      </c>
      <c r="G454" s="38">
        <f>(VLOOKUP($A454,'The List'!$B1:$AH730,19,FALSE)-AVERAGE('The List'!T2:T730))/STDEV('The List'!T2:T730)</f>
        <v>-0.74800566745680563</v>
      </c>
      <c r="H454" s="38">
        <f>(VLOOKUP($A454,'The List'!$B1:$AH730,20,FALSE)-AVERAGE('The List'!U2:U730))/STDEV('The List'!U2:U730)</f>
        <v>-0.68527488724307506</v>
      </c>
      <c r="I454" s="38">
        <f>(VLOOKUP($A454,'The List'!$B1:$AH730,21,FALSE)-AVERAGE('The List'!V2:V730))/STDEV('The List'!V2:V730)</f>
        <v>-0.65455486326544621</v>
      </c>
      <c r="J454" s="38">
        <f>(VLOOKUP($A454,'The List'!$B1:$AH730,22,FALSE)-AVERAGE('The List'!W2:W730))/STDEV('The List'!W2:W730)</f>
        <v>-0.73057076612801419</v>
      </c>
      <c r="K454" s="38">
        <f>(VLOOKUP($A454,'The List'!$B1:$AH730,23,FALSE)-AVERAGE('The List'!X2:X730))/STDEV('The List'!X2:X730)</f>
        <v>-0.82010962447488855</v>
      </c>
      <c r="L454" s="38">
        <f>(VLOOKUP($A454,'The List'!$B1:$AH730,24,FALSE)-AVERAGE('The List'!Y2:Y730))/STDEV('The List'!Y2:Y730)</f>
        <v>-0.19453009222753009</v>
      </c>
      <c r="M454" s="38">
        <f>(VLOOKUP($A454,'The List'!$B1:$AH730,25,FALSE)-AVERAGE('The List'!Z2:Z730))/STDEV('The List'!Z2:Z730)</f>
        <v>-0.31601733644001434</v>
      </c>
      <c r="N454" s="38">
        <f>(VLOOKUP($A454,'The List'!$B1:$AH730,26,FALSE)-AVERAGE('The List'!AA2:AA730))/STDEV('The List'!AA2:AA730)</f>
        <v>-1.0493275527247756</v>
      </c>
      <c r="O454" s="38">
        <f>(VLOOKUP($A454,'The List'!$B1:$AH730,27,FALSE)-AVERAGE('The List'!AB2:AB730))/STDEV('The List'!AB2:AB730)</f>
        <v>1.307862950384693</v>
      </c>
      <c r="P454" s="38">
        <f>(VLOOKUP($A454,'The List'!$B1:$AH730,28,FALSE)-AVERAGE('The List'!AC2:AC730))/STDEV('The List'!AC2:AC730)</f>
        <v>-0.62445239064393043</v>
      </c>
      <c r="Q454" s="38">
        <f>(VLOOKUP($A454,'The List'!$B1:$AH730,29,FALSE)-AVERAGE('The List'!AD2:AD730))/STDEV('The List'!AD2:AD730)</f>
        <v>1.305500393654899</v>
      </c>
      <c r="R454" s="38">
        <f>(VLOOKUP($A454,'The List'!$B1:$AH730,30,FALSE)-AVERAGE('The List'!AE2:AE730))/STDEV('The List'!AE2:AE730)</f>
        <v>-0.54292577080088755</v>
      </c>
      <c r="S454" s="38">
        <f>(VLOOKUP($A454,'The List'!$B1:$AH730,31,FALSE)-AVERAGE('The List'!AF2:AF730))/STDEV('The List'!AF2:AF730)</f>
        <v>-0.53563047642409822</v>
      </c>
      <c r="T454" s="38">
        <f>(VLOOKUP($A454,'The List'!$B1:$AH730,32,FALSE)-AVERAGE('The List'!AG2:AG730))/STDEV('The List'!AG2:AG730)</f>
        <v>-0.55613853860868123</v>
      </c>
      <c r="U454" s="38">
        <f>(VLOOKUP($A454,'The List'!$B1:$AH730,33,FALSE)-AVERAGE('The List'!AH2:AH730))/STDEV('The List'!AH2:AH730)</f>
        <v>0.45140330033210657</v>
      </c>
      <c r="V454" s="38"/>
      <c r="W454" s="42"/>
      <c r="X454" s="40"/>
      <c r="Y454" s="40"/>
      <c r="Z454" s="40"/>
      <c r="AA454" s="40"/>
      <c r="AB454" s="40"/>
      <c r="AC454" s="43"/>
      <c r="AD454" s="44"/>
      <c r="AE454" s="38"/>
    </row>
    <row r="455" spans="1:31" ht="21.2" customHeight="1">
      <c r="A455" s="8" t="s">
        <v>399</v>
      </c>
      <c r="B455" s="34" t="str">
        <f>VLOOKUP(A455,'Player Data'!A1:B734,2,FALSE)</f>
        <v>WPG</v>
      </c>
      <c r="C455" s="36">
        <f>((E455)*Settings!$C$12)+(F455*Settings!$C$2)+(G455*Settings!$C$3)+(H455*Settings!$C$4)+(I455*Settings!$C$5)+(K455*Settings!$C$9)+(N455*Settings!$C$6)+(J455*Settings!$C$8)+(O455*Settings!$C$7)+(P455*Settings!$C$14)+(Q455*Settings!$C$15)+(R455*Settings!$C$16)+(S455*Settings!$C$17)+(T455*Settings!$C$18)+(U455*Settings!$C$19)+(L455*Settings!$C$10)+(Settings!$C$11*M455)</f>
        <v>-2.8475116157438545</v>
      </c>
      <c r="D455" s="40">
        <f>IF(Settings!$E$12="YES",VLOOKUP(A455,'Player Data'!A1:E734,5,FALSE),82)</f>
        <v>82</v>
      </c>
      <c r="E455" s="38">
        <f>(VLOOKUP($A455,'The List'!$B1:$AH730,17,FALSE)-AVERAGE('The List'!R2:R730))/STDEV('The List'!R2:R730)</f>
        <v>0.35474788823665493</v>
      </c>
      <c r="F455" s="38">
        <f>(VLOOKUP($A455,'The List'!$B1:$AH730,18,FALSE)-AVERAGE('The List'!S2:S730))/STDEV('The List'!S2:S730)</f>
        <v>-0.85210093073378412</v>
      </c>
      <c r="G455" s="38">
        <f>(VLOOKUP($A455,'The List'!$B1:$AH730,19,FALSE)-AVERAGE('The List'!T2:T730))/STDEV('The List'!T2:T730)</f>
        <v>-0.47584333687506503</v>
      </c>
      <c r="H455" s="38">
        <f>(VLOOKUP($A455,'The List'!$B1:$AH730,20,FALSE)-AVERAGE('The List'!U2:U730))/STDEV('The List'!U2:U730)</f>
        <v>-0.6885432730658213</v>
      </c>
      <c r="I455" s="38">
        <f>(VLOOKUP($A455,'The List'!$B1:$AH730,21,FALSE)-AVERAGE('The List'!V2:V730))/STDEV('The List'!V2:V730)</f>
        <v>-0.57115127371749752</v>
      </c>
      <c r="J455" s="38">
        <f>(VLOOKUP($A455,'The List'!$B1:$AH730,22,FALSE)-AVERAGE('The List'!W2:W730))/STDEV('The List'!W2:W730)</f>
        <v>-0.42235605944451676</v>
      </c>
      <c r="K455" s="38">
        <f>(VLOOKUP($A455,'The List'!$B1:$AH730,23,FALSE)-AVERAGE('The List'!X2:X730))/STDEV('The List'!X2:X730)</f>
        <v>-0.25987280135168661</v>
      </c>
      <c r="L455" s="38">
        <f>(VLOOKUP($A455,'The List'!$B1:$AH730,24,FALSE)-AVERAGE('The List'!Y2:Y730))/STDEV('The List'!Y2:Y730)</f>
        <v>-0.52219999722056487</v>
      </c>
      <c r="M455" s="38">
        <f>(VLOOKUP($A455,'The List'!$B1:$AH730,25,FALSE)-AVERAGE('The List'!Z2:Z730))/STDEV('The List'!Z2:Z730)</f>
        <v>-0.52111678601361966</v>
      </c>
      <c r="N455" s="38">
        <f>(VLOOKUP($A455,'The List'!$B1:$AH730,26,FALSE)-AVERAGE('The List'!AA2:AA730))/STDEV('The List'!AA2:AA730)</f>
        <v>0.76146592657144641</v>
      </c>
      <c r="O455" s="38">
        <f>(VLOOKUP($A455,'The List'!$B1:$AH730,27,FALSE)-AVERAGE('The List'!AB2:AB730))/STDEV('The List'!AB2:AB730)</f>
        <v>-0.80998922994499956</v>
      </c>
      <c r="P455" s="38">
        <f>(VLOOKUP($A455,'The List'!$B1:$AH730,28,FALSE)-AVERAGE('The List'!AC2:AC730))/STDEV('The List'!AC2:AC730)</f>
        <v>0.38525570249867208</v>
      </c>
      <c r="Q455" s="38">
        <f>(VLOOKUP($A455,'The List'!$B1:$AH730,29,FALSE)-AVERAGE('The List'!AD2:AD730))/STDEV('The List'!AD2:AD730)</f>
        <v>-1.4438685784886067</v>
      </c>
      <c r="R455" s="38">
        <f>(VLOOKUP($A455,'The List'!$B1:$AH730,30,FALSE)-AVERAGE('The List'!AE2:AE730))/STDEV('The List'!AE2:AE730)</f>
        <v>-0.72547382583949038</v>
      </c>
      <c r="S455" s="38">
        <f>(VLOOKUP($A455,'The List'!$B1:$AH730,31,FALSE)-AVERAGE('The List'!AF2:AF730))/STDEV('The List'!AF2:AF730)</f>
        <v>-0.56911587195029545</v>
      </c>
      <c r="T455" s="38">
        <f>(VLOOKUP($A455,'The List'!$B1:$AH730,32,FALSE)-AVERAGE('The List'!AG2:AG730))/STDEV('The List'!AG2:AG730)</f>
        <v>-0.61510119871956948</v>
      </c>
      <c r="U455" s="38">
        <f>(VLOOKUP($A455,'The List'!$B1:$AH730,33,FALSE)-AVERAGE('The List'!AH2:AH730))/STDEV('The List'!AH2:AH730)</f>
        <v>-1.2363238714825984</v>
      </c>
      <c r="V455" s="38"/>
      <c r="W455" s="40"/>
      <c r="X455" s="38"/>
      <c r="Y455" s="38"/>
      <c r="Z455" s="38"/>
      <c r="AA455" s="38"/>
      <c r="AB455" s="38"/>
      <c r="AC455" s="38"/>
      <c r="AD455" s="38"/>
      <c r="AE455" s="38"/>
    </row>
    <row r="456" spans="1:31" ht="21.2" customHeight="1">
      <c r="A456" s="8" t="s">
        <v>630</v>
      </c>
      <c r="B456" s="34" t="str">
        <f>VLOOKUP(A456,'Player Data'!A1:B734,2,FALSE)</f>
        <v>CHI</v>
      </c>
      <c r="C456" s="36">
        <f>((E456)*Settings!$C$12)+(F456*Settings!$C$2)+(G456*Settings!$C$3)+(H456*Settings!$C$4)+(I456*Settings!$C$5)+(K456*Settings!$C$9)+(N456*Settings!$C$6)+(J456*Settings!$C$8)+(O456*Settings!$C$7)+(P456*Settings!$C$14)+(Q456*Settings!$C$15)+(R456*Settings!$C$16)+(S456*Settings!$C$17)+(T456*Settings!$C$18)+(U456*Settings!$C$19)+(L456*Settings!$C$10)+(Settings!$C$11*M456)</f>
        <v>-2.6965536863636945</v>
      </c>
      <c r="D456" s="40">
        <f>IF(Settings!$E$12="YES",VLOOKUP(A456,'Player Data'!A1:E734,5,FALSE),82)</f>
        <v>82</v>
      </c>
      <c r="E456" s="38">
        <f>(VLOOKUP($A456,'The List'!$B1:$AH730,17,FALSE)-AVERAGE('The List'!R2:R730))/STDEV('The List'!R2:R730)</f>
        <v>-1.2142345024991967</v>
      </c>
      <c r="F456" s="38">
        <f>(VLOOKUP($A456,'The List'!$B1:$AH730,18,FALSE)-AVERAGE('The List'!S2:S730))/STDEV('The List'!S2:S730)</f>
        <v>-0.37655014716381091</v>
      </c>
      <c r="G456" s="38">
        <f>(VLOOKUP($A456,'The List'!$B1:$AH730,19,FALSE)-AVERAGE('The List'!T2:T730))/STDEV('The List'!T2:T730)</f>
        <v>-0.84388759736018293</v>
      </c>
      <c r="H456" s="38">
        <f>(VLOOKUP($A456,'The List'!$B1:$AH730,20,FALSE)-AVERAGE('The List'!U2:U730))/STDEV('The List'!U2:U730)</f>
        <v>-0.69365016935488455</v>
      </c>
      <c r="I456" s="38">
        <f>(VLOOKUP($A456,'The List'!$B1:$AH730,21,FALSE)-AVERAGE('The List'!V2:V730))/STDEV('The List'!V2:V730)</f>
        <v>-0.48473445290680001</v>
      </c>
      <c r="J456" s="38">
        <f>(VLOOKUP($A456,'The List'!$B1:$AH730,22,FALSE)-AVERAGE('The List'!W2:W730))/STDEV('The List'!W2:W730)</f>
        <v>-9.9264238538030486E-2</v>
      </c>
      <c r="K456" s="38">
        <f>(VLOOKUP($A456,'The List'!$B1:$AH730,23,FALSE)-AVERAGE('The List'!X2:X730))/STDEV('The List'!X2:X730)</f>
        <v>-0.2977313195780163</v>
      </c>
      <c r="L456" s="38">
        <f>(VLOOKUP($A456,'The List'!$B1:$AH730,24,FALSE)-AVERAGE('The List'!Y2:Y730))/STDEV('The List'!Y2:Y730)</f>
        <v>-0.52321202625525765</v>
      </c>
      <c r="M456" s="38">
        <f>(VLOOKUP($A456,'The List'!$B1:$AH730,25,FALSE)-AVERAGE('The List'!Z2:Z730))/STDEV('The List'!Z2:Z730)</f>
        <v>-0.70194445158231134</v>
      </c>
      <c r="N456" s="38">
        <f>(VLOOKUP($A456,'The List'!$B1:$AH730,26,FALSE)-AVERAGE('The List'!AA2:AA730))/STDEV('The List'!AA2:AA730)</f>
        <v>-0.88411133341545922</v>
      </c>
      <c r="O456" s="38">
        <f>(VLOOKUP($A456,'The List'!$B1:$AH730,27,FALSE)-AVERAGE('The List'!AB2:AB730))/STDEV('The List'!AB2:AB730)</f>
        <v>-0.60054916273015135</v>
      </c>
      <c r="P456" s="38">
        <f>(VLOOKUP($A456,'The List'!$B1:$AH730,28,FALSE)-AVERAGE('The List'!AC2:AC730))/STDEV('The List'!AC2:AC730)</f>
        <v>-1.3833332064126052</v>
      </c>
      <c r="Q456" s="38">
        <f>(VLOOKUP($A456,'The List'!$B1:$AH730,29,FALSE)-AVERAGE('The List'!AD2:AD730))/STDEV('The List'!AD2:AD730)</f>
        <v>1.2634520858398377</v>
      </c>
      <c r="R456" s="38">
        <f>(VLOOKUP($A456,'The List'!$B1:$AH730,30,FALSE)-AVERAGE('The List'!AE2:AE730))/STDEV('The List'!AE2:AE730)</f>
        <v>-0.49350512181617534</v>
      </c>
      <c r="S456" s="38">
        <f>(VLOOKUP($A456,'The List'!$B1:$AH730,31,FALSE)-AVERAGE('The List'!AF2:AF730))/STDEV('The List'!AF2:AF730)</f>
        <v>-0.56763125480029786</v>
      </c>
      <c r="T456" s="38">
        <f>(VLOOKUP($A456,'The List'!$B1:$AH730,32,FALSE)-AVERAGE('The List'!AG2:AG730))/STDEV('The List'!AG2:AG730)</f>
        <v>-0.60901822667853489</v>
      </c>
      <c r="U456" s="38">
        <f>(VLOOKUP($A456,'The List'!$B1:$AH730,33,FALSE)-AVERAGE('The List'!AH2:AH730))/STDEV('The List'!AH2:AH730)</f>
        <v>-0.31459912395353345</v>
      </c>
      <c r="V456" s="38"/>
      <c r="W456" s="42"/>
      <c r="X456" s="40"/>
      <c r="Y456" s="40"/>
      <c r="Z456" s="40"/>
      <c r="AA456" s="40"/>
      <c r="AB456" s="40"/>
      <c r="AC456" s="43"/>
      <c r="AD456" s="44"/>
      <c r="AE456" s="38"/>
    </row>
    <row r="457" spans="1:31" ht="21.2" customHeight="1">
      <c r="A457" s="8" t="s">
        <v>366</v>
      </c>
      <c r="B457" s="34" t="str">
        <f>VLOOKUP(A457,'Player Data'!A1:B734,2,FALSE)</f>
        <v>DAL</v>
      </c>
      <c r="C457" s="36">
        <f>((E457)*Settings!$C$12)+(F457*Settings!$C$2)+(G457*Settings!$C$3)+(H457*Settings!$C$4)+(I457*Settings!$C$5)+(K457*Settings!$C$9)+(N457*Settings!$C$6)+(J457*Settings!$C$8)+(O457*Settings!$C$7)+(P457*Settings!$C$14)+(Q457*Settings!$C$15)+(R457*Settings!$C$16)+(S457*Settings!$C$17)+(T457*Settings!$C$18)+(U457*Settings!$C$19)+(L457*Settings!$C$10)+(Settings!$C$11*M457)</f>
        <v>-3.1842386412538191</v>
      </c>
      <c r="D457" s="40">
        <f>IF(Settings!$E$12="YES",VLOOKUP(A457,'Player Data'!A1:E734,5,FALSE),82)</f>
        <v>82</v>
      </c>
      <c r="E457" s="38">
        <f>(VLOOKUP($A457,'The List'!$B1:$AH730,17,FALSE)-AVERAGE('The List'!R2:R730))/STDEV('The List'!R2:R730)</f>
        <v>1.1734317451218548</v>
      </c>
      <c r="F457" s="38">
        <f>(VLOOKUP($A457,'The List'!$B1:$AH730,18,FALSE)-AVERAGE('The List'!S2:S730))/STDEV('The List'!S2:S730)</f>
        <v>-0.79984135359934583</v>
      </c>
      <c r="G457" s="38">
        <f>(VLOOKUP($A457,'The List'!$B1:$AH730,19,FALSE)-AVERAGE('The List'!T2:T730))/STDEV('The List'!T2:T730)</f>
        <v>-0.53528911848871985</v>
      </c>
      <c r="H457" s="38">
        <f>(VLOOKUP($A457,'The List'!$B1:$AH730,20,FALSE)-AVERAGE('The List'!U2:U730))/STDEV('The List'!U2:U730)</f>
        <v>-0.70078097128757411</v>
      </c>
      <c r="I457" s="38">
        <f>(VLOOKUP($A457,'The List'!$B1:$AH730,21,FALSE)-AVERAGE('The List'!V2:V730))/STDEV('The List'!V2:V730)</f>
        <v>-0.33731274189804694</v>
      </c>
      <c r="J457" s="38">
        <f>(VLOOKUP($A457,'The List'!$B1:$AH730,22,FALSE)-AVERAGE('The List'!W2:W730))/STDEV('The List'!W2:W730)</f>
        <v>-0.73511786534275703</v>
      </c>
      <c r="K457" s="38">
        <f>(VLOOKUP($A457,'The List'!$B1:$AH730,23,FALSE)-AVERAGE('The List'!X2:X730))/STDEV('The List'!X2:X730)</f>
        <v>-0.81101445598013255</v>
      </c>
      <c r="L457" s="38">
        <f>(VLOOKUP($A457,'The List'!$B1:$AH730,24,FALSE)-AVERAGE('The List'!Y2:Y730))/STDEV('The List'!Y2:Y730)</f>
        <v>0.31676948529153587</v>
      </c>
      <c r="M457" s="38">
        <f>(VLOOKUP($A457,'The List'!$B1:$AH730,25,FALSE)-AVERAGE('The List'!Z2:Z730))/STDEV('The List'!Z2:Z730)</f>
        <v>1.7000794190493544</v>
      </c>
      <c r="N457" s="38">
        <f>(VLOOKUP($A457,'The List'!$B1:$AH730,26,FALSE)-AVERAGE('The List'!AA2:AA730))/STDEV('The List'!AA2:AA730)</f>
        <v>2.1340115051068214</v>
      </c>
      <c r="O457" s="38">
        <f>(VLOOKUP($A457,'The List'!$B1:$AH730,27,FALSE)-AVERAGE('The List'!AB2:AB730))/STDEV('The List'!AB2:AB730)</f>
        <v>0.11213199077395425</v>
      </c>
      <c r="P457" s="38">
        <f>(VLOOKUP($A457,'The List'!$B1:$AH730,28,FALSE)-AVERAGE('The List'!AC2:AC730))/STDEV('The List'!AC2:AC730)</f>
        <v>1.0979384081042682</v>
      </c>
      <c r="Q457" s="38">
        <f>(VLOOKUP($A457,'The List'!$B1:$AH730,29,FALSE)-AVERAGE('The List'!AD2:AD730))/STDEV('The List'!AD2:AD730)</f>
        <v>-1.0929408723059437</v>
      </c>
      <c r="R457" s="38">
        <f>(VLOOKUP($A457,'The List'!$B1:$AH730,30,FALSE)-AVERAGE('The List'!AE2:AE730))/STDEV('The List'!AE2:AE730)</f>
        <v>-0.65756966005318007</v>
      </c>
      <c r="S457" s="38">
        <f>(VLOOKUP($A457,'The List'!$B1:$AH730,31,FALSE)-AVERAGE('The List'!AF2:AF730))/STDEV('The List'!AF2:AF730)</f>
        <v>-0.56911587195029545</v>
      </c>
      <c r="T457" s="38">
        <f>(VLOOKUP($A457,'The List'!$B1:$AH730,32,FALSE)-AVERAGE('The List'!AG2:AG730))/STDEV('The List'!AG2:AG730)</f>
        <v>-0.61432832997879405</v>
      </c>
      <c r="U457" s="38">
        <f>(VLOOKUP($A457,'The List'!$B1:$AH730,33,FALSE)-AVERAGE('The List'!AH2:AH730))/STDEV('The List'!AH2:AH730)</f>
        <v>-1.2363238714825984</v>
      </c>
      <c r="V457" s="38"/>
      <c r="W457" s="40"/>
      <c r="X457" s="40"/>
      <c r="Y457" s="40"/>
      <c r="Z457" s="40"/>
      <c r="AA457" s="40"/>
      <c r="AB457" s="40"/>
      <c r="AC457" s="43"/>
      <c r="AD457" s="44"/>
      <c r="AE457" s="38"/>
    </row>
    <row r="458" spans="1:31" ht="21.2" customHeight="1">
      <c r="A458" s="8" t="s">
        <v>370</v>
      </c>
      <c r="B458" s="34" t="str">
        <f>VLOOKUP(A458,'Player Data'!A1:B734,2,FALSE)</f>
        <v>DET</v>
      </c>
      <c r="C458" s="36">
        <f>((E458)*Settings!$C$12)+(F458*Settings!$C$2)+(G458*Settings!$C$3)+(H458*Settings!$C$4)+(I458*Settings!$C$5)+(K458*Settings!$C$9)+(N458*Settings!$C$6)+(J458*Settings!$C$8)+(O458*Settings!$C$7)+(P458*Settings!$C$14)+(Q458*Settings!$C$15)+(R458*Settings!$C$16)+(S458*Settings!$C$17)+(T458*Settings!$C$18)+(U458*Settings!$C$19)+(L458*Settings!$C$10)+(Settings!$C$11*M458)</f>
        <v>-2.1123319613830294</v>
      </c>
      <c r="D458" s="40">
        <f>IF(Settings!$E$12="YES",VLOOKUP(A458,'Player Data'!A1:E734,5,FALSE),82)</f>
        <v>82</v>
      </c>
      <c r="E458" s="38">
        <f>(VLOOKUP($A458,'The List'!$B1:$AH730,17,FALSE)-AVERAGE('The List'!R2:R730))/STDEV('The List'!R2:R730)</f>
        <v>0.98385916679211061</v>
      </c>
      <c r="F458" s="38">
        <f>(VLOOKUP($A458,'The List'!$B1:$AH730,18,FALSE)-AVERAGE('The List'!S2:S730))/STDEV('The List'!S2:S730)</f>
        <v>-0.53083689836550862</v>
      </c>
      <c r="G458" s="38">
        <f>(VLOOKUP($A458,'The List'!$B1:$AH730,19,FALSE)-AVERAGE('The List'!T2:T730))/STDEV('The List'!T2:T730)</f>
        <v>-0.7400494770212781</v>
      </c>
      <c r="H458" s="38">
        <f>(VLOOKUP($A458,'The List'!$B1:$AH730,20,FALSE)-AVERAGE('The List'!U2:U730))/STDEV('The List'!U2:U730)</f>
        <v>-0.70156132413312455</v>
      </c>
      <c r="I458" s="38">
        <f>(VLOOKUP($A458,'The List'!$B1:$AH730,21,FALSE)-AVERAGE('The List'!V2:V730))/STDEV('The List'!V2:V730)</f>
        <v>0.54683404953280668</v>
      </c>
      <c r="J458" s="38">
        <f>(VLOOKUP($A458,'The List'!$B1:$AH730,22,FALSE)-AVERAGE('The List'!W2:W730))/STDEV('The List'!W2:W730)</f>
        <v>-0.71316034448585863</v>
      </c>
      <c r="K458" s="38">
        <f>(VLOOKUP($A458,'The List'!$B1:$AH730,23,FALSE)-AVERAGE('The List'!X2:X730))/STDEV('The List'!X2:X730)</f>
        <v>-0.68671831139592521</v>
      </c>
      <c r="L458" s="38">
        <f>(VLOOKUP($A458,'The List'!$B1:$AH730,24,FALSE)-AVERAGE('The List'!Y2:Y730))/STDEV('The List'!Y2:Y730)</f>
        <v>-0.45099927459831479</v>
      </c>
      <c r="M458" s="38">
        <f>(VLOOKUP($A458,'The List'!$B1:$AH730,25,FALSE)-AVERAGE('The List'!Z2:Z730))/STDEV('The List'!Z2:Z730)</f>
        <v>-0.45568440707604929</v>
      </c>
      <c r="N458" s="38">
        <f>(VLOOKUP($A458,'The List'!$B1:$AH730,26,FALSE)-AVERAGE('The List'!AA2:AA730))/STDEV('The List'!AA2:AA730)</f>
        <v>2.0883842874413547</v>
      </c>
      <c r="O458" s="38">
        <f>(VLOOKUP($A458,'The List'!$B1:$AH730,27,FALSE)-AVERAGE('The List'!AB2:AB730))/STDEV('The List'!AB2:AB730)</f>
        <v>-0.22571671525186685</v>
      </c>
      <c r="P458" s="38">
        <f>(VLOOKUP($A458,'The List'!$B1:$AH730,28,FALSE)-AVERAGE('The List'!AC2:AC730))/STDEV('The List'!AC2:AC730)</f>
        <v>-0.30956432860565669</v>
      </c>
      <c r="Q458" s="38">
        <f>(VLOOKUP($A458,'The List'!$B1:$AH730,29,FALSE)-AVERAGE('The List'!AD2:AD730))/STDEV('The List'!AD2:AD730)</f>
        <v>0.80166487796570607</v>
      </c>
      <c r="R458" s="38">
        <f>(VLOOKUP($A458,'The List'!$B1:$AH730,30,FALSE)-AVERAGE('The List'!AE2:AE730))/STDEV('The List'!AE2:AE730)</f>
        <v>-0.52842946259876811</v>
      </c>
      <c r="S458" s="38">
        <f>(VLOOKUP($A458,'The List'!$B1:$AH730,31,FALSE)-AVERAGE('The List'!AF2:AF730))/STDEV('The List'!AF2:AF730)</f>
        <v>-0.56911587195029545</v>
      </c>
      <c r="T458" s="38">
        <f>(VLOOKUP($A458,'The List'!$B1:$AH730,32,FALSE)-AVERAGE('The List'!AG2:AG730))/STDEV('The List'!AG2:AG730)</f>
        <v>-0.61510119871956948</v>
      </c>
      <c r="U458" s="38">
        <f>(VLOOKUP($A458,'The List'!$B1:$AH730,33,FALSE)-AVERAGE('The List'!AH2:AH730))/STDEV('The List'!AH2:AH730)</f>
        <v>-1.2363238714825984</v>
      </c>
      <c r="V458" s="38"/>
      <c r="W458" s="40"/>
      <c r="X458" s="38"/>
      <c r="Y458" s="38"/>
      <c r="Z458" s="38"/>
      <c r="AA458" s="38"/>
      <c r="AB458" s="38"/>
      <c r="AC458" s="38"/>
      <c r="AD458" s="38"/>
      <c r="AE458" s="38"/>
    </row>
    <row r="459" spans="1:31" ht="21.2" customHeight="1">
      <c r="A459" s="8" t="s">
        <v>702</v>
      </c>
      <c r="B459" s="34" t="str">
        <f>VLOOKUP(A459,'Player Data'!A1:B734,2,FALSE)</f>
        <v>VGK</v>
      </c>
      <c r="C459" s="36">
        <f>((E459)*Settings!$C$12)+(F459*Settings!$C$2)+(G459*Settings!$C$3)+(H459*Settings!$C$4)+(I459*Settings!$C$5)+(K459*Settings!$C$9)+(N459*Settings!$C$6)+(J459*Settings!$C$8)+(O459*Settings!$C$7)+(P459*Settings!$C$14)+(Q459*Settings!$C$15)+(R459*Settings!$C$16)+(S459*Settings!$C$17)+(T459*Settings!$C$18)+(U459*Settings!$C$19)+(L459*Settings!$C$10)+(Settings!$C$11*M459)</f>
        <v>-3.8801562885331955</v>
      </c>
      <c r="D459" s="40">
        <f>IF(Settings!$E$12="YES",VLOOKUP(A459,'Player Data'!A1:E734,5,FALSE),82)</f>
        <v>82</v>
      </c>
      <c r="E459" s="38">
        <f>(VLOOKUP($A459,'The List'!$B1:$AH730,17,FALSE)-AVERAGE('The List'!R2:R730))/STDEV('The List'!R2:R730)</f>
        <v>-1.3409533804392435</v>
      </c>
      <c r="F459" s="38">
        <f>(VLOOKUP($A459,'The List'!$B1:$AH730,18,FALSE)-AVERAGE('The List'!S2:S730))/STDEV('The List'!S2:S730)</f>
        <v>-0.59382134708011991</v>
      </c>
      <c r="G459" s="38">
        <f>(VLOOKUP($A459,'The List'!$B1:$AH730,19,FALSE)-AVERAGE('The List'!T2:T730))/STDEV('The List'!T2:T730)</f>
        <v>-0.69394323026846405</v>
      </c>
      <c r="H459" s="38">
        <f>(VLOOKUP($A459,'The List'!$B1:$AH730,20,FALSE)-AVERAGE('The List'!U2:U730))/STDEV('The List'!U2:U730)</f>
        <v>-0.70250699941414307</v>
      </c>
      <c r="I459" s="38">
        <f>(VLOOKUP($A459,'The List'!$B1:$AH730,21,FALSE)-AVERAGE('The List'!V2:V730))/STDEV('The List'!V2:V730)</f>
        <v>-1.0717935031093668</v>
      </c>
      <c r="J459" s="38">
        <f>(VLOOKUP($A459,'The List'!$B1:$AH730,22,FALSE)-AVERAGE('The List'!W2:W730))/STDEV('The List'!W2:W730)</f>
        <v>-0.72590607251390626</v>
      </c>
      <c r="K459" s="38">
        <f>(VLOOKUP($A459,'The List'!$B1:$AH730,23,FALSE)-AVERAGE('The List'!X2:X730))/STDEV('The List'!X2:X730)</f>
        <v>-0.81809120866110163</v>
      </c>
      <c r="L459" s="38">
        <f>(VLOOKUP($A459,'The List'!$B1:$AH730,24,FALSE)-AVERAGE('The List'!Y2:Y730))/STDEV('The List'!Y2:Y730)</f>
        <v>-0.34911490792567379</v>
      </c>
      <c r="M459" s="38">
        <f>(VLOOKUP($A459,'The List'!$B1:$AH730,25,FALSE)-AVERAGE('The List'!Z2:Z730))/STDEV('The List'!Z2:Z730)</f>
        <v>-0.56755678423694889</v>
      </c>
      <c r="N459" s="38">
        <f>(VLOOKUP($A459,'The List'!$B1:$AH730,26,FALSE)-AVERAGE('The List'!AA2:AA730))/STDEV('The List'!AA2:AA730)</f>
        <v>-0.67539036040204314</v>
      </c>
      <c r="O459" s="38">
        <f>(VLOOKUP($A459,'The List'!$B1:$AH730,27,FALSE)-AVERAGE('The List'!AB2:AB730))/STDEV('The List'!AB2:AB730)</f>
        <v>3.2041867608827839</v>
      </c>
      <c r="P459" s="38">
        <f>(VLOOKUP($A459,'The List'!$B1:$AH730,28,FALSE)-AVERAGE('The List'!AC2:AC730))/STDEV('The List'!AC2:AC730)</f>
        <v>0.96657324886938722</v>
      </c>
      <c r="Q459" s="38">
        <f>(VLOOKUP($A459,'The List'!$B1:$AH730,29,FALSE)-AVERAGE('The List'!AD2:AD730))/STDEV('The List'!AD2:AD730)</f>
        <v>1.3985836452939684</v>
      </c>
      <c r="R459" s="38">
        <f>(VLOOKUP($A459,'The List'!$B1:$AH730,30,FALSE)-AVERAGE('The List'!AE2:AE730))/STDEV('The List'!AE2:AE730)</f>
        <v>-0.4255582494448803</v>
      </c>
      <c r="S459" s="38">
        <f>(VLOOKUP($A459,'The List'!$B1:$AH730,31,FALSE)-AVERAGE('The List'!AF2:AF730))/STDEV('The List'!AF2:AF730)</f>
        <v>-0.43529519040342612</v>
      </c>
      <c r="T459" s="38">
        <f>(VLOOKUP($A459,'The List'!$B1:$AH730,32,FALSE)-AVERAGE('The List'!AG2:AG730))/STDEV('The List'!AG2:AG730)</f>
        <v>-0.38548103081294471</v>
      </c>
      <c r="U459" s="38">
        <f>(VLOOKUP($A459,'The List'!$B1:$AH730,33,FALSE)-AVERAGE('The List'!AH2:AH730))/STDEV('The List'!AH2:AH730)</f>
        <v>0.47883604094980714</v>
      </c>
      <c r="V459" s="38"/>
      <c r="W459" s="40"/>
      <c r="X459" s="38"/>
      <c r="Y459" s="38"/>
      <c r="Z459" s="38"/>
      <c r="AA459" s="38"/>
      <c r="AB459" s="38"/>
      <c r="AC459" s="38"/>
      <c r="AD459" s="38"/>
      <c r="AE459" s="38"/>
    </row>
    <row r="460" spans="1:31" ht="21.2" customHeight="1">
      <c r="A460" s="8" t="s">
        <v>414</v>
      </c>
      <c r="B460" s="34" t="str">
        <f>VLOOKUP(A460,'Player Data'!A1:B734,2,FALSE)</f>
        <v>VAN</v>
      </c>
      <c r="C460" s="36">
        <f>((E460)*Settings!$C$12)+(F460*Settings!$C$2)+(G460*Settings!$C$3)+(H460*Settings!$C$4)+(I460*Settings!$C$5)+(K460*Settings!$C$9)+(N460*Settings!$C$6)+(J460*Settings!$C$8)+(O460*Settings!$C$7)+(P460*Settings!$C$14)+(Q460*Settings!$C$15)+(R460*Settings!$C$16)+(S460*Settings!$C$17)+(T460*Settings!$C$18)+(U460*Settings!$C$19)+(L460*Settings!$C$10)+(Settings!$C$11*M460)</f>
        <v>-3.4564877770212101</v>
      </c>
      <c r="D460" s="40">
        <f>IF(Settings!$E$12="YES",VLOOKUP(A460,'Player Data'!A1:E734,5,FALSE),82)</f>
        <v>82</v>
      </c>
      <c r="E460" s="38">
        <f>(VLOOKUP($A460,'The List'!$B1:$AH730,17,FALSE)-AVERAGE('The List'!R2:R730))/STDEV('The List'!R2:R730)</f>
        <v>0.6264037128984663</v>
      </c>
      <c r="F460" s="38">
        <f>(VLOOKUP($A460,'The List'!$B1:$AH730,18,FALSE)-AVERAGE('The List'!S2:S730))/STDEV('The List'!S2:S730)</f>
        <v>-0.76824896328581316</v>
      </c>
      <c r="G460" s="38">
        <f>(VLOOKUP($A460,'The List'!$B1:$AH730,19,FALSE)-AVERAGE('The List'!T2:T730))/STDEV('The List'!T2:T730)</f>
        <v>-0.56339326590411043</v>
      </c>
      <c r="H460" s="38">
        <f>(VLOOKUP($A460,'The List'!$B1:$AH730,20,FALSE)-AVERAGE('The List'!U2:U730))/STDEV('The List'!U2:U730)</f>
        <v>-0.70336562215254594</v>
      </c>
      <c r="I460" s="38">
        <f>(VLOOKUP($A460,'The List'!$B1:$AH730,21,FALSE)-AVERAGE('The List'!V2:V730))/STDEV('The List'!V2:V730)</f>
        <v>-0.64212384968371794</v>
      </c>
      <c r="J460" s="38">
        <f>(VLOOKUP($A460,'The List'!$B1:$AH730,22,FALSE)-AVERAGE('The List'!W2:W730))/STDEV('The List'!W2:W730)</f>
        <v>-0.72648687898566111</v>
      </c>
      <c r="K460" s="38">
        <f>(VLOOKUP($A460,'The List'!$B1:$AH730,23,FALSE)-AVERAGE('The List'!X2:X730))/STDEV('The List'!X2:X730)</f>
        <v>-0.77935607599502243</v>
      </c>
      <c r="L460" s="38">
        <f>(VLOOKUP($A460,'The List'!$B1:$AH730,24,FALSE)-AVERAGE('The List'!Y2:Y730))/STDEV('The List'!Y2:Y730)</f>
        <v>0.19513593804295867</v>
      </c>
      <c r="M460" s="38">
        <f>(VLOOKUP($A460,'The List'!$B1:$AH730,25,FALSE)-AVERAGE('The List'!Z2:Z730))/STDEV('The List'!Z2:Z730)</f>
        <v>0.31823773319842452</v>
      </c>
      <c r="N460" s="38">
        <f>(VLOOKUP($A460,'The List'!$B1:$AH730,26,FALSE)-AVERAGE('The List'!AA2:AA730))/STDEV('The List'!AA2:AA730)</f>
        <v>1.2646529450570116</v>
      </c>
      <c r="O460" s="38">
        <f>(VLOOKUP($A460,'The List'!$B1:$AH730,27,FALSE)-AVERAGE('The List'!AB2:AB730))/STDEV('The List'!AB2:AB730)</f>
        <v>1.104287267366646</v>
      </c>
      <c r="P460" s="38">
        <f>(VLOOKUP($A460,'The List'!$B1:$AH730,28,FALSE)-AVERAGE('The List'!AC2:AC730))/STDEV('The List'!AC2:AC730)</f>
        <v>0.27166249561090111</v>
      </c>
      <c r="Q460" s="38">
        <f>(VLOOKUP($A460,'The List'!$B1:$AH730,29,FALSE)-AVERAGE('The List'!AD2:AD730))/STDEV('The List'!AD2:AD730)</f>
        <v>2.2131629386090172</v>
      </c>
      <c r="R460" s="38">
        <f>(VLOOKUP($A460,'The List'!$B1:$AH730,30,FALSE)-AVERAGE('The List'!AE2:AE730))/STDEV('The List'!AE2:AE730)</f>
        <v>-0.69688558085168895</v>
      </c>
      <c r="S460" s="38">
        <f>(VLOOKUP($A460,'The List'!$B1:$AH730,31,FALSE)-AVERAGE('The List'!AF2:AF730))/STDEV('The List'!AF2:AF730)</f>
        <v>-0.56911587195029545</v>
      </c>
      <c r="T460" s="38">
        <f>(VLOOKUP($A460,'The List'!$B1:$AH730,32,FALSE)-AVERAGE('The List'!AG2:AG730))/STDEV('The List'!AG2:AG730)</f>
        <v>-0.61510119871956948</v>
      </c>
      <c r="U460" s="38">
        <f>(VLOOKUP($A460,'The List'!$B1:$AH730,33,FALSE)-AVERAGE('The List'!AH2:AH730))/STDEV('The List'!AH2:AH730)</f>
        <v>-1.2363238714825984</v>
      </c>
      <c r="V460" s="38"/>
      <c r="W460" s="40"/>
      <c r="X460" s="38"/>
      <c r="Y460" s="38"/>
      <c r="Z460" s="38"/>
      <c r="AA460" s="38"/>
      <c r="AB460" s="38"/>
      <c r="AC460" s="38"/>
      <c r="AD460" s="38"/>
      <c r="AE460" s="38"/>
    </row>
    <row r="461" spans="1:31" ht="21.2" customHeight="1">
      <c r="A461" s="8" t="s">
        <v>423</v>
      </c>
      <c r="B461" s="34" t="str">
        <f>VLOOKUP(A461,'Player Data'!A1:B734,2,FALSE)</f>
        <v>TOR</v>
      </c>
      <c r="C461" s="36">
        <f>((E461)*Settings!$C$12)+(F461*Settings!$C$2)+(G461*Settings!$C$3)+(H461*Settings!$C$4)+(I461*Settings!$C$5)+(K461*Settings!$C$9)+(N461*Settings!$C$6)+(J461*Settings!$C$8)+(O461*Settings!$C$7)+(P461*Settings!$C$14)+(Q461*Settings!$C$15)+(R461*Settings!$C$16)+(S461*Settings!$C$17)+(T461*Settings!$C$18)+(U461*Settings!$C$19)+(L461*Settings!$C$10)+(Settings!$C$11*M461)</f>
        <v>-3.6037798085919119</v>
      </c>
      <c r="D461" s="40">
        <f>IF(Settings!$E$12="YES",VLOOKUP(A461,'Player Data'!A1:E734,5,FALSE),82)</f>
        <v>82</v>
      </c>
      <c r="E461" s="38">
        <f>(VLOOKUP($A461,'The List'!$B1:$AH730,17,FALSE)-AVERAGE('The List'!R2:R730))/STDEV('The List'!R2:R730)</f>
        <v>0.76714781183216552</v>
      </c>
      <c r="F461" s="38">
        <f>(VLOOKUP($A461,'The List'!$B1:$AH730,18,FALSE)-AVERAGE('The List'!S2:S730))/STDEV('The List'!S2:S730)</f>
        <v>-1.0168574979725742</v>
      </c>
      <c r="G461" s="38">
        <f>(VLOOKUP($A461,'The List'!$B1:$AH730,19,FALSE)-AVERAGE('The List'!T2:T730))/STDEV('The List'!T2:T730)</f>
        <v>-0.37613367942823467</v>
      </c>
      <c r="H461" s="38">
        <f>(VLOOKUP($A461,'The List'!$B1:$AH730,20,FALSE)-AVERAGE('The List'!U2:U730))/STDEV('The List'!U2:U730)</f>
        <v>-0.70385866681339304</v>
      </c>
      <c r="I461" s="38">
        <f>(VLOOKUP($A461,'The List'!$B1:$AH730,21,FALSE)-AVERAGE('The List'!V2:V730))/STDEV('The List'!V2:V730)</f>
        <v>-0.69368691263439353</v>
      </c>
      <c r="J461" s="38">
        <f>(VLOOKUP($A461,'The List'!$B1:$AH730,22,FALSE)-AVERAGE('The List'!W2:W730))/STDEV('The List'!W2:W730)</f>
        <v>-0.73215267651832672</v>
      </c>
      <c r="K461" s="38">
        <f>(VLOOKUP($A461,'The List'!$B1:$AH730,23,FALSE)-AVERAGE('The List'!X2:X730))/STDEV('The List'!X2:X730)</f>
        <v>-0.81324305174331679</v>
      </c>
      <c r="L461" s="38">
        <f>(VLOOKUP($A461,'The List'!$B1:$AH730,24,FALSE)-AVERAGE('The List'!Y2:Y730))/STDEV('The List'!Y2:Y730)</f>
        <v>-0.51001937395287456</v>
      </c>
      <c r="M461" s="38">
        <f>(VLOOKUP($A461,'The List'!$B1:$AH730,25,FALSE)-AVERAGE('The List'!Z2:Z730))/STDEV('The List'!Z2:Z730)</f>
        <v>-0.56988078093134087</v>
      </c>
      <c r="N461" s="38">
        <f>(VLOOKUP($A461,'The List'!$B1:$AH730,26,FALSE)-AVERAGE('The List'!AA2:AA730))/STDEV('The List'!AA2:AA730)</f>
        <v>2.5599544144464939</v>
      </c>
      <c r="O461" s="38">
        <f>(VLOOKUP($A461,'The List'!$B1:$AH730,27,FALSE)-AVERAGE('The List'!AB2:AB730))/STDEV('The List'!AB2:AB730)</f>
        <v>1.3704746768573675</v>
      </c>
      <c r="P461" s="38">
        <f>(VLOOKUP($A461,'The List'!$B1:$AH730,28,FALSE)-AVERAGE('The List'!AC2:AC730))/STDEV('The List'!AC2:AC730)</f>
        <v>1.2652839724538121</v>
      </c>
      <c r="Q461" s="38">
        <f>(VLOOKUP($A461,'The List'!$B1:$AH730,29,FALSE)-AVERAGE('The List'!AD2:AD730))/STDEV('The List'!AD2:AD730)</f>
        <v>0.57069206004160156</v>
      </c>
      <c r="R461" s="38">
        <f>(VLOOKUP($A461,'The List'!$B1:$AH730,30,FALSE)-AVERAGE('The List'!AE2:AE730))/STDEV('The List'!AE2:AE730)</f>
        <v>-0.88216857895536582</v>
      </c>
      <c r="S461" s="38">
        <f>(VLOOKUP($A461,'The List'!$B1:$AH730,31,FALSE)-AVERAGE('The List'!AF2:AF730))/STDEV('The List'!AF2:AF730)</f>
        <v>-0.56911587195029545</v>
      </c>
      <c r="T461" s="38">
        <f>(VLOOKUP($A461,'The List'!$B1:$AH730,32,FALSE)-AVERAGE('The List'!AG2:AG730))/STDEV('The List'!AG2:AG730)</f>
        <v>-0.61510119871956948</v>
      </c>
      <c r="U461" s="38">
        <f>(VLOOKUP($A461,'The List'!$B1:$AH730,33,FALSE)-AVERAGE('The List'!AH2:AH730))/STDEV('The List'!AH2:AH730)</f>
        <v>-1.2363238714825984</v>
      </c>
      <c r="V461" s="38"/>
      <c r="W461" s="40"/>
      <c r="X461" s="40"/>
      <c r="Y461" s="40"/>
      <c r="Z461" s="40"/>
      <c r="AA461" s="40"/>
      <c r="AB461" s="40"/>
      <c r="AC461" s="43"/>
      <c r="AD461" s="44"/>
      <c r="AE461" s="38"/>
    </row>
    <row r="462" spans="1:31" ht="21.2" customHeight="1">
      <c r="A462" s="8" t="s">
        <v>693</v>
      </c>
      <c r="B462" s="34" t="str">
        <f>VLOOKUP(A462,'Player Data'!A1:B734,2,FALSE)</f>
        <v>LAK</v>
      </c>
      <c r="C462" s="36">
        <f>((E462)*Settings!$C$12)+(F462*Settings!$C$2)+(G462*Settings!$C$3)+(H462*Settings!$C$4)+(I462*Settings!$C$5)+(K462*Settings!$C$9)+(N462*Settings!$C$6)+(J462*Settings!$C$8)+(O462*Settings!$C$7)+(P462*Settings!$C$14)+(Q462*Settings!$C$15)+(R462*Settings!$C$16)+(S462*Settings!$C$17)+(T462*Settings!$C$18)+(U462*Settings!$C$19)+(L462*Settings!$C$10)+(Settings!$C$11*M462)</f>
        <v>-3.186010341953418</v>
      </c>
      <c r="D462" s="40">
        <f>IF(Settings!$E$12="YES",VLOOKUP(A462,'Player Data'!A1:E734,5,FALSE),82)</f>
        <v>82</v>
      </c>
      <c r="E462" s="38">
        <f>(VLOOKUP($A462,'The List'!$B1:$AH730,17,FALSE)-AVERAGE('The List'!R2:R730))/STDEV('The List'!R2:R730)</f>
        <v>-1.5553203069798847</v>
      </c>
      <c r="F462" s="38">
        <f>(VLOOKUP($A462,'The List'!$B1:$AH730,18,FALSE)-AVERAGE('The List'!S2:S730))/STDEV('The List'!S2:S730)</f>
        <v>-0.12252186018710148</v>
      </c>
      <c r="G462" s="38">
        <f>(VLOOKUP($A462,'The List'!$B1:$AH730,19,FALSE)-AVERAGE('The List'!T2:T730))/STDEV('The List'!T2:T730)</f>
        <v>-1.0609078439155573</v>
      </c>
      <c r="H462" s="38">
        <f>(VLOOKUP($A462,'The List'!$B1:$AH730,20,FALSE)-AVERAGE('The List'!U2:U730))/STDEV('The List'!U2:U730)</f>
        <v>-0.70892672382995259</v>
      </c>
      <c r="I462" s="38">
        <f>(VLOOKUP($A462,'The List'!$B1:$AH730,21,FALSE)-AVERAGE('The List'!V2:V730))/STDEV('The List'!V2:V730)</f>
        <v>-0.48684087396426701</v>
      </c>
      <c r="J462" s="38">
        <f>(VLOOKUP($A462,'The List'!$B1:$AH730,22,FALSE)-AVERAGE('The List'!W2:W730))/STDEV('The List'!W2:W730)</f>
        <v>-0.71255710066381017</v>
      </c>
      <c r="K462" s="38">
        <f>(VLOOKUP($A462,'The List'!$B1:$AH730,23,FALSE)-AVERAGE('The List'!X2:X730))/STDEV('The List'!X2:X730)</f>
        <v>-0.80681304005653998</v>
      </c>
      <c r="L462" s="38">
        <f>(VLOOKUP($A462,'The List'!$B1:$AH730,24,FALSE)-AVERAGE('The List'!Y2:Y730))/STDEV('The List'!Y2:Y730)</f>
        <v>-0.28024844104305269</v>
      </c>
      <c r="M462" s="38">
        <f>(VLOOKUP($A462,'The List'!$B1:$AH730,25,FALSE)-AVERAGE('The List'!Z2:Z730))/STDEV('The List'!Z2:Z730)</f>
        <v>-0.39337707645156683</v>
      </c>
      <c r="N462" s="38">
        <f>(VLOOKUP($A462,'The List'!$B1:$AH730,26,FALSE)-AVERAGE('The List'!AA2:AA730))/STDEV('The List'!AA2:AA730)</f>
        <v>-0.89686472009733964</v>
      </c>
      <c r="O462" s="38">
        <f>(VLOOKUP($A462,'The List'!$B1:$AH730,27,FALSE)-AVERAGE('The List'!AB2:AB730))/STDEV('The List'!AB2:AB730)</f>
        <v>1.6611747092119034</v>
      </c>
      <c r="P462" s="38">
        <f>(VLOOKUP($A462,'The List'!$B1:$AH730,28,FALSE)-AVERAGE('The List'!AC2:AC730))/STDEV('The List'!AC2:AC730)</f>
        <v>-5.8895021860114215E-2</v>
      </c>
      <c r="Q462" s="38">
        <f>(VLOOKUP($A462,'The List'!$B1:$AH730,29,FALSE)-AVERAGE('The List'!AD2:AD730))/STDEV('The List'!AD2:AD730)</f>
        <v>-0.53902648493352601</v>
      </c>
      <c r="R462" s="38">
        <f>(VLOOKUP($A462,'The List'!$B1:$AH730,30,FALSE)-AVERAGE('The List'!AE2:AE730))/STDEV('The List'!AE2:AE730)</f>
        <v>-4.8800079363146245E-2</v>
      </c>
      <c r="S462" s="38">
        <f>(VLOOKUP($A462,'The List'!$B1:$AH730,31,FALSE)-AVERAGE('The List'!AF2:AF730))/STDEV('The List'!AF2:AF730)</f>
        <v>-0.54165571940253421</v>
      </c>
      <c r="T462" s="38">
        <f>(VLOOKUP($A462,'The List'!$B1:$AH730,32,FALSE)-AVERAGE('The List'!AG2:AG730))/STDEV('The List'!AG2:AG730)</f>
        <v>-0.57132614869612119</v>
      </c>
      <c r="U462" s="38">
        <f>(VLOOKUP($A462,'The List'!$B1:$AH730,33,FALSE)-AVERAGE('The List'!AH2:AH730))/STDEV('The List'!AH2:AH730)</f>
        <v>0.55779222706759379</v>
      </c>
      <c r="V462" s="38"/>
      <c r="W462" s="42"/>
      <c r="X462" s="40"/>
      <c r="Y462" s="40"/>
      <c r="Z462" s="40"/>
      <c r="AA462" s="40"/>
      <c r="AB462" s="40"/>
      <c r="AC462" s="43"/>
      <c r="AD462" s="44"/>
      <c r="AE462" s="38"/>
    </row>
    <row r="463" spans="1:31" ht="21.2" customHeight="1">
      <c r="A463" s="8" t="s">
        <v>395</v>
      </c>
      <c r="B463" s="34" t="str">
        <f>VLOOKUP(A463,'Player Data'!A1:B734,2,FALSE)</f>
        <v>NYI</v>
      </c>
      <c r="C463" s="36">
        <f>((E463)*Settings!$C$12)+(F463*Settings!$C$2)+(G463*Settings!$C$3)+(H463*Settings!$C$4)+(I463*Settings!$C$5)+(K463*Settings!$C$9)+(N463*Settings!$C$6)+(J463*Settings!$C$8)+(O463*Settings!$C$7)+(P463*Settings!$C$14)+(Q463*Settings!$C$15)+(R463*Settings!$C$16)+(S463*Settings!$C$17)+(T463*Settings!$C$18)+(U463*Settings!$C$19)+(L463*Settings!$C$10)+(Settings!$C$11*M463)</f>
        <v>-3.4381274702102651</v>
      </c>
      <c r="D463" s="40">
        <f>IF(Settings!$E$12="YES",VLOOKUP(A463,'Player Data'!A1:E734,5,FALSE),82)</f>
        <v>82</v>
      </c>
      <c r="E463" s="38">
        <f>(VLOOKUP($A463,'The List'!$B1:$AH730,17,FALSE)-AVERAGE('The List'!R2:R730))/STDEV('The List'!R2:R730)</f>
        <v>0.9960838345238171</v>
      </c>
      <c r="F463" s="38">
        <f>(VLOOKUP($A463,'The List'!$B1:$AH730,18,FALSE)-AVERAGE('The List'!S2:S730))/STDEV('The List'!S2:S730)</f>
        <v>-0.93701259964616157</v>
      </c>
      <c r="G463" s="38">
        <f>(VLOOKUP($A463,'The List'!$B1:$AH730,19,FALSE)-AVERAGE('The List'!T2:T730))/STDEV('The List'!T2:T730)</f>
        <v>-0.44595386287682981</v>
      </c>
      <c r="H463" s="38">
        <f>(VLOOKUP($A463,'The List'!$B1:$AH730,20,FALSE)-AVERAGE('The List'!U2:U730))/STDEV('The List'!U2:U730)</f>
        <v>-0.70964816854857804</v>
      </c>
      <c r="I463" s="38">
        <f>(VLOOKUP($A463,'The List'!$B1:$AH730,21,FALSE)-AVERAGE('The List'!V2:V730))/STDEV('The List'!V2:V730)</f>
        <v>-0.53227942584988963</v>
      </c>
      <c r="J463" s="38">
        <f>(VLOOKUP($A463,'The List'!$B1:$AH730,22,FALSE)-AVERAGE('The List'!W2:W730))/STDEV('The List'!W2:W730)</f>
        <v>-0.73207923344510983</v>
      </c>
      <c r="K463" s="38">
        <f>(VLOOKUP($A463,'The List'!$B1:$AH730,23,FALSE)-AVERAGE('The List'!X2:X730))/STDEV('The List'!X2:X730)</f>
        <v>-0.81323341328880638</v>
      </c>
      <c r="L463" s="38">
        <f>(VLOOKUP($A463,'The List'!$B1:$AH730,24,FALSE)-AVERAGE('The List'!Y2:Y730))/STDEV('The List'!Y2:Y730)</f>
        <v>-0.5439111790128689</v>
      </c>
      <c r="M463" s="38">
        <f>(VLOOKUP($A463,'The List'!$B1:$AH730,25,FALSE)-AVERAGE('The List'!Z2:Z730))/STDEV('The List'!Z2:Z730)</f>
        <v>-0.32978768724698088</v>
      </c>
      <c r="N463" s="38">
        <f>(VLOOKUP($A463,'The List'!$B1:$AH730,26,FALSE)-AVERAGE('The List'!AA2:AA730))/STDEV('The List'!AA2:AA730)</f>
        <v>2.2634829714369293</v>
      </c>
      <c r="O463" s="38">
        <f>(VLOOKUP($A463,'The List'!$B1:$AH730,27,FALSE)-AVERAGE('The List'!AB2:AB730))/STDEV('The List'!AB2:AB730)</f>
        <v>0.13943816649026911</v>
      </c>
      <c r="P463" s="38">
        <f>(VLOOKUP($A463,'The List'!$B1:$AH730,28,FALSE)-AVERAGE('The List'!AC2:AC730))/STDEV('The List'!AC2:AC730)</f>
        <v>-2.4690853330951581E-2</v>
      </c>
      <c r="Q463" s="38">
        <f>(VLOOKUP($A463,'The List'!$B1:$AH730,29,FALSE)-AVERAGE('The List'!AD2:AD730))/STDEV('The List'!AD2:AD730)</f>
        <v>1.3678769358714238</v>
      </c>
      <c r="R463" s="38">
        <f>(VLOOKUP($A463,'The List'!$B1:$AH730,30,FALSE)-AVERAGE('The List'!AE2:AE730))/STDEV('The List'!AE2:AE730)</f>
        <v>-0.81591445624550196</v>
      </c>
      <c r="S463" s="38">
        <f>(VLOOKUP($A463,'The List'!$B1:$AH730,31,FALSE)-AVERAGE('The List'!AF2:AF730))/STDEV('The List'!AF2:AF730)</f>
        <v>-0.56911587195029545</v>
      </c>
      <c r="T463" s="38">
        <f>(VLOOKUP($A463,'The List'!$B1:$AH730,32,FALSE)-AVERAGE('The List'!AG2:AG730))/STDEV('The List'!AG2:AG730)</f>
        <v>-0.61510119871956948</v>
      </c>
      <c r="U463" s="38">
        <f>(VLOOKUP($A463,'The List'!$B1:$AH730,33,FALSE)-AVERAGE('The List'!AH2:AH730))/STDEV('The List'!AH2:AH730)</f>
        <v>-1.2363238714825984</v>
      </c>
      <c r="V463" s="38"/>
      <c r="W463" s="42"/>
      <c r="X463" s="40"/>
      <c r="Y463" s="40"/>
      <c r="Z463" s="40"/>
      <c r="AA463" s="40"/>
      <c r="AB463" s="40"/>
      <c r="AC463" s="43"/>
      <c r="AD463" s="44"/>
      <c r="AE463" s="38"/>
    </row>
    <row r="464" spans="1:31" ht="21.2" customHeight="1">
      <c r="A464" s="8" t="s">
        <v>407</v>
      </c>
      <c r="B464" s="34" t="str">
        <f>VLOOKUP(A464,'Player Data'!A1:B734,2,FALSE)</f>
        <v>NSH</v>
      </c>
      <c r="C464" s="36">
        <f>((E464)*Settings!$C$12)+(F464*Settings!$C$2)+(G464*Settings!$C$3)+(H464*Settings!$C$4)+(I464*Settings!$C$5)+(K464*Settings!$C$9)+(N464*Settings!$C$6)+(J464*Settings!$C$8)+(O464*Settings!$C$7)+(P464*Settings!$C$14)+(Q464*Settings!$C$15)+(R464*Settings!$C$16)+(S464*Settings!$C$17)+(T464*Settings!$C$18)+(U464*Settings!$C$19)+(L464*Settings!$C$10)+(Settings!$C$11*M464)</f>
        <v>-3.6957709241562782</v>
      </c>
      <c r="D464" s="40">
        <f>IF(Settings!$E$12="YES",VLOOKUP(A464,'Player Data'!A1:E734,5,FALSE),82)</f>
        <v>82</v>
      </c>
      <c r="E464" s="38">
        <f>(VLOOKUP($A464,'The List'!$B1:$AH730,17,FALSE)-AVERAGE('The List'!R2:R730))/STDEV('The List'!R2:R730)</f>
        <v>1.2690848380602471</v>
      </c>
      <c r="F464" s="38">
        <f>(VLOOKUP($A464,'The List'!$B1:$AH730,18,FALSE)-AVERAGE('The List'!S2:S730))/STDEV('The List'!S2:S730)</f>
        <v>-1.025504526811613</v>
      </c>
      <c r="G464" s="38">
        <f>(VLOOKUP($A464,'The List'!$B1:$AH730,19,FALSE)-AVERAGE('The List'!T2:T730))/STDEV('The List'!T2:T730)</f>
        <v>-0.3804710787281721</v>
      </c>
      <c r="H464" s="38">
        <f>(VLOOKUP($A464,'The List'!$B1:$AH730,20,FALSE)-AVERAGE('The List'!U2:U730))/STDEV('The List'!U2:U730)</f>
        <v>-0.71054394064007098</v>
      </c>
      <c r="I464" s="38">
        <f>(VLOOKUP($A464,'The List'!$B1:$AH730,21,FALSE)-AVERAGE('The List'!V2:V730))/STDEV('The List'!V2:V730)</f>
        <v>-0.76593756023680526</v>
      </c>
      <c r="J464" s="38">
        <f>(VLOOKUP($A464,'The List'!$B1:$AH730,22,FALSE)-AVERAGE('The List'!W2:W730))/STDEV('The List'!W2:W730)</f>
        <v>-0.73386058859926173</v>
      </c>
      <c r="K464" s="38">
        <f>(VLOOKUP($A464,'The List'!$B1:$AH730,23,FALSE)-AVERAGE('The List'!X2:X730))/STDEV('The List'!X2:X730)</f>
        <v>-0.81331381773961653</v>
      </c>
      <c r="L464" s="38">
        <f>(VLOOKUP($A464,'The List'!$B1:$AH730,24,FALSE)-AVERAGE('The List'!Y2:Y730))/STDEV('The List'!Y2:Y730)</f>
        <v>-0.65347850465333046</v>
      </c>
      <c r="M464" s="38">
        <f>(VLOOKUP($A464,'The List'!$B1:$AH730,25,FALSE)-AVERAGE('The List'!Z2:Z730))/STDEV('The List'!Z2:Z730)</f>
        <v>-1.0461320682195185</v>
      </c>
      <c r="N464" s="38">
        <f>(VLOOKUP($A464,'The List'!$B1:$AH730,26,FALSE)-AVERAGE('The List'!AA2:AA730))/STDEV('The List'!AA2:AA730)</f>
        <v>2.5365962698946718</v>
      </c>
      <c r="O464" s="38">
        <f>(VLOOKUP($A464,'The List'!$B1:$AH730,27,FALSE)-AVERAGE('The List'!AB2:AB730))/STDEV('The List'!AB2:AB730)</f>
        <v>-0.12944918162783506</v>
      </c>
      <c r="P464" s="38">
        <f>(VLOOKUP($A464,'The List'!$B1:$AH730,28,FALSE)-AVERAGE('The List'!AC2:AC730))/STDEV('The List'!AC2:AC730)</f>
        <v>-0.1861692655705896</v>
      </c>
      <c r="Q464" s="38">
        <f>(VLOOKUP($A464,'The List'!$B1:$AH730,29,FALSE)-AVERAGE('The List'!AD2:AD730))/STDEV('The List'!AD2:AD730)</f>
        <v>-0.62652382402348905</v>
      </c>
      <c r="R464" s="38">
        <f>(VLOOKUP($A464,'The List'!$B1:$AH730,30,FALSE)-AVERAGE('The List'!AE2:AE730))/STDEV('The List'!AE2:AE730)</f>
        <v>-0.92401969937918493</v>
      </c>
      <c r="S464" s="38">
        <f>(VLOOKUP($A464,'The List'!$B1:$AH730,31,FALSE)-AVERAGE('The List'!AF2:AF730))/STDEV('The List'!AF2:AF730)</f>
        <v>-0.56911587195029545</v>
      </c>
      <c r="T464" s="38">
        <f>(VLOOKUP($A464,'The List'!$B1:$AH730,32,FALSE)-AVERAGE('The List'!AG2:AG730))/STDEV('The List'!AG2:AG730)</f>
        <v>-0.614253135606182</v>
      </c>
      <c r="U464" s="38">
        <f>(VLOOKUP($A464,'The List'!$B1:$AH730,33,FALSE)-AVERAGE('The List'!AH2:AH730))/STDEV('The List'!AH2:AH730)</f>
        <v>-1.2363238714825984</v>
      </c>
      <c r="V464" s="38"/>
      <c r="W464" s="42"/>
      <c r="X464" s="40"/>
      <c r="Y464" s="40"/>
      <c r="Z464" s="40"/>
      <c r="AA464" s="40"/>
      <c r="AB464" s="40"/>
      <c r="AC464" s="43"/>
      <c r="AD464" s="44"/>
      <c r="AE464" s="38"/>
    </row>
    <row r="465" spans="1:31" ht="21.2" customHeight="1">
      <c r="A465" s="8" t="s">
        <v>792</v>
      </c>
      <c r="B465" s="34" t="str">
        <f>VLOOKUP(A465,'Player Data'!A1:B734,2,FALSE)</f>
        <v>VAN</v>
      </c>
      <c r="C465" s="36">
        <f>((E465)*Settings!$C$12)+(F465*Settings!$C$2)+(G465*Settings!$C$3)+(H465*Settings!$C$4)+(I465*Settings!$C$5)+(K465*Settings!$C$9)+(N465*Settings!$C$6)+(J465*Settings!$C$8)+(O465*Settings!$C$7)+(P465*Settings!$C$14)+(Q465*Settings!$C$15)+(R465*Settings!$C$16)+(S465*Settings!$C$17)+(T465*Settings!$C$18)+(U465*Settings!$C$19)+(L465*Settings!$C$10)+(Settings!$C$11*M465)</f>
        <v>-4.108399234921988</v>
      </c>
      <c r="D465" s="40">
        <f>IF(Settings!$E$12="YES",VLOOKUP(A465,'Player Data'!A1:E734,5,FALSE),82)</f>
        <v>82</v>
      </c>
      <c r="E465" s="38">
        <f>(VLOOKUP($A465,'The List'!$B1:$AH730,17,FALSE)-AVERAGE('The List'!R2:R730))/STDEV('The List'!R2:R730)</f>
        <v>-1.0896871587835293</v>
      </c>
      <c r="F465" s="38">
        <f>(VLOOKUP($A465,'The List'!$B1:$AH730,18,FALSE)-AVERAGE('The List'!S2:S730))/STDEV('The List'!S2:S730)</f>
        <v>-0.65379968564096635</v>
      </c>
      <c r="G465" s="38">
        <f>(VLOOKUP($A465,'The List'!$B1:$AH730,19,FALSE)-AVERAGE('The List'!T2:T730))/STDEV('The List'!T2:T730)</f>
        <v>-0.66445476740568132</v>
      </c>
      <c r="H465" s="38">
        <f>(VLOOKUP($A465,'The List'!$B1:$AH730,20,FALSE)-AVERAGE('The List'!U2:U730))/STDEV('The List'!U2:U730)</f>
        <v>-0.71226749677131374</v>
      </c>
      <c r="I465" s="38">
        <f>(VLOOKUP($A465,'The List'!$B1:$AH730,21,FALSE)-AVERAGE('The List'!V2:V730))/STDEV('The List'!V2:V730)</f>
        <v>-1.2685981673000077</v>
      </c>
      <c r="J465" s="38">
        <f>(VLOOKUP($A465,'The List'!$B1:$AH730,22,FALSE)-AVERAGE('The List'!W2:W730))/STDEV('The List'!W2:W730)</f>
        <v>-0.71878058580255977</v>
      </c>
      <c r="K465" s="38">
        <f>(VLOOKUP($A465,'The List'!$B1:$AH730,23,FALSE)-AVERAGE('The List'!X2:X730))/STDEV('The List'!X2:X730)</f>
        <v>-0.80927911780401907</v>
      </c>
      <c r="L465" s="38">
        <f>(VLOOKUP($A465,'The List'!$B1:$AH730,24,FALSE)-AVERAGE('The List'!Y2:Y730))/STDEV('The List'!Y2:Y730)</f>
        <v>-0.1867178286750944</v>
      </c>
      <c r="M465" s="38">
        <f>(VLOOKUP($A465,'The List'!$B1:$AH730,25,FALSE)-AVERAGE('The List'!Z2:Z730))/STDEV('The List'!Z2:Z730)</f>
        <v>1.1747353943812318</v>
      </c>
      <c r="N465" s="38">
        <f>(VLOOKUP($A465,'The List'!$B1:$AH730,26,FALSE)-AVERAGE('The List'!AA2:AA730))/STDEV('The List'!AA2:AA730)</f>
        <v>-0.47595405955388564</v>
      </c>
      <c r="O465" s="38">
        <f>(VLOOKUP($A465,'The List'!$B1:$AH730,27,FALSE)-AVERAGE('The List'!AB2:AB730))/STDEV('The List'!AB2:AB730)</f>
        <v>-0.72935417039270123</v>
      </c>
      <c r="P465" s="38">
        <f>(VLOOKUP($A465,'The List'!$B1:$AH730,28,FALSE)-AVERAGE('The List'!AC2:AC730))/STDEV('The List'!AC2:AC730)</f>
        <v>-0.44435791996706897</v>
      </c>
      <c r="Q465" s="38">
        <f>(VLOOKUP($A465,'The List'!$B1:$AH730,29,FALSE)-AVERAGE('The List'!AD2:AD730))/STDEV('The List'!AD2:AD730)</f>
        <v>-0.76153235453429458</v>
      </c>
      <c r="R465" s="38">
        <f>(VLOOKUP($A465,'The List'!$B1:$AH730,30,FALSE)-AVERAGE('The List'!AE2:AE730))/STDEV('The List'!AE2:AE730)</f>
        <v>-0.59137931340942662</v>
      </c>
      <c r="S465" s="38">
        <f>(VLOOKUP($A465,'The List'!$B1:$AH730,31,FALSE)-AVERAGE('The List'!AF2:AF730))/STDEV('The List'!AF2:AF730)</f>
        <v>0.43314664814696374</v>
      </c>
      <c r="T465" s="38">
        <f>(VLOOKUP($A465,'The List'!$B1:$AH730,32,FALSE)-AVERAGE('The List'!AG2:AG730))/STDEV('The List'!AG2:AG730)</f>
        <v>1.0894891350855072</v>
      </c>
      <c r="U465" s="38">
        <f>(VLOOKUP($A465,'The List'!$B1:$AH730,33,FALSE)-AVERAGE('The List'!AH2:AH730))/STDEV('The List'!AH2:AH730)</f>
        <v>0.48827229690398227</v>
      </c>
      <c r="V465" s="38"/>
      <c r="W465" s="42"/>
      <c r="X465" s="40"/>
      <c r="Y465" s="40"/>
      <c r="Z465" s="40"/>
      <c r="AA465" s="40"/>
      <c r="AB465" s="40"/>
      <c r="AC465" s="43"/>
      <c r="AD465" s="44"/>
      <c r="AE465" s="38"/>
    </row>
    <row r="466" spans="1:31" ht="21.2" customHeight="1">
      <c r="A466" s="8" t="s">
        <v>690</v>
      </c>
      <c r="B466" s="34" t="str">
        <f>VLOOKUP(A466,'Player Data'!A1:B734,2,FALSE)</f>
        <v>NJD</v>
      </c>
      <c r="C466" s="36">
        <f>((E466)*Settings!$C$12)+(F466*Settings!$C$2)+(G466*Settings!$C$3)+(H466*Settings!$C$4)+(I466*Settings!$C$5)+(K466*Settings!$C$9)+(N466*Settings!$C$6)+(J466*Settings!$C$8)+(O466*Settings!$C$7)+(P466*Settings!$C$14)+(Q466*Settings!$C$15)+(R466*Settings!$C$16)+(S466*Settings!$C$17)+(T466*Settings!$C$18)+(U466*Settings!$C$19)+(L466*Settings!$C$10)+(Settings!$C$11*M466)</f>
        <v>-3.3683471046734512</v>
      </c>
      <c r="D466" s="40">
        <f>IF(Settings!$E$12="YES",VLOOKUP(A466,'Player Data'!A1:E734,5,FALSE),82)</f>
        <v>82</v>
      </c>
      <c r="E466" s="38">
        <f>(VLOOKUP($A466,'The List'!$B1:$AH730,17,FALSE)-AVERAGE('The List'!R2:R730))/STDEV('The List'!R2:R730)</f>
        <v>-1.2110178668934768</v>
      </c>
      <c r="F466" s="38">
        <f>(VLOOKUP($A466,'The List'!$B1:$AH730,18,FALSE)-AVERAGE('The List'!S2:S730))/STDEV('The List'!S2:S730)</f>
        <v>-0.34336908904413033</v>
      </c>
      <c r="G466" s="38">
        <f>(VLOOKUP($A466,'The List'!$B1:$AH730,19,FALSE)-AVERAGE('The List'!T2:T730))/STDEV('The List'!T2:T730)</f>
        <v>-0.90213607473204338</v>
      </c>
      <c r="H466" s="38">
        <f>(VLOOKUP($A466,'The List'!$B1:$AH730,20,FALSE)-AVERAGE('The List'!U2:U730))/STDEV('The List'!U2:U730)</f>
        <v>-0.71402116781097635</v>
      </c>
      <c r="I466" s="38">
        <f>(VLOOKUP($A466,'The List'!$B1:$AH730,21,FALSE)-AVERAGE('The List'!V2:V730))/STDEV('The List'!V2:V730)</f>
        <v>-0.67399950052945556</v>
      </c>
      <c r="J466" s="38">
        <f>(VLOOKUP($A466,'The List'!$B1:$AH730,22,FALSE)-AVERAGE('The List'!W2:W730))/STDEV('The List'!W2:W730)</f>
        <v>-0.60266027856322923</v>
      </c>
      <c r="K466" s="38">
        <f>(VLOOKUP($A466,'The List'!$B1:$AH730,23,FALSE)-AVERAGE('The List'!X2:X730))/STDEV('The List'!X2:X730)</f>
        <v>-0.73482127255684593</v>
      </c>
      <c r="L466" s="38">
        <f>(VLOOKUP($A466,'The List'!$B1:$AH730,24,FALSE)-AVERAGE('The List'!Y2:Y730))/STDEV('The List'!Y2:Y730)</f>
        <v>-0.1262780956901173</v>
      </c>
      <c r="M466" s="38">
        <f>(VLOOKUP($A466,'The List'!$B1:$AH730,25,FALSE)-AVERAGE('The List'!Z2:Z730))/STDEV('The List'!Z2:Z730)</f>
        <v>-0.1602326620422978</v>
      </c>
      <c r="N466" s="38">
        <f>(VLOOKUP($A466,'The List'!$B1:$AH730,26,FALSE)-AVERAGE('The List'!AA2:AA730))/STDEV('The List'!AA2:AA730)</f>
        <v>-0.11301945185086607</v>
      </c>
      <c r="O466" s="38">
        <f>(VLOOKUP($A466,'The List'!$B1:$AH730,27,FALSE)-AVERAGE('The List'!AB2:AB730))/STDEV('The List'!AB2:AB730)</f>
        <v>1.8298219796349715</v>
      </c>
      <c r="P466" s="38">
        <f>(VLOOKUP($A466,'The List'!$B1:$AH730,28,FALSE)-AVERAGE('The List'!AC2:AC730))/STDEV('The List'!AC2:AC730)</f>
        <v>6.1999564615391127E-2</v>
      </c>
      <c r="Q466" s="38">
        <f>(VLOOKUP($A466,'The List'!$B1:$AH730,29,FALSE)-AVERAGE('The List'!AD2:AD730))/STDEV('The List'!AD2:AD730)</f>
        <v>0.62234136479163638</v>
      </c>
      <c r="R466" s="38">
        <f>(VLOOKUP($A466,'The List'!$B1:$AH730,30,FALSE)-AVERAGE('The List'!AE2:AE730))/STDEV('The List'!AE2:AE730)</f>
        <v>-0.26898155795743056</v>
      </c>
      <c r="S466" s="38">
        <f>(VLOOKUP($A466,'The List'!$B1:$AH730,31,FALSE)-AVERAGE('The List'!AF2:AF730))/STDEV('The List'!AF2:AF730)</f>
        <v>-0.44999586378043765</v>
      </c>
      <c r="T466" s="38">
        <f>(VLOOKUP($A466,'The List'!$B1:$AH730,32,FALSE)-AVERAGE('The List'!AG2:AG730))/STDEV('The List'!AG2:AG730)</f>
        <v>-0.4223990702366871</v>
      </c>
      <c r="U466" s="38">
        <f>(VLOOKUP($A466,'The List'!$B1:$AH730,33,FALSE)-AVERAGE('The List'!AH2:AH730))/STDEV('The List'!AH2:AH730)</f>
        <v>0.54193482960873651</v>
      </c>
      <c r="V466" s="38"/>
      <c r="W466" s="40"/>
      <c r="X466" s="38"/>
      <c r="Y466" s="38"/>
      <c r="Z466" s="38"/>
      <c r="AA466" s="38"/>
      <c r="AB466" s="38"/>
      <c r="AC466" s="38"/>
      <c r="AD466" s="38"/>
      <c r="AE466" s="38"/>
    </row>
    <row r="467" spans="1:31" ht="21.2" customHeight="1">
      <c r="A467" s="8" t="s">
        <v>684</v>
      </c>
      <c r="B467" s="34" t="str">
        <f>VLOOKUP(A467,'Player Data'!A1:B734,2,FALSE)</f>
        <v>PIT</v>
      </c>
      <c r="C467" s="36">
        <f>((E467)*Settings!$C$12)+(F467*Settings!$C$2)+(G467*Settings!$C$3)+(H467*Settings!$C$4)+(I467*Settings!$C$5)+(K467*Settings!$C$9)+(N467*Settings!$C$6)+(J467*Settings!$C$8)+(O467*Settings!$C$7)+(P467*Settings!$C$14)+(Q467*Settings!$C$15)+(R467*Settings!$C$16)+(S467*Settings!$C$17)+(T467*Settings!$C$18)+(U467*Settings!$C$19)+(L467*Settings!$C$10)+(Settings!$C$11*M467)</f>
        <v>-3.4126410702631458</v>
      </c>
      <c r="D467" s="40">
        <f>IF(Settings!$E$12="YES",VLOOKUP(A467,'Player Data'!A1:E734,5,FALSE),82)</f>
        <v>82</v>
      </c>
      <c r="E467" s="38">
        <f>(VLOOKUP($A467,'The List'!$B1:$AH730,17,FALSE)-AVERAGE('The List'!R2:R730))/STDEV('The List'!R2:R730)</f>
        <v>-0.74426516276359667</v>
      </c>
      <c r="F467" s="38">
        <f>(VLOOKUP($A467,'The List'!$B1:$AH730,18,FALSE)-AVERAGE('The List'!S2:S730))/STDEV('The List'!S2:S730)</f>
        <v>-0.29211174629075076</v>
      </c>
      <c r="G467" s="38">
        <f>(VLOOKUP($A467,'The List'!$B1:$AH730,19,FALSE)-AVERAGE('The List'!T2:T730))/STDEV('The List'!T2:T730)</f>
        <v>-0.94943871471902752</v>
      </c>
      <c r="H467" s="38">
        <f>(VLOOKUP($A467,'The List'!$B1:$AH730,20,FALSE)-AVERAGE('The List'!U2:U730))/STDEV('The List'!U2:U730)</f>
        <v>-0.71926233965251674</v>
      </c>
      <c r="I467" s="38">
        <f>(VLOOKUP($A467,'The List'!$B1:$AH730,21,FALSE)-AVERAGE('The List'!V2:V730))/STDEV('The List'!V2:V730)</f>
        <v>-0.64309108416299599</v>
      </c>
      <c r="J467" s="38">
        <f>(VLOOKUP($A467,'The List'!$B1:$AH730,22,FALSE)-AVERAGE('The List'!W2:W730))/STDEV('The List'!W2:W730)</f>
        <v>-0.71834416439870619</v>
      </c>
      <c r="K467" s="38">
        <f>(VLOOKUP($A467,'The List'!$B1:$AH730,23,FALSE)-AVERAGE('The List'!X2:X730))/STDEV('The List'!X2:X730)</f>
        <v>-0.80873718543785456</v>
      </c>
      <c r="L467" s="38">
        <f>(VLOOKUP($A467,'The List'!$B1:$AH730,24,FALSE)-AVERAGE('The List'!Y2:Y730))/STDEV('The List'!Y2:Y730)</f>
        <v>-0.59650401640162765</v>
      </c>
      <c r="M467" s="38">
        <f>(VLOOKUP($A467,'The List'!$B1:$AH730,25,FALSE)-AVERAGE('The List'!Z2:Z730))/STDEV('The List'!Z2:Z730)</f>
        <v>1.1790128656606365</v>
      </c>
      <c r="N467" s="38">
        <f>(VLOOKUP($A467,'The List'!$B1:$AH730,26,FALSE)-AVERAGE('The List'!AA2:AA730))/STDEV('The List'!AA2:AA730)</f>
        <v>0.34161917569456335</v>
      </c>
      <c r="O467" s="38">
        <f>(VLOOKUP($A467,'The List'!$B1:$AH730,27,FALSE)-AVERAGE('The List'!AB2:AB730))/STDEV('The List'!AB2:AB730)</f>
        <v>2.2876526787919853</v>
      </c>
      <c r="P467" s="38">
        <f>(VLOOKUP($A467,'The List'!$B1:$AH730,28,FALSE)-AVERAGE('The List'!AC2:AC730))/STDEV('The List'!AC2:AC730)</f>
        <v>0.19406361085302468</v>
      </c>
      <c r="Q467" s="38">
        <f>(VLOOKUP($A467,'The List'!$B1:$AH730,29,FALSE)-AVERAGE('The List'!AD2:AD730))/STDEV('The List'!AD2:AD730)</f>
        <v>-0.65110680198756243</v>
      </c>
      <c r="R467" s="38">
        <f>(VLOOKUP($A467,'The List'!$B1:$AH730,30,FALSE)-AVERAGE('The List'!AE2:AE730))/STDEV('The List'!AE2:AE730)</f>
        <v>-0.12486572185333937</v>
      </c>
      <c r="S467" s="38">
        <f>(VLOOKUP($A467,'The List'!$B1:$AH730,31,FALSE)-AVERAGE('The List'!AF2:AF730))/STDEV('The List'!AF2:AF730)</f>
        <v>1.1093496882163723</v>
      </c>
      <c r="T467" s="38">
        <f>(VLOOKUP($A467,'The List'!$B1:$AH730,32,FALSE)-AVERAGE('The List'!AG2:AG730))/STDEV('The List'!AG2:AG730)</f>
        <v>0.94036613618340992</v>
      </c>
      <c r="U467" s="38">
        <f>(VLOOKUP($A467,'The List'!$B1:$AH730,33,FALSE)-AVERAGE('The List'!AH2:AH730))/STDEV('The List'!AH2:AH730)</f>
        <v>1.163356074400516</v>
      </c>
      <c r="V467" s="38"/>
      <c r="W467" s="42"/>
      <c r="X467" s="40"/>
      <c r="Y467" s="40"/>
      <c r="Z467" s="40"/>
      <c r="AA467" s="40"/>
      <c r="AB467" s="40"/>
      <c r="AC467" s="43"/>
      <c r="AD467" s="44"/>
      <c r="AE467" s="38"/>
    </row>
    <row r="468" spans="1:31" ht="21.2" customHeight="1">
      <c r="A468" s="8" t="s">
        <v>380</v>
      </c>
      <c r="B468" s="34" t="str">
        <f>VLOOKUP(A468,'Player Data'!A1:B734,2,FALSE)</f>
        <v>LAK</v>
      </c>
      <c r="C468" s="36">
        <f>((E468)*Settings!$C$12)+(F468*Settings!$C$2)+(G468*Settings!$C$3)+(H468*Settings!$C$4)+(I468*Settings!$C$5)+(K468*Settings!$C$9)+(N468*Settings!$C$6)+(J468*Settings!$C$8)+(O468*Settings!$C$7)+(P468*Settings!$C$14)+(Q468*Settings!$C$15)+(R468*Settings!$C$16)+(S468*Settings!$C$17)+(T468*Settings!$C$18)+(U468*Settings!$C$19)+(L468*Settings!$C$10)+(Settings!$C$11*M468)</f>
        <v>-3.0565794078415265</v>
      </c>
      <c r="D468" s="40">
        <f>IF(Settings!$E$12="YES",VLOOKUP(A468,'Player Data'!A1:E734,5,FALSE),82)</f>
        <v>82</v>
      </c>
      <c r="E468" s="38">
        <f>(VLOOKUP($A468,'The List'!$B1:$AH730,17,FALSE)-AVERAGE('The List'!R2:R730))/STDEV('The List'!R2:R730)</f>
        <v>0.61327928279510779</v>
      </c>
      <c r="F468" s="38">
        <f>(VLOOKUP($A468,'The List'!$B1:$AH730,18,FALSE)-AVERAGE('The List'!S2:S730))/STDEV('The List'!S2:S730)</f>
        <v>-0.85256914814161289</v>
      </c>
      <c r="G468" s="38">
        <f>(VLOOKUP($A468,'The List'!$B1:$AH730,19,FALSE)-AVERAGE('The List'!T2:T730))/STDEV('The List'!T2:T730)</f>
        <v>-0.53594967542051886</v>
      </c>
      <c r="H468" s="38">
        <f>(VLOOKUP($A468,'The List'!$B1:$AH730,20,FALSE)-AVERAGE('The List'!U2:U730))/STDEV('The List'!U2:U730)</f>
        <v>-0.72569864422720398</v>
      </c>
      <c r="I468" s="38">
        <f>(VLOOKUP($A468,'The List'!$B1:$AH730,21,FALSE)-AVERAGE('The List'!V2:V730))/STDEV('The List'!V2:V730)</f>
        <v>-0.13309397277822724</v>
      </c>
      <c r="J468" s="38">
        <f>(VLOOKUP($A468,'The List'!$B1:$AH730,22,FALSE)-AVERAGE('The List'!W2:W730))/STDEV('The List'!W2:W730)</f>
        <v>-0.73393355640376856</v>
      </c>
      <c r="K468" s="38">
        <f>(VLOOKUP($A468,'The List'!$B1:$AH730,23,FALSE)-AVERAGE('The List'!X2:X730))/STDEV('The List'!X2:X730)</f>
        <v>-0.80926796727396322</v>
      </c>
      <c r="L468" s="38">
        <f>(VLOOKUP($A468,'The List'!$B1:$AH730,24,FALSE)-AVERAGE('The List'!Y2:Y730))/STDEV('The List'!Y2:Y730)</f>
        <v>0.33090242429192052</v>
      </c>
      <c r="M468" s="38">
        <f>(VLOOKUP($A468,'The List'!$B1:$AH730,25,FALSE)-AVERAGE('The List'!Z2:Z730))/STDEV('The List'!Z2:Z730)</f>
        <v>1.2266913124575185</v>
      </c>
      <c r="N468" s="38">
        <f>(VLOOKUP($A468,'The List'!$B1:$AH730,26,FALSE)-AVERAGE('The List'!AA2:AA730))/STDEV('The List'!AA2:AA730)</f>
        <v>1.7470648421728059</v>
      </c>
      <c r="O468" s="38">
        <f>(VLOOKUP($A468,'The List'!$B1:$AH730,27,FALSE)-AVERAGE('The List'!AB2:AB730))/STDEV('The List'!AB2:AB730)</f>
        <v>0.43795520541263272</v>
      </c>
      <c r="P468" s="38">
        <f>(VLOOKUP($A468,'The List'!$B1:$AH730,28,FALSE)-AVERAGE('The List'!AC2:AC730))/STDEV('The List'!AC2:AC730)</f>
        <v>4.6258824469363961E-2</v>
      </c>
      <c r="Q468" s="38">
        <f>(VLOOKUP($A468,'The List'!$B1:$AH730,29,FALSE)-AVERAGE('The List'!AD2:AD730))/STDEV('The List'!AD2:AD730)</f>
        <v>-0.5620428754904897</v>
      </c>
      <c r="R468" s="38">
        <f>(VLOOKUP($A468,'The List'!$B1:$AH730,30,FALSE)-AVERAGE('The List'!AE2:AE730))/STDEV('The List'!AE2:AE730)</f>
        <v>-0.75271076775883794</v>
      </c>
      <c r="S468" s="38">
        <f>(VLOOKUP($A468,'The List'!$B1:$AH730,31,FALSE)-AVERAGE('The List'!AF2:AF730))/STDEV('The List'!AF2:AF730)</f>
        <v>-0.56911587195029545</v>
      </c>
      <c r="T468" s="38">
        <f>(VLOOKUP($A468,'The List'!$B1:$AH730,32,FALSE)-AVERAGE('The List'!AG2:AG730))/STDEV('The List'!AG2:AG730)</f>
        <v>-0.61510119871956948</v>
      </c>
      <c r="U468" s="38">
        <f>(VLOOKUP($A468,'The List'!$B1:$AH730,33,FALSE)-AVERAGE('The List'!AH2:AH730))/STDEV('The List'!AH2:AH730)</f>
        <v>-1.2363238714825984</v>
      </c>
      <c r="V468" s="38"/>
      <c r="W468" s="40"/>
      <c r="X468" s="40"/>
      <c r="Y468" s="40"/>
      <c r="Z468" s="40"/>
      <c r="AA468" s="40"/>
      <c r="AB468" s="40"/>
      <c r="AC468" s="43"/>
      <c r="AD468" s="44"/>
      <c r="AE468" s="38"/>
    </row>
    <row r="469" spans="1:31" ht="21.2" customHeight="1">
      <c r="A469" s="8" t="s">
        <v>710</v>
      </c>
      <c r="B469" s="34" t="str">
        <f>VLOOKUP(A469,'Player Data'!A1:B734,2,FALSE)</f>
        <v>PIT</v>
      </c>
      <c r="C469" s="36">
        <f>((E469)*Settings!$C$12)+(F469*Settings!$C$2)+(G469*Settings!$C$3)+(H469*Settings!$C$4)+(I469*Settings!$C$5)+(K469*Settings!$C$9)+(N469*Settings!$C$6)+(J469*Settings!$C$8)+(O469*Settings!$C$7)+(P469*Settings!$C$14)+(Q469*Settings!$C$15)+(R469*Settings!$C$16)+(S469*Settings!$C$17)+(T469*Settings!$C$18)+(U469*Settings!$C$19)+(L469*Settings!$C$10)+(Settings!$C$11*M469)</f>
        <v>-3.176771943551878</v>
      </c>
      <c r="D469" s="40">
        <f>IF(Settings!$E$12="YES",VLOOKUP(A469,'Player Data'!A1:E734,5,FALSE),82)</f>
        <v>82</v>
      </c>
      <c r="E469" s="38">
        <f>(VLOOKUP($A469,'The List'!$B1:$AH730,17,FALSE)-AVERAGE('The List'!R2:R730))/STDEV('The List'!R2:R730)</f>
        <v>-0.6600603883748114</v>
      </c>
      <c r="F469" s="38">
        <f>(VLOOKUP($A469,'The List'!$B1:$AH730,18,FALSE)-AVERAGE('The List'!S2:S730))/STDEV('The List'!S2:S730)</f>
        <v>-0.45586899591194119</v>
      </c>
      <c r="G469" s="38">
        <f>(VLOOKUP($A469,'The List'!$B1:$AH730,19,FALSE)-AVERAGE('The List'!T2:T730))/STDEV('The List'!T2:T730)</f>
        <v>-0.83837824547078654</v>
      </c>
      <c r="H469" s="38">
        <f>(VLOOKUP($A469,'The List'!$B1:$AH730,20,FALSE)-AVERAGE('The List'!U2:U730))/STDEV('The List'!U2:U730)</f>
        <v>-0.72713765712964107</v>
      </c>
      <c r="I469" s="38">
        <f>(VLOOKUP($A469,'The List'!$B1:$AH730,21,FALSE)-AVERAGE('The List'!V2:V730))/STDEV('The List'!V2:V730)</f>
        <v>-0.344904844757494</v>
      </c>
      <c r="J469" s="38">
        <f>(VLOOKUP($A469,'The List'!$B1:$AH730,22,FALSE)-AVERAGE('The List'!W2:W730))/STDEV('The List'!W2:W730)</f>
        <v>-0.7303839956065431</v>
      </c>
      <c r="K469" s="38">
        <f>(VLOOKUP($A469,'The List'!$B1:$AH730,23,FALSE)-AVERAGE('The List'!X2:X730))/STDEV('The List'!X2:X730)</f>
        <v>-0.81048220028201556</v>
      </c>
      <c r="L469" s="38">
        <f>(VLOOKUP($A469,'The List'!$B1:$AH730,24,FALSE)-AVERAGE('The List'!Y2:Y730))/STDEV('The List'!Y2:Y730)</f>
        <v>0.28251602620650729</v>
      </c>
      <c r="M469" s="38">
        <f>(VLOOKUP($A469,'The List'!$B1:$AH730,25,FALSE)-AVERAGE('The List'!Z2:Z730))/STDEV('The List'!Z2:Z730)</f>
        <v>-0.46778299741276036</v>
      </c>
      <c r="N469" s="38">
        <f>(VLOOKUP($A469,'The List'!$B1:$AH730,26,FALSE)-AVERAGE('The List'!AA2:AA730))/STDEV('The List'!AA2:AA730)</f>
        <v>-0.62077201703668505</v>
      </c>
      <c r="O469" s="38">
        <f>(VLOOKUP($A469,'The List'!$B1:$AH730,27,FALSE)-AVERAGE('The List'!AB2:AB730))/STDEV('The List'!AB2:AB730)</f>
        <v>-0.19622098802041713</v>
      </c>
      <c r="P469" s="38">
        <f>(VLOOKUP($A469,'The List'!$B1:$AH730,28,FALSE)-AVERAGE('The List'!AC2:AC730))/STDEV('The List'!AC2:AC730)</f>
        <v>0.24547263223390076</v>
      </c>
      <c r="Q469" s="38">
        <f>(VLOOKUP($A469,'The List'!$B1:$AH730,29,FALSE)-AVERAGE('The List'!AD2:AD730))/STDEV('The List'!AD2:AD730)</f>
        <v>0.2398127013556503</v>
      </c>
      <c r="R469" s="38">
        <f>(VLOOKUP($A469,'The List'!$B1:$AH730,30,FALSE)-AVERAGE('The List'!AE2:AE730))/STDEV('The List'!AE2:AE730)</f>
        <v>-0.29604668913322302</v>
      </c>
      <c r="S469" s="38">
        <f>(VLOOKUP($A469,'The List'!$B1:$AH730,31,FALSE)-AVERAGE('The List'!AF2:AF730))/STDEV('The List'!AF2:AF730)</f>
        <v>1.7740222269805401</v>
      </c>
      <c r="T469" s="38">
        <f>(VLOOKUP($A469,'The List'!$B1:$AH730,32,FALSE)-AVERAGE('The List'!AG2:AG730))/STDEV('The List'!AG2:AG730)</f>
        <v>1.6941388700059543</v>
      </c>
      <c r="U469" s="38">
        <f>(VLOOKUP($A469,'The List'!$B1:$AH730,33,FALSE)-AVERAGE('The List'!AH2:AH730))/STDEV('The List'!AH2:AH730)</f>
        <v>1.0940428802148485</v>
      </c>
      <c r="V469" s="38"/>
      <c r="W469" s="40"/>
      <c r="X469" s="38"/>
      <c r="Y469" s="38"/>
      <c r="Z469" s="38"/>
      <c r="AA469" s="38"/>
      <c r="AB469" s="38"/>
      <c r="AC469" s="38"/>
      <c r="AD469" s="38"/>
      <c r="AE469" s="38"/>
    </row>
    <row r="470" spans="1:31" ht="21.2" customHeight="1">
      <c r="A470" s="8" t="s">
        <v>703</v>
      </c>
      <c r="B470" s="34" t="str">
        <f>VLOOKUP(A470,'Player Data'!A1:B734,2,FALSE)</f>
        <v>DET</v>
      </c>
      <c r="C470" s="36">
        <f>((E470)*Settings!$C$12)+(F470*Settings!$C$2)+(G470*Settings!$C$3)+(H470*Settings!$C$4)+(I470*Settings!$C$5)+(K470*Settings!$C$9)+(N470*Settings!$C$6)+(J470*Settings!$C$8)+(O470*Settings!$C$7)+(P470*Settings!$C$14)+(Q470*Settings!$C$15)+(R470*Settings!$C$16)+(S470*Settings!$C$17)+(T470*Settings!$C$18)+(U470*Settings!$C$19)+(L470*Settings!$C$10)+(Settings!$C$11*M470)</f>
        <v>-3.3919296974618183</v>
      </c>
      <c r="D470" s="40">
        <f>IF(Settings!$E$12="YES",VLOOKUP(A470,'Player Data'!A1:E734,5,FALSE),82)</f>
        <v>82</v>
      </c>
      <c r="E470" s="38">
        <f>(VLOOKUP($A470,'The List'!$B1:$AH730,17,FALSE)-AVERAGE('The List'!R2:R730))/STDEV('The List'!R2:R730)</f>
        <v>-1.0629463901092975</v>
      </c>
      <c r="F470" s="38">
        <f>(VLOOKUP($A470,'The List'!$B1:$AH730,18,FALSE)-AVERAGE('The List'!S2:S730))/STDEV('The List'!S2:S730)</f>
        <v>-0.40289911843103604</v>
      </c>
      <c r="G470" s="38">
        <f>(VLOOKUP($A470,'The List'!$B1:$AH730,19,FALSE)-AVERAGE('The List'!T2:T730))/STDEV('The List'!T2:T730)</f>
        <v>-0.87881738989043545</v>
      </c>
      <c r="H470" s="38">
        <f>(VLOOKUP($A470,'The List'!$B1:$AH730,20,FALSE)-AVERAGE('The List'!U2:U730))/STDEV('The List'!U2:U730)</f>
        <v>-0.72736482957849335</v>
      </c>
      <c r="I470" s="38">
        <f>(VLOOKUP($A470,'The List'!$B1:$AH730,21,FALSE)-AVERAGE('The List'!V2:V730))/STDEV('The List'!V2:V730)</f>
        <v>-0.58856610583551827</v>
      </c>
      <c r="J470" s="38">
        <f>(VLOOKUP($A470,'The List'!$B1:$AH730,22,FALSE)-AVERAGE('The List'!W2:W730))/STDEV('The List'!W2:W730)</f>
        <v>-0.70732089177422353</v>
      </c>
      <c r="K470" s="38">
        <f>(VLOOKUP($A470,'The List'!$B1:$AH730,23,FALSE)-AVERAGE('The List'!X2:X730))/STDEV('The List'!X2:X730)</f>
        <v>-0.79428225372633499</v>
      </c>
      <c r="L470" s="38">
        <f>(VLOOKUP($A470,'The List'!$B1:$AH730,24,FALSE)-AVERAGE('The List'!Y2:Y730))/STDEV('The List'!Y2:Y730)</f>
        <v>0.10147021559951519</v>
      </c>
      <c r="M470" s="38">
        <f>(VLOOKUP($A470,'The List'!$B1:$AH730,25,FALSE)-AVERAGE('The List'!Z2:Z730))/STDEV('The List'!Z2:Z730)</f>
        <v>-0.20880800135386818</v>
      </c>
      <c r="N470" s="38">
        <f>(VLOOKUP($A470,'The List'!$B1:$AH730,26,FALSE)-AVERAGE('The List'!AA2:AA730))/STDEV('The List'!AA2:AA730)</f>
        <v>-0.78322213304150856</v>
      </c>
      <c r="O470" s="38">
        <f>(VLOOKUP($A470,'The List'!$B1:$AH730,27,FALSE)-AVERAGE('The List'!AB2:AB730))/STDEV('The List'!AB2:AB730)</f>
        <v>0.46082665838232773</v>
      </c>
      <c r="P470" s="38">
        <f>(VLOOKUP($A470,'The List'!$B1:$AH730,28,FALSE)-AVERAGE('The List'!AC2:AC730))/STDEV('The List'!AC2:AC730)</f>
        <v>-0.8138195924525371</v>
      </c>
      <c r="Q470" s="38">
        <f>(VLOOKUP($A470,'The List'!$B1:$AH730,29,FALSE)-AVERAGE('The List'!AD2:AD730))/STDEV('The List'!AD2:AD730)</f>
        <v>-1.0539112888750983</v>
      </c>
      <c r="R470" s="38">
        <f>(VLOOKUP($A470,'The List'!$B1:$AH730,30,FALSE)-AVERAGE('The List'!AE2:AE730))/STDEV('The List'!AE2:AE730)</f>
        <v>-0.41817350140892717</v>
      </c>
      <c r="S470" s="38">
        <f>(VLOOKUP($A470,'The List'!$B1:$AH730,31,FALSE)-AVERAGE('The List'!AF2:AF730))/STDEV('The List'!AF2:AF730)</f>
        <v>-0.47625138149843099</v>
      </c>
      <c r="T470" s="38">
        <f>(VLOOKUP($A470,'The List'!$B1:$AH730,32,FALSE)-AVERAGE('The List'!AG2:AG730))/STDEV('The List'!AG2:AG730)</f>
        <v>-0.36790504066651236</v>
      </c>
      <c r="U470" s="38">
        <f>(VLOOKUP($A470,'The List'!$B1:$AH730,33,FALSE)-AVERAGE('The List'!AH2:AH730))/STDEV('The List'!AH2:AH730)</f>
        <v>4.1781236875103045E-2</v>
      </c>
      <c r="V470" s="38"/>
      <c r="W470" s="40"/>
      <c r="X470" s="40"/>
      <c r="Y470" s="40"/>
      <c r="Z470" s="40"/>
      <c r="AA470" s="40"/>
      <c r="AB470" s="40"/>
      <c r="AC470" s="43"/>
      <c r="AD470" s="44"/>
      <c r="AE470" s="38"/>
    </row>
    <row r="471" spans="1:31" ht="21.2" customHeight="1">
      <c r="A471" s="8" t="s">
        <v>741</v>
      </c>
      <c r="B471" s="34" t="str">
        <f>VLOOKUP(A471,'Player Data'!A1:B734,2,FALSE)</f>
        <v>ANA</v>
      </c>
      <c r="C471" s="36">
        <f>((E471)*Settings!$C$12)+(F471*Settings!$C$2)+(G471*Settings!$C$3)+(H471*Settings!$C$4)+(I471*Settings!$C$5)+(K471*Settings!$C$9)+(N471*Settings!$C$6)+(J471*Settings!$C$8)+(O471*Settings!$C$7)+(P471*Settings!$C$14)+(Q471*Settings!$C$15)+(R471*Settings!$C$16)+(S471*Settings!$C$17)+(T471*Settings!$C$18)+(U471*Settings!$C$19)+(L471*Settings!$C$10)+(Settings!$C$11*M471)</f>
        <v>-3.2443831257741813</v>
      </c>
      <c r="D471" s="40">
        <f>IF(Settings!$E$12="YES",VLOOKUP(A471,'Player Data'!A1:E734,5,FALSE),82)</f>
        <v>82</v>
      </c>
      <c r="E471" s="38">
        <f>(VLOOKUP($A471,'The List'!$B1:$AH730,17,FALSE)-AVERAGE('The List'!R2:R730))/STDEV('The List'!R2:R730)</f>
        <v>-1.3059645871163894</v>
      </c>
      <c r="F471" s="38">
        <f>(VLOOKUP($A471,'The List'!$B1:$AH730,18,FALSE)-AVERAGE('The List'!S2:S730))/STDEV('The List'!S2:S730)</f>
        <v>-0.37523701681291216</v>
      </c>
      <c r="G471" s="38">
        <f>(VLOOKUP($A471,'The List'!$B1:$AH730,19,FALSE)-AVERAGE('The List'!T2:T730))/STDEV('The List'!T2:T730)</f>
        <v>-0.90822372877825874</v>
      </c>
      <c r="H471" s="38">
        <f>(VLOOKUP($A471,'The List'!$B1:$AH730,20,FALSE)-AVERAGE('The List'!U2:U730))/STDEV('The List'!U2:U730)</f>
        <v>-0.73257681392349649</v>
      </c>
      <c r="I471" s="38">
        <f>(VLOOKUP($A471,'The List'!$B1:$AH730,21,FALSE)-AVERAGE('The List'!V2:V730))/STDEV('The List'!V2:V730)</f>
        <v>-0.49996465200406476</v>
      </c>
      <c r="J471" s="38">
        <f>(VLOOKUP($A471,'The List'!$B1:$AH730,22,FALSE)-AVERAGE('The List'!W2:W730))/STDEV('The List'!W2:W730)</f>
        <v>-0.60185615522907854</v>
      </c>
      <c r="K471" s="38">
        <f>(VLOOKUP($A471,'The List'!$B1:$AH730,23,FALSE)-AVERAGE('The List'!X2:X730))/STDEV('The List'!X2:X730)</f>
        <v>-0.72838091425544893</v>
      </c>
      <c r="L471" s="38">
        <f>(VLOOKUP($A471,'The List'!$B1:$AH730,24,FALSE)-AVERAGE('The List'!Y2:Y730))/STDEV('The List'!Y2:Y730)</f>
        <v>-0.46174461463747363</v>
      </c>
      <c r="M471" s="38">
        <f>(VLOOKUP($A471,'The List'!$B1:$AH730,25,FALSE)-AVERAGE('The List'!Z2:Z730))/STDEV('The List'!Z2:Z730)</f>
        <v>-0.62587281913596138</v>
      </c>
      <c r="N471" s="38">
        <f>(VLOOKUP($A471,'The List'!$B1:$AH730,26,FALSE)-AVERAGE('The List'!AA2:AA730))/STDEV('The List'!AA2:AA730)</f>
        <v>-1.0427015015572207</v>
      </c>
      <c r="O471" s="38">
        <f>(VLOOKUP($A471,'The List'!$B1:$AH730,27,FALSE)-AVERAGE('The List'!AB2:AB730))/STDEV('The List'!AB2:AB730)</f>
        <v>0.32771742680287952</v>
      </c>
      <c r="P471" s="38">
        <f>(VLOOKUP($A471,'The List'!$B1:$AH730,28,FALSE)-AVERAGE('The List'!AC2:AC730))/STDEV('The List'!AC2:AC730)</f>
        <v>-2.2585986842521097</v>
      </c>
      <c r="Q471" s="38">
        <f>(VLOOKUP($A471,'The List'!$B1:$AH730,29,FALSE)-AVERAGE('The List'!AD2:AD730))/STDEV('The List'!AD2:AD730)</f>
        <v>1.370160022330283</v>
      </c>
      <c r="R471" s="38">
        <f>(VLOOKUP($A471,'The List'!$B1:$AH730,30,FALSE)-AVERAGE('The List'!AE2:AE730))/STDEV('The List'!AE2:AE730)</f>
        <v>-0.63060304056138372</v>
      </c>
      <c r="S471" s="38">
        <f>(VLOOKUP($A471,'The List'!$B1:$AH730,31,FALSE)-AVERAGE('The List'!AF2:AF730))/STDEV('The List'!AF2:AF730)</f>
        <v>-0.51858329474331322</v>
      </c>
      <c r="T471" s="38">
        <f>(VLOOKUP($A471,'The List'!$B1:$AH730,32,FALSE)-AVERAGE('The List'!AG2:AG730))/STDEV('The List'!AG2:AG730)</f>
        <v>-0.55493768779275587</v>
      </c>
      <c r="U471" s="38">
        <f>(VLOOKUP($A471,'The List'!$B1:$AH730,33,FALSE)-AVERAGE('The List'!AH2:AH730))/STDEV('The List'!AH2:AH730)</f>
        <v>0.88083084030908121</v>
      </c>
      <c r="V471" s="38"/>
      <c r="W471" s="42"/>
      <c r="X471" s="40"/>
      <c r="Y471" s="40"/>
      <c r="Z471" s="40"/>
      <c r="AA471" s="40"/>
      <c r="AB471" s="40"/>
      <c r="AC471" s="43"/>
      <c r="AD471" s="44"/>
      <c r="AE471" s="38"/>
    </row>
    <row r="472" spans="1:31" ht="21.2" customHeight="1">
      <c r="A472" s="8" t="s">
        <v>732</v>
      </c>
      <c r="B472" s="34" t="str">
        <f>VLOOKUP(A472,'Player Data'!A1:B734,2,FALSE)</f>
        <v>VAN</v>
      </c>
      <c r="C472" s="36">
        <f>((E472)*Settings!$C$12)+(F472*Settings!$C$2)+(G472*Settings!$C$3)+(H472*Settings!$C$4)+(I472*Settings!$C$5)+(K472*Settings!$C$9)+(N472*Settings!$C$6)+(J472*Settings!$C$8)+(O472*Settings!$C$7)+(P472*Settings!$C$14)+(Q472*Settings!$C$15)+(R472*Settings!$C$16)+(S472*Settings!$C$17)+(T472*Settings!$C$18)+(U472*Settings!$C$19)+(L472*Settings!$C$10)+(Settings!$C$11*M472)</f>
        <v>-3.92227209384464</v>
      </c>
      <c r="D472" s="40">
        <f>IF(Settings!$E$12="YES",VLOOKUP(A472,'Player Data'!A1:E734,5,FALSE),82)</f>
        <v>82</v>
      </c>
      <c r="E472" s="38">
        <f>(VLOOKUP($A472,'The List'!$B1:$AH730,17,FALSE)-AVERAGE('The List'!R2:R730))/STDEV('The List'!R2:R730)</f>
        <v>-1.4061677278006732</v>
      </c>
      <c r="F472" s="38">
        <f>(VLOOKUP($A472,'The List'!$B1:$AH730,18,FALSE)-AVERAGE('The List'!S2:S730))/STDEV('The List'!S2:S730)</f>
        <v>-0.42812626339412163</v>
      </c>
      <c r="G472" s="38">
        <f>(VLOOKUP($A472,'The List'!$B1:$AH730,19,FALSE)-AVERAGE('The List'!T2:T730))/STDEV('The List'!T2:T730)</f>
        <v>-0.87119282260970765</v>
      </c>
      <c r="H472" s="38">
        <f>(VLOOKUP($A472,'The List'!$B1:$AH730,20,FALSE)-AVERAGE('The List'!U2:U730))/STDEV('The List'!U2:U730)</f>
        <v>-0.73440665481315015</v>
      </c>
      <c r="I472" s="38">
        <f>(VLOOKUP($A472,'The List'!$B1:$AH730,21,FALSE)-AVERAGE('The List'!V2:V730))/STDEV('The List'!V2:V730)</f>
        <v>-1.1056984981541687</v>
      </c>
      <c r="J472" s="38">
        <f>(VLOOKUP($A472,'The List'!$B1:$AH730,22,FALSE)-AVERAGE('The List'!W2:W730))/STDEV('The List'!W2:W730)</f>
        <v>-0.6722642637207169</v>
      </c>
      <c r="K472" s="38">
        <f>(VLOOKUP($A472,'The List'!$B1:$AH730,23,FALSE)-AVERAGE('The List'!X2:X730))/STDEV('The List'!X2:X730)</f>
        <v>-0.78284785487349218</v>
      </c>
      <c r="L472" s="38">
        <f>(VLOOKUP($A472,'The List'!$B1:$AH730,24,FALSE)-AVERAGE('The List'!Y2:Y730))/STDEV('The List'!Y2:Y730)</f>
        <v>0.56021221773580976</v>
      </c>
      <c r="M472" s="38">
        <f>(VLOOKUP($A472,'The List'!$B1:$AH730,25,FALSE)-AVERAGE('The List'!Z2:Z730))/STDEV('The List'!Z2:Z730)</f>
        <v>7.4852603070842169E-2</v>
      </c>
      <c r="N472" s="38">
        <f>(VLOOKUP($A472,'The List'!$B1:$AH730,26,FALSE)-AVERAGE('The List'!AA2:AA730))/STDEV('The List'!AA2:AA730)</f>
        <v>-0.7995201731254884</v>
      </c>
      <c r="O472" s="38">
        <f>(VLOOKUP($A472,'The List'!$B1:$AH730,27,FALSE)-AVERAGE('The List'!AB2:AB730))/STDEV('The List'!AB2:AB730)</f>
        <v>2.2013175468489656</v>
      </c>
      <c r="P472" s="38">
        <f>(VLOOKUP($A472,'The List'!$B1:$AH730,28,FALSE)-AVERAGE('The List'!AC2:AC730))/STDEV('The List'!AC2:AC730)</f>
        <v>-0.16661004659682027</v>
      </c>
      <c r="Q472" s="38">
        <f>(VLOOKUP($A472,'The List'!$B1:$AH730,29,FALSE)-AVERAGE('The List'!AD2:AD730))/STDEV('The List'!AD2:AD730)</f>
        <v>0.56100046566731931</v>
      </c>
      <c r="R472" s="38">
        <f>(VLOOKUP($A472,'The List'!$B1:$AH730,30,FALSE)-AVERAGE('The List'!AE2:AE730))/STDEV('The List'!AE2:AE730)</f>
        <v>-0.38333990125977785</v>
      </c>
      <c r="S472" s="38">
        <f>(VLOOKUP($A472,'The List'!$B1:$AH730,31,FALSE)-AVERAGE('The List'!AF2:AF730))/STDEV('The List'!AF2:AF730)</f>
        <v>-0.40004566491376931</v>
      </c>
      <c r="T472" s="38">
        <f>(VLOOKUP($A472,'The List'!$B1:$AH730,32,FALSE)-AVERAGE('The List'!AG2:AG730))/STDEV('The List'!AG2:AG730)</f>
        <v>-0.4618981950681762</v>
      </c>
      <c r="U472" s="38">
        <f>(VLOOKUP($A472,'The List'!$B1:$AH730,33,FALSE)-AVERAGE('The List'!AH2:AH730))/STDEV('The List'!AH2:AH730)</f>
        <v>1.188581465654579</v>
      </c>
      <c r="V472" s="38"/>
      <c r="W472" s="40"/>
      <c r="X472" s="38"/>
      <c r="Y472" s="38"/>
      <c r="Z472" s="38"/>
      <c r="AA472" s="38"/>
      <c r="AB472" s="38"/>
      <c r="AC472" s="38"/>
      <c r="AD472" s="38"/>
      <c r="AE472" s="38"/>
    </row>
    <row r="473" spans="1:31" ht="21.2" customHeight="1">
      <c r="A473" s="8" t="s">
        <v>460</v>
      </c>
      <c r="B473" s="34" t="str">
        <f>VLOOKUP(A473,'Player Data'!A1:B734,2,FALSE)</f>
        <v>BUF</v>
      </c>
      <c r="C473" s="36">
        <f>((E473)*Settings!$C$12)+(F473*Settings!$C$2)+(G473*Settings!$C$3)+(H473*Settings!$C$4)+(I473*Settings!$C$5)+(K473*Settings!$C$9)+(N473*Settings!$C$6)+(J473*Settings!$C$8)+(O473*Settings!$C$7)+(P473*Settings!$C$14)+(Q473*Settings!$C$15)+(R473*Settings!$C$16)+(S473*Settings!$C$17)+(T473*Settings!$C$18)+(U473*Settings!$C$19)+(L473*Settings!$C$10)+(Settings!$C$11*M473)</f>
        <v>-3.4884924030948428</v>
      </c>
      <c r="D473" s="40">
        <f>IF(Settings!$E$12="YES",VLOOKUP(A473,'Player Data'!A1:E734,5,FALSE),82)</f>
        <v>82</v>
      </c>
      <c r="E473" s="38">
        <f>(VLOOKUP($A473,'The List'!$B1:$AH730,17,FALSE)-AVERAGE('The List'!R2:R730))/STDEV('The List'!R2:R730)</f>
        <v>1.5388504509647203</v>
      </c>
      <c r="F473" s="38">
        <f>(VLOOKUP($A473,'The List'!$B1:$AH730,18,FALSE)-AVERAGE('The List'!S2:S730))/STDEV('The List'!S2:S730)</f>
        <v>-1.0255938156556925</v>
      </c>
      <c r="G473" s="38">
        <f>(VLOOKUP($A473,'The List'!$B1:$AH730,19,FALSE)-AVERAGE('The List'!T2:T730))/STDEV('The List'!T2:T730)</f>
        <v>-0.42483617268703666</v>
      </c>
      <c r="H473" s="38">
        <f>(VLOOKUP($A473,'The List'!$B1:$AH730,20,FALSE)-AVERAGE('The List'!U2:U730))/STDEV('The List'!U2:U730)</f>
        <v>-0.73784954407506331</v>
      </c>
      <c r="I473" s="38">
        <f>(VLOOKUP($A473,'The List'!$B1:$AH730,21,FALSE)-AVERAGE('The List'!V2:V730))/STDEV('The List'!V2:V730)</f>
        <v>-0.4902975659834381</v>
      </c>
      <c r="J473" s="38">
        <f>(VLOOKUP($A473,'The List'!$B1:$AH730,22,FALSE)-AVERAGE('The List'!W2:W730))/STDEV('The List'!W2:W730)</f>
        <v>-0.73039885152068862</v>
      </c>
      <c r="K473" s="38">
        <f>(VLOOKUP($A473,'The List'!$B1:$AH730,23,FALSE)-AVERAGE('The List'!X2:X730))/STDEV('The List'!X2:X730)</f>
        <v>-0.80991530469361173</v>
      </c>
      <c r="L473" s="38">
        <f>(VLOOKUP($A473,'The List'!$B1:$AH730,24,FALSE)-AVERAGE('The List'!Y2:Y730))/STDEV('The List'!Y2:Y730)</f>
        <v>-0.39425962811000809</v>
      </c>
      <c r="M473" s="38">
        <f>(VLOOKUP($A473,'The List'!$B1:$AH730,25,FALSE)-AVERAGE('The List'!Z2:Z730))/STDEV('The List'!Z2:Z730)</f>
        <v>0.66114774016908384</v>
      </c>
      <c r="N473" s="38">
        <f>(VLOOKUP($A473,'The List'!$B1:$AH730,26,FALSE)-AVERAGE('The List'!AA2:AA730))/STDEV('The List'!AA2:AA730)</f>
        <v>1.726868190442238</v>
      </c>
      <c r="O473" s="38">
        <f>(VLOOKUP($A473,'The List'!$B1:$AH730,27,FALSE)-AVERAGE('The List'!AB2:AB730))/STDEV('The List'!AB2:AB730)</f>
        <v>0.99693216755400882</v>
      </c>
      <c r="P473" s="38">
        <f>(VLOOKUP($A473,'The List'!$B1:$AH730,28,FALSE)-AVERAGE('The List'!AC2:AC730))/STDEV('The List'!AC2:AC730)</f>
        <v>-0.49824177052598578</v>
      </c>
      <c r="Q473" s="38">
        <f>(VLOOKUP($A473,'The List'!$B1:$AH730,29,FALSE)-AVERAGE('The List'!AD2:AD730))/STDEV('The List'!AD2:AD730)</f>
        <v>2.2342916060055801E-2</v>
      </c>
      <c r="R473" s="38">
        <f>(VLOOKUP($A473,'The List'!$B1:$AH730,30,FALSE)-AVERAGE('The List'!AE2:AE730))/STDEV('The List'!AE2:AE730)</f>
        <v>-0.96448910099088991</v>
      </c>
      <c r="S473" s="38">
        <f>(VLOOKUP($A473,'The List'!$B1:$AH730,31,FALSE)-AVERAGE('The List'!AF2:AF730))/STDEV('The List'!AF2:AF730)</f>
        <v>-0.56911587195029545</v>
      </c>
      <c r="T473" s="38">
        <f>(VLOOKUP($A473,'The List'!$B1:$AH730,32,FALSE)-AVERAGE('The List'!AG2:AG730))/STDEV('The List'!AG2:AG730)</f>
        <v>-0.61510119871956948</v>
      </c>
      <c r="U473" s="38">
        <f>(VLOOKUP($A473,'The List'!$B1:$AH730,33,FALSE)-AVERAGE('The List'!AH2:AH730))/STDEV('The List'!AH2:AH730)</f>
        <v>-1.2363238714825984</v>
      </c>
      <c r="V473" s="38"/>
      <c r="W473" s="42"/>
      <c r="X473" s="40"/>
      <c r="Y473" s="40"/>
      <c r="Z473" s="40"/>
      <c r="AA473" s="40"/>
      <c r="AB473" s="40"/>
      <c r="AC473" s="43"/>
      <c r="AD473" s="44"/>
      <c r="AE473" s="38"/>
    </row>
    <row r="474" spans="1:31" ht="21.2" customHeight="1">
      <c r="A474" s="8" t="s">
        <v>664</v>
      </c>
      <c r="B474" s="34" t="str">
        <f>VLOOKUP(A474,'Player Data'!A1:B734,2,FALSE)</f>
        <v>DAL</v>
      </c>
      <c r="C474" s="36">
        <f>((E474)*Settings!$C$12)+(F474*Settings!$C$2)+(G474*Settings!$C$3)+(H474*Settings!$C$4)+(I474*Settings!$C$5)+(K474*Settings!$C$9)+(N474*Settings!$C$6)+(J474*Settings!$C$8)+(O474*Settings!$C$7)+(P474*Settings!$C$14)+(Q474*Settings!$C$15)+(R474*Settings!$C$16)+(S474*Settings!$C$17)+(T474*Settings!$C$18)+(U474*Settings!$C$19)+(L474*Settings!$C$10)+(Settings!$C$11*M474)</f>
        <v>-3.0952613951950108</v>
      </c>
      <c r="D474" s="40">
        <f>IF(Settings!$E$12="YES",VLOOKUP(A474,'Player Data'!A1:E734,5,FALSE),82)</f>
        <v>82</v>
      </c>
      <c r="E474" s="38">
        <f>(VLOOKUP($A474,'The List'!$B1:$AH730,17,FALSE)-AVERAGE('The List'!R2:R730))/STDEV('The List'!R2:R730)</f>
        <v>-1.5466827794842144</v>
      </c>
      <c r="F474" s="38">
        <f>(VLOOKUP($A474,'The List'!$B1:$AH730,18,FALSE)-AVERAGE('The List'!S2:S730))/STDEV('The List'!S2:S730)</f>
        <v>-0.32866086698804892</v>
      </c>
      <c r="G474" s="38">
        <f>(VLOOKUP($A474,'The List'!$B1:$AH730,19,FALSE)-AVERAGE('The List'!T2:T730))/STDEV('The List'!T2:T730)</f>
        <v>-0.9773877460267304</v>
      </c>
      <c r="H474" s="38">
        <f>(VLOOKUP($A474,'The List'!$B1:$AH730,20,FALSE)-AVERAGE('The List'!U2:U730))/STDEV('The List'!U2:U730)</f>
        <v>-0.75342882285879476</v>
      </c>
      <c r="I474" s="38">
        <f>(VLOOKUP($A474,'The List'!$B1:$AH730,21,FALSE)-AVERAGE('The List'!V2:V730))/STDEV('The List'!V2:V730)</f>
        <v>-0.22731101034936443</v>
      </c>
      <c r="J474" s="38">
        <f>(VLOOKUP($A474,'The List'!$B1:$AH730,22,FALSE)-AVERAGE('The List'!W2:W730))/STDEV('The List'!W2:W730)</f>
        <v>-0.72406400311800645</v>
      </c>
      <c r="K474" s="38">
        <f>(VLOOKUP($A474,'The List'!$B1:$AH730,23,FALSE)-AVERAGE('The List'!X2:X730))/STDEV('The List'!X2:X730)</f>
        <v>-0.80847294897207256</v>
      </c>
      <c r="L474" s="38">
        <f>(VLOOKUP($A474,'The List'!$B1:$AH730,24,FALSE)-AVERAGE('The List'!Y2:Y730))/STDEV('The List'!Y2:Y730)</f>
        <v>-0.52327729040279913</v>
      </c>
      <c r="M474" s="38">
        <f>(VLOOKUP($A474,'The List'!$B1:$AH730,25,FALSE)-AVERAGE('The List'!Z2:Z730))/STDEV('The List'!Z2:Z730)</f>
        <v>-0.70183651176964634</v>
      </c>
      <c r="N474" s="38">
        <f>(VLOOKUP($A474,'The List'!$B1:$AH730,26,FALSE)-AVERAGE('The List'!AA2:AA730))/STDEV('The List'!AA2:AA730)</f>
        <v>-0.92611531468466701</v>
      </c>
      <c r="O474" s="38">
        <f>(VLOOKUP($A474,'The List'!$B1:$AH730,27,FALSE)-AVERAGE('The List'!AB2:AB730))/STDEV('The List'!AB2:AB730)</f>
        <v>-0.41571903615417688</v>
      </c>
      <c r="P474" s="38">
        <f>(VLOOKUP($A474,'The List'!$B1:$AH730,28,FALSE)-AVERAGE('The List'!AC2:AC730))/STDEV('The List'!AC2:AC730)</f>
        <v>1.0609168280564318</v>
      </c>
      <c r="Q474" s="38">
        <f>(VLOOKUP($A474,'The List'!$B1:$AH730,29,FALSE)-AVERAGE('The List'!AD2:AD730))/STDEV('The List'!AD2:AD730)</f>
        <v>-0.77451308778427119</v>
      </c>
      <c r="R474" s="38">
        <f>(VLOOKUP($A474,'The List'!$B1:$AH730,30,FALSE)-AVERAGE('The List'!AE2:AE730))/STDEV('The List'!AE2:AE730)</f>
        <v>-0.16664622703497672</v>
      </c>
      <c r="S474" s="38">
        <f>(VLOOKUP($A474,'The List'!$B1:$AH730,31,FALSE)-AVERAGE('The List'!AF2:AF730))/STDEV('The List'!AF2:AF730)</f>
        <v>-0.54952449619902199</v>
      </c>
      <c r="T474" s="38">
        <f>(VLOOKUP($A474,'The List'!$B1:$AH730,32,FALSE)-AVERAGE('The List'!AG2:AG730))/STDEV('The List'!AG2:AG730)</f>
        <v>-0.57109370651226599</v>
      </c>
      <c r="U474" s="38">
        <f>(VLOOKUP($A474,'The List'!$B1:$AH730,33,FALSE)-AVERAGE('The List'!AH2:AH730))/STDEV('The List'!AH2:AH730)</f>
        <v>0.2029093612050219</v>
      </c>
      <c r="V474" s="38"/>
      <c r="W474" s="42"/>
      <c r="X474" s="40"/>
      <c r="Y474" s="40"/>
      <c r="Z474" s="40"/>
      <c r="AA474" s="40"/>
      <c r="AB474" s="40"/>
      <c r="AC474" s="43"/>
      <c r="AD474" s="44"/>
      <c r="AE474" s="38"/>
    </row>
    <row r="475" spans="1:31" ht="21.2" customHeight="1">
      <c r="A475" s="8" t="s">
        <v>802</v>
      </c>
      <c r="B475" s="34" t="str">
        <f>VLOOKUP(A475,'Player Data'!A1:B734,2,FALSE)</f>
        <v>MIN</v>
      </c>
      <c r="C475" s="36">
        <f>((E475)*Settings!$C$12)+(F475*Settings!$C$2)+(G475*Settings!$C$3)+(H475*Settings!$C$4)+(I475*Settings!$C$5)+(K475*Settings!$C$9)+(N475*Settings!$C$6)+(J475*Settings!$C$8)+(O475*Settings!$C$7)+(P475*Settings!$C$14)+(Q475*Settings!$C$15)+(R475*Settings!$C$16)+(S475*Settings!$C$17)+(T475*Settings!$C$18)+(U475*Settings!$C$19)+(L475*Settings!$C$10)+(Settings!$C$11*M475)</f>
        <v>-3.606072166397408</v>
      </c>
      <c r="D475" s="40">
        <f>IF(Settings!$E$12="YES",VLOOKUP(A475,'Player Data'!A1:E734,5,FALSE),82)</f>
        <v>82</v>
      </c>
      <c r="E475" s="38">
        <f>(VLOOKUP($A475,'The List'!$B1:$AH730,17,FALSE)-AVERAGE('The List'!R2:R730))/STDEV('The List'!R2:R730)</f>
        <v>-0.9654412519343627</v>
      </c>
      <c r="F475" s="38">
        <f>(VLOOKUP($A475,'The List'!$B1:$AH730,18,FALSE)-AVERAGE('The List'!S2:S730))/STDEV('The List'!S2:S730)</f>
        <v>-0.54609449176056402</v>
      </c>
      <c r="G475" s="38">
        <f>(VLOOKUP($A475,'The List'!$B1:$AH730,19,FALSE)-AVERAGE('The List'!T2:T730))/STDEV('The List'!T2:T730)</f>
        <v>-0.81353697289929694</v>
      </c>
      <c r="H475" s="38">
        <f>(VLOOKUP($A475,'The List'!$B1:$AH730,20,FALSE)-AVERAGE('The List'!U2:U730))/STDEV('The List'!U2:U730)</f>
        <v>-0.75381512631624992</v>
      </c>
      <c r="I475" s="38">
        <f>(VLOOKUP($A475,'The List'!$B1:$AH730,21,FALSE)-AVERAGE('The List'!V2:V730))/STDEV('The List'!V2:V730)</f>
        <v>-0.93146095409334806</v>
      </c>
      <c r="J475" s="38">
        <f>(VLOOKUP($A475,'The List'!$B1:$AH730,22,FALSE)-AVERAGE('The List'!W2:W730))/STDEV('The List'!W2:W730)</f>
        <v>-0.45154434522637588</v>
      </c>
      <c r="K475" s="38">
        <f>(VLOOKUP($A475,'The List'!$B1:$AH730,23,FALSE)-AVERAGE('The List'!X2:X730))/STDEV('The List'!X2:X730)</f>
        <v>-0.56116462132794909</v>
      </c>
      <c r="L475" s="38">
        <f>(VLOOKUP($A475,'The List'!$B1:$AH730,24,FALSE)-AVERAGE('The List'!Y2:Y730))/STDEV('The List'!Y2:Y730)</f>
        <v>-0.36776616112998162</v>
      </c>
      <c r="M475" s="38">
        <f>(VLOOKUP($A475,'The List'!$B1:$AH730,25,FALSE)-AVERAGE('The List'!Z2:Z730))/STDEV('The List'!Z2:Z730)</f>
        <v>-0.51592677474165038</v>
      </c>
      <c r="N475" s="38">
        <f>(VLOOKUP($A475,'The List'!$B1:$AH730,26,FALSE)-AVERAGE('The List'!AA2:AA730))/STDEV('The List'!AA2:AA730)</f>
        <v>-0.68829476368935993</v>
      </c>
      <c r="O475" s="38">
        <f>(VLOOKUP($A475,'The List'!$B1:$AH730,27,FALSE)-AVERAGE('The List'!AB2:AB730))/STDEV('The List'!AB2:AB730)</f>
        <v>-0.6518603711470099</v>
      </c>
      <c r="P475" s="38">
        <f>(VLOOKUP($A475,'The List'!$B1:$AH730,28,FALSE)-AVERAGE('The List'!AC2:AC730))/STDEV('The List'!AC2:AC730)</f>
        <v>-1.4037631608337969E-2</v>
      </c>
      <c r="Q475" s="38">
        <f>(VLOOKUP($A475,'The List'!$B1:$AH730,29,FALSE)-AVERAGE('The List'!AD2:AD730))/STDEV('The List'!AD2:AD730)</f>
        <v>-0.14584313968813317</v>
      </c>
      <c r="R475" s="38">
        <f>(VLOOKUP($A475,'The List'!$B1:$AH730,30,FALSE)-AVERAGE('The List'!AE2:AE730))/STDEV('The List'!AE2:AE730)</f>
        <v>-0.39005987871840175</v>
      </c>
      <c r="S475" s="38">
        <f>(VLOOKUP($A475,'The List'!$B1:$AH730,31,FALSE)-AVERAGE('The List'!AF2:AF730))/STDEV('The List'!AF2:AF730)</f>
        <v>0.82880770094039824</v>
      </c>
      <c r="T475" s="38">
        <f>(VLOOKUP($A475,'The List'!$B1:$AH730,32,FALSE)-AVERAGE('The List'!AG2:AG730))/STDEV('The List'!AG2:AG730)</f>
        <v>1.1266890536399286</v>
      </c>
      <c r="U475" s="38">
        <f>(VLOOKUP($A475,'The List'!$B1:$AH730,33,FALSE)-AVERAGE('The List'!AH2:AH730))/STDEV('The List'!AH2:AH730)</f>
        <v>0.82976417396193514</v>
      </c>
      <c r="V475" s="38"/>
      <c r="W475" s="42"/>
      <c r="X475" s="40"/>
      <c r="Y475" s="40"/>
      <c r="Z475" s="40"/>
      <c r="AA475" s="40"/>
      <c r="AB475" s="40"/>
      <c r="AC475" s="43"/>
      <c r="AD475" s="44"/>
      <c r="AE475" s="38"/>
    </row>
    <row r="476" spans="1:31" ht="21.2" customHeight="1">
      <c r="A476" s="8" t="s">
        <v>421</v>
      </c>
      <c r="B476" s="34" t="str">
        <f>VLOOKUP(A476,'Player Data'!A1:B734,2,FALSE)</f>
        <v>WSH</v>
      </c>
      <c r="C476" s="36">
        <f>((E476)*Settings!$C$12)+(F476*Settings!$C$2)+(G476*Settings!$C$3)+(H476*Settings!$C$4)+(I476*Settings!$C$5)+(K476*Settings!$C$9)+(N476*Settings!$C$6)+(J476*Settings!$C$8)+(O476*Settings!$C$7)+(P476*Settings!$C$14)+(Q476*Settings!$C$15)+(R476*Settings!$C$16)+(S476*Settings!$C$17)+(T476*Settings!$C$18)+(U476*Settings!$C$19)+(L476*Settings!$C$10)+(Settings!$C$11*M476)</f>
        <v>-3.6183690419604413</v>
      </c>
      <c r="D476" s="40">
        <f>IF(Settings!$E$12="YES",VLOOKUP(A476,'Player Data'!A1:E734,5,FALSE),82)</f>
        <v>82</v>
      </c>
      <c r="E476" s="38">
        <f>(VLOOKUP($A476,'The List'!$B1:$AH730,17,FALSE)-AVERAGE('The List'!R2:R730))/STDEV('The List'!R2:R730)</f>
        <v>1.02099021027856</v>
      </c>
      <c r="F476" s="38">
        <f>(VLOOKUP($A476,'The List'!$B1:$AH730,18,FALSE)-AVERAGE('The List'!S2:S730))/STDEV('The List'!S2:S730)</f>
        <v>-0.62272393991774722</v>
      </c>
      <c r="G476" s="38">
        <f>(VLOOKUP($A476,'The List'!$B1:$AH730,19,FALSE)-AVERAGE('The List'!T2:T730))/STDEV('The List'!T2:T730)</f>
        <v>-0.76269174558661668</v>
      </c>
      <c r="H476" s="38">
        <f>(VLOOKUP($A476,'The List'!$B1:$AH730,20,FALSE)-AVERAGE('The List'!U2:U730))/STDEV('The List'!U2:U730)</f>
        <v>-0.75819170518007961</v>
      </c>
      <c r="I476" s="38">
        <f>(VLOOKUP($A476,'The List'!$B1:$AH730,21,FALSE)-AVERAGE('The List'!V2:V730))/STDEV('The List'!V2:V730)</f>
        <v>-0.66496125670063799</v>
      </c>
      <c r="J476" s="38">
        <f>(VLOOKUP($A476,'The List'!$B1:$AH730,22,FALSE)-AVERAGE('The List'!W2:W730))/STDEV('The List'!W2:W730)</f>
        <v>-0.73027118645696143</v>
      </c>
      <c r="K476" s="38">
        <f>(VLOOKUP($A476,'The List'!$B1:$AH730,23,FALSE)-AVERAGE('The List'!X2:X730))/STDEV('The List'!X2:X730)</f>
        <v>-0.80980039457535946</v>
      </c>
      <c r="L476" s="38">
        <f>(VLOOKUP($A476,'The List'!$B1:$AH730,24,FALSE)-AVERAGE('The List'!Y2:Y730))/STDEV('The List'!Y2:Y730)</f>
        <v>0.21957456827779087</v>
      </c>
      <c r="M476" s="38">
        <f>(VLOOKUP($A476,'The List'!$B1:$AH730,25,FALSE)-AVERAGE('The List'!Z2:Z730))/STDEV('The List'!Z2:Z730)</f>
        <v>0.42378671569341858</v>
      </c>
      <c r="N476" s="38">
        <f>(VLOOKUP($A476,'The List'!$B1:$AH730,26,FALSE)-AVERAGE('The List'!AA2:AA730))/STDEV('The List'!AA2:AA730)</f>
        <v>1.8198817707155936</v>
      </c>
      <c r="O476" s="38">
        <f>(VLOOKUP($A476,'The List'!$B1:$AH730,27,FALSE)-AVERAGE('The List'!AB2:AB730))/STDEV('The List'!AB2:AB730)</f>
        <v>2.4350399110115442</v>
      </c>
      <c r="P476" s="38">
        <f>(VLOOKUP($A476,'The List'!$B1:$AH730,28,FALSE)-AVERAGE('The List'!AC2:AC730))/STDEV('The List'!AC2:AC730)</f>
        <v>-1.1599411188814848</v>
      </c>
      <c r="Q476" s="38">
        <f>(VLOOKUP($A476,'The List'!$B1:$AH730,29,FALSE)-AVERAGE('The List'!AD2:AD730))/STDEV('The List'!AD2:AD730)</f>
        <v>4.6890188743438643E-2</v>
      </c>
      <c r="R476" s="38">
        <f>(VLOOKUP($A476,'The List'!$B1:$AH730,30,FALSE)-AVERAGE('The List'!AE2:AE730))/STDEV('The List'!AE2:AE730)</f>
        <v>-0.65301916264324555</v>
      </c>
      <c r="S476" s="38">
        <f>(VLOOKUP($A476,'The List'!$B1:$AH730,31,FALSE)-AVERAGE('The List'!AF2:AF730))/STDEV('The List'!AF2:AF730)</f>
        <v>-0.56911587195029545</v>
      </c>
      <c r="T476" s="38">
        <f>(VLOOKUP($A476,'The List'!$B1:$AH730,32,FALSE)-AVERAGE('The List'!AG2:AG730))/STDEV('The List'!AG2:AG730)</f>
        <v>-0.61510119871956948</v>
      </c>
      <c r="U476" s="38">
        <f>(VLOOKUP($A476,'The List'!$B1:$AH730,33,FALSE)-AVERAGE('The List'!AH2:AH730))/STDEV('The List'!AH2:AH730)</f>
        <v>-1.2363238714825984</v>
      </c>
      <c r="V476" s="38"/>
      <c r="W476" s="42"/>
      <c r="X476" s="40"/>
      <c r="Y476" s="40"/>
      <c r="Z476" s="40"/>
      <c r="AA476" s="40"/>
      <c r="AB476" s="40"/>
      <c r="AC476" s="43"/>
      <c r="AD476" s="44"/>
      <c r="AE476" s="38"/>
    </row>
    <row r="477" spans="1:31" ht="21.2" customHeight="1">
      <c r="A477" s="8" t="s">
        <v>753</v>
      </c>
      <c r="B477" s="34" t="str">
        <f>VLOOKUP(A477,'Player Data'!A1:B734,2,FALSE)</f>
        <v>PHI</v>
      </c>
      <c r="C477" s="36">
        <f>((E477)*Settings!$C$12)+(F477*Settings!$C$2)+(G477*Settings!$C$3)+(H477*Settings!$C$4)+(I477*Settings!$C$5)+(K477*Settings!$C$9)+(N477*Settings!$C$6)+(J477*Settings!$C$8)+(O477*Settings!$C$7)+(P477*Settings!$C$14)+(Q477*Settings!$C$15)+(R477*Settings!$C$16)+(S477*Settings!$C$17)+(T477*Settings!$C$18)+(U477*Settings!$C$19)+(L477*Settings!$C$10)+(Settings!$C$11*M477)</f>
        <v>-3.6869900761947458</v>
      </c>
      <c r="D477" s="40">
        <f>IF(Settings!$E$12="YES",VLOOKUP(A477,'Player Data'!A1:E734,5,FALSE),82)</f>
        <v>82</v>
      </c>
      <c r="E477" s="38">
        <f>(VLOOKUP($A477,'The List'!$B1:$AH730,17,FALSE)-AVERAGE('The List'!R2:R730))/STDEV('The List'!R2:R730)</f>
        <v>-1.4637362364753037</v>
      </c>
      <c r="F477" s="38">
        <f>(VLOOKUP($A477,'The List'!$B1:$AH730,18,FALSE)-AVERAGE('The List'!S2:S730))/STDEV('The List'!S2:S730)</f>
        <v>-0.37564945181145182</v>
      </c>
      <c r="G477" s="38">
        <f>(VLOOKUP($A477,'The List'!$B1:$AH730,19,FALSE)-AVERAGE('The List'!T2:T730))/STDEV('The List'!T2:T730)</f>
        <v>-0.95556824606145996</v>
      </c>
      <c r="H477" s="38">
        <f>(VLOOKUP($A477,'The List'!$B1:$AH730,20,FALSE)-AVERAGE('The List'!U2:U730))/STDEV('The List'!U2:U730)</f>
        <v>-0.76186361215769316</v>
      </c>
      <c r="I477" s="38">
        <f>(VLOOKUP($A477,'The List'!$B1:$AH730,21,FALSE)-AVERAGE('The List'!V2:V730))/STDEV('The List'!V2:V730)</f>
        <v>-0.7839944338467878</v>
      </c>
      <c r="J477" s="38">
        <f>(VLOOKUP($A477,'The List'!$B1:$AH730,22,FALSE)-AVERAGE('The List'!W2:W730))/STDEV('The List'!W2:W730)</f>
        <v>-0.71169960758966022</v>
      </c>
      <c r="K477" s="38">
        <f>(VLOOKUP($A477,'The List'!$B1:$AH730,23,FALSE)-AVERAGE('The List'!X2:X730))/STDEV('The List'!X2:X730)</f>
        <v>-0.80991433231735332</v>
      </c>
      <c r="L477" s="38">
        <f>(VLOOKUP($A477,'The List'!$B1:$AH730,24,FALSE)-AVERAGE('The List'!Y2:Y730))/STDEV('The List'!Y2:Y730)</f>
        <v>2.7641143453722412</v>
      </c>
      <c r="M477" s="38">
        <f>(VLOOKUP($A477,'The List'!$B1:$AH730,25,FALSE)-AVERAGE('The List'!Z2:Z730))/STDEV('The List'!Z2:Z730)</f>
        <v>2.4631214292065673</v>
      </c>
      <c r="N477" s="38">
        <f>(VLOOKUP($A477,'The List'!$B1:$AH730,26,FALSE)-AVERAGE('The List'!AA2:AA730))/STDEV('The List'!AA2:AA730)</f>
        <v>-0.33596171806333447</v>
      </c>
      <c r="O477" s="38">
        <f>(VLOOKUP($A477,'The List'!$B1:$AH730,27,FALSE)-AVERAGE('The List'!AB2:AB730))/STDEV('The List'!AB2:AB730)</f>
        <v>-0.31591325997677694</v>
      </c>
      <c r="P477" s="38">
        <f>(VLOOKUP($A477,'The List'!$B1:$AH730,28,FALSE)-AVERAGE('The List'!AC2:AC730))/STDEV('The List'!AC2:AC730)</f>
        <v>-1.4540398322596351</v>
      </c>
      <c r="Q477" s="38">
        <f>(VLOOKUP($A477,'The List'!$B1:$AH730,29,FALSE)-AVERAGE('The List'!AD2:AD730))/STDEV('The List'!AD2:AD730)</f>
        <v>-1.3464442650243349</v>
      </c>
      <c r="R477" s="38">
        <f>(VLOOKUP($A477,'The List'!$B1:$AH730,30,FALSE)-AVERAGE('The List'!AE2:AE730))/STDEV('The List'!AE2:AE730)</f>
        <v>-0.49046022011186896</v>
      </c>
      <c r="S477" s="38">
        <f>(VLOOKUP($A477,'The List'!$B1:$AH730,31,FALSE)-AVERAGE('The List'!AF2:AF730))/STDEV('The List'!AF2:AF730)</f>
        <v>0.72918686685323253</v>
      </c>
      <c r="T477" s="38">
        <f>(VLOOKUP($A477,'The List'!$B1:$AH730,32,FALSE)-AVERAGE('The List'!AG2:AG730))/STDEV('The List'!AG2:AG730)</f>
        <v>0.9981040689178815</v>
      </c>
      <c r="U477" s="38">
        <f>(VLOOKUP($A477,'The List'!$B1:$AH730,33,FALSE)-AVERAGE('The List'!AH2:AH730))/STDEV('The List'!AH2:AH730)</f>
        <v>0.83285856636191602</v>
      </c>
      <c r="V477" s="38"/>
      <c r="W477" s="40"/>
      <c r="X477" s="38"/>
      <c r="Y477" s="38"/>
      <c r="Z477" s="38"/>
      <c r="AA477" s="38"/>
      <c r="AB477" s="38"/>
      <c r="AC477" s="38"/>
      <c r="AD477" s="38"/>
      <c r="AE477" s="38"/>
    </row>
    <row r="478" spans="1:31" ht="21.2" customHeight="1">
      <c r="A478" s="8" t="s">
        <v>474</v>
      </c>
      <c r="B478" s="34" t="str">
        <f>VLOOKUP(A478,'Player Data'!A1:B734,2,FALSE)</f>
        <v>OTT</v>
      </c>
      <c r="C478" s="36">
        <f>((E478)*Settings!$C$12)+(F478*Settings!$C$2)+(G478*Settings!$C$3)+(H478*Settings!$C$4)+(I478*Settings!$C$5)+(K478*Settings!$C$9)+(N478*Settings!$C$6)+(J478*Settings!$C$8)+(O478*Settings!$C$7)+(P478*Settings!$C$14)+(Q478*Settings!$C$15)+(R478*Settings!$C$16)+(S478*Settings!$C$17)+(T478*Settings!$C$18)+(U478*Settings!$C$19)+(L478*Settings!$C$10)+(Settings!$C$11*M478)</f>
        <v>-3.7226598396862283</v>
      </c>
      <c r="D478" s="40">
        <f>IF(Settings!$E$12="YES",VLOOKUP(A478,'Player Data'!A1:E734,5,FALSE),82)</f>
        <v>82</v>
      </c>
      <c r="E478" s="38">
        <f>(VLOOKUP($A478,'The List'!$B1:$AH730,17,FALSE)-AVERAGE('The List'!R2:R730))/STDEV('The List'!R2:R730)</f>
        <v>0.28257922472511282</v>
      </c>
      <c r="F478" s="38">
        <f>(VLOOKUP($A478,'The List'!$B1:$AH730,18,FALSE)-AVERAGE('The List'!S2:S730))/STDEV('The List'!S2:S730)</f>
        <v>-1.1175251526019236</v>
      </c>
      <c r="G478" s="38">
        <f>(VLOOKUP($A478,'The List'!$B1:$AH730,19,FALSE)-AVERAGE('The List'!T2:T730))/STDEV('The List'!T2:T730)</f>
        <v>-0.40085901132902629</v>
      </c>
      <c r="H478" s="38">
        <f>(VLOOKUP($A478,'The List'!$B1:$AH730,20,FALSE)-AVERAGE('The List'!U2:U730))/STDEV('The List'!U2:U730)</f>
        <v>-0.76585104327929532</v>
      </c>
      <c r="I478" s="38">
        <f>(VLOOKUP($A478,'The List'!$B1:$AH730,21,FALSE)-AVERAGE('The List'!V2:V730))/STDEV('The List'!V2:V730)</f>
        <v>-0.72641763523515845</v>
      </c>
      <c r="J478" s="38">
        <f>(VLOOKUP($A478,'The List'!$B1:$AH730,22,FALSE)-AVERAGE('The List'!W2:W730))/STDEV('The List'!W2:W730)</f>
        <v>-0.70788200622084863</v>
      </c>
      <c r="K478" s="38">
        <f>(VLOOKUP($A478,'The List'!$B1:$AH730,23,FALSE)-AVERAGE('The List'!X2:X730))/STDEV('The List'!X2:X730)</f>
        <v>-0.7120069972408245</v>
      </c>
      <c r="L478" s="38">
        <f>(VLOOKUP($A478,'The List'!$B1:$AH730,24,FALSE)-AVERAGE('The List'!Y2:Y730))/STDEV('The List'!Y2:Y730)</f>
        <v>-0.44065178992637533</v>
      </c>
      <c r="M478" s="38">
        <f>(VLOOKUP($A478,'The List'!$B1:$AH730,25,FALSE)-AVERAGE('The List'!Z2:Z730))/STDEV('The List'!Z2:Z730)</f>
        <v>-0.43403283480429389</v>
      </c>
      <c r="N478" s="38">
        <f>(VLOOKUP($A478,'The List'!$B1:$AH730,26,FALSE)-AVERAGE('The List'!AA2:AA730))/STDEV('The List'!AA2:AA730)</f>
        <v>1.1355986063891481</v>
      </c>
      <c r="O478" s="38">
        <f>(VLOOKUP($A478,'The List'!$B1:$AH730,27,FALSE)-AVERAGE('The List'!AB2:AB730))/STDEV('The List'!AB2:AB730)</f>
        <v>-0.53331922139706756</v>
      </c>
      <c r="P478" s="38">
        <f>(VLOOKUP($A478,'The List'!$B1:$AH730,28,FALSE)-AVERAGE('The List'!AC2:AC730))/STDEV('The List'!AC2:AC730)</f>
        <v>0.27565022564202218</v>
      </c>
      <c r="Q478" s="38">
        <f>(VLOOKUP($A478,'The List'!$B1:$AH730,29,FALSE)-AVERAGE('The List'!AD2:AD730))/STDEV('The List'!AD2:AD730)</f>
        <v>0.73125949079036956</v>
      </c>
      <c r="R478" s="38">
        <f>(VLOOKUP($A478,'The List'!$B1:$AH730,30,FALSE)-AVERAGE('The List'!AE2:AE730))/STDEV('The List'!AE2:AE730)</f>
        <v>-1.0043589000969899</v>
      </c>
      <c r="S478" s="38">
        <f>(VLOOKUP($A478,'The List'!$B1:$AH730,31,FALSE)-AVERAGE('The List'!AF2:AF730))/STDEV('The List'!AF2:AF730)</f>
        <v>-0.56911587195029545</v>
      </c>
      <c r="T478" s="38">
        <f>(VLOOKUP($A478,'The List'!$B1:$AH730,32,FALSE)-AVERAGE('The List'!AG2:AG730))/STDEV('The List'!AG2:AG730)</f>
        <v>-0.61510119871956948</v>
      </c>
      <c r="U478" s="38">
        <f>(VLOOKUP($A478,'The List'!$B1:$AH730,33,FALSE)-AVERAGE('The List'!AH2:AH730))/STDEV('The List'!AH2:AH730)</f>
        <v>-1.2363238714825984</v>
      </c>
      <c r="V478" s="38"/>
      <c r="W478" s="42"/>
      <c r="X478" s="40"/>
      <c r="Y478" s="40"/>
      <c r="Z478" s="40"/>
      <c r="AA478" s="40"/>
      <c r="AB478" s="40"/>
      <c r="AC478" s="43"/>
      <c r="AD478" s="44"/>
      <c r="AE478" s="38"/>
    </row>
    <row r="479" spans="1:31" ht="21.2" customHeight="1">
      <c r="A479" s="8" t="s">
        <v>459</v>
      </c>
      <c r="B479" s="34" t="str">
        <f>VLOOKUP(A479,'Player Data'!A1:B734,2,FALSE)</f>
        <v>TOR</v>
      </c>
      <c r="C479" s="36">
        <f>((E479)*Settings!$C$12)+(F479*Settings!$C$2)+(G479*Settings!$C$3)+(H479*Settings!$C$4)+(I479*Settings!$C$5)+(K479*Settings!$C$9)+(N479*Settings!$C$6)+(J479*Settings!$C$8)+(O479*Settings!$C$7)+(P479*Settings!$C$14)+(Q479*Settings!$C$15)+(R479*Settings!$C$16)+(S479*Settings!$C$17)+(T479*Settings!$C$18)+(U479*Settings!$C$19)+(L479*Settings!$C$10)+(Settings!$C$11*M479)</f>
        <v>-4.159247314303979</v>
      </c>
      <c r="D479" s="40">
        <f>IF(Settings!$E$12="YES",VLOOKUP(A479,'Player Data'!A1:E734,5,FALSE),82)</f>
        <v>82</v>
      </c>
      <c r="E479" s="38">
        <f>(VLOOKUP($A479,'The List'!$B1:$AH730,17,FALSE)-AVERAGE('The List'!R2:R730))/STDEV('The List'!R2:R730)</f>
        <v>1.2969288015386573</v>
      </c>
      <c r="F479" s="38">
        <f>(VLOOKUP($A479,'The List'!$B1:$AH730,18,FALSE)-AVERAGE('The List'!S2:S730))/STDEV('The List'!S2:S730)</f>
        <v>-1.0894215279427404</v>
      </c>
      <c r="G479" s="38">
        <f>(VLOOKUP($A479,'The List'!$B1:$AH730,19,FALSE)-AVERAGE('The List'!T2:T730))/STDEV('The List'!T2:T730)</f>
        <v>-0.43460256377440815</v>
      </c>
      <c r="H479" s="38">
        <f>(VLOOKUP($A479,'The List'!$B1:$AH730,20,FALSE)-AVERAGE('The List'!U2:U730))/STDEV('The List'!U2:U730)</f>
        <v>-0.77352316377400809</v>
      </c>
      <c r="I479" s="38">
        <f>(VLOOKUP($A479,'The List'!$B1:$AH730,21,FALSE)-AVERAGE('The List'!V2:V730))/STDEV('The List'!V2:V730)</f>
        <v>-1.0576849783161995</v>
      </c>
      <c r="J479" s="38">
        <f>(VLOOKUP($A479,'The List'!$B1:$AH730,22,FALSE)-AVERAGE('The List'!W2:W730))/STDEV('The List'!W2:W730)</f>
        <v>-0.73359316255545659</v>
      </c>
      <c r="K479" s="38">
        <f>(VLOOKUP($A479,'The List'!$B1:$AH730,23,FALSE)-AVERAGE('The List'!X2:X730))/STDEV('The List'!X2:X730)</f>
        <v>-0.80401508049662274</v>
      </c>
      <c r="L479" s="38">
        <f>(VLOOKUP($A479,'The List'!$B1:$AH730,24,FALSE)-AVERAGE('The List'!Y2:Y730))/STDEV('The List'!Y2:Y730)</f>
        <v>-0.6211869838312879</v>
      </c>
      <c r="M479" s="38">
        <f>(VLOOKUP($A479,'The List'!$B1:$AH730,25,FALSE)-AVERAGE('The List'!Z2:Z730))/STDEV('The List'!Z2:Z730)</f>
        <v>0.62284877434801589</v>
      </c>
      <c r="N479" s="38">
        <f>(VLOOKUP($A479,'The List'!$B1:$AH730,26,FALSE)-AVERAGE('The List'!AA2:AA730))/STDEV('The List'!AA2:AA730)</f>
        <v>1.8602577881696762</v>
      </c>
      <c r="O479" s="38">
        <f>(VLOOKUP($A479,'The List'!$B1:$AH730,27,FALSE)-AVERAGE('The List'!AB2:AB730))/STDEV('The List'!AB2:AB730)</f>
        <v>-0.45047960755403754</v>
      </c>
      <c r="P479" s="38">
        <f>(VLOOKUP($A479,'The List'!$B1:$AH730,28,FALSE)-AVERAGE('The List'!AC2:AC730))/STDEV('The List'!AC2:AC730)</f>
        <v>1.4076093061571446</v>
      </c>
      <c r="Q479" s="38">
        <f>(VLOOKUP($A479,'The List'!$B1:$AH730,29,FALSE)-AVERAGE('The List'!AD2:AD730))/STDEV('The List'!AD2:AD730)</f>
        <v>-0.38457489560237579</v>
      </c>
      <c r="R479" s="38">
        <f>(VLOOKUP($A479,'The List'!$B1:$AH730,30,FALSE)-AVERAGE('The List'!AE2:AE730))/STDEV('The List'!AE2:AE730)</f>
        <v>-0.95808349769045953</v>
      </c>
      <c r="S479" s="38">
        <f>(VLOOKUP($A479,'The List'!$B1:$AH730,31,FALSE)-AVERAGE('The List'!AF2:AF730))/STDEV('The List'!AF2:AF730)</f>
        <v>-0.56911587195029545</v>
      </c>
      <c r="T479" s="38">
        <f>(VLOOKUP($A479,'The List'!$B1:$AH730,32,FALSE)-AVERAGE('The List'!AG2:AG730))/STDEV('The List'!AG2:AG730)</f>
        <v>-0.61510119871956948</v>
      </c>
      <c r="U479" s="38">
        <f>(VLOOKUP($A479,'The List'!$B1:$AH730,33,FALSE)-AVERAGE('The List'!AH2:AH730))/STDEV('The List'!AH2:AH730)</f>
        <v>-1.2363238714825984</v>
      </c>
      <c r="V479" s="38"/>
      <c r="W479" s="42"/>
      <c r="X479" s="40"/>
      <c r="Y479" s="40"/>
      <c r="Z479" s="40"/>
      <c r="AA479" s="40"/>
      <c r="AB479" s="40"/>
      <c r="AC479" s="43"/>
      <c r="AD479" s="44"/>
      <c r="AE479" s="38"/>
    </row>
    <row r="480" spans="1:31" ht="21.2" customHeight="1">
      <c r="A480" s="8" t="s">
        <v>472</v>
      </c>
      <c r="B480" s="34" t="str">
        <f>VLOOKUP(A480,'Player Data'!A1:B734,2,FALSE)</f>
        <v>NYR</v>
      </c>
      <c r="C480" s="36">
        <f>((E480)*Settings!$C$12)+(F480*Settings!$C$2)+(G480*Settings!$C$3)+(H480*Settings!$C$4)+(I480*Settings!$C$5)+(K480*Settings!$C$9)+(N480*Settings!$C$6)+(J480*Settings!$C$8)+(O480*Settings!$C$7)+(P480*Settings!$C$14)+(Q480*Settings!$C$15)+(R480*Settings!$C$16)+(S480*Settings!$C$17)+(T480*Settings!$C$18)+(U480*Settings!$C$19)+(L480*Settings!$C$10)+(Settings!$C$11*M480)</f>
        <v>-4.0026880150396336</v>
      </c>
      <c r="D480" s="40">
        <f>IF(Settings!$E$12="YES",VLOOKUP(A480,'Player Data'!A1:E734,5,FALSE),82)</f>
        <v>82</v>
      </c>
      <c r="E480" s="38">
        <f>(VLOOKUP($A480,'The List'!$B1:$AH730,17,FALSE)-AVERAGE('The List'!R2:R730))/STDEV('The List'!R2:R730)</f>
        <v>0.6660638322542346</v>
      </c>
      <c r="F480" s="38">
        <f>(VLOOKUP($A480,'The List'!$B1:$AH730,18,FALSE)-AVERAGE('The List'!S2:S730))/STDEV('The List'!S2:S730)</f>
        <v>-1.0928760557115793</v>
      </c>
      <c r="G480" s="38">
        <f>(VLOOKUP($A480,'The List'!$B1:$AH730,19,FALSE)-AVERAGE('The List'!T2:T730))/STDEV('The List'!T2:T730)</f>
        <v>-0.43543701265917567</v>
      </c>
      <c r="H480" s="38">
        <f>(VLOOKUP($A480,'The List'!$B1:$AH730,20,FALSE)-AVERAGE('The List'!U2:U730))/STDEV('The List'!U2:U730)</f>
        <v>-0.77564188256451805</v>
      </c>
      <c r="I480" s="38">
        <f>(VLOOKUP($A480,'The List'!$B1:$AH730,21,FALSE)-AVERAGE('The List'!V2:V730))/STDEV('The List'!V2:V730)</f>
        <v>-0.88104607729808126</v>
      </c>
      <c r="J480" s="38">
        <f>(VLOOKUP($A480,'The List'!$B1:$AH730,22,FALSE)-AVERAGE('The List'!W2:W730))/STDEV('The List'!W2:W730)</f>
        <v>-0.73372246270273311</v>
      </c>
      <c r="K480" s="38">
        <f>(VLOOKUP($A480,'The List'!$B1:$AH730,23,FALSE)-AVERAGE('The List'!X2:X730))/STDEV('The List'!X2:X730)</f>
        <v>-0.81768698680627872</v>
      </c>
      <c r="L480" s="38">
        <f>(VLOOKUP($A480,'The List'!$B1:$AH730,24,FALSE)-AVERAGE('The List'!Y2:Y730))/STDEV('The List'!Y2:Y730)</f>
        <v>-0.45362151859482963</v>
      </c>
      <c r="M480" s="38">
        <f>(VLOOKUP($A480,'The List'!$B1:$AH730,25,FALSE)-AVERAGE('The List'!Z2:Z730))/STDEV('The List'!Z2:Z730)</f>
        <v>0.14066336324334447</v>
      </c>
      <c r="N480" s="38">
        <f>(VLOOKUP($A480,'The List'!$B1:$AH730,26,FALSE)-AVERAGE('The List'!AA2:AA730))/STDEV('The List'!AA2:AA730)</f>
        <v>1.4377890418242676</v>
      </c>
      <c r="O480" s="38">
        <f>(VLOOKUP($A480,'The List'!$B1:$AH730,27,FALSE)-AVERAGE('The List'!AB2:AB730))/STDEV('The List'!AB2:AB730)</f>
        <v>0.15693676303317564</v>
      </c>
      <c r="P480" s="38">
        <f>(VLOOKUP($A480,'The List'!$B1:$AH730,28,FALSE)-AVERAGE('The List'!AC2:AC730))/STDEV('The List'!AC2:AC730)</f>
        <v>1.5698183714632448</v>
      </c>
      <c r="Q480" s="38">
        <f>(VLOOKUP($A480,'The List'!$B1:$AH730,29,FALSE)-AVERAGE('The List'!AD2:AD730))/STDEV('The List'!AD2:AD730)</f>
        <v>1.1059113473291164</v>
      </c>
      <c r="R480" s="38">
        <f>(VLOOKUP($A480,'The List'!$B1:$AH730,30,FALSE)-AVERAGE('The List'!AE2:AE730))/STDEV('The List'!AE2:AE730)</f>
        <v>-0.94410612410015171</v>
      </c>
      <c r="S480" s="38">
        <f>(VLOOKUP($A480,'The List'!$B1:$AH730,31,FALSE)-AVERAGE('The List'!AF2:AF730))/STDEV('The List'!AF2:AF730)</f>
        <v>-0.56911587195029545</v>
      </c>
      <c r="T480" s="38">
        <f>(VLOOKUP($A480,'The List'!$B1:$AH730,32,FALSE)-AVERAGE('The List'!AG2:AG730))/STDEV('The List'!AG2:AG730)</f>
        <v>-0.61510119871956948</v>
      </c>
      <c r="U480" s="38">
        <f>(VLOOKUP($A480,'The List'!$B1:$AH730,33,FALSE)-AVERAGE('The List'!AH2:AH730))/STDEV('The List'!AH2:AH730)</f>
        <v>-1.2363238714825984</v>
      </c>
      <c r="V480" s="38"/>
      <c r="W480" s="42"/>
      <c r="X480" s="40"/>
      <c r="Y480" s="40"/>
      <c r="Z480" s="40"/>
      <c r="AA480" s="40"/>
      <c r="AB480" s="40"/>
      <c r="AC480" s="43"/>
      <c r="AD480" s="44"/>
      <c r="AE480" s="38"/>
    </row>
    <row r="481" spans="1:31" ht="21.2" customHeight="1">
      <c r="A481" s="8" t="s">
        <v>441</v>
      </c>
      <c r="B481" s="34" t="str">
        <f>VLOOKUP(A481,'Player Data'!A1:B734,2,FALSE)</f>
        <v>WPG</v>
      </c>
      <c r="C481" s="36">
        <f>((E481)*Settings!$C$12)+(F481*Settings!$C$2)+(G481*Settings!$C$3)+(H481*Settings!$C$4)+(I481*Settings!$C$5)+(K481*Settings!$C$9)+(N481*Settings!$C$6)+(J481*Settings!$C$8)+(O481*Settings!$C$7)+(P481*Settings!$C$14)+(Q481*Settings!$C$15)+(R481*Settings!$C$16)+(S481*Settings!$C$17)+(T481*Settings!$C$18)+(U481*Settings!$C$19)+(L481*Settings!$C$10)+(Settings!$C$11*M481)</f>
        <v>-3.9078958454242168</v>
      </c>
      <c r="D481" s="40">
        <f>IF(Settings!$E$12="YES",VLOOKUP(A481,'Player Data'!A1:E734,5,FALSE),82)</f>
        <v>82</v>
      </c>
      <c r="E481" s="38">
        <f>(VLOOKUP($A481,'The List'!$B1:$AH730,17,FALSE)-AVERAGE('The List'!R2:R730))/STDEV('The List'!R2:R730)</f>
        <v>0.78128618231511082</v>
      </c>
      <c r="F481" s="38">
        <f>(VLOOKUP($A481,'The List'!$B1:$AH730,18,FALSE)-AVERAGE('The List'!S2:S730))/STDEV('The List'!S2:S730)</f>
        <v>-1.0939588996695515</v>
      </c>
      <c r="G481" s="38">
        <f>(VLOOKUP($A481,'The List'!$B1:$AH730,19,FALSE)-AVERAGE('The List'!T2:T730))/STDEV('The List'!T2:T730)</f>
        <v>-0.43525122527856414</v>
      </c>
      <c r="H481" s="38">
        <f>(VLOOKUP($A481,'The List'!$B1:$AH730,20,FALSE)-AVERAGE('The List'!U2:U730))/STDEV('The List'!U2:U730)</f>
        <v>-0.77603109396734071</v>
      </c>
      <c r="I481" s="38">
        <f>(VLOOKUP($A481,'The List'!$B1:$AH730,21,FALSE)-AVERAGE('The List'!V2:V730))/STDEV('The List'!V2:V730)</f>
        <v>-0.79230858496956869</v>
      </c>
      <c r="J481" s="38">
        <f>(VLOOKUP($A481,'The List'!$B1:$AH730,22,FALSE)-AVERAGE('The List'!W2:W730))/STDEV('The List'!W2:W730)</f>
        <v>-0.73099395309914716</v>
      </c>
      <c r="K481" s="38">
        <f>(VLOOKUP($A481,'The List'!$B1:$AH730,23,FALSE)-AVERAGE('The List'!X2:X730))/STDEV('The List'!X2:X730)</f>
        <v>-0.81034604153919221</v>
      </c>
      <c r="L481" s="38">
        <f>(VLOOKUP($A481,'The List'!$B1:$AH730,24,FALSE)-AVERAGE('The List'!Y2:Y730))/STDEV('The List'!Y2:Y730)</f>
        <v>0.73232683374382157</v>
      </c>
      <c r="M481" s="38">
        <f>(VLOOKUP($A481,'The List'!$B1:$AH730,25,FALSE)-AVERAGE('The List'!Z2:Z730))/STDEV('The List'!Z2:Z730)</f>
        <v>1.6004190921846599</v>
      </c>
      <c r="N481" s="38">
        <f>(VLOOKUP($A481,'The List'!$B1:$AH730,26,FALSE)-AVERAGE('The List'!AA2:AA730))/STDEV('The List'!AA2:AA730)</f>
        <v>1.2272494491254957</v>
      </c>
      <c r="O481" s="38">
        <f>(VLOOKUP($A481,'The List'!$B1:$AH730,27,FALSE)-AVERAGE('The List'!AB2:AB730))/STDEV('The List'!AB2:AB730)</f>
        <v>0.55108455627082897</v>
      </c>
      <c r="P481" s="38">
        <f>(VLOOKUP($A481,'The List'!$B1:$AH730,28,FALSE)-AVERAGE('The List'!AC2:AC730))/STDEV('The List'!AC2:AC730)</f>
        <v>0.55732984592430823</v>
      </c>
      <c r="Q481" s="38">
        <f>(VLOOKUP($A481,'The List'!$B1:$AH730,29,FALSE)-AVERAGE('The List'!AD2:AD730))/STDEV('The List'!AD2:AD730)</f>
        <v>0.56153906701968892</v>
      </c>
      <c r="R481" s="38">
        <f>(VLOOKUP($A481,'The List'!$B1:$AH730,30,FALSE)-AVERAGE('The List'!AE2:AE730))/STDEV('The List'!AE2:AE730)</f>
        <v>-0.97118224861220914</v>
      </c>
      <c r="S481" s="38">
        <f>(VLOOKUP($A481,'The List'!$B1:$AH730,31,FALSE)-AVERAGE('The List'!AF2:AF730))/STDEV('The List'!AF2:AF730)</f>
        <v>-0.56911587195029545</v>
      </c>
      <c r="T481" s="38">
        <f>(VLOOKUP($A481,'The List'!$B1:$AH730,32,FALSE)-AVERAGE('The List'!AG2:AG730))/STDEV('The List'!AG2:AG730)</f>
        <v>-0.61510119871956948</v>
      </c>
      <c r="U481" s="38">
        <f>(VLOOKUP($A481,'The List'!$B1:$AH730,33,FALSE)-AVERAGE('The List'!AH2:AH730))/STDEV('The List'!AH2:AH730)</f>
        <v>-1.2363238714825984</v>
      </c>
      <c r="V481" s="38"/>
      <c r="W481" s="42"/>
      <c r="X481" s="40"/>
      <c r="Y481" s="40"/>
      <c r="Z481" s="40"/>
      <c r="AA481" s="40"/>
      <c r="AB481" s="40"/>
      <c r="AC481" s="43"/>
      <c r="AD481" s="44"/>
      <c r="AE481" s="38"/>
    </row>
    <row r="482" spans="1:31" ht="21.2" customHeight="1">
      <c r="A482" s="8" t="s">
        <v>688</v>
      </c>
      <c r="B482" s="34" t="str">
        <f>VLOOKUP(A482,'Player Data'!A1:B734,2,FALSE)</f>
        <v>UFA</v>
      </c>
      <c r="C482" s="36">
        <f>((E482)*Settings!$C$12)+(F482*Settings!$C$2)+(G482*Settings!$C$3)+(H482*Settings!$C$4)+(I482*Settings!$C$5)+(K482*Settings!$C$9)+(N482*Settings!$C$6)+(J482*Settings!$C$8)+(O482*Settings!$C$7)+(P482*Settings!$C$14)+(Q482*Settings!$C$15)+(R482*Settings!$C$16)+(S482*Settings!$C$17)+(T482*Settings!$C$18)+(U482*Settings!$C$19)+(L482*Settings!$C$10)+(Settings!$C$11*M482)</f>
        <v>-3.2796792853281387</v>
      </c>
      <c r="D482" s="40">
        <f>IF(Settings!$E$12="YES",VLOOKUP(A482,'Player Data'!A1:E734,5,FALSE),82)</f>
        <v>82</v>
      </c>
      <c r="E482" s="38">
        <f>(VLOOKUP($A482,'The List'!$B1:$AH730,17,FALSE)-AVERAGE('The List'!R2:R730))/STDEV('The List'!R2:R730)</f>
        <v>-1.512369354817316</v>
      </c>
      <c r="F482" s="38">
        <f>(VLOOKUP($A482,'The List'!$B1:$AH730,18,FALSE)-AVERAGE('The List'!S2:S730))/STDEV('The List'!S2:S730)</f>
        <v>-0.49929897120364108</v>
      </c>
      <c r="G482" s="38">
        <f>(VLOOKUP($A482,'The List'!$B1:$AH730,19,FALSE)-AVERAGE('The List'!T2:T730))/STDEV('The List'!T2:T730)</f>
        <v>-0.88640468849344412</v>
      </c>
      <c r="H482" s="38">
        <f>(VLOOKUP($A482,'The List'!$B1:$AH730,20,FALSE)-AVERAGE('The List'!U2:U730))/STDEV('The List'!U2:U730)</f>
        <v>-0.77684122402115341</v>
      </c>
      <c r="I482" s="38">
        <f>(VLOOKUP($A482,'The List'!$B1:$AH730,21,FALSE)-AVERAGE('The List'!V2:V730))/STDEV('The List'!V2:V730)</f>
        <v>-0.30354256649204447</v>
      </c>
      <c r="J482" s="38">
        <f>(VLOOKUP($A482,'The List'!$B1:$AH730,22,FALSE)-AVERAGE('The List'!W2:W730))/STDEV('The List'!W2:W730)</f>
        <v>-0.72396154917398436</v>
      </c>
      <c r="K482" s="38">
        <f>(VLOOKUP($A482,'The List'!$B1:$AH730,23,FALSE)-AVERAGE('The List'!X2:X730))/STDEV('The List'!X2:X730)</f>
        <v>-0.81359183511785571</v>
      </c>
      <c r="L482" s="38">
        <f>(VLOOKUP($A482,'The List'!$B1:$AH730,24,FALSE)-AVERAGE('The List'!Y2:Y730))/STDEV('The List'!Y2:Y730)</f>
        <v>-0.52515529094994673</v>
      </c>
      <c r="M482" s="38">
        <f>(VLOOKUP($A482,'The List'!$B1:$AH730,25,FALSE)-AVERAGE('The List'!Z2:Z730))/STDEV('The List'!Z2:Z730)</f>
        <v>-0.70378350861314143</v>
      </c>
      <c r="N482" s="38">
        <f>(VLOOKUP($A482,'The List'!$B1:$AH730,26,FALSE)-AVERAGE('The List'!AA2:AA730))/STDEV('The List'!AA2:AA730)</f>
        <v>-0.10965390134233073</v>
      </c>
      <c r="O482" s="38">
        <f>(VLOOKUP($A482,'The List'!$B1:$AH730,27,FALSE)-AVERAGE('The List'!AB2:AB730))/STDEV('The List'!AB2:AB730)</f>
        <v>1.0628426255928212</v>
      </c>
      <c r="P482" s="38">
        <f>(VLOOKUP($A482,'The List'!$B1:$AH730,28,FALSE)-AVERAGE('The List'!AC2:AC730))/STDEV('The List'!AC2:AC730)</f>
        <v>-0.10038841424096201</v>
      </c>
      <c r="Q482" s="38">
        <f>(VLOOKUP($A482,'The List'!$B1:$AH730,29,FALSE)-AVERAGE('The List'!AD2:AD730))/STDEV('The List'!AD2:AD730)</f>
        <v>-1.0743967832467369</v>
      </c>
      <c r="R482" s="38">
        <f>(VLOOKUP($A482,'The List'!$B1:$AH730,30,FALSE)-AVERAGE('The List'!AE2:AE730))/STDEV('The List'!AE2:AE730)</f>
        <v>-1.2515972607254897</v>
      </c>
      <c r="S482" s="38">
        <f>(VLOOKUP($A482,'The List'!$B1:$AH730,31,FALSE)-AVERAGE('The List'!AF2:AF730))/STDEV('The List'!AF2:AF730)</f>
        <v>-0.45040267066829709</v>
      </c>
      <c r="T482" s="38">
        <f>(VLOOKUP($A482,'The List'!$B1:$AH730,32,FALSE)-AVERAGE('The List'!AG2:AG730))/STDEV('The List'!AG2:AG730)</f>
        <v>-0.47579920706521195</v>
      </c>
      <c r="U482" s="38">
        <f>(VLOOKUP($A482,'The List'!$B1:$AH730,33,FALSE)-AVERAGE('The List'!AH2:AH730))/STDEV('The List'!AH2:AH730)</f>
        <v>0.89716177549081721</v>
      </c>
      <c r="V482" s="38"/>
      <c r="W482" s="40"/>
      <c r="X482" s="38"/>
      <c r="Y482" s="38"/>
      <c r="Z482" s="38"/>
      <c r="AA482" s="38"/>
      <c r="AB482" s="38"/>
      <c r="AC482" s="38"/>
      <c r="AD482" s="38"/>
      <c r="AE482" s="38"/>
    </row>
    <row r="483" spans="1:31" ht="21.2" customHeight="1">
      <c r="A483" s="8" t="s">
        <v>725</v>
      </c>
      <c r="B483" s="34" t="str">
        <f>VLOOKUP(A483,'Player Data'!A1:B734,2,FALSE)</f>
        <v>CBJ</v>
      </c>
      <c r="C483" s="36">
        <f>((E483)*Settings!$C$12)+(F483*Settings!$C$2)+(G483*Settings!$C$3)+(H483*Settings!$C$4)+(I483*Settings!$C$5)+(K483*Settings!$C$9)+(N483*Settings!$C$6)+(J483*Settings!$C$8)+(O483*Settings!$C$7)+(P483*Settings!$C$14)+(Q483*Settings!$C$15)+(R483*Settings!$C$16)+(S483*Settings!$C$17)+(T483*Settings!$C$18)+(U483*Settings!$C$19)+(L483*Settings!$C$10)+(Settings!$C$11*M483)</f>
        <v>-3.5286071320844878</v>
      </c>
      <c r="D483" s="40">
        <f>IF(Settings!$E$12="YES",VLOOKUP(A483,'Player Data'!A1:E734,5,FALSE),82)</f>
        <v>82</v>
      </c>
      <c r="E483" s="38">
        <f>(VLOOKUP($A483,'The List'!$B1:$AH730,17,FALSE)-AVERAGE('The List'!R2:R730))/STDEV('The List'!R2:R730)</f>
        <v>-0.77614764201445241</v>
      </c>
      <c r="F483" s="38">
        <f>(VLOOKUP($A483,'The List'!$B1:$AH730,18,FALSE)-AVERAGE('The List'!S2:S730))/STDEV('The List'!S2:S730)</f>
        <v>-0.40164451097341619</v>
      </c>
      <c r="G483" s="38">
        <f>(VLOOKUP($A483,'The List'!$B1:$AH730,19,FALSE)-AVERAGE('The List'!T2:T730))/STDEV('The List'!T2:T730)</f>
        <v>-0.96305759841910288</v>
      </c>
      <c r="H483" s="38">
        <f>(VLOOKUP($A483,'The List'!$B1:$AH730,20,FALSE)-AVERAGE('The List'!U2:U730))/STDEV('The List'!U2:U730)</f>
        <v>-0.77855051822914689</v>
      </c>
      <c r="I483" s="38">
        <f>(VLOOKUP($A483,'The List'!$B1:$AH730,21,FALSE)-AVERAGE('The List'!V2:V730))/STDEV('The List'!V2:V730)</f>
        <v>-0.57677899334999538</v>
      </c>
      <c r="J483" s="38">
        <f>(VLOOKUP($A483,'The List'!$B1:$AH730,22,FALSE)-AVERAGE('The List'!W2:W730))/STDEV('The List'!W2:W730)</f>
        <v>-0.71087986559405547</v>
      </c>
      <c r="K483" s="38">
        <f>(VLOOKUP($A483,'The List'!$B1:$AH730,23,FALSE)-AVERAGE('The List'!X2:X730))/STDEV('The List'!X2:X730)</f>
        <v>-0.80857551111282666</v>
      </c>
      <c r="L483" s="38">
        <f>(VLOOKUP($A483,'The List'!$B1:$AH730,24,FALSE)-AVERAGE('The List'!Y2:Y730))/STDEV('The List'!Y2:Y730)</f>
        <v>0.31808122387305376</v>
      </c>
      <c r="M483" s="38">
        <f>(VLOOKUP($A483,'The List'!$B1:$AH730,25,FALSE)-AVERAGE('The List'!Z2:Z730))/STDEV('The List'!Z2:Z730)</f>
        <v>7.5389590769434398E-2</v>
      </c>
      <c r="N483" s="38">
        <f>(VLOOKUP($A483,'The List'!$B1:$AH730,26,FALSE)-AVERAGE('The List'!AA2:AA730))/STDEV('The List'!AA2:AA730)</f>
        <v>-0.44402996911521431</v>
      </c>
      <c r="O483" s="38">
        <f>(VLOOKUP($A483,'The List'!$B1:$AH730,27,FALSE)-AVERAGE('The List'!AB2:AB730))/STDEV('The List'!AB2:AB730)</f>
        <v>1.6888907115882468</v>
      </c>
      <c r="P483" s="38">
        <f>(VLOOKUP($A483,'The List'!$B1:$AH730,28,FALSE)-AVERAGE('The List'!AC2:AC730))/STDEV('The List'!AC2:AC730)</f>
        <v>-1.7206367452976912</v>
      </c>
      <c r="Q483" s="38">
        <f>(VLOOKUP($A483,'The List'!$B1:$AH730,29,FALSE)-AVERAGE('The List'!AD2:AD730))/STDEV('The List'!AD2:AD730)</f>
        <v>0.53954761644847926</v>
      </c>
      <c r="R483" s="38">
        <f>(VLOOKUP($A483,'The List'!$B1:$AH730,30,FALSE)-AVERAGE('The List'!AE2:AE730))/STDEV('The List'!AE2:AE730)</f>
        <v>-0.57586995886628911</v>
      </c>
      <c r="S483" s="38">
        <f>(VLOOKUP($A483,'The List'!$B1:$AH730,31,FALSE)-AVERAGE('The List'!AF2:AF730))/STDEV('The List'!AF2:AF730)</f>
        <v>2.1387888096946899</v>
      </c>
      <c r="T483" s="38">
        <f>(VLOOKUP($A483,'The List'!$B1:$AH730,32,FALSE)-AVERAGE('The List'!AG2:AG730))/STDEV('The List'!AG2:AG730)</f>
        <v>2.1420141934803714</v>
      </c>
      <c r="U483" s="38">
        <f>(VLOOKUP($A483,'The List'!$B1:$AH730,33,FALSE)-AVERAGE('The List'!AH2:AH730))/STDEV('The List'!AH2:AH730)</f>
        <v>1.0572762012551424</v>
      </c>
      <c r="V483" s="38"/>
      <c r="W483" s="42"/>
      <c r="X483" s="40"/>
      <c r="Y483" s="40"/>
      <c r="Z483" s="40"/>
      <c r="AA483" s="40"/>
      <c r="AB483" s="40"/>
      <c r="AC483" s="43"/>
      <c r="AD483" s="44"/>
      <c r="AE483" s="38"/>
    </row>
    <row r="484" spans="1:31" ht="21.2" customHeight="1">
      <c r="A484" s="8" t="s">
        <v>444</v>
      </c>
      <c r="B484" s="34" t="str">
        <f>VLOOKUP(A484,'Player Data'!A1:B734,2,FALSE)</f>
        <v>LAK</v>
      </c>
      <c r="C484" s="36">
        <f>((E484)*Settings!$C$12)+(F484*Settings!$C$2)+(G484*Settings!$C$3)+(H484*Settings!$C$4)+(I484*Settings!$C$5)+(K484*Settings!$C$9)+(N484*Settings!$C$6)+(J484*Settings!$C$8)+(O484*Settings!$C$7)+(P484*Settings!$C$14)+(Q484*Settings!$C$15)+(R484*Settings!$C$16)+(S484*Settings!$C$17)+(T484*Settings!$C$18)+(U484*Settings!$C$19)+(L484*Settings!$C$10)+(Settings!$C$11*M484)</f>
        <v>-3.8606795565303393</v>
      </c>
      <c r="D484" s="40">
        <f>IF(Settings!$E$12="YES",VLOOKUP(A484,'Player Data'!A1:E734,5,FALSE),82)</f>
        <v>82</v>
      </c>
      <c r="E484" s="38">
        <f>(VLOOKUP($A484,'The List'!$B1:$AH730,17,FALSE)-AVERAGE('The List'!R2:R730))/STDEV('The List'!R2:R730)</f>
        <v>1.3725246449450195</v>
      </c>
      <c r="F484" s="38">
        <f>(VLOOKUP($A484,'The List'!$B1:$AH730,18,FALSE)-AVERAGE('The List'!S2:S730))/STDEV('The List'!S2:S730)</f>
        <v>-0.94358973862334539</v>
      </c>
      <c r="G484" s="38">
        <f>(VLOOKUP($A484,'The List'!$B1:$AH730,19,FALSE)-AVERAGE('The List'!T2:T730))/STDEV('The List'!T2:T730)</f>
        <v>-0.55681078109758853</v>
      </c>
      <c r="H484" s="38">
        <f>(VLOOKUP($A484,'The List'!$B1:$AH730,20,FALSE)-AVERAGE('The List'!U2:U730))/STDEV('The List'!U2:U730)</f>
        <v>-0.78083164079437062</v>
      </c>
      <c r="I484" s="38">
        <f>(VLOOKUP($A484,'The List'!$B1:$AH730,21,FALSE)-AVERAGE('The List'!V2:V730))/STDEV('The List'!V2:V730)</f>
        <v>-0.7732619320164551</v>
      </c>
      <c r="J484" s="38">
        <f>(VLOOKUP($A484,'The List'!$B1:$AH730,22,FALSE)-AVERAGE('The List'!W2:W730))/STDEV('The List'!W2:W730)</f>
        <v>-0.71322865974403926</v>
      </c>
      <c r="K484" s="38">
        <f>(VLOOKUP($A484,'The List'!$B1:$AH730,23,FALSE)-AVERAGE('The List'!X2:X730))/STDEV('The List'!X2:X730)</f>
        <v>-0.80618546399857993</v>
      </c>
      <c r="L484" s="38">
        <f>(VLOOKUP($A484,'The List'!$B1:$AH730,24,FALSE)-AVERAGE('The List'!Y2:Y730))/STDEV('The List'!Y2:Y730)</f>
        <v>-0.4386638528183246</v>
      </c>
      <c r="M484" s="38">
        <f>(VLOOKUP($A484,'The List'!$B1:$AH730,25,FALSE)-AVERAGE('The List'!Z2:Z730))/STDEV('The List'!Z2:Z730)</f>
        <v>0.59694988737332455</v>
      </c>
      <c r="N484" s="38">
        <f>(VLOOKUP($A484,'The List'!$B1:$AH730,26,FALSE)-AVERAGE('The List'!AA2:AA730))/STDEV('The List'!AA2:AA730)</f>
        <v>1.6035248172685399</v>
      </c>
      <c r="O484" s="38">
        <f>(VLOOKUP($A484,'The List'!$B1:$AH730,27,FALSE)-AVERAGE('The List'!AB2:AB730))/STDEV('The List'!AB2:AB730)</f>
        <v>1.1291285295991444</v>
      </c>
      <c r="P484" s="38">
        <f>(VLOOKUP($A484,'The List'!$B1:$AH730,28,FALSE)-AVERAGE('The List'!AC2:AC730))/STDEV('The List'!AC2:AC730)</f>
        <v>3.9955057730886805E-2</v>
      </c>
      <c r="Q484" s="38">
        <f>(VLOOKUP($A484,'The List'!$B1:$AH730,29,FALSE)-AVERAGE('The List'!AD2:AD730))/STDEV('The List'!AD2:AD730)</f>
        <v>-0.16063977300405471</v>
      </c>
      <c r="R484" s="38">
        <f>(VLOOKUP($A484,'The List'!$B1:$AH730,30,FALSE)-AVERAGE('The List'!AE2:AE730))/STDEV('The List'!AE2:AE730)</f>
        <v>-0.84047270806231389</v>
      </c>
      <c r="S484" s="38">
        <f>(VLOOKUP($A484,'The List'!$B1:$AH730,31,FALSE)-AVERAGE('The List'!AF2:AF730))/STDEV('The List'!AF2:AF730)</f>
        <v>-0.56911587195029545</v>
      </c>
      <c r="T484" s="38">
        <f>(VLOOKUP($A484,'The List'!$B1:$AH730,32,FALSE)-AVERAGE('The List'!AG2:AG730))/STDEV('The List'!AG2:AG730)</f>
        <v>-0.61510119871956948</v>
      </c>
      <c r="U484" s="38">
        <f>(VLOOKUP($A484,'The List'!$B1:$AH730,33,FALSE)-AVERAGE('The List'!AH2:AH730))/STDEV('The List'!AH2:AH730)</f>
        <v>-1.2363238714825984</v>
      </c>
      <c r="V484" s="38"/>
      <c r="W484" s="42"/>
      <c r="X484" s="40"/>
      <c r="Y484" s="40"/>
      <c r="Z484" s="40"/>
      <c r="AA484" s="40"/>
      <c r="AB484" s="40"/>
      <c r="AC484" s="43"/>
      <c r="AD484" s="44"/>
      <c r="AE484" s="38"/>
    </row>
    <row r="485" spans="1:31" ht="21.2" customHeight="1">
      <c r="A485" s="8" t="s">
        <v>510</v>
      </c>
      <c r="B485" s="34" t="str">
        <f>VLOOKUP(A485,'Player Data'!A1:B734,2,FALSE)</f>
        <v>OTT</v>
      </c>
      <c r="C485" s="36">
        <f>((E485)*Settings!$C$12)+(F485*Settings!$C$2)+(G485*Settings!$C$3)+(H485*Settings!$C$4)+(I485*Settings!$C$5)+(K485*Settings!$C$9)+(N485*Settings!$C$6)+(J485*Settings!$C$8)+(O485*Settings!$C$7)+(P485*Settings!$C$14)+(Q485*Settings!$C$15)+(R485*Settings!$C$16)+(S485*Settings!$C$17)+(T485*Settings!$C$18)+(U485*Settings!$C$19)+(L485*Settings!$C$10)+(Settings!$C$11*M485)</f>
        <v>-4.2066301316804617</v>
      </c>
      <c r="D485" s="40">
        <f>IF(Settings!$E$12="YES",VLOOKUP(A485,'Player Data'!A1:E734,5,FALSE),82)</f>
        <v>82</v>
      </c>
      <c r="E485" s="38">
        <f>(VLOOKUP($A485,'The List'!$B1:$AH730,17,FALSE)-AVERAGE('The List'!R2:R730))/STDEV('The List'!R2:R730)</f>
        <v>0.70775701433961269</v>
      </c>
      <c r="F485" s="38">
        <f>(VLOOKUP($A485,'The List'!$B1:$AH730,18,FALSE)-AVERAGE('The List'!S2:S730))/STDEV('The List'!S2:S730)</f>
        <v>-0.85350262725017811</v>
      </c>
      <c r="G485" s="38">
        <f>(VLOOKUP($A485,'The List'!$B1:$AH730,19,FALSE)-AVERAGE('The List'!T2:T730))/STDEV('The List'!T2:T730)</f>
        <v>-0.62572665562159524</v>
      </c>
      <c r="H485" s="38">
        <f>(VLOOKUP($A485,'The List'!$B1:$AH730,20,FALSE)-AVERAGE('The List'!U2:U730))/STDEV('The List'!U2:U730)</f>
        <v>-0.78130407951728831</v>
      </c>
      <c r="I485" s="38">
        <f>(VLOOKUP($A485,'The List'!$B1:$AH730,21,FALSE)-AVERAGE('The List'!V2:V730))/STDEV('The List'!V2:V730)</f>
        <v>-1.1330091409377463</v>
      </c>
      <c r="J485" s="38">
        <f>(VLOOKUP($A485,'The List'!$B1:$AH730,22,FALSE)-AVERAGE('The List'!W2:W730))/STDEV('The List'!W2:W730)</f>
        <v>-0.73186231459473772</v>
      </c>
      <c r="K485" s="38">
        <f>(VLOOKUP($A485,'The List'!$B1:$AH730,23,FALSE)-AVERAGE('The List'!X2:X730))/STDEV('The List'!X2:X730)</f>
        <v>-0.81308762835365389</v>
      </c>
      <c r="L485" s="38">
        <f>(VLOOKUP($A485,'The List'!$B1:$AH730,24,FALSE)-AVERAGE('The List'!Y2:Y730))/STDEV('The List'!Y2:Y730)</f>
        <v>-0.47765544101307389</v>
      </c>
      <c r="M485" s="38">
        <f>(VLOOKUP($A485,'The List'!$B1:$AH730,25,FALSE)-AVERAGE('The List'!Z2:Z730))/STDEV('The List'!Z2:Z730)</f>
        <v>-0.5458916531447604</v>
      </c>
      <c r="N485" s="38">
        <f>(VLOOKUP($A485,'The List'!$B1:$AH730,26,FALSE)-AVERAGE('The List'!AA2:AA730))/STDEV('The List'!AA2:AA730)</f>
        <v>1.0849950068288494</v>
      </c>
      <c r="O485" s="38">
        <f>(VLOOKUP($A485,'The List'!$B1:$AH730,27,FALSE)-AVERAGE('The List'!AB2:AB730))/STDEV('The List'!AB2:AB730)</f>
        <v>1.1888309577621872</v>
      </c>
      <c r="P485" s="38">
        <f>(VLOOKUP($A485,'The List'!$B1:$AH730,28,FALSE)-AVERAGE('The List'!AC2:AC730))/STDEV('The List'!AC2:AC730)</f>
        <v>0.33323367403469673</v>
      </c>
      <c r="Q485" s="38">
        <f>(VLOOKUP($A485,'The List'!$B1:$AH730,29,FALSE)-AVERAGE('The List'!AD2:AD730))/STDEV('The List'!AD2:AD730)</f>
        <v>1.1623217165473698</v>
      </c>
      <c r="R485" s="38">
        <f>(VLOOKUP($A485,'The List'!$B1:$AH730,30,FALSE)-AVERAGE('The List'!AE2:AE730))/STDEV('The List'!AE2:AE730)</f>
        <v>-0.7457914518028349</v>
      </c>
      <c r="S485" s="38">
        <f>(VLOOKUP($A485,'The List'!$B1:$AH730,31,FALSE)-AVERAGE('The List'!AF2:AF730))/STDEV('The List'!AF2:AF730)</f>
        <v>-0.56911587195029545</v>
      </c>
      <c r="T485" s="38">
        <f>(VLOOKUP($A485,'The List'!$B1:$AH730,32,FALSE)-AVERAGE('The List'!AG2:AG730))/STDEV('The List'!AG2:AG730)</f>
        <v>-0.61510119871956948</v>
      </c>
      <c r="U485" s="38">
        <f>(VLOOKUP($A485,'The List'!$B1:$AH730,33,FALSE)-AVERAGE('The List'!AH2:AH730))/STDEV('The List'!AH2:AH730)</f>
        <v>-1.2363238714825984</v>
      </c>
      <c r="V485" s="38"/>
      <c r="W485" s="42"/>
      <c r="X485" s="40"/>
      <c r="Y485" s="40"/>
      <c r="Z485" s="40"/>
      <c r="AA485" s="40"/>
      <c r="AB485" s="40"/>
      <c r="AC485" s="43"/>
      <c r="AD485" s="44"/>
      <c r="AE485" s="38"/>
    </row>
    <row r="486" spans="1:31" ht="21.2" customHeight="1">
      <c r="A486" s="8" t="s">
        <v>454</v>
      </c>
      <c r="B486" s="34" t="str">
        <f>VLOOKUP(A486,'Player Data'!A1:B734,2,FALSE)</f>
        <v>FLA</v>
      </c>
      <c r="C486" s="36">
        <f>((E486)*Settings!$C$12)+(F486*Settings!$C$2)+(G486*Settings!$C$3)+(H486*Settings!$C$4)+(I486*Settings!$C$5)+(K486*Settings!$C$9)+(N486*Settings!$C$6)+(J486*Settings!$C$8)+(O486*Settings!$C$7)+(P486*Settings!$C$14)+(Q486*Settings!$C$15)+(R486*Settings!$C$16)+(S486*Settings!$C$17)+(T486*Settings!$C$18)+(U486*Settings!$C$19)+(L486*Settings!$C$10)+(Settings!$C$11*M486)</f>
        <v>-3.3038734993000776</v>
      </c>
      <c r="D486" s="40">
        <f>IF(Settings!$E$12="YES",VLOOKUP(A486,'Player Data'!A1:E734,5,FALSE),82)</f>
        <v>82</v>
      </c>
      <c r="E486" s="38">
        <f>(VLOOKUP($A486,'The List'!$B1:$AH730,17,FALSE)-AVERAGE('The List'!R2:R730))/STDEV('The List'!R2:R730)</f>
        <v>0.16848210469659811</v>
      </c>
      <c r="F486" s="38">
        <f>(VLOOKUP($A486,'The List'!$B1:$AH730,18,FALSE)-AVERAGE('The List'!S2:S730))/STDEV('The List'!S2:S730)</f>
        <v>-1.1226724934137833</v>
      </c>
      <c r="G486" s="38">
        <f>(VLOOKUP($A486,'The List'!$B1:$AH730,19,FALSE)-AVERAGE('The List'!T2:T730))/STDEV('The List'!T2:T730)</f>
        <v>-0.42420075843780353</v>
      </c>
      <c r="H486" s="38">
        <f>(VLOOKUP($A486,'The List'!$B1:$AH730,20,FALSE)-AVERAGE('The List'!U2:U730))/STDEV('The List'!U2:U730)</f>
        <v>-0.7825883255024042</v>
      </c>
      <c r="I486" s="38">
        <f>(VLOOKUP($A486,'The List'!$B1:$AH730,21,FALSE)-AVERAGE('The List'!V2:V730))/STDEV('The List'!V2:V730)</f>
        <v>-0.46876082787858148</v>
      </c>
      <c r="J486" s="38">
        <f>(VLOOKUP($A486,'The List'!$B1:$AH730,22,FALSE)-AVERAGE('The List'!W2:W730))/STDEV('The List'!W2:W730)</f>
        <v>-0.60146553922407953</v>
      </c>
      <c r="K486" s="38">
        <f>(VLOOKUP($A486,'The List'!$B1:$AH730,23,FALSE)-AVERAGE('The List'!X2:X730))/STDEV('The List'!X2:X730)</f>
        <v>-0.5056510940675053</v>
      </c>
      <c r="L486" s="38">
        <f>(VLOOKUP($A486,'The List'!$B1:$AH730,24,FALSE)-AVERAGE('The List'!Y2:Y730))/STDEV('The List'!Y2:Y730)</f>
        <v>-0.52728925797943949</v>
      </c>
      <c r="M486" s="38">
        <f>(VLOOKUP($A486,'The List'!$B1:$AH730,25,FALSE)-AVERAGE('The List'!Z2:Z730))/STDEV('The List'!Z2:Z730)</f>
        <v>-0.42126131028123548</v>
      </c>
      <c r="N486" s="38">
        <f>(VLOOKUP($A486,'The List'!$B1:$AH730,26,FALSE)-AVERAGE('The List'!AA2:AA730))/STDEV('The List'!AA2:AA730)</f>
        <v>7.0559507549889836E-2</v>
      </c>
      <c r="O486" s="38">
        <f>(VLOOKUP($A486,'The List'!$B1:$AH730,27,FALSE)-AVERAGE('The List'!AB2:AB730))/STDEV('The List'!AB2:AB730)</f>
        <v>-0.21510411660876</v>
      </c>
      <c r="P486" s="38">
        <f>(VLOOKUP($A486,'The List'!$B1:$AH730,28,FALSE)-AVERAGE('The List'!AC2:AC730))/STDEV('The List'!AC2:AC730)</f>
        <v>-7.8207589683428475E-2</v>
      </c>
      <c r="Q486" s="38">
        <f>(VLOOKUP($A486,'The List'!$B1:$AH730,29,FALSE)-AVERAGE('The List'!AD2:AD730))/STDEV('The List'!AD2:AD730)</f>
        <v>0.18033254305465385</v>
      </c>
      <c r="R486" s="38">
        <f>(VLOOKUP($A486,'The List'!$B1:$AH730,30,FALSE)-AVERAGE('The List'!AE2:AE730))/STDEV('The List'!AE2:AE730)</f>
        <v>-1.0205665360647087</v>
      </c>
      <c r="S486" s="38">
        <f>(VLOOKUP($A486,'The List'!$B1:$AH730,31,FALSE)-AVERAGE('The List'!AF2:AF730))/STDEV('The List'!AF2:AF730)</f>
        <v>-0.56911587195029545</v>
      </c>
      <c r="T486" s="38">
        <f>(VLOOKUP($A486,'The List'!$B1:$AH730,32,FALSE)-AVERAGE('The List'!AG2:AG730))/STDEV('The List'!AG2:AG730)</f>
        <v>-0.61510119871956948</v>
      </c>
      <c r="U486" s="38">
        <f>(VLOOKUP($A486,'The List'!$B1:$AH730,33,FALSE)-AVERAGE('The List'!AH2:AH730))/STDEV('The List'!AH2:AH730)</f>
        <v>-1.2363238714825984</v>
      </c>
      <c r="V486" s="38"/>
      <c r="W486" s="42"/>
      <c r="X486" s="40"/>
      <c r="Y486" s="40"/>
      <c r="Z486" s="40"/>
      <c r="AA486" s="40"/>
      <c r="AB486" s="40"/>
      <c r="AC486" s="43"/>
      <c r="AD486" s="44"/>
      <c r="AE486" s="38"/>
    </row>
    <row r="487" spans="1:31" ht="21.2" customHeight="1">
      <c r="A487" s="8" t="s">
        <v>715</v>
      </c>
      <c r="B487" s="34" t="str">
        <f>VLOOKUP(A487,'Player Data'!A1:B734,2,FALSE)</f>
        <v>ANA</v>
      </c>
      <c r="C487" s="36">
        <f>((E487)*Settings!$C$12)+(F487*Settings!$C$2)+(G487*Settings!$C$3)+(H487*Settings!$C$4)+(I487*Settings!$C$5)+(K487*Settings!$C$9)+(N487*Settings!$C$6)+(J487*Settings!$C$8)+(O487*Settings!$C$7)+(P487*Settings!$C$14)+(Q487*Settings!$C$15)+(R487*Settings!$C$16)+(S487*Settings!$C$17)+(T487*Settings!$C$18)+(U487*Settings!$C$19)+(L487*Settings!$C$10)+(Settings!$C$11*M487)</f>
        <v>-3.5891992892531359</v>
      </c>
      <c r="D487" s="40">
        <f>IF(Settings!$E$12="YES",VLOOKUP(A487,'Player Data'!A1:E734,5,FALSE),82)</f>
        <v>82</v>
      </c>
      <c r="E487" s="38">
        <f>(VLOOKUP($A487,'The List'!$B1:$AH730,17,FALSE)-AVERAGE('The List'!R2:R730))/STDEV('The List'!R2:R730)</f>
        <v>-0.87565485154827893</v>
      </c>
      <c r="F487" s="38">
        <f>(VLOOKUP($A487,'The List'!$B1:$AH730,18,FALSE)-AVERAGE('The List'!S2:S730))/STDEV('The List'!S2:S730)</f>
        <v>-0.20154282404160273</v>
      </c>
      <c r="G487" s="38">
        <f>(VLOOKUP($A487,'The List'!$B1:$AH730,19,FALSE)-AVERAGE('The List'!T2:T730))/STDEV('The List'!T2:T730)</f>
        <v>-1.1212694970037935</v>
      </c>
      <c r="H487" s="38">
        <f>(VLOOKUP($A487,'The List'!$B1:$AH730,20,FALSE)-AVERAGE('The List'!U2:U730))/STDEV('The List'!U2:U730)</f>
        <v>-0.78275605668403403</v>
      </c>
      <c r="I487" s="38">
        <f>(VLOOKUP($A487,'The List'!$B1:$AH730,21,FALSE)-AVERAGE('The List'!V2:V730))/STDEV('The List'!V2:V730)</f>
        <v>-0.66164683465081031</v>
      </c>
      <c r="J487" s="38">
        <f>(VLOOKUP($A487,'The List'!$B1:$AH730,22,FALSE)-AVERAGE('The List'!W2:W730))/STDEV('The List'!W2:W730)</f>
        <v>-0.73259446007564977</v>
      </c>
      <c r="K487" s="38">
        <f>(VLOOKUP($A487,'The List'!$B1:$AH730,23,FALSE)-AVERAGE('The List'!X2:X730))/STDEV('The List'!X2:X730)</f>
        <v>-0.82198407687289532</v>
      </c>
      <c r="L487" s="38">
        <f>(VLOOKUP($A487,'The List'!$B1:$AH730,24,FALSE)-AVERAGE('The List'!Y2:Y730))/STDEV('The List'!Y2:Y730)</f>
        <v>2.1007772539642735</v>
      </c>
      <c r="M487" s="38">
        <f>(VLOOKUP($A487,'The List'!$B1:$AH730,25,FALSE)-AVERAGE('The List'!Z2:Z730))/STDEV('The List'!Z2:Z730)</f>
        <v>0.92789657700414552</v>
      </c>
      <c r="N487" s="38">
        <f>(VLOOKUP($A487,'The List'!$B1:$AH730,26,FALSE)-AVERAGE('The List'!AA2:AA730))/STDEV('The List'!AA2:AA730)</f>
        <v>-0.36006996677102199</v>
      </c>
      <c r="O487" s="38">
        <f>(VLOOKUP($A487,'The List'!$B1:$AH730,27,FALSE)-AVERAGE('The List'!AB2:AB730))/STDEV('The List'!AB2:AB730)</f>
        <v>-2.710678080270253E-2</v>
      </c>
      <c r="P487" s="38">
        <f>(VLOOKUP($A487,'The List'!$B1:$AH730,28,FALSE)-AVERAGE('The List'!AC2:AC730))/STDEV('The List'!AC2:AC730)</f>
        <v>-2.0084425252978368</v>
      </c>
      <c r="Q487" s="38">
        <f>(VLOOKUP($A487,'The List'!$B1:$AH730,29,FALSE)-AVERAGE('The List'!AD2:AD730))/STDEV('The List'!AD2:AD730)</f>
        <v>-0.91497833851269128</v>
      </c>
      <c r="R487" s="38">
        <f>(VLOOKUP($A487,'The List'!$B1:$AH730,30,FALSE)-AVERAGE('The List'!AE2:AE730))/STDEV('The List'!AE2:AE730)</f>
        <v>-0.52216986991000924</v>
      </c>
      <c r="S487" s="38">
        <f>(VLOOKUP($A487,'The List'!$B1:$AH730,31,FALSE)-AVERAGE('The List'!AF2:AF730))/STDEV('The List'!AF2:AF730)</f>
        <v>-0.5379694381498864</v>
      </c>
      <c r="T487" s="38">
        <f>(VLOOKUP($A487,'The List'!$B1:$AH730,32,FALSE)-AVERAGE('The List'!AG2:AG730))/STDEV('The List'!AG2:AG730)</f>
        <v>-0.5402382452181832</v>
      </c>
      <c r="U487" s="38">
        <f>(VLOOKUP($A487,'The List'!$B1:$AH730,33,FALSE)-AVERAGE('The List'!AH2:AH730))/STDEV('The List'!AH2:AH730)</f>
        <v>0.13736378013169873</v>
      </c>
      <c r="V487" s="38"/>
      <c r="W487" s="42"/>
      <c r="X487" s="40"/>
      <c r="Y487" s="40"/>
      <c r="Z487" s="40"/>
      <c r="AA487" s="40"/>
      <c r="AB487" s="40"/>
      <c r="AC487" s="43"/>
      <c r="AD487" s="44"/>
      <c r="AE487" s="38"/>
    </row>
    <row r="488" spans="1:31" ht="21.2" customHeight="1">
      <c r="A488" s="8" t="s">
        <v>435</v>
      </c>
      <c r="B488" s="34" t="str">
        <f>VLOOKUP(A488,'Player Data'!A1:B734,2,FALSE)</f>
        <v>BUF</v>
      </c>
      <c r="C488" s="36">
        <f>((E488)*Settings!$C$12)+(F488*Settings!$C$2)+(G488*Settings!$C$3)+(H488*Settings!$C$4)+(I488*Settings!$C$5)+(K488*Settings!$C$9)+(N488*Settings!$C$6)+(J488*Settings!$C$8)+(O488*Settings!$C$7)+(P488*Settings!$C$14)+(Q488*Settings!$C$15)+(R488*Settings!$C$16)+(S488*Settings!$C$17)+(T488*Settings!$C$18)+(U488*Settings!$C$19)+(L488*Settings!$C$10)+(Settings!$C$11*M488)</f>
        <v>-3.6946732168093575</v>
      </c>
      <c r="D488" s="40">
        <f>IF(Settings!$E$12="YES",VLOOKUP(A488,'Player Data'!A1:E734,5,FALSE),82)</f>
        <v>82</v>
      </c>
      <c r="E488" s="38">
        <f>(VLOOKUP($A488,'The List'!$B1:$AH730,17,FALSE)-AVERAGE('The List'!R2:R730))/STDEV('The List'!R2:R730)</f>
        <v>0.58727224500882369</v>
      </c>
      <c r="F488" s="38">
        <f>(VLOOKUP($A488,'The List'!$B1:$AH730,18,FALSE)-AVERAGE('The List'!S2:S730))/STDEV('The List'!S2:S730)</f>
        <v>-0.95010000543393458</v>
      </c>
      <c r="G488" s="38">
        <f>(VLOOKUP($A488,'The List'!$B1:$AH730,19,FALSE)-AVERAGE('The List'!T2:T730))/STDEV('The List'!T2:T730)</f>
        <v>-0.55523389827685088</v>
      </c>
      <c r="H488" s="38">
        <f>(VLOOKUP($A488,'The List'!$B1:$AH730,20,FALSE)-AVERAGE('The List'!U2:U730))/STDEV('The List'!U2:U730)</f>
        <v>-0.78288903235917129</v>
      </c>
      <c r="I488" s="38">
        <f>(VLOOKUP($A488,'The List'!$B1:$AH730,21,FALSE)-AVERAGE('The List'!V2:V730))/STDEV('The List'!V2:V730)</f>
        <v>-0.5950569413740685</v>
      </c>
      <c r="J488" s="38">
        <f>(VLOOKUP($A488,'The List'!$B1:$AH730,22,FALSE)-AVERAGE('The List'!W2:W730))/STDEV('The List'!W2:W730)</f>
        <v>-0.73119139983541581</v>
      </c>
      <c r="K488" s="38">
        <f>(VLOOKUP($A488,'The List'!$B1:$AH730,23,FALSE)-AVERAGE('The List'!X2:X730))/STDEV('The List'!X2:X730)</f>
        <v>-0.81139333936533209</v>
      </c>
      <c r="L488" s="38">
        <f>(VLOOKUP($A488,'The List'!$B1:$AH730,24,FALSE)-AVERAGE('The List'!Y2:Y730))/STDEV('The List'!Y2:Y730)</f>
        <v>0.23770219466892936</v>
      </c>
      <c r="M488" s="38">
        <f>(VLOOKUP($A488,'The List'!$B1:$AH730,25,FALSE)-AVERAGE('The List'!Z2:Z730))/STDEV('The List'!Z2:Z730)</f>
        <v>8.0516168135874415E-3</v>
      </c>
      <c r="N488" s="38">
        <f>(VLOOKUP($A488,'The List'!$B1:$AH730,26,FALSE)-AVERAGE('The List'!AA2:AA730))/STDEV('The List'!AA2:AA730)</f>
        <v>1.4145116670728579</v>
      </c>
      <c r="O488" s="38">
        <f>(VLOOKUP($A488,'The List'!$B1:$AH730,27,FALSE)-AVERAGE('The List'!AB2:AB730))/STDEV('The List'!AB2:AB730)</f>
        <v>2.0506256430781615</v>
      </c>
      <c r="P488" s="38">
        <f>(VLOOKUP($A488,'The List'!$B1:$AH730,28,FALSE)-AVERAGE('The List'!AC2:AC730))/STDEV('The List'!AC2:AC730)</f>
        <v>-0.42498706676381798</v>
      </c>
      <c r="Q488" s="38">
        <f>(VLOOKUP($A488,'The List'!$B1:$AH730,29,FALSE)-AVERAGE('The List'!AD2:AD730))/STDEV('The List'!AD2:AD730)</f>
        <v>1.6066169206959982</v>
      </c>
      <c r="R488" s="38">
        <f>(VLOOKUP($A488,'The List'!$B1:$AH730,30,FALSE)-AVERAGE('The List'!AE2:AE730))/STDEV('The List'!AE2:AE730)</f>
        <v>-0.90155128138669627</v>
      </c>
      <c r="S488" s="38">
        <f>(VLOOKUP($A488,'The List'!$B1:$AH730,31,FALSE)-AVERAGE('The List'!AF2:AF730))/STDEV('The List'!AF2:AF730)</f>
        <v>-0.56911587195029545</v>
      </c>
      <c r="T488" s="38">
        <f>(VLOOKUP($A488,'The List'!$B1:$AH730,32,FALSE)-AVERAGE('The List'!AG2:AG730))/STDEV('The List'!AG2:AG730)</f>
        <v>-0.61510119871956948</v>
      </c>
      <c r="U488" s="38">
        <f>(VLOOKUP($A488,'The List'!$B1:$AH730,33,FALSE)-AVERAGE('The List'!AH2:AH730))/STDEV('The List'!AH2:AH730)</f>
        <v>-1.2363238714825984</v>
      </c>
      <c r="V488" s="38"/>
      <c r="W488" s="42"/>
      <c r="X488" s="40"/>
      <c r="Y488" s="40"/>
      <c r="Z488" s="40"/>
      <c r="AA488" s="40"/>
      <c r="AB488" s="40"/>
      <c r="AC488" s="43"/>
      <c r="AD488" s="44"/>
      <c r="AE488" s="38"/>
    </row>
    <row r="489" spans="1:31" ht="21.2" customHeight="1">
      <c r="A489" s="8" t="s">
        <v>697</v>
      </c>
      <c r="B489" s="34" t="str">
        <f>VLOOKUP(A489,'Player Data'!A1:B734,2,FALSE)</f>
        <v>MTL</v>
      </c>
      <c r="C489" s="36">
        <f>((E489)*Settings!$C$12)+(F489*Settings!$C$2)+(G489*Settings!$C$3)+(H489*Settings!$C$4)+(I489*Settings!$C$5)+(K489*Settings!$C$9)+(N489*Settings!$C$6)+(J489*Settings!$C$8)+(O489*Settings!$C$7)+(P489*Settings!$C$14)+(Q489*Settings!$C$15)+(R489*Settings!$C$16)+(S489*Settings!$C$17)+(T489*Settings!$C$18)+(U489*Settings!$C$19)+(L489*Settings!$C$10)+(Settings!$C$11*M489)</f>
        <v>-3.3292495313371768</v>
      </c>
      <c r="D489" s="40">
        <f>IF(Settings!$E$12="YES",VLOOKUP(A489,'Player Data'!A1:E734,5,FALSE),82)</f>
        <v>82</v>
      </c>
      <c r="E489" s="38">
        <f>(VLOOKUP($A489,'The List'!$B1:$AH730,17,FALSE)-AVERAGE('The List'!R2:R730))/STDEV('The List'!R2:R730)</f>
        <v>-0.88340199779003337</v>
      </c>
      <c r="F489" s="38">
        <f>(VLOOKUP($A489,'The List'!$B1:$AH730,18,FALSE)-AVERAGE('The List'!S2:S730))/STDEV('The List'!S2:S730)</f>
        <v>-0.42352050655937651</v>
      </c>
      <c r="G489" s="38">
        <f>(VLOOKUP($A489,'The List'!$B1:$AH730,19,FALSE)-AVERAGE('The List'!T2:T730))/STDEV('The List'!T2:T730)</f>
        <v>-0.96480231215631496</v>
      </c>
      <c r="H489" s="38">
        <f>(VLOOKUP($A489,'The List'!$B1:$AH730,20,FALSE)-AVERAGE('The List'!U2:U730))/STDEV('The List'!U2:U730)</f>
        <v>-0.78979227592422319</v>
      </c>
      <c r="I489" s="38">
        <f>(VLOOKUP($A489,'The List'!$B1:$AH730,21,FALSE)-AVERAGE('The List'!V2:V730))/STDEV('The List'!V2:V730)</f>
        <v>-0.40628899731482526</v>
      </c>
      <c r="J489" s="38">
        <f>(VLOOKUP($A489,'The List'!$B1:$AH730,22,FALSE)-AVERAGE('The List'!W2:W730))/STDEV('The List'!W2:W730)</f>
        <v>-0.66660663950270604</v>
      </c>
      <c r="K489" s="38">
        <f>(VLOOKUP($A489,'The List'!$B1:$AH730,23,FALSE)-AVERAGE('The List'!X2:X730))/STDEV('The List'!X2:X730)</f>
        <v>-0.74484543938243708</v>
      </c>
      <c r="L489" s="38">
        <f>(VLOOKUP($A489,'The List'!$B1:$AH730,24,FALSE)-AVERAGE('The List'!Y2:Y730))/STDEV('The List'!Y2:Y730)</f>
        <v>1.7990571611238928</v>
      </c>
      <c r="M489" s="38">
        <f>(VLOOKUP($A489,'The List'!$B1:$AH730,25,FALSE)-AVERAGE('The List'!Z2:Z730))/STDEV('The List'!Z2:Z730)</f>
        <v>1.0079325442085021</v>
      </c>
      <c r="N489" s="38">
        <f>(VLOOKUP($A489,'The List'!$B1:$AH730,26,FALSE)-AVERAGE('The List'!AA2:AA730))/STDEV('The List'!AA2:AA730)</f>
        <v>-0.59285265971157419</v>
      </c>
      <c r="O489" s="38">
        <f>(VLOOKUP($A489,'The List'!$B1:$AH730,27,FALSE)-AVERAGE('The List'!AB2:AB730))/STDEV('The List'!AB2:AB730)</f>
        <v>-6.5533754238688305E-2</v>
      </c>
      <c r="P489" s="38">
        <f>(VLOOKUP($A489,'The List'!$B1:$AH730,28,FALSE)-AVERAGE('The List'!AC2:AC730))/STDEV('The List'!AC2:AC730)</f>
        <v>-1.9170970831725338</v>
      </c>
      <c r="Q489" s="38">
        <f>(VLOOKUP($A489,'The List'!$B1:$AH730,29,FALSE)-AVERAGE('The List'!AD2:AD730))/STDEV('The List'!AD2:AD730)</f>
        <v>-0.54738411738424153</v>
      </c>
      <c r="R489" s="38">
        <f>(VLOOKUP($A489,'The List'!$B1:$AH730,30,FALSE)-AVERAGE('The List'!AE2:AE730))/STDEV('The List'!AE2:AE730)</f>
        <v>-0.62019504983768703</v>
      </c>
      <c r="S489" s="38">
        <f>(VLOOKUP($A489,'The List'!$B1:$AH730,31,FALSE)-AVERAGE('The List'!AF2:AF730))/STDEV('The List'!AF2:AF730)</f>
        <v>-0.54539922917375794</v>
      </c>
      <c r="T489" s="38">
        <f>(VLOOKUP($A489,'The List'!$B1:$AH730,32,FALSE)-AVERAGE('The List'!AG2:AG730))/STDEV('The List'!AG2:AG730)</f>
        <v>-0.5429838383542589</v>
      </c>
      <c r="U489" s="38">
        <f>(VLOOKUP($A489,'The List'!$B1:$AH730,33,FALSE)-AVERAGE('The List'!AH2:AH730))/STDEV('The List'!AH2:AH730)</f>
        <v>-7.6578759668652421E-2</v>
      </c>
      <c r="V489" s="38"/>
      <c r="W489" s="42"/>
      <c r="X489" s="40"/>
      <c r="Y489" s="40"/>
      <c r="Z489" s="40"/>
      <c r="AA489" s="40"/>
      <c r="AB489" s="40"/>
      <c r="AC489" s="43"/>
      <c r="AD489" s="44"/>
      <c r="AE489" s="38"/>
    </row>
    <row r="490" spans="1:31" ht="21.2" customHeight="1">
      <c r="A490" s="8" t="s">
        <v>453</v>
      </c>
      <c r="B490" s="34" t="str">
        <f>VLOOKUP(A490,'Player Data'!A1:B734,2,FALSE)</f>
        <v>SEA</v>
      </c>
      <c r="C490" s="36">
        <f>((E490)*Settings!$C$12)+(F490*Settings!$C$2)+(G490*Settings!$C$3)+(H490*Settings!$C$4)+(I490*Settings!$C$5)+(K490*Settings!$C$9)+(N490*Settings!$C$6)+(J490*Settings!$C$8)+(O490*Settings!$C$7)+(P490*Settings!$C$14)+(Q490*Settings!$C$15)+(R490*Settings!$C$16)+(S490*Settings!$C$17)+(T490*Settings!$C$18)+(U490*Settings!$C$19)+(L490*Settings!$C$10)+(Settings!$C$11*M490)</f>
        <v>-3.9614977028683942</v>
      </c>
      <c r="D490" s="40">
        <f>IF(Settings!$E$12="YES",VLOOKUP(A490,'Player Data'!A1:E734,5,FALSE),82)</f>
        <v>82</v>
      </c>
      <c r="E490" s="38">
        <f>(VLOOKUP($A490,'The List'!$B1:$AH730,17,FALSE)-AVERAGE('The List'!R2:R730))/STDEV('The List'!R2:R730)</f>
        <v>0.72711919202059294</v>
      </c>
      <c r="F490" s="38">
        <f>(VLOOKUP($A490,'The List'!$B1:$AH730,18,FALSE)-AVERAGE('The List'!S2:S730))/STDEV('The List'!S2:S730)</f>
        <v>-0.84590723407037693</v>
      </c>
      <c r="G490" s="38">
        <f>(VLOOKUP($A490,'The List'!$B1:$AH730,19,FALSE)-AVERAGE('The List'!T2:T730))/STDEV('The List'!T2:T730)</f>
        <v>-0.65012977433903785</v>
      </c>
      <c r="H490" s="38">
        <f>(VLOOKUP($A490,'The List'!$B1:$AH730,20,FALSE)-AVERAGE('The List'!U2:U730))/STDEV('The List'!U2:U730)</f>
        <v>-0.79276986175043429</v>
      </c>
      <c r="I490" s="38">
        <f>(VLOOKUP($A490,'The List'!$B1:$AH730,21,FALSE)-AVERAGE('The List'!V2:V730))/STDEV('The List'!V2:V730)</f>
        <v>-0.85980225675343624</v>
      </c>
      <c r="J490" s="38">
        <f>(VLOOKUP($A490,'The List'!$B1:$AH730,22,FALSE)-AVERAGE('The List'!W2:W730))/STDEV('The List'!W2:W730)</f>
        <v>-0.73200531945898473</v>
      </c>
      <c r="K490" s="38">
        <f>(VLOOKUP($A490,'The List'!$B1:$AH730,23,FALSE)-AVERAGE('The List'!X2:X730))/STDEV('The List'!X2:X730)</f>
        <v>-0.81288857595510855</v>
      </c>
      <c r="L490" s="38">
        <f>(VLOOKUP($A490,'The List'!$B1:$AH730,24,FALSE)-AVERAGE('The List'!Y2:Y730))/STDEV('The List'!Y2:Y730)</f>
        <v>-0.53975127824864177</v>
      </c>
      <c r="M490" s="38">
        <f>(VLOOKUP($A490,'The List'!$B1:$AH730,25,FALSE)-AVERAGE('The List'!Z2:Z730))/STDEV('The List'!Z2:Z730)</f>
        <v>-0.30328919436306212</v>
      </c>
      <c r="N490" s="38">
        <f>(VLOOKUP($A490,'The List'!$B1:$AH730,26,FALSE)-AVERAGE('The List'!AA2:AA730))/STDEV('The List'!AA2:AA730)</f>
        <v>1.37351775626392</v>
      </c>
      <c r="O490" s="38">
        <f>(VLOOKUP($A490,'The List'!$B1:$AH730,27,FALSE)-AVERAGE('The List'!AB2:AB730))/STDEV('The List'!AB2:AB730)</f>
        <v>0.97620339790197574</v>
      </c>
      <c r="P490" s="38">
        <f>(VLOOKUP($A490,'The List'!$B1:$AH730,28,FALSE)-AVERAGE('The List'!AC2:AC730))/STDEV('The List'!AC2:AC730)</f>
        <v>-7.2691333431695773E-2</v>
      </c>
      <c r="Q490" s="38">
        <f>(VLOOKUP($A490,'The List'!$B1:$AH730,29,FALSE)-AVERAGE('The List'!AD2:AD730))/STDEV('The List'!AD2:AD730)</f>
        <v>1.3577715511678348</v>
      </c>
      <c r="R490" s="38">
        <f>(VLOOKUP($A490,'The List'!$B1:$AH730,30,FALSE)-AVERAGE('The List'!AE2:AE730))/STDEV('The List'!AE2:AE730)</f>
        <v>-0.77188399118231621</v>
      </c>
      <c r="S490" s="38">
        <f>(VLOOKUP($A490,'The List'!$B1:$AH730,31,FALSE)-AVERAGE('The List'!AF2:AF730))/STDEV('The List'!AF2:AF730)</f>
        <v>-0.56911587195029545</v>
      </c>
      <c r="T490" s="38">
        <f>(VLOOKUP($A490,'The List'!$B1:$AH730,32,FALSE)-AVERAGE('The List'!AG2:AG730))/STDEV('The List'!AG2:AG730)</f>
        <v>-0.61510119871956948</v>
      </c>
      <c r="U490" s="38">
        <f>(VLOOKUP($A490,'The List'!$B1:$AH730,33,FALSE)-AVERAGE('The List'!AH2:AH730))/STDEV('The List'!AH2:AH730)</f>
        <v>-1.2363238714825984</v>
      </c>
      <c r="V490" s="38"/>
      <c r="W490" s="42"/>
      <c r="X490" s="40"/>
      <c r="Y490" s="40"/>
      <c r="Z490" s="40"/>
      <c r="AA490" s="40"/>
      <c r="AB490" s="40"/>
      <c r="AC490" s="43"/>
      <c r="AD490" s="44"/>
      <c r="AE490" s="38"/>
    </row>
    <row r="491" spans="1:31" ht="21.2" customHeight="1">
      <c r="A491" s="8" t="s">
        <v>443</v>
      </c>
      <c r="B491" s="34" t="str">
        <f>VLOOKUP(A491,'Player Data'!A1:B734,2,FALSE)</f>
        <v>EDM</v>
      </c>
      <c r="C491" s="36">
        <f>((E491)*Settings!$C$12)+(F491*Settings!$C$2)+(G491*Settings!$C$3)+(H491*Settings!$C$4)+(I491*Settings!$C$5)+(K491*Settings!$C$9)+(N491*Settings!$C$6)+(J491*Settings!$C$8)+(O491*Settings!$C$7)+(P491*Settings!$C$14)+(Q491*Settings!$C$15)+(R491*Settings!$C$16)+(S491*Settings!$C$17)+(T491*Settings!$C$18)+(U491*Settings!$C$19)+(L491*Settings!$C$10)+(Settings!$C$11*M491)</f>
        <v>-3.9616383895529643</v>
      </c>
      <c r="D491" s="40">
        <f>IF(Settings!$E$12="YES",VLOOKUP(A491,'Player Data'!A1:E734,5,FALSE),82)</f>
        <v>82</v>
      </c>
      <c r="E491" s="38">
        <f>(VLOOKUP($A491,'The List'!$B1:$AH730,17,FALSE)-AVERAGE('The List'!R2:R730))/STDEV('The List'!R2:R730)</f>
        <v>0.66011298789157113</v>
      </c>
      <c r="F491" s="38">
        <f>(VLOOKUP($A491,'The List'!$B1:$AH730,18,FALSE)-AVERAGE('The List'!S2:S730))/STDEV('The List'!S2:S730)</f>
        <v>-1.0431038548046903</v>
      </c>
      <c r="G491" s="38">
        <f>(VLOOKUP($A491,'The List'!$B1:$AH730,19,FALSE)-AVERAGE('The List'!T2:T730))/STDEV('The List'!T2:T730)</f>
        <v>-0.50417566311511108</v>
      </c>
      <c r="H491" s="38">
        <f>(VLOOKUP($A491,'The List'!$B1:$AH730,20,FALSE)-AVERAGE('The List'!U2:U730))/STDEV('The List'!U2:U730)</f>
        <v>-0.79474672861287565</v>
      </c>
      <c r="I491" s="38">
        <f>(VLOOKUP($A491,'The List'!$B1:$AH730,21,FALSE)-AVERAGE('The List'!V2:V730))/STDEV('The List'!V2:V730)</f>
        <v>-0.8071351872846465</v>
      </c>
      <c r="J491" s="38">
        <f>(VLOOKUP($A491,'The List'!$B1:$AH730,22,FALSE)-AVERAGE('The List'!W2:W730))/STDEV('The List'!W2:W730)</f>
        <v>-0.73184796507089311</v>
      </c>
      <c r="K491" s="38">
        <f>(VLOOKUP($A491,'The List'!$B1:$AH730,23,FALSE)-AVERAGE('The List'!X2:X730))/STDEV('The List'!X2:X730)</f>
        <v>-0.81247695573564049</v>
      </c>
      <c r="L491" s="38">
        <f>(VLOOKUP($A491,'The List'!$B1:$AH730,24,FALSE)-AVERAGE('The List'!Y2:Y730))/STDEV('The List'!Y2:Y730)</f>
        <v>-0.52510968306086014</v>
      </c>
      <c r="M491" s="38">
        <f>(VLOOKUP($A491,'The List'!$B1:$AH730,25,FALSE)-AVERAGE('The List'!Z2:Z730))/STDEV('The List'!Z2:Z730)</f>
        <v>0.15699911179131426</v>
      </c>
      <c r="N491" s="38">
        <f>(VLOOKUP($A491,'The List'!$B1:$AH730,26,FALSE)-AVERAGE('The List'!AA2:AA730))/STDEV('The List'!AA2:AA730)</f>
        <v>1.295388498173123</v>
      </c>
      <c r="O491" s="38">
        <f>(VLOOKUP($A491,'The List'!$B1:$AH730,27,FALSE)-AVERAGE('The List'!AB2:AB730))/STDEV('The List'!AB2:AB730)</f>
        <v>0.61025084335294344</v>
      </c>
      <c r="P491" s="38">
        <f>(VLOOKUP($A491,'The List'!$B1:$AH730,28,FALSE)-AVERAGE('The List'!AC2:AC730))/STDEV('The List'!AC2:AC730)</f>
        <v>0.95726814323055831</v>
      </c>
      <c r="Q491" s="38">
        <f>(VLOOKUP($A491,'The List'!$B1:$AH730,29,FALSE)-AVERAGE('The List'!AD2:AD730))/STDEV('The List'!AD2:AD730)</f>
        <v>-0.83671339762313035</v>
      </c>
      <c r="R491" s="38">
        <f>(VLOOKUP($A491,'The List'!$B1:$AH730,30,FALSE)-AVERAGE('The List'!AE2:AE730))/STDEV('The List'!AE2:AE730)</f>
        <v>-0.91465161172713538</v>
      </c>
      <c r="S491" s="38">
        <f>(VLOOKUP($A491,'The List'!$B1:$AH730,31,FALSE)-AVERAGE('The List'!AF2:AF730))/STDEV('The List'!AF2:AF730)</f>
        <v>-0.56911587195029545</v>
      </c>
      <c r="T491" s="38">
        <f>(VLOOKUP($A491,'The List'!$B1:$AH730,32,FALSE)-AVERAGE('The List'!AG2:AG730))/STDEV('The List'!AG2:AG730)</f>
        <v>-0.61510119871956948</v>
      </c>
      <c r="U491" s="38">
        <f>(VLOOKUP($A491,'The List'!$B1:$AH730,33,FALSE)-AVERAGE('The List'!AH2:AH730))/STDEV('The List'!AH2:AH730)</f>
        <v>-1.2363238714825984</v>
      </c>
      <c r="V491" s="38"/>
      <c r="W491" s="42"/>
      <c r="X491" s="40"/>
      <c r="Y491" s="40"/>
      <c r="Z491" s="40"/>
      <c r="AA491" s="40"/>
      <c r="AB491" s="40"/>
      <c r="AC491" s="43"/>
      <c r="AD491" s="44"/>
      <c r="AE491" s="38"/>
    </row>
    <row r="492" spans="1:31" ht="21.2" customHeight="1">
      <c r="A492" s="8" t="s">
        <v>676</v>
      </c>
      <c r="B492" s="34" t="str">
        <f>VLOOKUP(A492,'Player Data'!A1:B734,2,FALSE)</f>
        <v>PHI</v>
      </c>
      <c r="C492" s="36">
        <f>((E492)*Settings!$C$12)+(F492*Settings!$C$2)+(G492*Settings!$C$3)+(H492*Settings!$C$4)+(I492*Settings!$C$5)+(K492*Settings!$C$9)+(N492*Settings!$C$6)+(J492*Settings!$C$8)+(O492*Settings!$C$7)+(P492*Settings!$C$14)+(Q492*Settings!$C$15)+(R492*Settings!$C$16)+(S492*Settings!$C$17)+(T492*Settings!$C$18)+(U492*Settings!$C$19)+(L492*Settings!$C$10)+(Settings!$C$11*M492)</f>
        <v>-3.8852416356307868</v>
      </c>
      <c r="D492" s="40">
        <f>IF(Settings!$E$12="YES",VLOOKUP(A492,'Player Data'!A1:E734,5,FALSE),82)</f>
        <v>82</v>
      </c>
      <c r="E492" s="38">
        <f>(VLOOKUP($A492,'The List'!$B1:$AH730,17,FALSE)-AVERAGE('The List'!R2:R730))/STDEV('The List'!R2:R730)</f>
        <v>-1.261216571448067</v>
      </c>
      <c r="F492" s="38">
        <f>(VLOOKUP($A492,'The List'!$B1:$AH730,18,FALSE)-AVERAGE('The List'!S2:S730))/STDEV('The List'!S2:S730)</f>
        <v>-0.3569834185750117</v>
      </c>
      <c r="G492" s="38">
        <f>(VLOOKUP($A492,'The List'!$B1:$AH730,19,FALSE)-AVERAGE('The List'!T2:T730))/STDEV('The List'!T2:T730)</f>
        <v>-1.0384670049364719</v>
      </c>
      <c r="H492" s="38">
        <f>(VLOOKUP($A492,'The List'!$B1:$AH730,20,FALSE)-AVERAGE('The List'!U2:U730))/STDEV('The List'!U2:U730)</f>
        <v>-0.80413082328227914</v>
      </c>
      <c r="I492" s="38">
        <f>(VLOOKUP($A492,'The List'!$B1:$AH730,21,FALSE)-AVERAGE('The List'!V2:V730))/STDEV('The List'!V2:V730)</f>
        <v>-0.86130927156123038</v>
      </c>
      <c r="J492" s="38">
        <f>(VLOOKUP($A492,'The List'!$B1:$AH730,22,FALSE)-AVERAGE('The List'!W2:W730))/STDEV('The List'!W2:W730)</f>
        <v>-0.73504064664876079</v>
      </c>
      <c r="K492" s="38">
        <f>(VLOOKUP($A492,'The List'!$B1:$AH730,23,FALSE)-AVERAGE('The List'!X2:X730))/STDEV('The List'!X2:X730)</f>
        <v>-0.82435111727579413</v>
      </c>
      <c r="L492" s="38">
        <f>(VLOOKUP($A492,'The List'!$B1:$AH730,24,FALSE)-AVERAGE('The List'!Y2:Y730))/STDEV('The List'!Y2:Y730)</f>
        <v>-0.54098894982596168</v>
      </c>
      <c r="M492" s="38">
        <f>(VLOOKUP($A492,'The List'!$B1:$AH730,25,FALSE)-AVERAGE('The List'!Z2:Z730))/STDEV('The List'!Z2:Z730)</f>
        <v>0.2780482832766103</v>
      </c>
      <c r="N492" s="38">
        <f>(VLOOKUP($A492,'The List'!$B1:$AH730,26,FALSE)-AVERAGE('The List'!AA2:AA730))/STDEV('The List'!AA2:AA730)</f>
        <v>0.10807625381588824</v>
      </c>
      <c r="O492" s="38">
        <f>(VLOOKUP($A492,'The List'!$B1:$AH730,27,FALSE)-AVERAGE('The List'!AB2:AB730))/STDEV('The List'!AB2:AB730)</f>
        <v>2.631084333605604</v>
      </c>
      <c r="P492" s="38">
        <f>(VLOOKUP($A492,'The List'!$B1:$AH730,28,FALSE)-AVERAGE('The List'!AC2:AC730))/STDEV('The List'!AC2:AC730)</f>
        <v>-1.1191530621722907</v>
      </c>
      <c r="Q492" s="38">
        <f>(VLOOKUP($A492,'The List'!$B1:$AH730,29,FALSE)-AVERAGE('The List'!AD2:AD730))/STDEV('The List'!AD2:AD730)</f>
        <v>1.0850656511051535</v>
      </c>
      <c r="R492" s="38">
        <f>(VLOOKUP($A492,'The List'!$B1:$AH730,30,FALSE)-AVERAGE('The List'!AE2:AE730))/STDEV('The List'!AE2:AE730)</f>
        <v>-0.47617179724592229</v>
      </c>
      <c r="S492" s="38">
        <f>(VLOOKUP($A492,'The List'!$B1:$AH730,31,FALSE)-AVERAGE('The List'!AF2:AF730))/STDEV('The List'!AF2:AF730)</f>
        <v>-0.54411103804715832</v>
      </c>
      <c r="T492" s="38">
        <f>(VLOOKUP($A492,'The List'!$B1:$AH730,32,FALSE)-AVERAGE('The List'!AG2:AG730))/STDEV('The List'!AG2:AG730)</f>
        <v>-0.55718215441884589</v>
      </c>
      <c r="U492" s="38">
        <f>(VLOOKUP($A492,'The List'!$B1:$AH730,33,FALSE)-AVERAGE('The List'!AH2:AH730))/STDEV('The List'!AH2:AH730)</f>
        <v>0.17296780436662731</v>
      </c>
      <c r="V492" s="38"/>
      <c r="W492" s="42"/>
      <c r="X492" s="40"/>
      <c r="Y492" s="40"/>
      <c r="Z492" s="40"/>
      <c r="AA492" s="40"/>
      <c r="AB492" s="40"/>
      <c r="AC492" s="43"/>
      <c r="AD492" s="44"/>
      <c r="AE492" s="38"/>
    </row>
    <row r="493" spans="1:31" ht="21.2" customHeight="1">
      <c r="A493" s="8" t="s">
        <v>409</v>
      </c>
      <c r="B493" s="34" t="str">
        <f>VLOOKUP(A493,'Player Data'!A1:B734,2,FALSE)</f>
        <v>VGK</v>
      </c>
      <c r="C493" s="36">
        <f>((E493)*Settings!$C$12)+(F493*Settings!$C$2)+(G493*Settings!$C$3)+(H493*Settings!$C$4)+(I493*Settings!$C$5)+(K493*Settings!$C$9)+(N493*Settings!$C$6)+(J493*Settings!$C$8)+(O493*Settings!$C$7)+(P493*Settings!$C$14)+(Q493*Settings!$C$15)+(R493*Settings!$C$16)+(S493*Settings!$C$17)+(T493*Settings!$C$18)+(U493*Settings!$C$19)+(L493*Settings!$C$10)+(Settings!$C$11*M493)</f>
        <v>-3.3437685005368252</v>
      </c>
      <c r="D493" s="40">
        <f>IF(Settings!$E$12="YES",VLOOKUP(A493,'Player Data'!A1:E734,5,FALSE),82)</f>
        <v>82</v>
      </c>
      <c r="E493" s="38">
        <f>(VLOOKUP($A493,'The List'!$B1:$AH730,17,FALSE)-AVERAGE('The List'!R2:R730))/STDEV('The List'!R2:R730)</f>
        <v>0.20833820649063964</v>
      </c>
      <c r="F493" s="38">
        <f>(VLOOKUP($A493,'The List'!$B1:$AH730,18,FALSE)-AVERAGE('The List'!S2:S730))/STDEV('The List'!S2:S730)</f>
        <v>-0.91691646514973368</v>
      </c>
      <c r="G493" s="38">
        <f>(VLOOKUP($A493,'The List'!$B1:$AH730,19,FALSE)-AVERAGE('The List'!T2:T730))/STDEV('The List'!T2:T730)</f>
        <v>-0.61645508942226446</v>
      </c>
      <c r="H493" s="38">
        <f>(VLOOKUP($A493,'The List'!$B1:$AH730,20,FALSE)-AVERAGE('The List'!U2:U730))/STDEV('The List'!U2:U730)</f>
        <v>-0.80508572647674126</v>
      </c>
      <c r="I493" s="38">
        <f>(VLOOKUP($A493,'The List'!$B1:$AH730,21,FALSE)-AVERAGE('The List'!V2:V730))/STDEV('The List'!V2:V730)</f>
        <v>-0.3299967797566381</v>
      </c>
      <c r="J493" s="38">
        <f>(VLOOKUP($A493,'The List'!$B1:$AH730,22,FALSE)-AVERAGE('The List'!W2:W730))/STDEV('The List'!W2:W730)</f>
        <v>-0.67276172820967695</v>
      </c>
      <c r="K493" s="38">
        <f>(VLOOKUP($A493,'The List'!$B1:$AH730,23,FALSE)-AVERAGE('The List'!X2:X730))/STDEV('The List'!X2:X730)</f>
        <v>-0.67531443973144767</v>
      </c>
      <c r="L493" s="38">
        <f>(VLOOKUP($A493,'The List'!$B1:$AH730,24,FALSE)-AVERAGE('The List'!Y2:Y730))/STDEV('The List'!Y2:Y730)</f>
        <v>-0.47068642496927432</v>
      </c>
      <c r="M493" s="38">
        <f>(VLOOKUP($A493,'The List'!$B1:$AH730,25,FALSE)-AVERAGE('The List'!Z2:Z730))/STDEV('The List'!Z2:Z730)</f>
        <v>-0.53635877131412202</v>
      </c>
      <c r="N493" s="38">
        <f>(VLOOKUP($A493,'The List'!$B1:$AH730,26,FALSE)-AVERAGE('The List'!AA2:AA730))/STDEV('The List'!AA2:AA730)</f>
        <v>1.3415906543934768</v>
      </c>
      <c r="O493" s="38">
        <f>(VLOOKUP($A493,'The List'!$B1:$AH730,27,FALSE)-AVERAGE('The List'!AB2:AB730))/STDEV('The List'!AB2:AB730)</f>
        <v>0.19500449934918326</v>
      </c>
      <c r="P493" s="38">
        <f>(VLOOKUP($A493,'The List'!$B1:$AH730,28,FALSE)-AVERAGE('The List'!AC2:AC730))/STDEV('The List'!AC2:AC730)</f>
        <v>0.90490243877481757</v>
      </c>
      <c r="Q493" s="38">
        <f>(VLOOKUP($A493,'The List'!$B1:$AH730,29,FALSE)-AVERAGE('The List'!AD2:AD730))/STDEV('The List'!AD2:AD730)</f>
        <v>0.36475556713436236</v>
      </c>
      <c r="R493" s="38">
        <f>(VLOOKUP($A493,'The List'!$B1:$AH730,30,FALSE)-AVERAGE('The List'!AE2:AE730))/STDEV('The List'!AE2:AE730)</f>
        <v>-0.76941748017720013</v>
      </c>
      <c r="S493" s="38">
        <f>(VLOOKUP($A493,'The List'!$B1:$AH730,31,FALSE)-AVERAGE('The List'!AF2:AF730))/STDEV('The List'!AF2:AF730)</f>
        <v>-0.56911587195029545</v>
      </c>
      <c r="T493" s="38">
        <f>(VLOOKUP($A493,'The List'!$B1:$AH730,32,FALSE)-AVERAGE('The List'!AG2:AG730))/STDEV('The List'!AG2:AG730)</f>
        <v>-0.61510119871956948</v>
      </c>
      <c r="U493" s="38">
        <f>(VLOOKUP($A493,'The List'!$B1:$AH730,33,FALSE)-AVERAGE('The List'!AH2:AH730))/STDEV('The List'!AH2:AH730)</f>
        <v>-1.2363238714825984</v>
      </c>
      <c r="V493" s="38"/>
      <c r="W493" s="42"/>
      <c r="X493" s="40"/>
      <c r="Y493" s="40"/>
      <c r="Z493" s="40"/>
      <c r="AA493" s="40"/>
      <c r="AB493" s="40"/>
      <c r="AC493" s="43"/>
      <c r="AD493" s="44"/>
      <c r="AE493" s="38"/>
    </row>
    <row r="494" spans="1:31" ht="21.2" customHeight="1">
      <c r="A494" s="8" t="s">
        <v>498</v>
      </c>
      <c r="B494" s="34" t="str">
        <f>VLOOKUP(A494,'Player Data'!A1:B734,2,FALSE)</f>
        <v>DET</v>
      </c>
      <c r="C494" s="36">
        <f>((E494)*Settings!$C$12)+(F494*Settings!$C$2)+(G494*Settings!$C$3)+(H494*Settings!$C$4)+(I494*Settings!$C$5)+(K494*Settings!$C$9)+(N494*Settings!$C$6)+(J494*Settings!$C$8)+(O494*Settings!$C$7)+(P494*Settings!$C$14)+(Q494*Settings!$C$15)+(R494*Settings!$C$16)+(S494*Settings!$C$17)+(T494*Settings!$C$18)+(U494*Settings!$C$19)+(L494*Settings!$C$10)+(Settings!$C$11*M494)</f>
        <v>-4.4879280668842911</v>
      </c>
      <c r="D494" s="40">
        <f>IF(Settings!$E$12="YES",VLOOKUP(A494,'Player Data'!A1:E734,5,FALSE),82)</f>
        <v>82</v>
      </c>
      <c r="E494" s="38">
        <f>(VLOOKUP($A494,'The List'!$B1:$AH730,17,FALSE)-AVERAGE('The List'!R2:R730))/STDEV('The List'!R2:R730)</f>
        <v>0.56858703233948016</v>
      </c>
      <c r="F494" s="38">
        <f>(VLOOKUP($A494,'The List'!$B1:$AH730,18,FALSE)-AVERAGE('The List'!S2:S730))/STDEV('The List'!S2:S730)</f>
        <v>-1.1363222677675047</v>
      </c>
      <c r="G494" s="38">
        <f>(VLOOKUP($A494,'The List'!$B1:$AH730,19,FALSE)-AVERAGE('The List'!T2:T730))/STDEV('The List'!T2:T730)</f>
        <v>-0.45103581072340732</v>
      </c>
      <c r="H494" s="38">
        <f>(VLOOKUP($A494,'The List'!$B1:$AH730,20,FALSE)-AVERAGE('The List'!U2:U730))/STDEV('The List'!U2:U730)</f>
        <v>-0.80542493404103777</v>
      </c>
      <c r="I494" s="38">
        <f>(VLOOKUP($A494,'The List'!$B1:$AH730,21,FALSE)-AVERAGE('The List'!V2:V730))/STDEV('The List'!V2:V730)</f>
        <v>-1.2837336160949522</v>
      </c>
      <c r="J494" s="38">
        <f>(VLOOKUP($A494,'The List'!$B1:$AH730,22,FALSE)-AVERAGE('The List'!W2:W730))/STDEV('The List'!W2:W730)</f>
        <v>-0.73149867564806836</v>
      </c>
      <c r="K494" s="38">
        <f>(VLOOKUP($A494,'The List'!$B1:$AH730,23,FALSE)-AVERAGE('The List'!X2:X730))/STDEV('The List'!X2:X730)</f>
        <v>-0.81141143825738893</v>
      </c>
      <c r="L494" s="38">
        <f>(VLOOKUP($A494,'The List'!$B1:$AH730,24,FALSE)-AVERAGE('The List'!Y2:Y730))/STDEV('The List'!Y2:Y730)</f>
        <v>-0.17266400462469811</v>
      </c>
      <c r="M494" s="38">
        <f>(VLOOKUP($A494,'The List'!$B1:$AH730,25,FALSE)-AVERAGE('The List'!Z2:Z730))/STDEV('The List'!Z2:Z730)</f>
        <v>0.12999817974699632</v>
      </c>
      <c r="N494" s="38">
        <f>(VLOOKUP($A494,'The List'!$B1:$AH730,26,FALSE)-AVERAGE('The List'!AA2:AA730))/STDEV('The List'!AA2:AA730)</f>
        <v>1.4029311489052514</v>
      </c>
      <c r="O494" s="38">
        <f>(VLOOKUP($A494,'The List'!$B1:$AH730,27,FALSE)-AVERAGE('The List'!AB2:AB730))/STDEV('The List'!AB2:AB730)</f>
        <v>0.69488038482409609</v>
      </c>
      <c r="P494" s="38">
        <f>(VLOOKUP($A494,'The List'!$B1:$AH730,28,FALSE)-AVERAGE('The List'!AC2:AC730))/STDEV('The List'!AC2:AC730)</f>
        <v>-0.46953699327768894</v>
      </c>
      <c r="Q494" s="38">
        <f>(VLOOKUP($A494,'The List'!$B1:$AH730,29,FALSE)-AVERAGE('The List'!AD2:AD730))/STDEV('The List'!AD2:AD730)</f>
        <v>0.26345161326137601</v>
      </c>
      <c r="R494" s="38">
        <f>(VLOOKUP($A494,'The List'!$B1:$AH730,30,FALSE)-AVERAGE('The List'!AE2:AE730))/STDEV('The List'!AE2:AE730)</f>
        <v>-1.0502328847309523</v>
      </c>
      <c r="S494" s="38">
        <f>(VLOOKUP($A494,'The List'!$B1:$AH730,31,FALSE)-AVERAGE('The List'!AF2:AF730))/STDEV('The List'!AF2:AF730)</f>
        <v>-0.56911587195029545</v>
      </c>
      <c r="T494" s="38">
        <f>(VLOOKUP($A494,'The List'!$B1:$AH730,32,FALSE)-AVERAGE('The List'!AG2:AG730))/STDEV('The List'!AG2:AG730)</f>
        <v>-0.61510119871956948</v>
      </c>
      <c r="U494" s="38">
        <f>(VLOOKUP($A494,'The List'!$B1:$AH730,33,FALSE)-AVERAGE('The List'!AH2:AH730))/STDEV('The List'!AH2:AH730)</f>
        <v>-1.2363238714825984</v>
      </c>
      <c r="V494" s="38"/>
      <c r="W494" s="42"/>
      <c r="X494" s="40"/>
      <c r="Y494" s="40"/>
      <c r="Z494" s="40"/>
      <c r="AA494" s="40"/>
      <c r="AB494" s="40"/>
      <c r="AC494" s="43"/>
      <c r="AD494" s="44"/>
      <c r="AE494" s="38"/>
    </row>
    <row r="495" spans="1:31" ht="21.2" customHeight="1">
      <c r="A495" s="8" t="s">
        <v>728</v>
      </c>
      <c r="B495" s="34" t="str">
        <f>VLOOKUP(A495,'Player Data'!A1:B734,2,FALSE)</f>
        <v>CHI</v>
      </c>
      <c r="C495" s="36">
        <f>((E495)*Settings!$C$12)+(F495*Settings!$C$2)+(G495*Settings!$C$3)+(H495*Settings!$C$4)+(I495*Settings!$C$5)+(K495*Settings!$C$9)+(N495*Settings!$C$6)+(J495*Settings!$C$8)+(O495*Settings!$C$7)+(P495*Settings!$C$14)+(Q495*Settings!$C$15)+(R495*Settings!$C$16)+(S495*Settings!$C$17)+(T495*Settings!$C$18)+(U495*Settings!$C$19)+(L495*Settings!$C$10)+(Settings!$C$11*M495)</f>
        <v>-3.9176149188486202</v>
      </c>
      <c r="D495" s="40">
        <f>IF(Settings!$E$12="YES",VLOOKUP(A495,'Player Data'!A1:E734,5,FALSE),82)</f>
        <v>82</v>
      </c>
      <c r="E495" s="38">
        <f>(VLOOKUP($A495,'The List'!$B1:$AH730,17,FALSE)-AVERAGE('The List'!R2:R730))/STDEV('The List'!R2:R730)</f>
        <v>-1.2236076479948883</v>
      </c>
      <c r="F495" s="38">
        <f>(VLOOKUP($A495,'The List'!$B1:$AH730,18,FALSE)-AVERAGE('The List'!S2:S730))/STDEV('The List'!S2:S730)</f>
        <v>-0.7584343649492753</v>
      </c>
      <c r="G495" s="38">
        <f>(VLOOKUP($A495,'The List'!$B1:$AH730,19,FALSE)-AVERAGE('The List'!T2:T730))/STDEV('The List'!T2:T730)</f>
        <v>-0.73980727379385069</v>
      </c>
      <c r="H495" s="38">
        <f>(VLOOKUP($A495,'The List'!$B1:$AH730,20,FALSE)-AVERAGE('The List'!U2:U730))/STDEV('The List'!U2:U730)</f>
        <v>-0.80721642667437776</v>
      </c>
      <c r="I495" s="38">
        <f>(VLOOKUP($A495,'The List'!$B1:$AH730,21,FALSE)-AVERAGE('The List'!V2:V730))/STDEV('The List'!V2:V730)</f>
        <v>-0.83274713934036781</v>
      </c>
      <c r="J495" s="38">
        <f>(VLOOKUP($A495,'The List'!$B1:$AH730,22,FALSE)-AVERAGE('The List'!W2:W730))/STDEV('The List'!W2:W730)</f>
        <v>-0.69326863503091607</v>
      </c>
      <c r="K495" s="38">
        <f>(VLOOKUP($A495,'The List'!$B1:$AH730,23,FALSE)-AVERAGE('The List'!X2:X730))/STDEV('The List'!X2:X730)</f>
        <v>-0.77940971409074811</v>
      </c>
      <c r="L495" s="38">
        <f>(VLOOKUP($A495,'The List'!$B1:$AH730,24,FALSE)-AVERAGE('The List'!Y2:Y730))/STDEV('The List'!Y2:Y730)</f>
        <v>-0.39908876882968602</v>
      </c>
      <c r="M495" s="38">
        <f>(VLOOKUP($A495,'The List'!$B1:$AH730,25,FALSE)-AVERAGE('The List'!Z2:Z730))/STDEV('The List'!Z2:Z730)</f>
        <v>0.44695212568094556</v>
      </c>
      <c r="N495" s="38">
        <f>(VLOOKUP($A495,'The List'!$B1:$AH730,26,FALSE)-AVERAGE('The List'!AA2:AA730))/STDEV('The List'!AA2:AA730)</f>
        <v>-0.52928634088218585</v>
      </c>
      <c r="O495" s="38">
        <f>(VLOOKUP($A495,'The List'!$B1:$AH730,27,FALSE)-AVERAGE('The List'!AB2:AB730))/STDEV('The List'!AB2:AB730)</f>
        <v>1.7349750492736977</v>
      </c>
      <c r="P495" s="38">
        <f>(VLOOKUP($A495,'The List'!$B1:$AH730,28,FALSE)-AVERAGE('The List'!AC2:AC730))/STDEV('The List'!AC2:AC730)</f>
        <v>-1.3641030563040457</v>
      </c>
      <c r="Q495" s="38">
        <f>(VLOOKUP($A495,'The List'!$B1:$AH730,29,FALSE)-AVERAGE('The List'!AD2:AD730))/STDEV('The List'!AD2:AD730)</f>
        <v>1.0325878531981525</v>
      </c>
      <c r="R495" s="38">
        <f>(VLOOKUP($A495,'The List'!$B1:$AH730,30,FALSE)-AVERAGE('The List'!AE2:AE730))/STDEV('The List'!AE2:AE730)</f>
        <v>-0.78492332905954854</v>
      </c>
      <c r="S495" s="38">
        <f>(VLOOKUP($A495,'The List'!$B1:$AH730,31,FALSE)-AVERAGE('The List'!AF2:AF730))/STDEV('The List'!AF2:AF730)</f>
        <v>-0.26928561240196769</v>
      </c>
      <c r="T495" s="38">
        <f>(VLOOKUP($A495,'The List'!$B1:$AH730,32,FALSE)-AVERAGE('The List'!AG2:AG730))/STDEV('The List'!AG2:AG730)</f>
        <v>-0.33555689094592739</v>
      </c>
      <c r="U495" s="38">
        <f>(VLOOKUP($A495,'The List'!$B1:$AH730,33,FALSE)-AVERAGE('The List'!AH2:AH730))/STDEV('The List'!AH2:AH730)</f>
        <v>1.1565525983579326</v>
      </c>
      <c r="V495" s="38"/>
      <c r="W495" s="40"/>
      <c r="X495" s="38"/>
      <c r="Y495" s="38"/>
      <c r="Z495" s="38"/>
      <c r="AA495" s="38"/>
      <c r="AB495" s="38"/>
      <c r="AC495" s="38"/>
      <c r="AD495" s="38"/>
      <c r="AE495" s="38"/>
    </row>
    <row r="496" spans="1:31" ht="21.2" customHeight="1">
      <c r="A496" s="8" t="s">
        <v>461</v>
      </c>
      <c r="B496" s="34" t="str">
        <f>VLOOKUP(A496,'Player Data'!A1:B734,2,FALSE)</f>
        <v>CGY</v>
      </c>
      <c r="C496" s="36">
        <f>((E496)*Settings!$C$12)+(F496*Settings!$C$2)+(G496*Settings!$C$3)+(H496*Settings!$C$4)+(I496*Settings!$C$5)+(K496*Settings!$C$9)+(N496*Settings!$C$6)+(J496*Settings!$C$8)+(O496*Settings!$C$7)+(P496*Settings!$C$14)+(Q496*Settings!$C$15)+(R496*Settings!$C$16)+(S496*Settings!$C$17)+(T496*Settings!$C$18)+(U496*Settings!$C$19)+(L496*Settings!$C$10)+(Settings!$C$11*M496)</f>
        <v>-3.9599737996800362</v>
      </c>
      <c r="D496" s="40">
        <f>IF(Settings!$E$12="YES",VLOOKUP(A496,'Player Data'!A1:E734,5,FALSE),82)</f>
        <v>82</v>
      </c>
      <c r="E496" s="38">
        <f>(VLOOKUP($A496,'The List'!$B1:$AH730,17,FALSE)-AVERAGE('The List'!R2:R730))/STDEV('The List'!R2:R730)</f>
        <v>0.915544771098313</v>
      </c>
      <c r="F496" s="38">
        <f>(VLOOKUP($A496,'The List'!$B1:$AH730,18,FALSE)-AVERAGE('The List'!S2:S730))/STDEV('The List'!S2:S730)</f>
        <v>-1.0398307523980928</v>
      </c>
      <c r="G496" s="38">
        <f>(VLOOKUP($A496,'The List'!$B1:$AH730,19,FALSE)-AVERAGE('The List'!T2:T730))/STDEV('The List'!T2:T730)</f>
        <v>-0.52863812574972024</v>
      </c>
      <c r="H496" s="38">
        <f>(VLOOKUP($A496,'The List'!$B1:$AH730,20,FALSE)-AVERAGE('The List'!U2:U730))/STDEV('The List'!U2:U730)</f>
        <v>-0.80825829684442452</v>
      </c>
      <c r="I496" s="38">
        <f>(VLOOKUP($A496,'The List'!$B1:$AH730,21,FALSE)-AVERAGE('The List'!V2:V730))/STDEV('The List'!V2:V730)</f>
        <v>-0.83558042793686205</v>
      </c>
      <c r="J496" s="38">
        <f>(VLOOKUP($A496,'The List'!$B1:$AH730,22,FALSE)-AVERAGE('The List'!W2:W730))/STDEV('The List'!W2:W730)</f>
        <v>-0.71798590570346366</v>
      </c>
      <c r="K496" s="38">
        <f>(VLOOKUP($A496,'The List'!$B1:$AH730,23,FALSE)-AVERAGE('The List'!X2:X730))/STDEV('The List'!X2:X730)</f>
        <v>-0.74766619675093671</v>
      </c>
      <c r="L496" s="38">
        <f>(VLOOKUP($A496,'The List'!$B1:$AH730,24,FALSE)-AVERAGE('The List'!Y2:Y730))/STDEV('The List'!Y2:Y730)</f>
        <v>-0.61725453983260969</v>
      </c>
      <c r="M496" s="38">
        <f>(VLOOKUP($A496,'The List'!$B1:$AH730,25,FALSE)-AVERAGE('The List'!Z2:Z730))/STDEV('The List'!Z2:Z730)</f>
        <v>-0.93364108526709799</v>
      </c>
      <c r="N496" s="38">
        <f>(VLOOKUP($A496,'The List'!$B1:$AH730,26,FALSE)-AVERAGE('The List'!AA2:AA730))/STDEV('The List'!AA2:AA730)</f>
        <v>2.1272660438996871</v>
      </c>
      <c r="O496" s="38">
        <f>(VLOOKUP($A496,'The List'!$B1:$AH730,27,FALSE)-AVERAGE('The List'!AB2:AB730))/STDEV('The List'!AB2:AB730)</f>
        <v>-0.5393982305105256</v>
      </c>
      <c r="P496" s="38">
        <f>(VLOOKUP($A496,'The List'!$B1:$AH730,28,FALSE)-AVERAGE('The List'!AC2:AC730))/STDEV('The List'!AC2:AC730)</f>
        <v>0.9516951216663383</v>
      </c>
      <c r="Q496" s="38">
        <f>(VLOOKUP($A496,'The List'!$B1:$AH730,29,FALSE)-AVERAGE('The List'!AD2:AD730))/STDEV('The List'!AD2:AD730)</f>
        <v>-0.6744401333387211</v>
      </c>
      <c r="R496" s="38">
        <f>(VLOOKUP($A496,'The List'!$B1:$AH730,30,FALSE)-AVERAGE('The List'!AE2:AE730))/STDEV('The List'!AE2:AE730)</f>
        <v>-0.8923384868559644</v>
      </c>
      <c r="S496" s="38">
        <f>(VLOOKUP($A496,'The List'!$B1:$AH730,31,FALSE)-AVERAGE('The List'!AF2:AF730))/STDEV('The List'!AF2:AF730)</f>
        <v>-0.56911587195029545</v>
      </c>
      <c r="T496" s="38">
        <f>(VLOOKUP($A496,'The List'!$B1:$AH730,32,FALSE)-AVERAGE('The List'!AG2:AG730))/STDEV('The List'!AG2:AG730)</f>
        <v>-0.61510119871956948</v>
      </c>
      <c r="U496" s="38">
        <f>(VLOOKUP($A496,'The List'!$B1:$AH730,33,FALSE)-AVERAGE('The List'!AH2:AH730))/STDEV('The List'!AH2:AH730)</f>
        <v>-1.2363238714825984</v>
      </c>
      <c r="V496" s="38"/>
      <c r="W496" s="42"/>
      <c r="X496" s="40"/>
      <c r="Y496" s="40"/>
      <c r="Z496" s="40"/>
      <c r="AA496" s="40"/>
      <c r="AB496" s="40"/>
      <c r="AC496" s="43"/>
      <c r="AD496" s="44"/>
      <c r="AE496" s="38"/>
    </row>
    <row r="497" spans="1:31" ht="21.2" customHeight="1">
      <c r="A497" s="8" t="s">
        <v>711</v>
      </c>
      <c r="B497" s="34" t="str">
        <f>VLOOKUP(A497,'Player Data'!A1:B734,2,FALSE)</f>
        <v>STL</v>
      </c>
      <c r="C497" s="36">
        <f>((E497)*Settings!$C$12)+(F497*Settings!$C$2)+(G497*Settings!$C$3)+(H497*Settings!$C$4)+(I497*Settings!$C$5)+(K497*Settings!$C$9)+(N497*Settings!$C$6)+(J497*Settings!$C$8)+(O497*Settings!$C$7)+(P497*Settings!$C$14)+(Q497*Settings!$C$15)+(R497*Settings!$C$16)+(S497*Settings!$C$17)+(T497*Settings!$C$18)+(U497*Settings!$C$19)+(L497*Settings!$C$10)+(Settings!$C$11*M497)</f>
        <v>-3.7049741314572016</v>
      </c>
      <c r="D497" s="40">
        <f>IF(Settings!$E$12="YES",VLOOKUP(A497,'Player Data'!A1:E734,5,FALSE),82)</f>
        <v>82</v>
      </c>
      <c r="E497" s="38">
        <f>(VLOOKUP($A497,'The List'!$B1:$AH730,17,FALSE)-AVERAGE('The List'!R2:R730))/STDEV('The List'!R2:R730)</f>
        <v>-1.2402687877842031</v>
      </c>
      <c r="F497" s="38">
        <f>(VLOOKUP($A497,'The List'!$B1:$AH730,18,FALSE)-AVERAGE('The List'!S2:S730))/STDEV('The List'!S2:S730)</f>
        <v>-0.34394463383382201</v>
      </c>
      <c r="G497" s="38">
        <f>(VLOOKUP($A497,'The List'!$B1:$AH730,19,FALSE)-AVERAGE('The List'!T2:T730))/STDEV('The List'!T2:T730)</f>
        <v>-1.0569968074022877</v>
      </c>
      <c r="H497" s="38">
        <f>(VLOOKUP($A497,'The List'!$B1:$AH730,20,FALSE)-AVERAGE('The List'!U2:U730))/STDEV('The List'!U2:U730)</f>
        <v>-0.80945673518128747</v>
      </c>
      <c r="I497" s="38">
        <f>(VLOOKUP($A497,'The List'!$B1:$AH730,21,FALSE)-AVERAGE('The List'!V2:V730))/STDEV('The List'!V2:V730)</f>
        <v>-0.68410422553089945</v>
      </c>
      <c r="J497" s="38">
        <f>(VLOOKUP($A497,'The List'!$B1:$AH730,22,FALSE)-AVERAGE('The List'!W2:W730))/STDEV('The List'!W2:W730)</f>
        <v>-0.72020426973712703</v>
      </c>
      <c r="K497" s="38">
        <f>(VLOOKUP($A497,'The List'!$B1:$AH730,23,FALSE)-AVERAGE('The List'!X2:X730))/STDEV('The List'!X2:X730)</f>
        <v>-0.81047172950890478</v>
      </c>
      <c r="L497" s="38">
        <f>(VLOOKUP($A497,'The List'!$B1:$AH730,24,FALSE)-AVERAGE('The List'!Y2:Y730))/STDEV('The List'!Y2:Y730)</f>
        <v>0.99514443800670749</v>
      </c>
      <c r="M497" s="38">
        <f>(VLOOKUP($A497,'The List'!$B1:$AH730,25,FALSE)-AVERAGE('The List'!Z2:Z730))/STDEV('The List'!Z2:Z730)</f>
        <v>0.44412729330591794</v>
      </c>
      <c r="N497" s="38">
        <f>(VLOOKUP($A497,'The List'!$B1:$AH730,26,FALSE)-AVERAGE('The List'!AA2:AA730))/STDEV('The List'!AA2:AA730)</f>
        <v>-0.3173098892390977</v>
      </c>
      <c r="O497" s="38">
        <f>(VLOOKUP($A497,'The List'!$B1:$AH730,27,FALSE)-AVERAGE('The List'!AB2:AB730))/STDEV('The List'!AB2:AB730)</f>
        <v>0.96083495120642037</v>
      </c>
      <c r="P497" s="38">
        <f>(VLOOKUP($A497,'The List'!$B1:$AH730,28,FALSE)-AVERAGE('The List'!AC2:AC730))/STDEV('The List'!AC2:AC730)</f>
        <v>-1.0066546662825548</v>
      </c>
      <c r="Q497" s="38">
        <f>(VLOOKUP($A497,'The List'!$B1:$AH730,29,FALSE)-AVERAGE('The List'!AD2:AD730))/STDEV('The List'!AD2:AD730)</f>
        <v>-0.80510233914694052</v>
      </c>
      <c r="R497" s="38">
        <f>(VLOOKUP($A497,'The List'!$B1:$AH730,30,FALSE)-AVERAGE('The List'!AE2:AE730))/STDEV('The List'!AE2:AE730)</f>
        <v>-0.48271418692791468</v>
      </c>
      <c r="S497" s="38">
        <f>(VLOOKUP($A497,'The List'!$B1:$AH730,31,FALSE)-AVERAGE('The List'!AF2:AF730))/STDEV('The List'!AF2:AF730)</f>
        <v>-0.55727922872590552</v>
      </c>
      <c r="T497" s="38">
        <f>(VLOOKUP($A497,'The List'!$B1:$AH730,32,FALSE)-AVERAGE('The List'!AG2:AG730))/STDEV('The List'!AG2:AG730)</f>
        <v>-0.58133672558323946</v>
      </c>
      <c r="U497" s="38">
        <f>(VLOOKUP($A497,'The List'!$B1:$AH730,33,FALSE)-AVERAGE('The List'!AH2:AH730))/STDEV('The List'!AH2:AH730)</f>
        <v>-2.0643169928599894E-2</v>
      </c>
      <c r="V497" s="38"/>
      <c r="W497" s="40"/>
      <c r="X497" s="38"/>
      <c r="Y497" s="38"/>
      <c r="Z497" s="38"/>
      <c r="AA497" s="38"/>
      <c r="AB497" s="38"/>
      <c r="AC497" s="38"/>
      <c r="AD497" s="38"/>
      <c r="AE497" s="38"/>
    </row>
    <row r="498" spans="1:31" ht="21.2" customHeight="1">
      <c r="A498" s="8" t="s">
        <v>718</v>
      </c>
      <c r="B498" s="34" t="str">
        <f>VLOOKUP(A498,'Player Data'!A1:B734,2,FALSE)</f>
        <v>FLA</v>
      </c>
      <c r="C498" s="36">
        <f>((E498)*Settings!$C$12)+(F498*Settings!$C$2)+(G498*Settings!$C$3)+(H498*Settings!$C$4)+(I498*Settings!$C$5)+(K498*Settings!$C$9)+(N498*Settings!$C$6)+(J498*Settings!$C$8)+(O498*Settings!$C$7)+(P498*Settings!$C$14)+(Q498*Settings!$C$15)+(R498*Settings!$C$16)+(S498*Settings!$C$17)+(T498*Settings!$C$18)+(U498*Settings!$C$19)+(L498*Settings!$C$10)+(Settings!$C$11*M498)</f>
        <v>-3.2667706376833046</v>
      </c>
      <c r="D498" s="40">
        <f>IF(Settings!$E$12="YES",VLOOKUP(A498,'Player Data'!A1:E734,5,FALSE),82)</f>
        <v>82</v>
      </c>
      <c r="E498" s="38">
        <f>(VLOOKUP($A498,'The List'!$B1:$AH730,17,FALSE)-AVERAGE('The List'!R2:R730))/STDEV('The List'!R2:R730)</f>
        <v>-1.4175045359034957</v>
      </c>
      <c r="F498" s="38">
        <f>(VLOOKUP($A498,'The List'!$B1:$AH730,18,FALSE)-AVERAGE('The List'!S2:S730))/STDEV('The List'!S2:S730)</f>
        <v>-0.312612603661507</v>
      </c>
      <c r="G498" s="38">
        <f>(VLOOKUP($A498,'The List'!$B1:$AH730,19,FALSE)-AVERAGE('The List'!T2:T730))/STDEV('The List'!T2:T730)</f>
        <v>-1.0812250234720424</v>
      </c>
      <c r="H498" s="38">
        <f>(VLOOKUP($A498,'The List'!$B1:$AH730,20,FALSE)-AVERAGE('The List'!U2:U730))/STDEV('The List'!U2:U730)</f>
        <v>-0.80978050819776104</v>
      </c>
      <c r="I498" s="38">
        <f>(VLOOKUP($A498,'The List'!$B1:$AH730,21,FALSE)-AVERAGE('The List'!V2:V730))/STDEV('The List'!V2:V730)</f>
        <v>-0.25200366231090182</v>
      </c>
      <c r="J498" s="38">
        <f>(VLOOKUP($A498,'The List'!$B1:$AH730,22,FALSE)-AVERAGE('The List'!W2:W730))/STDEV('The List'!W2:W730)</f>
        <v>-0.72143175262363124</v>
      </c>
      <c r="K498" s="38">
        <f>(VLOOKUP($A498,'The List'!$B1:$AH730,23,FALSE)-AVERAGE('The List'!X2:X730))/STDEV('The List'!X2:X730)</f>
        <v>-0.81114884004109222</v>
      </c>
      <c r="L498" s="38">
        <f>(VLOOKUP($A498,'The List'!$B1:$AH730,24,FALSE)-AVERAGE('The List'!Y2:Y730))/STDEV('The List'!Y2:Y730)</f>
        <v>-0.44777717605113559</v>
      </c>
      <c r="M498" s="38">
        <f>(VLOOKUP($A498,'The List'!$B1:$AH730,25,FALSE)-AVERAGE('The List'!Z2:Z730))/STDEV('The List'!Z2:Z730)</f>
        <v>-0.4510388531315222</v>
      </c>
      <c r="N498" s="38">
        <f>(VLOOKUP($A498,'The List'!$B1:$AH730,26,FALSE)-AVERAGE('The List'!AA2:AA730))/STDEV('The List'!AA2:AA730)</f>
        <v>-1.0329940803628574</v>
      </c>
      <c r="O498" s="38">
        <f>(VLOOKUP($A498,'The List'!$B1:$AH730,27,FALSE)-AVERAGE('The List'!AB2:AB730))/STDEV('The List'!AB2:AB730)</f>
        <v>1.0417672176239994</v>
      </c>
      <c r="P498" s="38">
        <f>(VLOOKUP($A498,'The List'!$B1:$AH730,28,FALSE)-AVERAGE('The List'!AC2:AC730))/STDEV('The List'!AC2:AC730)</f>
        <v>0.58932750481979446</v>
      </c>
      <c r="Q498" s="38">
        <f>(VLOOKUP($A498,'The List'!$B1:$AH730,29,FALSE)-AVERAGE('The List'!AD2:AD730))/STDEV('The List'!AD2:AD730)</f>
        <v>1.9261924270426585</v>
      </c>
      <c r="R498" s="38">
        <f>(VLOOKUP($A498,'The List'!$B1:$AH730,30,FALSE)-AVERAGE('The List'!AE2:AE730))/STDEV('The List'!AE2:AE730)</f>
        <v>-0.26382022453324039</v>
      </c>
      <c r="S498" s="38">
        <f>(VLOOKUP($A498,'The List'!$B1:$AH730,31,FALSE)-AVERAGE('The List'!AF2:AF730))/STDEV('The List'!AF2:AF730)</f>
        <v>-0.52933616416666229</v>
      </c>
      <c r="T498" s="38">
        <f>(VLOOKUP($A498,'The List'!$B1:$AH730,32,FALSE)-AVERAGE('The List'!AG2:AG730))/STDEV('The List'!AG2:AG730)</f>
        <v>-0.52934448234450893</v>
      </c>
      <c r="U498" s="38">
        <f>(VLOOKUP($A498,'The List'!$B1:$AH730,33,FALSE)-AVERAGE('The List'!AH2:AH730))/STDEV('The List'!AH2:AH730)</f>
        <v>0.24352134953042376</v>
      </c>
      <c r="V498" s="38"/>
      <c r="W498" s="42"/>
      <c r="X498" s="40"/>
      <c r="Y498" s="40"/>
      <c r="Z498" s="40"/>
      <c r="AA498" s="40"/>
      <c r="AB498" s="40"/>
      <c r="AC498" s="43"/>
      <c r="AD498" s="44"/>
      <c r="AE498" s="38"/>
    </row>
    <row r="499" spans="1:31" ht="21.2" customHeight="1">
      <c r="A499" s="8" t="s">
        <v>473</v>
      </c>
      <c r="B499" s="34" t="str">
        <f>VLOOKUP(A499,'Player Data'!A1:B734,2,FALSE)</f>
        <v>VGK</v>
      </c>
      <c r="C499" s="36">
        <f>((E499)*Settings!$C$12)+(F499*Settings!$C$2)+(G499*Settings!$C$3)+(H499*Settings!$C$4)+(I499*Settings!$C$5)+(K499*Settings!$C$9)+(N499*Settings!$C$6)+(J499*Settings!$C$8)+(O499*Settings!$C$7)+(P499*Settings!$C$14)+(Q499*Settings!$C$15)+(R499*Settings!$C$16)+(S499*Settings!$C$17)+(T499*Settings!$C$18)+(U499*Settings!$C$19)+(L499*Settings!$C$10)+(Settings!$C$11*M499)</f>
        <v>-3.9038653310191989</v>
      </c>
      <c r="D499" s="40">
        <f>IF(Settings!$E$12="YES",VLOOKUP(A499,'Player Data'!A1:E734,5,FALSE),82)</f>
        <v>82</v>
      </c>
      <c r="E499" s="38">
        <f>(VLOOKUP($A499,'The List'!$B1:$AH730,17,FALSE)-AVERAGE('The List'!R2:R730))/STDEV('The List'!R2:R730)</f>
        <v>0.2398855972443035</v>
      </c>
      <c r="F499" s="38">
        <f>(VLOOKUP($A499,'The List'!$B1:$AH730,18,FALSE)-AVERAGE('The List'!S2:S730))/STDEV('The List'!S2:S730)</f>
        <v>-0.7241013946229381</v>
      </c>
      <c r="G499" s="38">
        <f>(VLOOKUP($A499,'The List'!$B1:$AH730,19,FALSE)-AVERAGE('The List'!T2:T730))/STDEV('The List'!T2:T730)</f>
        <v>-0.77116097090955948</v>
      </c>
      <c r="H499" s="38">
        <f>(VLOOKUP($A499,'The List'!$B1:$AH730,20,FALSE)-AVERAGE('The List'!U2:U730))/STDEV('The List'!U2:U730)</f>
        <v>-0.81052403165953379</v>
      </c>
      <c r="I499" s="38">
        <f>(VLOOKUP($A499,'The List'!$B1:$AH730,21,FALSE)-AVERAGE('The List'!V2:V730))/STDEV('The List'!V2:V730)</f>
        <v>-0.77656712308364295</v>
      </c>
      <c r="J499" s="38">
        <f>(VLOOKUP($A499,'The List'!$B1:$AH730,22,FALSE)-AVERAGE('The List'!W2:W730))/STDEV('The List'!W2:W730)</f>
        <v>-0.73533946588417654</v>
      </c>
      <c r="K499" s="38">
        <f>(VLOOKUP($A499,'The List'!$B1:$AH730,23,FALSE)-AVERAGE('The List'!X2:X730))/STDEV('The List'!X2:X730)</f>
        <v>-0.82151181074352475</v>
      </c>
      <c r="L499" s="38">
        <f>(VLOOKUP($A499,'The List'!$B1:$AH730,24,FALSE)-AVERAGE('The List'!Y2:Y730))/STDEV('The List'!Y2:Y730)</f>
        <v>8.8302682200204097E-2</v>
      </c>
      <c r="M499" s="38">
        <f>(VLOOKUP($A499,'The List'!$B1:$AH730,25,FALSE)-AVERAGE('The List'!Z2:Z730))/STDEV('The List'!Z2:Z730)</f>
        <v>-0.14166891205400825</v>
      </c>
      <c r="N499" s="38">
        <f>(VLOOKUP($A499,'The List'!$B1:$AH730,26,FALSE)-AVERAGE('The List'!AA2:AA730))/STDEV('The List'!AA2:AA730)</f>
        <v>1.6068728999603974</v>
      </c>
      <c r="O499" s="38">
        <f>(VLOOKUP($A499,'The List'!$B1:$AH730,27,FALSE)-AVERAGE('The List'!AB2:AB730))/STDEV('The List'!AB2:AB730)</f>
        <v>0.43662472093168975</v>
      </c>
      <c r="P499" s="38">
        <f>(VLOOKUP($A499,'The List'!$B1:$AH730,28,FALSE)-AVERAGE('The List'!AC2:AC730))/STDEV('The List'!AC2:AC730)</f>
        <v>1.1106556868313202</v>
      </c>
      <c r="Q499" s="38">
        <f>(VLOOKUP($A499,'The List'!$B1:$AH730,29,FALSE)-AVERAGE('The List'!AD2:AD730))/STDEV('The List'!AD2:AD730)</f>
        <v>0.11225559820399914</v>
      </c>
      <c r="R499" s="38">
        <f>(VLOOKUP($A499,'The List'!$B1:$AH730,30,FALSE)-AVERAGE('The List'!AE2:AE730))/STDEV('The List'!AE2:AE730)</f>
        <v>-0.56421090750885128</v>
      </c>
      <c r="S499" s="38">
        <f>(VLOOKUP($A499,'The List'!$B1:$AH730,31,FALSE)-AVERAGE('The List'!AF2:AF730))/STDEV('The List'!AF2:AF730)</f>
        <v>-0.56911587195029545</v>
      </c>
      <c r="T499" s="38">
        <f>(VLOOKUP($A499,'The List'!$B1:$AH730,32,FALSE)-AVERAGE('The List'!AG2:AG730))/STDEV('The List'!AG2:AG730)</f>
        <v>-0.61510119871956948</v>
      </c>
      <c r="U499" s="38">
        <f>(VLOOKUP($A499,'The List'!$B1:$AH730,33,FALSE)-AVERAGE('The List'!AH2:AH730))/STDEV('The List'!AH2:AH730)</f>
        <v>-1.2363238714825984</v>
      </c>
      <c r="V499" s="38"/>
      <c r="W499" s="42"/>
      <c r="X499" s="40"/>
      <c r="Y499" s="40"/>
      <c r="Z499" s="40"/>
      <c r="AA499" s="40"/>
      <c r="AB499" s="40"/>
      <c r="AC499" s="43"/>
      <c r="AD499" s="44"/>
      <c r="AE499" s="38"/>
    </row>
    <row r="500" spans="1:31" ht="21.2" customHeight="1">
      <c r="A500" s="8" t="s">
        <v>743</v>
      </c>
      <c r="B500" s="34" t="str">
        <f>VLOOKUP(A500,'Player Data'!A1:B734,2,FALSE)</f>
        <v>CHI</v>
      </c>
      <c r="C500" s="36">
        <f>((E500)*Settings!$C$12)+(F500*Settings!$C$2)+(G500*Settings!$C$3)+(H500*Settings!$C$4)+(I500*Settings!$C$5)+(K500*Settings!$C$9)+(N500*Settings!$C$6)+(J500*Settings!$C$8)+(O500*Settings!$C$7)+(P500*Settings!$C$14)+(Q500*Settings!$C$15)+(R500*Settings!$C$16)+(S500*Settings!$C$17)+(T500*Settings!$C$18)+(U500*Settings!$C$19)+(L500*Settings!$C$10)+(Settings!$C$11*M500)</f>
        <v>-3.9559172433966978</v>
      </c>
      <c r="D500" s="40">
        <f>IF(Settings!$E$12="YES",VLOOKUP(A500,'Player Data'!A1:E734,5,FALSE),82)</f>
        <v>82</v>
      </c>
      <c r="E500" s="38">
        <f>(VLOOKUP($A500,'The List'!$B1:$AH730,17,FALSE)-AVERAGE('The List'!R2:R730))/STDEV('The List'!R2:R730)</f>
        <v>-1.129309912893218</v>
      </c>
      <c r="F500" s="38">
        <f>(VLOOKUP($A500,'The List'!$B1:$AH730,18,FALSE)-AVERAGE('The List'!S2:S730))/STDEV('The List'!S2:S730)</f>
        <v>-0.66147017703327404</v>
      </c>
      <c r="G500" s="38">
        <f>(VLOOKUP($A500,'The List'!$B1:$AH730,19,FALSE)-AVERAGE('The List'!T2:T730))/STDEV('The List'!T2:T730)</f>
        <v>-0.8249864284103805</v>
      </c>
      <c r="H500" s="38">
        <f>(VLOOKUP($A500,'The List'!$B1:$AH730,20,FALSE)-AVERAGE('The List'!U2:U730))/STDEV('The List'!U2:U730)</f>
        <v>-0.81448632269538757</v>
      </c>
      <c r="I500" s="38">
        <f>(VLOOKUP($A500,'The List'!$B1:$AH730,21,FALSE)-AVERAGE('The List'!V2:V730))/STDEV('The List'!V2:V730)</f>
        <v>-0.88798580273670125</v>
      </c>
      <c r="J500" s="38">
        <f>(VLOOKUP($A500,'The List'!$B1:$AH730,22,FALSE)-AVERAGE('The List'!W2:W730))/STDEV('The List'!W2:W730)</f>
        <v>-0.67498780790534085</v>
      </c>
      <c r="K500" s="38">
        <f>(VLOOKUP($A500,'The List'!$B1:$AH730,23,FALSE)-AVERAGE('The List'!X2:X730))/STDEV('The List'!X2:X730)</f>
        <v>-0.76698851252095468</v>
      </c>
      <c r="L500" s="38">
        <f>(VLOOKUP($A500,'The List'!$B1:$AH730,24,FALSE)-AVERAGE('The List'!Y2:Y730))/STDEV('The List'!Y2:Y730)</f>
        <v>-9.6867418123536705E-2</v>
      </c>
      <c r="M500" s="38">
        <f>(VLOOKUP($A500,'The List'!$B1:$AH730,25,FALSE)-AVERAGE('The List'!Z2:Z730))/STDEV('The List'!Z2:Z730)</f>
        <v>0.953907063139533</v>
      </c>
      <c r="N500" s="38">
        <f>(VLOOKUP($A500,'The List'!$B1:$AH730,26,FALSE)-AVERAGE('The List'!AA2:AA730))/STDEV('The List'!AA2:AA730)</f>
        <v>-0.86651261334516583</v>
      </c>
      <c r="O500" s="38">
        <f>(VLOOKUP($A500,'The List'!$B1:$AH730,27,FALSE)-AVERAGE('The List'!AB2:AB730))/STDEV('The List'!AB2:AB730)</f>
        <v>0.89326667616243538</v>
      </c>
      <c r="P500" s="38">
        <f>(VLOOKUP($A500,'The List'!$B1:$AH730,28,FALSE)-AVERAGE('The List'!AC2:AC730))/STDEV('The List'!AC2:AC730)</f>
        <v>-1.7512674862877873</v>
      </c>
      <c r="Q500" s="38">
        <f>(VLOOKUP($A500,'The List'!$B1:$AH730,29,FALSE)-AVERAGE('The List'!AD2:AD730))/STDEV('The List'!AD2:AD730)</f>
        <v>-0.10882442217306162</v>
      </c>
      <c r="R500" s="38">
        <f>(VLOOKUP($A500,'The List'!$B1:$AH730,30,FALSE)-AVERAGE('The List'!AE2:AE730))/STDEV('The List'!AE2:AE730)</f>
        <v>-0.71092935786808775</v>
      </c>
      <c r="S500" s="38">
        <f>(VLOOKUP($A500,'The List'!$B1:$AH730,31,FALSE)-AVERAGE('The List'!AF2:AF730))/STDEV('The List'!AF2:AF730)</f>
        <v>-0.53986575056379937</v>
      </c>
      <c r="T500" s="38">
        <f>(VLOOKUP($A500,'The List'!$B1:$AH730,32,FALSE)-AVERAGE('The List'!AG2:AG730))/STDEV('The List'!AG2:AG730)</f>
        <v>-0.53154867911621351</v>
      </c>
      <c r="U500" s="38">
        <f>(VLOOKUP($A500,'The List'!$B1:$AH730,33,FALSE)-AVERAGE('The List'!AH2:AH730))/STDEV('The List'!AH2:AH730)</f>
        <v>-2.1871156870823128E-2</v>
      </c>
      <c r="V500" s="38"/>
      <c r="W500" s="42"/>
      <c r="X500" s="40"/>
      <c r="Y500" s="40"/>
      <c r="Z500" s="40"/>
      <c r="AA500" s="40"/>
      <c r="AB500" s="40"/>
      <c r="AC500" s="43"/>
      <c r="AD500" s="44"/>
      <c r="AE500" s="38"/>
    </row>
    <row r="501" spans="1:31" ht="21.2" customHeight="1">
      <c r="A501" s="8" t="s">
        <v>515</v>
      </c>
      <c r="B501" s="34" t="str">
        <f>VLOOKUP(A501,'Player Data'!A1:B734,2,FALSE)</f>
        <v>COL</v>
      </c>
      <c r="C501" s="36">
        <f>((E501)*Settings!$C$12)+(F501*Settings!$C$2)+(G501*Settings!$C$3)+(H501*Settings!$C$4)+(I501*Settings!$C$5)+(K501*Settings!$C$9)+(N501*Settings!$C$6)+(J501*Settings!$C$8)+(O501*Settings!$C$7)+(P501*Settings!$C$14)+(Q501*Settings!$C$15)+(R501*Settings!$C$16)+(S501*Settings!$C$17)+(T501*Settings!$C$18)+(U501*Settings!$C$19)+(L501*Settings!$C$10)+(Settings!$C$11*M501)</f>
        <v>-3.7995060683518176</v>
      </c>
      <c r="D501" s="40">
        <f>IF(Settings!$E$12="YES",VLOOKUP(A501,'Player Data'!A1:E734,5,FALSE),82)</f>
        <v>82</v>
      </c>
      <c r="E501" s="38">
        <f>(VLOOKUP($A501,'The List'!$B1:$AH730,17,FALSE)-AVERAGE('The List'!R2:R730))/STDEV('The List'!R2:R730)</f>
        <v>0.27240079398619155</v>
      </c>
      <c r="F501" s="38">
        <f>(VLOOKUP($A501,'The List'!$B1:$AH730,18,FALSE)-AVERAGE('The List'!S2:S730))/STDEV('The List'!S2:S730)</f>
        <v>-0.86144385974307236</v>
      </c>
      <c r="G501" s="38">
        <f>(VLOOKUP($A501,'The List'!$B1:$AH730,19,FALSE)-AVERAGE('The List'!T2:T730))/STDEV('The List'!T2:T730)</f>
        <v>-0.67385008933032031</v>
      </c>
      <c r="H501" s="38">
        <f>(VLOOKUP($A501,'The List'!$B1:$AH730,20,FALSE)-AVERAGE('The List'!U2:U730))/STDEV('The List'!U2:U730)</f>
        <v>-0.81456948816817953</v>
      </c>
      <c r="I501" s="38">
        <f>(VLOOKUP($A501,'The List'!$B1:$AH730,21,FALSE)-AVERAGE('The List'!V2:V730))/STDEV('The List'!V2:V730)</f>
        <v>-0.62960267785263502</v>
      </c>
      <c r="J501" s="38">
        <f>(VLOOKUP($A501,'The List'!$B1:$AH730,22,FALSE)-AVERAGE('The List'!W2:W730))/STDEV('The List'!W2:W730)</f>
        <v>-0.73487052700126221</v>
      </c>
      <c r="K501" s="38">
        <f>(VLOOKUP($A501,'The List'!$B1:$AH730,23,FALSE)-AVERAGE('The List'!X2:X730))/STDEV('The List'!X2:X730)</f>
        <v>-0.82003995325761081</v>
      </c>
      <c r="L501" s="38">
        <f>(VLOOKUP($A501,'The List'!$B1:$AH730,24,FALSE)-AVERAGE('The List'!Y2:Y730))/STDEV('The List'!Y2:Y730)</f>
        <v>-0.51606074608568886</v>
      </c>
      <c r="M501" s="38">
        <f>(VLOOKUP($A501,'The List'!$B1:$AH730,25,FALSE)-AVERAGE('The List'!Z2:Z730))/STDEV('The List'!Z2:Z730)</f>
        <v>-0.67914871437697377</v>
      </c>
      <c r="N501" s="38">
        <f>(VLOOKUP($A501,'The List'!$B1:$AH730,26,FALSE)-AVERAGE('The List'!AA2:AA730))/STDEV('The List'!AA2:AA730)</f>
        <v>0.9533797746997803</v>
      </c>
      <c r="O501" s="38">
        <f>(VLOOKUP($A501,'The List'!$B1:$AH730,27,FALSE)-AVERAGE('The List'!AB2:AB730))/STDEV('The List'!AB2:AB730)</f>
        <v>1.3077227706613681</v>
      </c>
      <c r="P501" s="38">
        <f>(VLOOKUP($A501,'The List'!$B1:$AH730,28,FALSE)-AVERAGE('The List'!AC2:AC730))/STDEV('The List'!AC2:AC730)</f>
        <v>0.86500406369262572</v>
      </c>
      <c r="Q501" s="38">
        <f>(VLOOKUP($A501,'The List'!$B1:$AH730,29,FALSE)-AVERAGE('The List'!AD2:AD730))/STDEV('The List'!AD2:AD730)</f>
        <v>3.0077839756443665</v>
      </c>
      <c r="R501" s="38">
        <f>(VLOOKUP($A501,'The List'!$B1:$AH730,30,FALSE)-AVERAGE('The List'!AE2:AE730))/STDEV('The List'!AE2:AE730)</f>
        <v>-0.72764100961533773</v>
      </c>
      <c r="S501" s="38">
        <f>(VLOOKUP($A501,'The List'!$B1:$AH730,31,FALSE)-AVERAGE('The List'!AF2:AF730))/STDEV('The List'!AF2:AF730)</f>
        <v>-0.56911587195029545</v>
      </c>
      <c r="T501" s="38">
        <f>(VLOOKUP($A501,'The List'!$B1:$AH730,32,FALSE)-AVERAGE('The List'!AG2:AG730))/STDEV('The List'!AG2:AG730)</f>
        <v>-0.61510119871956948</v>
      </c>
      <c r="U501" s="38">
        <f>(VLOOKUP($A501,'The List'!$B1:$AH730,33,FALSE)-AVERAGE('The List'!AH2:AH730))/STDEV('The List'!AH2:AH730)</f>
        <v>-1.2363238714825984</v>
      </c>
      <c r="V501" s="38"/>
      <c r="W501" s="40"/>
      <c r="X501" s="38"/>
      <c r="Y501" s="38"/>
      <c r="Z501" s="38"/>
      <c r="AA501" s="38"/>
      <c r="AB501" s="38"/>
      <c r="AC501" s="38"/>
      <c r="AD501" s="38"/>
      <c r="AE501" s="38"/>
    </row>
    <row r="502" spans="1:31" ht="21.2" customHeight="1">
      <c r="A502" s="8" t="s">
        <v>436</v>
      </c>
      <c r="B502" s="34" t="str">
        <f>VLOOKUP(A502,'Player Data'!A1:B734,2,FALSE)</f>
        <v>CGY</v>
      </c>
      <c r="C502" s="36">
        <f>((E502)*Settings!$C$12)+(F502*Settings!$C$2)+(G502*Settings!$C$3)+(H502*Settings!$C$4)+(I502*Settings!$C$5)+(K502*Settings!$C$9)+(N502*Settings!$C$6)+(J502*Settings!$C$8)+(O502*Settings!$C$7)+(P502*Settings!$C$14)+(Q502*Settings!$C$15)+(R502*Settings!$C$16)+(S502*Settings!$C$17)+(T502*Settings!$C$18)+(U502*Settings!$C$19)+(L502*Settings!$C$10)+(Settings!$C$11*M502)</f>
        <v>-3.5380287692873358</v>
      </c>
      <c r="D502" s="40">
        <f>IF(Settings!$E$12="YES",VLOOKUP(A502,'Player Data'!A1:E734,5,FALSE),82)</f>
        <v>82</v>
      </c>
      <c r="E502" s="38">
        <f>(VLOOKUP($A502,'The List'!$B1:$AH730,17,FALSE)-AVERAGE('The List'!R2:R730))/STDEV('The List'!R2:R730)</f>
        <v>0.53692691027437622</v>
      </c>
      <c r="F502" s="38">
        <f>(VLOOKUP($A502,'The List'!$B1:$AH730,18,FALSE)-AVERAGE('The List'!S2:S730))/STDEV('The List'!S2:S730)</f>
        <v>-0.67205218997077232</v>
      </c>
      <c r="G502" s="38">
        <f>(VLOOKUP($A502,'The List'!$B1:$AH730,19,FALSE)-AVERAGE('The List'!T2:T730))/STDEV('The List'!T2:T730)</f>
        <v>-0.82752932261736489</v>
      </c>
      <c r="H502" s="38">
        <f>(VLOOKUP($A502,'The List'!$B1:$AH730,20,FALSE)-AVERAGE('The List'!U2:U730))/STDEV('The List'!U2:U730)</f>
        <v>-0.82096832465929248</v>
      </c>
      <c r="I502" s="38">
        <f>(VLOOKUP($A502,'The List'!$B1:$AH730,21,FALSE)-AVERAGE('The List'!V2:V730))/STDEV('The List'!V2:V730)</f>
        <v>-0.42536047773755375</v>
      </c>
      <c r="J502" s="38">
        <f>(VLOOKUP($A502,'The List'!$B1:$AH730,22,FALSE)-AVERAGE('The List'!W2:W730))/STDEV('The List'!W2:W730)</f>
        <v>-0.72822192358189586</v>
      </c>
      <c r="K502" s="38">
        <f>(VLOOKUP($A502,'The List'!$B1:$AH730,23,FALSE)-AVERAGE('The List'!X2:X730))/STDEV('The List'!X2:X730)</f>
        <v>-0.79211845430235195</v>
      </c>
      <c r="L502" s="38">
        <f>(VLOOKUP($A502,'The List'!$B1:$AH730,24,FALSE)-AVERAGE('The List'!Y2:Y730))/STDEV('The List'!Y2:Y730)</f>
        <v>-0.49312013771860719</v>
      </c>
      <c r="M502" s="38">
        <f>(VLOOKUP($A502,'The List'!$B1:$AH730,25,FALSE)-AVERAGE('The List'!Z2:Z730))/STDEV('The List'!Z2:Z730)</f>
        <v>-0.5275358052477418</v>
      </c>
      <c r="N502" s="38">
        <f>(VLOOKUP($A502,'The List'!$B1:$AH730,26,FALSE)-AVERAGE('The List'!AA2:AA730))/STDEV('The List'!AA2:AA730)</f>
        <v>0.44982267412417898</v>
      </c>
      <c r="O502" s="38">
        <f>(VLOOKUP($A502,'The List'!$B1:$AH730,27,FALSE)-AVERAGE('The List'!AB2:AB730))/STDEV('The List'!AB2:AB730)</f>
        <v>1.418765940687414</v>
      </c>
      <c r="P502" s="38">
        <f>(VLOOKUP($A502,'The List'!$B1:$AH730,28,FALSE)-AVERAGE('The List'!AC2:AC730))/STDEV('The List'!AC2:AC730)</f>
        <v>0.56466151604331383</v>
      </c>
      <c r="Q502" s="38">
        <f>(VLOOKUP($A502,'The List'!$B1:$AH730,29,FALSE)-AVERAGE('The List'!AD2:AD730))/STDEV('The List'!AD2:AD730)</f>
        <v>1.9906634108851069</v>
      </c>
      <c r="R502" s="38">
        <f>(VLOOKUP($A502,'The List'!$B1:$AH730,30,FALSE)-AVERAGE('The List'!AE2:AE730))/STDEV('The List'!AE2:AE730)</f>
        <v>-0.49213207831485811</v>
      </c>
      <c r="S502" s="38">
        <f>(VLOOKUP($A502,'The List'!$B1:$AH730,31,FALSE)-AVERAGE('The List'!AF2:AF730))/STDEV('The List'!AF2:AF730)</f>
        <v>-0.56911587195029545</v>
      </c>
      <c r="T502" s="38">
        <f>(VLOOKUP($A502,'The List'!$B1:$AH730,32,FALSE)-AVERAGE('The List'!AG2:AG730))/STDEV('The List'!AG2:AG730)</f>
        <v>-0.61510119871956948</v>
      </c>
      <c r="U502" s="38">
        <f>(VLOOKUP($A502,'The List'!$B1:$AH730,33,FALSE)-AVERAGE('The List'!AH2:AH730))/STDEV('The List'!AH2:AH730)</f>
        <v>-1.2363238714825984</v>
      </c>
      <c r="V502" s="38"/>
      <c r="W502" s="42"/>
      <c r="X502" s="40"/>
      <c r="Y502" s="40"/>
      <c r="Z502" s="40"/>
      <c r="AA502" s="40"/>
      <c r="AB502" s="40"/>
      <c r="AC502" s="43"/>
      <c r="AD502" s="44"/>
      <c r="AE502" s="38"/>
    </row>
    <row r="503" spans="1:31" ht="21.2" customHeight="1">
      <c r="A503" s="8" t="s">
        <v>484</v>
      </c>
      <c r="B503" s="34" t="str">
        <f>VLOOKUP(A503,'Player Data'!A1:B734,2,FALSE)</f>
        <v>PHI</v>
      </c>
      <c r="C503" s="36">
        <f>((E503)*Settings!$C$12)+(F503*Settings!$C$2)+(G503*Settings!$C$3)+(H503*Settings!$C$4)+(I503*Settings!$C$5)+(K503*Settings!$C$9)+(N503*Settings!$C$6)+(J503*Settings!$C$8)+(O503*Settings!$C$7)+(P503*Settings!$C$14)+(Q503*Settings!$C$15)+(R503*Settings!$C$16)+(S503*Settings!$C$17)+(T503*Settings!$C$18)+(U503*Settings!$C$19)+(L503*Settings!$C$10)+(Settings!$C$11*M503)</f>
        <v>-3.506345675715647</v>
      </c>
      <c r="D503" s="40">
        <f>IF(Settings!$E$12="YES",VLOOKUP(A503,'Player Data'!A1:E734,5,FALSE),82)</f>
        <v>82</v>
      </c>
      <c r="E503" s="38">
        <f>(VLOOKUP($A503,'The List'!$B1:$AH730,17,FALSE)-AVERAGE('The List'!R2:R730))/STDEV('The List'!R2:R730)</f>
        <v>-6.6159373766529833E-2</v>
      </c>
      <c r="F503" s="38">
        <f>(VLOOKUP($A503,'The List'!$B1:$AH730,18,FALSE)-AVERAGE('The List'!S2:S730))/STDEV('The List'!S2:S730)</f>
        <v>-0.89730624551348181</v>
      </c>
      <c r="G503" s="38">
        <f>(VLOOKUP($A503,'The List'!$B1:$AH730,19,FALSE)-AVERAGE('The List'!T2:T730))/STDEV('The List'!T2:T730)</f>
        <v>-0.65890589121993781</v>
      </c>
      <c r="H503" s="38">
        <f>(VLOOKUP($A503,'The List'!$B1:$AH730,20,FALSE)-AVERAGE('The List'!U2:U730))/STDEV('The List'!U2:U730)</f>
        <v>-0.82205714997065171</v>
      </c>
      <c r="I503" s="38">
        <f>(VLOOKUP($A503,'The List'!$B1:$AH730,21,FALSE)-AVERAGE('The List'!V2:V730))/STDEV('The List'!V2:V730)</f>
        <v>-0.33356696933398117</v>
      </c>
      <c r="J503" s="38">
        <f>(VLOOKUP($A503,'The List'!$B1:$AH730,22,FALSE)-AVERAGE('The List'!W2:W730))/STDEV('The List'!W2:W730)</f>
        <v>-0.73142297182459548</v>
      </c>
      <c r="K503" s="38">
        <f>(VLOOKUP($A503,'The List'!$B1:$AH730,23,FALSE)-AVERAGE('The List'!X2:X730))/STDEV('The List'!X2:X730)</f>
        <v>-0.79450941967759403</v>
      </c>
      <c r="L503" s="38">
        <f>(VLOOKUP($A503,'The List'!$B1:$AH730,24,FALSE)-AVERAGE('The List'!Y2:Y730))/STDEV('The List'!Y2:Y730)</f>
        <v>-0.50015329875306425</v>
      </c>
      <c r="M503" s="38">
        <f>(VLOOKUP($A503,'The List'!$B1:$AH730,25,FALSE)-AVERAGE('The List'!Z2:Z730))/STDEV('The List'!Z2:Z730)</f>
        <v>-0.63342447091495524</v>
      </c>
      <c r="N503" s="38">
        <f>(VLOOKUP($A503,'The List'!$B1:$AH730,26,FALSE)-AVERAGE('The List'!AA2:AA730))/STDEV('The List'!AA2:AA730)</f>
        <v>1.2351264008406697</v>
      </c>
      <c r="O503" s="38">
        <f>(VLOOKUP($A503,'The List'!$B1:$AH730,27,FALSE)-AVERAGE('The List'!AB2:AB730))/STDEV('The List'!AB2:AB730)</f>
        <v>-4.965670333057487E-2</v>
      </c>
      <c r="P503" s="38">
        <f>(VLOOKUP($A503,'The List'!$B1:$AH730,28,FALSE)-AVERAGE('The List'!AC2:AC730))/STDEV('The List'!AC2:AC730)</f>
        <v>-1.375173586654715</v>
      </c>
      <c r="Q503" s="38">
        <f>(VLOOKUP($A503,'The List'!$B1:$AH730,29,FALSE)-AVERAGE('The List'!AD2:AD730))/STDEV('The List'!AD2:AD730)</f>
        <v>0.292847841081117</v>
      </c>
      <c r="R503" s="38">
        <f>(VLOOKUP($A503,'The List'!$B1:$AH730,30,FALSE)-AVERAGE('The List'!AE2:AE730))/STDEV('The List'!AE2:AE730)</f>
        <v>-0.88977660216753418</v>
      </c>
      <c r="S503" s="38">
        <f>(VLOOKUP($A503,'The List'!$B1:$AH730,31,FALSE)-AVERAGE('The List'!AF2:AF730))/STDEV('The List'!AF2:AF730)</f>
        <v>-0.56911587195029545</v>
      </c>
      <c r="T503" s="38">
        <f>(VLOOKUP($A503,'The List'!$B1:$AH730,32,FALSE)-AVERAGE('The List'!AG2:AG730))/STDEV('The List'!AG2:AG730)</f>
        <v>-0.61510119871956948</v>
      </c>
      <c r="U503" s="38">
        <f>(VLOOKUP($A503,'The List'!$B1:$AH730,33,FALSE)-AVERAGE('The List'!AH2:AH730))/STDEV('The List'!AH2:AH730)</f>
        <v>-1.2363238714825984</v>
      </c>
      <c r="V503" s="38"/>
      <c r="W503" s="42"/>
      <c r="X503" s="40"/>
      <c r="Y503" s="40"/>
      <c r="Z503" s="40"/>
      <c r="AA503" s="40"/>
      <c r="AB503" s="40"/>
      <c r="AC503" s="43"/>
      <c r="AD503" s="44"/>
      <c r="AE503" s="38"/>
    </row>
    <row r="504" spans="1:31" ht="21.2" customHeight="1">
      <c r="A504" s="8" t="s">
        <v>477</v>
      </c>
      <c r="B504" s="34" t="str">
        <f>VLOOKUP(A504,'Player Data'!A1:B734,2,FALSE)</f>
        <v>WPG</v>
      </c>
      <c r="C504" s="36">
        <f>((E504)*Settings!$C$12)+(F504*Settings!$C$2)+(G504*Settings!$C$3)+(H504*Settings!$C$4)+(I504*Settings!$C$5)+(K504*Settings!$C$9)+(N504*Settings!$C$6)+(J504*Settings!$C$8)+(O504*Settings!$C$7)+(P504*Settings!$C$14)+(Q504*Settings!$C$15)+(R504*Settings!$C$16)+(S504*Settings!$C$17)+(T504*Settings!$C$18)+(U504*Settings!$C$19)+(L504*Settings!$C$10)+(Settings!$C$11*M504)</f>
        <v>-4.3066254132104245</v>
      </c>
      <c r="D504" s="40">
        <f>IF(Settings!$E$12="YES",VLOOKUP(A504,'Player Data'!A1:E734,5,FALSE),82)</f>
        <v>82</v>
      </c>
      <c r="E504" s="38">
        <f>(VLOOKUP($A504,'The List'!$B1:$AH730,17,FALSE)-AVERAGE('The List'!R2:R730))/STDEV('The List'!R2:R730)</f>
        <v>0.55927279473225477</v>
      </c>
      <c r="F504" s="38">
        <f>(VLOOKUP($A504,'The List'!$B1:$AH730,18,FALSE)-AVERAGE('The List'!S2:S730))/STDEV('The List'!S2:S730)</f>
        <v>-1.1457555928214664</v>
      </c>
      <c r="G504" s="38">
        <f>(VLOOKUP($A504,'The List'!$B1:$AH730,19,FALSE)-AVERAGE('The List'!T2:T730))/STDEV('The List'!T2:T730)</f>
        <v>-0.47164061939550955</v>
      </c>
      <c r="H504" s="38">
        <f>(VLOOKUP($A504,'The List'!$B1:$AH730,20,FALSE)-AVERAGE('The List'!U2:U730))/STDEV('The List'!U2:U730)</f>
        <v>-0.82247269882663998</v>
      </c>
      <c r="I504" s="38">
        <f>(VLOOKUP($A504,'The List'!$B1:$AH730,21,FALSE)-AVERAGE('The List'!V2:V730))/STDEV('The List'!V2:V730)</f>
        <v>-1.0593112864860785</v>
      </c>
      <c r="J504" s="38">
        <f>(VLOOKUP($A504,'The List'!$B1:$AH730,22,FALSE)-AVERAGE('The List'!W2:W730))/STDEV('The List'!W2:W730)</f>
        <v>-0.73164764706510166</v>
      </c>
      <c r="K504" s="38">
        <f>(VLOOKUP($A504,'The List'!$B1:$AH730,23,FALSE)-AVERAGE('The List'!X2:X730))/STDEV('The List'!X2:X730)</f>
        <v>-0.80744521568073002</v>
      </c>
      <c r="L504" s="38">
        <f>(VLOOKUP($A504,'The List'!$B1:$AH730,24,FALSE)-AVERAGE('The List'!Y2:Y730))/STDEV('The List'!Y2:Y730)</f>
        <v>-0.58236390264220783</v>
      </c>
      <c r="M504" s="38">
        <f>(VLOOKUP($A504,'The List'!$B1:$AH730,25,FALSE)-AVERAGE('The List'!Z2:Z730))/STDEV('The List'!Z2:Z730)</f>
        <v>-6.6236080750087453E-2</v>
      </c>
      <c r="N504" s="38">
        <f>(VLOOKUP($A504,'The List'!$B1:$AH730,26,FALSE)-AVERAGE('The List'!AA2:AA730))/STDEV('The List'!AA2:AA730)</f>
        <v>1.0570554527717713</v>
      </c>
      <c r="O504" s="38">
        <f>(VLOOKUP($A504,'The List'!$B1:$AH730,27,FALSE)-AVERAGE('The List'!AB2:AB730))/STDEV('The List'!AB2:AB730)</f>
        <v>1.5542604568181886</v>
      </c>
      <c r="P504" s="38">
        <f>(VLOOKUP($A504,'The List'!$B1:$AH730,28,FALSE)-AVERAGE('The List'!AC2:AC730))/STDEV('The List'!AC2:AC730)</f>
        <v>0.21216041016756143</v>
      </c>
      <c r="Q504" s="38">
        <f>(VLOOKUP($A504,'The List'!$B1:$AH730,29,FALSE)-AVERAGE('The List'!AD2:AD730))/STDEV('The List'!AD2:AD730)</f>
        <v>1.865648369952654</v>
      </c>
      <c r="R504" s="38">
        <f>(VLOOKUP($A504,'The List'!$B1:$AH730,30,FALSE)-AVERAGE('The List'!AE2:AE730))/STDEV('The List'!AE2:AE730)</f>
        <v>-1.0238035611751182</v>
      </c>
      <c r="S504" s="38">
        <f>(VLOOKUP($A504,'The List'!$B1:$AH730,31,FALSE)-AVERAGE('The List'!AF2:AF730))/STDEV('The List'!AF2:AF730)</f>
        <v>-0.56911587195029545</v>
      </c>
      <c r="T504" s="38">
        <f>(VLOOKUP($A504,'The List'!$B1:$AH730,32,FALSE)-AVERAGE('The List'!AG2:AG730))/STDEV('The List'!AG2:AG730)</f>
        <v>-0.61510119871956948</v>
      </c>
      <c r="U504" s="38">
        <f>(VLOOKUP($A504,'The List'!$B1:$AH730,33,FALSE)-AVERAGE('The List'!AH2:AH730))/STDEV('The List'!AH2:AH730)</f>
        <v>-1.2363238714825984</v>
      </c>
      <c r="V504" s="38"/>
      <c r="W504" s="40"/>
      <c r="X504" s="40"/>
      <c r="Y504" s="40"/>
      <c r="Z504" s="40"/>
      <c r="AA504" s="40"/>
      <c r="AB504" s="40"/>
      <c r="AC504" s="43"/>
      <c r="AD504" s="44"/>
      <c r="AE504" s="38"/>
    </row>
    <row r="505" spans="1:31" ht="21.2" customHeight="1">
      <c r="A505" s="8" t="s">
        <v>513</v>
      </c>
      <c r="B505" s="34" t="str">
        <f>VLOOKUP(A505,'Player Data'!A1:B734,2,FALSE)</f>
        <v>FLA</v>
      </c>
      <c r="C505" s="36">
        <f>((E505)*Settings!$C$12)+(F505*Settings!$C$2)+(G505*Settings!$C$3)+(H505*Settings!$C$4)+(I505*Settings!$C$5)+(K505*Settings!$C$9)+(N505*Settings!$C$6)+(J505*Settings!$C$8)+(O505*Settings!$C$7)+(P505*Settings!$C$14)+(Q505*Settings!$C$15)+(R505*Settings!$C$16)+(S505*Settings!$C$17)+(T505*Settings!$C$18)+(U505*Settings!$C$19)+(L505*Settings!$C$10)+(Settings!$C$11*M505)</f>
        <v>-3.5512034137262467</v>
      </c>
      <c r="D505" s="40">
        <f>IF(Settings!$E$12="YES",VLOOKUP(A505,'Player Data'!A1:E734,5,FALSE),82)</f>
        <v>82</v>
      </c>
      <c r="E505" s="38">
        <f>(VLOOKUP($A505,'The List'!$B1:$AH730,17,FALSE)-AVERAGE('The List'!R2:R730))/STDEV('The List'!R2:R730)</f>
        <v>-8.6791963862402108E-2</v>
      </c>
      <c r="F505" s="38">
        <f>(VLOOKUP($A505,'The List'!$B1:$AH730,18,FALSE)-AVERAGE('The List'!S2:S730))/STDEV('The List'!S2:S730)</f>
        <v>-1.1428217892728416</v>
      </c>
      <c r="G505" s="38">
        <f>(VLOOKUP($A505,'The List'!$B1:$AH730,19,FALSE)-AVERAGE('The List'!T2:T730))/STDEV('The List'!T2:T730)</f>
        <v>-0.47701074253767256</v>
      </c>
      <c r="H505" s="38">
        <f>(VLOOKUP($A505,'The List'!$B1:$AH730,20,FALSE)-AVERAGE('The List'!U2:U730))/STDEV('The List'!U2:U730)</f>
        <v>-0.82440900431567876</v>
      </c>
      <c r="I505" s="38">
        <f>(VLOOKUP($A505,'The List'!$B1:$AH730,21,FALSE)-AVERAGE('The List'!V2:V730))/STDEV('The List'!V2:V730)</f>
        <v>-0.45900083736181518</v>
      </c>
      <c r="J505" s="38">
        <f>(VLOOKUP($A505,'The List'!$B1:$AH730,22,FALSE)-AVERAGE('The List'!W2:W730))/STDEV('The List'!W2:W730)</f>
        <v>-0.71562110175396842</v>
      </c>
      <c r="K505" s="38">
        <f>(VLOOKUP($A505,'The List'!$B1:$AH730,23,FALSE)-AVERAGE('The List'!X2:X730))/STDEV('The List'!X2:X730)</f>
        <v>-0.64796104023823853</v>
      </c>
      <c r="L505" s="38">
        <f>(VLOOKUP($A505,'The List'!$B1:$AH730,24,FALSE)-AVERAGE('The List'!Y2:Y730))/STDEV('The List'!Y2:Y730)</f>
        <v>-0.3614490762611588</v>
      </c>
      <c r="M505" s="38">
        <f>(VLOOKUP($A505,'The List'!$B1:$AH730,25,FALSE)-AVERAGE('The List'!Z2:Z730))/STDEV('The List'!Z2:Z730)</f>
        <v>-0.57907155183534464</v>
      </c>
      <c r="N505" s="38">
        <f>(VLOOKUP($A505,'The List'!$B1:$AH730,26,FALSE)-AVERAGE('The List'!AA2:AA730))/STDEV('The List'!AA2:AA730)</f>
        <v>0.19182823190164636</v>
      </c>
      <c r="O505" s="38">
        <f>(VLOOKUP($A505,'The List'!$B1:$AH730,27,FALSE)-AVERAGE('The List'!AB2:AB730))/STDEV('The List'!AB2:AB730)</f>
        <v>0.14103598635412121</v>
      </c>
      <c r="P505" s="38">
        <f>(VLOOKUP($A505,'The List'!$B1:$AH730,28,FALSE)-AVERAGE('The List'!AC2:AC730))/STDEV('The List'!AC2:AC730)</f>
        <v>0.62295801221330982</v>
      </c>
      <c r="Q505" s="38">
        <f>(VLOOKUP($A505,'The List'!$B1:$AH730,29,FALSE)-AVERAGE('The List'!AD2:AD730))/STDEV('The List'!AD2:AD730)</f>
        <v>-0.24516956062321951</v>
      </c>
      <c r="R505" s="38">
        <f>(VLOOKUP($A505,'The List'!$B1:$AH730,30,FALSE)-AVERAGE('The List'!AE2:AE730))/STDEV('The List'!AE2:AE730)</f>
        <v>-1.0393897187876076</v>
      </c>
      <c r="S505" s="38">
        <f>(VLOOKUP($A505,'The List'!$B1:$AH730,31,FALSE)-AVERAGE('The List'!AF2:AF730))/STDEV('The List'!AF2:AF730)</f>
        <v>-0.56911587195029545</v>
      </c>
      <c r="T505" s="38">
        <f>(VLOOKUP($A505,'The List'!$B1:$AH730,32,FALSE)-AVERAGE('The List'!AG2:AG730))/STDEV('The List'!AG2:AG730)</f>
        <v>-0.61510119871956948</v>
      </c>
      <c r="U505" s="38">
        <f>(VLOOKUP($A505,'The List'!$B1:$AH730,33,FALSE)-AVERAGE('The List'!AH2:AH730))/STDEV('The List'!AH2:AH730)</f>
        <v>-1.2363238714825984</v>
      </c>
      <c r="V505" s="38"/>
      <c r="W505" s="42"/>
      <c r="X505" s="40"/>
      <c r="Y505" s="40"/>
      <c r="Z505" s="40"/>
      <c r="AA505" s="40"/>
      <c r="AB505" s="40"/>
      <c r="AC505" s="43"/>
      <c r="AD505" s="44"/>
      <c r="AE505" s="38"/>
    </row>
    <row r="506" spans="1:31" ht="21.2" customHeight="1">
      <c r="A506" s="8" t="s">
        <v>722</v>
      </c>
      <c r="B506" s="34" t="str">
        <f>VLOOKUP(A506,'Player Data'!A1:B734,2,FALSE)</f>
        <v>SJS</v>
      </c>
      <c r="C506" s="36">
        <f>((E506)*Settings!$C$12)+(F506*Settings!$C$2)+(G506*Settings!$C$3)+(H506*Settings!$C$4)+(I506*Settings!$C$5)+(K506*Settings!$C$9)+(N506*Settings!$C$6)+(J506*Settings!$C$8)+(O506*Settings!$C$7)+(P506*Settings!$C$14)+(Q506*Settings!$C$15)+(R506*Settings!$C$16)+(S506*Settings!$C$17)+(T506*Settings!$C$18)+(U506*Settings!$C$19)+(L506*Settings!$C$10)+(Settings!$C$11*M506)</f>
        <v>-3.9053307575112441</v>
      </c>
      <c r="D506" s="40">
        <f>IF(Settings!$E$12="YES",VLOOKUP(A506,'Player Data'!A1:E734,5,FALSE),82)</f>
        <v>82</v>
      </c>
      <c r="E506" s="38">
        <f>(VLOOKUP($A506,'The List'!$B1:$AH730,17,FALSE)-AVERAGE('The List'!R2:R730))/STDEV('The List'!R2:R730)</f>
        <v>-1.4107168501240479</v>
      </c>
      <c r="F506" s="38">
        <f>(VLOOKUP($A506,'The List'!$B1:$AH730,18,FALSE)-AVERAGE('The List'!S2:S730))/STDEV('The List'!S2:S730)</f>
        <v>-0.48328637562733989</v>
      </c>
      <c r="G506" s="38">
        <f>(VLOOKUP($A506,'The List'!$B1:$AH730,19,FALSE)-AVERAGE('The List'!T2:T730))/STDEV('The List'!T2:T730)</f>
        <v>-0.97623267698058347</v>
      </c>
      <c r="H506" s="38">
        <f>(VLOOKUP($A506,'The List'!$B1:$AH730,20,FALSE)-AVERAGE('The List'!U2:U730))/STDEV('The List'!U2:U730)</f>
        <v>-0.8246002311831061</v>
      </c>
      <c r="I506" s="38">
        <f>(VLOOKUP($A506,'The List'!$B1:$AH730,21,FALSE)-AVERAGE('The List'!V2:V730))/STDEV('The List'!V2:V730)</f>
        <v>-0.83433109357939994</v>
      </c>
      <c r="J506" s="38">
        <f>(VLOOKUP($A506,'The List'!$B1:$AH730,22,FALSE)-AVERAGE('The List'!W2:W730))/STDEV('The List'!W2:W730)</f>
        <v>-0.71231323047177908</v>
      </c>
      <c r="K506" s="38">
        <f>(VLOOKUP($A506,'The List'!$B1:$AH730,23,FALSE)-AVERAGE('The List'!X2:X730))/STDEV('The List'!X2:X730)</f>
        <v>-0.78688038014081507</v>
      </c>
      <c r="L506" s="38">
        <f>(VLOOKUP($A506,'The List'!$B1:$AH730,24,FALSE)-AVERAGE('The List'!Y2:Y730))/STDEV('The List'!Y2:Y730)</f>
        <v>-0.43695074072503881</v>
      </c>
      <c r="M506" s="38">
        <f>(VLOOKUP($A506,'The List'!$B1:$AH730,25,FALSE)-AVERAGE('The List'!Z2:Z730))/STDEV('The List'!Z2:Z730)</f>
        <v>-0.58699233713960852</v>
      </c>
      <c r="N506" s="38">
        <f>(VLOOKUP($A506,'The List'!$B1:$AH730,26,FALSE)-AVERAGE('The List'!AA2:AA730))/STDEV('The List'!AA2:AA730)</f>
        <v>-0.7470918777050356</v>
      </c>
      <c r="O506" s="38">
        <f>(VLOOKUP($A506,'The List'!$B1:$AH730,27,FALSE)-AVERAGE('The List'!AB2:AB730))/STDEV('The List'!AB2:AB730)</f>
        <v>-0.31805291880151876</v>
      </c>
      <c r="P506" s="38">
        <f>(VLOOKUP($A506,'The List'!$B1:$AH730,28,FALSE)-AVERAGE('The List'!AC2:AC730))/STDEV('The List'!AC2:AC730)</f>
        <v>-0.30851678808392874</v>
      </c>
      <c r="Q506" s="38">
        <f>(VLOOKUP($A506,'The List'!$B1:$AH730,29,FALSE)-AVERAGE('The List'!AD2:AD730))/STDEV('The List'!AD2:AD730)</f>
        <v>-0.98747812084154385</v>
      </c>
      <c r="R506" s="38">
        <f>(VLOOKUP($A506,'The List'!$B1:$AH730,30,FALSE)-AVERAGE('The List'!AE2:AE730))/STDEV('The List'!AE2:AE730)</f>
        <v>-0.53468508238165591</v>
      </c>
      <c r="S506" s="38">
        <f>(VLOOKUP($A506,'The List'!$B1:$AH730,31,FALSE)-AVERAGE('The List'!AF2:AF730))/STDEV('The List'!AF2:AF730)</f>
        <v>-0.52698554325524627</v>
      </c>
      <c r="T506" s="38">
        <f>(VLOOKUP($A506,'The List'!$B1:$AH730,32,FALSE)-AVERAGE('The List'!AG2:AG730))/STDEV('The List'!AG2:AG730)</f>
        <v>-0.56082498804110092</v>
      </c>
      <c r="U506" s="38">
        <f>(VLOOKUP($A506,'The List'!$B1:$AH730,33,FALSE)-AVERAGE('The List'!AH2:AH730))/STDEV('The List'!AH2:AH730)</f>
        <v>0.79239033829771233</v>
      </c>
      <c r="V506" s="38"/>
      <c r="W506" s="42"/>
      <c r="X506" s="40"/>
      <c r="Y506" s="40"/>
      <c r="Z506" s="40"/>
      <c r="AA506" s="40"/>
      <c r="AB506" s="40"/>
      <c r="AC506" s="43"/>
      <c r="AD506" s="44"/>
      <c r="AE506" s="38"/>
    </row>
    <row r="507" spans="1:31" ht="21.2" customHeight="1">
      <c r="A507" s="8" t="s">
        <v>438</v>
      </c>
      <c r="B507" s="34" t="str">
        <f>VLOOKUP(A507,'Player Data'!A1:B734,2,FALSE)</f>
        <v>VGK</v>
      </c>
      <c r="C507" s="36">
        <f>((E507)*Settings!$C$12)+(F507*Settings!$C$2)+(G507*Settings!$C$3)+(H507*Settings!$C$4)+(I507*Settings!$C$5)+(K507*Settings!$C$9)+(N507*Settings!$C$6)+(J507*Settings!$C$8)+(O507*Settings!$C$7)+(P507*Settings!$C$14)+(Q507*Settings!$C$15)+(R507*Settings!$C$16)+(S507*Settings!$C$17)+(T507*Settings!$C$18)+(U507*Settings!$C$19)+(L507*Settings!$C$10)+(Settings!$C$11*M507)</f>
        <v>-4.0472795879918957</v>
      </c>
      <c r="D507" s="40">
        <f>IF(Settings!$E$12="YES",VLOOKUP(A507,'Player Data'!A1:E734,5,FALSE),82)</f>
        <v>82</v>
      </c>
      <c r="E507" s="38">
        <f>(VLOOKUP($A507,'The List'!$B1:$AH730,17,FALSE)-AVERAGE('The List'!R2:R730))/STDEV('The List'!R2:R730)</f>
        <v>0.82423116999366142</v>
      </c>
      <c r="F507" s="38">
        <f>(VLOOKUP($A507,'The List'!$B1:$AH730,18,FALSE)-AVERAGE('The List'!S2:S730))/STDEV('The List'!S2:S730)</f>
        <v>-0.89115543936246078</v>
      </c>
      <c r="G507" s="38">
        <f>(VLOOKUP($A507,'The List'!$B1:$AH730,19,FALSE)-AVERAGE('The List'!T2:T730))/STDEV('The List'!T2:T730)</f>
        <v>-0.66793299524097949</v>
      </c>
      <c r="H507" s="38">
        <f>(VLOOKUP($A507,'The List'!$B1:$AH730,20,FALSE)-AVERAGE('The List'!U2:U730))/STDEV('The List'!U2:U730)</f>
        <v>-0.82474531600751388</v>
      </c>
      <c r="I507" s="38">
        <f>(VLOOKUP($A507,'The List'!$B1:$AH730,21,FALSE)-AVERAGE('The List'!V2:V730))/STDEV('The List'!V2:V730)</f>
        <v>-0.88792647835502869</v>
      </c>
      <c r="J507" s="38">
        <f>(VLOOKUP($A507,'The List'!$B1:$AH730,22,FALSE)-AVERAGE('The List'!W2:W730))/STDEV('The List'!W2:W730)</f>
        <v>-0.70233720497932461</v>
      </c>
      <c r="K507" s="38">
        <f>(VLOOKUP($A507,'The List'!$B1:$AH730,23,FALSE)-AVERAGE('The List'!X2:X730))/STDEV('The List'!X2:X730)</f>
        <v>-0.77551935902591229</v>
      </c>
      <c r="L507" s="38">
        <f>(VLOOKUP($A507,'The List'!$B1:$AH730,24,FALSE)-AVERAGE('The List'!Y2:Y730))/STDEV('The List'!Y2:Y730)</f>
        <v>-0.61474851138753417</v>
      </c>
      <c r="M507" s="38">
        <f>(VLOOKUP($A507,'The List'!$B1:$AH730,25,FALSE)-AVERAGE('The List'!Z2:Z730))/STDEV('The List'!Z2:Z730)</f>
        <v>-0.99487831258778858</v>
      </c>
      <c r="N507" s="38">
        <f>(VLOOKUP($A507,'The List'!$B1:$AH730,26,FALSE)-AVERAGE('The List'!AA2:AA730))/STDEV('The List'!AA2:AA730)</f>
        <v>3.9180736573843169</v>
      </c>
      <c r="O507" s="38">
        <f>(VLOOKUP($A507,'The List'!$B1:$AH730,27,FALSE)-AVERAGE('The List'!AB2:AB730))/STDEV('The List'!AB2:AB730)</f>
        <v>-0.54150083615105604</v>
      </c>
      <c r="P507" s="38">
        <f>(VLOOKUP($A507,'The List'!$B1:$AH730,28,FALSE)-AVERAGE('The List'!AC2:AC730))/STDEV('The List'!AC2:AC730)</f>
        <v>1.4016712519751893</v>
      </c>
      <c r="Q507" s="38">
        <f>(VLOOKUP($A507,'The List'!$B1:$AH730,29,FALSE)-AVERAGE('The List'!AD2:AD730))/STDEV('The List'!AD2:AD730)</f>
        <v>-0.47199530809756224</v>
      </c>
      <c r="R507" s="38">
        <f>(VLOOKUP($A507,'The List'!$B1:$AH730,30,FALSE)-AVERAGE('The List'!AE2:AE730))/STDEV('The List'!AE2:AE730)</f>
        <v>-0.74200088978421697</v>
      </c>
      <c r="S507" s="38">
        <f>(VLOOKUP($A507,'The List'!$B1:$AH730,31,FALSE)-AVERAGE('The List'!AF2:AF730))/STDEV('The List'!AF2:AF730)</f>
        <v>-0.56911587195029545</v>
      </c>
      <c r="T507" s="38">
        <f>(VLOOKUP($A507,'The List'!$B1:$AH730,32,FALSE)-AVERAGE('The List'!AG2:AG730))/STDEV('The List'!AG2:AG730)</f>
        <v>-0.61510119871956948</v>
      </c>
      <c r="U507" s="38">
        <f>(VLOOKUP($A507,'The List'!$B1:$AH730,33,FALSE)-AVERAGE('The List'!AH2:AH730))/STDEV('The List'!AH2:AH730)</f>
        <v>-1.2363238714825984</v>
      </c>
      <c r="V507" s="38"/>
      <c r="W507" s="42"/>
      <c r="X507" s="40"/>
      <c r="Y507" s="40"/>
      <c r="Z507" s="40"/>
      <c r="AA507" s="40"/>
      <c r="AB507" s="40"/>
      <c r="AC507" s="43"/>
      <c r="AD507" s="44"/>
      <c r="AE507" s="38"/>
    </row>
    <row r="508" spans="1:31" ht="21.2" customHeight="1">
      <c r="A508" s="8" t="s">
        <v>800</v>
      </c>
      <c r="B508" s="34" t="str">
        <f>VLOOKUP(A508,'Player Data'!A1:B734,2,FALSE)</f>
        <v>STL</v>
      </c>
      <c r="C508" s="36">
        <f>((E508)*Settings!$C$12)+(F508*Settings!$C$2)+(G508*Settings!$C$3)+(H508*Settings!$C$4)+(I508*Settings!$C$5)+(K508*Settings!$C$9)+(N508*Settings!$C$6)+(J508*Settings!$C$8)+(O508*Settings!$C$7)+(P508*Settings!$C$14)+(Q508*Settings!$C$15)+(R508*Settings!$C$16)+(S508*Settings!$C$17)+(T508*Settings!$C$18)+(U508*Settings!$C$19)+(L508*Settings!$C$10)+(Settings!$C$11*M508)</f>
        <v>-4.1986590508874677</v>
      </c>
      <c r="D508" s="40">
        <f>IF(Settings!$E$12="YES",VLOOKUP(A508,'Player Data'!A1:E734,5,FALSE),82)</f>
        <v>82</v>
      </c>
      <c r="E508" s="38">
        <f>(VLOOKUP($A508,'The List'!$B1:$AH730,17,FALSE)-AVERAGE('The List'!R2:R730))/STDEV('The List'!R2:R730)</f>
        <v>-1.8426618719262604</v>
      </c>
      <c r="F508" s="38">
        <f>(VLOOKUP($A508,'The List'!$B1:$AH730,18,FALSE)-AVERAGE('The List'!S2:S730))/STDEV('The List'!S2:S730)</f>
        <v>-0.53015608348709009</v>
      </c>
      <c r="G508" s="38">
        <f>(VLOOKUP($A508,'The List'!$B1:$AH730,19,FALSE)-AVERAGE('The List'!T2:T730))/STDEV('The List'!T2:T730)</f>
        <v>-0.94337132340403662</v>
      </c>
      <c r="H508" s="38">
        <f>(VLOOKUP($A508,'The List'!$B1:$AH730,20,FALSE)-AVERAGE('The List'!U2:U730))/STDEV('The List'!U2:U730)</f>
        <v>-0.82619410437284557</v>
      </c>
      <c r="I508" s="38">
        <f>(VLOOKUP($A508,'The List'!$B1:$AH730,21,FALSE)-AVERAGE('The List'!V2:V730))/STDEV('The List'!V2:V730)</f>
        <v>-1.0887858644535002</v>
      </c>
      <c r="J508" s="38">
        <f>(VLOOKUP($A508,'The List'!$B1:$AH730,22,FALSE)-AVERAGE('The List'!W2:W730))/STDEV('The List'!W2:W730)</f>
        <v>-0.7198424926164968</v>
      </c>
      <c r="K508" s="38">
        <f>(VLOOKUP($A508,'The List'!$B1:$AH730,23,FALSE)-AVERAGE('The List'!X2:X730))/STDEV('The List'!X2:X730)</f>
        <v>-0.81015167516999476</v>
      </c>
      <c r="L508" s="38">
        <f>(VLOOKUP($A508,'The List'!$B1:$AH730,24,FALSE)-AVERAGE('The List'!Y2:Y730))/STDEV('The List'!Y2:Y730)</f>
        <v>-0.43237771861064234</v>
      </c>
      <c r="M508" s="38">
        <f>(VLOOKUP($A508,'The List'!$B1:$AH730,25,FALSE)-AVERAGE('The List'!Z2:Z730))/STDEV('The List'!Z2:Z730)</f>
        <v>-0.59231845209623513</v>
      </c>
      <c r="N508" s="38">
        <f>(VLOOKUP($A508,'The List'!$B1:$AH730,26,FALSE)-AVERAGE('The List'!AA2:AA730))/STDEV('The List'!AA2:AA730)</f>
        <v>-0.73024559561152003</v>
      </c>
      <c r="O508" s="38">
        <f>(VLOOKUP($A508,'The List'!$B1:$AH730,27,FALSE)-AVERAGE('The List'!AB2:AB730))/STDEV('The List'!AB2:AB730)</f>
        <v>-7.6448260814820007E-2</v>
      </c>
      <c r="P508" s="38">
        <f>(VLOOKUP($A508,'The List'!$B1:$AH730,28,FALSE)-AVERAGE('The List'!AC2:AC730))/STDEV('The List'!AC2:AC730)</f>
        <v>-0.86412588095737453</v>
      </c>
      <c r="Q508" s="38">
        <f>(VLOOKUP($A508,'The List'!$B1:$AH730,29,FALSE)-AVERAGE('The List'!AD2:AD730))/STDEV('The List'!AD2:AD730)</f>
        <v>-0.89811626448645177</v>
      </c>
      <c r="R508" s="38">
        <f>(VLOOKUP($A508,'The List'!$B1:$AH730,30,FALSE)-AVERAGE('The List'!AE2:AE730))/STDEV('The List'!AE2:AE730)</f>
        <v>-0.62225605412651874</v>
      </c>
      <c r="S508" s="38">
        <f>(VLOOKUP($A508,'The List'!$B1:$AH730,31,FALSE)-AVERAGE('The List'!AF2:AF730))/STDEV('The List'!AF2:AF730)</f>
        <v>0.14559871132731078</v>
      </c>
      <c r="T508" s="38">
        <f>(VLOOKUP($A508,'The List'!$B1:$AH730,32,FALSE)-AVERAGE('The List'!AG2:AG730))/STDEV('The List'!AG2:AG730)</f>
        <v>0.75918756009555033</v>
      </c>
      <c r="U508" s="38">
        <f>(VLOOKUP($A508,'The List'!$B1:$AH730,33,FALSE)-AVERAGE('The List'!AH2:AH730))/STDEV('The List'!AH2:AH730)</f>
        <v>0.35945163283444237</v>
      </c>
      <c r="V508" s="38"/>
      <c r="W508" s="42"/>
      <c r="X508" s="40"/>
      <c r="Y508" s="40"/>
      <c r="Z508" s="40"/>
      <c r="AA508" s="40"/>
      <c r="AB508" s="40"/>
      <c r="AC508" s="43"/>
      <c r="AD508" s="44"/>
      <c r="AE508" s="38"/>
    </row>
    <row r="509" spans="1:31" ht="21.2" customHeight="1">
      <c r="A509" s="8" t="s">
        <v>449</v>
      </c>
      <c r="B509" s="34" t="str">
        <f>VLOOKUP(A509,'Player Data'!A1:B734,2,FALSE)</f>
        <v>TOR</v>
      </c>
      <c r="C509" s="36">
        <f>((E509)*Settings!$C$12)+(F509*Settings!$C$2)+(G509*Settings!$C$3)+(H509*Settings!$C$4)+(I509*Settings!$C$5)+(K509*Settings!$C$9)+(N509*Settings!$C$6)+(J509*Settings!$C$8)+(O509*Settings!$C$7)+(P509*Settings!$C$14)+(Q509*Settings!$C$15)+(R509*Settings!$C$16)+(S509*Settings!$C$17)+(T509*Settings!$C$18)+(U509*Settings!$C$19)+(L509*Settings!$C$10)+(Settings!$C$11*M509)</f>
        <v>-3.7445288511731007</v>
      </c>
      <c r="D509" s="40">
        <f>IF(Settings!$E$12="YES",VLOOKUP(A509,'Player Data'!A1:E734,5,FALSE),82)</f>
        <v>82</v>
      </c>
      <c r="E509" s="38">
        <f>(VLOOKUP($A509,'The List'!$B1:$AH730,17,FALSE)-AVERAGE('The List'!R2:R730))/STDEV('The List'!R2:R730)</f>
        <v>0.25466694387247785</v>
      </c>
      <c r="F509" s="38">
        <f>(VLOOKUP($A509,'The List'!$B1:$AH730,18,FALSE)-AVERAGE('The List'!S2:S730))/STDEV('The List'!S2:S730)</f>
        <v>-0.91852022029206692</v>
      </c>
      <c r="G509" s="38">
        <f>(VLOOKUP($A509,'The List'!$B1:$AH730,19,FALSE)-AVERAGE('The List'!T2:T730))/STDEV('The List'!T2:T730)</f>
        <v>-0.65182237275278843</v>
      </c>
      <c r="H509" s="38">
        <f>(VLOOKUP($A509,'The List'!$B1:$AH730,20,FALSE)-AVERAGE('The List'!U2:U730))/STDEV('The List'!U2:U730)</f>
        <v>-0.82756585601255639</v>
      </c>
      <c r="I509" s="38">
        <f>(VLOOKUP($A509,'The List'!$B1:$AH730,21,FALSE)-AVERAGE('The List'!V2:V730))/STDEV('The List'!V2:V730)</f>
        <v>-0.56042615029381326</v>
      </c>
      <c r="J509" s="38">
        <f>(VLOOKUP($A509,'The List'!$B1:$AH730,22,FALSE)-AVERAGE('The List'!W2:W730))/STDEV('The List'!W2:W730)</f>
        <v>-0.72128321988604938</v>
      </c>
      <c r="K509" s="38">
        <f>(VLOOKUP($A509,'The List'!$B1:$AH730,23,FALSE)-AVERAGE('The List'!X2:X730))/STDEV('The List'!X2:X730)</f>
        <v>-0.78619425182187552</v>
      </c>
      <c r="L509" s="38">
        <f>(VLOOKUP($A509,'The List'!$B1:$AH730,24,FALSE)-AVERAGE('The List'!Y2:Y730))/STDEV('The List'!Y2:Y730)</f>
        <v>1.0782258547023893</v>
      </c>
      <c r="M509" s="38">
        <f>(VLOOKUP($A509,'The List'!$B1:$AH730,25,FALSE)-AVERAGE('The List'!Z2:Z730))/STDEV('The List'!Z2:Z730)</f>
        <v>2.1485154524184293E-3</v>
      </c>
      <c r="N509" s="38">
        <f>(VLOOKUP($A509,'The List'!$B1:$AH730,26,FALSE)-AVERAGE('The List'!AA2:AA730))/STDEV('The List'!AA2:AA730)</f>
        <v>1.7577557103406096</v>
      </c>
      <c r="O509" s="38">
        <f>(VLOOKUP($A509,'The List'!$B1:$AH730,27,FALSE)-AVERAGE('The List'!AB2:AB730))/STDEV('The List'!AB2:AB730)</f>
        <v>-0.53990401600517979</v>
      </c>
      <c r="P509" s="38">
        <f>(VLOOKUP($A509,'The List'!$B1:$AH730,28,FALSE)-AVERAGE('The List'!AC2:AC730))/STDEV('The List'!AC2:AC730)</f>
        <v>1.361641287900935</v>
      </c>
      <c r="Q509" s="38">
        <f>(VLOOKUP($A509,'The List'!$B1:$AH730,29,FALSE)-AVERAGE('The List'!AD2:AD730))/STDEV('The List'!AD2:AD730)</f>
        <v>0.3575719736742955</v>
      </c>
      <c r="R509" s="38">
        <f>(VLOOKUP($A509,'The List'!$B1:$AH730,30,FALSE)-AVERAGE('The List'!AE2:AE730))/STDEV('The List'!AE2:AE730)</f>
        <v>-0.77929024589123863</v>
      </c>
      <c r="S509" s="38">
        <f>(VLOOKUP($A509,'The List'!$B1:$AH730,31,FALSE)-AVERAGE('The List'!AF2:AF730))/STDEV('The List'!AF2:AF730)</f>
        <v>-0.56911587195029545</v>
      </c>
      <c r="T509" s="38">
        <f>(VLOOKUP($A509,'The List'!$B1:$AH730,32,FALSE)-AVERAGE('The List'!AG2:AG730))/STDEV('The List'!AG2:AG730)</f>
        <v>-0.61510119871956948</v>
      </c>
      <c r="U509" s="38">
        <f>(VLOOKUP($A509,'The List'!$B1:$AH730,33,FALSE)-AVERAGE('The List'!AH2:AH730))/STDEV('The List'!AH2:AH730)</f>
        <v>-1.2363238714825984</v>
      </c>
      <c r="V509" s="38"/>
      <c r="W509" s="42"/>
      <c r="X509" s="40"/>
      <c r="Y509" s="40"/>
      <c r="Z509" s="40"/>
      <c r="AA509" s="40"/>
      <c r="AB509" s="40"/>
      <c r="AC509" s="43"/>
      <c r="AD509" s="44"/>
      <c r="AE509" s="38"/>
    </row>
    <row r="510" spans="1:31" ht="21.2" customHeight="1">
      <c r="A510" s="8" t="s">
        <v>442</v>
      </c>
      <c r="B510" s="34" t="str">
        <f>VLOOKUP(A510,'Player Data'!A1:B734,2,FALSE)</f>
        <v>NJD</v>
      </c>
      <c r="C510" s="36">
        <f>((E510)*Settings!$C$12)+(F510*Settings!$C$2)+(G510*Settings!$C$3)+(H510*Settings!$C$4)+(I510*Settings!$C$5)+(K510*Settings!$C$9)+(N510*Settings!$C$6)+(J510*Settings!$C$8)+(O510*Settings!$C$7)+(P510*Settings!$C$14)+(Q510*Settings!$C$15)+(R510*Settings!$C$16)+(S510*Settings!$C$17)+(T510*Settings!$C$18)+(U510*Settings!$C$19)+(L510*Settings!$C$10)+(Settings!$C$11*M510)</f>
        <v>-4.0426999304001994</v>
      </c>
      <c r="D510" s="40">
        <f>IF(Settings!$E$12="YES",VLOOKUP(A510,'Player Data'!A1:E734,5,FALSE),82)</f>
        <v>82</v>
      </c>
      <c r="E510" s="38">
        <f>(VLOOKUP($A510,'The List'!$B1:$AH730,17,FALSE)-AVERAGE('The List'!R2:R730))/STDEV('The List'!R2:R730)</f>
        <v>1.0784010317615815</v>
      </c>
      <c r="F510" s="38">
        <f>(VLOOKUP($A510,'The List'!$B1:$AH730,18,FALSE)-AVERAGE('The List'!S2:S730))/STDEV('The List'!S2:S730)</f>
        <v>-1.0735426742985188</v>
      </c>
      <c r="G510" s="38">
        <f>(VLOOKUP($A510,'The List'!$B1:$AH730,19,FALSE)-AVERAGE('The List'!T2:T730))/STDEV('The List'!T2:T730)</f>
        <v>-0.53690568087793056</v>
      </c>
      <c r="H510" s="38">
        <f>(VLOOKUP($A510,'The List'!$B1:$AH730,20,FALSE)-AVERAGE('The List'!U2:U730))/STDEV('The List'!U2:U730)</f>
        <v>-0.82901080124160664</v>
      </c>
      <c r="I510" s="38">
        <f>(VLOOKUP($A510,'The List'!$B1:$AH730,21,FALSE)-AVERAGE('The List'!V2:V730))/STDEV('The List'!V2:V730)</f>
        <v>-0.82006090521873132</v>
      </c>
      <c r="J510" s="38">
        <f>(VLOOKUP($A510,'The List'!$B1:$AH730,22,FALSE)-AVERAGE('The List'!W2:W730))/STDEV('The List'!W2:W730)</f>
        <v>-0.68557875512836575</v>
      </c>
      <c r="K510" s="38">
        <f>(VLOOKUP($A510,'The List'!$B1:$AH730,23,FALSE)-AVERAGE('The List'!X2:X730))/STDEV('The List'!X2:X730)</f>
        <v>-0.78317986876341172</v>
      </c>
      <c r="L510" s="38">
        <f>(VLOOKUP($A510,'The List'!$B1:$AH730,24,FALSE)-AVERAGE('The List'!Y2:Y730))/STDEV('The List'!Y2:Y730)</f>
        <v>-0.45537500823727861</v>
      </c>
      <c r="M510" s="38">
        <f>(VLOOKUP($A510,'The List'!$B1:$AH730,25,FALSE)-AVERAGE('The List'!Z2:Z730))/STDEV('The List'!Z2:Z730)</f>
        <v>-3.4778200199425277E-2</v>
      </c>
      <c r="N510" s="38">
        <f>(VLOOKUP($A510,'The List'!$B1:$AH730,26,FALSE)-AVERAGE('The List'!AA2:AA730))/STDEV('The List'!AA2:AA730)</f>
        <v>2.006264643744164</v>
      </c>
      <c r="O510" s="38">
        <f>(VLOOKUP($A510,'The List'!$B1:$AH730,27,FALSE)-AVERAGE('The List'!AB2:AB730))/STDEV('The List'!AB2:AB730)</f>
        <v>0.23327607856887983</v>
      </c>
      <c r="P510" s="38">
        <f>(VLOOKUP($A510,'The List'!$B1:$AH730,28,FALSE)-AVERAGE('The List'!AC2:AC730))/STDEV('The List'!AC2:AC730)</f>
        <v>8.9963222268357596E-2</v>
      </c>
      <c r="Q510" s="38">
        <f>(VLOOKUP($A510,'The List'!$B1:$AH730,29,FALSE)-AVERAGE('The List'!AD2:AD730))/STDEV('The List'!AD2:AD730)</f>
        <v>0.73806279699886113</v>
      </c>
      <c r="R510" s="38">
        <f>(VLOOKUP($A510,'The List'!$B1:$AH730,30,FALSE)-AVERAGE('The List'!AE2:AE730))/STDEV('The List'!AE2:AE730)</f>
        <v>-0.96786398611144431</v>
      </c>
      <c r="S510" s="38">
        <f>(VLOOKUP($A510,'The List'!$B1:$AH730,31,FALSE)-AVERAGE('The List'!AF2:AF730))/STDEV('The List'!AF2:AF730)</f>
        <v>-0.56911587195029545</v>
      </c>
      <c r="T510" s="38">
        <f>(VLOOKUP($A510,'The List'!$B1:$AH730,32,FALSE)-AVERAGE('The List'!AG2:AG730))/STDEV('The List'!AG2:AG730)</f>
        <v>-0.61510119871956948</v>
      </c>
      <c r="U510" s="38">
        <f>(VLOOKUP($A510,'The List'!$B1:$AH730,33,FALSE)-AVERAGE('The List'!AH2:AH730))/STDEV('The List'!AH2:AH730)</f>
        <v>-1.2363238714825984</v>
      </c>
      <c r="V510" s="38"/>
      <c r="W510" s="42"/>
      <c r="X510" s="40"/>
      <c r="Y510" s="40"/>
      <c r="Z510" s="40"/>
      <c r="AA510" s="40"/>
      <c r="AB510" s="40"/>
      <c r="AC510" s="43"/>
      <c r="AD510" s="44"/>
      <c r="AE510" s="38"/>
    </row>
    <row r="511" spans="1:31" ht="21.2" customHeight="1">
      <c r="A511" s="8" t="s">
        <v>390</v>
      </c>
      <c r="B511" s="34" t="str">
        <f>VLOOKUP(A511,'Player Data'!A1:B734,2,FALSE)</f>
        <v>ANA</v>
      </c>
      <c r="C511" s="36">
        <f>((E511)*Settings!$C$12)+(F511*Settings!$C$2)+(G511*Settings!$C$3)+(H511*Settings!$C$4)+(I511*Settings!$C$5)+(K511*Settings!$C$9)+(N511*Settings!$C$6)+(J511*Settings!$C$8)+(O511*Settings!$C$7)+(P511*Settings!$C$14)+(Q511*Settings!$C$15)+(R511*Settings!$C$16)+(S511*Settings!$C$17)+(T511*Settings!$C$18)+(U511*Settings!$C$19)+(L511*Settings!$C$10)+(Settings!$C$11*M511)</f>
        <v>-3.3781292291857046</v>
      </c>
      <c r="D511" s="40">
        <f>IF(Settings!$E$12="YES",VLOOKUP(A511,'Player Data'!A1:E734,5,FALSE),82)</f>
        <v>82</v>
      </c>
      <c r="E511" s="38">
        <f>(VLOOKUP($A511,'The List'!$B1:$AH730,17,FALSE)-AVERAGE('The List'!R2:R730))/STDEV('The List'!R2:R730)</f>
        <v>0.94953884842354519</v>
      </c>
      <c r="F511" s="38">
        <f>(VLOOKUP($A511,'The List'!$B1:$AH730,18,FALSE)-AVERAGE('The List'!S2:S730))/STDEV('The List'!S2:S730)</f>
        <v>-1.0758470865602521</v>
      </c>
      <c r="G511" s="38">
        <f>(VLOOKUP($A511,'The List'!$B1:$AH730,19,FALSE)-AVERAGE('The List'!T2:T730))/STDEV('The List'!T2:T730)</f>
        <v>-0.53888689157637903</v>
      </c>
      <c r="H511" s="38">
        <f>(VLOOKUP($A511,'The List'!$B1:$AH730,20,FALSE)-AVERAGE('The List'!U2:U730))/STDEV('The List'!U2:U730)</f>
        <v>-0.83129959248538043</v>
      </c>
      <c r="I511" s="38">
        <f>(VLOOKUP($A511,'The List'!$B1:$AH730,21,FALSE)-AVERAGE('The List'!V2:V730))/STDEV('The List'!V2:V730)</f>
        <v>-0.14652238966283671</v>
      </c>
      <c r="J511" s="38">
        <f>(VLOOKUP($A511,'The List'!$B1:$AH730,22,FALSE)-AVERAGE('The List'!W2:W730))/STDEV('The List'!W2:W730)</f>
        <v>-0.72159010698045734</v>
      </c>
      <c r="K511" s="38">
        <f>(VLOOKUP($A511,'The List'!$B1:$AH730,23,FALSE)-AVERAGE('The List'!X2:X730))/STDEV('The List'!X2:X730)</f>
        <v>-0.78557326890085633</v>
      </c>
      <c r="L511" s="38">
        <f>(VLOOKUP($A511,'The List'!$B1:$AH730,24,FALSE)-AVERAGE('The List'!Y2:Y730))/STDEV('The List'!Y2:Y730)</f>
        <v>-0.10558519184586877</v>
      </c>
      <c r="M511" s="38">
        <f>(VLOOKUP($A511,'The List'!$B1:$AH730,25,FALSE)-AVERAGE('The List'!Z2:Z730))/STDEV('The List'!Z2:Z730)</f>
        <v>-0.56310397896861486</v>
      </c>
      <c r="N511" s="38">
        <f>(VLOOKUP($A511,'The List'!$B1:$AH730,26,FALSE)-AVERAGE('The List'!AA2:AA730))/STDEV('The List'!AA2:AA730)</f>
        <v>2.0806189668861745</v>
      </c>
      <c r="O511" s="38">
        <f>(VLOOKUP($A511,'The List'!$B1:$AH730,27,FALSE)-AVERAGE('The List'!AB2:AB730))/STDEV('The List'!AB2:AB730)</f>
        <v>4.854203018347591</v>
      </c>
      <c r="P511" s="38">
        <f>(VLOOKUP($A511,'The List'!$B1:$AH730,28,FALSE)-AVERAGE('The List'!AC2:AC730))/STDEV('The List'!AC2:AC730)</f>
        <v>-1.1025592736238432</v>
      </c>
      <c r="Q511" s="38">
        <f>(VLOOKUP($A511,'The List'!$B1:$AH730,29,FALSE)-AVERAGE('The List'!AD2:AD730))/STDEV('The List'!AD2:AD730)</f>
        <v>3.7087322789402943</v>
      </c>
      <c r="R511" s="38">
        <f>(VLOOKUP($A511,'The List'!$B1:$AH730,30,FALSE)-AVERAGE('The List'!AE2:AE730))/STDEV('The List'!AE2:AE730)</f>
        <v>-1.0679773133616715</v>
      </c>
      <c r="S511" s="38">
        <f>(VLOOKUP($A511,'The List'!$B1:$AH730,31,FALSE)-AVERAGE('The List'!AF2:AF730))/STDEV('The List'!AF2:AF730)</f>
        <v>-0.56911587195029545</v>
      </c>
      <c r="T511" s="38">
        <f>(VLOOKUP($A511,'The List'!$B1:$AH730,32,FALSE)-AVERAGE('The List'!AG2:AG730))/STDEV('The List'!AG2:AG730)</f>
        <v>-0.61510119871956948</v>
      </c>
      <c r="U511" s="38">
        <f>(VLOOKUP($A511,'The List'!$B1:$AH730,33,FALSE)-AVERAGE('The List'!AH2:AH730))/STDEV('The List'!AH2:AH730)</f>
        <v>-1.2363238714825984</v>
      </c>
      <c r="V511" s="38"/>
      <c r="W511" s="42"/>
      <c r="X511" s="40"/>
      <c r="Y511" s="40"/>
      <c r="Z511" s="40"/>
      <c r="AA511" s="40"/>
      <c r="AB511" s="40"/>
      <c r="AC511" s="43"/>
      <c r="AD511" s="44"/>
      <c r="AE511" s="38"/>
    </row>
    <row r="512" spans="1:31" ht="21.2" customHeight="1">
      <c r="A512" s="8" t="s">
        <v>768</v>
      </c>
      <c r="B512" s="34" t="str">
        <f>VLOOKUP(A512,'Player Data'!A1:B734,2,FALSE)</f>
        <v>CAR</v>
      </c>
      <c r="C512" s="36">
        <f>((E512)*Settings!$C$12)+(F512*Settings!$C$2)+(G512*Settings!$C$3)+(H512*Settings!$C$4)+(I512*Settings!$C$5)+(K512*Settings!$C$9)+(N512*Settings!$C$6)+(J512*Settings!$C$8)+(O512*Settings!$C$7)+(P512*Settings!$C$14)+(Q512*Settings!$C$15)+(R512*Settings!$C$16)+(S512*Settings!$C$17)+(T512*Settings!$C$18)+(U512*Settings!$C$19)+(L512*Settings!$C$10)+(Settings!$C$11*M512)</f>
        <v>-3.322707621279247</v>
      </c>
      <c r="D512" s="40">
        <f>IF(Settings!$E$12="YES",VLOOKUP(A512,'Player Data'!A1:E734,5,FALSE),82)</f>
        <v>82</v>
      </c>
      <c r="E512" s="38">
        <f>(VLOOKUP($A512,'The List'!$B1:$AH730,17,FALSE)-AVERAGE('The List'!R2:R730))/STDEV('The List'!R2:R730)</f>
        <v>-1.6421892319792752</v>
      </c>
      <c r="F512" s="38">
        <f>(VLOOKUP($A512,'The List'!$B1:$AH730,18,FALSE)-AVERAGE('The List'!S2:S730))/STDEV('The List'!S2:S730)</f>
        <v>-0.57217153539966126</v>
      </c>
      <c r="G512" s="38">
        <f>(VLOOKUP($A512,'The List'!$B1:$AH730,19,FALSE)-AVERAGE('The List'!T2:T730))/STDEV('The List'!T2:T730)</f>
        <v>-0.92117129086802418</v>
      </c>
      <c r="H512" s="38">
        <f>(VLOOKUP($A512,'The List'!$B1:$AH730,20,FALSE)-AVERAGE('The List'!U2:U730))/STDEV('The List'!U2:U730)</f>
        <v>-0.83208316559135187</v>
      </c>
      <c r="I512" s="38">
        <f>(VLOOKUP($A512,'The List'!$B1:$AH730,21,FALSE)-AVERAGE('The List'!V2:V730))/STDEV('The List'!V2:V730)</f>
        <v>-0.30498977238083563</v>
      </c>
      <c r="J512" s="38">
        <f>(VLOOKUP($A512,'The List'!$B1:$AH730,22,FALSE)-AVERAGE('The List'!W2:W730))/STDEV('The List'!W2:W730)</f>
        <v>-0.63352495489634775</v>
      </c>
      <c r="K512" s="38">
        <f>(VLOOKUP($A512,'The List'!$B1:$AH730,23,FALSE)-AVERAGE('The List'!X2:X730))/STDEV('The List'!X2:X730)</f>
        <v>-0.69229185703937368</v>
      </c>
      <c r="L512" s="38">
        <f>(VLOOKUP($A512,'The List'!$B1:$AH730,24,FALSE)-AVERAGE('The List'!Y2:Y730))/STDEV('The List'!Y2:Y730)</f>
        <v>-0.33648408231817206</v>
      </c>
      <c r="M512" s="38">
        <f>(VLOOKUP($A512,'The List'!$B1:$AH730,25,FALSE)-AVERAGE('The List'!Z2:Z730))/STDEV('The List'!Z2:Z730)</f>
        <v>-0.47222083087470063</v>
      </c>
      <c r="N512" s="38">
        <f>(VLOOKUP($A512,'The List'!$B1:$AH730,26,FALSE)-AVERAGE('The List'!AA2:AA730))/STDEV('The List'!AA2:AA730)</f>
        <v>-0.74913198658581237</v>
      </c>
      <c r="O512" s="38">
        <f>(VLOOKUP($A512,'The List'!$B1:$AH730,27,FALSE)-AVERAGE('The List'!AB2:AB730))/STDEV('The List'!AB2:AB730)</f>
        <v>-0.7791678612349211</v>
      </c>
      <c r="P512" s="38">
        <f>(VLOOKUP($A512,'The List'!$B1:$AH730,28,FALSE)-AVERAGE('The List'!AC2:AC730))/STDEV('The List'!AC2:AC730)</f>
        <v>1.4731594773172068</v>
      </c>
      <c r="Q512" s="38">
        <f>(VLOOKUP($A512,'The List'!$B1:$AH730,29,FALSE)-AVERAGE('The List'!AD2:AD730))/STDEV('The List'!AD2:AD730)</f>
        <v>-0.6047660705446537</v>
      </c>
      <c r="R512" s="38">
        <f>(VLOOKUP($A512,'The List'!$B1:$AH730,30,FALSE)-AVERAGE('The List'!AE2:AE730))/STDEV('The List'!AE2:AE730)</f>
        <v>-0.31941512231058261</v>
      </c>
      <c r="S512" s="38">
        <f>(VLOOKUP($A512,'The List'!$B1:$AH730,31,FALSE)-AVERAGE('The List'!AF2:AF730))/STDEV('The List'!AF2:AF730)</f>
        <v>0.10913238079956185</v>
      </c>
      <c r="T512" s="38">
        <f>(VLOOKUP($A512,'The List'!$B1:$AH730,32,FALSE)-AVERAGE('The List'!AG2:AG730))/STDEV('The List'!AG2:AG730)</f>
        <v>-2.7403791676278409E-2</v>
      </c>
      <c r="U512" s="38">
        <f>(VLOOKUP($A512,'The List'!$B1:$AH730,33,FALSE)-AVERAGE('The List'!AH2:AH730))/STDEV('The List'!AH2:AH730)</f>
        <v>1.2387424928122637</v>
      </c>
      <c r="V512" s="38"/>
      <c r="W512" s="42"/>
      <c r="X512" s="40"/>
      <c r="Y512" s="40"/>
      <c r="Z512" s="40"/>
      <c r="AA512" s="40"/>
      <c r="AB512" s="40"/>
      <c r="AC512" s="43"/>
      <c r="AD512" s="44"/>
      <c r="AE512" s="38"/>
    </row>
    <row r="513" spans="1:31" ht="21.2" customHeight="1">
      <c r="A513" s="8" t="s">
        <v>499</v>
      </c>
      <c r="B513" s="34" t="str">
        <f>VLOOKUP(A513,'Player Data'!A1:B734,2,FALSE)</f>
        <v>MTL</v>
      </c>
      <c r="C513" s="36">
        <f>((E513)*Settings!$C$12)+(F513*Settings!$C$2)+(G513*Settings!$C$3)+(H513*Settings!$C$4)+(I513*Settings!$C$5)+(K513*Settings!$C$9)+(N513*Settings!$C$6)+(J513*Settings!$C$8)+(O513*Settings!$C$7)+(P513*Settings!$C$14)+(Q513*Settings!$C$15)+(R513*Settings!$C$16)+(S513*Settings!$C$17)+(T513*Settings!$C$18)+(U513*Settings!$C$19)+(L513*Settings!$C$10)+(Settings!$C$11*M513)</f>
        <v>-4.0880496964378601</v>
      </c>
      <c r="D513" s="40">
        <f>IF(Settings!$E$12="YES",VLOOKUP(A513,'Player Data'!A1:E734,5,FALSE),82)</f>
        <v>82</v>
      </c>
      <c r="E513" s="38">
        <f>(VLOOKUP($A513,'The List'!$B1:$AH730,17,FALSE)-AVERAGE('The List'!R2:R730))/STDEV('The List'!R2:R730)</f>
        <v>0.19744792555482679</v>
      </c>
      <c r="F513" s="38">
        <f>(VLOOKUP($A513,'The List'!$B1:$AH730,18,FALSE)-AVERAGE('The List'!S2:S730))/STDEV('The List'!S2:S730)</f>
        <v>-0.87886849497393571</v>
      </c>
      <c r="G513" s="38">
        <f>(VLOOKUP($A513,'The List'!$B1:$AH730,19,FALSE)-AVERAGE('The List'!T2:T730))/STDEV('The List'!T2:T730)</f>
        <v>-0.69653693635659664</v>
      </c>
      <c r="H513" s="38">
        <f>(VLOOKUP($A513,'The List'!$B1:$AH730,20,FALSE)-AVERAGE('The List'!U2:U730))/STDEV('The List'!U2:U730)</f>
        <v>-0.83661169277416714</v>
      </c>
      <c r="I513" s="38">
        <f>(VLOOKUP($A513,'The List'!$B1:$AH730,21,FALSE)-AVERAGE('The List'!V2:V730))/STDEV('The List'!V2:V730)</f>
        <v>-0.87114830677071942</v>
      </c>
      <c r="J513" s="38">
        <f>(VLOOKUP($A513,'The List'!$B1:$AH730,22,FALSE)-AVERAGE('The List'!W2:W730))/STDEV('The List'!W2:W730)</f>
        <v>-0.73133478978684319</v>
      </c>
      <c r="K513" s="38">
        <f>(VLOOKUP($A513,'The List'!$B1:$AH730,23,FALSE)-AVERAGE('The List'!X2:X730))/STDEV('The List'!X2:X730)</f>
        <v>-0.80488426556244097</v>
      </c>
      <c r="L513" s="38">
        <f>(VLOOKUP($A513,'The List'!$B1:$AH730,24,FALSE)-AVERAGE('The List'!Y2:Y730))/STDEV('The List'!Y2:Y730)</f>
        <v>-0.46584453006440885</v>
      </c>
      <c r="M513" s="38">
        <f>(VLOOKUP($A513,'The List'!$B1:$AH730,25,FALSE)-AVERAGE('The List'!Z2:Z730))/STDEV('The List'!Z2:Z730)</f>
        <v>-0.5254970102323655</v>
      </c>
      <c r="N513" s="38">
        <f>(VLOOKUP($A513,'The List'!$B1:$AH730,26,FALSE)-AVERAGE('The List'!AA2:AA730))/STDEV('The List'!AA2:AA730)</f>
        <v>1.2352816345740001</v>
      </c>
      <c r="O513" s="38">
        <f>(VLOOKUP($A513,'The List'!$B1:$AH730,27,FALSE)-AVERAGE('The List'!AB2:AB730))/STDEV('The List'!AB2:AB730)</f>
        <v>-0.38294791342022638</v>
      </c>
      <c r="P513" s="38">
        <f>(VLOOKUP($A513,'The List'!$B1:$AH730,28,FALSE)-AVERAGE('The List'!AC2:AC730))/STDEV('The List'!AC2:AC730)</f>
        <v>-1.6116934185651393</v>
      </c>
      <c r="Q513" s="38">
        <f>(VLOOKUP($A513,'The List'!$B1:$AH730,29,FALSE)-AVERAGE('The List'!AD2:AD730))/STDEV('The List'!AD2:AD730)</f>
        <v>-1.1230699976182446E-2</v>
      </c>
      <c r="R513" s="38">
        <f>(VLOOKUP($A513,'The List'!$B1:$AH730,30,FALSE)-AVERAGE('The List'!AE2:AE730))/STDEV('The List'!AE2:AE730)</f>
        <v>-0.92396700953048727</v>
      </c>
      <c r="S513" s="38">
        <f>(VLOOKUP($A513,'The List'!$B1:$AH730,31,FALSE)-AVERAGE('The List'!AF2:AF730))/STDEV('The List'!AF2:AF730)</f>
        <v>-0.56911587195029545</v>
      </c>
      <c r="T513" s="38">
        <f>(VLOOKUP($A513,'The List'!$B1:$AH730,32,FALSE)-AVERAGE('The List'!AG2:AG730))/STDEV('The List'!AG2:AG730)</f>
        <v>-0.61510119871956948</v>
      </c>
      <c r="U513" s="38">
        <f>(VLOOKUP($A513,'The List'!$B1:$AH730,33,FALSE)-AVERAGE('The List'!AH2:AH730))/STDEV('The List'!AH2:AH730)</f>
        <v>-1.2363238714825984</v>
      </c>
      <c r="V513" s="38"/>
      <c r="W513" s="40"/>
      <c r="X513" s="38"/>
      <c r="Y513" s="38"/>
      <c r="Z513" s="38"/>
      <c r="AA513" s="38"/>
      <c r="AB513" s="38"/>
      <c r="AC513" s="38"/>
      <c r="AD513" s="38"/>
      <c r="AE513" s="38"/>
    </row>
    <row r="514" spans="1:31" ht="21.2" customHeight="1">
      <c r="A514" s="8" t="s">
        <v>485</v>
      </c>
      <c r="B514" s="34" t="str">
        <f>VLOOKUP(A514,'Player Data'!A1:B734,2,FALSE)</f>
        <v>NJD</v>
      </c>
      <c r="C514" s="36">
        <f>((E514)*Settings!$C$12)+(F514*Settings!$C$2)+(G514*Settings!$C$3)+(H514*Settings!$C$4)+(I514*Settings!$C$5)+(K514*Settings!$C$9)+(N514*Settings!$C$6)+(J514*Settings!$C$8)+(O514*Settings!$C$7)+(P514*Settings!$C$14)+(Q514*Settings!$C$15)+(R514*Settings!$C$16)+(S514*Settings!$C$17)+(T514*Settings!$C$18)+(U514*Settings!$C$19)+(L514*Settings!$C$10)+(Settings!$C$11*M514)</f>
        <v>-3.9407285037924358</v>
      </c>
      <c r="D514" s="40">
        <f>IF(Settings!$E$12="YES",VLOOKUP(A514,'Player Data'!A1:E734,5,FALSE),82)</f>
        <v>82</v>
      </c>
      <c r="E514" s="38">
        <f>(VLOOKUP($A514,'The List'!$B1:$AH730,17,FALSE)-AVERAGE('The List'!R2:R730))/STDEV('The List'!R2:R730)</f>
        <v>7.7092941010195037E-2</v>
      </c>
      <c r="F514" s="38">
        <f>(VLOOKUP($A514,'The List'!$B1:$AH730,18,FALSE)-AVERAGE('The List'!S2:S730))/STDEV('The List'!S2:S730)</f>
        <v>-0.91666571614851178</v>
      </c>
      <c r="G514" s="38">
        <f>(VLOOKUP($A514,'The List'!$B1:$AH730,19,FALSE)-AVERAGE('The List'!T2:T730))/STDEV('The List'!T2:T730)</f>
        <v>-0.67369172843192304</v>
      </c>
      <c r="H514" s="38">
        <f>(VLOOKUP($A514,'The List'!$B1:$AH730,20,FALSE)-AVERAGE('The List'!U2:U730))/STDEV('The List'!U2:U730)</f>
        <v>-0.84014332622382171</v>
      </c>
      <c r="I514" s="38">
        <f>(VLOOKUP($A514,'The List'!$B1:$AH730,21,FALSE)-AVERAGE('The List'!V2:V730))/STDEV('The List'!V2:V730)</f>
        <v>-0.75222104206752516</v>
      </c>
      <c r="J514" s="38">
        <f>(VLOOKUP($A514,'The List'!$B1:$AH730,22,FALSE)-AVERAGE('The List'!W2:W730))/STDEV('The List'!W2:W730)</f>
        <v>-0.69220912345075891</v>
      </c>
      <c r="K514" s="38">
        <f>(VLOOKUP($A514,'The List'!$B1:$AH730,23,FALSE)-AVERAGE('The List'!X2:X730))/STDEV('The List'!X2:X730)</f>
        <v>-0.75800669092065431</v>
      </c>
      <c r="L514" s="38">
        <f>(VLOOKUP($A514,'The List'!$B1:$AH730,24,FALSE)-AVERAGE('The List'!Y2:Y730))/STDEV('The List'!Y2:Y730)</f>
        <v>-0.50370875040355179</v>
      </c>
      <c r="M514" s="38">
        <f>(VLOOKUP($A514,'The List'!$B1:$AH730,25,FALSE)-AVERAGE('The List'!Z2:Z730))/STDEV('The List'!Z2:Z730)</f>
        <v>-0.65037387020587234</v>
      </c>
      <c r="N514" s="38">
        <f>(VLOOKUP($A514,'The List'!$B1:$AH730,26,FALSE)-AVERAGE('The List'!AA2:AA730))/STDEV('The List'!AA2:AA730)</f>
        <v>0.36433778433788511</v>
      </c>
      <c r="O514" s="38">
        <f>(VLOOKUP($A514,'The List'!$B1:$AH730,27,FALSE)-AVERAGE('The List'!AB2:AB730))/STDEV('The List'!AB2:AB730)</f>
        <v>0.19763175425586113</v>
      </c>
      <c r="P514" s="38">
        <f>(VLOOKUP($A514,'The List'!$B1:$AH730,28,FALSE)-AVERAGE('The List'!AC2:AC730))/STDEV('The List'!AC2:AC730)</f>
        <v>9.3462667272807914E-2</v>
      </c>
      <c r="Q514" s="38">
        <f>(VLOOKUP($A514,'The List'!$B1:$AH730,29,FALSE)-AVERAGE('The List'!AD2:AD730))/STDEV('The List'!AD2:AD730)</f>
        <v>0.28654536632020838</v>
      </c>
      <c r="R514" s="38">
        <f>(VLOOKUP($A514,'The List'!$B1:$AH730,30,FALSE)-AVERAGE('The List'!AE2:AE730))/STDEV('The List'!AE2:AE730)</f>
        <v>-0.81770989721065834</v>
      </c>
      <c r="S514" s="38">
        <f>(VLOOKUP($A514,'The List'!$B1:$AH730,31,FALSE)-AVERAGE('The List'!AF2:AF730))/STDEV('The List'!AF2:AF730)</f>
        <v>-0.56911587195029545</v>
      </c>
      <c r="T514" s="38">
        <f>(VLOOKUP($A514,'The List'!$B1:$AH730,32,FALSE)-AVERAGE('The List'!AG2:AG730))/STDEV('The List'!AG2:AG730)</f>
        <v>-0.61510119871956948</v>
      </c>
      <c r="U514" s="38">
        <f>(VLOOKUP($A514,'The List'!$B1:$AH730,33,FALSE)-AVERAGE('The List'!AH2:AH730))/STDEV('The List'!AH2:AH730)</f>
        <v>-1.2363238714825984</v>
      </c>
      <c r="V514" s="38"/>
      <c r="W514" s="42"/>
      <c r="X514" s="40"/>
      <c r="Y514" s="40"/>
      <c r="Z514" s="40"/>
      <c r="AA514" s="40"/>
      <c r="AB514" s="40"/>
      <c r="AC514" s="43"/>
      <c r="AD514" s="44"/>
      <c r="AE514" s="38"/>
    </row>
    <row r="515" spans="1:31" ht="21.2" customHeight="1">
      <c r="A515" s="8" t="s">
        <v>493</v>
      </c>
      <c r="B515" s="34" t="str">
        <f>VLOOKUP(A515,'Player Data'!A1:B734,2,FALSE)</f>
        <v>NSH</v>
      </c>
      <c r="C515" s="36">
        <f>((E515)*Settings!$C$12)+(F515*Settings!$C$2)+(G515*Settings!$C$3)+(H515*Settings!$C$4)+(I515*Settings!$C$5)+(K515*Settings!$C$9)+(N515*Settings!$C$6)+(J515*Settings!$C$8)+(O515*Settings!$C$7)+(P515*Settings!$C$14)+(Q515*Settings!$C$15)+(R515*Settings!$C$16)+(S515*Settings!$C$17)+(T515*Settings!$C$18)+(U515*Settings!$C$19)+(L515*Settings!$C$10)+(Settings!$C$11*M515)</f>
        <v>-4.0512321978659322</v>
      </c>
      <c r="D515" s="40">
        <f>IF(Settings!$E$12="YES",VLOOKUP(A515,'Player Data'!A1:E734,5,FALSE),82)</f>
        <v>82</v>
      </c>
      <c r="E515" s="38">
        <f>(VLOOKUP($A515,'The List'!$B1:$AH730,17,FALSE)-AVERAGE('The List'!R2:R730))/STDEV('The List'!R2:R730)</f>
        <v>4.5110446228018214E-2</v>
      </c>
      <c r="F515" s="38">
        <f>(VLOOKUP($A515,'The List'!$B1:$AH730,18,FALSE)-AVERAGE('The List'!S2:S730))/STDEV('The List'!S2:S730)</f>
        <v>-0.92846686180258264</v>
      </c>
      <c r="G515" s="38">
        <f>(VLOOKUP($A515,'The List'!$B1:$AH730,19,FALSE)-AVERAGE('The List'!T2:T730))/STDEV('The List'!T2:T730)</f>
        <v>-0.66656415698016935</v>
      </c>
      <c r="H515" s="38">
        <f>(VLOOKUP($A515,'The List'!$B1:$AH730,20,FALSE)-AVERAGE('The List'!U2:U730))/STDEV('The List'!U2:U730)</f>
        <v>-0.84124918866620624</v>
      </c>
      <c r="I515" s="38">
        <f>(VLOOKUP($A515,'The List'!$B1:$AH730,21,FALSE)-AVERAGE('The List'!V2:V730))/STDEV('The List'!V2:V730)</f>
        <v>-0.80466929265357501</v>
      </c>
      <c r="J515" s="38">
        <f>(VLOOKUP($A515,'The List'!$B1:$AH730,22,FALSE)-AVERAGE('The List'!W2:W730))/STDEV('The List'!W2:W730)</f>
        <v>-0.73118073142279971</v>
      </c>
      <c r="K515" s="38">
        <f>(VLOOKUP($A515,'The List'!$B1:$AH730,23,FALSE)-AVERAGE('The List'!X2:X730))/STDEV('The List'!X2:X730)</f>
        <v>-0.81028269776339878</v>
      </c>
      <c r="L515" s="38">
        <f>(VLOOKUP($A515,'The List'!$B1:$AH730,24,FALSE)-AVERAGE('The List'!Y2:Y730))/STDEV('The List'!Y2:Y730)</f>
        <v>-0.55666351667641878</v>
      </c>
      <c r="M515" s="38">
        <f>(VLOOKUP($A515,'The List'!$B1:$AH730,25,FALSE)-AVERAGE('The List'!Z2:Z730))/STDEV('The List'!Z2:Z730)</f>
        <v>-0.80981781079503878</v>
      </c>
      <c r="N515" s="38">
        <f>(VLOOKUP($A515,'The List'!$B1:$AH730,26,FALSE)-AVERAGE('The List'!AA2:AA730))/STDEV('The List'!AA2:AA730)</f>
        <v>1.1775217032646308</v>
      </c>
      <c r="O515" s="38">
        <f>(VLOOKUP($A515,'The List'!$B1:$AH730,27,FALSE)-AVERAGE('The List'!AB2:AB730))/STDEV('The List'!AB2:AB730)</f>
        <v>3.8264467398636439</v>
      </c>
      <c r="P515" s="38">
        <f>(VLOOKUP($A515,'The List'!$B1:$AH730,28,FALSE)-AVERAGE('The List'!AC2:AC730))/STDEV('The List'!AC2:AC730)</f>
        <v>-0.27478300448395021</v>
      </c>
      <c r="Q515" s="38">
        <f>(VLOOKUP($A515,'The List'!$B1:$AH730,29,FALSE)-AVERAGE('The List'!AD2:AD730))/STDEV('The List'!AD2:AD730)</f>
        <v>2.92289601053771</v>
      </c>
      <c r="R515" s="38">
        <f>(VLOOKUP($A515,'The List'!$B1:$AH730,30,FALSE)-AVERAGE('The List'!AE2:AE730))/STDEV('The List'!AE2:AE730)</f>
        <v>-0.83174201006170656</v>
      </c>
      <c r="S515" s="38">
        <f>(VLOOKUP($A515,'The List'!$B1:$AH730,31,FALSE)-AVERAGE('The List'!AF2:AF730))/STDEV('The List'!AF2:AF730)</f>
        <v>-0.56911587195029545</v>
      </c>
      <c r="T515" s="38">
        <f>(VLOOKUP($A515,'The List'!$B1:$AH730,32,FALSE)-AVERAGE('The List'!AG2:AG730))/STDEV('The List'!AG2:AG730)</f>
        <v>-0.61510119871956948</v>
      </c>
      <c r="U515" s="38">
        <f>(VLOOKUP($A515,'The List'!$B1:$AH730,33,FALSE)-AVERAGE('The List'!AH2:AH730))/STDEV('The List'!AH2:AH730)</f>
        <v>-1.2363238714825984</v>
      </c>
      <c r="V515" s="38"/>
      <c r="W515" s="42"/>
      <c r="X515" s="40"/>
      <c r="Y515" s="40"/>
      <c r="Z515" s="40"/>
      <c r="AA515" s="40"/>
      <c r="AB515" s="40"/>
      <c r="AC515" s="43"/>
      <c r="AD515" s="44"/>
      <c r="AE515" s="38"/>
    </row>
    <row r="516" spans="1:31" ht="21.2" customHeight="1">
      <c r="A516" s="8" t="s">
        <v>739</v>
      </c>
      <c r="B516" s="34" t="str">
        <f>VLOOKUP(A516,'Player Data'!A1:B734,2,FALSE)</f>
        <v>OTT</v>
      </c>
      <c r="C516" s="36">
        <f>((E516)*Settings!$C$12)+(F516*Settings!$C$2)+(G516*Settings!$C$3)+(H516*Settings!$C$4)+(I516*Settings!$C$5)+(K516*Settings!$C$9)+(N516*Settings!$C$6)+(J516*Settings!$C$8)+(O516*Settings!$C$7)+(P516*Settings!$C$14)+(Q516*Settings!$C$15)+(R516*Settings!$C$16)+(S516*Settings!$C$17)+(T516*Settings!$C$18)+(U516*Settings!$C$19)+(L516*Settings!$C$10)+(Settings!$C$11*M516)</f>
        <v>-3.5922632471769935</v>
      </c>
      <c r="D516" s="40">
        <f>IF(Settings!$E$12="YES",VLOOKUP(A516,'Player Data'!A1:E734,5,FALSE),82)</f>
        <v>82</v>
      </c>
      <c r="E516" s="38">
        <f>(VLOOKUP($A516,'The List'!$B1:$AH730,17,FALSE)-AVERAGE('The List'!R2:R730))/STDEV('The List'!R2:R730)</f>
        <v>-1.5401386008600351</v>
      </c>
      <c r="F516" s="38">
        <f>(VLOOKUP($A516,'The List'!$B1:$AH730,18,FALSE)-AVERAGE('The List'!S2:S730))/STDEV('The List'!S2:S730)</f>
        <v>-0.56179398302319938</v>
      </c>
      <c r="G516" s="38">
        <f>(VLOOKUP($A516,'The List'!$B1:$AH730,19,FALSE)-AVERAGE('The List'!T2:T730))/STDEV('The List'!T2:T730)</f>
        <v>-0.94413659631045455</v>
      </c>
      <c r="H516" s="38">
        <f>(VLOOKUP($A516,'The List'!$B1:$AH730,20,FALSE)-AVERAGE('The List'!U2:U730))/STDEV('The List'!U2:U730)</f>
        <v>-0.84137200396185785</v>
      </c>
      <c r="I516" s="38">
        <f>(VLOOKUP($A516,'The List'!$B1:$AH730,21,FALSE)-AVERAGE('The List'!V2:V730))/STDEV('The List'!V2:V730)</f>
        <v>-0.87129909727142218</v>
      </c>
      <c r="J516" s="38">
        <f>(VLOOKUP($A516,'The List'!$B1:$AH730,22,FALSE)-AVERAGE('The List'!W2:W730))/STDEV('The List'!W2:W730)</f>
        <v>-0.13561493855555884</v>
      </c>
      <c r="K516" s="38">
        <f>(VLOOKUP($A516,'The List'!$B1:$AH730,23,FALSE)-AVERAGE('The List'!X2:X730))/STDEV('The List'!X2:X730)</f>
        <v>-0.37366156661005967</v>
      </c>
      <c r="L516" s="38">
        <f>(VLOOKUP($A516,'The List'!$B1:$AH730,24,FALSE)-AVERAGE('The List'!Y2:Y730))/STDEV('The List'!Y2:Y730)</f>
        <v>-0.52515529094994673</v>
      </c>
      <c r="M516" s="38">
        <f>(VLOOKUP($A516,'The List'!$B1:$AH730,25,FALSE)-AVERAGE('The List'!Z2:Z730))/STDEV('The List'!Z2:Z730)</f>
        <v>-0.70378350861314143</v>
      </c>
      <c r="N516" s="38">
        <f>(VLOOKUP($A516,'The List'!$B1:$AH730,26,FALSE)-AVERAGE('The List'!AA2:AA730))/STDEV('The List'!AA2:AA730)</f>
        <v>-0.60741673132482599</v>
      </c>
      <c r="O516" s="38">
        <f>(VLOOKUP($A516,'The List'!$B1:$AH730,27,FALSE)-AVERAGE('The List'!AB2:AB730))/STDEV('The List'!AB2:AB730)</f>
        <v>-0.18160718019917768</v>
      </c>
      <c r="P516" s="38">
        <f>(VLOOKUP($A516,'The List'!$B1:$AH730,28,FALSE)-AVERAGE('The List'!AC2:AC730))/STDEV('The List'!AC2:AC730)</f>
        <v>-8.1844857774458907E-2</v>
      </c>
      <c r="Q516" s="38">
        <f>(VLOOKUP($A516,'The List'!$B1:$AH730,29,FALSE)-AVERAGE('The List'!AD2:AD730))/STDEV('The List'!AD2:AD730)</f>
        <v>-0.97495792790875546</v>
      </c>
      <c r="R516" s="38">
        <f>(VLOOKUP($A516,'The List'!$B1:$AH730,30,FALSE)-AVERAGE('The List'!AE2:AE730))/STDEV('The List'!AE2:AE730)</f>
        <v>-0.46010991882518298</v>
      </c>
      <c r="S516" s="38">
        <f>(VLOOKUP($A516,'The List'!$B1:$AH730,31,FALSE)-AVERAGE('The List'!AF2:AF730))/STDEV('The List'!AF2:AF730)</f>
        <v>-0.54315986986171505</v>
      </c>
      <c r="T516" s="38">
        <f>(VLOOKUP($A516,'The List'!$B1:$AH730,32,FALSE)-AVERAGE('The List'!AG2:AG730))/STDEV('The List'!AG2:AG730)</f>
        <v>-0.57587865294025775</v>
      </c>
      <c r="U516" s="38">
        <f>(VLOOKUP($A516,'The List'!$B1:$AH730,33,FALSE)-AVERAGE('The List'!AH2:AH730))/STDEV('The List'!AH2:AH730)</f>
        <v>0.61593049765216445</v>
      </c>
      <c r="V516" s="38"/>
      <c r="W516" s="42"/>
      <c r="X516" s="40"/>
      <c r="Y516" s="40"/>
      <c r="Z516" s="40"/>
      <c r="AA516" s="40"/>
      <c r="AB516" s="40"/>
      <c r="AC516" s="43"/>
      <c r="AD516" s="44"/>
      <c r="AE516" s="38"/>
    </row>
    <row r="517" spans="1:31" ht="21.2" customHeight="1">
      <c r="A517" s="8" t="s">
        <v>603</v>
      </c>
      <c r="B517" s="34" t="str">
        <f>VLOOKUP(A517,'Player Data'!A1:B734,2,FALSE)</f>
        <v>CHI</v>
      </c>
      <c r="C517" s="36">
        <f>((E517)*Settings!$C$12)+(F517*Settings!$C$2)+(G517*Settings!$C$3)+(H517*Settings!$C$4)+(I517*Settings!$C$5)+(K517*Settings!$C$9)+(N517*Settings!$C$6)+(J517*Settings!$C$8)+(O517*Settings!$C$7)+(P517*Settings!$C$14)+(Q517*Settings!$C$15)+(R517*Settings!$C$16)+(S517*Settings!$C$17)+(T517*Settings!$C$18)+(U517*Settings!$C$19)+(L517*Settings!$C$10)+(Settings!$C$11*M517)</f>
        <v>-4.0013813008379611</v>
      </c>
      <c r="D517" s="40">
        <f>IF(Settings!$E$12="YES",VLOOKUP(A517,'Player Data'!A1:E734,5,FALSE),82)</f>
        <v>82</v>
      </c>
      <c r="E517" s="38">
        <f>(VLOOKUP($A517,'The List'!$B1:$AH730,17,FALSE)-AVERAGE('The List'!R2:R730))/STDEV('The List'!R2:R730)</f>
        <v>-7.5418435827975819E-2</v>
      </c>
      <c r="F517" s="38">
        <f>(VLOOKUP($A517,'The List'!$B1:$AH730,18,FALSE)-AVERAGE('The List'!S2:S730))/STDEV('The List'!S2:S730)</f>
        <v>-0.91386253492040104</v>
      </c>
      <c r="G517" s="38">
        <f>(VLOOKUP($A517,'The List'!$B1:$AH730,19,FALSE)-AVERAGE('The List'!T2:T730))/STDEV('The List'!T2:T730)</f>
        <v>-0.67976006630426211</v>
      </c>
      <c r="H517" s="38">
        <f>(VLOOKUP($A517,'The List'!$B1:$AH730,20,FALSE)-AVERAGE('The List'!U2:U730))/STDEV('The List'!U2:U730)</f>
        <v>-0.84256943493716829</v>
      </c>
      <c r="I517" s="38">
        <f>(VLOOKUP($A517,'The List'!$B1:$AH730,21,FALSE)-AVERAGE('The List'!V2:V730))/STDEV('The List'!V2:V730)</f>
        <v>-0.88236095940903236</v>
      </c>
      <c r="J517" s="38">
        <f>(VLOOKUP($A517,'The List'!$B1:$AH730,22,FALSE)-AVERAGE('The List'!W2:W730))/STDEV('The List'!W2:W730)</f>
        <v>-0.67837631884441507</v>
      </c>
      <c r="K517" s="38">
        <f>(VLOOKUP($A517,'The List'!$B1:$AH730,23,FALSE)-AVERAGE('The List'!X2:X730))/STDEV('The List'!X2:X730)</f>
        <v>-0.68282830526709704</v>
      </c>
      <c r="L517" s="38">
        <f>(VLOOKUP($A517,'The List'!$B1:$AH730,24,FALSE)-AVERAGE('The List'!Y2:Y730))/STDEV('The List'!Y2:Y730)</f>
        <v>-0.45188835984625725</v>
      </c>
      <c r="M517" s="38">
        <f>(VLOOKUP($A517,'The List'!$B1:$AH730,25,FALSE)-AVERAGE('The List'!Z2:Z730))/STDEV('The List'!Z2:Z730)</f>
        <v>-0.50816407382318363</v>
      </c>
      <c r="N517" s="38">
        <f>(VLOOKUP($A517,'The List'!$B1:$AH730,26,FALSE)-AVERAGE('The List'!AA2:AA730))/STDEV('The List'!AA2:AA730)</f>
        <v>0.69619079351536539</v>
      </c>
      <c r="O517" s="38">
        <f>(VLOOKUP($A517,'The List'!$B1:$AH730,27,FALSE)-AVERAGE('The List'!AB2:AB730))/STDEV('The List'!AB2:AB730)</f>
        <v>-0.17956762976029667</v>
      </c>
      <c r="P517" s="38">
        <f>(VLOOKUP($A517,'The List'!$B1:$AH730,28,FALSE)-AVERAGE('The List'!AC2:AC730))/STDEV('The List'!AC2:AC730)</f>
        <v>-1.4254376644620337</v>
      </c>
      <c r="Q517" s="38">
        <f>(VLOOKUP($A517,'The List'!$B1:$AH730,29,FALSE)-AVERAGE('The List'!AD2:AD730))/STDEV('The List'!AD2:AD730)</f>
        <v>-0.37532885748642503</v>
      </c>
      <c r="R517" s="38">
        <f>(VLOOKUP($A517,'The List'!$B1:$AH730,30,FALSE)-AVERAGE('The List'!AE2:AE730))/STDEV('The List'!AE2:AE730)</f>
        <v>-0.90353152635758271</v>
      </c>
      <c r="S517" s="38">
        <f>(VLOOKUP($A517,'The List'!$B1:$AH730,31,FALSE)-AVERAGE('The List'!AF2:AF730))/STDEV('The List'!AF2:AF730)</f>
        <v>-0.56911587195029545</v>
      </c>
      <c r="T517" s="38">
        <f>(VLOOKUP($A517,'The List'!$B1:$AH730,32,FALSE)-AVERAGE('The List'!AG2:AG730))/STDEV('The List'!AG2:AG730)</f>
        <v>-0.61510119871956948</v>
      </c>
      <c r="U517" s="38">
        <f>(VLOOKUP($A517,'The List'!$B1:$AH730,33,FALSE)-AVERAGE('The List'!AH2:AH730))/STDEV('The List'!AH2:AH730)</f>
        <v>-1.2363238714825984</v>
      </c>
      <c r="V517" s="38"/>
      <c r="W517" s="42"/>
      <c r="X517" s="40"/>
      <c r="Y517" s="40"/>
      <c r="Z517" s="40"/>
      <c r="AA517" s="40"/>
      <c r="AB517" s="40"/>
      <c r="AC517" s="43"/>
      <c r="AD517" s="44"/>
      <c r="AE517" s="38"/>
    </row>
    <row r="518" spans="1:31" ht="21.2" customHeight="1">
      <c r="A518" s="8" t="s">
        <v>772</v>
      </c>
      <c r="B518" s="34" t="str">
        <f>VLOOKUP(A518,'Player Data'!A1:B734,2,FALSE)</f>
        <v>LAK</v>
      </c>
      <c r="C518" s="36">
        <f>((E518)*Settings!$C$12)+(F518*Settings!$C$2)+(G518*Settings!$C$3)+(H518*Settings!$C$4)+(I518*Settings!$C$5)+(K518*Settings!$C$9)+(N518*Settings!$C$6)+(J518*Settings!$C$8)+(O518*Settings!$C$7)+(P518*Settings!$C$14)+(Q518*Settings!$C$15)+(R518*Settings!$C$16)+(S518*Settings!$C$17)+(T518*Settings!$C$18)+(U518*Settings!$C$19)+(L518*Settings!$C$10)+(Settings!$C$11*M518)</f>
        <v>-4.0097239398523401</v>
      </c>
      <c r="D518" s="40">
        <f>IF(Settings!$E$12="YES",VLOOKUP(A518,'Player Data'!A1:E734,5,FALSE),82)</f>
        <v>82</v>
      </c>
      <c r="E518" s="38">
        <f>(VLOOKUP($A518,'The List'!$B1:$AH730,17,FALSE)-AVERAGE('The List'!R2:R730))/STDEV('The List'!R2:R730)</f>
        <v>-1.6330999037895884</v>
      </c>
      <c r="F518" s="38">
        <f>(VLOOKUP($A518,'The List'!$B1:$AH730,18,FALSE)-AVERAGE('The List'!S2:S730))/STDEV('The List'!S2:S730)</f>
        <v>-0.33164952780795309</v>
      </c>
      <c r="G518" s="38">
        <f>(VLOOKUP($A518,'The List'!$B1:$AH730,19,FALSE)-AVERAGE('The List'!T2:T730))/STDEV('The List'!T2:T730)</f>
        <v>-1.1217043478314848</v>
      </c>
      <c r="H518" s="38">
        <f>(VLOOKUP($A518,'The List'!$B1:$AH730,20,FALSE)-AVERAGE('The List'!U2:U730))/STDEV('The List'!U2:U730)</f>
        <v>-0.84350639982661635</v>
      </c>
      <c r="I518" s="38">
        <f>(VLOOKUP($A518,'The List'!$B1:$AH730,21,FALSE)-AVERAGE('The List'!V2:V730))/STDEV('The List'!V2:V730)</f>
        <v>-0.94255458717393692</v>
      </c>
      <c r="J518" s="38">
        <f>(VLOOKUP($A518,'The List'!$B1:$AH730,22,FALSE)-AVERAGE('The List'!W2:W730))/STDEV('The List'!W2:W730)</f>
        <v>-0.68496760603375262</v>
      </c>
      <c r="K518" s="38">
        <f>(VLOOKUP($A518,'The List'!$B1:$AH730,23,FALSE)-AVERAGE('The List'!X2:X730))/STDEV('The List'!X2:X730)</f>
        <v>-0.77030907721234887</v>
      </c>
      <c r="L518" s="38">
        <f>(VLOOKUP($A518,'The List'!$B1:$AH730,24,FALSE)-AVERAGE('The List'!Y2:Y730))/STDEV('The List'!Y2:Y730)</f>
        <v>-0.42204930322229378</v>
      </c>
      <c r="M518" s="38">
        <f>(VLOOKUP($A518,'The List'!$B1:$AH730,25,FALSE)-AVERAGE('The List'!Z2:Z730))/STDEV('The List'!Z2:Z730)</f>
        <v>-0.5751747106474564</v>
      </c>
      <c r="N518" s="38">
        <f>(VLOOKUP($A518,'The List'!$B1:$AH730,26,FALSE)-AVERAGE('The List'!AA2:AA730))/STDEV('The List'!AA2:AA730)</f>
        <v>-0.49209230193226011</v>
      </c>
      <c r="O518" s="38">
        <f>(VLOOKUP($A518,'The List'!$B1:$AH730,27,FALSE)-AVERAGE('The List'!AB2:AB730))/STDEV('The List'!AB2:AB730)</f>
        <v>0.23650042506752783</v>
      </c>
      <c r="P518" s="38">
        <f>(VLOOKUP($A518,'The List'!$B1:$AH730,28,FALSE)-AVERAGE('The List'!AC2:AC730))/STDEV('The List'!AC2:AC730)</f>
        <v>-0.27333657249626381</v>
      </c>
      <c r="Q518" s="38">
        <f>(VLOOKUP($A518,'The List'!$B1:$AH730,29,FALSE)-AVERAGE('The List'!AD2:AD730))/STDEV('The List'!AD2:AD730)</f>
        <v>-1.3691766930796674</v>
      </c>
      <c r="R518" s="38">
        <f>(VLOOKUP($A518,'The List'!$B1:$AH730,30,FALSE)-AVERAGE('The List'!AE2:AE730))/STDEV('The List'!AE2:AE730)</f>
        <v>-0.25044071676629326</v>
      </c>
      <c r="S518" s="38">
        <f>(VLOOKUP($A518,'The List'!$B1:$AH730,31,FALSE)-AVERAGE('The List'!AF2:AF730))/STDEV('The List'!AF2:AF730)</f>
        <v>-0.19572145063808116</v>
      </c>
      <c r="T518" s="38">
        <f>(VLOOKUP($A518,'The List'!$B1:$AH730,32,FALSE)-AVERAGE('The List'!AG2:AG730))/STDEV('The List'!AG2:AG730)</f>
        <v>-0.27816621685530896</v>
      </c>
      <c r="U518" s="38">
        <f>(VLOOKUP($A518,'The List'!$B1:$AH730,33,FALSE)-AVERAGE('The List'!AH2:AH730))/STDEV('The List'!AH2:AH730)</f>
        <v>1.1932915593211117</v>
      </c>
      <c r="V518" s="38"/>
      <c r="W518" s="40"/>
      <c r="X518" s="38"/>
      <c r="Y518" s="38"/>
      <c r="Z518" s="38"/>
      <c r="AA518" s="38"/>
      <c r="AB518" s="38"/>
      <c r="AC518" s="38"/>
      <c r="AD518" s="38"/>
      <c r="AE518" s="38"/>
    </row>
    <row r="519" spans="1:31" ht="21.2" customHeight="1">
      <c r="A519" s="8" t="s">
        <v>529</v>
      </c>
      <c r="B519" s="34" t="str">
        <f>VLOOKUP(A519,'Player Data'!A1:B734,2,FALSE)</f>
        <v>NYR</v>
      </c>
      <c r="C519" s="36">
        <f>((E519)*Settings!$C$12)+(F519*Settings!$C$2)+(G519*Settings!$C$3)+(H519*Settings!$C$4)+(I519*Settings!$C$5)+(K519*Settings!$C$9)+(N519*Settings!$C$6)+(J519*Settings!$C$8)+(O519*Settings!$C$7)+(P519*Settings!$C$14)+(Q519*Settings!$C$15)+(R519*Settings!$C$16)+(S519*Settings!$C$17)+(T519*Settings!$C$18)+(U519*Settings!$C$19)+(L519*Settings!$C$10)+(Settings!$C$11*M519)</f>
        <v>-4.3784259923568332</v>
      </c>
      <c r="D519" s="40">
        <f>IF(Settings!$E$12="YES",VLOOKUP(A519,'Player Data'!A1:E734,5,FALSE),82)</f>
        <v>82</v>
      </c>
      <c r="E519" s="38">
        <f>(VLOOKUP($A519,'The List'!$B1:$AH730,17,FALSE)-AVERAGE('The List'!R2:R730))/STDEV('The List'!R2:R730)</f>
        <v>-0.19228241823399983</v>
      </c>
      <c r="F519" s="38">
        <f>(VLOOKUP($A519,'The List'!$B1:$AH730,18,FALSE)-AVERAGE('The List'!S2:S730))/STDEV('The List'!S2:S730)</f>
        <v>-0.90615669823337297</v>
      </c>
      <c r="G519" s="38">
        <f>(VLOOKUP($A519,'The List'!$B1:$AH730,19,FALSE)-AVERAGE('The List'!T2:T730))/STDEV('The List'!T2:T730)</f>
        <v>-0.68909909639838618</v>
      </c>
      <c r="H519" s="38">
        <f>(VLOOKUP($A519,'The List'!$B1:$AH730,20,FALSE)-AVERAGE('The List'!U2:U730))/STDEV('The List'!U2:U730)</f>
        <v>-0.84472639990873144</v>
      </c>
      <c r="I519" s="38">
        <f>(VLOOKUP($A519,'The List'!$B1:$AH730,21,FALSE)-AVERAGE('The List'!V2:V730))/STDEV('The List'!V2:V730)</f>
        <v>-1.133373268027605</v>
      </c>
      <c r="J519" s="38">
        <f>(VLOOKUP($A519,'The List'!$B1:$AH730,22,FALSE)-AVERAGE('The List'!W2:W730))/STDEV('The List'!W2:W730)</f>
        <v>-0.73066486080745285</v>
      </c>
      <c r="K519" s="38">
        <f>(VLOOKUP($A519,'The List'!$B1:$AH730,23,FALSE)-AVERAGE('The List'!X2:X730))/STDEV('The List'!X2:X730)</f>
        <v>-0.80507052978873772</v>
      </c>
      <c r="L519" s="38">
        <f>(VLOOKUP($A519,'The List'!$B1:$AH730,24,FALSE)-AVERAGE('The List'!Y2:Y730))/STDEV('The List'!Y2:Y730)</f>
        <v>-0.45481242762052138</v>
      </c>
      <c r="M519" s="38">
        <f>(VLOOKUP($A519,'The List'!$B1:$AH730,25,FALSE)-AVERAGE('The List'!Z2:Z730))/STDEV('The List'!Z2:Z730)</f>
        <v>-0.49437357801455245</v>
      </c>
      <c r="N519" s="38">
        <f>(VLOOKUP($A519,'The List'!$B1:$AH730,26,FALSE)-AVERAGE('The List'!AA2:AA730))/STDEV('The List'!AA2:AA730)</f>
        <v>1.2829859748579724</v>
      </c>
      <c r="O519" s="38">
        <f>(VLOOKUP($A519,'The List'!$B1:$AH730,27,FALSE)-AVERAGE('The List'!AB2:AB730))/STDEV('The List'!AB2:AB730)</f>
        <v>0.62088380029623413</v>
      </c>
      <c r="P519" s="38">
        <f>(VLOOKUP($A519,'The List'!$B1:$AH730,28,FALSE)-AVERAGE('The List'!AC2:AC730))/STDEV('The List'!AC2:AC730)</f>
        <v>0.74407272684466508</v>
      </c>
      <c r="Q519" s="38">
        <f>(VLOOKUP($A519,'The List'!$B1:$AH730,29,FALSE)-AVERAGE('The List'!AD2:AD730))/STDEV('The List'!AD2:AD730)</f>
        <v>-0.80236953493399821</v>
      </c>
      <c r="R519" s="38">
        <f>(VLOOKUP($A519,'The List'!$B1:$AH730,30,FALSE)-AVERAGE('The List'!AE2:AE730))/STDEV('The List'!AE2:AE730)</f>
        <v>-0.73691082327491009</v>
      </c>
      <c r="S519" s="38">
        <f>(VLOOKUP($A519,'The List'!$B1:$AH730,31,FALSE)-AVERAGE('The List'!AF2:AF730))/STDEV('The List'!AF2:AF730)</f>
        <v>-0.56911587195029545</v>
      </c>
      <c r="T519" s="38">
        <f>(VLOOKUP($A519,'The List'!$B1:$AH730,32,FALSE)-AVERAGE('The List'!AG2:AG730))/STDEV('The List'!AG2:AG730)</f>
        <v>-0.61510119871956948</v>
      </c>
      <c r="U519" s="38">
        <f>(VLOOKUP($A519,'The List'!$B1:$AH730,33,FALSE)-AVERAGE('The List'!AH2:AH730))/STDEV('The List'!AH2:AH730)</f>
        <v>-1.2363238714825984</v>
      </c>
      <c r="V519" s="38"/>
      <c r="W519" s="42"/>
      <c r="X519" s="40"/>
      <c r="Y519" s="40"/>
      <c r="Z519" s="40"/>
      <c r="AA519" s="40"/>
      <c r="AB519" s="40"/>
      <c r="AC519" s="43"/>
      <c r="AD519" s="44"/>
      <c r="AE519" s="38"/>
    </row>
    <row r="520" spans="1:31" ht="21.2" customHeight="1">
      <c r="A520" s="8" t="s">
        <v>570</v>
      </c>
      <c r="B520" s="34" t="str">
        <f>VLOOKUP(A520,'Player Data'!A1:B734,2,FALSE)</f>
        <v>UFA</v>
      </c>
      <c r="C520" s="36">
        <f>((E520)*Settings!$C$12)+(F520*Settings!$C$2)+(G520*Settings!$C$3)+(H520*Settings!$C$4)+(I520*Settings!$C$5)+(K520*Settings!$C$9)+(N520*Settings!$C$6)+(J520*Settings!$C$8)+(O520*Settings!$C$7)+(P520*Settings!$C$14)+(Q520*Settings!$C$15)+(R520*Settings!$C$16)+(S520*Settings!$C$17)+(T520*Settings!$C$18)+(U520*Settings!$C$19)+(L520*Settings!$C$10)+(Settings!$C$11*M520)</f>
        <v>-3.9764218834270775</v>
      </c>
      <c r="D520" s="40">
        <f>IF(Settings!$E$12="YES",VLOOKUP(A520,'Player Data'!A1:E734,5,FALSE),82)</f>
        <v>82</v>
      </c>
      <c r="E520" s="38">
        <f>(VLOOKUP($A520,'The List'!$B1:$AH730,17,FALSE)-AVERAGE('The List'!R2:R730))/STDEV('The List'!R2:R730)</f>
        <v>-0.17300520609919512</v>
      </c>
      <c r="F520" s="38">
        <f>(VLOOKUP($A520,'The List'!$B1:$AH730,18,FALSE)-AVERAGE('The List'!S2:S730))/STDEV('The List'!S2:S730)</f>
        <v>-0.88994120656467157</v>
      </c>
      <c r="G520" s="38">
        <f>(VLOOKUP($A520,'The List'!$B1:$AH730,19,FALSE)-AVERAGE('The List'!T2:T730))/STDEV('The List'!T2:T730)</f>
        <v>-0.70815290201642533</v>
      </c>
      <c r="H520" s="38">
        <f>(VLOOKUP($A520,'The List'!$B1:$AH730,20,FALSE)-AVERAGE('The List'!U2:U730))/STDEV('The List'!U2:U730)</f>
        <v>-0.84889756667531591</v>
      </c>
      <c r="I520" s="38">
        <f>(VLOOKUP($A520,'The List'!$B1:$AH730,21,FALSE)-AVERAGE('The List'!V2:V730))/STDEV('The List'!V2:V730)</f>
        <v>-0.71547441212189866</v>
      </c>
      <c r="J520" s="38">
        <f>(VLOOKUP($A520,'The List'!$B1:$AH730,22,FALSE)-AVERAGE('The List'!W2:W730))/STDEV('The List'!W2:W730)</f>
        <v>-0.7336040516395026</v>
      </c>
      <c r="K520" s="38">
        <f>(VLOOKUP($A520,'The List'!$B1:$AH730,23,FALSE)-AVERAGE('The List'!X2:X730))/STDEV('The List'!X2:X730)</f>
        <v>-0.81395579604876589</v>
      </c>
      <c r="L520" s="38">
        <f>(VLOOKUP($A520,'The List'!$B1:$AH730,24,FALSE)-AVERAGE('The List'!Y2:Y730))/STDEV('The List'!Y2:Y730)</f>
        <v>-0.52515529094994673</v>
      </c>
      <c r="M520" s="38">
        <f>(VLOOKUP($A520,'The List'!$B1:$AH730,25,FALSE)-AVERAGE('The List'!Z2:Z730))/STDEV('The List'!Z2:Z730)</f>
        <v>-0.70378350861314143</v>
      </c>
      <c r="N520" s="38">
        <f>(VLOOKUP($A520,'The List'!$B1:$AH730,26,FALSE)-AVERAGE('The List'!AA2:AA730))/STDEV('The List'!AA2:AA730)</f>
        <v>0.38476405761260191</v>
      </c>
      <c r="O520" s="38">
        <f>(VLOOKUP($A520,'The List'!$B1:$AH730,27,FALSE)-AVERAGE('The List'!AB2:AB730))/STDEV('The List'!AB2:AB730)</f>
        <v>-0.63864688080516752</v>
      </c>
      <c r="P520" s="38">
        <f>(VLOOKUP($A520,'The List'!$B1:$AH730,28,FALSE)-AVERAGE('The List'!AC2:AC730))/STDEV('The List'!AC2:AC730)</f>
        <v>2.6782475323293867E-2</v>
      </c>
      <c r="Q520" s="38">
        <f>(VLOOKUP($A520,'The List'!$B1:$AH730,29,FALSE)-AVERAGE('The List'!AD2:AD730))/STDEV('The List'!AD2:AD730)</f>
        <v>-0.33541255990601893</v>
      </c>
      <c r="R520" s="38">
        <f>(VLOOKUP($A520,'The List'!$B1:$AH730,30,FALSE)-AVERAGE('The List'!AE2:AE730))/STDEV('The List'!AE2:AE730)</f>
        <v>-1.2515972607254897</v>
      </c>
      <c r="S520" s="38">
        <f>(VLOOKUP($A520,'The List'!$B1:$AH730,31,FALSE)-AVERAGE('The List'!AF2:AF730))/STDEV('The List'!AF2:AF730)</f>
        <v>-0.56911587195029545</v>
      </c>
      <c r="T520" s="38">
        <f>(VLOOKUP($A520,'The List'!$B1:$AH730,32,FALSE)-AVERAGE('The List'!AG2:AG730))/STDEV('The List'!AG2:AG730)</f>
        <v>-0.61510119871956948</v>
      </c>
      <c r="U520" s="38">
        <f>(VLOOKUP($A520,'The List'!$B1:$AH730,33,FALSE)-AVERAGE('The List'!AH2:AH730))/STDEV('The List'!AH2:AH730)</f>
        <v>-1.2363238714825984</v>
      </c>
      <c r="V520" s="38"/>
      <c r="W520" s="42"/>
      <c r="X520" s="40"/>
      <c r="Y520" s="40"/>
      <c r="Z520" s="40"/>
      <c r="AA520" s="40"/>
      <c r="AB520" s="40"/>
      <c r="AC520" s="43"/>
      <c r="AD520" s="44"/>
      <c r="AE520" s="38"/>
    </row>
    <row r="521" spans="1:31" ht="21.2" customHeight="1">
      <c r="A521" s="8" t="s">
        <v>757</v>
      </c>
      <c r="B521" s="34" t="str">
        <f>VLOOKUP(A521,'Player Data'!A1:B734,2,FALSE)</f>
        <v>NJD</v>
      </c>
      <c r="C521" s="36">
        <f>((E521)*Settings!$C$12)+(F521*Settings!$C$2)+(G521*Settings!$C$3)+(H521*Settings!$C$4)+(I521*Settings!$C$5)+(K521*Settings!$C$9)+(N521*Settings!$C$6)+(J521*Settings!$C$8)+(O521*Settings!$C$7)+(P521*Settings!$C$14)+(Q521*Settings!$C$15)+(R521*Settings!$C$16)+(S521*Settings!$C$17)+(T521*Settings!$C$18)+(U521*Settings!$C$19)+(L521*Settings!$C$10)+(Settings!$C$11*M521)</f>
        <v>-4.1360754113078348</v>
      </c>
      <c r="D521" s="40">
        <f>IF(Settings!$E$12="YES",VLOOKUP(A521,'Player Data'!A1:E734,5,FALSE),82)</f>
        <v>82</v>
      </c>
      <c r="E521" s="38">
        <f>(VLOOKUP($A521,'The List'!$B1:$AH730,17,FALSE)-AVERAGE('The List'!R2:R730))/STDEV('The List'!R2:R730)</f>
        <v>-1.055011596855451</v>
      </c>
      <c r="F521" s="38">
        <f>(VLOOKUP($A521,'The List'!$B1:$AH730,18,FALSE)-AVERAGE('The List'!S2:S730))/STDEV('The List'!S2:S730)</f>
        <v>-0.71801674226005874</v>
      </c>
      <c r="G521" s="38">
        <f>(VLOOKUP($A521,'The List'!$B1:$AH730,19,FALSE)-AVERAGE('The List'!T2:T730))/STDEV('The List'!T2:T730)</f>
        <v>-0.84270879210063776</v>
      </c>
      <c r="H521" s="38">
        <f>(VLOOKUP($A521,'The List'!$B1:$AH730,20,FALSE)-AVERAGE('The List'!U2:U730))/STDEV('The List'!U2:U730)</f>
        <v>-0.8516643909261985</v>
      </c>
      <c r="I521" s="38">
        <f>(VLOOKUP($A521,'The List'!$B1:$AH730,21,FALSE)-AVERAGE('The List'!V2:V730))/STDEV('The List'!V2:V730)</f>
        <v>-0.90992817224083111</v>
      </c>
      <c r="J521" s="38">
        <f>(VLOOKUP($A521,'The List'!$B1:$AH730,22,FALSE)-AVERAGE('The List'!W2:W730))/STDEV('The List'!W2:W730)</f>
        <v>-0.72602429992212814</v>
      </c>
      <c r="K521" s="38">
        <f>(VLOOKUP($A521,'The List'!$B1:$AH730,23,FALSE)-AVERAGE('The List'!X2:X730))/STDEV('The List'!X2:X730)</f>
        <v>-0.81375731378010818</v>
      </c>
      <c r="L521" s="38">
        <f>(VLOOKUP($A521,'The List'!$B1:$AH730,24,FALSE)-AVERAGE('The List'!Y2:Y730))/STDEV('The List'!Y2:Y730)</f>
        <v>0.53477293847629404</v>
      </c>
      <c r="M521" s="38">
        <f>(VLOOKUP($A521,'The List'!$B1:$AH730,25,FALSE)-AVERAGE('The List'!Z2:Z730))/STDEV('The List'!Z2:Z730)</f>
        <v>0.2207016862116353</v>
      </c>
      <c r="N521" s="38">
        <f>(VLOOKUP($A521,'The List'!$B1:$AH730,26,FALSE)-AVERAGE('The List'!AA2:AA730))/STDEV('The List'!AA2:AA730)</f>
        <v>-0.63733343685343868</v>
      </c>
      <c r="O521" s="38">
        <f>(VLOOKUP($A521,'The List'!$B1:$AH730,27,FALSE)-AVERAGE('The List'!AB2:AB730))/STDEV('The List'!AB2:AB730)</f>
        <v>-0.15584089420636388</v>
      </c>
      <c r="P521" s="38">
        <f>(VLOOKUP($A521,'The List'!$B1:$AH730,28,FALSE)-AVERAGE('The List'!AC2:AC730))/STDEV('The List'!AC2:AC730)</f>
        <v>-0.1304006060019445</v>
      </c>
      <c r="Q521" s="38">
        <f>(VLOOKUP($A521,'The List'!$B1:$AH730,29,FALSE)-AVERAGE('The List'!AD2:AD730))/STDEV('The List'!AD2:AD730)</f>
        <v>2.2741370154384561E-2</v>
      </c>
      <c r="R521" s="38">
        <f>(VLOOKUP($A521,'The List'!$B1:$AH730,30,FALSE)-AVERAGE('The List'!AE2:AE730))/STDEV('The List'!AE2:AE730)</f>
        <v>-0.62757390759786635</v>
      </c>
      <c r="S521" s="38">
        <f>(VLOOKUP($A521,'The List'!$B1:$AH730,31,FALSE)-AVERAGE('The List'!AF2:AF730))/STDEV('The List'!AF2:AF730)</f>
        <v>1.363410393918802</v>
      </c>
      <c r="T521" s="38">
        <f>(VLOOKUP($A521,'The List'!$B1:$AH730,32,FALSE)-AVERAGE('The List'!AG2:AG730))/STDEV('The List'!AG2:AG730)</f>
        <v>0.98867847437958634</v>
      </c>
      <c r="U521" s="38">
        <f>(VLOOKUP($A521,'The List'!$B1:$AH730,33,FALSE)-AVERAGE('The List'!AH2:AH730))/STDEV('The List'!AH2:AH730)</f>
        <v>1.2869211830718199</v>
      </c>
      <c r="V521" s="38"/>
      <c r="W521" s="40"/>
      <c r="X521" s="38"/>
      <c r="Y521" s="38"/>
      <c r="Z521" s="38"/>
      <c r="AA521" s="38"/>
      <c r="AB521" s="38"/>
      <c r="AC521" s="38"/>
      <c r="AD521" s="38"/>
      <c r="AE521" s="38"/>
    </row>
    <row r="522" spans="1:31" ht="21.2" customHeight="1">
      <c r="A522" s="8" t="s">
        <v>455</v>
      </c>
      <c r="B522" s="34" t="str">
        <f>VLOOKUP(A522,'Player Data'!A1:B734,2,FALSE)</f>
        <v>NSH</v>
      </c>
      <c r="C522" s="36">
        <f>((E522)*Settings!$C$12)+(F522*Settings!$C$2)+(G522*Settings!$C$3)+(H522*Settings!$C$4)+(I522*Settings!$C$5)+(K522*Settings!$C$9)+(N522*Settings!$C$6)+(J522*Settings!$C$8)+(O522*Settings!$C$7)+(P522*Settings!$C$14)+(Q522*Settings!$C$15)+(R522*Settings!$C$16)+(S522*Settings!$C$17)+(T522*Settings!$C$18)+(U522*Settings!$C$19)+(L522*Settings!$C$10)+(Settings!$C$11*M522)</f>
        <v>-3.9116558868091889</v>
      </c>
      <c r="D522" s="40">
        <f>IF(Settings!$E$12="YES",VLOOKUP(A522,'Player Data'!A1:E734,5,FALSE),82)</f>
        <v>82</v>
      </c>
      <c r="E522" s="38">
        <f>(VLOOKUP($A522,'The List'!$B1:$AH730,17,FALSE)-AVERAGE('The List'!R2:R730))/STDEV('The List'!R2:R730)</f>
        <v>0.36493185011732687</v>
      </c>
      <c r="F522" s="38">
        <f>(VLOOKUP($A522,'The List'!$B1:$AH730,18,FALSE)-AVERAGE('The List'!S2:S730))/STDEV('The List'!S2:S730)</f>
        <v>-1.0682444512388489</v>
      </c>
      <c r="G522" s="38">
        <f>(VLOOKUP($A522,'The List'!$B1:$AH730,19,FALSE)-AVERAGE('The List'!T2:T730))/STDEV('The List'!T2:T730)</f>
        <v>-0.58179971414141629</v>
      </c>
      <c r="H522" s="38">
        <f>(VLOOKUP($A522,'The List'!$B1:$AH730,20,FALSE)-AVERAGE('The List'!U2:U730))/STDEV('The List'!U2:U730)</f>
        <v>-0.85413694918185723</v>
      </c>
      <c r="I522" s="38">
        <f>(VLOOKUP($A522,'The List'!$B1:$AH730,21,FALSE)-AVERAGE('The List'!V2:V730))/STDEV('The List'!V2:V730)</f>
        <v>-0.633667957190724</v>
      </c>
      <c r="J522" s="38">
        <f>(VLOOKUP($A522,'The List'!$B1:$AH730,22,FALSE)-AVERAGE('The List'!W2:W730))/STDEV('The List'!W2:W730)</f>
        <v>-0.70437568415274321</v>
      </c>
      <c r="K522" s="38">
        <f>(VLOOKUP($A522,'The List'!$B1:$AH730,23,FALSE)-AVERAGE('The List'!X2:X730))/STDEV('The List'!X2:X730)</f>
        <v>-0.77380681505634252</v>
      </c>
      <c r="L522" s="38">
        <f>(VLOOKUP($A522,'The List'!$B1:$AH730,24,FALSE)-AVERAGE('The List'!Y2:Y730))/STDEV('The List'!Y2:Y730)</f>
        <v>-0.46308402214532146</v>
      </c>
      <c r="M522" s="38">
        <f>(VLOOKUP($A522,'The List'!$B1:$AH730,25,FALSE)-AVERAGE('The List'!Z2:Z730))/STDEV('The List'!Z2:Z730)</f>
        <v>-0.49385669621440859</v>
      </c>
      <c r="N522" s="38">
        <f>(VLOOKUP($A522,'The List'!$B1:$AH730,26,FALSE)-AVERAGE('The List'!AA2:AA730))/STDEV('The List'!AA2:AA730)</f>
        <v>1.4356616277849419</v>
      </c>
      <c r="O522" s="38">
        <f>(VLOOKUP($A522,'The List'!$B1:$AH730,27,FALSE)-AVERAGE('The List'!AB2:AB730))/STDEV('The List'!AB2:AB730)</f>
        <v>0.17458679381713993</v>
      </c>
      <c r="P522" s="38">
        <f>(VLOOKUP($A522,'The List'!$B1:$AH730,28,FALSE)-AVERAGE('The List'!AC2:AC730))/STDEV('The List'!AC2:AC730)</f>
        <v>-0.3221848162891835</v>
      </c>
      <c r="Q522" s="38">
        <f>(VLOOKUP($A522,'The List'!$B1:$AH730,29,FALSE)-AVERAGE('The List'!AD2:AD730))/STDEV('The List'!AD2:AD730)</f>
        <v>0.5074147420067292</v>
      </c>
      <c r="R522" s="38">
        <f>(VLOOKUP($A522,'The List'!$B1:$AH730,30,FALSE)-AVERAGE('The List'!AE2:AE730))/STDEV('The List'!AE2:AE730)</f>
        <v>-0.96466310797091048</v>
      </c>
      <c r="S522" s="38">
        <f>(VLOOKUP($A522,'The List'!$B1:$AH730,31,FALSE)-AVERAGE('The List'!AF2:AF730))/STDEV('The List'!AF2:AF730)</f>
        <v>-0.56911587195029545</v>
      </c>
      <c r="T522" s="38">
        <f>(VLOOKUP($A522,'The List'!$B1:$AH730,32,FALSE)-AVERAGE('The List'!AG2:AG730))/STDEV('The List'!AG2:AG730)</f>
        <v>-0.61510119871956948</v>
      </c>
      <c r="U522" s="38">
        <f>(VLOOKUP($A522,'The List'!$B1:$AH730,33,FALSE)-AVERAGE('The List'!AH2:AH730))/STDEV('The List'!AH2:AH730)</f>
        <v>-1.2363238714825984</v>
      </c>
      <c r="V522" s="38"/>
      <c r="W522" s="42"/>
      <c r="X522" s="40"/>
      <c r="Y522" s="40"/>
      <c r="Z522" s="40"/>
      <c r="AA522" s="40"/>
      <c r="AB522" s="40"/>
      <c r="AC522" s="43"/>
      <c r="AD522" s="44"/>
      <c r="AE522" s="38"/>
    </row>
    <row r="523" spans="1:31" ht="21.2" customHeight="1">
      <c r="A523" s="8" t="s">
        <v>719</v>
      </c>
      <c r="B523" s="34" t="str">
        <f>VLOOKUP(A523,'Player Data'!A1:B734,2,FALSE)</f>
        <v>PIT</v>
      </c>
      <c r="C523" s="36">
        <f>((E523)*Settings!$C$12)+(F523*Settings!$C$2)+(G523*Settings!$C$3)+(H523*Settings!$C$4)+(I523*Settings!$C$5)+(K523*Settings!$C$9)+(N523*Settings!$C$6)+(J523*Settings!$C$8)+(O523*Settings!$C$7)+(P523*Settings!$C$14)+(Q523*Settings!$C$15)+(R523*Settings!$C$16)+(S523*Settings!$C$17)+(T523*Settings!$C$18)+(U523*Settings!$C$19)+(L523*Settings!$C$10)+(Settings!$C$11*M523)</f>
        <v>-3.7299819656050444</v>
      </c>
      <c r="D523" s="40">
        <f>IF(Settings!$E$12="YES",VLOOKUP(A523,'Player Data'!A1:E734,5,FALSE),82)</f>
        <v>82</v>
      </c>
      <c r="E523" s="38">
        <f>(VLOOKUP($A523,'The List'!$B1:$AH730,17,FALSE)-AVERAGE('The List'!R2:R730))/STDEV('The List'!R2:R730)</f>
        <v>-0.90735288532733038</v>
      </c>
      <c r="F523" s="38">
        <f>(VLOOKUP($A523,'The List'!$B1:$AH730,18,FALSE)-AVERAGE('The List'!S2:S730))/STDEV('The List'!S2:S730)</f>
        <v>-0.50689016529893982</v>
      </c>
      <c r="G523" s="38">
        <f>(VLOOKUP($A523,'The List'!$B1:$AH730,19,FALSE)-AVERAGE('The List'!T2:T730))/STDEV('The List'!T2:T730)</f>
        <v>-1.007984243393059</v>
      </c>
      <c r="H523" s="38">
        <f>(VLOOKUP($A523,'The List'!$B1:$AH730,20,FALSE)-AVERAGE('The List'!U2:U730))/STDEV('The List'!U2:U730)</f>
        <v>-0.85508558528167333</v>
      </c>
      <c r="I523" s="38">
        <f>(VLOOKUP($A523,'The List'!$B1:$AH730,21,FALSE)-AVERAGE('The List'!V2:V730))/STDEV('The List'!V2:V730)</f>
        <v>-0.61501567301812765</v>
      </c>
      <c r="J523" s="38">
        <f>(VLOOKUP($A523,'The List'!$B1:$AH730,22,FALSE)-AVERAGE('The List'!W2:W730))/STDEV('The List'!W2:W730)</f>
        <v>-0.6797178091991356</v>
      </c>
      <c r="K523" s="38">
        <f>(VLOOKUP($A523,'The List'!$B1:$AH730,23,FALSE)-AVERAGE('The List'!X2:X730))/STDEV('The List'!X2:X730)</f>
        <v>-0.74500629861324508</v>
      </c>
      <c r="L523" s="38">
        <f>(VLOOKUP($A523,'The List'!$B1:$AH730,24,FALSE)-AVERAGE('The List'!Y2:Y730))/STDEV('The List'!Y2:Y730)</f>
        <v>-0.58967672553166484</v>
      </c>
      <c r="M523" s="38">
        <f>(VLOOKUP($A523,'The List'!$B1:$AH730,25,FALSE)-AVERAGE('The List'!Z2:Z730))/STDEV('The List'!Z2:Z730)</f>
        <v>-0.81473834868759087</v>
      </c>
      <c r="N523" s="38">
        <f>(VLOOKUP($A523,'The List'!$B1:$AH730,26,FALSE)-AVERAGE('The List'!AA2:AA730))/STDEV('The List'!AA2:AA730)</f>
        <v>-0.6540054654358447</v>
      </c>
      <c r="O523" s="38">
        <f>(VLOOKUP($A523,'The List'!$B1:$AH730,27,FALSE)-AVERAGE('The List'!AB2:AB730))/STDEV('The List'!AB2:AB730)</f>
        <v>-0.63815790122416705</v>
      </c>
      <c r="P523" s="38">
        <f>(VLOOKUP($A523,'The List'!$B1:$AH730,28,FALSE)-AVERAGE('The List'!AC2:AC730))/STDEV('The List'!AC2:AC730)</f>
        <v>0.10520391832566128</v>
      </c>
      <c r="Q523" s="38">
        <f>(VLOOKUP($A523,'The List'!$B1:$AH730,29,FALSE)-AVERAGE('The List'!AD2:AD730))/STDEV('The List'!AD2:AD730)</f>
        <v>-1.0277376086022945</v>
      </c>
      <c r="R523" s="38">
        <f>(VLOOKUP($A523,'The List'!$B1:$AH730,30,FALSE)-AVERAGE('The List'!AE2:AE730))/STDEV('The List'!AE2:AE730)</f>
        <v>-0.34938083554580535</v>
      </c>
      <c r="S523" s="38">
        <f>(VLOOKUP($A523,'The List'!$B1:$AH730,31,FALSE)-AVERAGE('The List'!AF2:AF730))/STDEV('The List'!AF2:AF730)</f>
        <v>-0.5389926340805502</v>
      </c>
      <c r="T523" s="38">
        <f>(VLOOKUP($A523,'The List'!$B1:$AH730,32,FALSE)-AVERAGE('The List'!AG2:AG730))/STDEV('The List'!AG2:AG730)</f>
        <v>-0.5620739576438718</v>
      </c>
      <c r="U523" s="38">
        <f>(VLOOKUP($A523,'The List'!$B1:$AH730,33,FALSE)-AVERAGE('The List'!AH2:AH730))/STDEV('The List'!AH2:AH730)</f>
        <v>0.45170573624392435</v>
      </c>
      <c r="V523" s="38"/>
      <c r="W523" s="42"/>
      <c r="X523" s="40"/>
      <c r="Y523" s="40"/>
      <c r="Z523" s="40"/>
      <c r="AA523" s="40"/>
      <c r="AB523" s="40"/>
      <c r="AC523" s="43"/>
      <c r="AD523" s="44"/>
      <c r="AE523" s="38"/>
    </row>
    <row r="524" spans="1:31" ht="21.2" customHeight="1">
      <c r="A524" s="8" t="s">
        <v>457</v>
      </c>
      <c r="B524" s="34" t="str">
        <f>VLOOKUP(A524,'Player Data'!A1:B734,2,FALSE)</f>
        <v>WSH</v>
      </c>
      <c r="C524" s="36">
        <f>((E524)*Settings!$C$12)+(F524*Settings!$C$2)+(G524*Settings!$C$3)+(H524*Settings!$C$4)+(I524*Settings!$C$5)+(K524*Settings!$C$9)+(N524*Settings!$C$6)+(J524*Settings!$C$8)+(O524*Settings!$C$7)+(P524*Settings!$C$14)+(Q524*Settings!$C$15)+(R524*Settings!$C$16)+(S524*Settings!$C$17)+(T524*Settings!$C$18)+(U524*Settings!$C$19)+(L524*Settings!$C$10)+(Settings!$C$11*M524)</f>
        <v>-3.9611944319665584</v>
      </c>
      <c r="D524" s="40">
        <f>IF(Settings!$E$12="YES",VLOOKUP(A524,'Player Data'!A1:E734,5,FALSE),82)</f>
        <v>82</v>
      </c>
      <c r="E524" s="38">
        <f>(VLOOKUP($A524,'The List'!$B1:$AH730,17,FALSE)-AVERAGE('The List'!R2:R730))/STDEV('The List'!R2:R730)</f>
        <v>0.44142285068856774</v>
      </c>
      <c r="F524" s="38">
        <f>(VLOOKUP($A524,'The List'!$B1:$AH730,18,FALSE)-AVERAGE('The List'!S2:S730))/STDEV('The List'!S2:S730)</f>
        <v>-0.98929802288786828</v>
      </c>
      <c r="G524" s="38">
        <f>(VLOOKUP($A524,'The List'!$B1:$AH730,19,FALSE)-AVERAGE('The List'!T2:T730))/STDEV('The List'!T2:T730)</f>
        <v>-0.64570090758335852</v>
      </c>
      <c r="H524" s="38">
        <f>(VLOOKUP($A524,'The List'!$B1:$AH730,20,FALSE)-AVERAGE('The List'!U2:U730))/STDEV('The List'!U2:U730)</f>
        <v>-0.85670667326637129</v>
      </c>
      <c r="I524" s="38">
        <f>(VLOOKUP($A524,'The List'!$B1:$AH730,21,FALSE)-AVERAGE('The List'!V2:V730))/STDEV('The List'!V2:V730)</f>
        <v>-0.69785935759096285</v>
      </c>
      <c r="J524" s="38">
        <f>(VLOOKUP($A524,'The List'!$B1:$AH730,22,FALSE)-AVERAGE('The List'!W2:W730))/STDEV('The List'!W2:W730)</f>
        <v>-0.72586160662700416</v>
      </c>
      <c r="K524" s="38">
        <f>(VLOOKUP($A524,'The List'!$B1:$AH730,23,FALSE)-AVERAGE('The List'!X2:X730))/STDEV('The List'!X2:X730)</f>
        <v>-0.77162947063799725</v>
      </c>
      <c r="L524" s="38">
        <f>(VLOOKUP($A524,'The List'!$B1:$AH730,24,FALSE)-AVERAGE('The List'!Y2:Y730))/STDEV('The List'!Y2:Y730)</f>
        <v>-0.58142159972312746</v>
      </c>
      <c r="M524" s="38">
        <f>(VLOOKUP($A524,'The List'!$B1:$AH730,25,FALSE)-AVERAGE('The List'!Z2:Z730))/STDEV('The List'!Z2:Z730)</f>
        <v>-0.48613732126277093</v>
      </c>
      <c r="N524" s="38">
        <f>(VLOOKUP($A524,'The List'!$B1:$AH730,26,FALSE)-AVERAGE('The List'!AA2:AA730))/STDEV('The List'!AA2:AA730)</f>
        <v>2.2923427933402594</v>
      </c>
      <c r="O524" s="38">
        <f>(VLOOKUP($A524,'The List'!$B1:$AH730,27,FALSE)-AVERAGE('The List'!AB2:AB730))/STDEV('The List'!AB2:AB730)</f>
        <v>-1.0430859352908441</v>
      </c>
      <c r="P524" s="38">
        <f>(VLOOKUP($A524,'The List'!$B1:$AH730,28,FALSE)-AVERAGE('The List'!AC2:AC730))/STDEV('The List'!AC2:AC730)</f>
        <v>-0.53806045058219232</v>
      </c>
      <c r="Q524" s="38">
        <f>(VLOOKUP($A524,'The List'!$B1:$AH730,29,FALSE)-AVERAGE('The List'!AD2:AD730))/STDEV('The List'!AD2:AD730)</f>
        <v>-0.6336403454015177</v>
      </c>
      <c r="R524" s="38">
        <f>(VLOOKUP($A524,'The List'!$B1:$AH730,30,FALSE)-AVERAGE('The List'!AE2:AE730))/STDEV('The List'!AE2:AE730)</f>
        <v>-0.94665792090829293</v>
      </c>
      <c r="S524" s="38">
        <f>(VLOOKUP($A524,'The List'!$B1:$AH730,31,FALSE)-AVERAGE('The List'!AF2:AF730))/STDEV('The List'!AF2:AF730)</f>
        <v>-0.56911587195029545</v>
      </c>
      <c r="T524" s="38">
        <f>(VLOOKUP($A524,'The List'!$B1:$AH730,32,FALSE)-AVERAGE('The List'!AG2:AG730))/STDEV('The List'!AG2:AG730)</f>
        <v>-0.61510119871956948</v>
      </c>
      <c r="U524" s="38">
        <f>(VLOOKUP($A524,'The List'!$B1:$AH730,33,FALSE)-AVERAGE('The List'!AH2:AH730))/STDEV('The List'!AH2:AH730)</f>
        <v>-1.2363238714825984</v>
      </c>
      <c r="V524" s="38"/>
      <c r="W524" s="42"/>
      <c r="X524" s="40"/>
      <c r="Y524" s="40"/>
      <c r="Z524" s="40"/>
      <c r="AA524" s="40"/>
      <c r="AB524" s="40"/>
      <c r="AC524" s="43"/>
      <c r="AD524" s="44"/>
      <c r="AE524" s="38"/>
    </row>
    <row r="525" spans="1:31" ht="21.2" customHeight="1">
      <c r="A525" s="8" t="s">
        <v>604</v>
      </c>
      <c r="B525" s="34" t="str">
        <f>VLOOKUP(A525,'Player Data'!A1:B734,2,FALSE)</f>
        <v>NYI</v>
      </c>
      <c r="C525" s="36">
        <f>((E525)*Settings!$C$12)+(F525*Settings!$C$2)+(G525*Settings!$C$3)+(H525*Settings!$C$4)+(I525*Settings!$C$5)+(K525*Settings!$C$9)+(N525*Settings!$C$6)+(J525*Settings!$C$8)+(O525*Settings!$C$7)+(P525*Settings!$C$14)+(Q525*Settings!$C$15)+(R525*Settings!$C$16)+(S525*Settings!$C$17)+(T525*Settings!$C$18)+(U525*Settings!$C$19)+(L525*Settings!$C$10)+(Settings!$C$11*M525)</f>
        <v>-4.1790368773706028</v>
      </c>
      <c r="D525" s="40">
        <f>IF(Settings!$E$12="YES",VLOOKUP(A525,'Player Data'!A1:E734,5,FALSE),82)</f>
        <v>82</v>
      </c>
      <c r="E525" s="38">
        <f>(VLOOKUP($A525,'The List'!$B1:$AH730,17,FALSE)-AVERAGE('The List'!R2:R730))/STDEV('The List'!R2:R730)</f>
        <v>-0.53261990429804751</v>
      </c>
      <c r="F525" s="38">
        <f>(VLOOKUP($A525,'The List'!$B1:$AH730,18,FALSE)-AVERAGE('The List'!S2:S730))/STDEV('The List'!S2:S730)</f>
        <v>-0.7831914474313062</v>
      </c>
      <c r="G525" s="38">
        <f>(VLOOKUP($A525,'The List'!$B1:$AH730,19,FALSE)-AVERAGE('The List'!T2:T730))/STDEV('The List'!T2:T730)</f>
        <v>-0.8058995686648821</v>
      </c>
      <c r="H525" s="38">
        <f>(VLOOKUP($A525,'The List'!$B1:$AH730,20,FALSE)-AVERAGE('The List'!U2:U730))/STDEV('The List'!U2:U730)</f>
        <v>-0.85934164412504843</v>
      </c>
      <c r="I525" s="38">
        <f>(VLOOKUP($A525,'The List'!$B1:$AH730,21,FALSE)-AVERAGE('The List'!V2:V730))/STDEV('The List'!V2:V730)</f>
        <v>-1.0572468605816583</v>
      </c>
      <c r="J525" s="38">
        <f>(VLOOKUP($A525,'The List'!$B1:$AH730,22,FALSE)-AVERAGE('The List'!W2:W730))/STDEV('The List'!W2:W730)</f>
        <v>-0.67865538142589554</v>
      </c>
      <c r="K525" s="38">
        <f>(VLOOKUP($A525,'The List'!$B1:$AH730,23,FALSE)-AVERAGE('The List'!X2:X730))/STDEV('The List'!X2:X730)</f>
        <v>-0.67335735656770801</v>
      </c>
      <c r="L525" s="38">
        <f>(VLOOKUP($A525,'The List'!$B1:$AH730,24,FALSE)-AVERAGE('The List'!Y2:Y730))/STDEV('The List'!Y2:Y730)</f>
        <v>-0.51962527708067807</v>
      </c>
      <c r="M525" s="38">
        <f>(VLOOKUP($A525,'The List'!$B1:$AH730,25,FALSE)-AVERAGE('The List'!Z2:Z730))/STDEV('The List'!Z2:Z730)</f>
        <v>-0.68785594408590767</v>
      </c>
      <c r="N525" s="38">
        <f>(VLOOKUP($A525,'The List'!$B1:$AH730,26,FALSE)-AVERAGE('The List'!AA2:AA730))/STDEV('The List'!AA2:AA730)</f>
        <v>0.32734483930267083</v>
      </c>
      <c r="O525" s="38">
        <f>(VLOOKUP($A525,'The List'!$B1:$AH730,27,FALSE)-AVERAGE('The List'!AB2:AB730))/STDEV('The List'!AB2:AB730)</f>
        <v>0.17726398034409774</v>
      </c>
      <c r="P525" s="38">
        <f>(VLOOKUP($A525,'The List'!$B1:$AH730,28,FALSE)-AVERAGE('The List'!AC2:AC730))/STDEV('The List'!AC2:AC730)</f>
        <v>9.6036678523632721E-2</v>
      </c>
      <c r="Q525" s="38">
        <f>(VLOOKUP($A525,'The List'!$B1:$AH730,29,FALSE)-AVERAGE('The List'!AD2:AD730))/STDEV('The List'!AD2:AD730)</f>
        <v>-0.70716597969664419</v>
      </c>
      <c r="R525" s="38">
        <f>(VLOOKUP($A525,'The List'!$B1:$AH730,30,FALSE)-AVERAGE('The List'!AE2:AE730))/STDEV('The List'!AE2:AE730)</f>
        <v>-0.6611284460304846</v>
      </c>
      <c r="S525" s="38">
        <f>(VLOOKUP($A525,'The List'!$B1:$AH730,31,FALSE)-AVERAGE('The List'!AF2:AF730))/STDEV('The List'!AF2:AF730)</f>
        <v>-0.56911587195029545</v>
      </c>
      <c r="T525" s="38">
        <f>(VLOOKUP($A525,'The List'!$B1:$AH730,32,FALSE)-AVERAGE('The List'!AG2:AG730))/STDEV('The List'!AG2:AG730)</f>
        <v>-0.61510119871956948</v>
      </c>
      <c r="U525" s="38">
        <f>(VLOOKUP($A525,'The List'!$B1:$AH730,33,FALSE)-AVERAGE('The List'!AH2:AH730))/STDEV('The List'!AH2:AH730)</f>
        <v>-1.2363238714825984</v>
      </c>
      <c r="V525" s="38"/>
      <c r="W525" s="40"/>
      <c r="X525" s="38"/>
      <c r="Y525" s="38"/>
      <c r="Z525" s="38"/>
      <c r="AA525" s="38"/>
      <c r="AB525" s="38"/>
      <c r="AC525" s="38"/>
      <c r="AD525" s="38"/>
      <c r="AE525" s="38"/>
    </row>
    <row r="526" spans="1:31" ht="21.2" customHeight="1">
      <c r="A526" s="8" t="s">
        <v>809</v>
      </c>
      <c r="B526" s="34" t="str">
        <f>VLOOKUP(A526,'Player Data'!A1:B734,2,FALSE)</f>
        <v>NJD</v>
      </c>
      <c r="C526" s="36">
        <f>((E526)*Settings!$C$12)+(F526*Settings!$C$2)+(G526*Settings!$C$3)+(H526*Settings!$C$4)+(I526*Settings!$C$5)+(K526*Settings!$C$9)+(N526*Settings!$C$6)+(J526*Settings!$C$8)+(O526*Settings!$C$7)+(P526*Settings!$C$14)+(Q526*Settings!$C$15)+(R526*Settings!$C$16)+(S526*Settings!$C$17)+(T526*Settings!$C$18)+(U526*Settings!$C$19)+(L526*Settings!$C$10)+(Settings!$C$11*M526)</f>
        <v>-4.3848602024372312</v>
      </c>
      <c r="D526" s="40">
        <f>IF(Settings!$E$12="YES",VLOOKUP(A526,'Player Data'!A1:E734,5,FALSE),82)</f>
        <v>82</v>
      </c>
      <c r="E526" s="38">
        <f>(VLOOKUP($A526,'The List'!$B1:$AH730,17,FALSE)-AVERAGE('The List'!R2:R730))/STDEV('The List'!R2:R730)</f>
        <v>-2.1775621127054583</v>
      </c>
      <c r="F526" s="38">
        <f>(VLOOKUP($A526,'The List'!$B1:$AH730,18,FALSE)-AVERAGE('The List'!S2:S730))/STDEV('The List'!S2:S730)</f>
        <v>-0.3299962569198775</v>
      </c>
      <c r="G526" s="38">
        <f>(VLOOKUP($A526,'The List'!$B1:$AH730,19,FALSE)-AVERAGE('The List'!T2:T730))/STDEV('The List'!T2:T730)</f>
        <v>-1.1517797168486139</v>
      </c>
      <c r="H526" s="38">
        <f>(VLOOKUP($A526,'The List'!$B1:$AH730,20,FALSE)-AVERAGE('The List'!U2:U730))/STDEV('The List'!U2:U730)</f>
        <v>-0.86122033597105918</v>
      </c>
      <c r="I526" s="38">
        <f>(VLOOKUP($A526,'The List'!$B1:$AH730,21,FALSE)-AVERAGE('The List'!V2:V730))/STDEV('The List'!V2:V730)</f>
        <v>-1.2165273716166058</v>
      </c>
      <c r="J526" s="38">
        <f>(VLOOKUP($A526,'The List'!$B1:$AH730,22,FALSE)-AVERAGE('The List'!W2:W730))/STDEV('The List'!W2:W730)</f>
        <v>-0.73594312107127302</v>
      </c>
      <c r="K526" s="38">
        <f>(VLOOKUP($A526,'The List'!$B1:$AH730,23,FALSE)-AVERAGE('The List'!X2:X730))/STDEV('The List'!X2:X730)</f>
        <v>-0.82533652108107425</v>
      </c>
      <c r="L526" s="38">
        <f>(VLOOKUP($A526,'The List'!$B1:$AH730,24,FALSE)-AVERAGE('The List'!Y2:Y730))/STDEV('The List'!Y2:Y730)</f>
        <v>-0.52515529094994673</v>
      </c>
      <c r="M526" s="38">
        <f>(VLOOKUP($A526,'The List'!$B1:$AH730,25,FALSE)-AVERAGE('The List'!Z2:Z730))/STDEV('The List'!Z2:Z730)</f>
        <v>-0.70378350861314143</v>
      </c>
      <c r="N526" s="38">
        <f>(VLOOKUP($A526,'The List'!$B1:$AH730,26,FALSE)-AVERAGE('The List'!AA2:AA730))/STDEV('The List'!AA2:AA730)</f>
        <v>-0.90089712730713178</v>
      </c>
      <c r="O526" s="38">
        <f>(VLOOKUP($A526,'The List'!$B1:$AH730,27,FALSE)-AVERAGE('The List'!AB2:AB730))/STDEV('The List'!AB2:AB730)</f>
        <v>-0.10588391549667181</v>
      </c>
      <c r="P526" s="38">
        <f>(VLOOKUP($A526,'The List'!$B1:$AH730,28,FALSE)-AVERAGE('The List'!AC2:AC730))/STDEV('The List'!AC2:AC730)</f>
        <v>4.2006158321606785E-2</v>
      </c>
      <c r="Q526" s="38">
        <f>(VLOOKUP($A526,'The List'!$B1:$AH730,29,FALSE)-AVERAGE('The List'!AD2:AD730))/STDEV('The List'!AD2:AD730)</f>
        <v>-1.3542046936958796</v>
      </c>
      <c r="R526" s="38">
        <f>(VLOOKUP($A526,'The List'!$B1:$AH730,30,FALSE)-AVERAGE('The List'!AE2:AE730))/STDEV('The List'!AE2:AE730)</f>
        <v>-0.25618181064386641</v>
      </c>
      <c r="S526" s="38">
        <f>(VLOOKUP($A526,'The List'!$B1:$AH730,31,FALSE)-AVERAGE('The List'!AF2:AF730))/STDEV('The List'!AF2:AF730)</f>
        <v>-0.56911587195029545</v>
      </c>
      <c r="T526" s="38">
        <f>(VLOOKUP($A526,'The List'!$B1:$AH730,32,FALSE)-AVERAGE('The List'!AG2:AG730))/STDEV('The List'!AG2:AG730)</f>
        <v>-0.4688500537505228</v>
      </c>
      <c r="U526" s="38">
        <f>(VLOOKUP($A526,'The List'!$B1:$AH730,33,FALSE)-AVERAGE('The List'!AH2:AH730))/STDEV('The List'!AH2:AH730)</f>
        <v>-1.2363238714825984</v>
      </c>
      <c r="V526" s="38"/>
      <c r="W526" s="40"/>
      <c r="X526" s="38"/>
      <c r="Y526" s="38"/>
      <c r="Z526" s="38"/>
      <c r="AA526" s="38"/>
      <c r="AB526" s="38"/>
      <c r="AC526" s="38"/>
      <c r="AD526" s="38"/>
      <c r="AE526" s="38"/>
    </row>
    <row r="527" spans="1:31" ht="21.2" customHeight="1">
      <c r="A527" s="8" t="s">
        <v>584</v>
      </c>
      <c r="B527" s="34" t="str">
        <f>VLOOKUP(A527,'Player Data'!A1:B734,2,FALSE)</f>
        <v>ARI</v>
      </c>
      <c r="C527" s="36">
        <f>((E527)*Settings!$C$12)+(F527*Settings!$C$2)+(G527*Settings!$C$3)+(H527*Settings!$C$4)+(I527*Settings!$C$5)+(K527*Settings!$C$9)+(N527*Settings!$C$6)+(J527*Settings!$C$8)+(O527*Settings!$C$7)+(P527*Settings!$C$14)+(Q527*Settings!$C$15)+(R527*Settings!$C$16)+(S527*Settings!$C$17)+(T527*Settings!$C$18)+(U527*Settings!$C$19)+(L527*Settings!$C$10)+(Settings!$C$11*M527)</f>
        <v>-4.1175954250175026</v>
      </c>
      <c r="D527" s="40">
        <f>IF(Settings!$E$12="YES",VLOOKUP(A527,'Player Data'!A1:E734,5,FALSE),82)</f>
        <v>82</v>
      </c>
      <c r="E527" s="38">
        <f>(VLOOKUP($A527,'The List'!$B1:$AH730,17,FALSE)-AVERAGE('The List'!R2:R730))/STDEV('The List'!R2:R730)</f>
        <v>1.0931642257697364E-2</v>
      </c>
      <c r="F527" s="38">
        <f>(VLOOKUP($A527,'The List'!$B1:$AH730,18,FALSE)-AVERAGE('The List'!S2:S730))/STDEV('The List'!S2:S730)</f>
        <v>-1.1089137842513119</v>
      </c>
      <c r="G527" s="38">
        <f>(VLOOKUP($A527,'The List'!$B1:$AH730,19,FALSE)-AVERAGE('The List'!T2:T730))/STDEV('The List'!T2:T730)</f>
        <v>-0.56406341026619233</v>
      </c>
      <c r="H527" s="38">
        <f>(VLOOKUP($A527,'The List'!$B1:$AH730,20,FALSE)-AVERAGE('The List'!U2:U730))/STDEV('The List'!U2:U730)</f>
        <v>-0.86214337275227459</v>
      </c>
      <c r="I527" s="38">
        <f>(VLOOKUP($A527,'The List'!$B1:$AH730,21,FALSE)-AVERAGE('The List'!V2:V730))/STDEV('The List'!V2:V730)</f>
        <v>-0.94471983683870486</v>
      </c>
      <c r="J527" s="38">
        <f>(VLOOKUP($A527,'The List'!$B1:$AH730,22,FALSE)-AVERAGE('The List'!W2:W730))/STDEV('The List'!W2:W730)</f>
        <v>-0.70503563815676284</v>
      </c>
      <c r="K527" s="38">
        <f>(VLOOKUP($A527,'The List'!$B1:$AH730,23,FALSE)-AVERAGE('The List'!X2:X730))/STDEV('The List'!X2:X730)</f>
        <v>-0.63775502090901903</v>
      </c>
      <c r="L527" s="38">
        <f>(VLOOKUP($A527,'The List'!$B1:$AH730,24,FALSE)-AVERAGE('The List'!Y2:Y730))/STDEV('The List'!Y2:Y730)</f>
        <v>-0.48904799661610321</v>
      </c>
      <c r="M527" s="38">
        <f>(VLOOKUP($A527,'The List'!$B1:$AH730,25,FALSE)-AVERAGE('The List'!Z2:Z730))/STDEV('The List'!Z2:Z730)</f>
        <v>-0.60612019068982337</v>
      </c>
      <c r="N527" s="38">
        <f>(VLOOKUP($A527,'The List'!$B1:$AH730,26,FALSE)-AVERAGE('The List'!AA2:AA730))/STDEV('The List'!AA2:AA730)</f>
        <v>0.93604544874508211</v>
      </c>
      <c r="O527" s="38">
        <f>(VLOOKUP($A527,'The List'!$B1:$AH730,27,FALSE)-AVERAGE('The List'!AB2:AB730))/STDEV('The List'!AB2:AB730)</f>
        <v>-0.40195976967066199</v>
      </c>
      <c r="P527" s="38">
        <f>(VLOOKUP($A527,'The List'!$B1:$AH730,28,FALSE)-AVERAGE('The List'!AC2:AC730))/STDEV('The List'!AC2:AC730)</f>
        <v>-0.91376905979658141</v>
      </c>
      <c r="Q527" s="38">
        <f>(VLOOKUP($A527,'The List'!$B1:$AH730,29,FALSE)-AVERAGE('The List'!AD2:AD730))/STDEV('The List'!AD2:AD730)</f>
        <v>0.71813398364373804</v>
      </c>
      <c r="R527" s="38">
        <f>(VLOOKUP($A527,'The List'!$B1:$AH730,30,FALSE)-AVERAGE('The List'!AE2:AE730))/STDEV('The List'!AE2:AE730)</f>
        <v>-1.0370498174666154</v>
      </c>
      <c r="S527" s="38">
        <f>(VLOOKUP($A527,'The List'!$B1:$AH730,31,FALSE)-AVERAGE('The List'!AF2:AF730))/STDEV('The List'!AF2:AF730)</f>
        <v>-0.56911587195029545</v>
      </c>
      <c r="T527" s="38">
        <f>(VLOOKUP($A527,'The List'!$B1:$AH730,32,FALSE)-AVERAGE('The List'!AG2:AG730))/STDEV('The List'!AG2:AG730)</f>
        <v>-0.61510119871956948</v>
      </c>
      <c r="U527" s="38">
        <f>(VLOOKUP($A527,'The List'!$B1:$AH730,33,FALSE)-AVERAGE('The List'!AH2:AH730))/STDEV('The List'!AH2:AH730)</f>
        <v>-1.2363238714825984</v>
      </c>
      <c r="V527" s="38"/>
      <c r="W527" s="42"/>
      <c r="X527" s="40"/>
      <c r="Y527" s="40"/>
      <c r="Z527" s="40"/>
      <c r="AA527" s="40"/>
      <c r="AB527" s="40"/>
      <c r="AC527" s="43"/>
      <c r="AD527" s="44"/>
      <c r="AE527" s="38"/>
    </row>
    <row r="528" spans="1:31" ht="21.2" customHeight="1">
      <c r="A528" s="8" t="s">
        <v>536</v>
      </c>
      <c r="B528" s="34" t="str">
        <f>VLOOKUP(A528,'Player Data'!A1:B734,2,FALSE)</f>
        <v>FLA</v>
      </c>
      <c r="C528" s="36">
        <f>((E528)*Settings!$C$12)+(F528*Settings!$C$2)+(G528*Settings!$C$3)+(H528*Settings!$C$4)+(I528*Settings!$C$5)+(K528*Settings!$C$9)+(N528*Settings!$C$6)+(J528*Settings!$C$8)+(O528*Settings!$C$7)+(P528*Settings!$C$14)+(Q528*Settings!$C$15)+(R528*Settings!$C$16)+(S528*Settings!$C$17)+(T528*Settings!$C$18)+(U528*Settings!$C$19)+(L528*Settings!$C$10)+(Settings!$C$11*M528)</f>
        <v>-4.209114498992804</v>
      </c>
      <c r="D528" s="40">
        <f>IF(Settings!$E$12="YES",VLOOKUP(A528,'Player Data'!A1:E734,5,FALSE),82)</f>
        <v>82</v>
      </c>
      <c r="E528" s="38">
        <f>(VLOOKUP($A528,'The List'!$B1:$AH730,17,FALSE)-AVERAGE('The List'!R2:R730))/STDEV('The List'!R2:R730)</f>
        <v>-0.16134643980797589</v>
      </c>
      <c r="F528" s="38">
        <f>(VLOOKUP($A528,'The List'!$B1:$AH730,18,FALSE)-AVERAGE('The List'!S2:S730))/STDEV('The List'!S2:S730)</f>
        <v>-0.87759315678835459</v>
      </c>
      <c r="G528" s="38">
        <f>(VLOOKUP($A528,'The List'!$B1:$AH730,19,FALSE)-AVERAGE('The List'!T2:T730))/STDEV('The List'!T2:T730)</f>
        <v>-0.74603984508545751</v>
      </c>
      <c r="H528" s="38">
        <f>(VLOOKUP($A528,'The List'!$B1:$AH730,20,FALSE)-AVERAGE('The List'!U2:U730))/STDEV('The List'!U2:U730)</f>
        <v>-0.86644030706000319</v>
      </c>
      <c r="I528" s="38">
        <f>(VLOOKUP($A528,'The List'!$B1:$AH730,21,FALSE)-AVERAGE('The List'!V2:V730))/STDEV('The List'!V2:V730)</f>
        <v>-0.90631531279921451</v>
      </c>
      <c r="J528" s="38">
        <f>(VLOOKUP($A528,'The List'!$B1:$AH730,22,FALSE)-AVERAGE('The List'!W2:W730))/STDEV('The List'!W2:W730)</f>
        <v>-0.73167171182912893</v>
      </c>
      <c r="K528" s="38">
        <f>(VLOOKUP($A528,'The List'!$B1:$AH730,23,FALSE)-AVERAGE('The List'!X2:X730))/STDEV('The List'!X2:X730)</f>
        <v>-0.81272587725977485</v>
      </c>
      <c r="L528" s="38">
        <f>(VLOOKUP($A528,'The List'!$B1:$AH730,24,FALSE)-AVERAGE('The List'!Y2:Y730))/STDEV('The List'!Y2:Y730)</f>
        <v>-0.48758232352027353</v>
      </c>
      <c r="M528" s="38">
        <f>(VLOOKUP($A528,'The List'!$B1:$AH730,25,FALSE)-AVERAGE('The List'!Z2:Z730))/STDEV('The List'!Z2:Z730)</f>
        <v>-0.60089383165399379</v>
      </c>
      <c r="N528" s="38">
        <f>(VLOOKUP($A528,'The List'!$B1:$AH730,26,FALSE)-AVERAGE('The List'!AA2:AA730))/STDEV('The List'!AA2:AA730)</f>
        <v>0.55600530351312161</v>
      </c>
      <c r="O528" s="38">
        <f>(VLOOKUP($A528,'The List'!$B1:$AH730,27,FALSE)-AVERAGE('The List'!AB2:AB730))/STDEV('The List'!AB2:AB730)</f>
        <v>0.28414303093293142</v>
      </c>
      <c r="P528" s="38">
        <f>(VLOOKUP($A528,'The List'!$B1:$AH730,28,FALSE)-AVERAGE('The List'!AC2:AC730))/STDEV('The List'!AC2:AC730)</f>
        <v>0.91810728138969877</v>
      </c>
      <c r="Q528" s="38">
        <f>(VLOOKUP($A528,'The List'!$B1:$AH730,29,FALSE)-AVERAGE('The List'!AD2:AD730))/STDEV('The List'!AD2:AD730)</f>
        <v>-0.21665786993614605</v>
      </c>
      <c r="R528" s="38">
        <f>(VLOOKUP($A528,'The List'!$B1:$AH730,30,FALSE)-AVERAGE('The List'!AE2:AE730))/STDEV('The List'!AE2:AE730)</f>
        <v>-0.79161694064579735</v>
      </c>
      <c r="S528" s="38">
        <f>(VLOOKUP($A528,'The List'!$B1:$AH730,31,FALSE)-AVERAGE('The List'!AF2:AF730))/STDEV('The List'!AF2:AF730)</f>
        <v>-0.56911587195029545</v>
      </c>
      <c r="T528" s="38">
        <f>(VLOOKUP($A528,'The List'!$B1:$AH730,32,FALSE)-AVERAGE('The List'!AG2:AG730))/STDEV('The List'!AG2:AG730)</f>
        <v>-0.61510119871956948</v>
      </c>
      <c r="U528" s="38">
        <f>(VLOOKUP($A528,'The List'!$B1:$AH730,33,FALSE)-AVERAGE('The List'!AH2:AH730))/STDEV('The List'!AH2:AH730)</f>
        <v>-1.2363238714825984</v>
      </c>
      <c r="V528" s="38"/>
      <c r="W528" s="42"/>
      <c r="X528" s="40"/>
      <c r="Y528" s="40"/>
      <c r="Z528" s="40"/>
      <c r="AA528" s="40"/>
      <c r="AB528" s="40"/>
      <c r="AC528" s="43"/>
      <c r="AD528" s="44"/>
      <c r="AE528" s="38"/>
    </row>
    <row r="529" spans="1:31" ht="21.2" customHeight="1">
      <c r="A529" s="8" t="s">
        <v>517</v>
      </c>
      <c r="B529" s="34" t="str">
        <f>VLOOKUP(A529,'Player Data'!A1:B734,2,FALSE)</f>
        <v>STL</v>
      </c>
      <c r="C529" s="36">
        <f>((E529)*Settings!$C$12)+(F529*Settings!$C$2)+(G529*Settings!$C$3)+(H529*Settings!$C$4)+(I529*Settings!$C$5)+(K529*Settings!$C$9)+(N529*Settings!$C$6)+(J529*Settings!$C$8)+(O529*Settings!$C$7)+(P529*Settings!$C$14)+(Q529*Settings!$C$15)+(R529*Settings!$C$16)+(S529*Settings!$C$17)+(T529*Settings!$C$18)+(U529*Settings!$C$19)+(L529*Settings!$C$10)+(Settings!$C$11*M529)</f>
        <v>-4.5141941434165043</v>
      </c>
      <c r="D529" s="40">
        <f>IF(Settings!$E$12="YES",VLOOKUP(A529,'Player Data'!A1:E734,5,FALSE),82)</f>
        <v>82</v>
      </c>
      <c r="E529" s="38">
        <f>(VLOOKUP($A529,'The List'!$B1:$AH730,17,FALSE)-AVERAGE('The List'!R2:R730))/STDEV('The List'!R2:R730)</f>
        <v>0.32125225611359692</v>
      </c>
      <c r="F529" s="38">
        <f>(VLOOKUP($A529,'The List'!$B1:$AH730,18,FALSE)-AVERAGE('The List'!S2:S730))/STDEV('The List'!S2:S730)</f>
        <v>-1.1752011337727353</v>
      </c>
      <c r="G529" s="38">
        <f>(VLOOKUP($A529,'The List'!$B1:$AH730,19,FALSE)-AVERAGE('The List'!T2:T730))/STDEV('The List'!T2:T730)</f>
        <v>-0.52094307191905997</v>
      </c>
      <c r="H529" s="38">
        <f>(VLOOKUP($A529,'The List'!$B1:$AH730,20,FALSE)-AVERAGE('The List'!U2:U730))/STDEV('The List'!U2:U730)</f>
        <v>-0.86645943603255327</v>
      </c>
      <c r="I529" s="38">
        <f>(VLOOKUP($A529,'The List'!$B1:$AH730,21,FALSE)-AVERAGE('The List'!V2:V730))/STDEV('The List'!V2:V730)</f>
        <v>-1.2288127069815173</v>
      </c>
      <c r="J529" s="38">
        <f>(VLOOKUP($A529,'The List'!$B1:$AH730,22,FALSE)-AVERAGE('The List'!W2:W730))/STDEV('The List'!W2:W730)</f>
        <v>-0.72045973354802328</v>
      </c>
      <c r="K529" s="38">
        <f>(VLOOKUP($A529,'The List'!$B1:$AH730,23,FALSE)-AVERAGE('The List'!X2:X730))/STDEV('The List'!X2:X730)</f>
        <v>-0.72277779471063808</v>
      </c>
      <c r="L529" s="38">
        <f>(VLOOKUP($A529,'The List'!$B1:$AH730,24,FALSE)-AVERAGE('The List'!Y2:Y730))/STDEV('The List'!Y2:Y730)</f>
        <v>-0.52679290336331464</v>
      </c>
      <c r="M529" s="38">
        <f>(VLOOKUP($A529,'The List'!$B1:$AH730,25,FALSE)-AVERAGE('The List'!Z2:Z730))/STDEV('The List'!Z2:Z730)</f>
        <v>-0.71914149263491889</v>
      </c>
      <c r="N529" s="38">
        <f>(VLOOKUP($A529,'The List'!$B1:$AH730,26,FALSE)-AVERAGE('The List'!AA2:AA730))/STDEV('The List'!AA2:AA730)</f>
        <v>0.52697296518000858</v>
      </c>
      <c r="O529" s="38">
        <f>(VLOOKUP($A529,'The List'!$B1:$AH730,27,FALSE)-AVERAGE('The List'!AB2:AB730))/STDEV('The List'!AB2:AB730)</f>
        <v>-0.91442505782848571</v>
      </c>
      <c r="P529" s="38">
        <f>(VLOOKUP($A529,'The List'!$B1:$AH730,28,FALSE)-AVERAGE('The List'!AC2:AC730))/STDEV('The List'!AC2:AC730)</f>
        <v>-1.2670677564874997</v>
      </c>
      <c r="Q529" s="38">
        <f>(VLOOKUP($A529,'The List'!$B1:$AH730,29,FALSE)-AVERAGE('The List'!AD2:AD730))/STDEV('The List'!AD2:AD730)</f>
        <v>-0.94985971200012931</v>
      </c>
      <c r="R529" s="38">
        <f>(VLOOKUP($A529,'The List'!$B1:$AH730,30,FALSE)-AVERAGE('The List'!AE2:AE730))/STDEV('The List'!AE2:AE730)</f>
        <v>-1.1056355182340389</v>
      </c>
      <c r="S529" s="38">
        <f>(VLOOKUP($A529,'The List'!$B1:$AH730,31,FALSE)-AVERAGE('The List'!AF2:AF730))/STDEV('The List'!AF2:AF730)</f>
        <v>-0.56911587195029545</v>
      </c>
      <c r="T529" s="38">
        <f>(VLOOKUP($A529,'The List'!$B1:$AH730,32,FALSE)-AVERAGE('The List'!AG2:AG730))/STDEV('The List'!AG2:AG730)</f>
        <v>-0.61510119871956948</v>
      </c>
      <c r="U529" s="38">
        <f>(VLOOKUP($A529,'The List'!$B1:$AH730,33,FALSE)-AVERAGE('The List'!AH2:AH730))/STDEV('The List'!AH2:AH730)</f>
        <v>-1.2363238714825984</v>
      </c>
      <c r="V529" s="38"/>
      <c r="W529" s="40"/>
      <c r="X529" s="38"/>
      <c r="Y529" s="38"/>
      <c r="Z529" s="38"/>
      <c r="AA529" s="38"/>
      <c r="AB529" s="38"/>
      <c r="AC529" s="38"/>
      <c r="AD529" s="38"/>
      <c r="AE529" s="38"/>
    </row>
    <row r="530" spans="1:31" ht="21.2" customHeight="1">
      <c r="A530" s="8" t="s">
        <v>464</v>
      </c>
      <c r="B530" s="34" t="str">
        <f>VLOOKUP(A530,'Player Data'!A1:B734,2,FALSE)</f>
        <v>EDM</v>
      </c>
      <c r="C530" s="36">
        <f>((E530)*Settings!$C$12)+(F530*Settings!$C$2)+(G530*Settings!$C$3)+(H530*Settings!$C$4)+(I530*Settings!$C$5)+(K530*Settings!$C$9)+(N530*Settings!$C$6)+(J530*Settings!$C$8)+(O530*Settings!$C$7)+(P530*Settings!$C$14)+(Q530*Settings!$C$15)+(R530*Settings!$C$16)+(S530*Settings!$C$17)+(T530*Settings!$C$18)+(U530*Settings!$C$19)+(L530*Settings!$C$10)+(Settings!$C$11*M530)</f>
        <v>-3.9836117979519852</v>
      </c>
      <c r="D530" s="40">
        <f>IF(Settings!$E$12="YES",VLOOKUP(A530,'Player Data'!A1:E734,5,FALSE),82)</f>
        <v>82</v>
      </c>
      <c r="E530" s="38">
        <f>(VLOOKUP($A530,'The List'!$B1:$AH730,17,FALSE)-AVERAGE('The List'!R2:R730))/STDEV('The List'!R2:R730)</f>
        <v>6.8810114952577217E-2</v>
      </c>
      <c r="F530" s="38">
        <f>(VLOOKUP($A530,'The List'!$B1:$AH730,18,FALSE)-AVERAGE('The List'!S2:S730))/STDEV('The List'!S2:S730)</f>
        <v>-0.99991953122854871</v>
      </c>
      <c r="G530" s="38">
        <f>(VLOOKUP($A530,'The List'!$B1:$AH730,19,FALSE)-AVERAGE('The List'!T2:T730))/STDEV('The List'!T2:T730)</f>
        <v>-0.65369823668034022</v>
      </c>
      <c r="H530" s="38">
        <f>(VLOOKUP($A530,'The List'!$B1:$AH730,20,FALSE)-AVERAGE('The List'!U2:U730))/STDEV('The List'!U2:U730)</f>
        <v>-0.86655900038573852</v>
      </c>
      <c r="I530" s="38">
        <f>(VLOOKUP($A530,'The List'!$B1:$AH730,21,FALSE)-AVERAGE('The List'!V2:V730))/STDEV('The List'!V2:V730)</f>
        <v>-0.6502507894991274</v>
      </c>
      <c r="J530" s="38">
        <f>(VLOOKUP($A530,'The List'!$B1:$AH730,22,FALSE)-AVERAGE('The List'!W2:W730))/STDEV('The List'!W2:W730)</f>
        <v>-0.73206298713622142</v>
      </c>
      <c r="K530" s="38">
        <f>(VLOOKUP($A530,'The List'!$B1:$AH730,23,FALSE)-AVERAGE('The List'!X2:X730))/STDEV('The List'!X2:X730)</f>
        <v>-0.8131842401582301</v>
      </c>
      <c r="L530" s="38">
        <f>(VLOOKUP($A530,'The List'!$B1:$AH730,24,FALSE)-AVERAGE('The List'!Y2:Y730))/STDEV('The List'!Y2:Y730)</f>
        <v>-0.50367728619277941</v>
      </c>
      <c r="M530" s="38">
        <f>(VLOOKUP($A530,'The List'!$B1:$AH730,25,FALSE)-AVERAGE('The List'!Z2:Z730))/STDEV('The List'!Z2:Z730)</f>
        <v>0.26972645947121926</v>
      </c>
      <c r="N530" s="38">
        <f>(VLOOKUP($A530,'The List'!$B1:$AH730,26,FALSE)-AVERAGE('The List'!AA2:AA730))/STDEV('The List'!AA2:AA730)</f>
        <v>0.67870865150921733</v>
      </c>
      <c r="O530" s="38">
        <f>(VLOOKUP($A530,'The List'!$B1:$AH730,27,FALSE)-AVERAGE('The List'!AB2:AB730))/STDEV('The List'!AB2:AB730)</f>
        <v>3.8673919118643055E-2</v>
      </c>
      <c r="P530" s="38">
        <f>(VLOOKUP($A530,'The List'!$B1:$AH730,28,FALSE)-AVERAGE('The List'!AC2:AC730))/STDEV('The List'!AC2:AC730)</f>
        <v>1.0923543574072923</v>
      </c>
      <c r="Q530" s="38">
        <f>(VLOOKUP($A530,'The List'!$B1:$AH730,29,FALSE)-AVERAGE('The List'!AD2:AD730))/STDEV('The List'!AD2:AD730)</f>
        <v>0.39208981559441441</v>
      </c>
      <c r="R530" s="38">
        <f>(VLOOKUP($A530,'The List'!$B1:$AH730,30,FALSE)-AVERAGE('The List'!AE2:AE730))/STDEV('The List'!AE2:AE730)</f>
        <v>-0.87013692634606543</v>
      </c>
      <c r="S530" s="38">
        <f>(VLOOKUP($A530,'The List'!$B1:$AH730,31,FALSE)-AVERAGE('The List'!AF2:AF730))/STDEV('The List'!AF2:AF730)</f>
        <v>-0.56911587195029545</v>
      </c>
      <c r="T530" s="38">
        <f>(VLOOKUP($A530,'The List'!$B1:$AH730,32,FALSE)-AVERAGE('The List'!AG2:AG730))/STDEV('The List'!AG2:AG730)</f>
        <v>-0.61510119871956948</v>
      </c>
      <c r="U530" s="38">
        <f>(VLOOKUP($A530,'The List'!$B1:$AH730,33,FALSE)-AVERAGE('The List'!AH2:AH730))/STDEV('The List'!AH2:AH730)</f>
        <v>-1.2363238714825984</v>
      </c>
      <c r="V530" s="38"/>
      <c r="W530" s="42"/>
      <c r="X530" s="40"/>
      <c r="Y530" s="40"/>
      <c r="Z530" s="40"/>
      <c r="AA530" s="40"/>
      <c r="AB530" s="40"/>
      <c r="AC530" s="43"/>
      <c r="AD530" s="44"/>
      <c r="AE530" s="38"/>
    </row>
    <row r="531" spans="1:31" ht="21.2" customHeight="1">
      <c r="A531" s="8" t="s">
        <v>424</v>
      </c>
      <c r="B531" s="34" t="str">
        <f>VLOOKUP(A531,'Player Data'!A1:B734,2,FALSE)</f>
        <v>VGK</v>
      </c>
      <c r="C531" s="36">
        <f>((E531)*Settings!$C$12)+(F531*Settings!$C$2)+(G531*Settings!$C$3)+(H531*Settings!$C$4)+(I531*Settings!$C$5)+(K531*Settings!$C$9)+(N531*Settings!$C$6)+(J531*Settings!$C$8)+(O531*Settings!$C$7)+(P531*Settings!$C$14)+(Q531*Settings!$C$15)+(R531*Settings!$C$16)+(S531*Settings!$C$17)+(T531*Settings!$C$18)+(U531*Settings!$C$19)+(L531*Settings!$C$10)+(Settings!$C$11*M531)</f>
        <v>-4.1578919444438354</v>
      </c>
      <c r="D531" s="40">
        <f>IF(Settings!$E$12="YES",VLOOKUP(A531,'Player Data'!A1:E734,5,FALSE),82)</f>
        <v>82</v>
      </c>
      <c r="E531" s="38">
        <f>(VLOOKUP($A531,'The List'!$B1:$AH730,17,FALSE)-AVERAGE('The List'!R2:R730))/STDEV('The List'!R2:R730)</f>
        <v>0.97423645956588312</v>
      </c>
      <c r="F531" s="38">
        <f>(VLOOKUP($A531,'The List'!$B1:$AH730,18,FALSE)-AVERAGE('The List'!S2:S730))/STDEV('The List'!S2:S730)</f>
        <v>-1.1159372173178506</v>
      </c>
      <c r="G531" s="38">
        <f>(VLOOKUP($A531,'The List'!$B1:$AH730,19,FALSE)-AVERAGE('The List'!T2:T730))/STDEV('The List'!T2:T730)</f>
        <v>-0.56596459611358729</v>
      </c>
      <c r="H531" s="38">
        <f>(VLOOKUP($A531,'The List'!$B1:$AH730,20,FALSE)-AVERAGE('The List'!U2:U730))/STDEV('The List'!U2:U730)</f>
        <v>-0.86657673153426018</v>
      </c>
      <c r="I531" s="38">
        <f>(VLOOKUP($A531,'The List'!$B1:$AH730,21,FALSE)-AVERAGE('The List'!V2:V730))/STDEV('The List'!V2:V730)</f>
        <v>-0.79851272085024205</v>
      </c>
      <c r="J531" s="38">
        <f>(VLOOKUP($A531,'The List'!$B1:$AH730,22,FALSE)-AVERAGE('The List'!W2:W730))/STDEV('The List'!W2:W730)</f>
        <v>-0.73126869006867812</v>
      </c>
      <c r="K531" s="38">
        <f>(VLOOKUP($A531,'The List'!$B1:$AH730,23,FALSE)-AVERAGE('The List'!X2:X730))/STDEV('The List'!X2:X730)</f>
        <v>-0.81090067862789572</v>
      </c>
      <c r="L531" s="38">
        <f>(VLOOKUP($A531,'The List'!$B1:$AH730,24,FALSE)-AVERAGE('The List'!Y2:Y730))/STDEV('The List'!Y2:Y730)</f>
        <v>-0.5749230617597767</v>
      </c>
      <c r="M531" s="38">
        <f>(VLOOKUP($A531,'The List'!$B1:$AH730,25,FALSE)-AVERAGE('The List'!Z2:Z730))/STDEV('The List'!Z2:Z730)</f>
        <v>0.27686511981986378</v>
      </c>
      <c r="N531" s="38">
        <f>(VLOOKUP($A531,'The List'!$B1:$AH730,26,FALSE)-AVERAGE('The List'!AA2:AA730))/STDEV('The List'!AA2:AA730)</f>
        <v>3.0197194116163506</v>
      </c>
      <c r="O531" s="38">
        <f>(VLOOKUP($A531,'The List'!$B1:$AH730,27,FALSE)-AVERAGE('The List'!AB2:AB730))/STDEV('The List'!AB2:AB730)</f>
        <v>1.6511364992378676</v>
      </c>
      <c r="P531" s="38">
        <f>(VLOOKUP($A531,'The List'!$B1:$AH730,28,FALSE)-AVERAGE('The List'!AC2:AC730))/STDEV('The List'!AC2:AC730)</f>
        <v>1.1728371459190206</v>
      </c>
      <c r="Q531" s="38">
        <f>(VLOOKUP($A531,'The List'!$B1:$AH730,29,FALSE)-AVERAGE('The List'!AD2:AD730))/STDEV('The List'!AD2:AD730)</f>
        <v>0.57054466879914478</v>
      </c>
      <c r="R531" s="38">
        <f>(VLOOKUP($A531,'The List'!$B1:$AH730,30,FALSE)-AVERAGE('The List'!AE2:AE730))/STDEV('The List'!AE2:AE730)</f>
        <v>-0.98122855039445511</v>
      </c>
      <c r="S531" s="38">
        <f>(VLOOKUP($A531,'The List'!$B1:$AH730,31,FALSE)-AVERAGE('The List'!AF2:AF730))/STDEV('The List'!AF2:AF730)</f>
        <v>-0.56911587195029545</v>
      </c>
      <c r="T531" s="38">
        <f>(VLOOKUP($A531,'The List'!$B1:$AH730,32,FALSE)-AVERAGE('The List'!AG2:AG730))/STDEV('The List'!AG2:AG730)</f>
        <v>-0.61510119871956948</v>
      </c>
      <c r="U531" s="38">
        <f>(VLOOKUP($A531,'The List'!$B1:$AH730,33,FALSE)-AVERAGE('The List'!AH2:AH730))/STDEV('The List'!AH2:AH730)</f>
        <v>-1.2363238714825984</v>
      </c>
      <c r="V531" s="38"/>
      <c r="W531" s="40"/>
      <c r="X531" s="38"/>
      <c r="Y531" s="38"/>
      <c r="Z531" s="38"/>
      <c r="AA531" s="38"/>
      <c r="AB531" s="38"/>
      <c r="AC531" s="38"/>
      <c r="AD531" s="38"/>
      <c r="AE531" s="38"/>
    </row>
    <row r="532" spans="1:31" ht="21.2" customHeight="1">
      <c r="A532" s="8" t="s">
        <v>765</v>
      </c>
      <c r="B532" s="34" t="str">
        <f>VLOOKUP(A532,'Player Data'!A1:B734,2,FALSE)</f>
        <v>NSH</v>
      </c>
      <c r="C532" s="36">
        <f>((E532)*Settings!$C$12)+(F532*Settings!$C$2)+(G532*Settings!$C$3)+(H532*Settings!$C$4)+(I532*Settings!$C$5)+(K532*Settings!$C$9)+(N532*Settings!$C$6)+(J532*Settings!$C$8)+(O532*Settings!$C$7)+(P532*Settings!$C$14)+(Q532*Settings!$C$15)+(R532*Settings!$C$16)+(S532*Settings!$C$17)+(T532*Settings!$C$18)+(U532*Settings!$C$19)+(L532*Settings!$C$10)+(Settings!$C$11*M532)</f>
        <v>-4.4049389066175237</v>
      </c>
      <c r="D532" s="40">
        <f>IF(Settings!$E$12="YES",VLOOKUP(A532,'Player Data'!A1:E734,5,FALSE),82)</f>
        <v>82</v>
      </c>
      <c r="E532" s="38">
        <f>(VLOOKUP($A532,'The List'!$B1:$AH730,17,FALSE)-AVERAGE('The List'!R2:R730))/STDEV('The List'!R2:R730)</f>
        <v>-1.1400513244799375</v>
      </c>
      <c r="F532" s="38">
        <f>(VLOOKUP($A532,'The List'!$B1:$AH730,18,FALSE)-AVERAGE('The List'!S2:S730))/STDEV('The List'!S2:S730)</f>
        <v>-0.82070162754785903</v>
      </c>
      <c r="G532" s="38">
        <f>(VLOOKUP($A532,'The List'!$B1:$AH730,19,FALSE)-AVERAGE('The List'!T2:T730))/STDEV('The List'!T2:T730)</f>
        <v>-0.79067041223428747</v>
      </c>
      <c r="H532" s="38">
        <f>(VLOOKUP($A532,'The List'!$B1:$AH730,20,FALSE)-AVERAGE('The List'!U2:U730))/STDEV('The List'!U2:U730)</f>
        <v>-0.86742020314027901</v>
      </c>
      <c r="I532" s="38">
        <f>(VLOOKUP($A532,'The List'!$B1:$AH730,21,FALSE)-AVERAGE('The List'!V2:V730))/STDEV('The List'!V2:V730)</f>
        <v>-1.1160655622651094</v>
      </c>
      <c r="J532" s="38">
        <f>(VLOOKUP($A532,'The List'!$B1:$AH730,22,FALSE)-AVERAGE('The List'!W2:W730))/STDEV('The List'!W2:W730)</f>
        <v>-0.72019138546628525</v>
      </c>
      <c r="K532" s="38">
        <f>(VLOOKUP($A532,'The List'!$B1:$AH730,23,FALSE)-AVERAGE('The List'!X2:X730))/STDEV('The List'!X2:X730)</f>
        <v>-0.81008110142998901</v>
      </c>
      <c r="L532" s="38">
        <f>(VLOOKUP($A532,'The List'!$B1:$AH730,24,FALSE)-AVERAGE('The List'!Y2:Y730))/STDEV('The List'!Y2:Y730)</f>
        <v>-0.23724046184014783</v>
      </c>
      <c r="M532" s="38">
        <f>(VLOOKUP($A532,'The List'!$B1:$AH730,25,FALSE)-AVERAGE('The List'!Z2:Z730))/STDEV('The List'!Z2:Z730)</f>
        <v>1.1428756422828201</v>
      </c>
      <c r="N532" s="38">
        <f>(VLOOKUP($A532,'The List'!$B1:$AH730,26,FALSE)-AVERAGE('The List'!AA2:AA730))/STDEV('The List'!AA2:AA730)</f>
        <v>-0.83827204081845885</v>
      </c>
      <c r="O532" s="38">
        <f>(VLOOKUP($A532,'The List'!$B1:$AH730,27,FALSE)-AVERAGE('The List'!AB2:AB730))/STDEV('The List'!AB2:AB730)</f>
        <v>2.2002032206977051</v>
      </c>
      <c r="P532" s="38">
        <f>(VLOOKUP($A532,'The List'!$B1:$AH730,28,FALSE)-AVERAGE('The List'!AC2:AC730))/STDEV('The List'!AC2:AC730)</f>
        <v>-0.60574818433968936</v>
      </c>
      <c r="Q532" s="38">
        <f>(VLOOKUP($A532,'The List'!$B1:$AH730,29,FALSE)-AVERAGE('The List'!AD2:AD730))/STDEV('The List'!AD2:AD730)</f>
        <v>1.0239502227883548</v>
      </c>
      <c r="R532" s="38">
        <f>(VLOOKUP($A532,'The List'!$B1:$AH730,30,FALSE)-AVERAGE('The List'!AE2:AE730))/STDEV('The List'!AE2:AE730)</f>
        <v>-0.72926296952773162</v>
      </c>
      <c r="S532" s="38">
        <f>(VLOOKUP($A532,'The List'!$B1:$AH730,31,FALSE)-AVERAGE('The List'!AF2:AF730))/STDEV('The List'!AF2:AF730)</f>
        <v>-0.56911587195029545</v>
      </c>
      <c r="T532" s="38">
        <f>(VLOOKUP($A532,'The List'!$B1:$AH730,32,FALSE)-AVERAGE('The List'!AG2:AG730))/STDEV('The List'!AG2:AG730)</f>
        <v>-0.58631288191433462</v>
      </c>
      <c r="U532" s="38">
        <f>(VLOOKUP($A532,'The List'!$B1:$AH730,33,FALSE)-AVERAGE('The List'!AH2:AH730))/STDEV('The List'!AH2:AH730)</f>
        <v>-1.2363238714825984</v>
      </c>
      <c r="V532" s="38"/>
      <c r="W532" s="42"/>
      <c r="X532" s="40"/>
      <c r="Y532" s="40"/>
      <c r="Z532" s="40"/>
      <c r="AA532" s="40"/>
      <c r="AB532" s="40"/>
      <c r="AC532" s="43"/>
      <c r="AD532" s="44"/>
      <c r="AE532" s="38"/>
    </row>
    <row r="533" spans="1:31" ht="21.2" customHeight="1">
      <c r="A533" s="8" t="s">
        <v>495</v>
      </c>
      <c r="B533" s="34" t="str">
        <f>VLOOKUP(A533,'Player Data'!A1:B734,2,FALSE)</f>
        <v>DAL</v>
      </c>
      <c r="C533" s="36">
        <f>((E533)*Settings!$C$12)+(F533*Settings!$C$2)+(G533*Settings!$C$3)+(H533*Settings!$C$4)+(I533*Settings!$C$5)+(K533*Settings!$C$9)+(N533*Settings!$C$6)+(J533*Settings!$C$8)+(O533*Settings!$C$7)+(P533*Settings!$C$14)+(Q533*Settings!$C$15)+(R533*Settings!$C$16)+(S533*Settings!$C$17)+(T533*Settings!$C$18)+(U533*Settings!$C$19)+(L533*Settings!$C$10)+(Settings!$C$11*M533)</f>
        <v>-3.1417751280195723</v>
      </c>
      <c r="D533" s="40">
        <f>IF(Settings!$E$12="YES",VLOOKUP(A533,'Player Data'!A1:E734,5,FALSE),82)</f>
        <v>82</v>
      </c>
      <c r="E533" s="38">
        <f>(VLOOKUP($A533,'The List'!$B1:$AH730,17,FALSE)-AVERAGE('The List'!R2:R730))/STDEV('The List'!R2:R730)</f>
        <v>-0.27716613428030645</v>
      </c>
      <c r="F533" s="38">
        <f>(VLOOKUP($A533,'The List'!$B1:$AH730,18,FALSE)-AVERAGE('The List'!S2:S730))/STDEV('The List'!S2:S730)</f>
        <v>-0.81535140378125559</v>
      </c>
      <c r="G533" s="38">
        <f>(VLOOKUP($A533,'The List'!$B1:$AH730,19,FALSE)-AVERAGE('The List'!T2:T730))/STDEV('The List'!T2:T730)</f>
        <v>-0.79827034930759122</v>
      </c>
      <c r="H533" s="38">
        <f>(VLOOKUP($A533,'The List'!$B1:$AH730,20,FALSE)-AVERAGE('The List'!U2:U730))/STDEV('The List'!U2:U730)</f>
        <v>-0.86960348818287547</v>
      </c>
      <c r="I533" s="38">
        <f>(VLOOKUP($A533,'The List'!$B1:$AH730,21,FALSE)-AVERAGE('The List'!V2:V730))/STDEV('The List'!V2:V730)</f>
        <v>-0.33444681289427775</v>
      </c>
      <c r="J533" s="38">
        <f>(VLOOKUP($A533,'The List'!$B1:$AH730,22,FALSE)-AVERAGE('The List'!W2:W730))/STDEV('The List'!W2:W730)</f>
        <v>-0.3364833898109183</v>
      </c>
      <c r="K533" s="38">
        <f>(VLOOKUP($A533,'The List'!$B1:$AH730,23,FALSE)-AVERAGE('The List'!X2:X730))/STDEV('The List'!X2:X730)</f>
        <v>-0.32410307385357234</v>
      </c>
      <c r="L533" s="38">
        <f>(VLOOKUP($A533,'The List'!$B1:$AH730,24,FALSE)-AVERAGE('The List'!Y2:Y730))/STDEV('The List'!Y2:Y730)</f>
        <v>-0.52073719703247168</v>
      </c>
      <c r="M533" s="38">
        <f>(VLOOKUP($A533,'The List'!$B1:$AH730,25,FALSE)-AVERAGE('The List'!Z2:Z730))/STDEV('The List'!Z2:Z730)</f>
        <v>-0.69216254551408485</v>
      </c>
      <c r="N533" s="38">
        <f>(VLOOKUP($A533,'The List'!$B1:$AH730,26,FALSE)-AVERAGE('The List'!AA2:AA730))/STDEV('The List'!AA2:AA730)</f>
        <v>0.56155433341426486</v>
      </c>
      <c r="O533" s="38">
        <f>(VLOOKUP($A533,'The List'!$B1:$AH730,27,FALSE)-AVERAGE('The List'!AB2:AB730))/STDEV('The List'!AB2:AB730)</f>
        <v>-0.45900426018257839</v>
      </c>
      <c r="P533" s="38">
        <f>(VLOOKUP($A533,'The List'!$B1:$AH730,28,FALSE)-AVERAGE('The List'!AC2:AC730))/STDEV('The List'!AC2:AC730)</f>
        <v>0.89869244456167929</v>
      </c>
      <c r="Q533" s="38">
        <f>(VLOOKUP($A533,'The List'!$B1:$AH730,29,FALSE)-AVERAGE('The List'!AD2:AD730))/STDEV('The List'!AD2:AD730)</f>
        <v>-0.40220946820599418</v>
      </c>
      <c r="R533" s="38">
        <f>(VLOOKUP($A533,'The List'!$B1:$AH730,30,FALSE)-AVERAGE('The List'!AE2:AE730))/STDEV('The List'!AE2:AE730)</f>
        <v>-0.67372959727034032</v>
      </c>
      <c r="S533" s="38">
        <f>(VLOOKUP($A533,'The List'!$B1:$AH730,31,FALSE)-AVERAGE('The List'!AF2:AF730))/STDEV('The List'!AF2:AF730)</f>
        <v>-0.56911587195029545</v>
      </c>
      <c r="T533" s="38">
        <f>(VLOOKUP($A533,'The List'!$B1:$AH730,32,FALSE)-AVERAGE('The List'!AG2:AG730))/STDEV('The List'!AG2:AG730)</f>
        <v>-0.61510119871956948</v>
      </c>
      <c r="U533" s="38">
        <f>(VLOOKUP($A533,'The List'!$B1:$AH730,33,FALSE)-AVERAGE('The List'!AH2:AH730))/STDEV('The List'!AH2:AH730)</f>
        <v>-1.2363238714825984</v>
      </c>
      <c r="V533" s="38"/>
      <c r="W533" s="42"/>
      <c r="X533" s="40"/>
      <c r="Y533" s="40"/>
      <c r="Z533" s="40"/>
      <c r="AA533" s="40"/>
      <c r="AB533" s="40"/>
      <c r="AC533" s="43"/>
      <c r="AD533" s="44"/>
      <c r="AE533" s="38"/>
    </row>
    <row r="534" spans="1:31" ht="21.2" customHeight="1">
      <c r="A534" s="8" t="s">
        <v>814</v>
      </c>
      <c r="B534" s="34" t="str">
        <f>VLOOKUP(A534,'Player Data'!A1:B734,2,FALSE)</f>
        <v>TBL</v>
      </c>
      <c r="C534" s="36">
        <f>((E534)*Settings!$C$12)+(F534*Settings!$C$2)+(G534*Settings!$C$3)+(H534*Settings!$C$4)+(I534*Settings!$C$5)+(K534*Settings!$C$9)+(N534*Settings!$C$6)+(J534*Settings!$C$8)+(O534*Settings!$C$7)+(P534*Settings!$C$14)+(Q534*Settings!$C$15)+(R534*Settings!$C$16)+(S534*Settings!$C$17)+(T534*Settings!$C$18)+(U534*Settings!$C$19)+(L534*Settings!$C$10)+(Settings!$C$11*M534)</f>
        <v>-4.5730397615199969</v>
      </c>
      <c r="D534" s="40">
        <f>IF(Settings!$E$12="YES",VLOOKUP(A534,'Player Data'!A1:E734,5,FALSE),82)</f>
        <v>82</v>
      </c>
      <c r="E534" s="38">
        <f>(VLOOKUP($A534,'The List'!$B1:$AH730,17,FALSE)-AVERAGE('The List'!R2:R730))/STDEV('The List'!R2:R730)</f>
        <v>-1.7955952663280974</v>
      </c>
      <c r="F534" s="38">
        <f>(VLOOKUP($A534,'The List'!$B1:$AH730,18,FALSE)-AVERAGE('The List'!S2:S730))/STDEV('The List'!S2:S730)</f>
        <v>-0.65520106017409563</v>
      </c>
      <c r="G534" s="38">
        <f>(VLOOKUP($A534,'The List'!$B1:$AH730,19,FALSE)-AVERAGE('The List'!T2:T730))/STDEV('The List'!T2:T730)</f>
        <v>-0.92664260690427269</v>
      </c>
      <c r="H534" s="38">
        <f>(VLOOKUP($A534,'The List'!$B1:$AH730,20,FALSE)-AVERAGE('The List'!U2:U730))/STDEV('The List'!U2:U730)</f>
        <v>-0.87404369932579706</v>
      </c>
      <c r="I534" s="38">
        <f>(VLOOKUP($A534,'The List'!$B1:$AH730,21,FALSE)-AVERAGE('The List'!V2:V730))/STDEV('The List'!V2:V730)</f>
        <v>-1.3619480317508861</v>
      </c>
      <c r="J534" s="38">
        <f>(VLOOKUP($A534,'The List'!$B1:$AH730,22,FALSE)-AVERAGE('The List'!W2:W730))/STDEV('The List'!W2:W730)</f>
        <v>-0.67624038005976472</v>
      </c>
      <c r="K534" s="38">
        <f>(VLOOKUP($A534,'The List'!$B1:$AH730,23,FALSE)-AVERAGE('The List'!X2:X730))/STDEV('The List'!X2:X730)</f>
        <v>-0.75520436336494512</v>
      </c>
      <c r="L534" s="38">
        <f>(VLOOKUP($A534,'The List'!$B1:$AH730,24,FALSE)-AVERAGE('The List'!Y2:Y730))/STDEV('The List'!Y2:Y730)</f>
        <v>-0.51697644665787035</v>
      </c>
      <c r="M534" s="38">
        <f>(VLOOKUP($A534,'The List'!$B1:$AH730,25,FALSE)-AVERAGE('The List'!Z2:Z730))/STDEV('The List'!Z2:Z730)</f>
        <v>-0.6941134214639948</v>
      </c>
      <c r="N534" s="38">
        <f>(VLOOKUP($A534,'The List'!$B1:$AH730,26,FALSE)-AVERAGE('The List'!AA2:AA730))/STDEV('The List'!AA2:AA730)</f>
        <v>-0.97935293472982954</v>
      </c>
      <c r="O534" s="38">
        <f>(VLOOKUP($A534,'The List'!$B1:$AH730,27,FALSE)-AVERAGE('The List'!AB2:AB730))/STDEV('The List'!AB2:AB730)</f>
        <v>-0.51797805068585479</v>
      </c>
      <c r="P534" s="38">
        <f>(VLOOKUP($A534,'The List'!$B1:$AH730,28,FALSE)-AVERAGE('The List'!AC2:AC730))/STDEV('The List'!AC2:AC730)</f>
        <v>-0.19718022036117278</v>
      </c>
      <c r="Q534" s="38">
        <f>(VLOOKUP($A534,'The List'!$B1:$AH730,29,FALSE)-AVERAGE('The List'!AD2:AD730))/STDEV('The List'!AD2:AD730)</f>
        <v>-0.95599304948190533</v>
      </c>
      <c r="R534" s="38">
        <f>(VLOOKUP($A534,'The List'!$B1:$AH730,30,FALSE)-AVERAGE('The List'!AE2:AE730))/STDEV('The List'!AE2:AE730)</f>
        <v>-0.52312575819718432</v>
      </c>
      <c r="S534" s="38">
        <f>(VLOOKUP($A534,'The List'!$B1:$AH730,31,FALSE)-AVERAGE('The List'!AF2:AF730))/STDEV('The List'!AF2:AF730)</f>
        <v>0.14118402780475134</v>
      </c>
      <c r="T534" s="38">
        <f>(VLOOKUP($A534,'The List'!$B1:$AH730,32,FALSE)-AVERAGE('The List'!AG2:AG730))/STDEV('The List'!AG2:AG730)</f>
        <v>0.67510317660073593</v>
      </c>
      <c r="U534" s="38">
        <f>(VLOOKUP($A534,'The List'!$B1:$AH730,33,FALSE)-AVERAGE('The List'!AH2:AH730))/STDEV('The List'!AH2:AH730)</f>
        <v>0.41868837435584866</v>
      </c>
      <c r="V534" s="38"/>
      <c r="W534" s="42"/>
      <c r="X534" s="40"/>
      <c r="Y534" s="40"/>
      <c r="Z534" s="40"/>
      <c r="AA534" s="40"/>
      <c r="AB534" s="40"/>
      <c r="AC534" s="43"/>
      <c r="AD534" s="44"/>
      <c r="AE534" s="38"/>
    </row>
    <row r="535" spans="1:31" ht="21.2" customHeight="1">
      <c r="A535" s="8" t="s">
        <v>552</v>
      </c>
      <c r="B535" s="34" t="str">
        <f>VLOOKUP(A535,'Player Data'!A1:B734,2,FALSE)</f>
        <v>SEA</v>
      </c>
      <c r="C535" s="36">
        <f>((E535)*Settings!$C$12)+(F535*Settings!$C$2)+(G535*Settings!$C$3)+(H535*Settings!$C$4)+(I535*Settings!$C$5)+(K535*Settings!$C$9)+(N535*Settings!$C$6)+(J535*Settings!$C$8)+(O535*Settings!$C$7)+(P535*Settings!$C$14)+(Q535*Settings!$C$15)+(R535*Settings!$C$16)+(S535*Settings!$C$17)+(T535*Settings!$C$18)+(U535*Settings!$C$19)+(L535*Settings!$C$10)+(Settings!$C$11*M535)</f>
        <v>-4.4014679045929128</v>
      </c>
      <c r="D535" s="40">
        <f>IF(Settings!$E$12="YES",VLOOKUP(A535,'Player Data'!A1:E734,5,FALSE),82)</f>
        <v>82</v>
      </c>
      <c r="E535" s="38">
        <f>(VLOOKUP($A535,'The List'!$B1:$AH730,17,FALSE)-AVERAGE('The List'!R2:R730))/STDEV('The List'!R2:R730)</f>
        <v>-5.4076600674315162E-2</v>
      </c>
      <c r="F535" s="38">
        <f>(VLOOKUP($A535,'The List'!$B1:$AH730,18,FALSE)-AVERAGE('The List'!S2:S730))/STDEV('The List'!S2:S730)</f>
        <v>-1.0296436789841625</v>
      </c>
      <c r="G535" s="38">
        <f>(VLOOKUP($A535,'The List'!$B1:$AH730,19,FALSE)-AVERAGE('The List'!T2:T730))/STDEV('The List'!T2:T730)</f>
        <v>-0.65128268881480456</v>
      </c>
      <c r="H535" s="38">
        <f>(VLOOKUP($A535,'The List'!$B1:$AH730,20,FALSE)-AVERAGE('The List'!U2:U730))/STDEV('The List'!U2:U730)</f>
        <v>-0.87889250871055979</v>
      </c>
      <c r="I535" s="38">
        <f>(VLOOKUP($A535,'The List'!$B1:$AH730,21,FALSE)-AVERAGE('The List'!V2:V730))/STDEV('The List'!V2:V730)</f>
        <v>-1.0307332513737746</v>
      </c>
      <c r="J535" s="38">
        <f>(VLOOKUP($A535,'The List'!$B1:$AH730,22,FALSE)-AVERAGE('The List'!W2:W730))/STDEV('The List'!W2:W730)</f>
        <v>-0.73094705827237372</v>
      </c>
      <c r="K535" s="38">
        <f>(VLOOKUP($A535,'The List'!$B1:$AH730,23,FALSE)-AVERAGE('The List'!X2:X730))/STDEV('The List'!X2:X730)</f>
        <v>-0.81091577670961046</v>
      </c>
      <c r="L535" s="38">
        <f>(VLOOKUP($A535,'The List'!$B1:$AH730,24,FALSE)-AVERAGE('The List'!Y2:Y730))/STDEV('The List'!Y2:Y730)</f>
        <v>-0.45724265727052854</v>
      </c>
      <c r="M535" s="38">
        <f>(VLOOKUP($A535,'The List'!$B1:$AH730,25,FALSE)-AVERAGE('The List'!Z2:Z730))/STDEV('The List'!Z2:Z730)</f>
        <v>-0.47508427046356005</v>
      </c>
      <c r="N535" s="38">
        <f>(VLOOKUP($A535,'The List'!$B1:$AH730,26,FALSE)-AVERAGE('The List'!AA2:AA730))/STDEV('The List'!AA2:AA730)</f>
        <v>0.65061418312338615</v>
      </c>
      <c r="O535" s="38">
        <f>(VLOOKUP($A535,'The List'!$B1:$AH730,27,FALSE)-AVERAGE('The List'!AB2:AB730))/STDEV('The List'!AB2:AB730)</f>
        <v>1.5095359194634907</v>
      </c>
      <c r="P535" s="38">
        <f>(VLOOKUP($A535,'The List'!$B1:$AH730,28,FALSE)-AVERAGE('The List'!AC2:AC730))/STDEV('The List'!AC2:AC730)</f>
        <v>-0.1291937504953298</v>
      </c>
      <c r="Q535" s="38">
        <f>(VLOOKUP($A535,'The List'!$B1:$AH730,29,FALSE)-AVERAGE('The List'!AD2:AD730))/STDEV('The List'!AD2:AD730)</f>
        <v>0.81327846368418022</v>
      </c>
      <c r="R535" s="38">
        <f>(VLOOKUP($A535,'The List'!$B1:$AH730,30,FALSE)-AVERAGE('The List'!AE2:AE730))/STDEV('The List'!AE2:AE730)</f>
        <v>-0.94006842584404926</v>
      </c>
      <c r="S535" s="38">
        <f>(VLOOKUP($A535,'The List'!$B1:$AH730,31,FALSE)-AVERAGE('The List'!AF2:AF730))/STDEV('The List'!AF2:AF730)</f>
        <v>-0.56911587195029545</v>
      </c>
      <c r="T535" s="38">
        <f>(VLOOKUP($A535,'The List'!$B1:$AH730,32,FALSE)-AVERAGE('The List'!AG2:AG730))/STDEV('The List'!AG2:AG730)</f>
        <v>-0.61510119871956948</v>
      </c>
      <c r="U535" s="38">
        <f>(VLOOKUP($A535,'The List'!$B1:$AH730,33,FALSE)-AVERAGE('The List'!AH2:AH730))/STDEV('The List'!AH2:AH730)</f>
        <v>-1.2363238714825984</v>
      </c>
      <c r="V535" s="38"/>
      <c r="W535" s="42"/>
      <c r="X535" s="40"/>
      <c r="Y535" s="40"/>
      <c r="Z535" s="40"/>
      <c r="AA535" s="40"/>
      <c r="AB535" s="40"/>
      <c r="AC535" s="43"/>
      <c r="AD535" s="44"/>
      <c r="AE535" s="38"/>
    </row>
    <row r="536" spans="1:31" ht="21.2" customHeight="1">
      <c r="A536" s="8" t="s">
        <v>798</v>
      </c>
      <c r="B536" s="34" t="str">
        <f>VLOOKUP(A536,'Player Data'!A1:B734,2,FALSE)</f>
        <v>FLA</v>
      </c>
      <c r="C536" s="36">
        <f>((E536)*Settings!$C$12)+(F536*Settings!$C$2)+(G536*Settings!$C$3)+(H536*Settings!$C$4)+(I536*Settings!$C$5)+(K536*Settings!$C$9)+(N536*Settings!$C$6)+(J536*Settings!$C$8)+(O536*Settings!$C$7)+(P536*Settings!$C$14)+(Q536*Settings!$C$15)+(R536*Settings!$C$16)+(S536*Settings!$C$17)+(T536*Settings!$C$18)+(U536*Settings!$C$19)+(L536*Settings!$C$10)+(Settings!$C$11*M536)</f>
        <v>-4.1519749657502603</v>
      </c>
      <c r="D536" s="40">
        <f>IF(Settings!$E$12="YES",VLOOKUP(A536,'Player Data'!A1:E734,5,FALSE),82)</f>
        <v>82</v>
      </c>
      <c r="E536" s="38">
        <f>(VLOOKUP($A536,'The List'!$B1:$AH730,17,FALSE)-AVERAGE('The List'!R2:R730))/STDEV('The List'!R2:R730)</f>
        <v>-1.5059588090247884</v>
      </c>
      <c r="F536" s="38">
        <f>(VLOOKUP($A536,'The List'!$B1:$AH730,18,FALSE)-AVERAGE('The List'!S2:S730))/STDEV('The List'!S2:S730)</f>
        <v>-0.76532911001903081</v>
      </c>
      <c r="G536" s="38">
        <f>(VLOOKUP($A536,'The List'!$B1:$AH730,19,FALSE)-AVERAGE('The List'!T2:T730))/STDEV('The List'!T2:T730)</f>
        <v>-0.85461143460460309</v>
      </c>
      <c r="H536" s="38">
        <f>(VLOOKUP($A536,'The List'!$B1:$AH730,20,FALSE)-AVERAGE('The List'!U2:U730))/STDEV('The List'!U2:U730)</f>
        <v>-0.88097328130384578</v>
      </c>
      <c r="I536" s="38">
        <f>(VLOOKUP($A536,'The List'!$B1:$AH730,21,FALSE)-AVERAGE('The List'!V2:V730))/STDEV('The List'!V2:V730)</f>
        <v>-0.84264599281617691</v>
      </c>
      <c r="J536" s="38">
        <f>(VLOOKUP($A536,'The List'!$B1:$AH730,22,FALSE)-AVERAGE('The List'!W2:W730))/STDEV('The List'!W2:W730)</f>
        <v>-0.71588136342348574</v>
      </c>
      <c r="K536" s="38">
        <f>(VLOOKUP($A536,'The List'!$B1:$AH730,23,FALSE)-AVERAGE('The List'!X2:X730))/STDEV('The List'!X2:X730)</f>
        <v>-0.80841514700660366</v>
      </c>
      <c r="L536" s="38">
        <f>(VLOOKUP($A536,'The List'!$B1:$AH730,24,FALSE)-AVERAGE('The List'!Y2:Y730))/STDEV('The List'!Y2:Y730)</f>
        <v>1.2921211344688786</v>
      </c>
      <c r="M536" s="38">
        <f>(VLOOKUP($A536,'The List'!$B1:$AH730,25,FALSE)-AVERAGE('The List'!Z2:Z730))/STDEV('The List'!Z2:Z730)</f>
        <v>0.56318299212616585</v>
      </c>
      <c r="N536" s="38">
        <f>(VLOOKUP($A536,'The List'!$B1:$AH730,26,FALSE)-AVERAGE('The List'!AA2:AA730))/STDEV('The List'!AA2:AA730)</f>
        <v>-1.0966221676342067</v>
      </c>
      <c r="O536" s="38">
        <f>(VLOOKUP($A536,'The List'!$B1:$AH730,27,FALSE)-AVERAGE('The List'!AB2:AB730))/STDEV('The List'!AB2:AB730)</f>
        <v>-0.98374578904681453</v>
      </c>
      <c r="P536" s="38">
        <f>(VLOOKUP($A536,'The List'!$B1:$AH730,28,FALSE)-AVERAGE('The List'!AC2:AC730))/STDEV('The List'!AC2:AC730)</f>
        <v>0.34502186019943493</v>
      </c>
      <c r="Q536" s="38">
        <f>(VLOOKUP($A536,'The List'!$B1:$AH730,29,FALSE)-AVERAGE('The List'!AD2:AD730))/STDEV('The List'!AD2:AD730)</f>
        <v>-1.5758583390001675</v>
      </c>
      <c r="R536" s="38">
        <f>(VLOOKUP($A536,'The List'!$B1:$AH730,30,FALSE)-AVERAGE('The List'!AE2:AE730))/STDEV('The List'!AE2:AE730)</f>
        <v>-0.68674148096063836</v>
      </c>
      <c r="S536" s="38">
        <f>(VLOOKUP($A536,'The List'!$B1:$AH730,31,FALSE)-AVERAGE('The List'!AF2:AF730))/STDEV('The List'!AF2:AF730)</f>
        <v>-0.4173653142964186</v>
      </c>
      <c r="T536" s="38">
        <f>(VLOOKUP($A536,'The List'!$B1:$AH730,32,FALSE)-AVERAGE('The List'!AG2:AG730))/STDEV('The List'!AG2:AG730)</f>
        <v>-0.38968507515599254</v>
      </c>
      <c r="U536" s="38">
        <f>(VLOOKUP($A536,'The List'!$B1:$AH730,33,FALSE)-AVERAGE('The List'!AH2:AH730))/STDEV('The List'!AH2:AH730)</f>
        <v>0.63468486613948327</v>
      </c>
      <c r="V536" s="38"/>
      <c r="W536" s="42"/>
      <c r="X536" s="40"/>
      <c r="Y536" s="40"/>
      <c r="Z536" s="40"/>
      <c r="AA536" s="40"/>
      <c r="AB536" s="40"/>
      <c r="AC536" s="43"/>
      <c r="AD536" s="44"/>
      <c r="AE536" s="38"/>
    </row>
    <row r="537" spans="1:31" ht="21.2" customHeight="1">
      <c r="A537" s="8" t="s">
        <v>505</v>
      </c>
      <c r="B537" s="34" t="str">
        <f>VLOOKUP(A537,'Player Data'!A1:B734,2,FALSE)</f>
        <v>SEA</v>
      </c>
      <c r="C537" s="36">
        <f>((E537)*Settings!$C$12)+(F537*Settings!$C$2)+(G537*Settings!$C$3)+(H537*Settings!$C$4)+(I537*Settings!$C$5)+(K537*Settings!$C$9)+(N537*Settings!$C$6)+(J537*Settings!$C$8)+(O537*Settings!$C$7)+(P537*Settings!$C$14)+(Q537*Settings!$C$15)+(R537*Settings!$C$16)+(S537*Settings!$C$17)+(T537*Settings!$C$18)+(U537*Settings!$C$19)+(L537*Settings!$C$10)+(Settings!$C$11*M537)</f>
        <v>-4.5273596046403579</v>
      </c>
      <c r="D537" s="40">
        <f>IF(Settings!$E$12="YES",VLOOKUP(A537,'Player Data'!A1:E734,5,FALSE),82)</f>
        <v>82</v>
      </c>
      <c r="E537" s="38">
        <f>(VLOOKUP($A537,'The List'!$B1:$AH730,17,FALSE)-AVERAGE('The List'!R2:R730))/STDEV('The List'!R2:R730)</f>
        <v>0.37014561080009561</v>
      </c>
      <c r="F537" s="38">
        <f>(VLOOKUP($A537,'The List'!$B1:$AH730,18,FALSE)-AVERAGE('The List'!S2:S730))/STDEV('The List'!S2:S730)</f>
        <v>-1.1354530847355391</v>
      </c>
      <c r="G537" s="38">
        <f>(VLOOKUP($A537,'The List'!$B1:$AH730,19,FALSE)-AVERAGE('The List'!T2:T730))/STDEV('The List'!T2:T730)</f>
        <v>-0.57886628614573843</v>
      </c>
      <c r="H537" s="38">
        <f>(VLOOKUP($A537,'The List'!$B1:$AH730,20,FALSE)-AVERAGE('The List'!U2:U730))/STDEV('The List'!U2:U730)</f>
        <v>-0.88357772988911198</v>
      </c>
      <c r="I537" s="38">
        <f>(VLOOKUP($A537,'The List'!$B1:$AH730,21,FALSE)-AVERAGE('The List'!V2:V730))/STDEV('The List'!V2:V730)</f>
        <v>-1.1176811302114265</v>
      </c>
      <c r="J537" s="38">
        <f>(VLOOKUP($A537,'The List'!$B1:$AH730,22,FALSE)-AVERAGE('The List'!W2:W730))/STDEV('The List'!W2:W730)</f>
        <v>-0.73154911846146642</v>
      </c>
      <c r="K537" s="38">
        <f>(VLOOKUP($A537,'The List'!$B1:$AH730,23,FALSE)-AVERAGE('The List'!X2:X730))/STDEV('The List'!X2:X730)</f>
        <v>-0.81178137365854253</v>
      </c>
      <c r="L537" s="38">
        <f>(VLOOKUP($A537,'The List'!$B1:$AH730,24,FALSE)-AVERAGE('The List'!Y2:Y730))/STDEV('The List'!Y2:Y730)</f>
        <v>-0.57986944202088675</v>
      </c>
      <c r="M537" s="38">
        <f>(VLOOKUP($A537,'The List'!$B1:$AH730,25,FALSE)-AVERAGE('The List'!Z2:Z730))/STDEV('The List'!Z2:Z730)</f>
        <v>0.13823302784434946</v>
      </c>
      <c r="N537" s="38">
        <f>(VLOOKUP($A537,'The List'!$B1:$AH730,26,FALSE)-AVERAGE('The List'!AA2:AA730))/STDEV('The List'!AA2:AA730)</f>
        <v>1.304103086675424</v>
      </c>
      <c r="O537" s="38">
        <f>(VLOOKUP($A537,'The List'!$B1:$AH730,27,FALSE)-AVERAGE('The List'!AB2:AB730))/STDEV('The List'!AB2:AB730)</f>
        <v>1.6942913732886276E-2</v>
      </c>
      <c r="P537" s="38">
        <f>(VLOOKUP($A537,'The List'!$B1:$AH730,28,FALSE)-AVERAGE('The List'!AC2:AC730))/STDEV('The List'!AC2:AC730)</f>
        <v>-0.48028480168852444</v>
      </c>
      <c r="Q537" s="38">
        <f>(VLOOKUP($A537,'The List'!$B1:$AH730,29,FALSE)-AVERAGE('The List'!AD2:AD730))/STDEV('The List'!AD2:AD730)</f>
        <v>-0.91171209870136094</v>
      </c>
      <c r="R537" s="38">
        <f>(VLOOKUP($A537,'The List'!$B1:$AH730,30,FALSE)-AVERAGE('The List'!AE2:AE730))/STDEV('The List'!AE2:AE730)</f>
        <v>-1.0369218024103557</v>
      </c>
      <c r="S537" s="38">
        <f>(VLOOKUP($A537,'The List'!$B1:$AH730,31,FALSE)-AVERAGE('The List'!AF2:AF730))/STDEV('The List'!AF2:AF730)</f>
        <v>-0.56911587195029545</v>
      </c>
      <c r="T537" s="38">
        <f>(VLOOKUP($A537,'The List'!$B1:$AH730,32,FALSE)-AVERAGE('The List'!AG2:AG730))/STDEV('The List'!AG2:AG730)</f>
        <v>-0.61510119871956948</v>
      </c>
      <c r="U537" s="38">
        <f>(VLOOKUP($A537,'The List'!$B1:$AH730,33,FALSE)-AVERAGE('The List'!AH2:AH730))/STDEV('The List'!AH2:AH730)</f>
        <v>-1.2363238714825984</v>
      </c>
      <c r="V537" s="38"/>
      <c r="W537" s="42"/>
      <c r="X537" s="40"/>
      <c r="Y537" s="40"/>
      <c r="Z537" s="40"/>
      <c r="AA537" s="40"/>
      <c r="AB537" s="40"/>
      <c r="AC537" s="43"/>
      <c r="AD537" s="44"/>
      <c r="AE537" s="38"/>
    </row>
    <row r="538" spans="1:31" ht="21.2" customHeight="1">
      <c r="A538" s="8" t="s">
        <v>782</v>
      </c>
      <c r="B538" s="34" t="str">
        <f>VLOOKUP(A538,'Player Data'!A1:B734,2,FALSE)</f>
        <v>DET</v>
      </c>
      <c r="C538" s="36">
        <f>((E538)*Settings!$C$12)+(F538*Settings!$C$2)+(G538*Settings!$C$3)+(H538*Settings!$C$4)+(I538*Settings!$C$5)+(K538*Settings!$C$9)+(N538*Settings!$C$6)+(J538*Settings!$C$8)+(O538*Settings!$C$7)+(P538*Settings!$C$14)+(Q538*Settings!$C$15)+(R538*Settings!$C$16)+(S538*Settings!$C$17)+(T538*Settings!$C$18)+(U538*Settings!$C$19)+(L538*Settings!$C$10)+(Settings!$C$11*M538)</f>
        <v>-4.21386934212887</v>
      </c>
      <c r="D538" s="40">
        <f>IF(Settings!$E$12="YES",VLOOKUP(A538,'Player Data'!A1:E734,5,FALSE),82)</f>
        <v>82</v>
      </c>
      <c r="E538" s="38">
        <f>(VLOOKUP($A538,'The List'!$B1:$AH730,17,FALSE)-AVERAGE('The List'!R2:R730))/STDEV('The List'!R2:R730)</f>
        <v>-1.3247063813470157</v>
      </c>
      <c r="F538" s="38">
        <f>(VLOOKUP($A538,'The List'!$B1:$AH730,18,FALSE)-AVERAGE('The List'!S2:S730))/STDEV('The List'!S2:S730)</f>
        <v>-0.50123456870697447</v>
      </c>
      <c r="G538" s="38">
        <f>(VLOOKUP($A538,'The List'!$B1:$AH730,19,FALSE)-AVERAGE('The List'!T2:T730))/STDEV('The List'!T2:T730)</f>
        <v>-1.0586707008081957</v>
      </c>
      <c r="H538" s="38">
        <f>(VLOOKUP($A538,'The List'!$B1:$AH730,20,FALSE)-AVERAGE('The List'!U2:U730))/STDEV('The List'!U2:U730)</f>
        <v>-0.88360527237135256</v>
      </c>
      <c r="I538" s="38">
        <f>(VLOOKUP($A538,'The List'!$B1:$AH730,21,FALSE)-AVERAGE('The List'!V2:V730))/STDEV('The List'!V2:V730)</f>
        <v>-1.0794344328849517</v>
      </c>
      <c r="J538" s="38">
        <f>(VLOOKUP($A538,'The List'!$B1:$AH730,22,FALSE)-AVERAGE('The List'!W2:W730))/STDEV('The List'!W2:W730)</f>
        <v>-0.61115535693931655</v>
      </c>
      <c r="K538" s="38">
        <f>(VLOOKUP($A538,'The List'!$B1:$AH730,23,FALSE)-AVERAGE('The List'!X2:X730))/STDEV('The List'!X2:X730)</f>
        <v>-0.69092436735739537</v>
      </c>
      <c r="L538" s="38">
        <f>(VLOOKUP($A538,'The List'!$B1:$AH730,24,FALSE)-AVERAGE('The List'!Y2:Y730))/STDEV('The List'!Y2:Y730)</f>
        <v>-0.32988279150404642</v>
      </c>
      <c r="M538" s="38">
        <f>(VLOOKUP($A538,'The List'!$B1:$AH730,25,FALSE)-AVERAGE('The List'!Z2:Z730))/STDEV('The List'!Z2:Z730)</f>
        <v>-0.44486511841381071</v>
      </c>
      <c r="N538" s="38">
        <f>(VLOOKUP($A538,'The List'!$B1:$AH730,26,FALSE)-AVERAGE('The List'!AA2:AA730))/STDEV('The List'!AA2:AA730)</f>
        <v>-0.67043390265317815</v>
      </c>
      <c r="O538" s="38">
        <f>(VLOOKUP($A538,'The List'!$B1:$AH730,27,FALSE)-AVERAGE('The List'!AB2:AB730))/STDEV('The List'!AB2:AB730)</f>
        <v>0.69939964742835203</v>
      </c>
      <c r="P538" s="38">
        <f>(VLOOKUP($A538,'The List'!$B1:$AH730,28,FALSE)-AVERAGE('The List'!AC2:AC730))/STDEV('The List'!AC2:AC730)</f>
        <v>-0.94074790145557541</v>
      </c>
      <c r="Q538" s="38">
        <f>(VLOOKUP($A538,'The List'!$B1:$AH730,29,FALSE)-AVERAGE('The List'!AD2:AD730))/STDEV('The List'!AD2:AD730)</f>
        <v>-0.55913961575688531</v>
      </c>
      <c r="R538" s="38">
        <f>(VLOOKUP($A538,'The List'!$B1:$AH730,30,FALSE)-AVERAGE('The List'!AE2:AE730))/STDEV('The List'!AE2:AE730)</f>
        <v>-0.50291836406609425</v>
      </c>
      <c r="S538" s="38">
        <f>(VLOOKUP($A538,'The List'!$B1:$AH730,31,FALSE)-AVERAGE('The List'!AF2:AF730))/STDEV('The List'!AF2:AF730)</f>
        <v>0.6536830166242612</v>
      </c>
      <c r="T538" s="38">
        <f>(VLOOKUP($A538,'The List'!$B1:$AH730,32,FALSE)-AVERAGE('The List'!AG2:AG730))/STDEV('The List'!AG2:AG730)</f>
        <v>0.95909638603424141</v>
      </c>
      <c r="U538" s="38">
        <f>(VLOOKUP($A538,'The List'!$B1:$AH730,33,FALSE)-AVERAGE('The List'!AH2:AH730))/STDEV('The List'!AH2:AH730)</f>
        <v>0.79318918748747258</v>
      </c>
      <c r="V538" s="38"/>
      <c r="W538" s="42"/>
      <c r="X538" s="40"/>
      <c r="Y538" s="40"/>
      <c r="Z538" s="40"/>
      <c r="AA538" s="40"/>
      <c r="AB538" s="40"/>
      <c r="AC538" s="43"/>
      <c r="AD538" s="44"/>
      <c r="AE538" s="38"/>
    </row>
    <row r="539" spans="1:31" ht="21.2" customHeight="1">
      <c r="A539" s="8" t="s">
        <v>755</v>
      </c>
      <c r="B539" s="34" t="str">
        <f>VLOOKUP(A539,'Player Data'!A1:B734,2,FALSE)</f>
        <v>MIN</v>
      </c>
      <c r="C539" s="36">
        <f>((E539)*Settings!$C$12)+(F539*Settings!$C$2)+(G539*Settings!$C$3)+(H539*Settings!$C$4)+(I539*Settings!$C$5)+(K539*Settings!$C$9)+(N539*Settings!$C$6)+(J539*Settings!$C$8)+(O539*Settings!$C$7)+(P539*Settings!$C$14)+(Q539*Settings!$C$15)+(R539*Settings!$C$16)+(S539*Settings!$C$17)+(T539*Settings!$C$18)+(U539*Settings!$C$19)+(L539*Settings!$C$10)+(Settings!$C$11*M539)</f>
        <v>-4.1870475440077968</v>
      </c>
      <c r="D539" s="40">
        <f>IF(Settings!$E$12="YES",VLOOKUP(A539,'Player Data'!A1:E734,5,FALSE),82)</f>
        <v>82</v>
      </c>
      <c r="E539" s="38">
        <f>(VLOOKUP($A539,'The List'!$B1:$AH730,17,FALSE)-AVERAGE('The List'!R2:R730))/STDEV('The List'!R2:R730)</f>
        <v>-1.4976762604141329</v>
      </c>
      <c r="F539" s="38">
        <f>(VLOOKUP($A539,'The List'!$B1:$AH730,18,FALSE)-AVERAGE('The List'!S2:S730))/STDEV('The List'!S2:S730)</f>
        <v>-0.67085147250247557</v>
      </c>
      <c r="G539" s="38">
        <f>(VLOOKUP($A539,'The List'!$B1:$AH730,19,FALSE)-AVERAGE('The List'!T2:T730))/STDEV('The List'!T2:T730)</f>
        <v>-0.93133224173797791</v>
      </c>
      <c r="H539" s="38">
        <f>(VLOOKUP($A539,'The List'!$B1:$AH730,20,FALSE)-AVERAGE('The List'!U2:U730))/STDEV('The List'!U2:U730)</f>
        <v>-0.88420112052521638</v>
      </c>
      <c r="I539" s="38">
        <f>(VLOOKUP($A539,'The List'!$B1:$AH730,21,FALSE)-AVERAGE('The List'!V2:V730))/STDEV('The List'!V2:V730)</f>
        <v>-0.89349691567728595</v>
      </c>
      <c r="J539" s="38">
        <f>(VLOOKUP($A539,'The List'!$B1:$AH730,22,FALSE)-AVERAGE('The List'!W2:W730))/STDEV('The List'!W2:W730)</f>
        <v>-0.72040954784998457</v>
      </c>
      <c r="K539" s="38">
        <f>(VLOOKUP($A539,'The List'!$B1:$AH730,23,FALSE)-AVERAGE('The List'!X2:X730))/STDEV('The List'!X2:X730)</f>
        <v>-0.80716579356484108</v>
      </c>
      <c r="L539" s="38">
        <f>(VLOOKUP($A539,'The List'!$B1:$AH730,24,FALSE)-AVERAGE('The List'!Y2:Y730))/STDEV('The List'!Y2:Y730)</f>
        <v>3.6391610418321347</v>
      </c>
      <c r="M539" s="38">
        <f>(VLOOKUP($A539,'The List'!$B1:$AH730,25,FALSE)-AVERAGE('The List'!Z2:Z730))/STDEV('The List'!Z2:Z730)</f>
        <v>2.8437725727331289</v>
      </c>
      <c r="N539" s="38">
        <f>(VLOOKUP($A539,'The List'!$B1:$AH730,26,FALSE)-AVERAGE('The List'!AA2:AA730))/STDEV('The List'!AA2:AA730)</f>
        <v>-0.40157236977723948</v>
      </c>
      <c r="O539" s="38">
        <f>(VLOOKUP($A539,'The List'!$B1:$AH730,27,FALSE)-AVERAGE('The List'!AB2:AB730))/STDEV('The List'!AB2:AB730)</f>
        <v>0.43591895494463573</v>
      </c>
      <c r="P539" s="38">
        <f>(VLOOKUP($A539,'The List'!$B1:$AH730,28,FALSE)-AVERAGE('The List'!AC2:AC730))/STDEV('The List'!AC2:AC730)</f>
        <v>5.3194504265907591E-2</v>
      </c>
      <c r="Q539" s="38">
        <f>(VLOOKUP($A539,'The List'!$B1:$AH730,29,FALSE)-AVERAGE('The List'!AD2:AD730))/STDEV('The List'!AD2:AD730)</f>
        <v>-0.36434438967751898</v>
      </c>
      <c r="R539" s="38">
        <f>(VLOOKUP($A539,'The List'!$B1:$AH730,30,FALSE)-AVERAGE('The List'!AE2:AE730))/STDEV('The List'!AE2:AE730)</f>
        <v>-0.5205183667966502</v>
      </c>
      <c r="S539" s="38">
        <f>(VLOOKUP($A539,'The List'!$B1:$AH730,31,FALSE)-AVERAGE('The List'!AF2:AF730))/STDEV('The List'!AF2:AF730)</f>
        <v>0.46966890168102926</v>
      </c>
      <c r="T539" s="38">
        <f>(VLOOKUP($A539,'The List'!$B1:$AH730,32,FALSE)-AVERAGE('The List'!AG2:AG730))/STDEV('The List'!AG2:AG730)</f>
        <v>0.73280189226263059</v>
      </c>
      <c r="U539" s="38">
        <f>(VLOOKUP($A539,'The List'!$B1:$AH730,33,FALSE)-AVERAGE('The List'!AH2:AH730))/STDEV('The List'!AH2:AH730)</f>
        <v>0.78436967952612202</v>
      </c>
      <c r="V539" s="38"/>
      <c r="W539" s="40"/>
      <c r="X539" s="38"/>
      <c r="Y539" s="38"/>
      <c r="Z539" s="38"/>
      <c r="AA539" s="38"/>
      <c r="AB539" s="38"/>
      <c r="AC539" s="38"/>
      <c r="AD539" s="38"/>
      <c r="AE539" s="38"/>
    </row>
    <row r="540" spans="1:31" ht="21.2" customHeight="1">
      <c r="A540" s="8" t="s">
        <v>758</v>
      </c>
      <c r="B540" s="34" t="str">
        <f>VLOOKUP(A540,'Player Data'!A1:B734,2,FALSE)</f>
        <v>BOS</v>
      </c>
      <c r="C540" s="36">
        <f>((E540)*Settings!$C$12)+(F540*Settings!$C$2)+(G540*Settings!$C$3)+(H540*Settings!$C$4)+(I540*Settings!$C$5)+(K540*Settings!$C$9)+(N540*Settings!$C$6)+(J540*Settings!$C$8)+(O540*Settings!$C$7)+(P540*Settings!$C$14)+(Q540*Settings!$C$15)+(R540*Settings!$C$16)+(S540*Settings!$C$17)+(T540*Settings!$C$18)+(U540*Settings!$C$19)+(L540*Settings!$C$10)+(Settings!$C$11*M540)</f>
        <v>-3.8421143609125856</v>
      </c>
      <c r="D540" s="40">
        <f>IF(Settings!$E$12="YES",VLOOKUP(A540,'Player Data'!A1:E734,5,FALSE),82)</f>
        <v>82</v>
      </c>
      <c r="E540" s="38">
        <f>(VLOOKUP($A540,'The List'!$B1:$AH730,17,FALSE)-AVERAGE('The List'!R2:R730))/STDEV('The List'!R2:R730)</f>
        <v>-1.6737715041176018</v>
      </c>
      <c r="F540" s="38">
        <f>(VLOOKUP($A540,'The List'!$B1:$AH730,18,FALSE)-AVERAGE('The List'!S2:S730))/STDEV('The List'!S2:S730)</f>
        <v>-0.60342039251610935</v>
      </c>
      <c r="G540" s="38">
        <f>(VLOOKUP($A540,'The List'!$B1:$AH730,19,FALSE)-AVERAGE('The List'!T2:T730))/STDEV('The List'!T2:T730)</f>
        <v>-0.98984752767198292</v>
      </c>
      <c r="H540" s="38">
        <f>(VLOOKUP($A540,'The List'!$B1:$AH730,20,FALSE)-AVERAGE('The List'!U2:U730))/STDEV('The List'!U2:U730)</f>
        <v>-0.88881416857875184</v>
      </c>
      <c r="I540" s="38">
        <f>(VLOOKUP($A540,'The List'!$B1:$AH730,21,FALSE)-AVERAGE('The List'!V2:V730))/STDEV('The List'!V2:V730)</f>
        <v>-0.54795631841851911</v>
      </c>
      <c r="J540" s="38">
        <f>(VLOOKUP($A540,'The List'!$B1:$AH730,22,FALSE)-AVERAGE('The List'!W2:W730))/STDEV('The List'!W2:W730)</f>
        <v>-0.72203298959145013</v>
      </c>
      <c r="K540" s="38">
        <f>(VLOOKUP($A540,'The List'!$B1:$AH730,23,FALSE)-AVERAGE('The List'!X2:X730))/STDEV('The List'!X2:X730)</f>
        <v>-0.81207595372722197</v>
      </c>
      <c r="L540" s="38">
        <f>(VLOOKUP($A540,'The List'!$B1:$AH730,24,FALSE)-AVERAGE('The List'!Y2:Y730))/STDEV('The List'!Y2:Y730)</f>
        <v>-0.48145954387427298</v>
      </c>
      <c r="M540" s="38">
        <f>(VLOOKUP($A540,'The List'!$B1:$AH730,25,FALSE)-AVERAGE('The List'!Z2:Z730))/STDEV('The List'!Z2:Z730)</f>
        <v>-0.65280485339952654</v>
      </c>
      <c r="N540" s="38">
        <f>(VLOOKUP($A540,'The List'!$B1:$AH730,26,FALSE)-AVERAGE('The List'!AA2:AA730))/STDEV('The List'!AA2:AA730)</f>
        <v>-0.61595149776773495</v>
      </c>
      <c r="O540" s="38">
        <f>(VLOOKUP($A540,'The List'!$B1:$AH730,27,FALSE)-AVERAGE('The List'!AB2:AB730))/STDEV('The List'!AB2:AB730)</f>
        <v>1.0596907868538197</v>
      </c>
      <c r="P540" s="38">
        <f>(VLOOKUP($A540,'The List'!$B1:$AH730,28,FALSE)-AVERAGE('The List'!AC2:AC730))/STDEV('The List'!AC2:AC730)</f>
        <v>0.76762384176039622</v>
      </c>
      <c r="Q540" s="38">
        <f>(VLOOKUP($A540,'The List'!$B1:$AH730,29,FALSE)-AVERAGE('The List'!AD2:AD730))/STDEV('The List'!AD2:AD730)</f>
        <v>1.7075755482009816</v>
      </c>
      <c r="R540" s="38">
        <f>(VLOOKUP($A540,'The List'!$B1:$AH730,30,FALSE)-AVERAGE('The List'!AE2:AE730))/STDEV('The List'!AE2:AE730)</f>
        <v>-0.41354479624182278</v>
      </c>
      <c r="S540" s="38">
        <f>(VLOOKUP($A540,'The List'!$B1:$AH730,31,FALSE)-AVERAGE('The List'!AF2:AF730))/STDEV('The List'!AF2:AF730)</f>
        <v>-0.55260742519119899</v>
      </c>
      <c r="T540" s="38">
        <f>(VLOOKUP($A540,'The List'!$B1:$AH730,32,FALSE)-AVERAGE('The List'!AG2:AG730))/STDEV('The List'!AG2:AG730)</f>
        <v>-0.60621606526618255</v>
      </c>
      <c r="U540" s="38">
        <f>(VLOOKUP($A540,'The List'!$B1:$AH730,33,FALSE)-AVERAGE('The List'!AH2:AH730))/STDEV('The List'!AH2:AH730)</f>
        <v>1.7501222591862322</v>
      </c>
      <c r="V540" s="38"/>
      <c r="W540" s="42"/>
      <c r="X540" s="40"/>
      <c r="Y540" s="40"/>
      <c r="Z540" s="40"/>
      <c r="AA540" s="40"/>
      <c r="AB540" s="40"/>
      <c r="AC540" s="43"/>
      <c r="AD540" s="44"/>
      <c r="AE540" s="38"/>
    </row>
    <row r="541" spans="1:31" ht="21.2" customHeight="1">
      <c r="A541" s="8" t="s">
        <v>432</v>
      </c>
      <c r="B541" s="34" t="str">
        <f>VLOOKUP(A541,'Player Data'!A1:B734,2,FALSE)</f>
        <v>DET</v>
      </c>
      <c r="C541" s="36">
        <f>((E541)*Settings!$C$12)+(F541*Settings!$C$2)+(G541*Settings!$C$3)+(H541*Settings!$C$4)+(I541*Settings!$C$5)+(K541*Settings!$C$9)+(N541*Settings!$C$6)+(J541*Settings!$C$8)+(O541*Settings!$C$7)+(P541*Settings!$C$14)+(Q541*Settings!$C$15)+(R541*Settings!$C$16)+(S541*Settings!$C$17)+(T541*Settings!$C$18)+(U541*Settings!$C$19)+(L541*Settings!$C$10)+(Settings!$C$11*M541)</f>
        <v>-3.8144619635019215</v>
      </c>
      <c r="D541" s="40">
        <f>IF(Settings!$E$12="YES",VLOOKUP(A541,'Player Data'!A1:E734,5,FALSE),82)</f>
        <v>82</v>
      </c>
      <c r="E541" s="38">
        <f>(VLOOKUP($A541,'The List'!$B1:$AH730,17,FALSE)-AVERAGE('The List'!R2:R730))/STDEV('The List'!R2:R730)</f>
        <v>0.72110743066213545</v>
      </c>
      <c r="F541" s="38">
        <f>(VLOOKUP($A541,'The List'!$B1:$AH730,18,FALSE)-AVERAGE('The List'!S2:S730))/STDEV('The List'!S2:S730)</f>
        <v>-0.92437792280192577</v>
      </c>
      <c r="G541" s="38">
        <f>(VLOOKUP($A541,'The List'!$B1:$AH730,19,FALSE)-AVERAGE('The List'!T2:T730))/STDEV('The List'!T2:T730)</f>
        <v>-0.75384208942567243</v>
      </c>
      <c r="H541" s="38">
        <f>(VLOOKUP($A541,'The List'!$B1:$AH730,20,FALSE)-AVERAGE('The List'!U2:U730))/STDEV('The List'!U2:U730)</f>
        <v>-0.89298407359338572</v>
      </c>
      <c r="I541" s="38">
        <f>(VLOOKUP($A541,'The List'!$B1:$AH730,21,FALSE)-AVERAGE('The List'!V2:V730))/STDEV('The List'!V2:V730)</f>
        <v>-0.44624246938196577</v>
      </c>
      <c r="J541" s="38">
        <f>(VLOOKUP($A541,'The List'!$B1:$AH730,22,FALSE)-AVERAGE('The List'!W2:W730))/STDEV('The List'!W2:W730)</f>
        <v>-0.70081056761698335</v>
      </c>
      <c r="K541" s="38">
        <f>(VLOOKUP($A541,'The List'!$B1:$AH730,23,FALSE)-AVERAGE('The List'!X2:X730))/STDEV('The List'!X2:X730)</f>
        <v>-0.79701540829897144</v>
      </c>
      <c r="L541" s="38">
        <f>(VLOOKUP($A541,'The List'!$B1:$AH730,24,FALSE)-AVERAGE('The List'!Y2:Y730))/STDEV('The List'!Y2:Y730)</f>
        <v>-0.57863443726179664</v>
      </c>
      <c r="M541" s="38">
        <f>(VLOOKUP($A541,'The List'!$B1:$AH730,25,FALSE)-AVERAGE('The List'!Z2:Z730))/STDEV('The List'!Z2:Z730)</f>
        <v>-0.81854612465956955</v>
      </c>
      <c r="N541" s="38">
        <f>(VLOOKUP($A541,'The List'!$B1:$AH730,26,FALSE)-AVERAGE('The List'!AA2:AA730))/STDEV('The List'!AA2:AA730)</f>
        <v>1.9495948168895834</v>
      </c>
      <c r="O541" s="38">
        <f>(VLOOKUP($A541,'The List'!$B1:$AH730,27,FALSE)-AVERAGE('The List'!AB2:AB730))/STDEV('The List'!AB2:AB730)</f>
        <v>0.84555510219802166</v>
      </c>
      <c r="P541" s="38">
        <f>(VLOOKUP($A541,'The List'!$B1:$AH730,28,FALSE)-AVERAGE('The List'!AC2:AC730))/STDEV('The List'!AC2:AC730)</f>
        <v>-1.3708190009323689</v>
      </c>
      <c r="Q541" s="38">
        <f>(VLOOKUP($A541,'The List'!$B1:$AH730,29,FALSE)-AVERAGE('The List'!AD2:AD730))/STDEV('The List'!AD2:AD730)</f>
        <v>1.1917230302672635</v>
      </c>
      <c r="R541" s="38">
        <f>(VLOOKUP($A541,'The List'!$B1:$AH730,30,FALSE)-AVERAGE('The List'!AE2:AE730))/STDEV('The List'!AE2:AE730)</f>
        <v>-0.86758060262241776</v>
      </c>
      <c r="S541" s="38">
        <f>(VLOOKUP($A541,'The List'!$B1:$AH730,31,FALSE)-AVERAGE('The List'!AF2:AF730))/STDEV('The List'!AF2:AF730)</f>
        <v>-0.56911587195029545</v>
      </c>
      <c r="T541" s="38">
        <f>(VLOOKUP($A541,'The List'!$B1:$AH730,32,FALSE)-AVERAGE('The List'!AG2:AG730))/STDEV('The List'!AG2:AG730)</f>
        <v>-0.61510119871956948</v>
      </c>
      <c r="U541" s="38">
        <f>(VLOOKUP($A541,'The List'!$B1:$AH730,33,FALSE)-AVERAGE('The List'!AH2:AH730))/STDEV('The List'!AH2:AH730)</f>
        <v>-1.2363238714825984</v>
      </c>
      <c r="V541" s="38"/>
      <c r="W541" s="42"/>
      <c r="X541" s="40"/>
      <c r="Y541" s="40"/>
      <c r="Z541" s="40"/>
      <c r="AA541" s="40"/>
      <c r="AB541" s="40"/>
      <c r="AC541" s="43"/>
      <c r="AD541" s="44"/>
      <c r="AE541" s="38"/>
    </row>
    <row r="542" spans="1:31" ht="21.2" customHeight="1">
      <c r="A542" s="8" t="s">
        <v>698</v>
      </c>
      <c r="B542" s="34" t="str">
        <f>VLOOKUP(A542,'Player Data'!A1:B734,2,FALSE)</f>
        <v>NYR</v>
      </c>
      <c r="C542" s="36">
        <f>((E542)*Settings!$C$12)+(F542*Settings!$C$2)+(G542*Settings!$C$3)+(H542*Settings!$C$4)+(I542*Settings!$C$5)+(K542*Settings!$C$9)+(N542*Settings!$C$6)+(J542*Settings!$C$8)+(O542*Settings!$C$7)+(P542*Settings!$C$14)+(Q542*Settings!$C$15)+(R542*Settings!$C$16)+(S542*Settings!$C$17)+(T542*Settings!$C$18)+(U542*Settings!$C$19)+(L542*Settings!$C$10)+(Settings!$C$11*M542)</f>
        <v>-3.8766896421974497</v>
      </c>
      <c r="D542" s="40">
        <f>IF(Settings!$E$12="YES",VLOOKUP(A542,'Player Data'!A1:E734,5,FALSE),82)</f>
        <v>82</v>
      </c>
      <c r="E542" s="38">
        <f>(VLOOKUP($A542,'The List'!$B1:$AH730,17,FALSE)-AVERAGE('The List'!R2:R730))/STDEV('The List'!R2:R730)</f>
        <v>-1.1502913725704036</v>
      </c>
      <c r="F542" s="38">
        <f>(VLOOKUP($A542,'The List'!$B1:$AH730,18,FALSE)-AVERAGE('The List'!S2:S730))/STDEV('The List'!S2:S730)</f>
        <v>-0.56092532896293656</v>
      </c>
      <c r="G542" s="38">
        <f>(VLOOKUP($A542,'The List'!$B1:$AH730,19,FALSE)-AVERAGE('The List'!T2:T730))/STDEV('The List'!T2:T730)</f>
        <v>-1.0288654195004205</v>
      </c>
      <c r="H542" s="38">
        <f>(VLOOKUP($A542,'The List'!$B1:$AH730,20,FALSE)-AVERAGE('The List'!U2:U730))/STDEV('The List'!U2:U730)</f>
        <v>-0.89303738490541718</v>
      </c>
      <c r="I542" s="38">
        <f>(VLOOKUP($A542,'The List'!$B1:$AH730,21,FALSE)-AVERAGE('The List'!V2:V730))/STDEV('The List'!V2:V730)</f>
        <v>-0.57925483693758395</v>
      </c>
      <c r="J542" s="38">
        <f>(VLOOKUP($A542,'The List'!$B1:$AH730,22,FALSE)-AVERAGE('The List'!W2:W730))/STDEV('The List'!W2:W730)</f>
        <v>-0.72522138852060514</v>
      </c>
      <c r="K542" s="38">
        <f>(VLOOKUP($A542,'The List'!$B1:$AH730,23,FALSE)-AVERAGE('The List'!X2:X730))/STDEV('The List'!X2:X730)</f>
        <v>-0.81460667189109137</v>
      </c>
      <c r="L542" s="38">
        <f>(VLOOKUP($A542,'The List'!$B1:$AH730,24,FALSE)-AVERAGE('The List'!Y2:Y730))/STDEV('The List'!Y2:Y730)</f>
        <v>0.90452568381529019</v>
      </c>
      <c r="M542" s="38">
        <f>(VLOOKUP($A542,'The List'!$B1:$AH730,25,FALSE)-AVERAGE('The List'!Z2:Z730))/STDEV('The List'!Z2:Z730)</f>
        <v>0.31612949266271279</v>
      </c>
      <c r="N542" s="38">
        <f>(VLOOKUP($A542,'The List'!$B1:$AH730,26,FALSE)-AVERAGE('The List'!AA2:AA730))/STDEV('The List'!AA2:AA730)</f>
        <v>-0.71972122165069774</v>
      </c>
      <c r="O542" s="38">
        <f>(VLOOKUP($A542,'The List'!$B1:$AH730,27,FALSE)-AVERAGE('The List'!AB2:AB730))/STDEV('The List'!AB2:AB730)</f>
        <v>-0.10547418649507855</v>
      </c>
      <c r="P542" s="38">
        <f>(VLOOKUP($A542,'The List'!$B1:$AH730,28,FALSE)-AVERAGE('The List'!AC2:AC730))/STDEV('The List'!AC2:AC730)</f>
        <v>0.83303888500627343</v>
      </c>
      <c r="Q542" s="38">
        <f>(VLOOKUP($A542,'The List'!$B1:$AH730,29,FALSE)-AVERAGE('The List'!AD2:AD730))/STDEV('The List'!AD2:AD730)</f>
        <v>-1.1106270559532898</v>
      </c>
      <c r="R542" s="38">
        <f>(VLOOKUP($A542,'The List'!$B1:$AH730,30,FALSE)-AVERAGE('The List'!AE2:AE730))/STDEV('The List'!AE2:AE730)</f>
        <v>-0.35382082994817254</v>
      </c>
      <c r="S542" s="38">
        <f>(VLOOKUP($A542,'The List'!$B1:$AH730,31,FALSE)-AVERAGE('The List'!AF2:AF730))/STDEV('The List'!AF2:AF730)</f>
        <v>-0.5418097762868147</v>
      </c>
      <c r="T542" s="38">
        <f>(VLOOKUP($A542,'The List'!$B1:$AH730,32,FALSE)-AVERAGE('The List'!AG2:AG730))/STDEV('The List'!AG2:AG730)</f>
        <v>-0.53023604081097431</v>
      </c>
      <c r="U542" s="38">
        <f>(VLOOKUP($A542,'The List'!$B1:$AH730,33,FALSE)-AVERAGE('The List'!AH2:AH730))/STDEV('The List'!AH2:AH730)</f>
        <v>-9.5299733462014674E-2</v>
      </c>
      <c r="V542" s="38"/>
      <c r="W542" s="42"/>
      <c r="X542" s="40"/>
      <c r="Y542" s="40"/>
      <c r="Z542" s="40"/>
      <c r="AA542" s="40"/>
      <c r="AB542" s="40"/>
      <c r="AC542" s="43"/>
      <c r="AD542" s="44"/>
      <c r="AE542" s="38"/>
    </row>
    <row r="543" spans="1:31" ht="21.2" customHeight="1">
      <c r="A543" s="8" t="s">
        <v>451</v>
      </c>
      <c r="B543" s="34" t="str">
        <f>VLOOKUP(A543,'Player Data'!A1:B734,2,FALSE)</f>
        <v>NYI</v>
      </c>
      <c r="C543" s="36">
        <f>((E543)*Settings!$C$12)+(F543*Settings!$C$2)+(G543*Settings!$C$3)+(H543*Settings!$C$4)+(I543*Settings!$C$5)+(K543*Settings!$C$9)+(N543*Settings!$C$6)+(J543*Settings!$C$8)+(O543*Settings!$C$7)+(P543*Settings!$C$14)+(Q543*Settings!$C$15)+(R543*Settings!$C$16)+(S543*Settings!$C$17)+(T543*Settings!$C$18)+(U543*Settings!$C$19)+(L543*Settings!$C$10)+(Settings!$C$11*M543)</f>
        <v>-4.1400733322183072</v>
      </c>
      <c r="D543" s="40">
        <f>IF(Settings!$E$12="YES",VLOOKUP(A543,'Player Data'!A1:E734,5,FALSE),82)</f>
        <v>82</v>
      </c>
      <c r="E543" s="38">
        <f>(VLOOKUP($A543,'The List'!$B1:$AH730,17,FALSE)-AVERAGE('The List'!R2:R730))/STDEV('The List'!R2:R730)</f>
        <v>0.55000737570732794</v>
      </c>
      <c r="F543" s="38">
        <f>(VLOOKUP($A543,'The List'!$B1:$AH730,18,FALSE)-AVERAGE('The List'!S2:S730))/STDEV('The List'!S2:S730)</f>
        <v>-1.0963045679089214</v>
      </c>
      <c r="G543" s="38">
        <f>(VLOOKUP($A543,'The List'!$B1:$AH730,19,FALSE)-AVERAGE('The List'!T2:T730))/STDEV('The List'!T2:T730)</f>
        <v>-0.63133719569637969</v>
      </c>
      <c r="H543" s="38">
        <f>(VLOOKUP($A543,'The List'!$B1:$AH730,20,FALSE)-AVERAGE('The List'!U2:U730))/STDEV('The List'!U2:U730)</f>
        <v>-0.89762407445543191</v>
      </c>
      <c r="I543" s="38">
        <f>(VLOOKUP($A543,'The List'!$B1:$AH730,21,FALSE)-AVERAGE('The List'!V2:V730))/STDEV('The List'!V2:V730)</f>
        <v>-0.69696577421092887</v>
      </c>
      <c r="J543" s="38">
        <f>(VLOOKUP($A543,'The List'!$B1:$AH730,22,FALSE)-AVERAGE('The List'!W2:W730))/STDEV('The List'!W2:W730)</f>
        <v>-0.73449657140240632</v>
      </c>
      <c r="K543" s="38">
        <f>(VLOOKUP($A543,'The List'!$B1:$AH730,23,FALSE)-AVERAGE('The List'!X2:X730))/STDEV('The List'!X2:X730)</f>
        <v>-0.81784171994664523</v>
      </c>
      <c r="L543" s="38">
        <f>(VLOOKUP($A543,'The List'!$B1:$AH730,24,FALSE)-AVERAGE('The List'!Y2:Y730))/STDEV('The List'!Y2:Y730)</f>
        <v>-0.4398142062336638</v>
      </c>
      <c r="M543" s="38">
        <f>(VLOOKUP($A543,'The List'!$B1:$AH730,25,FALSE)-AVERAGE('The List'!Z2:Z730))/STDEV('The List'!Z2:Z730)</f>
        <v>-0.33965060606436087</v>
      </c>
      <c r="N543" s="38">
        <f>(VLOOKUP($A543,'The List'!$B1:$AH730,26,FALSE)-AVERAGE('The List'!AA2:AA730))/STDEV('The List'!AA2:AA730)</f>
        <v>1.5734218141764509</v>
      </c>
      <c r="O543" s="38">
        <f>(VLOOKUP($A543,'The List'!$B1:$AH730,27,FALSE)-AVERAGE('The List'!AB2:AB730))/STDEV('The List'!AB2:AB730)</f>
        <v>1.7363533408475993</v>
      </c>
      <c r="P543" s="38">
        <f>(VLOOKUP($A543,'The List'!$B1:$AH730,28,FALSE)-AVERAGE('The List'!AC2:AC730))/STDEV('The List'!AC2:AC730)</f>
        <v>-0.22828814596034763</v>
      </c>
      <c r="Q543" s="38">
        <f>(VLOOKUP($A543,'The List'!$B1:$AH730,29,FALSE)-AVERAGE('The List'!AD2:AD730))/STDEV('The List'!AD2:AD730)</f>
        <v>0.47123180194843611</v>
      </c>
      <c r="R543" s="38">
        <f>(VLOOKUP($A543,'The List'!$B1:$AH730,30,FALSE)-AVERAGE('The List'!AE2:AE730))/STDEV('The List'!AE2:AE730)</f>
        <v>-0.97620559872927415</v>
      </c>
      <c r="S543" s="38">
        <f>(VLOOKUP($A543,'The List'!$B1:$AH730,31,FALSE)-AVERAGE('The List'!AF2:AF730))/STDEV('The List'!AF2:AF730)</f>
        <v>-0.56911587195029545</v>
      </c>
      <c r="T543" s="38">
        <f>(VLOOKUP($A543,'The List'!$B1:$AH730,32,FALSE)-AVERAGE('The List'!AG2:AG730))/STDEV('The List'!AG2:AG730)</f>
        <v>-0.61510119871956948</v>
      </c>
      <c r="U543" s="38">
        <f>(VLOOKUP($A543,'The List'!$B1:$AH730,33,FALSE)-AVERAGE('The List'!AH2:AH730))/STDEV('The List'!AH2:AH730)</f>
        <v>-1.2363238714825984</v>
      </c>
      <c r="V543" s="38"/>
      <c r="W543" s="40"/>
      <c r="X543" s="38"/>
      <c r="Y543" s="38"/>
      <c r="Z543" s="38"/>
      <c r="AA543" s="38"/>
      <c r="AB543" s="38"/>
      <c r="AC543" s="38"/>
      <c r="AD543" s="38"/>
      <c r="AE543" s="38"/>
    </row>
    <row r="544" spans="1:31" ht="21.2" customHeight="1">
      <c r="A544" s="8" t="s">
        <v>790</v>
      </c>
      <c r="B544" s="34" t="str">
        <f>VLOOKUP(A544,'Player Data'!A1:B734,2,FALSE)</f>
        <v>VAN</v>
      </c>
      <c r="C544" s="36">
        <f>((E544)*Settings!$C$12)+(F544*Settings!$C$2)+(G544*Settings!$C$3)+(H544*Settings!$C$4)+(I544*Settings!$C$5)+(K544*Settings!$C$9)+(N544*Settings!$C$6)+(J544*Settings!$C$8)+(O544*Settings!$C$7)+(P544*Settings!$C$14)+(Q544*Settings!$C$15)+(R544*Settings!$C$16)+(S544*Settings!$C$17)+(T544*Settings!$C$18)+(U544*Settings!$C$19)+(L544*Settings!$C$10)+(Settings!$C$11*M544)</f>
        <v>-3.8956330070904084</v>
      </c>
      <c r="D544" s="40">
        <f>IF(Settings!$E$12="YES",VLOOKUP(A544,'Player Data'!A1:E734,5,FALSE),82)</f>
        <v>82</v>
      </c>
      <c r="E544" s="38">
        <f>(VLOOKUP($A544,'The List'!$B1:$AH730,17,FALSE)-AVERAGE('The List'!R2:R730))/STDEV('The List'!R2:R730)</f>
        <v>-1.5512743053301099</v>
      </c>
      <c r="F544" s="38">
        <f>(VLOOKUP($A544,'The List'!$B1:$AH730,18,FALSE)-AVERAGE('The List'!S2:S730))/STDEV('The List'!S2:S730)</f>
        <v>-0.4286704743832212</v>
      </c>
      <c r="G544" s="38">
        <f>(VLOOKUP($A544,'The List'!$B1:$AH730,19,FALSE)-AVERAGE('The List'!T2:T730))/STDEV('The List'!T2:T730)</f>
        <v>-1.16793093057178</v>
      </c>
      <c r="H544" s="38">
        <f>(VLOOKUP($A544,'The List'!$B1:$AH730,20,FALSE)-AVERAGE('The List'!U2:U730))/STDEV('The List'!U2:U730)</f>
        <v>-0.91701688416367111</v>
      </c>
      <c r="I544" s="38">
        <f>(VLOOKUP($A544,'The List'!$B1:$AH730,21,FALSE)-AVERAGE('The List'!V2:V730))/STDEV('The List'!V2:V730)</f>
        <v>-0.6800474085603051</v>
      </c>
      <c r="J544" s="38">
        <f>(VLOOKUP($A544,'The List'!$B1:$AH730,22,FALSE)-AVERAGE('The List'!W2:W730))/STDEV('The List'!W2:W730)</f>
        <v>-0.50591035981845034</v>
      </c>
      <c r="K544" s="38">
        <f>(VLOOKUP($A544,'The List'!$B1:$AH730,23,FALSE)-AVERAGE('The List'!X2:X730))/STDEV('The List'!X2:X730)</f>
        <v>-0.70196730941143104</v>
      </c>
      <c r="L544" s="38">
        <f>(VLOOKUP($A544,'The List'!$B1:$AH730,24,FALSE)-AVERAGE('The List'!Y2:Y730))/STDEV('The List'!Y2:Y730)</f>
        <v>0.31185435878187068</v>
      </c>
      <c r="M544" s="38">
        <f>(VLOOKUP($A544,'The List'!$B1:$AH730,25,FALSE)-AVERAGE('The List'!Z2:Z730))/STDEV('The List'!Z2:Z730)</f>
        <v>-0.14084309250831689</v>
      </c>
      <c r="N544" s="38">
        <f>(VLOOKUP($A544,'The List'!$B1:$AH730,26,FALSE)-AVERAGE('The List'!AA2:AA730))/STDEV('The List'!AA2:AA730)</f>
        <v>-0.46982403915272225</v>
      </c>
      <c r="O544" s="38">
        <f>(VLOOKUP($A544,'The List'!$B1:$AH730,27,FALSE)-AVERAGE('The List'!AB2:AB730))/STDEV('The List'!AB2:AB730)</f>
        <v>0.13672456723183188</v>
      </c>
      <c r="P544" s="38">
        <f>(VLOOKUP($A544,'The List'!$B1:$AH730,28,FALSE)-AVERAGE('The List'!AC2:AC730))/STDEV('The List'!AC2:AC730)</f>
        <v>-0.17059773463841343</v>
      </c>
      <c r="Q544" s="38">
        <f>(VLOOKUP($A544,'The List'!$B1:$AH730,29,FALSE)-AVERAGE('The List'!AD2:AD730))/STDEV('The List'!AD2:AD730)</f>
        <v>-0.36824581788415772</v>
      </c>
      <c r="R544" s="38">
        <f>(VLOOKUP($A544,'The List'!$B1:$AH730,30,FALSE)-AVERAGE('The List'!AE2:AE730))/STDEV('The List'!AE2:AE730)</f>
        <v>-0.38384158787015504</v>
      </c>
      <c r="S544" s="38">
        <f>(VLOOKUP($A544,'The List'!$B1:$AH730,31,FALSE)-AVERAGE('The List'!AF2:AF730))/STDEV('The List'!AF2:AF730)</f>
        <v>0.65713353670155217</v>
      </c>
      <c r="T544" s="38">
        <f>(VLOOKUP($A544,'The List'!$B1:$AH730,32,FALSE)-AVERAGE('The List'!AG2:AG730))/STDEV('The List'!AG2:AG730)</f>
        <v>0.82585754823672708</v>
      </c>
      <c r="U544" s="38">
        <f>(VLOOKUP($A544,'The List'!$B1:$AH730,33,FALSE)-AVERAGE('The List'!AH2:AH730))/STDEV('The List'!AH2:AH730)</f>
        <v>0.8955693087282931</v>
      </c>
      <c r="V544" s="38"/>
      <c r="W544" s="42"/>
      <c r="X544" s="40"/>
      <c r="Y544" s="40"/>
      <c r="Z544" s="40"/>
      <c r="AA544" s="40"/>
      <c r="AB544" s="40"/>
      <c r="AC544" s="43"/>
      <c r="AD544" s="44"/>
      <c r="AE544" s="38"/>
    </row>
    <row r="545" spans="1:31" ht="21.2" customHeight="1">
      <c r="A545" s="8" t="s">
        <v>540</v>
      </c>
      <c r="B545" s="34" t="str">
        <f>VLOOKUP(A545,'Player Data'!A1:B734,2,FALSE)</f>
        <v>WSH</v>
      </c>
      <c r="C545" s="36">
        <f>((E545)*Settings!$C$12)+(F545*Settings!$C$2)+(G545*Settings!$C$3)+(H545*Settings!$C$4)+(I545*Settings!$C$5)+(K545*Settings!$C$9)+(N545*Settings!$C$6)+(J545*Settings!$C$8)+(O545*Settings!$C$7)+(P545*Settings!$C$14)+(Q545*Settings!$C$15)+(R545*Settings!$C$16)+(S545*Settings!$C$17)+(T545*Settings!$C$18)+(U545*Settings!$C$19)+(L545*Settings!$C$10)+(Settings!$C$11*M545)</f>
        <v>-4.3522749343678937</v>
      </c>
      <c r="D545" s="40">
        <f>IF(Settings!$E$12="YES",VLOOKUP(A545,'Player Data'!A1:E734,5,FALSE),82)</f>
        <v>82</v>
      </c>
      <c r="E545" s="38">
        <f>(VLOOKUP($A545,'The List'!$B1:$AH730,17,FALSE)-AVERAGE('The List'!R2:R730))/STDEV('The List'!R2:R730)</f>
        <v>0.69699512847913536</v>
      </c>
      <c r="F545" s="38">
        <f>(VLOOKUP($A545,'The List'!$B1:$AH730,18,FALSE)-AVERAGE('The List'!S2:S730))/STDEV('The List'!S2:S730)</f>
        <v>-0.96764430977495197</v>
      </c>
      <c r="G545" s="38">
        <f>(VLOOKUP($A545,'The List'!$B1:$AH730,19,FALSE)-AVERAGE('The List'!T2:T730))/STDEV('The List'!T2:T730)</f>
        <v>-0.76164920346946174</v>
      </c>
      <c r="H545" s="38">
        <f>(VLOOKUP($A545,'The List'!$B1:$AH730,20,FALSE)-AVERAGE('The List'!U2:U730))/STDEV('The List'!U2:U730)</f>
        <v>-0.91789523288518249</v>
      </c>
      <c r="I545" s="38">
        <f>(VLOOKUP($A545,'The List'!$B1:$AH730,21,FALSE)-AVERAGE('The List'!V2:V730))/STDEV('The List'!V2:V730)</f>
        <v>-0.89396400821462174</v>
      </c>
      <c r="J545" s="38">
        <f>(VLOOKUP($A545,'The List'!$B1:$AH730,22,FALSE)-AVERAGE('The List'!W2:W730))/STDEV('The List'!W2:W730)</f>
        <v>-0.7313026499747316</v>
      </c>
      <c r="K545" s="38">
        <f>(VLOOKUP($A545,'The List'!$B1:$AH730,23,FALSE)-AVERAGE('The List'!X2:X730))/STDEV('The List'!X2:X730)</f>
        <v>-0.81112218002367564</v>
      </c>
      <c r="L545" s="38">
        <f>(VLOOKUP($A545,'The List'!$B1:$AH730,24,FALSE)-AVERAGE('The List'!Y2:Y730))/STDEV('The List'!Y2:Y730)</f>
        <v>-0.53476289348996564</v>
      </c>
      <c r="M545" s="38">
        <f>(VLOOKUP($A545,'The List'!$B1:$AH730,25,FALSE)-AVERAGE('The List'!Z2:Z730))/STDEV('The List'!Z2:Z730)</f>
        <v>0.12745422586172875</v>
      </c>
      <c r="N545" s="38">
        <f>(VLOOKUP($A545,'The List'!$B1:$AH730,26,FALSE)-AVERAGE('The List'!AA2:AA730))/STDEV('The List'!AA2:AA730)</f>
        <v>2.3070244631181001</v>
      </c>
      <c r="O545" s="38">
        <f>(VLOOKUP($A545,'The List'!$B1:$AH730,27,FALSE)-AVERAGE('The List'!AB2:AB730))/STDEV('The List'!AB2:AB730)</f>
        <v>0.7068894621772448</v>
      </c>
      <c r="P545" s="38">
        <f>(VLOOKUP($A545,'The List'!$B1:$AH730,28,FALSE)-AVERAGE('The List'!AC2:AC730))/STDEV('The List'!AC2:AC730)</f>
        <v>-1.5194173249278191</v>
      </c>
      <c r="Q545" s="38">
        <f>(VLOOKUP($A545,'The List'!$B1:$AH730,29,FALSE)-AVERAGE('The List'!AD2:AD730))/STDEV('The List'!AD2:AD730)</f>
        <v>0.93058038455317615</v>
      </c>
      <c r="R545" s="38">
        <f>(VLOOKUP($A545,'The List'!$B1:$AH730,30,FALSE)-AVERAGE('The List'!AE2:AE730))/STDEV('The List'!AE2:AE730)</f>
        <v>-0.92931253364363298</v>
      </c>
      <c r="S545" s="38">
        <f>(VLOOKUP($A545,'The List'!$B1:$AH730,31,FALSE)-AVERAGE('The List'!AF2:AF730))/STDEV('The List'!AF2:AF730)</f>
        <v>-0.56911587195029545</v>
      </c>
      <c r="T545" s="38">
        <f>(VLOOKUP($A545,'The List'!$B1:$AH730,32,FALSE)-AVERAGE('The List'!AG2:AG730))/STDEV('The List'!AG2:AG730)</f>
        <v>-0.61510119871956948</v>
      </c>
      <c r="U545" s="38">
        <f>(VLOOKUP($A545,'The List'!$B1:$AH730,33,FALSE)-AVERAGE('The List'!AH2:AH730))/STDEV('The List'!AH2:AH730)</f>
        <v>-1.2363238714825984</v>
      </c>
      <c r="V545" s="38"/>
      <c r="W545" s="40"/>
      <c r="X545" s="38"/>
      <c r="Y545" s="38"/>
      <c r="Z545" s="38"/>
      <c r="AA545" s="38"/>
      <c r="AB545" s="38"/>
      <c r="AC545" s="38"/>
      <c r="AD545" s="38"/>
      <c r="AE545" s="38"/>
    </row>
    <row r="546" spans="1:31" ht="21.2" customHeight="1">
      <c r="A546" s="8" t="s">
        <v>736</v>
      </c>
      <c r="B546" s="34" t="str">
        <f>VLOOKUP(A546,'Player Data'!A1:B734,2,FALSE)</f>
        <v>NYR</v>
      </c>
      <c r="C546" s="36">
        <f>((E546)*Settings!$C$12)+(F546*Settings!$C$2)+(G546*Settings!$C$3)+(H546*Settings!$C$4)+(I546*Settings!$C$5)+(K546*Settings!$C$9)+(N546*Settings!$C$6)+(J546*Settings!$C$8)+(O546*Settings!$C$7)+(P546*Settings!$C$14)+(Q546*Settings!$C$15)+(R546*Settings!$C$16)+(S546*Settings!$C$17)+(T546*Settings!$C$18)+(U546*Settings!$C$19)+(L546*Settings!$C$10)+(Settings!$C$11*M546)</f>
        <v>-4.0336687034884982</v>
      </c>
      <c r="D546" s="40">
        <f>IF(Settings!$E$12="YES",VLOOKUP(A546,'Player Data'!A1:E734,5,FALSE),82)</f>
        <v>82</v>
      </c>
      <c r="E546" s="38">
        <f>(VLOOKUP($A546,'The List'!$B1:$AH730,17,FALSE)-AVERAGE('The List'!R2:R730))/STDEV('The List'!R2:R730)</f>
        <v>-0.95648757387377581</v>
      </c>
      <c r="F546" s="38">
        <f>(VLOOKUP($A546,'The List'!$B1:$AH730,18,FALSE)-AVERAGE('The List'!S2:S730))/STDEV('The List'!S2:S730)</f>
        <v>-0.42610693818688661</v>
      </c>
      <c r="G546" s="38">
        <f>(VLOOKUP($A546,'The List'!$B1:$AH730,19,FALSE)-AVERAGE('The List'!T2:T730))/STDEV('The List'!T2:T730)</f>
        <v>-1.1746974909013765</v>
      </c>
      <c r="H546" s="38">
        <f>(VLOOKUP($A546,'The List'!$B1:$AH730,20,FALSE)-AVERAGE('The List'!U2:U730))/STDEV('The List'!U2:U730)</f>
        <v>-0.91998348257860174</v>
      </c>
      <c r="I546" s="38">
        <f>(VLOOKUP($A546,'The List'!$B1:$AH730,21,FALSE)-AVERAGE('The List'!V2:V730))/STDEV('The List'!V2:V730)</f>
        <v>-0.7543931113361465</v>
      </c>
      <c r="J546" s="38">
        <f>(VLOOKUP($A546,'The List'!$B1:$AH730,22,FALSE)-AVERAGE('The List'!W2:W730))/STDEV('The List'!W2:W730)</f>
        <v>-0.67294867246365531</v>
      </c>
      <c r="K546" s="38">
        <f>(VLOOKUP($A546,'The List'!$B1:$AH730,23,FALSE)-AVERAGE('The List'!X2:X730))/STDEV('The List'!X2:X730)</f>
        <v>-0.75848768048548643</v>
      </c>
      <c r="L546" s="38">
        <f>(VLOOKUP($A546,'The List'!$B1:$AH730,24,FALSE)-AVERAGE('The List'!Y2:Y730))/STDEV('The List'!Y2:Y730)</f>
        <v>-0.21878145014257086</v>
      </c>
      <c r="M546" s="38">
        <f>(VLOOKUP($A546,'The List'!$B1:$AH730,25,FALSE)-AVERAGE('The List'!Z2:Z730))/STDEV('The List'!Z2:Z730)</f>
        <v>-0.83896534983248272</v>
      </c>
      <c r="N546" s="38">
        <f>(VLOOKUP($A546,'The List'!$B1:$AH730,26,FALSE)-AVERAGE('The List'!AA2:AA730))/STDEV('The List'!AA2:AA730)</f>
        <v>0.43135104848393252</v>
      </c>
      <c r="O546" s="38">
        <f>(VLOOKUP($A546,'The List'!$B1:$AH730,27,FALSE)-AVERAGE('The List'!AB2:AB730))/STDEV('The List'!AB2:AB730)</f>
        <v>-1.2803797858747084</v>
      </c>
      <c r="P546" s="38">
        <f>(VLOOKUP($A546,'The List'!$B1:$AH730,28,FALSE)-AVERAGE('The List'!AC2:AC730))/STDEV('The List'!AC2:AC730)</f>
        <v>0.81297264437346806</v>
      </c>
      <c r="Q546" s="38">
        <f>(VLOOKUP($A546,'The List'!$B1:$AH730,29,FALSE)-AVERAGE('The List'!AD2:AD730))/STDEV('The List'!AD2:AD730)</f>
        <v>-1.0071507107699715</v>
      </c>
      <c r="R546" s="38">
        <f>(VLOOKUP($A546,'The List'!$B1:$AH730,30,FALSE)-AVERAGE('The List'!AE2:AE730))/STDEV('The List'!AE2:AE730)</f>
        <v>-0.20421803883489015</v>
      </c>
      <c r="S546" s="38">
        <f>(VLOOKUP($A546,'The List'!$B1:$AH730,31,FALSE)-AVERAGE('The List'!AF2:AF730))/STDEV('The List'!AF2:AF730)</f>
        <v>0.80241798498049777</v>
      </c>
      <c r="T546" s="38">
        <f>(VLOOKUP($A546,'The List'!$B1:$AH730,32,FALSE)-AVERAGE('The List'!AG2:AG730))/STDEV('The List'!AG2:AG730)</f>
        <v>0.80153186517896435</v>
      </c>
      <c r="U546" s="38">
        <f>(VLOOKUP($A546,'The List'!$B1:$AH730,33,FALSE)-AVERAGE('The List'!AH2:AH730))/STDEV('The List'!AH2:AH730)</f>
        <v>1.041083673568453</v>
      </c>
      <c r="V546" s="38"/>
      <c r="W546" s="42"/>
      <c r="X546" s="40"/>
      <c r="Y546" s="40"/>
      <c r="Z546" s="40"/>
      <c r="AA546" s="40"/>
      <c r="AB546" s="40"/>
      <c r="AC546" s="43"/>
      <c r="AD546" s="44"/>
      <c r="AE546" s="38"/>
    </row>
    <row r="547" spans="1:31" ht="21.2" customHeight="1">
      <c r="A547" s="8" t="s">
        <v>740</v>
      </c>
      <c r="B547" s="34" t="str">
        <f>VLOOKUP(A547,'Player Data'!A1:B734,2,FALSE)</f>
        <v>NYI</v>
      </c>
      <c r="C547" s="36">
        <f>((E547)*Settings!$C$12)+(F547*Settings!$C$2)+(G547*Settings!$C$3)+(H547*Settings!$C$4)+(I547*Settings!$C$5)+(K547*Settings!$C$9)+(N547*Settings!$C$6)+(J547*Settings!$C$8)+(O547*Settings!$C$7)+(P547*Settings!$C$14)+(Q547*Settings!$C$15)+(R547*Settings!$C$16)+(S547*Settings!$C$17)+(T547*Settings!$C$18)+(U547*Settings!$C$19)+(L547*Settings!$C$10)+(Settings!$C$11*M547)</f>
        <v>-4.04614124404804</v>
      </c>
      <c r="D547" s="40">
        <f>IF(Settings!$E$12="YES",VLOOKUP(A547,'Player Data'!A1:E734,5,FALSE),82)</f>
        <v>82</v>
      </c>
      <c r="E547" s="38">
        <f>(VLOOKUP($A547,'The List'!$B1:$AH730,17,FALSE)-AVERAGE('The List'!R2:R730))/STDEV('The List'!R2:R730)</f>
        <v>-0.75125435478910174</v>
      </c>
      <c r="F547" s="38">
        <f>(VLOOKUP($A547,'The List'!$B1:$AH730,18,FALSE)-AVERAGE('The List'!S2:S730))/STDEV('The List'!S2:S730)</f>
        <v>-0.6876857276558811</v>
      </c>
      <c r="G547" s="38">
        <f>(VLOOKUP($A547,'The List'!$B1:$AH730,19,FALSE)-AVERAGE('The List'!T2:T730))/STDEV('The List'!T2:T730)</f>
        <v>-0.98155420829535744</v>
      </c>
      <c r="H547" s="38">
        <f>(VLOOKUP($A547,'The List'!$B1:$AH730,20,FALSE)-AVERAGE('The List'!U2:U730))/STDEV('The List'!U2:U730)</f>
        <v>-0.92289028741397205</v>
      </c>
      <c r="I547" s="38">
        <f>(VLOOKUP($A547,'The List'!$B1:$AH730,21,FALSE)-AVERAGE('The List'!V2:V730))/STDEV('The List'!V2:V730)</f>
        <v>-0.6409044862978821</v>
      </c>
      <c r="J547" s="38">
        <f>(VLOOKUP($A547,'The List'!$B1:$AH730,22,FALSE)-AVERAGE('The List'!W2:W730))/STDEV('The List'!W2:W730)</f>
        <v>-0.72402208850987571</v>
      </c>
      <c r="K547" s="38">
        <f>(VLOOKUP($A547,'The List'!$B1:$AH730,23,FALSE)-AVERAGE('The List'!X2:X730))/STDEV('The List'!X2:X730)</f>
        <v>-0.81310653438494762</v>
      </c>
      <c r="L547" s="38">
        <f>(VLOOKUP($A547,'The List'!$B1:$AH730,24,FALSE)-AVERAGE('The List'!Y2:Y730))/STDEV('The List'!Y2:Y730)</f>
        <v>-6.1618329589474073E-2</v>
      </c>
      <c r="M547" s="38">
        <f>(VLOOKUP($A547,'The List'!$B1:$AH730,25,FALSE)-AVERAGE('The List'!Z2:Z730))/STDEV('The List'!Z2:Z730)</f>
        <v>2.6591872231712418E-3</v>
      </c>
      <c r="N547" s="38">
        <f>(VLOOKUP($A547,'The List'!$B1:$AH730,26,FALSE)-AVERAGE('The List'!AA2:AA730))/STDEV('The List'!AA2:AA730)</f>
        <v>-0.3126874221180666</v>
      </c>
      <c r="O547" s="38">
        <f>(VLOOKUP($A547,'The List'!$B1:$AH730,27,FALSE)-AVERAGE('The List'!AB2:AB730))/STDEV('The List'!AB2:AB730)</f>
        <v>1.2075014788838925</v>
      </c>
      <c r="P547" s="38">
        <f>(VLOOKUP($A547,'The List'!$B1:$AH730,28,FALSE)-AVERAGE('The List'!AC2:AC730))/STDEV('The List'!AC2:AC730)</f>
        <v>-0.51203805743693964</v>
      </c>
      <c r="Q547" s="38">
        <f>(VLOOKUP($A547,'The List'!$B1:$AH730,29,FALSE)-AVERAGE('The List'!AD2:AD730))/STDEV('The List'!AD2:AD730)</f>
        <v>0.47971065166382076</v>
      </c>
      <c r="R547" s="38">
        <f>(VLOOKUP($A547,'The List'!$B1:$AH730,30,FALSE)-AVERAGE('The List'!AE2:AE730))/STDEV('The List'!AE2:AE730)</f>
        <v>-0.56502365742440919</v>
      </c>
      <c r="S547" s="38">
        <f>(VLOOKUP($A547,'The List'!$B1:$AH730,31,FALSE)-AVERAGE('The List'!AF2:AF730))/STDEV('The List'!AF2:AF730)</f>
        <v>1.7675403233398275</v>
      </c>
      <c r="T547" s="38">
        <f>(VLOOKUP($A547,'The List'!$B1:$AH730,32,FALSE)-AVERAGE('The List'!AG2:AG730))/STDEV('The List'!AG2:AG730)</f>
        <v>1.4693192797990688</v>
      </c>
      <c r="U547" s="38">
        <f>(VLOOKUP($A547,'The List'!$B1:$AH730,33,FALSE)-AVERAGE('The List'!AH2:AH730))/STDEV('The List'!AH2:AH730)</f>
        <v>1.2061783331609981</v>
      </c>
      <c r="V547" s="38"/>
      <c r="W547" s="42"/>
      <c r="X547" s="40"/>
      <c r="Y547" s="40"/>
      <c r="Z547" s="40"/>
      <c r="AA547" s="40"/>
      <c r="AB547" s="40"/>
      <c r="AC547" s="43"/>
      <c r="AD547" s="44"/>
      <c r="AE547" s="38"/>
    </row>
    <row r="548" spans="1:31" ht="21.2" customHeight="1">
      <c r="A548" s="8" t="s">
        <v>759</v>
      </c>
      <c r="B548" s="34" t="str">
        <f>VLOOKUP(A548,'Player Data'!A1:B734,2,FALSE)</f>
        <v>BOS</v>
      </c>
      <c r="C548" s="36">
        <f>((E548)*Settings!$C$12)+(F548*Settings!$C$2)+(G548*Settings!$C$3)+(H548*Settings!$C$4)+(I548*Settings!$C$5)+(K548*Settings!$C$9)+(N548*Settings!$C$6)+(J548*Settings!$C$8)+(O548*Settings!$C$7)+(P548*Settings!$C$14)+(Q548*Settings!$C$15)+(R548*Settings!$C$16)+(S548*Settings!$C$17)+(T548*Settings!$C$18)+(U548*Settings!$C$19)+(L548*Settings!$C$10)+(Settings!$C$11*M548)</f>
        <v>-4.5393853244508895</v>
      </c>
      <c r="D548" s="40">
        <f>IF(Settings!$E$12="YES",VLOOKUP(A548,'Player Data'!A1:E734,5,FALSE),82)</f>
        <v>82</v>
      </c>
      <c r="E548" s="38">
        <f>(VLOOKUP($A548,'The List'!$B1:$AH730,17,FALSE)-AVERAGE('The List'!R2:R730))/STDEV('The List'!R2:R730)</f>
        <v>-1.4399198183372508</v>
      </c>
      <c r="F548" s="38">
        <f>(VLOOKUP($A548,'The List'!$B1:$AH730,18,FALSE)-AVERAGE('The List'!S2:S730))/STDEV('The List'!S2:S730)</f>
        <v>-0.70755957748502085</v>
      </c>
      <c r="G548" s="38">
        <f>(VLOOKUP($A548,'The List'!$B1:$AH730,19,FALSE)-AVERAGE('The List'!T2:T730))/STDEV('The List'!T2:T730)</f>
        <v>-0.96808286784727493</v>
      </c>
      <c r="H548" s="38">
        <f>(VLOOKUP($A548,'The List'!$B1:$AH730,20,FALSE)-AVERAGE('The List'!U2:U730))/STDEV('The List'!U2:U730)</f>
        <v>-0.92385043749185858</v>
      </c>
      <c r="I548" s="38">
        <f>(VLOOKUP($A548,'The List'!$B1:$AH730,21,FALSE)-AVERAGE('The List'!V2:V730))/STDEV('The List'!V2:V730)</f>
        <v>-1.1265439772870456</v>
      </c>
      <c r="J548" s="38">
        <f>(VLOOKUP($A548,'The List'!$B1:$AH730,22,FALSE)-AVERAGE('The List'!W2:W730))/STDEV('The List'!W2:W730)</f>
        <v>-0.71761643070012326</v>
      </c>
      <c r="K548" s="38">
        <f>(VLOOKUP($A548,'The List'!$B1:$AH730,23,FALSE)-AVERAGE('The List'!X2:X730))/STDEV('The List'!X2:X730)</f>
        <v>-0.81334846433968966</v>
      </c>
      <c r="L548" s="38">
        <f>(VLOOKUP($A548,'The List'!$B1:$AH730,24,FALSE)-AVERAGE('The List'!Y2:Y730))/STDEV('The List'!Y2:Y730)</f>
        <v>-0.52142138411676953</v>
      </c>
      <c r="M548" s="38">
        <f>(VLOOKUP($A548,'The List'!$B1:$AH730,25,FALSE)-AVERAGE('The List'!Z2:Z730))/STDEV('The List'!Z2:Z730)</f>
        <v>-0.6999409985262296</v>
      </c>
      <c r="N548" s="38">
        <f>(VLOOKUP($A548,'The List'!$B1:$AH730,26,FALSE)-AVERAGE('The List'!AA2:AA730))/STDEV('The List'!AA2:AA730)</f>
        <v>-1.1142836427155065</v>
      </c>
      <c r="O548" s="38">
        <f>(VLOOKUP($A548,'The List'!$B1:$AH730,27,FALSE)-AVERAGE('The List'!AB2:AB730))/STDEV('The List'!AB2:AB730)</f>
        <v>1.3456278460735638</v>
      </c>
      <c r="P548" s="38">
        <f>(VLOOKUP($A548,'The List'!$B1:$AH730,28,FALSE)-AVERAGE('The List'!AC2:AC730))/STDEV('The List'!AC2:AC730)</f>
        <v>5.9091875056161772E-2</v>
      </c>
      <c r="Q548" s="38">
        <f>(VLOOKUP($A548,'The List'!$B1:$AH730,29,FALSE)-AVERAGE('The List'!AD2:AD730))/STDEV('The List'!AD2:AD730)</f>
        <v>0.74668179499519471</v>
      </c>
      <c r="R548" s="38">
        <f>(VLOOKUP($A548,'The List'!$B1:$AH730,30,FALSE)-AVERAGE('The List'!AE2:AE730))/STDEV('The List'!AE2:AE730)</f>
        <v>-0.52739654099258582</v>
      </c>
      <c r="S548" s="38">
        <f>(VLOOKUP($A548,'The List'!$B1:$AH730,31,FALSE)-AVERAGE('The List'!AF2:AF730))/STDEV('The List'!AF2:AF730)</f>
        <v>-0.486789669608168</v>
      </c>
      <c r="T548" s="38">
        <f>(VLOOKUP($A548,'The List'!$B1:$AH730,32,FALSE)-AVERAGE('The List'!AG2:AG730))/STDEV('The List'!AG2:AG730)</f>
        <v>-0.50919233187744328</v>
      </c>
      <c r="U548" s="38">
        <f>(VLOOKUP($A548,'The List'!$B1:$AH730,33,FALSE)-AVERAGE('The List'!AH2:AH730))/STDEV('The List'!AH2:AH730)</f>
        <v>0.79398681163439078</v>
      </c>
      <c r="V548" s="38"/>
      <c r="W548" s="42"/>
      <c r="X548" s="40"/>
      <c r="Y548" s="40"/>
      <c r="Z548" s="40"/>
      <c r="AA548" s="40"/>
      <c r="AB548" s="40"/>
      <c r="AC548" s="43"/>
      <c r="AD548" s="44"/>
      <c r="AE548" s="38"/>
    </row>
    <row r="549" spans="1:31" ht="21.2" customHeight="1">
      <c r="A549" s="8" t="s">
        <v>720</v>
      </c>
      <c r="B549" s="34" t="str">
        <f>VLOOKUP(A549,'Player Data'!A1:B734,2,FALSE)</f>
        <v>MIN</v>
      </c>
      <c r="C549" s="36">
        <f>((E549)*Settings!$C$12)+(F549*Settings!$C$2)+(G549*Settings!$C$3)+(H549*Settings!$C$4)+(I549*Settings!$C$5)+(K549*Settings!$C$9)+(N549*Settings!$C$6)+(J549*Settings!$C$8)+(O549*Settings!$C$7)+(P549*Settings!$C$14)+(Q549*Settings!$C$15)+(R549*Settings!$C$16)+(S549*Settings!$C$17)+(T549*Settings!$C$18)+(U549*Settings!$C$19)+(L549*Settings!$C$10)+(Settings!$C$11*M549)</f>
        <v>-3.847161552483727</v>
      </c>
      <c r="D549" s="40">
        <f>IF(Settings!$E$12="YES",VLOOKUP(A549,'Player Data'!A1:E734,5,FALSE),82)</f>
        <v>82</v>
      </c>
      <c r="E549" s="38">
        <f>(VLOOKUP($A549,'The List'!$B1:$AH730,17,FALSE)-AVERAGE('The List'!R2:R730))/STDEV('The List'!R2:R730)</f>
        <v>-1.5283535115082809</v>
      </c>
      <c r="F549" s="38">
        <f>(VLOOKUP($A549,'The List'!$B1:$AH730,18,FALSE)-AVERAGE('The List'!S2:S730))/STDEV('The List'!S2:S730)</f>
        <v>-0.40227651956892935</v>
      </c>
      <c r="G549" s="38">
        <f>(VLOOKUP($A549,'The List'!$B1:$AH730,19,FALSE)-AVERAGE('The List'!T2:T730))/STDEV('The List'!T2:T730)</f>
        <v>-1.2012646517311929</v>
      </c>
      <c r="H549" s="38">
        <f>(VLOOKUP($A549,'The List'!$B1:$AH730,20,FALSE)-AVERAGE('The List'!U2:U730))/STDEV('The List'!U2:U730)</f>
        <v>-0.92523192677806898</v>
      </c>
      <c r="I549" s="38">
        <f>(VLOOKUP($A549,'The List'!$B1:$AH730,21,FALSE)-AVERAGE('The List'!V2:V730))/STDEV('The List'!V2:V730)</f>
        <v>-0.50826669344672126</v>
      </c>
      <c r="J549" s="38">
        <f>(VLOOKUP($A549,'The List'!$B1:$AH730,22,FALSE)-AVERAGE('The List'!W2:W730))/STDEV('The List'!W2:W730)</f>
        <v>-0.720062426854291</v>
      </c>
      <c r="K549" s="38">
        <f>(VLOOKUP($A549,'The List'!$B1:$AH730,23,FALSE)-AVERAGE('The List'!X2:X730))/STDEV('The List'!X2:X730)</f>
        <v>-0.81012176095881483</v>
      </c>
      <c r="L549" s="38">
        <f>(VLOOKUP($A549,'The List'!$B1:$AH730,24,FALSE)-AVERAGE('The List'!Y2:Y730))/STDEV('The List'!Y2:Y730)</f>
        <v>0.94272889109607738</v>
      </c>
      <c r="M549" s="38">
        <f>(VLOOKUP($A549,'The List'!$B1:$AH730,25,FALSE)-AVERAGE('The List'!Z2:Z730))/STDEV('The List'!Z2:Z730)</f>
        <v>0.36290712573377726</v>
      </c>
      <c r="N549" s="38">
        <f>(VLOOKUP($A549,'The List'!$B1:$AH730,26,FALSE)-AVERAGE('The List'!AA2:AA730))/STDEV('The List'!AA2:AA730)</f>
        <v>-0.90231297264317345</v>
      </c>
      <c r="O549" s="38">
        <f>(VLOOKUP($A549,'The List'!$B1:$AH730,27,FALSE)-AVERAGE('The List'!AB2:AB730))/STDEV('The List'!AB2:AB730)</f>
        <v>2.0488097612874911</v>
      </c>
      <c r="P549" s="38">
        <f>(VLOOKUP($A549,'The List'!$B1:$AH730,28,FALSE)-AVERAGE('The List'!AC2:AC730))/STDEV('The List'!AC2:AC730)</f>
        <v>0.33215108744189115</v>
      </c>
      <c r="Q549" s="38">
        <f>(VLOOKUP($A549,'The List'!$B1:$AH730,29,FALSE)-AVERAGE('The List'!AD2:AD730))/STDEV('The List'!AD2:AD730)</f>
        <v>2.2103327573777616</v>
      </c>
      <c r="R549" s="38">
        <f>(VLOOKUP($A549,'The List'!$B1:$AH730,30,FALSE)-AVERAGE('The List'!AE2:AE730))/STDEV('The List'!AE2:AE730)</f>
        <v>-0.23966929456811314</v>
      </c>
      <c r="S549" s="38">
        <f>(VLOOKUP($A549,'The List'!$B1:$AH730,31,FALSE)-AVERAGE('The List'!AF2:AF730))/STDEV('The List'!AF2:AF730)</f>
        <v>-0.53638525958845595</v>
      </c>
      <c r="T549" s="38">
        <f>(VLOOKUP($A549,'The List'!$B1:$AH730,32,FALSE)-AVERAGE('The List'!AG2:AG730))/STDEV('The List'!AG2:AG730)</f>
        <v>-0.52913185228199666</v>
      </c>
      <c r="U549" s="38">
        <f>(VLOOKUP($A549,'The List'!$B1:$AH730,33,FALSE)-AVERAGE('The List'!AH2:AH730))/STDEV('The List'!AH2:AH730)</f>
        <v>5.4060633355981429E-2</v>
      </c>
      <c r="V549" s="38"/>
      <c r="W549" s="40"/>
      <c r="X549" s="38"/>
      <c r="Y549" s="38"/>
      <c r="Z549" s="38"/>
      <c r="AA549" s="38"/>
      <c r="AB549" s="38"/>
      <c r="AC549" s="38"/>
      <c r="AD549" s="38"/>
      <c r="AE549" s="38"/>
    </row>
    <row r="550" spans="1:31" ht="21.2" customHeight="1">
      <c r="A550" s="8" t="s">
        <v>589</v>
      </c>
      <c r="B550" s="34" t="str">
        <f>VLOOKUP(A550,'Player Data'!A1:B734,2,FALSE)</f>
        <v>VAN</v>
      </c>
      <c r="C550" s="36">
        <f>((E550)*Settings!$C$12)+(F550*Settings!$C$2)+(G550*Settings!$C$3)+(H550*Settings!$C$4)+(I550*Settings!$C$5)+(K550*Settings!$C$9)+(N550*Settings!$C$6)+(J550*Settings!$C$8)+(O550*Settings!$C$7)+(P550*Settings!$C$14)+(Q550*Settings!$C$15)+(R550*Settings!$C$16)+(S550*Settings!$C$17)+(T550*Settings!$C$18)+(U550*Settings!$C$19)+(L550*Settings!$C$10)+(Settings!$C$11*M550)</f>
        <v>-4.2460348616164554</v>
      </c>
      <c r="D550" s="40">
        <f>IF(Settings!$E$12="YES",VLOOKUP(A550,'Player Data'!A1:E734,5,FALSE),82)</f>
        <v>82</v>
      </c>
      <c r="E550" s="38">
        <f>(VLOOKUP($A550,'The List'!$B1:$AH730,17,FALSE)-AVERAGE('The List'!R2:R730))/STDEV('The List'!R2:R730)</f>
        <v>-0.30856281085872339</v>
      </c>
      <c r="F550" s="38">
        <f>(VLOOKUP($A550,'The List'!$B1:$AH730,18,FALSE)-AVERAGE('The List'!S2:S730))/STDEV('The List'!S2:S730)</f>
        <v>-1.0537184582636585</v>
      </c>
      <c r="G550" s="38">
        <f>(VLOOKUP($A550,'The List'!$B1:$AH730,19,FALSE)-AVERAGE('The List'!T2:T730))/STDEV('The List'!T2:T730)</f>
        <v>-0.70943234898474128</v>
      </c>
      <c r="H550" s="38">
        <f>(VLOOKUP($A550,'The List'!$B1:$AH730,20,FALSE)-AVERAGE('The List'!U2:U730))/STDEV('The List'!U2:U730)</f>
        <v>-0.92581948027057503</v>
      </c>
      <c r="I550" s="38">
        <f>(VLOOKUP($A550,'The List'!$B1:$AH730,21,FALSE)-AVERAGE('The List'!V2:V730))/STDEV('The List'!V2:V730)</f>
        <v>-0.97495214681084086</v>
      </c>
      <c r="J550" s="38">
        <f>(VLOOKUP($A550,'The List'!$B1:$AH730,22,FALSE)-AVERAGE('The List'!W2:W730))/STDEV('The List'!W2:W730)</f>
        <v>-0.67105644283220345</v>
      </c>
      <c r="K550" s="38">
        <f>(VLOOKUP($A550,'The List'!$B1:$AH730,23,FALSE)-AVERAGE('The List'!X2:X730))/STDEV('The List'!X2:X730)</f>
        <v>-0.5821124272866397</v>
      </c>
      <c r="L550" s="38">
        <f>(VLOOKUP($A550,'The List'!$B1:$AH730,24,FALSE)-AVERAGE('The List'!Y2:Y730))/STDEV('The List'!Y2:Y730)</f>
        <v>-0.51093569004156014</v>
      </c>
      <c r="M550" s="38">
        <f>(VLOOKUP($A550,'The List'!$B1:$AH730,25,FALSE)-AVERAGE('The List'!Z2:Z730))/STDEV('The List'!Z2:Z730)</f>
        <v>-0.66885336419431485</v>
      </c>
      <c r="N550" s="38">
        <f>(VLOOKUP($A550,'The List'!$B1:$AH730,26,FALSE)-AVERAGE('The List'!AA2:AA730))/STDEV('The List'!AA2:AA730)</f>
        <v>0.33468072188019354</v>
      </c>
      <c r="O550" s="38">
        <f>(VLOOKUP($A550,'The List'!$B1:$AH730,27,FALSE)-AVERAGE('The List'!AB2:AB730))/STDEV('The List'!AB2:AB730)</f>
        <v>-0.58338413227700148</v>
      </c>
      <c r="P550" s="38">
        <f>(VLOOKUP($A550,'The List'!$B1:$AH730,28,FALSE)-AVERAGE('The List'!AC2:AC730))/STDEV('The List'!AC2:AC730)</f>
        <v>2.4784213514120183E-2</v>
      </c>
      <c r="Q550" s="38">
        <f>(VLOOKUP($A550,'The List'!$B1:$AH730,29,FALSE)-AVERAGE('The List'!AD2:AD730))/STDEV('The List'!AD2:AD730)</f>
        <v>-0.35526102347114241</v>
      </c>
      <c r="R550" s="38">
        <f>(VLOOKUP($A550,'The List'!$B1:$AH730,30,FALSE)-AVERAGE('The List'!AE2:AE730))/STDEV('The List'!AE2:AE730)</f>
        <v>-0.96004863005155228</v>
      </c>
      <c r="S550" s="38">
        <f>(VLOOKUP($A550,'The List'!$B1:$AH730,31,FALSE)-AVERAGE('The List'!AF2:AF730))/STDEV('The List'!AF2:AF730)</f>
        <v>-0.56911587195029545</v>
      </c>
      <c r="T550" s="38">
        <f>(VLOOKUP($A550,'The List'!$B1:$AH730,32,FALSE)-AVERAGE('The List'!AG2:AG730))/STDEV('The List'!AG2:AG730)</f>
        <v>-0.61510119871956948</v>
      </c>
      <c r="U550" s="38">
        <f>(VLOOKUP($A550,'The List'!$B1:$AH730,33,FALSE)-AVERAGE('The List'!AH2:AH730))/STDEV('The List'!AH2:AH730)</f>
        <v>-1.2363238714825984</v>
      </c>
      <c r="V550" s="38"/>
      <c r="W550" s="40"/>
      <c r="X550" s="38"/>
      <c r="Y550" s="38"/>
      <c r="Z550" s="38"/>
      <c r="AA550" s="38"/>
      <c r="AB550" s="38"/>
      <c r="AC550" s="38"/>
      <c r="AD550" s="38"/>
      <c r="AE550" s="38"/>
    </row>
    <row r="551" spans="1:31" ht="21.2" customHeight="1">
      <c r="A551" s="8" t="s">
        <v>752</v>
      </c>
      <c r="B551" s="34" t="str">
        <f>VLOOKUP(A551,'Player Data'!A1:B734,2,FALSE)</f>
        <v>DAL</v>
      </c>
      <c r="C551" s="36">
        <f>((E551)*Settings!$C$12)+(F551*Settings!$C$2)+(G551*Settings!$C$3)+(H551*Settings!$C$4)+(I551*Settings!$C$5)+(K551*Settings!$C$9)+(N551*Settings!$C$6)+(J551*Settings!$C$8)+(O551*Settings!$C$7)+(P551*Settings!$C$14)+(Q551*Settings!$C$15)+(R551*Settings!$C$16)+(S551*Settings!$C$17)+(T551*Settings!$C$18)+(U551*Settings!$C$19)+(L551*Settings!$C$10)+(Settings!$C$11*M551)</f>
        <v>-4.3609326607280181</v>
      </c>
      <c r="D551" s="40">
        <f>IF(Settings!$E$12="YES",VLOOKUP(A551,'Player Data'!A1:E734,5,FALSE),82)</f>
        <v>82</v>
      </c>
      <c r="E551" s="38">
        <f>(VLOOKUP($A551,'The List'!$B1:$AH730,17,FALSE)-AVERAGE('The List'!R2:R730))/STDEV('The List'!R2:R730)</f>
        <v>-0.90052463861208465</v>
      </c>
      <c r="F551" s="38">
        <f>(VLOOKUP($A551,'The List'!$B1:$AH730,18,FALSE)-AVERAGE('The List'!S2:S730))/STDEV('The List'!S2:S730)</f>
        <v>-0.6465520939014856</v>
      </c>
      <c r="G551" s="38">
        <f>(VLOOKUP($A551,'The List'!$B1:$AH730,19,FALSE)-AVERAGE('The List'!T2:T730))/STDEV('The List'!T2:T730)</f>
        <v>-1.0193786550110258</v>
      </c>
      <c r="H551" s="38">
        <f>(VLOOKUP($A551,'The List'!$B1:$AH730,20,FALSE)-AVERAGE('The List'!U2:U730))/STDEV('The List'!U2:U730)</f>
        <v>-0.92701297689919404</v>
      </c>
      <c r="I551" s="38">
        <f>(VLOOKUP($A551,'The List'!$B1:$AH730,21,FALSE)-AVERAGE('The List'!V2:V730))/STDEV('The List'!V2:V730)</f>
        <v>-0.95491894430629376</v>
      </c>
      <c r="J551" s="38">
        <f>(VLOOKUP($A551,'The List'!$B1:$AH730,22,FALSE)-AVERAGE('The List'!W2:W730))/STDEV('The List'!W2:W730)</f>
        <v>-0.71958375676366337</v>
      </c>
      <c r="K551" s="38">
        <f>(VLOOKUP($A551,'The List'!$B1:$AH730,23,FALSE)-AVERAGE('The List'!X2:X730))/STDEV('The List'!X2:X730)</f>
        <v>-0.81306999061001894</v>
      </c>
      <c r="L551" s="38">
        <f>(VLOOKUP($A551,'The List'!$B1:$AH730,24,FALSE)-AVERAGE('The List'!Y2:Y730))/STDEV('The List'!Y2:Y730)</f>
        <v>1.2518135631476843</v>
      </c>
      <c r="M551" s="38">
        <f>(VLOOKUP($A551,'The List'!$B1:$AH730,25,FALSE)-AVERAGE('The List'!Z2:Z730))/STDEV('The List'!Z2:Z730)</f>
        <v>1.3243039213599304</v>
      </c>
      <c r="N551" s="38">
        <f>(VLOOKUP($A551,'The List'!$B1:$AH730,26,FALSE)-AVERAGE('The List'!AA2:AA730))/STDEV('The List'!AA2:AA730)</f>
        <v>-7.1693182619161119E-2</v>
      </c>
      <c r="O551" s="38">
        <f>(VLOOKUP($A551,'The List'!$B1:$AH730,27,FALSE)-AVERAGE('The List'!AB2:AB730))/STDEV('The List'!AB2:AB730)</f>
        <v>-9.0111557497541059E-2</v>
      </c>
      <c r="P551" s="38">
        <f>(VLOOKUP($A551,'The List'!$B1:$AH730,28,FALSE)-AVERAGE('The List'!AC2:AC730))/STDEV('The List'!AC2:AC730)</f>
        <v>0.62474552655279325</v>
      </c>
      <c r="Q551" s="38">
        <f>(VLOOKUP($A551,'The List'!$B1:$AH730,29,FALSE)-AVERAGE('The List'!AD2:AD730))/STDEV('The List'!AD2:AD730)</f>
        <v>0.20199827009593127</v>
      </c>
      <c r="R551" s="38">
        <f>(VLOOKUP($A551,'The List'!$B1:$AH730,30,FALSE)-AVERAGE('The List'!AE2:AE730))/STDEV('The List'!AE2:AE730)</f>
        <v>-0.49785742290832818</v>
      </c>
      <c r="S551" s="38">
        <f>(VLOOKUP($A551,'The List'!$B1:$AH730,31,FALSE)-AVERAGE('The List'!AF2:AF730))/STDEV('The List'!AF2:AF730)</f>
        <v>0.96625519292091555</v>
      </c>
      <c r="T551" s="38">
        <f>(VLOOKUP($A551,'The List'!$B1:$AH730,32,FALSE)-AVERAGE('The List'!AG2:AG730))/STDEV('The List'!AG2:AG730)</f>
        <v>0.67244673417800205</v>
      </c>
      <c r="U551" s="38">
        <f>(VLOOKUP($A551,'The List'!$B1:$AH730,33,FALSE)-AVERAGE('The List'!AH2:AH730))/STDEV('The List'!AH2:AH730)</f>
        <v>1.275297338550085</v>
      </c>
      <c r="V551" s="38"/>
      <c r="W551" s="42"/>
      <c r="X551" s="40"/>
      <c r="Y551" s="40"/>
      <c r="Z551" s="40"/>
      <c r="AA551" s="40"/>
      <c r="AB551" s="40"/>
      <c r="AC551" s="43"/>
      <c r="AD551" s="44"/>
      <c r="AE551" s="38"/>
    </row>
    <row r="552" spans="1:31" ht="21.2" customHeight="1">
      <c r="A552" s="8" t="s">
        <v>778</v>
      </c>
      <c r="B552" s="34" t="str">
        <f>VLOOKUP(A552,'Player Data'!A1:B734,2,FALSE)</f>
        <v>EDM</v>
      </c>
      <c r="C552" s="36">
        <f>((E552)*Settings!$C$12)+(F552*Settings!$C$2)+(G552*Settings!$C$3)+(H552*Settings!$C$4)+(I552*Settings!$C$5)+(K552*Settings!$C$9)+(N552*Settings!$C$6)+(J552*Settings!$C$8)+(O552*Settings!$C$7)+(P552*Settings!$C$14)+(Q552*Settings!$C$15)+(R552*Settings!$C$16)+(S552*Settings!$C$17)+(T552*Settings!$C$18)+(U552*Settings!$C$19)+(L552*Settings!$C$10)+(Settings!$C$11*M552)</f>
        <v>-4.5328673239355943</v>
      </c>
      <c r="D552" s="40">
        <f>IF(Settings!$E$12="YES",VLOOKUP(A552,'Player Data'!A1:E734,5,FALSE),82)</f>
        <v>82</v>
      </c>
      <c r="E552" s="38">
        <f>(VLOOKUP($A552,'The List'!$B1:$AH730,17,FALSE)-AVERAGE('The List'!R2:R730))/STDEV('The List'!R2:R730)</f>
        <v>-1.9056545857055556</v>
      </c>
      <c r="F552" s="38">
        <f>(VLOOKUP($A552,'The List'!$B1:$AH730,18,FALSE)-AVERAGE('The List'!S2:S730))/STDEV('The List'!S2:S730)</f>
        <v>-0.70759157769415237</v>
      </c>
      <c r="G552" s="38">
        <f>(VLOOKUP($A552,'The List'!$B1:$AH730,19,FALSE)-AVERAGE('The List'!T2:T730))/STDEV('The List'!T2:T730)</f>
        <v>-0.97694054245669759</v>
      </c>
      <c r="H552" s="38">
        <f>(VLOOKUP($A552,'The List'!$B1:$AH730,20,FALSE)-AVERAGE('The List'!U2:U730))/STDEV('The List'!U2:U730)</f>
        <v>-0.92930870301565127</v>
      </c>
      <c r="I552" s="38">
        <f>(VLOOKUP($A552,'The List'!$B1:$AH730,21,FALSE)-AVERAGE('The List'!V2:V730))/STDEV('The List'!V2:V730)</f>
        <v>-1.2117982717800726</v>
      </c>
      <c r="J552" s="38">
        <f>(VLOOKUP($A552,'The List'!$B1:$AH730,22,FALSE)-AVERAGE('The List'!W2:W730))/STDEV('The List'!W2:W730)</f>
        <v>-0.61087374879442458</v>
      </c>
      <c r="K552" s="38">
        <f>(VLOOKUP($A552,'The List'!$B1:$AH730,23,FALSE)-AVERAGE('The List'!X2:X730))/STDEV('The List'!X2:X730)</f>
        <v>-0.70722822898902071</v>
      </c>
      <c r="L552" s="38">
        <f>(VLOOKUP($A552,'The List'!$B1:$AH730,24,FALSE)-AVERAGE('The List'!Y2:Y730))/STDEV('The List'!Y2:Y730)</f>
        <v>-0.51939026660783194</v>
      </c>
      <c r="M552" s="38">
        <f>(VLOOKUP($A552,'The List'!$B1:$AH730,25,FALSE)-AVERAGE('The List'!Z2:Z730))/STDEV('The List'!Z2:Z730)</f>
        <v>-0.69688940154747903</v>
      </c>
      <c r="N552" s="38">
        <f>(VLOOKUP($A552,'The List'!$B1:$AH730,26,FALSE)-AVERAGE('The List'!AA2:AA730))/STDEV('The List'!AA2:AA730)</f>
        <v>-0.93073773650730851</v>
      </c>
      <c r="O552" s="38">
        <f>(VLOOKUP($A552,'The List'!$B1:$AH730,27,FALSE)-AVERAGE('The List'!AB2:AB730))/STDEV('The List'!AB2:AB730)</f>
        <v>0.48720046938153999</v>
      </c>
      <c r="P552" s="38">
        <f>(VLOOKUP($A552,'The List'!$B1:$AH730,28,FALSE)-AVERAGE('The List'!AC2:AC730))/STDEV('The List'!AC2:AC730)</f>
        <v>1.051072322616073</v>
      </c>
      <c r="Q552" s="38">
        <f>(VLOOKUP($A552,'The List'!$B1:$AH730,29,FALSE)-AVERAGE('The List'!AD2:AD730))/STDEV('The List'!AD2:AD730)</f>
        <v>-0.27992726176113936</v>
      </c>
      <c r="R552" s="38">
        <f>(VLOOKUP($A552,'The List'!$B1:$AH730,30,FALSE)-AVERAGE('The List'!AE2:AE730))/STDEV('The List'!AE2:AE730)</f>
        <v>-0.56880334503544616</v>
      </c>
      <c r="S552" s="38">
        <f>(VLOOKUP($A552,'The List'!$B1:$AH730,31,FALSE)-AVERAGE('The List'!AF2:AF730))/STDEV('The List'!AF2:AF730)</f>
        <v>-0.40642005529656616</v>
      </c>
      <c r="T552" s="38">
        <f>(VLOOKUP($A552,'The List'!$B1:$AH730,32,FALSE)-AVERAGE('The List'!AG2:AG730))/STDEV('The List'!AG2:AG730)</f>
        <v>-0.30431395668399774</v>
      </c>
      <c r="U552" s="38">
        <f>(VLOOKUP($A552,'The List'!$B1:$AH730,33,FALSE)-AVERAGE('The List'!AH2:AH730))/STDEV('The List'!AH2:AH730)</f>
        <v>0.36625043291369924</v>
      </c>
      <c r="V552" s="38"/>
      <c r="W552" s="42"/>
      <c r="X552" s="40"/>
      <c r="Y552" s="40"/>
      <c r="Z552" s="40"/>
      <c r="AA552" s="40"/>
      <c r="AB552" s="40"/>
      <c r="AC552" s="43"/>
      <c r="AD552" s="44"/>
      <c r="AE552" s="38"/>
    </row>
    <row r="553" spans="1:31" ht="21.2" customHeight="1">
      <c r="A553" s="8" t="s">
        <v>784</v>
      </c>
      <c r="B553" s="34" t="str">
        <f>VLOOKUP(A553,'Player Data'!A1:B734,2,FALSE)</f>
        <v>BOS</v>
      </c>
      <c r="C553" s="36">
        <f>((E553)*Settings!$C$12)+(F553*Settings!$C$2)+(G553*Settings!$C$3)+(H553*Settings!$C$4)+(I553*Settings!$C$5)+(K553*Settings!$C$9)+(N553*Settings!$C$6)+(J553*Settings!$C$8)+(O553*Settings!$C$7)+(P553*Settings!$C$14)+(Q553*Settings!$C$15)+(R553*Settings!$C$16)+(S553*Settings!$C$17)+(T553*Settings!$C$18)+(U553*Settings!$C$19)+(L553*Settings!$C$10)+(Settings!$C$11*M553)</f>
        <v>-4.293258721438324</v>
      </c>
      <c r="D553" s="40">
        <f>IF(Settings!$E$12="YES",VLOOKUP(A553,'Player Data'!A1:E734,5,FALSE),82)</f>
        <v>82</v>
      </c>
      <c r="E553" s="38">
        <f>(VLOOKUP($A553,'The List'!$B1:$AH730,17,FALSE)-AVERAGE('The List'!R2:R730))/STDEV('The List'!R2:R730)</f>
        <v>-1.1179820786706762</v>
      </c>
      <c r="F553" s="38">
        <f>(VLOOKUP($A553,'The List'!$B1:$AH730,18,FALSE)-AVERAGE('The List'!S2:S730))/STDEV('The List'!S2:S730)</f>
        <v>-0.73641550789730925</v>
      </c>
      <c r="G553" s="38">
        <f>(VLOOKUP($A553,'The List'!$B1:$AH730,19,FALSE)-AVERAGE('The List'!T2:T730))/STDEV('The List'!T2:T730)</f>
        <v>-0.95528242559131926</v>
      </c>
      <c r="H553" s="38">
        <f>(VLOOKUP($A553,'The List'!$B1:$AH730,20,FALSE)-AVERAGE('The List'!U2:U730))/STDEV('The List'!U2:U730)</f>
        <v>-0.92939840878652147</v>
      </c>
      <c r="I553" s="38">
        <f>(VLOOKUP($A553,'The List'!$B1:$AH730,21,FALSE)-AVERAGE('The List'!V2:V730))/STDEV('The List'!V2:V730)</f>
        <v>-0.86225369267419849</v>
      </c>
      <c r="J553" s="38">
        <f>(VLOOKUP($A553,'The List'!$B1:$AH730,22,FALSE)-AVERAGE('The List'!W2:W730))/STDEV('The List'!W2:W730)</f>
        <v>-0.72059000086942515</v>
      </c>
      <c r="K553" s="38">
        <f>(VLOOKUP($A553,'The List'!$B1:$AH730,23,FALSE)-AVERAGE('The List'!X2:X730))/STDEV('The List'!X2:X730)</f>
        <v>-0.80990868648897518</v>
      </c>
      <c r="L553" s="38">
        <f>(VLOOKUP($A553,'The List'!$B1:$AH730,24,FALSE)-AVERAGE('The List'!Y2:Y730))/STDEV('The List'!Y2:Y730)</f>
        <v>0.53012863187383497</v>
      </c>
      <c r="M553" s="38">
        <f>(VLOOKUP($A553,'The List'!$B1:$AH730,25,FALSE)-AVERAGE('The List'!Z2:Z730))/STDEV('The List'!Z2:Z730)</f>
        <v>-5.2378821786442264E-2</v>
      </c>
      <c r="N553" s="38">
        <f>(VLOOKUP($A553,'The List'!$B1:$AH730,26,FALSE)-AVERAGE('The List'!AA2:AA730))/STDEV('The List'!AA2:AA730)</f>
        <v>-0.20175013162447866</v>
      </c>
      <c r="O553" s="38">
        <f>(VLOOKUP($A553,'The List'!$B1:$AH730,27,FALSE)-AVERAGE('The List'!AB2:AB730))/STDEV('The List'!AB2:AB730)</f>
        <v>2.1278237515300051</v>
      </c>
      <c r="P553" s="38">
        <f>(VLOOKUP($A553,'The List'!$B1:$AH730,28,FALSE)-AVERAGE('The List'!AC2:AC730))/STDEV('The List'!AC2:AC730)</f>
        <v>0.3438668487687393</v>
      </c>
      <c r="Q553" s="38">
        <f>(VLOOKUP($A553,'The List'!$B1:$AH730,29,FALSE)-AVERAGE('The List'!AD2:AD730))/STDEV('The List'!AD2:AD730)</f>
        <v>1.2630466789487319E-2</v>
      </c>
      <c r="R553" s="38">
        <f>(VLOOKUP($A553,'The List'!$B1:$AH730,30,FALSE)-AVERAGE('The List'!AE2:AE730))/STDEV('The List'!AE2:AE730)</f>
        <v>-0.55894372493517674</v>
      </c>
      <c r="S553" s="38">
        <f>(VLOOKUP($A553,'The List'!$B1:$AH730,31,FALSE)-AVERAGE('The List'!AF2:AF730))/STDEV('The List'!AF2:AF730)</f>
        <v>0.80837292637331715</v>
      </c>
      <c r="T553" s="38">
        <f>(VLOOKUP($A553,'The List'!$B1:$AH730,32,FALSE)-AVERAGE('The List'!AG2:AG730))/STDEV('The List'!AG2:AG730)</f>
        <v>0.56290990940763697</v>
      </c>
      <c r="U553" s="38">
        <f>(VLOOKUP($A553,'The List'!$B1:$AH730,33,FALSE)-AVERAGE('The List'!AH2:AH730))/STDEV('The List'!AH2:AH730)</f>
        <v>1.2534250123889867</v>
      </c>
      <c r="V553" s="38"/>
      <c r="W553" s="40"/>
      <c r="X553" s="38"/>
      <c r="Y553" s="38"/>
      <c r="Z553" s="38"/>
      <c r="AA553" s="38"/>
      <c r="AB553" s="38"/>
      <c r="AC553" s="38"/>
      <c r="AD553" s="38"/>
      <c r="AE553" s="38"/>
    </row>
    <row r="554" spans="1:31" ht="21.2" customHeight="1">
      <c r="A554" s="8" t="s">
        <v>806</v>
      </c>
      <c r="B554" s="34" t="str">
        <f>VLOOKUP(A554,'Player Data'!A1:B734,2,FALSE)</f>
        <v>FLA</v>
      </c>
      <c r="C554" s="36">
        <f>((E554)*Settings!$C$12)+(F554*Settings!$C$2)+(G554*Settings!$C$3)+(H554*Settings!$C$4)+(I554*Settings!$C$5)+(K554*Settings!$C$9)+(N554*Settings!$C$6)+(J554*Settings!$C$8)+(O554*Settings!$C$7)+(P554*Settings!$C$14)+(Q554*Settings!$C$15)+(R554*Settings!$C$16)+(S554*Settings!$C$17)+(T554*Settings!$C$18)+(U554*Settings!$C$19)+(L554*Settings!$C$10)+(Settings!$C$11*M554)</f>
        <v>-4.6018728336189882</v>
      </c>
      <c r="D554" s="40">
        <f>IF(Settings!$E$12="YES",VLOOKUP(A554,'Player Data'!A1:E734,5,FALSE),82)</f>
        <v>82</v>
      </c>
      <c r="E554" s="38">
        <f>(VLOOKUP($A554,'The List'!$B1:$AH730,17,FALSE)-AVERAGE('The List'!R2:R730))/STDEV('The List'!R2:R730)</f>
        <v>-1.8491657756022166</v>
      </c>
      <c r="F554" s="38">
        <f>(VLOOKUP($A554,'The List'!$B1:$AH730,18,FALSE)-AVERAGE('The List'!S2:S730))/STDEV('The List'!S2:S730)</f>
        <v>-0.869018745318066</v>
      </c>
      <c r="G554" s="38">
        <f>(VLOOKUP($A554,'The List'!$B1:$AH730,19,FALSE)-AVERAGE('The List'!T2:T730))/STDEV('The List'!T2:T730)</f>
        <v>-0.85800020310043157</v>
      </c>
      <c r="H554" s="38">
        <f>(VLOOKUP($A554,'The List'!$B1:$AH730,20,FALSE)-AVERAGE('The List'!U2:U730))/STDEV('The List'!U2:U730)</f>
        <v>-0.93125833783290946</v>
      </c>
      <c r="I554" s="38">
        <f>(VLOOKUP($A554,'The List'!$B1:$AH730,21,FALSE)-AVERAGE('The List'!V2:V730))/STDEV('The List'!V2:V730)</f>
        <v>-1.1511688123910579</v>
      </c>
      <c r="J554" s="38">
        <f>(VLOOKUP($A554,'The List'!$B1:$AH730,22,FALSE)-AVERAGE('The List'!W2:W730))/STDEV('The List'!W2:W730)</f>
        <v>-0.70100514572440598</v>
      </c>
      <c r="K554" s="38">
        <f>(VLOOKUP($A554,'The List'!$B1:$AH730,23,FALSE)-AVERAGE('The List'!X2:X730))/STDEV('The List'!X2:X730)</f>
        <v>-0.79242673497652316</v>
      </c>
      <c r="L554" s="38">
        <f>(VLOOKUP($A554,'The List'!$B1:$AH730,24,FALSE)-AVERAGE('The List'!Y2:Y730))/STDEV('The List'!Y2:Y730)</f>
        <v>-0.52515529094994673</v>
      </c>
      <c r="M554" s="38">
        <f>(VLOOKUP($A554,'The List'!$B1:$AH730,25,FALSE)-AVERAGE('The List'!Z2:Z730))/STDEV('The List'!Z2:Z730)</f>
        <v>-0.70378350861314143</v>
      </c>
      <c r="N554" s="38">
        <f>(VLOOKUP($A554,'The List'!$B1:$AH730,26,FALSE)-AVERAGE('The List'!AA2:AA730))/STDEV('The List'!AA2:AA730)</f>
        <v>-0.75882712193657609</v>
      </c>
      <c r="O554" s="38">
        <f>(VLOOKUP($A554,'The List'!$B1:$AH730,27,FALSE)-AVERAGE('The List'!AB2:AB730))/STDEV('The List'!AB2:AB730)</f>
        <v>7.349024911472872E-2</v>
      </c>
      <c r="P554" s="38">
        <f>(VLOOKUP($A554,'The List'!$B1:$AH730,28,FALSE)-AVERAGE('The List'!AC2:AC730))/STDEV('The List'!AC2:AC730)</f>
        <v>0.29224824089004819</v>
      </c>
      <c r="Q554" s="38">
        <f>(VLOOKUP($A554,'The List'!$B1:$AH730,29,FALSE)-AVERAGE('The List'!AD2:AD730))/STDEV('The List'!AD2:AD730)</f>
        <v>-0.92878442015559637</v>
      </c>
      <c r="R554" s="38">
        <f>(VLOOKUP($A554,'The List'!$B1:$AH730,30,FALSE)-AVERAGE('The List'!AE2:AE730))/STDEV('The List'!AE2:AE730)</f>
        <v>-0.7836068486318869</v>
      </c>
      <c r="S554" s="38">
        <f>(VLOOKUP($A554,'The List'!$B1:$AH730,31,FALSE)-AVERAGE('The List'!AF2:AF730))/STDEV('The List'!AF2:AF730)</f>
        <v>-0.56833038942089875</v>
      </c>
      <c r="T554" s="38">
        <f>(VLOOKUP($A554,'The List'!$B1:$AH730,32,FALSE)-AVERAGE('The List'!AG2:AG730))/STDEV('The List'!AG2:AG730)</f>
        <v>-0.60786806453448861</v>
      </c>
      <c r="U554" s="38">
        <f>(VLOOKUP($A554,'The List'!$B1:$AH730,33,FALSE)-AVERAGE('The List'!AH2:AH730))/STDEV('The List'!AH2:AH730)</f>
        <v>-0.77380955381878413</v>
      </c>
      <c r="V554" s="38"/>
      <c r="W554" s="42"/>
      <c r="X554" s="40"/>
      <c r="Y554" s="40"/>
      <c r="Z554" s="40"/>
      <c r="AA554" s="40"/>
      <c r="AB554" s="40"/>
      <c r="AC554" s="43"/>
      <c r="AD554" s="44"/>
      <c r="AE554" s="38"/>
    </row>
    <row r="555" spans="1:31" ht="21.2" customHeight="1">
      <c r="A555" s="8" t="s">
        <v>767</v>
      </c>
      <c r="B555" s="34" t="str">
        <f>VLOOKUP(A555,'Player Data'!A1:B734,2,FALSE)</f>
        <v>EDM</v>
      </c>
      <c r="C555" s="36">
        <f>((E555)*Settings!$C$12)+(F555*Settings!$C$2)+(G555*Settings!$C$3)+(H555*Settings!$C$4)+(I555*Settings!$C$5)+(K555*Settings!$C$9)+(N555*Settings!$C$6)+(J555*Settings!$C$8)+(O555*Settings!$C$7)+(P555*Settings!$C$14)+(Q555*Settings!$C$15)+(R555*Settings!$C$16)+(S555*Settings!$C$17)+(T555*Settings!$C$18)+(U555*Settings!$C$19)+(L555*Settings!$C$10)+(Settings!$C$11*M555)</f>
        <v>-4.3501785895838188</v>
      </c>
      <c r="D555" s="40">
        <f>IF(Settings!$E$12="YES",VLOOKUP(A555,'Player Data'!A1:E734,5,FALSE),82)</f>
        <v>82</v>
      </c>
      <c r="E555" s="38">
        <f>(VLOOKUP($A555,'The List'!$B1:$AH730,17,FALSE)-AVERAGE('The List'!R2:R730))/STDEV('The List'!R2:R730)</f>
        <v>-1.5637697976091418</v>
      </c>
      <c r="F555" s="38">
        <f>(VLOOKUP($A555,'The List'!$B1:$AH730,18,FALSE)-AVERAGE('The List'!S2:S730))/STDEV('The List'!S2:S730)</f>
        <v>-0.48343896644498768</v>
      </c>
      <c r="G555" s="38">
        <f>(VLOOKUP($A555,'The List'!$B1:$AH730,19,FALSE)-AVERAGE('The List'!T2:T730))/STDEV('The List'!T2:T730)</f>
        <v>-1.1506263717253051</v>
      </c>
      <c r="H555" s="38">
        <f>(VLOOKUP($A555,'The List'!$B1:$AH730,20,FALSE)-AVERAGE('The List'!U2:U730))/STDEV('The List'!U2:U730)</f>
        <v>-0.93184295219113367</v>
      </c>
      <c r="I555" s="38">
        <f>(VLOOKUP($A555,'The List'!$B1:$AH730,21,FALSE)-AVERAGE('The List'!V2:V730))/STDEV('The List'!V2:V730)</f>
        <v>-0.97046916380267212</v>
      </c>
      <c r="J555" s="38">
        <f>(VLOOKUP($A555,'The List'!$B1:$AH730,22,FALSE)-AVERAGE('The List'!W2:W730))/STDEV('The List'!W2:W730)</f>
        <v>-0.72478126907858231</v>
      </c>
      <c r="K555" s="38">
        <f>(VLOOKUP($A555,'The List'!$B1:$AH730,23,FALSE)-AVERAGE('The List'!X2:X730))/STDEV('The List'!X2:X730)</f>
        <v>-0.81380113541972054</v>
      </c>
      <c r="L555" s="38">
        <f>(VLOOKUP($A555,'The List'!$B1:$AH730,24,FALSE)-AVERAGE('The List'!Y2:Y730))/STDEV('The List'!Y2:Y730)</f>
        <v>0.33020115466182764</v>
      </c>
      <c r="M555" s="38">
        <f>(VLOOKUP($A555,'The List'!$B1:$AH730,25,FALSE)-AVERAGE('The List'!Z2:Z730))/STDEV('The List'!Z2:Z730)</f>
        <v>0.19161806105146995</v>
      </c>
      <c r="N555" s="38">
        <f>(VLOOKUP($A555,'The List'!$B1:$AH730,26,FALSE)-AVERAGE('The List'!AA2:AA730))/STDEV('The List'!AA2:AA730)</f>
        <v>-0.62099230371457836</v>
      </c>
      <c r="O555" s="38">
        <f>(VLOOKUP($A555,'The List'!$B1:$AH730,27,FALSE)-AVERAGE('The List'!AB2:AB730))/STDEV('The List'!AB2:AB730)</f>
        <v>-0.79260196559689777</v>
      </c>
      <c r="P555" s="38">
        <f>(VLOOKUP($A555,'The List'!$B1:$AH730,28,FALSE)-AVERAGE('The List'!AC2:AC730))/STDEV('The List'!AC2:AC730)</f>
        <v>1.331019808754089</v>
      </c>
      <c r="Q555" s="38">
        <f>(VLOOKUP($A555,'The List'!$B1:$AH730,29,FALSE)-AVERAGE('The List'!AD2:AD730))/STDEV('The List'!AD2:AD730)</f>
        <v>-0.88646126988805563</v>
      </c>
      <c r="R555" s="38">
        <f>(VLOOKUP($A555,'The List'!$B1:$AH730,30,FALSE)-AVERAGE('The List'!AE2:AE730))/STDEV('The List'!AE2:AE730)</f>
        <v>-0.33774535591333843</v>
      </c>
      <c r="S555" s="38">
        <f>(VLOOKUP($A555,'The List'!$B1:$AH730,31,FALSE)-AVERAGE('The List'!AF2:AF730))/STDEV('The List'!AF2:AF730)</f>
        <v>0.53126371898664226</v>
      </c>
      <c r="T555" s="38">
        <f>(VLOOKUP($A555,'The List'!$B1:$AH730,32,FALSE)-AVERAGE('The List'!AG2:AG730))/STDEV('The List'!AG2:AG730)</f>
        <v>0.43049999368582281</v>
      </c>
      <c r="U555" s="38">
        <f>(VLOOKUP($A555,'The List'!$B1:$AH730,33,FALSE)-AVERAGE('The List'!AH2:AH730))/STDEV('The List'!AH2:AH730)</f>
        <v>1.1351732288726759</v>
      </c>
      <c r="V555" s="38"/>
      <c r="W555" s="40"/>
      <c r="X555" s="38"/>
      <c r="Y555" s="38"/>
      <c r="Z555" s="38"/>
      <c r="AA555" s="38"/>
      <c r="AB555" s="38"/>
      <c r="AC555" s="38"/>
      <c r="AD555" s="38"/>
      <c r="AE555" s="38"/>
    </row>
    <row r="556" spans="1:31" ht="21.2" customHeight="1">
      <c r="A556" s="8" t="s">
        <v>475</v>
      </c>
      <c r="B556" s="34" t="str">
        <f>VLOOKUP(A556,'Player Data'!A1:B734,2,FALSE)</f>
        <v>MTL</v>
      </c>
      <c r="C556" s="36">
        <f>((E556)*Settings!$C$12)+(F556*Settings!$C$2)+(G556*Settings!$C$3)+(H556*Settings!$C$4)+(I556*Settings!$C$5)+(K556*Settings!$C$9)+(N556*Settings!$C$6)+(J556*Settings!$C$8)+(O556*Settings!$C$7)+(P556*Settings!$C$14)+(Q556*Settings!$C$15)+(R556*Settings!$C$16)+(S556*Settings!$C$17)+(T556*Settings!$C$18)+(U556*Settings!$C$19)+(L556*Settings!$C$10)+(Settings!$C$11*M556)</f>
        <v>-4.5271447792210529</v>
      </c>
      <c r="D556" s="40">
        <f>IF(Settings!$E$12="YES",VLOOKUP(A556,'Player Data'!A1:E734,5,FALSE),82)</f>
        <v>82</v>
      </c>
      <c r="E556" s="38">
        <f>(VLOOKUP($A556,'The List'!$B1:$AH730,17,FALSE)-AVERAGE('The List'!R2:R730))/STDEV('The List'!R2:R730)</f>
        <v>0.61309590483817245</v>
      </c>
      <c r="F556" s="38">
        <f>(VLOOKUP($A556,'The List'!$B1:$AH730,18,FALSE)-AVERAGE('The List'!S2:S730))/STDEV('The List'!S2:S730)</f>
        <v>-1.0990412187774337</v>
      </c>
      <c r="G556" s="38">
        <f>(VLOOKUP($A556,'The List'!$B1:$AH730,19,FALSE)-AVERAGE('The List'!T2:T730))/STDEV('The List'!T2:T730)</f>
        <v>-0.687547661070953</v>
      </c>
      <c r="H556" s="38">
        <f>(VLOOKUP($A556,'The List'!$B1:$AH730,20,FALSE)-AVERAGE('The List'!U2:U730))/STDEV('The List'!U2:U730)</f>
        <v>-0.93343981205519</v>
      </c>
      <c r="I556" s="38">
        <f>(VLOOKUP($A556,'The List'!$B1:$AH730,21,FALSE)-AVERAGE('The List'!V2:V730))/STDEV('The List'!V2:V730)</f>
        <v>-0.99312791695163161</v>
      </c>
      <c r="J556" s="38">
        <f>(VLOOKUP($A556,'The List'!$B1:$AH730,22,FALSE)-AVERAGE('The List'!W2:W730))/STDEV('The List'!W2:W730)</f>
        <v>-0.73264531683958645</v>
      </c>
      <c r="K556" s="38">
        <f>(VLOOKUP($A556,'The List'!$B1:$AH730,23,FALSE)-AVERAGE('The List'!X2:X730))/STDEV('The List'!X2:X730)</f>
        <v>-0.81398817036584459</v>
      </c>
      <c r="L556" s="38">
        <f>(VLOOKUP($A556,'The List'!$B1:$AH730,24,FALSE)-AVERAGE('The List'!Y2:Y730))/STDEV('The List'!Y2:Y730)</f>
        <v>-0.59207071373658315</v>
      </c>
      <c r="M556" s="38">
        <f>(VLOOKUP($A556,'The List'!$B1:$AH730,25,FALSE)-AVERAGE('The List'!Z2:Z730))/STDEV('The List'!Z2:Z730)</f>
        <v>0.34922458059176792</v>
      </c>
      <c r="N556" s="38">
        <f>(VLOOKUP($A556,'The List'!$B1:$AH730,26,FALSE)-AVERAGE('The List'!AA2:AA730))/STDEV('The List'!AA2:AA730)</f>
        <v>2.9314762542117698</v>
      </c>
      <c r="O556" s="38">
        <f>(VLOOKUP($A556,'The List'!$B1:$AH730,27,FALSE)-AVERAGE('The List'!AB2:AB730))/STDEV('The List'!AB2:AB730)</f>
        <v>0.18441986613390499</v>
      </c>
      <c r="P556" s="38">
        <f>(VLOOKUP($A556,'The List'!$B1:$AH730,28,FALSE)-AVERAGE('The List'!AC2:AC730))/STDEV('The List'!AC2:AC730)</f>
        <v>-2.4385604411644577</v>
      </c>
      <c r="Q556" s="38">
        <f>(VLOOKUP($A556,'The List'!$B1:$AH730,29,FALSE)-AVERAGE('The List'!AD2:AD730))/STDEV('The List'!AD2:AD730)</f>
        <v>-0.12738182049108343</v>
      </c>
      <c r="R556" s="38">
        <f>(VLOOKUP($A556,'The List'!$B1:$AH730,30,FALSE)-AVERAGE('The List'!AE2:AE730))/STDEV('The List'!AE2:AE730)</f>
        <v>-1.0708487384112115</v>
      </c>
      <c r="S556" s="38">
        <f>(VLOOKUP($A556,'The List'!$B1:$AH730,31,FALSE)-AVERAGE('The List'!AF2:AF730))/STDEV('The List'!AF2:AF730)</f>
        <v>-0.56911587195029545</v>
      </c>
      <c r="T556" s="38">
        <f>(VLOOKUP($A556,'The List'!$B1:$AH730,32,FALSE)-AVERAGE('The List'!AG2:AG730))/STDEV('The List'!AG2:AG730)</f>
        <v>-0.61510119871956948</v>
      </c>
      <c r="U556" s="38">
        <f>(VLOOKUP($A556,'The List'!$B1:$AH730,33,FALSE)-AVERAGE('The List'!AH2:AH730))/STDEV('The List'!AH2:AH730)</f>
        <v>-1.2363238714825984</v>
      </c>
      <c r="V556" s="38"/>
      <c r="W556" s="42"/>
      <c r="X556" s="40"/>
      <c r="Y556" s="40"/>
      <c r="Z556" s="40"/>
      <c r="AA556" s="40"/>
      <c r="AB556" s="40"/>
      <c r="AC556" s="43"/>
      <c r="AD556" s="44"/>
      <c r="AE556" s="38"/>
    </row>
    <row r="557" spans="1:31" ht="21.2" customHeight="1">
      <c r="A557" s="8" t="s">
        <v>795</v>
      </c>
      <c r="B557" s="34" t="str">
        <f>VLOOKUP(A557,'Player Data'!A1:B734,2,FALSE)</f>
        <v>WPG</v>
      </c>
      <c r="C557" s="36">
        <f>((E557)*Settings!$C$12)+(F557*Settings!$C$2)+(G557*Settings!$C$3)+(H557*Settings!$C$4)+(I557*Settings!$C$5)+(K557*Settings!$C$9)+(N557*Settings!$C$6)+(J557*Settings!$C$8)+(O557*Settings!$C$7)+(P557*Settings!$C$14)+(Q557*Settings!$C$15)+(R557*Settings!$C$16)+(S557*Settings!$C$17)+(T557*Settings!$C$18)+(U557*Settings!$C$19)+(L557*Settings!$C$10)+(Settings!$C$11*M557)</f>
        <v>-4.7428499497974599</v>
      </c>
      <c r="D557" s="40">
        <f>IF(Settings!$E$12="YES",VLOOKUP(A557,'Player Data'!A1:E734,5,FALSE),82)</f>
        <v>82</v>
      </c>
      <c r="E557" s="38">
        <f>(VLOOKUP($A557,'The List'!$B1:$AH730,17,FALSE)-AVERAGE('The List'!R2:R730))/STDEV('The List'!R2:R730)</f>
        <v>-1.7232487265113072</v>
      </c>
      <c r="F557" s="38">
        <f>(VLOOKUP($A557,'The List'!$B1:$AH730,18,FALSE)-AVERAGE('The List'!S2:S730))/STDEV('The List'!S2:S730)</f>
        <v>-0.81911442574305238</v>
      </c>
      <c r="G557" s="38">
        <f>(VLOOKUP($A557,'The List'!$B1:$AH730,19,FALSE)-AVERAGE('The List'!T2:T730))/STDEV('The List'!T2:T730)</f>
        <v>-0.90070340689169726</v>
      </c>
      <c r="H557" s="38">
        <f>(VLOOKUP($A557,'The List'!$B1:$AH730,20,FALSE)-AVERAGE('The List'!U2:U730))/STDEV('The List'!U2:U730)</f>
        <v>-0.93430195931734727</v>
      </c>
      <c r="I557" s="38">
        <f>(VLOOKUP($A557,'The List'!$B1:$AH730,21,FALSE)-AVERAGE('The List'!V2:V730))/STDEV('The List'!V2:V730)</f>
        <v>-1.28462138754512</v>
      </c>
      <c r="J557" s="38">
        <f>(VLOOKUP($A557,'The List'!$B1:$AH730,22,FALSE)-AVERAGE('The List'!W2:W730))/STDEV('The List'!W2:W730)</f>
        <v>-0.71477050901459727</v>
      </c>
      <c r="K557" s="38">
        <f>(VLOOKUP($A557,'The List'!$B1:$AH730,23,FALSE)-AVERAGE('The List'!X2:X730))/STDEV('The List'!X2:X730)</f>
        <v>-0.80410877030024297</v>
      </c>
      <c r="L557" s="38">
        <f>(VLOOKUP($A557,'The List'!$B1:$AH730,24,FALSE)-AVERAGE('The List'!Y2:Y730))/STDEV('The List'!Y2:Y730)</f>
        <v>0.53075703826827869</v>
      </c>
      <c r="M557" s="38">
        <f>(VLOOKUP($A557,'The List'!$B1:$AH730,25,FALSE)-AVERAGE('The List'!Z2:Z730))/STDEV('The List'!Z2:Z730)</f>
        <v>0.94138435943875676</v>
      </c>
      <c r="N557" s="38">
        <f>(VLOOKUP($A557,'The List'!$B1:$AH730,26,FALSE)-AVERAGE('The List'!AA2:AA730))/STDEV('The List'!AA2:AA730)</f>
        <v>-0.69028262270370166</v>
      </c>
      <c r="O557" s="38">
        <f>(VLOOKUP($A557,'The List'!$B1:$AH730,27,FALSE)-AVERAGE('The List'!AB2:AB730))/STDEV('The List'!AB2:AB730)</f>
        <v>-6.1678410611016837E-2</v>
      </c>
      <c r="P557" s="38">
        <f>(VLOOKUP($A557,'The List'!$B1:$AH730,28,FALSE)-AVERAGE('The List'!AC2:AC730))/STDEV('The List'!AC2:AC730)</f>
        <v>4.3665964234358541E-2</v>
      </c>
      <c r="Q557" s="38">
        <f>(VLOOKUP($A557,'The List'!$B1:$AH730,29,FALSE)-AVERAGE('The List'!AD2:AD730))/STDEV('The List'!AD2:AD730)</f>
        <v>-1.0324375471465275</v>
      </c>
      <c r="R557" s="38">
        <f>(VLOOKUP($A557,'The List'!$B1:$AH730,30,FALSE)-AVERAGE('The List'!AE2:AE730))/STDEV('The List'!AE2:AE730)</f>
        <v>-0.69196216546410261</v>
      </c>
      <c r="S557" s="38">
        <f>(VLOOKUP($A557,'The List'!$B1:$AH730,31,FALSE)-AVERAGE('The List'!AF2:AF730))/STDEV('The List'!AF2:AF730)</f>
        <v>0.55179698506017683</v>
      </c>
      <c r="T557" s="38">
        <f>(VLOOKUP($A557,'The List'!$B1:$AH730,32,FALSE)-AVERAGE('The List'!AG2:AG730))/STDEV('The List'!AG2:AG730)</f>
        <v>0.59079726224437079</v>
      </c>
      <c r="U557" s="38">
        <f>(VLOOKUP($A557,'The List'!$B1:$AH730,33,FALSE)-AVERAGE('The List'!AH2:AH730))/STDEV('The List'!AH2:AH730)</f>
        <v>0.99509968822816353</v>
      </c>
      <c r="V557" s="38"/>
      <c r="W557" s="42"/>
      <c r="X557" s="40"/>
      <c r="Y557" s="40"/>
      <c r="Z557" s="40"/>
      <c r="AA557" s="40"/>
      <c r="AB557" s="40"/>
      <c r="AC557" s="43"/>
      <c r="AD557" s="44"/>
      <c r="AE557" s="38"/>
    </row>
    <row r="558" spans="1:31" ht="21.2" customHeight="1">
      <c r="A558" s="8" t="s">
        <v>762</v>
      </c>
      <c r="B558" s="34" t="str">
        <f>VLOOKUP(A558,'Player Data'!A1:B734,2,FALSE)</f>
        <v>FLA</v>
      </c>
      <c r="C558" s="36">
        <f>((E558)*Settings!$C$12)+(F558*Settings!$C$2)+(G558*Settings!$C$3)+(H558*Settings!$C$4)+(I558*Settings!$C$5)+(K558*Settings!$C$9)+(N558*Settings!$C$6)+(J558*Settings!$C$8)+(O558*Settings!$C$7)+(P558*Settings!$C$14)+(Q558*Settings!$C$15)+(R558*Settings!$C$16)+(S558*Settings!$C$17)+(T558*Settings!$C$18)+(U558*Settings!$C$19)+(L558*Settings!$C$10)+(Settings!$C$11*M558)</f>
        <v>-4.0934979612669631</v>
      </c>
      <c r="D558" s="40">
        <f>IF(Settings!$E$12="YES",VLOOKUP(A558,'Player Data'!A1:E734,5,FALSE),82)</f>
        <v>82</v>
      </c>
      <c r="E558" s="38">
        <f>(VLOOKUP($A558,'The List'!$B1:$AH730,17,FALSE)-AVERAGE('The List'!R2:R730))/STDEV('The List'!R2:R730)</f>
        <v>-1.389805494429817</v>
      </c>
      <c r="F558" s="38">
        <f>(VLOOKUP($A558,'The List'!$B1:$AH730,18,FALSE)-AVERAGE('The List'!S2:S730))/STDEV('The List'!S2:S730)</f>
        <v>-0.54031100045383285</v>
      </c>
      <c r="G558" s="38">
        <f>(VLOOKUP($A558,'The List'!$B1:$AH730,19,FALSE)-AVERAGE('The List'!T2:T730))/STDEV('The List'!T2:T730)</f>
        <v>-1.1117585273359181</v>
      </c>
      <c r="H558" s="38">
        <f>(VLOOKUP($A558,'The List'!$B1:$AH730,20,FALSE)-AVERAGE('The List'!U2:U730))/STDEV('The List'!U2:U730)</f>
        <v>-0.93439541312850816</v>
      </c>
      <c r="I558" s="38">
        <f>(VLOOKUP($A558,'The List'!$B1:$AH730,21,FALSE)-AVERAGE('The List'!V2:V730))/STDEV('The List'!V2:V730)</f>
        <v>-0.69818051737865705</v>
      </c>
      <c r="J558" s="38">
        <f>(VLOOKUP($A558,'The List'!$B1:$AH730,22,FALSE)-AVERAGE('The List'!W2:W730))/STDEV('The List'!W2:W730)</f>
        <v>-0.71085484901469509</v>
      </c>
      <c r="K558" s="38">
        <f>(VLOOKUP($A558,'The List'!$B1:$AH730,23,FALSE)-AVERAGE('The List'!X2:X730))/STDEV('The List'!X2:X730)</f>
        <v>-0.80885250297004663</v>
      </c>
      <c r="L558" s="38">
        <f>(VLOOKUP($A558,'The List'!$B1:$AH730,24,FALSE)-AVERAGE('The List'!Y2:Y730))/STDEV('The List'!Y2:Y730)</f>
        <v>0.58945802153352655</v>
      </c>
      <c r="M558" s="38">
        <f>(VLOOKUP($A558,'The List'!$B1:$AH730,25,FALSE)-AVERAGE('The List'!Z2:Z730))/STDEV('The List'!Z2:Z730)</f>
        <v>0.67801658793235231</v>
      </c>
      <c r="N558" s="38">
        <f>(VLOOKUP($A558,'The List'!$B1:$AH730,26,FALSE)-AVERAGE('The List'!AA2:AA730))/STDEV('The List'!AA2:AA730)</f>
        <v>-0.64316219240751282</v>
      </c>
      <c r="O558" s="38">
        <f>(VLOOKUP($A558,'The List'!$B1:$AH730,27,FALSE)-AVERAGE('The List'!AB2:AB730))/STDEV('The List'!AB2:AB730)</f>
        <v>0.40440471865422684</v>
      </c>
      <c r="P558" s="38">
        <f>(VLOOKUP($A558,'The List'!$B1:$AH730,28,FALSE)-AVERAGE('The List'!AC2:AC730))/STDEV('The List'!AC2:AC730)</f>
        <v>0.30262855302246211</v>
      </c>
      <c r="Q558" s="38">
        <f>(VLOOKUP($A558,'The List'!$B1:$AH730,29,FALSE)-AVERAGE('The List'!AD2:AD730))/STDEV('The List'!AD2:AD730)</f>
        <v>-1.2063244689899073</v>
      </c>
      <c r="R558" s="38">
        <f>(VLOOKUP($A558,'The List'!$B1:$AH730,30,FALSE)-AVERAGE('The List'!AE2:AE730))/STDEV('The List'!AE2:AE730)</f>
        <v>-0.47653279565797269</v>
      </c>
      <c r="S558" s="38">
        <f>(VLOOKUP($A558,'The List'!$B1:$AH730,31,FALSE)-AVERAGE('The List'!AF2:AF730))/STDEV('The List'!AF2:AF730)</f>
        <v>0.53112323826581809</v>
      </c>
      <c r="T558" s="38">
        <f>(VLOOKUP($A558,'The List'!$B1:$AH730,32,FALSE)-AVERAGE('The List'!AG2:AG730))/STDEV('The List'!AG2:AG730)</f>
        <v>0.65716197072414895</v>
      </c>
      <c r="U558" s="38">
        <f>(VLOOKUP($A558,'The List'!$B1:$AH730,33,FALSE)-AVERAGE('The List'!AH2:AH730))/STDEV('The List'!AH2:AH730)</f>
        <v>0.91367445028061245</v>
      </c>
      <c r="V558" s="38"/>
      <c r="W558" s="40"/>
      <c r="X558" s="38"/>
      <c r="Y558" s="38"/>
      <c r="Z558" s="38"/>
      <c r="AA558" s="38"/>
      <c r="AB558" s="38"/>
      <c r="AC558" s="38"/>
      <c r="AD558" s="38"/>
      <c r="AE558" s="38"/>
    </row>
    <row r="559" spans="1:31" ht="21.2" customHeight="1">
      <c r="A559" s="8" t="s">
        <v>518</v>
      </c>
      <c r="B559" s="34" t="str">
        <f>VLOOKUP(A559,'Player Data'!A1:B734,2,FALSE)</f>
        <v>MIN</v>
      </c>
      <c r="C559" s="36">
        <f>((E559)*Settings!$C$12)+(F559*Settings!$C$2)+(G559*Settings!$C$3)+(H559*Settings!$C$4)+(I559*Settings!$C$5)+(K559*Settings!$C$9)+(N559*Settings!$C$6)+(J559*Settings!$C$8)+(O559*Settings!$C$7)+(P559*Settings!$C$14)+(Q559*Settings!$C$15)+(R559*Settings!$C$16)+(S559*Settings!$C$17)+(T559*Settings!$C$18)+(U559*Settings!$C$19)+(L559*Settings!$C$10)+(Settings!$C$11*M559)</f>
        <v>-4.3271861358711359</v>
      </c>
      <c r="D559" s="40">
        <f>IF(Settings!$E$12="YES",VLOOKUP(A559,'Player Data'!A1:E734,5,FALSE),82)</f>
        <v>82</v>
      </c>
      <c r="E559" s="38">
        <f>(VLOOKUP($A559,'The List'!$B1:$AH730,17,FALSE)-AVERAGE('The List'!R2:R730))/STDEV('The List'!R2:R730)</f>
        <v>5.624486578386388E-3</v>
      </c>
      <c r="F559" s="38">
        <f>(VLOOKUP($A559,'The List'!$B1:$AH730,18,FALSE)-AVERAGE('The List'!S2:S730))/STDEV('The List'!S2:S730)</f>
        <v>-1.1598579306338992</v>
      </c>
      <c r="G559" s="38">
        <f>(VLOOKUP($A559,'The List'!$B1:$AH730,19,FALSE)-AVERAGE('The List'!T2:T730))/STDEV('The List'!T2:T730)</f>
        <v>-0.64442915798621259</v>
      </c>
      <c r="H559" s="38">
        <f>(VLOOKUP($A559,'The List'!$B1:$AH730,20,FALSE)-AVERAGE('The List'!U2:U730))/STDEV('The List'!U2:U730)</f>
        <v>-0.93521385073927277</v>
      </c>
      <c r="I559" s="38">
        <f>(VLOOKUP($A559,'The List'!$B1:$AH730,21,FALSE)-AVERAGE('The List'!V2:V730))/STDEV('The List'!V2:V730)</f>
        <v>-0.88991758474775484</v>
      </c>
      <c r="J559" s="38">
        <f>(VLOOKUP($A559,'The List'!$B1:$AH730,22,FALSE)-AVERAGE('The List'!W2:W730))/STDEV('The List'!W2:W730)</f>
        <v>-0.73051657719792662</v>
      </c>
      <c r="K559" s="38">
        <f>(VLOOKUP($A559,'The List'!$B1:$AH730,23,FALSE)-AVERAGE('The List'!X2:X730))/STDEV('The List'!X2:X730)</f>
        <v>-0.69776761176399615</v>
      </c>
      <c r="L559" s="38">
        <f>(VLOOKUP($A559,'The List'!$B1:$AH730,24,FALSE)-AVERAGE('The List'!Y2:Y730))/STDEV('The List'!Y2:Y730)</f>
        <v>-0.57898567891814456</v>
      </c>
      <c r="M559" s="38">
        <f>(VLOOKUP($A559,'The List'!$B1:$AH730,25,FALSE)-AVERAGE('The List'!Z2:Z730))/STDEV('The List'!Z2:Z730)</f>
        <v>-0.88333632131174089</v>
      </c>
      <c r="N559" s="38">
        <f>(VLOOKUP($A559,'The List'!$B1:$AH730,26,FALSE)-AVERAGE('The List'!AA2:AA730))/STDEV('The List'!AA2:AA730)</f>
        <v>0.94413948559296224</v>
      </c>
      <c r="O559" s="38">
        <f>(VLOOKUP($A559,'The List'!$B1:$AH730,27,FALSE)-AVERAGE('The List'!AB2:AB730))/STDEV('The List'!AB2:AB730)</f>
        <v>-0.56711366427891341</v>
      </c>
      <c r="P559" s="38">
        <f>(VLOOKUP($A559,'The List'!$B1:$AH730,28,FALSE)-AVERAGE('The List'!AC2:AC730))/STDEV('The List'!AC2:AC730)</f>
        <v>0.49761704127677975</v>
      </c>
      <c r="Q559" s="38">
        <f>(VLOOKUP($A559,'The List'!$B1:$AH730,29,FALSE)-AVERAGE('The List'!AD2:AD730))/STDEV('The List'!AD2:AD730)</f>
        <v>-0.41425885022074088</v>
      </c>
      <c r="R559" s="38">
        <f>(VLOOKUP($A559,'The List'!$B1:$AH730,30,FALSE)-AVERAGE('The List'!AE2:AE730))/STDEV('The List'!AE2:AE730)</f>
        <v>-1.0318728642279604</v>
      </c>
      <c r="S559" s="38">
        <f>(VLOOKUP($A559,'The List'!$B1:$AH730,31,FALSE)-AVERAGE('The List'!AF2:AF730))/STDEV('The List'!AF2:AF730)</f>
        <v>-0.56911587195029545</v>
      </c>
      <c r="T559" s="38">
        <f>(VLOOKUP($A559,'The List'!$B1:$AH730,32,FALSE)-AVERAGE('The List'!AG2:AG730))/STDEV('The List'!AG2:AG730)</f>
        <v>-0.61510119871956948</v>
      </c>
      <c r="U559" s="38">
        <f>(VLOOKUP($A559,'The List'!$B1:$AH730,33,FALSE)-AVERAGE('The List'!AH2:AH730))/STDEV('The List'!AH2:AH730)</f>
        <v>-1.2363238714825984</v>
      </c>
      <c r="V559" s="38"/>
      <c r="W559" s="40"/>
      <c r="X559" s="38"/>
      <c r="Y559" s="38"/>
      <c r="Z559" s="38"/>
      <c r="AA559" s="38"/>
      <c r="AB559" s="38"/>
      <c r="AC559" s="38"/>
      <c r="AD559" s="38"/>
      <c r="AE559" s="38"/>
    </row>
    <row r="560" spans="1:31" ht="21.2" customHeight="1">
      <c r="A560" s="8" t="s">
        <v>507</v>
      </c>
      <c r="B560" s="34" t="str">
        <f>VLOOKUP(A560,'Player Data'!A1:B734,2,FALSE)</f>
        <v>FLA</v>
      </c>
      <c r="C560" s="36">
        <f>((E560)*Settings!$C$12)+(F560*Settings!$C$2)+(G560*Settings!$C$3)+(H560*Settings!$C$4)+(I560*Settings!$C$5)+(K560*Settings!$C$9)+(N560*Settings!$C$6)+(J560*Settings!$C$8)+(O560*Settings!$C$7)+(P560*Settings!$C$14)+(Q560*Settings!$C$15)+(R560*Settings!$C$16)+(S560*Settings!$C$17)+(T560*Settings!$C$18)+(U560*Settings!$C$19)+(L560*Settings!$C$10)+(Settings!$C$11*M560)</f>
        <v>-4.4206874869227422</v>
      </c>
      <c r="D560" s="40">
        <f>IF(Settings!$E$12="YES",VLOOKUP(A560,'Player Data'!A1:E734,5,FALSE),82)</f>
        <v>82</v>
      </c>
      <c r="E560" s="38">
        <f>(VLOOKUP($A560,'The List'!$B1:$AH730,17,FALSE)-AVERAGE('The List'!R2:R730))/STDEV('The List'!R2:R730)</f>
        <v>0.48231830511041873</v>
      </c>
      <c r="F560" s="38">
        <f>(VLOOKUP($A560,'The List'!$B1:$AH730,18,FALSE)-AVERAGE('The List'!S2:S730))/STDEV('The List'!S2:S730)</f>
        <v>-0.99638012638982554</v>
      </c>
      <c r="G560" s="38">
        <f>(VLOOKUP($A560,'The List'!$B1:$AH730,19,FALSE)-AVERAGE('The List'!T2:T730))/STDEV('The List'!T2:T730)</f>
        <v>-0.77221244530710165</v>
      </c>
      <c r="H560" s="38">
        <f>(VLOOKUP($A560,'The List'!$B1:$AH730,20,FALSE)-AVERAGE('The List'!U2:U730))/STDEV('The List'!U2:U730)</f>
        <v>-0.93774526944835845</v>
      </c>
      <c r="I560" s="38">
        <f>(VLOOKUP($A560,'The List'!$B1:$AH730,21,FALSE)-AVERAGE('The List'!V2:V730))/STDEV('The List'!V2:V730)</f>
        <v>-0.90309763764392259</v>
      </c>
      <c r="J560" s="38">
        <f>(VLOOKUP($A560,'The List'!$B1:$AH730,22,FALSE)-AVERAGE('The List'!W2:W730))/STDEV('The List'!W2:W730)</f>
        <v>-0.73154501288656393</v>
      </c>
      <c r="K560" s="38">
        <f>(VLOOKUP($A560,'The List'!$B1:$AH730,23,FALSE)-AVERAGE('The List'!X2:X730))/STDEV('The List'!X2:X730)</f>
        <v>-0.81125200813353471</v>
      </c>
      <c r="L560" s="38">
        <f>(VLOOKUP($A560,'The List'!$B1:$AH730,24,FALSE)-AVERAGE('The List'!Y2:Y730))/STDEV('The List'!Y2:Y730)</f>
        <v>-0.58673472415313443</v>
      </c>
      <c r="M560" s="38">
        <f>(VLOOKUP($A560,'The List'!$B1:$AH730,25,FALSE)-AVERAGE('The List'!Z2:Z730))/STDEV('The List'!Z2:Z730)</f>
        <v>-0.83320992081053846</v>
      </c>
      <c r="N560" s="38">
        <f>(VLOOKUP($A560,'The List'!$B1:$AH730,26,FALSE)-AVERAGE('The List'!AA2:AA730))/STDEV('The List'!AA2:AA730)</f>
        <v>1.2784208813202071</v>
      </c>
      <c r="O560" s="38">
        <f>(VLOOKUP($A560,'The List'!$B1:$AH730,27,FALSE)-AVERAGE('The List'!AB2:AB730))/STDEV('The List'!AB2:AB730)</f>
        <v>0.19860022062110422</v>
      </c>
      <c r="P560" s="38">
        <f>(VLOOKUP($A560,'The List'!$B1:$AH730,28,FALSE)-AVERAGE('The List'!AC2:AC730))/STDEV('The List'!AC2:AC730)</f>
        <v>0.23961760587243033</v>
      </c>
      <c r="Q560" s="38">
        <f>(VLOOKUP($A560,'The List'!$B1:$AH730,29,FALSE)-AVERAGE('The List'!AD2:AD730))/STDEV('The List'!AD2:AD730)</f>
        <v>0.381683896251308</v>
      </c>
      <c r="R560" s="38">
        <f>(VLOOKUP($A560,'The List'!$B1:$AH730,30,FALSE)-AVERAGE('The List'!AE2:AE730))/STDEV('The List'!AE2:AE730)</f>
        <v>-0.9025860211311959</v>
      </c>
      <c r="S560" s="38">
        <f>(VLOOKUP($A560,'The List'!$B1:$AH730,31,FALSE)-AVERAGE('The List'!AF2:AF730))/STDEV('The List'!AF2:AF730)</f>
        <v>-0.56911587195029545</v>
      </c>
      <c r="T560" s="38">
        <f>(VLOOKUP($A560,'The List'!$B1:$AH730,32,FALSE)-AVERAGE('The List'!AG2:AG730))/STDEV('The List'!AG2:AG730)</f>
        <v>-0.61510119871956948</v>
      </c>
      <c r="U560" s="38">
        <f>(VLOOKUP($A560,'The List'!$B1:$AH730,33,FALSE)-AVERAGE('The List'!AH2:AH730))/STDEV('The List'!AH2:AH730)</f>
        <v>-1.2363238714825984</v>
      </c>
      <c r="V560" s="38"/>
      <c r="W560" s="40"/>
      <c r="X560" s="38"/>
      <c r="Y560" s="38"/>
      <c r="Z560" s="38"/>
      <c r="AA560" s="38"/>
      <c r="AB560" s="38"/>
      <c r="AC560" s="38"/>
      <c r="AD560" s="38"/>
      <c r="AE560" s="38"/>
    </row>
    <row r="561" spans="1:31" ht="21.2" customHeight="1">
      <c r="A561" s="8" t="s">
        <v>494</v>
      </c>
      <c r="B561" s="34" t="str">
        <f>VLOOKUP(A561,'Player Data'!A1:B734,2,FALSE)</f>
        <v>DAL</v>
      </c>
      <c r="C561" s="36">
        <f>((E561)*Settings!$C$12)+(F561*Settings!$C$2)+(G561*Settings!$C$3)+(H561*Settings!$C$4)+(I561*Settings!$C$5)+(K561*Settings!$C$9)+(N561*Settings!$C$6)+(J561*Settings!$C$8)+(O561*Settings!$C$7)+(P561*Settings!$C$14)+(Q561*Settings!$C$15)+(R561*Settings!$C$16)+(S561*Settings!$C$17)+(T561*Settings!$C$18)+(U561*Settings!$C$19)+(L561*Settings!$C$10)+(Settings!$C$11*M561)</f>
        <v>-4.3857190780985906</v>
      </c>
      <c r="D561" s="40">
        <f>IF(Settings!$E$12="YES",VLOOKUP(A561,'Player Data'!A1:E734,5,FALSE),82)</f>
        <v>82</v>
      </c>
      <c r="E561" s="38">
        <f>(VLOOKUP($A561,'The List'!$B1:$AH730,17,FALSE)-AVERAGE('The List'!R2:R730))/STDEV('The List'!R2:R730)</f>
        <v>0.55281925152503675</v>
      </c>
      <c r="F561" s="38">
        <f>(VLOOKUP($A561,'The List'!$B1:$AH730,18,FALSE)-AVERAGE('The List'!S2:S730))/STDEV('The List'!S2:S730)</f>
        <v>-1.1440671706439454</v>
      </c>
      <c r="G561" s="38">
        <f>(VLOOKUP($A561,'The List'!$B1:$AH730,19,FALSE)-AVERAGE('The List'!T2:T730))/STDEV('The List'!T2:T730)</f>
        <v>-0.66311335291514373</v>
      </c>
      <c r="H561" s="38">
        <f>(VLOOKUP($A561,'The List'!$B1:$AH730,20,FALSE)-AVERAGE('The List'!U2:U730))/STDEV('The List'!U2:U730)</f>
        <v>-0.93935532354139795</v>
      </c>
      <c r="I561" s="38">
        <f>(VLOOKUP($A561,'The List'!$B1:$AH730,21,FALSE)-AVERAGE('The List'!V2:V730))/STDEV('The List'!V2:V730)</f>
        <v>-0.99139538285111428</v>
      </c>
      <c r="J561" s="38">
        <f>(VLOOKUP($A561,'The List'!$B1:$AH730,22,FALSE)-AVERAGE('The List'!W2:W730))/STDEV('The List'!W2:W730)</f>
        <v>-0.65373404804151936</v>
      </c>
      <c r="K561" s="38">
        <f>(VLOOKUP($A561,'The List'!$B1:$AH730,23,FALSE)-AVERAGE('The List'!X2:X730))/STDEV('The List'!X2:X730)</f>
        <v>-0.64778784814698909</v>
      </c>
      <c r="L561" s="38">
        <f>(VLOOKUP($A561,'The List'!$B1:$AH730,24,FALSE)-AVERAGE('The List'!Y2:Y730))/STDEV('The List'!Y2:Y730)</f>
        <v>-0.64031820245393889</v>
      </c>
      <c r="M561" s="38">
        <f>(VLOOKUP($A561,'The List'!$B1:$AH730,25,FALSE)-AVERAGE('The List'!Z2:Z730))/STDEV('The List'!Z2:Z730)</f>
        <v>-0.51826894140896906</v>
      </c>
      <c r="N561" s="38">
        <f>(VLOOKUP($A561,'The List'!$B1:$AH730,26,FALSE)-AVERAGE('The List'!AA2:AA730))/STDEV('The List'!AA2:AA730)</f>
        <v>0.84369368546400458</v>
      </c>
      <c r="O561" s="38">
        <f>(VLOOKUP($A561,'The List'!$B1:$AH730,27,FALSE)-AVERAGE('The List'!AB2:AB730))/STDEV('The List'!AB2:AB730)</f>
        <v>-0.52002124620579959</v>
      </c>
      <c r="P561" s="38">
        <f>(VLOOKUP($A561,'The List'!$B1:$AH730,28,FALSE)-AVERAGE('The List'!AC2:AC730))/STDEV('The List'!AC2:AC730)</f>
        <v>1.0162674624682744</v>
      </c>
      <c r="Q561" s="38">
        <f>(VLOOKUP($A561,'The List'!$B1:$AH730,29,FALSE)-AVERAGE('The List'!AD2:AD730))/STDEV('The List'!AD2:AD730)</f>
        <v>-0.49438533647907545</v>
      </c>
      <c r="R561" s="38">
        <f>(VLOOKUP($A561,'The List'!$B1:$AH730,30,FALSE)-AVERAGE('The List'!AE2:AE730))/STDEV('The List'!AE2:AE730)</f>
        <v>-1.0162188924362665</v>
      </c>
      <c r="S561" s="38">
        <f>(VLOOKUP($A561,'The List'!$B1:$AH730,31,FALSE)-AVERAGE('The List'!AF2:AF730))/STDEV('The List'!AF2:AF730)</f>
        <v>-0.56911587195029545</v>
      </c>
      <c r="T561" s="38">
        <f>(VLOOKUP($A561,'The List'!$B1:$AH730,32,FALSE)-AVERAGE('The List'!AG2:AG730))/STDEV('The List'!AG2:AG730)</f>
        <v>-0.61510119871956948</v>
      </c>
      <c r="U561" s="38">
        <f>(VLOOKUP($A561,'The List'!$B1:$AH730,33,FALSE)-AVERAGE('The List'!AH2:AH730))/STDEV('The List'!AH2:AH730)</f>
        <v>-1.2363238714825984</v>
      </c>
      <c r="V561" s="38"/>
      <c r="W561" s="42"/>
      <c r="X561" s="40"/>
      <c r="Y561" s="40"/>
      <c r="Z561" s="40"/>
      <c r="AA561" s="40"/>
      <c r="AB561" s="40"/>
      <c r="AC561" s="43"/>
      <c r="AD561" s="44"/>
      <c r="AE561" s="38"/>
    </row>
    <row r="562" spans="1:31" ht="21.2" customHeight="1">
      <c r="A562" s="8" t="s">
        <v>465</v>
      </c>
      <c r="B562" s="34" t="str">
        <f>VLOOKUP(A562,'Player Data'!A1:B734,2,FALSE)</f>
        <v>VAN</v>
      </c>
      <c r="C562" s="36">
        <f>((E562)*Settings!$C$12)+(F562*Settings!$C$2)+(G562*Settings!$C$3)+(H562*Settings!$C$4)+(I562*Settings!$C$5)+(K562*Settings!$C$9)+(N562*Settings!$C$6)+(J562*Settings!$C$8)+(O562*Settings!$C$7)+(P562*Settings!$C$14)+(Q562*Settings!$C$15)+(R562*Settings!$C$16)+(S562*Settings!$C$17)+(T562*Settings!$C$18)+(U562*Settings!$C$19)+(L562*Settings!$C$10)+(Settings!$C$11*M562)</f>
        <v>-4.243467952561411</v>
      </c>
      <c r="D562" s="40">
        <f>IF(Settings!$E$12="YES",VLOOKUP(A562,'Player Data'!A1:E734,5,FALSE),82)</f>
        <v>82</v>
      </c>
      <c r="E562" s="38">
        <f>(VLOOKUP($A562,'The List'!$B1:$AH730,17,FALSE)-AVERAGE('The List'!R2:R730))/STDEV('The List'!R2:R730)</f>
        <v>0.66237114720955237</v>
      </c>
      <c r="F562" s="38">
        <f>(VLOOKUP($A562,'The List'!$B1:$AH730,18,FALSE)-AVERAGE('The List'!S2:S730))/STDEV('The List'!S2:S730)</f>
        <v>-1.1458613343372732</v>
      </c>
      <c r="G562" s="38">
        <f>(VLOOKUP($A562,'The List'!$B1:$AH730,19,FALSE)-AVERAGE('The List'!T2:T730))/STDEV('The List'!T2:T730)</f>
        <v>-0.66411557388302289</v>
      </c>
      <c r="H562" s="38">
        <f>(VLOOKUP($A562,'The List'!$B1:$AH730,20,FALSE)-AVERAGE('The List'!U2:U730))/STDEV('The List'!U2:U730)</f>
        <v>-0.94080528623723936</v>
      </c>
      <c r="I562" s="38">
        <f>(VLOOKUP($A562,'The List'!$B1:$AH730,21,FALSE)-AVERAGE('The List'!V2:V730))/STDEV('The List'!V2:V730)</f>
        <v>-0.68096586941101689</v>
      </c>
      <c r="J562" s="38">
        <f>(VLOOKUP($A562,'The List'!$B1:$AH730,22,FALSE)-AVERAGE('The List'!W2:W730))/STDEV('The List'!W2:W730)</f>
        <v>-0.73190444864788262</v>
      </c>
      <c r="K562" s="38">
        <f>(VLOOKUP($A562,'The List'!$B1:$AH730,23,FALSE)-AVERAGE('The List'!X2:X730))/STDEV('The List'!X2:X730)</f>
        <v>-0.81171988869285872</v>
      </c>
      <c r="L562" s="38">
        <f>(VLOOKUP($A562,'The List'!$B1:$AH730,24,FALSE)-AVERAGE('The List'!Y2:Y730))/STDEV('The List'!Y2:Y730)</f>
        <v>-0.62658958358645667</v>
      </c>
      <c r="M562" s="38">
        <f>(VLOOKUP($A562,'The List'!$B1:$AH730,25,FALSE)-AVERAGE('The List'!Z2:Z730))/STDEV('The List'!Z2:Z730)</f>
        <v>-0.68171552136907376</v>
      </c>
      <c r="N562" s="38">
        <f>(VLOOKUP($A562,'The List'!$B1:$AH730,26,FALSE)-AVERAGE('The List'!AA2:AA730))/STDEV('The List'!AA2:AA730)</f>
        <v>1.4695572488555939</v>
      </c>
      <c r="O562" s="38">
        <f>(VLOOKUP($A562,'The List'!$B1:$AH730,27,FALSE)-AVERAGE('The List'!AB2:AB730))/STDEV('The List'!AB2:AB730)</f>
        <v>0.40478024862722167</v>
      </c>
      <c r="P562" s="38">
        <f>(VLOOKUP($A562,'The List'!$B1:$AH730,28,FALSE)-AVERAGE('The List'!AC2:AC730))/STDEV('The List'!AC2:AC730)</f>
        <v>0.16957189760081834</v>
      </c>
      <c r="Q562" s="38">
        <f>(VLOOKUP($A562,'The List'!$B1:$AH730,29,FALSE)-AVERAGE('The List'!AD2:AD730))/STDEV('The List'!AD2:AD730)</f>
        <v>2.073433727097457</v>
      </c>
      <c r="R562" s="38">
        <f>(VLOOKUP($A562,'The List'!$B1:$AH730,30,FALSE)-AVERAGE('The List'!AE2:AE730))/STDEV('The List'!AE2:AE730)</f>
        <v>-1.0449915071581215</v>
      </c>
      <c r="S562" s="38">
        <f>(VLOOKUP($A562,'The List'!$B1:$AH730,31,FALSE)-AVERAGE('The List'!AF2:AF730))/STDEV('The List'!AF2:AF730)</f>
        <v>-0.56911587195029545</v>
      </c>
      <c r="T562" s="38">
        <f>(VLOOKUP($A562,'The List'!$B1:$AH730,32,FALSE)-AVERAGE('The List'!AG2:AG730))/STDEV('The List'!AG2:AG730)</f>
        <v>-0.61510119871956948</v>
      </c>
      <c r="U562" s="38">
        <f>(VLOOKUP($A562,'The List'!$B1:$AH730,33,FALSE)-AVERAGE('The List'!AH2:AH730))/STDEV('The List'!AH2:AH730)</f>
        <v>-1.2363238714825984</v>
      </c>
      <c r="V562" s="38"/>
      <c r="W562" s="40"/>
      <c r="X562" s="38"/>
      <c r="Y562" s="38"/>
      <c r="Z562" s="38"/>
      <c r="AA562" s="38"/>
      <c r="AB562" s="38"/>
      <c r="AC562" s="38"/>
      <c r="AD562" s="38"/>
      <c r="AE562" s="38"/>
    </row>
    <row r="563" spans="1:31" ht="21.2" customHeight="1">
      <c r="A563" s="8" t="s">
        <v>639</v>
      </c>
      <c r="B563" s="34" t="str">
        <f>VLOOKUP(A563,'Player Data'!A1:B734,2,FALSE)</f>
        <v>NYR</v>
      </c>
      <c r="C563" s="36">
        <f>((E563)*Settings!$C$12)+(F563*Settings!$C$2)+(G563*Settings!$C$3)+(H563*Settings!$C$4)+(I563*Settings!$C$5)+(K563*Settings!$C$9)+(N563*Settings!$C$6)+(J563*Settings!$C$8)+(O563*Settings!$C$7)+(P563*Settings!$C$14)+(Q563*Settings!$C$15)+(R563*Settings!$C$16)+(S563*Settings!$C$17)+(T563*Settings!$C$18)+(U563*Settings!$C$19)+(L563*Settings!$C$10)+(Settings!$C$11*M563)</f>
        <v>-4.6116148160253072</v>
      </c>
      <c r="D563" s="40">
        <f>IF(Settings!$E$12="YES",VLOOKUP(A563,'Player Data'!A1:E734,5,FALSE),82)</f>
        <v>82</v>
      </c>
      <c r="E563" s="38">
        <f>(VLOOKUP($A563,'The List'!$B1:$AH730,17,FALSE)-AVERAGE('The List'!R2:R730))/STDEV('The List'!R2:R730)</f>
        <v>-0.41065470625168982</v>
      </c>
      <c r="F563" s="38">
        <f>(VLOOKUP($A563,'The List'!$B1:$AH730,18,FALSE)-AVERAGE('The List'!S2:S730))/STDEV('The List'!S2:S730)</f>
        <v>-1.0129262457772017</v>
      </c>
      <c r="G563" s="38">
        <f>(VLOOKUP($A563,'The List'!$B1:$AH730,19,FALSE)-AVERAGE('The List'!T2:T730))/STDEV('The List'!T2:T730)</f>
        <v>-0.77279417986128818</v>
      </c>
      <c r="H563" s="38">
        <f>(VLOOKUP($A563,'The List'!$B1:$AH730,20,FALSE)-AVERAGE('The List'!U2:U730))/STDEV('The List'!U2:U730)</f>
        <v>-0.94579461447262114</v>
      </c>
      <c r="I563" s="38">
        <f>(VLOOKUP($A563,'The List'!$B1:$AH730,21,FALSE)-AVERAGE('The List'!V2:V730))/STDEV('The List'!V2:V730)</f>
        <v>-1.1264109773660131</v>
      </c>
      <c r="J563" s="38">
        <f>(VLOOKUP($A563,'The List'!$B1:$AH730,22,FALSE)-AVERAGE('The List'!W2:W730))/STDEV('The List'!W2:W730)</f>
        <v>-0.71287156596240631</v>
      </c>
      <c r="K563" s="38">
        <f>(VLOOKUP($A563,'The List'!$B1:$AH730,23,FALSE)-AVERAGE('The List'!X2:X730))/STDEV('The List'!X2:X730)</f>
        <v>-0.75368879854818371</v>
      </c>
      <c r="L563" s="38">
        <f>(VLOOKUP($A563,'The List'!$B1:$AH730,24,FALSE)-AVERAGE('The List'!Y2:Y730))/STDEV('The List'!Y2:Y730)</f>
        <v>-0.50969162940499912</v>
      </c>
      <c r="M563" s="38">
        <f>(VLOOKUP($A563,'The List'!$B1:$AH730,25,FALSE)-AVERAGE('The List'!Z2:Z730))/STDEV('The List'!Z2:Z730)</f>
        <v>-0.66303156858386381</v>
      </c>
      <c r="N563" s="38">
        <f>(VLOOKUP($A563,'The List'!$B1:$AH730,26,FALSE)-AVERAGE('The List'!AA2:AA730))/STDEV('The List'!AA2:AA730)</f>
        <v>0.48773990240587051</v>
      </c>
      <c r="O563" s="38">
        <f>(VLOOKUP($A563,'The List'!$B1:$AH730,27,FALSE)-AVERAGE('The List'!AB2:AB730))/STDEV('The List'!AB2:AB730)</f>
        <v>-0.57058141222831471</v>
      </c>
      <c r="P563" s="38">
        <f>(VLOOKUP($A563,'The List'!$B1:$AH730,28,FALSE)-AVERAGE('The List'!AC2:AC730))/STDEV('The List'!AC2:AC730)</f>
        <v>0.5735283040615673</v>
      </c>
      <c r="Q563" s="38">
        <f>(VLOOKUP($A563,'The List'!$B1:$AH730,29,FALSE)-AVERAGE('The List'!AD2:AD730))/STDEV('The List'!AD2:AD730)</f>
        <v>-0.7619363525321583</v>
      </c>
      <c r="R563" s="38">
        <f>(VLOOKUP($A563,'The List'!$B1:$AH730,30,FALSE)-AVERAGE('The List'!AE2:AE730))/STDEV('The List'!AE2:AE730)</f>
        <v>-0.85538889015075903</v>
      </c>
      <c r="S563" s="38">
        <f>(VLOOKUP($A563,'The List'!$B1:$AH730,31,FALSE)-AVERAGE('The List'!AF2:AF730))/STDEV('The List'!AF2:AF730)</f>
        <v>-0.56911587195029545</v>
      </c>
      <c r="T563" s="38">
        <f>(VLOOKUP($A563,'The List'!$B1:$AH730,32,FALSE)-AVERAGE('The List'!AG2:AG730))/STDEV('The List'!AG2:AG730)</f>
        <v>-0.61510119871956948</v>
      </c>
      <c r="U563" s="38">
        <f>(VLOOKUP($A563,'The List'!$B1:$AH730,33,FALSE)-AVERAGE('The List'!AH2:AH730))/STDEV('The List'!AH2:AH730)</f>
        <v>-1.2363238714825984</v>
      </c>
      <c r="V563" s="38"/>
      <c r="W563" s="42"/>
      <c r="X563" s="40"/>
      <c r="Y563" s="40"/>
      <c r="Z563" s="40"/>
      <c r="AA563" s="40"/>
      <c r="AB563" s="40"/>
      <c r="AC563" s="43"/>
      <c r="AD563" s="44"/>
      <c r="AE563" s="38"/>
    </row>
    <row r="564" spans="1:31" ht="21.2" customHeight="1">
      <c r="A564" s="8" t="s">
        <v>734</v>
      </c>
      <c r="B564" s="34" t="str">
        <f>VLOOKUP(A564,'Player Data'!A1:B734,2,FALSE)</f>
        <v>BUF</v>
      </c>
      <c r="C564" s="36">
        <f>((E564)*Settings!$C$12)+(F564*Settings!$C$2)+(G564*Settings!$C$3)+(H564*Settings!$C$4)+(I564*Settings!$C$5)+(K564*Settings!$C$9)+(N564*Settings!$C$6)+(J564*Settings!$C$8)+(O564*Settings!$C$7)+(P564*Settings!$C$14)+(Q564*Settings!$C$15)+(R564*Settings!$C$16)+(S564*Settings!$C$17)+(T564*Settings!$C$18)+(U564*Settings!$C$19)+(L564*Settings!$C$10)+(Settings!$C$11*M564)</f>
        <v>-3.9752289640747072</v>
      </c>
      <c r="D564" s="40">
        <f>IF(Settings!$E$12="YES",VLOOKUP(A564,'Player Data'!A1:E734,5,FALSE),82)</f>
        <v>82</v>
      </c>
      <c r="E564" s="38">
        <f>(VLOOKUP($A564,'The List'!$B1:$AH730,17,FALSE)-AVERAGE('The List'!R2:R730))/STDEV('The List'!R2:R730)</f>
        <v>-1.045194430781381</v>
      </c>
      <c r="F564" s="38">
        <f>(VLOOKUP($A564,'The List'!$B1:$AH730,18,FALSE)-AVERAGE('The List'!S2:S730))/STDEV('The List'!S2:S730)</f>
        <v>-0.48153936650768997</v>
      </c>
      <c r="G564" s="38">
        <f>(VLOOKUP($A564,'The List'!$B1:$AH730,19,FALSE)-AVERAGE('The List'!T2:T730))/STDEV('The List'!T2:T730)</f>
        <v>-1.1841188027880005</v>
      </c>
      <c r="H564" s="38">
        <f>(VLOOKUP($A564,'The List'!$B1:$AH730,20,FALSE)-AVERAGE('The List'!U2:U730))/STDEV('The List'!U2:U730)</f>
        <v>-0.95154229562600756</v>
      </c>
      <c r="I564" s="38">
        <f>(VLOOKUP($A564,'The List'!$B1:$AH730,21,FALSE)-AVERAGE('The List'!V2:V730))/STDEV('The List'!V2:V730)</f>
        <v>-0.55461273409425837</v>
      </c>
      <c r="J564" s="38">
        <f>(VLOOKUP($A564,'The List'!$B1:$AH730,22,FALSE)-AVERAGE('The List'!W2:W730))/STDEV('The List'!W2:W730)</f>
        <v>-0.71298494325686679</v>
      </c>
      <c r="K564" s="38">
        <f>(VLOOKUP($A564,'The List'!$B1:$AH730,23,FALSE)-AVERAGE('The List'!X2:X730))/STDEV('The List'!X2:X730)</f>
        <v>-0.80341576505875067</v>
      </c>
      <c r="L564" s="38">
        <f>(VLOOKUP($A564,'The List'!$B1:$AH730,24,FALSE)-AVERAGE('The List'!Y2:Y730))/STDEV('The List'!Y2:Y730)</f>
        <v>-0.34864834303113446</v>
      </c>
      <c r="M564" s="38">
        <f>(VLOOKUP($A564,'The List'!$B1:$AH730,25,FALSE)-AVERAGE('The List'!Z2:Z730))/STDEV('The List'!Z2:Z730)</f>
        <v>-0.54321096528699953</v>
      </c>
      <c r="N564" s="38">
        <f>(VLOOKUP($A564,'The List'!$B1:$AH730,26,FALSE)-AVERAGE('The List'!AA2:AA730))/STDEV('The List'!AA2:AA730)</f>
        <v>-0.47105097306406185</v>
      </c>
      <c r="O564" s="38">
        <f>(VLOOKUP($A564,'The List'!$B1:$AH730,27,FALSE)-AVERAGE('The List'!AB2:AB730))/STDEV('The List'!AB2:AB730)</f>
        <v>3.5079398461349068E-2</v>
      </c>
      <c r="P564" s="38">
        <f>(VLOOKUP($A564,'The List'!$B1:$AH730,28,FALSE)-AVERAGE('The List'!AC2:AC730))/STDEV('The List'!AC2:AC730)</f>
        <v>-0.58779663356527634</v>
      </c>
      <c r="Q564" s="38">
        <f>(VLOOKUP($A564,'The List'!$B1:$AH730,29,FALSE)-AVERAGE('The List'!AD2:AD730))/STDEV('The List'!AD2:AD730)</f>
        <v>-1.0276490379695549</v>
      </c>
      <c r="R564" s="38">
        <f>(VLOOKUP($A564,'The List'!$B1:$AH730,30,FALSE)-AVERAGE('The List'!AE2:AE730))/STDEV('The List'!AE2:AE730)</f>
        <v>-0.51092077963111437</v>
      </c>
      <c r="S564" s="38">
        <f>(VLOOKUP($A564,'The List'!$B1:$AH730,31,FALSE)-AVERAGE('The List'!AF2:AF730))/STDEV('The List'!AF2:AF730)</f>
        <v>-6.5826896814491762E-2</v>
      </c>
      <c r="T564" s="38">
        <f>(VLOOKUP($A564,'The List'!$B1:$AH730,32,FALSE)-AVERAGE('The List'!AG2:AG730))/STDEV('The List'!AG2:AG730)</f>
        <v>-2.2853920176025264E-2</v>
      </c>
      <c r="U564" s="38">
        <f>(VLOOKUP($A564,'The List'!$B1:$AH730,33,FALSE)-AVERAGE('The List'!AH2:AH730))/STDEV('The List'!AH2:AH730)</f>
        <v>0.89398087435219442</v>
      </c>
      <c r="V564" s="38"/>
      <c r="W564" s="42"/>
      <c r="X564" s="40"/>
      <c r="Y564" s="40"/>
      <c r="Z564" s="40"/>
      <c r="AA564" s="40"/>
      <c r="AB564" s="40"/>
      <c r="AC564" s="43"/>
      <c r="AD564" s="44"/>
      <c r="AE564" s="38"/>
    </row>
    <row r="565" spans="1:31" ht="21.2" customHeight="1">
      <c r="A565" s="8" t="s">
        <v>500</v>
      </c>
      <c r="B565" s="34" t="str">
        <f>VLOOKUP(A565,'Player Data'!A1:B734,2,FALSE)</f>
        <v>MIN</v>
      </c>
      <c r="C565" s="36">
        <f>((E565)*Settings!$C$12)+(F565*Settings!$C$2)+(G565*Settings!$C$3)+(H565*Settings!$C$4)+(I565*Settings!$C$5)+(K565*Settings!$C$9)+(N565*Settings!$C$6)+(J565*Settings!$C$8)+(O565*Settings!$C$7)+(P565*Settings!$C$14)+(Q565*Settings!$C$15)+(R565*Settings!$C$16)+(S565*Settings!$C$17)+(T565*Settings!$C$18)+(U565*Settings!$C$19)+(L565*Settings!$C$10)+(Settings!$C$11*M565)</f>
        <v>-4.5171208311545321</v>
      </c>
      <c r="D565" s="40">
        <f>IF(Settings!$E$12="YES",VLOOKUP(A565,'Player Data'!A1:E734,5,FALSE),82)</f>
        <v>82</v>
      </c>
      <c r="E565" s="38">
        <f>(VLOOKUP($A565,'The List'!$B1:$AH730,17,FALSE)-AVERAGE('The List'!R2:R730))/STDEV('The List'!R2:R730)</f>
        <v>0.66820672951296722</v>
      </c>
      <c r="F565" s="38">
        <f>(VLOOKUP($A565,'The List'!$B1:$AH730,18,FALSE)-AVERAGE('The List'!S2:S730))/STDEV('The List'!S2:S730)</f>
        <v>-0.97924473820852376</v>
      </c>
      <c r="G565" s="38">
        <f>(VLOOKUP($A565,'The List'!$B1:$AH730,19,FALSE)-AVERAGE('The List'!T2:T730))/STDEV('The List'!T2:T730)</f>
        <v>-0.81048625610066793</v>
      </c>
      <c r="H565" s="38">
        <f>(VLOOKUP($A565,'The List'!$B1:$AH730,20,FALSE)-AVERAGE('The List'!U2:U730))/STDEV('The List'!U2:U730)</f>
        <v>-0.95330025029461429</v>
      </c>
      <c r="I565" s="38">
        <f>(VLOOKUP($A565,'The List'!$B1:$AH730,21,FALSE)-AVERAGE('The List'!V2:V730))/STDEV('The List'!V2:V730)</f>
        <v>-0.96576107698441738</v>
      </c>
      <c r="J565" s="38">
        <f>(VLOOKUP($A565,'The List'!$B1:$AH730,22,FALSE)-AVERAGE('The List'!W2:W730))/STDEV('The List'!W2:W730)</f>
        <v>-0.73189211492529116</v>
      </c>
      <c r="K565" s="38">
        <f>(VLOOKUP($A565,'The List'!$B1:$AH730,23,FALSE)-AVERAGE('The List'!X2:X730))/STDEV('The List'!X2:X730)</f>
        <v>-0.80832850956630853</v>
      </c>
      <c r="L565" s="38">
        <f>(VLOOKUP($A565,'The List'!$B1:$AH730,24,FALSE)-AVERAGE('The List'!Y2:Y730))/STDEV('The List'!Y2:Y730)</f>
        <v>-0.46792414194164023</v>
      </c>
      <c r="M565" s="38">
        <f>(VLOOKUP($A565,'The List'!$B1:$AH730,25,FALSE)-AVERAGE('The List'!Z2:Z730))/STDEV('The List'!Z2:Z730)</f>
        <v>0.42698324771888557</v>
      </c>
      <c r="N565" s="38">
        <f>(VLOOKUP($A565,'The List'!$B1:$AH730,26,FALSE)-AVERAGE('The List'!AA2:AA730))/STDEV('The List'!AA2:AA730)</f>
        <v>2.0787835541530755</v>
      </c>
      <c r="O565" s="38">
        <f>(VLOOKUP($A565,'The List'!$B1:$AH730,27,FALSE)-AVERAGE('The List'!AB2:AB730))/STDEV('The List'!AB2:AB730)</f>
        <v>0.49176655366553729</v>
      </c>
      <c r="P565" s="38">
        <f>(VLOOKUP($A565,'The List'!$B1:$AH730,28,FALSE)-AVERAGE('The List'!AC2:AC730))/STDEV('The List'!AC2:AC730)</f>
        <v>0.41810135162966777</v>
      </c>
      <c r="Q565" s="38">
        <f>(VLOOKUP($A565,'The List'!$B1:$AH730,29,FALSE)-AVERAGE('The List'!AD2:AD730))/STDEV('The List'!AD2:AD730)</f>
        <v>2.1297703701883393</v>
      </c>
      <c r="R565" s="38">
        <f>(VLOOKUP($A565,'The List'!$B1:$AH730,30,FALSE)-AVERAGE('The List'!AE2:AE730))/STDEV('The List'!AE2:AE730)</f>
        <v>-0.84300548485825777</v>
      </c>
      <c r="S565" s="38">
        <f>(VLOOKUP($A565,'The List'!$B1:$AH730,31,FALSE)-AVERAGE('The List'!AF2:AF730))/STDEV('The List'!AF2:AF730)</f>
        <v>-0.56911587195029545</v>
      </c>
      <c r="T565" s="38">
        <f>(VLOOKUP($A565,'The List'!$B1:$AH730,32,FALSE)-AVERAGE('The List'!AG2:AG730))/STDEV('The List'!AG2:AG730)</f>
        <v>-0.61510119871956948</v>
      </c>
      <c r="U565" s="38">
        <f>(VLOOKUP($A565,'The List'!$B1:$AH730,33,FALSE)-AVERAGE('The List'!AH2:AH730))/STDEV('The List'!AH2:AH730)</f>
        <v>-1.2363238714825984</v>
      </c>
      <c r="V565" s="38"/>
      <c r="W565" s="42"/>
      <c r="X565" s="40"/>
      <c r="Y565" s="40"/>
      <c r="Z565" s="40"/>
      <c r="AA565" s="40"/>
      <c r="AB565" s="40"/>
      <c r="AC565" s="43"/>
      <c r="AD565" s="44"/>
      <c r="AE565" s="38"/>
    </row>
    <row r="566" spans="1:31" ht="21.2" customHeight="1">
      <c r="A566" s="8" t="s">
        <v>791</v>
      </c>
      <c r="B566" s="34" t="str">
        <f>VLOOKUP(A566,'Player Data'!A1:B734,2,FALSE)</f>
        <v>STL</v>
      </c>
      <c r="C566" s="36">
        <f>((E566)*Settings!$C$12)+(F566*Settings!$C$2)+(G566*Settings!$C$3)+(H566*Settings!$C$4)+(I566*Settings!$C$5)+(K566*Settings!$C$9)+(N566*Settings!$C$6)+(J566*Settings!$C$8)+(O566*Settings!$C$7)+(P566*Settings!$C$14)+(Q566*Settings!$C$15)+(R566*Settings!$C$16)+(S566*Settings!$C$17)+(T566*Settings!$C$18)+(U566*Settings!$C$19)+(L566*Settings!$C$10)+(Settings!$C$11*M566)</f>
        <v>-4.706783555182799</v>
      </c>
      <c r="D566" s="40">
        <f>IF(Settings!$E$12="YES",VLOOKUP(A566,'Player Data'!A1:E734,5,FALSE),82)</f>
        <v>82</v>
      </c>
      <c r="E566" s="38">
        <f>(VLOOKUP($A566,'The List'!$B1:$AH730,17,FALSE)-AVERAGE('The List'!R2:R730))/STDEV('The List'!R2:R730)</f>
        <v>-1.6656649164765374</v>
      </c>
      <c r="F566" s="38">
        <f>(VLOOKUP($A566,'The List'!$B1:$AH730,18,FALSE)-AVERAGE('The List'!S2:S730))/STDEV('The List'!S2:S730)</f>
        <v>-0.68517748936886202</v>
      </c>
      <c r="G566" s="38">
        <f>(VLOOKUP($A566,'The List'!$B1:$AH730,19,FALSE)-AVERAGE('The List'!T2:T730))/STDEV('The List'!T2:T730)</f>
        <v>-1.0406453071501665</v>
      </c>
      <c r="H566" s="38">
        <f>(VLOOKUP($A566,'The List'!$B1:$AH730,20,FALSE)-AVERAGE('The List'!U2:U730))/STDEV('The List'!U2:U730)</f>
        <v>-0.95803807958266229</v>
      </c>
      <c r="I566" s="38">
        <f>(VLOOKUP($A566,'The List'!$B1:$AH730,21,FALSE)-AVERAGE('The List'!V2:V730))/STDEV('The List'!V2:V730)</f>
        <v>-1.2122317875682307</v>
      </c>
      <c r="J566" s="38">
        <f>(VLOOKUP($A566,'The List'!$B1:$AH730,22,FALSE)-AVERAGE('The List'!W2:W730))/STDEV('The List'!W2:W730)</f>
        <v>-0.7210702320682213</v>
      </c>
      <c r="K566" s="38">
        <f>(VLOOKUP($A566,'The List'!$B1:$AH730,23,FALSE)-AVERAGE('The List'!X2:X730))/STDEV('The List'!X2:X730)</f>
        <v>-0.81069089151287765</v>
      </c>
      <c r="L566" s="38">
        <f>(VLOOKUP($A566,'The List'!$B1:$AH730,24,FALSE)-AVERAGE('The List'!Y2:Y730))/STDEV('The List'!Y2:Y730)</f>
        <v>-0.30089278692637289</v>
      </c>
      <c r="M566" s="38">
        <f>(VLOOKUP($A566,'The List'!$B1:$AH730,25,FALSE)-AVERAGE('The List'!Z2:Z730))/STDEV('The List'!Z2:Z730)</f>
        <v>-0.45117147761537107</v>
      </c>
      <c r="N566" s="38">
        <f>(VLOOKUP($A566,'The List'!$B1:$AH730,26,FALSE)-AVERAGE('The List'!AA2:AA730))/STDEV('The List'!AA2:AA730)</f>
        <v>-0.42854441961720696</v>
      </c>
      <c r="O566" s="38">
        <f>(VLOOKUP($A566,'The List'!$B1:$AH730,27,FALSE)-AVERAGE('The List'!AB2:AB730))/STDEV('The List'!AB2:AB730)</f>
        <v>0.41387835562722874</v>
      </c>
      <c r="P566" s="38">
        <f>(VLOOKUP($A566,'The List'!$B1:$AH730,28,FALSE)-AVERAGE('The List'!AC2:AC730))/STDEV('The List'!AC2:AC730)</f>
        <v>-0.97502753739545855</v>
      </c>
      <c r="Q566" s="38">
        <f>(VLOOKUP($A566,'The List'!$B1:$AH730,29,FALSE)-AVERAGE('The List'!AD2:AD730))/STDEV('The List'!AD2:AD730)</f>
        <v>-0.67441822271109386</v>
      </c>
      <c r="R566" s="38">
        <f>(VLOOKUP($A566,'The List'!$B1:$AH730,30,FALSE)-AVERAGE('The List'!AE2:AE730))/STDEV('The List'!AE2:AE730)</f>
        <v>-0.73842493886897775</v>
      </c>
      <c r="S566" s="38">
        <f>(VLOOKUP($A566,'The List'!$B1:$AH730,31,FALSE)-AVERAGE('The List'!AF2:AF730))/STDEV('The List'!AF2:AF730)</f>
        <v>-6.2487697396025298E-2</v>
      </c>
      <c r="T566" s="38">
        <f>(VLOOKUP($A566,'The List'!$B1:$AH730,32,FALSE)-AVERAGE('The List'!AG2:AG730))/STDEV('The List'!AG2:AG730)</f>
        <v>-1.1987572285850633E-2</v>
      </c>
      <c r="U566" s="38">
        <f>(VLOOKUP($A566,'The List'!$B1:$AH730,33,FALSE)-AVERAGE('The List'!AH2:AH730))/STDEV('The List'!AH2:AH730)</f>
        <v>0.88096530015912211</v>
      </c>
      <c r="V566" s="38"/>
      <c r="W566" s="42"/>
      <c r="X566" s="40"/>
      <c r="Y566" s="40"/>
      <c r="Z566" s="40"/>
      <c r="AA566" s="40"/>
      <c r="AB566" s="40"/>
      <c r="AC566" s="43"/>
      <c r="AD566" s="44"/>
      <c r="AE566" s="38"/>
    </row>
    <row r="567" spans="1:31" ht="21.2" customHeight="1">
      <c r="A567" s="8" t="s">
        <v>533</v>
      </c>
      <c r="B567" s="34" t="str">
        <f>VLOOKUP(A567,'Player Data'!A1:B734,2,FALSE)</f>
        <v>MTL</v>
      </c>
      <c r="C567" s="36">
        <f>((E567)*Settings!$C$12)+(F567*Settings!$C$2)+(G567*Settings!$C$3)+(H567*Settings!$C$4)+(I567*Settings!$C$5)+(K567*Settings!$C$9)+(N567*Settings!$C$6)+(J567*Settings!$C$8)+(O567*Settings!$C$7)+(P567*Settings!$C$14)+(Q567*Settings!$C$15)+(R567*Settings!$C$16)+(S567*Settings!$C$17)+(T567*Settings!$C$18)+(U567*Settings!$C$19)+(L567*Settings!$C$10)+(Settings!$C$11*M567)</f>
        <v>-4.337573284256834</v>
      </c>
      <c r="D567" s="40">
        <f>IF(Settings!$E$12="YES",VLOOKUP(A567,'Player Data'!A1:E734,5,FALSE),82)</f>
        <v>82</v>
      </c>
      <c r="E567" s="38">
        <f>(VLOOKUP($A567,'The List'!$B1:$AH730,17,FALSE)-AVERAGE('The List'!R2:R730))/STDEV('The List'!R2:R730)</f>
        <v>7.2986047289200939E-2</v>
      </c>
      <c r="F567" s="38">
        <f>(VLOOKUP($A567,'The List'!$B1:$AH730,18,FALSE)-AVERAGE('The List'!S2:S730))/STDEV('The List'!S2:S730)</f>
        <v>-1.0311643985038124</v>
      </c>
      <c r="G567" s="38">
        <f>(VLOOKUP($A567,'The List'!$B1:$AH730,19,FALSE)-AVERAGE('The List'!T2:T730))/STDEV('The List'!T2:T730)</f>
        <v>-0.77912615788827189</v>
      </c>
      <c r="H567" s="38">
        <f>(VLOOKUP($A567,'The List'!$B1:$AH730,20,FALSE)-AVERAGE('The List'!U2:U730))/STDEV('The List'!U2:U730)</f>
        <v>-0.95816429114041324</v>
      </c>
      <c r="I567" s="38">
        <f>(VLOOKUP($A567,'The List'!$B1:$AH730,21,FALSE)-AVERAGE('The List'!V2:V730))/STDEV('The List'!V2:V730)</f>
        <v>-0.76042183989668566</v>
      </c>
      <c r="J567" s="38">
        <f>(VLOOKUP($A567,'The List'!$B1:$AH730,22,FALSE)-AVERAGE('The List'!W2:W730))/STDEV('The List'!W2:W730)</f>
        <v>-0.73000157410876709</v>
      </c>
      <c r="K567" s="38">
        <f>(VLOOKUP($A567,'The List'!$B1:$AH730,23,FALSE)-AVERAGE('The List'!X2:X730))/STDEV('The List'!X2:X730)</f>
        <v>-0.80869659682765116</v>
      </c>
      <c r="L567" s="38">
        <f>(VLOOKUP($A567,'The List'!$B1:$AH730,24,FALSE)-AVERAGE('The List'!Y2:Y730))/STDEV('The List'!Y2:Y730)</f>
        <v>-0.45674062076688826</v>
      </c>
      <c r="M567" s="38">
        <f>(VLOOKUP($A567,'The List'!$B1:$AH730,25,FALSE)-AVERAGE('The List'!Z2:Z730))/STDEV('The List'!Z2:Z730)</f>
        <v>-0.47330678514507457</v>
      </c>
      <c r="N567" s="38">
        <f>(VLOOKUP($A567,'The List'!$B1:$AH730,26,FALSE)-AVERAGE('The List'!AA2:AA730))/STDEV('The List'!AA2:AA730)</f>
        <v>0.69437714555968799</v>
      </c>
      <c r="O567" s="38">
        <f>(VLOOKUP($A567,'The List'!$B1:$AH730,27,FALSE)-AVERAGE('The List'!AB2:AB730))/STDEV('The List'!AB2:AB730)</f>
        <v>-2.7723710152651182E-3</v>
      </c>
      <c r="P567" s="38">
        <f>(VLOOKUP($A567,'The List'!$B1:$AH730,28,FALSE)-AVERAGE('The List'!AC2:AC730))/STDEV('The List'!AC2:AC730)</f>
        <v>-1.5684127384217832</v>
      </c>
      <c r="Q567" s="38">
        <f>(VLOOKUP($A567,'The List'!$B1:$AH730,29,FALSE)-AVERAGE('The List'!AD2:AD730))/STDEV('The List'!AD2:AD730)</f>
        <v>-0.18446090946292087</v>
      </c>
      <c r="R567" s="38">
        <f>(VLOOKUP($A567,'The List'!$B1:$AH730,30,FALSE)-AVERAGE('The List'!AE2:AE730))/STDEV('The List'!AE2:AE730)</f>
        <v>-1.0255667228168828</v>
      </c>
      <c r="S567" s="38">
        <f>(VLOOKUP($A567,'The List'!$B1:$AH730,31,FALSE)-AVERAGE('The List'!AF2:AF730))/STDEV('The List'!AF2:AF730)</f>
        <v>-0.56911587195029545</v>
      </c>
      <c r="T567" s="38">
        <f>(VLOOKUP($A567,'The List'!$B1:$AH730,32,FALSE)-AVERAGE('The List'!AG2:AG730))/STDEV('The List'!AG2:AG730)</f>
        <v>-0.61510119871956948</v>
      </c>
      <c r="U567" s="38">
        <f>(VLOOKUP($A567,'The List'!$B1:$AH730,33,FALSE)-AVERAGE('The List'!AH2:AH730))/STDEV('The List'!AH2:AH730)</f>
        <v>-1.2363238714825984</v>
      </c>
      <c r="V567" s="38"/>
      <c r="W567" s="42"/>
      <c r="X567" s="40"/>
      <c r="Y567" s="40"/>
      <c r="Z567" s="40"/>
      <c r="AA567" s="40"/>
      <c r="AB567" s="40"/>
      <c r="AC567" s="43"/>
      <c r="AD567" s="44"/>
      <c r="AE567" s="38"/>
    </row>
    <row r="568" spans="1:31" ht="21.2" customHeight="1">
      <c r="A568" s="8" t="s">
        <v>563</v>
      </c>
      <c r="B568" s="34" t="str">
        <f>VLOOKUP(A568,'Player Data'!A1:B734,2,FALSE)</f>
        <v>SJS</v>
      </c>
      <c r="C568" s="36">
        <f>((E568)*Settings!$C$12)+(F568*Settings!$C$2)+(G568*Settings!$C$3)+(H568*Settings!$C$4)+(I568*Settings!$C$5)+(K568*Settings!$C$9)+(N568*Settings!$C$6)+(J568*Settings!$C$8)+(O568*Settings!$C$7)+(P568*Settings!$C$14)+(Q568*Settings!$C$15)+(R568*Settings!$C$16)+(S568*Settings!$C$17)+(T568*Settings!$C$18)+(U568*Settings!$C$19)+(L568*Settings!$C$10)+(Settings!$C$11*M568)</f>
        <v>-4.4235658316829287</v>
      </c>
      <c r="D568" s="40">
        <f>IF(Settings!$E$12="YES",VLOOKUP(A568,'Player Data'!A1:E734,5,FALSE),82)</f>
        <v>82</v>
      </c>
      <c r="E568" s="38">
        <f>(VLOOKUP($A568,'The List'!$B1:$AH730,17,FALSE)-AVERAGE('The List'!R2:R730))/STDEV('The List'!R2:R730)</f>
        <v>0.7108764499280612</v>
      </c>
      <c r="F568" s="38">
        <f>(VLOOKUP($A568,'The List'!$B1:$AH730,18,FALSE)-AVERAGE('The List'!S2:S730))/STDEV('The List'!S2:S730)</f>
        <v>-0.96602765742718011</v>
      </c>
      <c r="G568" s="38">
        <f>(VLOOKUP($A568,'The List'!$B1:$AH730,19,FALSE)-AVERAGE('The List'!T2:T730))/STDEV('The List'!T2:T730)</f>
        <v>-0.84016776392994452</v>
      </c>
      <c r="H568" s="38">
        <f>(VLOOKUP($A568,'The List'!$B1:$AH730,20,FALSE)-AVERAGE('The List'!U2:U730))/STDEV('The List'!U2:U730)</f>
        <v>-0.96539643878230263</v>
      </c>
      <c r="I568" s="38">
        <f>(VLOOKUP($A568,'The List'!$B1:$AH730,21,FALSE)-AVERAGE('The List'!V2:V730))/STDEV('The List'!V2:V730)</f>
        <v>-0.93081223458866102</v>
      </c>
      <c r="J568" s="38">
        <f>(VLOOKUP($A568,'The List'!$B1:$AH730,22,FALSE)-AVERAGE('The List'!W2:W730))/STDEV('The List'!W2:W730)</f>
        <v>-0.69353772530967928</v>
      </c>
      <c r="K568" s="38">
        <f>(VLOOKUP($A568,'The List'!$B1:$AH730,23,FALSE)-AVERAGE('The List'!X2:X730))/STDEV('The List'!X2:X730)</f>
        <v>-0.72116173695484032</v>
      </c>
      <c r="L568" s="38">
        <f>(VLOOKUP($A568,'The List'!$B1:$AH730,24,FALSE)-AVERAGE('The List'!Y2:Y730))/STDEV('The List'!Y2:Y730)</f>
        <v>-0.43760823397880433</v>
      </c>
      <c r="M568" s="38">
        <f>(VLOOKUP($A568,'The List'!$B1:$AH730,25,FALSE)-AVERAGE('The List'!Z2:Z730))/STDEV('The List'!Z2:Z730)</f>
        <v>-0.46039399881132043</v>
      </c>
      <c r="N568" s="38">
        <f>(VLOOKUP($A568,'The List'!$B1:$AH730,26,FALSE)-AVERAGE('The List'!AA2:AA730))/STDEV('The List'!AA2:AA730)</f>
        <v>1.54486932918747</v>
      </c>
      <c r="O568" s="38">
        <f>(VLOOKUP($A568,'The List'!$B1:$AH730,27,FALSE)-AVERAGE('The List'!AB2:AB730))/STDEV('The List'!AB2:AB730)</f>
        <v>2.4079931381532065</v>
      </c>
      <c r="P568" s="38">
        <f>(VLOOKUP($A568,'The List'!$B1:$AH730,28,FALSE)-AVERAGE('The List'!AC2:AC730))/STDEV('The List'!AC2:AC730)</f>
        <v>-0.20373204209402002</v>
      </c>
      <c r="Q568" s="38">
        <f>(VLOOKUP($A568,'The List'!$B1:$AH730,29,FALSE)-AVERAGE('The List'!AD2:AD730))/STDEV('The List'!AD2:AD730)</f>
        <v>3.8710104028729218</v>
      </c>
      <c r="R568" s="38">
        <f>(VLOOKUP($A568,'The List'!$B1:$AH730,30,FALSE)-AVERAGE('The List'!AE2:AE730))/STDEV('The List'!AE2:AE730)</f>
        <v>-0.92499269200479761</v>
      </c>
      <c r="S568" s="38">
        <f>(VLOOKUP($A568,'The List'!$B1:$AH730,31,FALSE)-AVERAGE('The List'!AF2:AF730))/STDEV('The List'!AF2:AF730)</f>
        <v>-0.56911587195029545</v>
      </c>
      <c r="T568" s="38">
        <f>(VLOOKUP($A568,'The List'!$B1:$AH730,32,FALSE)-AVERAGE('The List'!AG2:AG730))/STDEV('The List'!AG2:AG730)</f>
        <v>-0.60700993348609789</v>
      </c>
      <c r="U568" s="38">
        <f>(VLOOKUP($A568,'The List'!$B1:$AH730,33,FALSE)-AVERAGE('The List'!AH2:AH730))/STDEV('The List'!AH2:AH730)</f>
        <v>-1.2363238714825984</v>
      </c>
      <c r="V568" s="38"/>
      <c r="W568" s="40"/>
      <c r="X568" s="38"/>
      <c r="Y568" s="38"/>
      <c r="Z568" s="38"/>
      <c r="AA568" s="38"/>
      <c r="AB568" s="38"/>
      <c r="AC568" s="38"/>
      <c r="AD568" s="38"/>
      <c r="AE568" s="38"/>
    </row>
    <row r="569" spans="1:31" ht="21.2" customHeight="1">
      <c r="A569" s="8" t="s">
        <v>764</v>
      </c>
      <c r="B569" s="34" t="str">
        <f>VLOOKUP(A569,'Player Data'!A1:B734,2,FALSE)</f>
        <v>ANA</v>
      </c>
      <c r="C569" s="36">
        <f>((E569)*Settings!$C$12)+(F569*Settings!$C$2)+(G569*Settings!$C$3)+(H569*Settings!$C$4)+(I569*Settings!$C$5)+(K569*Settings!$C$9)+(N569*Settings!$C$6)+(J569*Settings!$C$8)+(O569*Settings!$C$7)+(P569*Settings!$C$14)+(Q569*Settings!$C$15)+(R569*Settings!$C$16)+(S569*Settings!$C$17)+(T569*Settings!$C$18)+(U569*Settings!$C$19)+(L569*Settings!$C$10)+(Settings!$C$11*M569)</f>
        <v>-4.4557596841979228</v>
      </c>
      <c r="D569" s="40">
        <f>IF(Settings!$E$12="YES",VLOOKUP(A569,'Player Data'!A1:E734,5,FALSE),82)</f>
        <v>82</v>
      </c>
      <c r="E569" s="38">
        <f>(VLOOKUP($A569,'The List'!$B1:$AH730,17,FALSE)-AVERAGE('The List'!R2:R730))/STDEV('The List'!R2:R730)</f>
        <v>-1.5121572624586672</v>
      </c>
      <c r="F569" s="38">
        <f>(VLOOKUP($A569,'The List'!$B1:$AH730,18,FALSE)-AVERAGE('The List'!S2:S730))/STDEV('The List'!S2:S730)</f>
        <v>-0.48811850040143889</v>
      </c>
      <c r="G569" s="38">
        <f>(VLOOKUP($A569,'The List'!$B1:$AH730,19,FALSE)-AVERAGE('The List'!T2:T730))/STDEV('The List'!T2:T730)</f>
        <v>-1.202833180488537</v>
      </c>
      <c r="H569" s="38">
        <f>(VLOOKUP($A569,'The List'!$B1:$AH730,20,FALSE)-AVERAGE('The List'!U2:U730))/STDEV('The List'!U2:U730)</f>
        <v>-0.96610147944544722</v>
      </c>
      <c r="I569" s="38">
        <f>(VLOOKUP($A569,'The List'!$B1:$AH730,21,FALSE)-AVERAGE('The List'!V2:V730))/STDEV('The List'!V2:V730)</f>
        <v>-0.98807113892678389</v>
      </c>
      <c r="J569" s="38">
        <f>(VLOOKUP($A569,'The List'!$B1:$AH730,22,FALSE)-AVERAGE('The List'!W2:W730))/STDEV('The List'!W2:W730)</f>
        <v>-0.72029168816647571</v>
      </c>
      <c r="K569" s="38">
        <f>(VLOOKUP($A569,'The List'!$B1:$AH730,23,FALSE)-AVERAGE('The List'!X2:X730))/STDEV('The List'!X2:X730)</f>
        <v>-0.81063538493571541</v>
      </c>
      <c r="L569" s="38">
        <f>(VLOOKUP($A569,'The List'!$B1:$AH730,24,FALSE)-AVERAGE('The List'!Y2:Y730))/STDEV('The List'!Y2:Y730)</f>
        <v>-0.4774144094413284</v>
      </c>
      <c r="M569" s="38">
        <f>(VLOOKUP($A569,'The List'!$B1:$AH730,25,FALSE)-AVERAGE('The List'!Z2:Z730))/STDEV('The List'!Z2:Z730)</f>
        <v>-0.64726133030532451</v>
      </c>
      <c r="N569" s="38">
        <f>(VLOOKUP($A569,'The List'!$B1:$AH730,26,FALSE)-AVERAGE('The List'!AA2:AA730))/STDEV('The List'!AA2:AA730)</f>
        <v>-0.83272089863506427</v>
      </c>
      <c r="O569" s="38">
        <f>(VLOOKUP($A569,'The List'!$B1:$AH730,27,FALSE)-AVERAGE('The List'!AB2:AB730))/STDEV('The List'!AB2:AB730)</f>
        <v>-0.62942519057098434</v>
      </c>
      <c r="P569" s="38">
        <f>(VLOOKUP($A569,'The List'!$B1:$AH730,28,FALSE)-AVERAGE('The List'!AC2:AC730))/STDEV('The List'!AC2:AC730)</f>
        <v>-2.4259488197304524</v>
      </c>
      <c r="Q569" s="38">
        <f>(VLOOKUP($A569,'The List'!$B1:$AH730,29,FALSE)-AVERAGE('The List'!AD2:AD730))/STDEV('The List'!AD2:AD730)</f>
        <v>-0.96097053869824889</v>
      </c>
      <c r="R569" s="38">
        <f>(VLOOKUP($A569,'The List'!$B1:$AH730,30,FALSE)-AVERAGE('The List'!AE2:AE730))/STDEV('The List'!AE2:AE730)</f>
        <v>-0.7010722772010396</v>
      </c>
      <c r="S569" s="38">
        <f>(VLOOKUP($A569,'The List'!$B1:$AH730,31,FALSE)-AVERAGE('The List'!AF2:AF730))/STDEV('The List'!AF2:AF730)</f>
        <v>-0.55220805156590003</v>
      </c>
      <c r="T569" s="38">
        <f>(VLOOKUP($A569,'The List'!$B1:$AH730,32,FALSE)-AVERAGE('The List'!AG2:AG730))/STDEV('The List'!AG2:AG730)</f>
        <v>-0.58157724405203703</v>
      </c>
      <c r="U569" s="38">
        <f>(VLOOKUP($A569,'The List'!$B1:$AH730,33,FALSE)-AVERAGE('The List'!AH2:AH730))/STDEV('The List'!AH2:AH730)</f>
        <v>0.32794059590928748</v>
      </c>
      <c r="V569" s="38"/>
      <c r="W569" s="42"/>
      <c r="X569" s="40"/>
      <c r="Y569" s="40"/>
      <c r="Z569" s="40"/>
      <c r="AA569" s="40"/>
      <c r="AB569" s="40"/>
      <c r="AC569" s="43"/>
      <c r="AD569" s="44"/>
      <c r="AE569" s="38"/>
    </row>
    <row r="570" spans="1:31" ht="21.2" customHeight="1">
      <c r="A570" s="8" t="s">
        <v>483</v>
      </c>
      <c r="B570" s="34" t="str">
        <f>VLOOKUP(A570,'Player Data'!A1:B734,2,FALSE)</f>
        <v>BUF</v>
      </c>
      <c r="C570" s="36">
        <f>((E570)*Settings!$C$12)+(F570*Settings!$C$2)+(G570*Settings!$C$3)+(H570*Settings!$C$4)+(I570*Settings!$C$5)+(K570*Settings!$C$9)+(N570*Settings!$C$6)+(J570*Settings!$C$8)+(O570*Settings!$C$7)+(P570*Settings!$C$14)+(Q570*Settings!$C$15)+(R570*Settings!$C$16)+(S570*Settings!$C$17)+(T570*Settings!$C$18)+(U570*Settings!$C$19)+(L570*Settings!$C$10)+(Settings!$C$11*M570)</f>
        <v>-3.879629125141757</v>
      </c>
      <c r="D570" s="40">
        <f>IF(Settings!$E$12="YES",VLOOKUP(A570,'Player Data'!A1:E734,5,FALSE),82)</f>
        <v>82</v>
      </c>
      <c r="E570" s="38">
        <f>(VLOOKUP($A570,'The List'!$B1:$AH730,17,FALSE)-AVERAGE('The List'!R2:R730))/STDEV('The List'!R2:R730)</f>
        <v>0.17431316784928116</v>
      </c>
      <c r="F570" s="38">
        <f>(VLOOKUP($A570,'The List'!$B1:$AH730,18,FALSE)-AVERAGE('The List'!S2:S730))/STDEV('The List'!S2:S730)</f>
        <v>-1.0158132539623961</v>
      </c>
      <c r="G570" s="38">
        <f>(VLOOKUP($A570,'The List'!$B1:$AH730,19,FALSE)-AVERAGE('The List'!T2:T730))/STDEV('The List'!T2:T730)</f>
        <v>-0.80576240989127934</v>
      </c>
      <c r="H570" s="38">
        <f>(VLOOKUP($A570,'The List'!$B1:$AH730,20,FALSE)-AVERAGE('The List'!U2:U730))/STDEV('The List'!U2:U730)</f>
        <v>-0.9673969812369968</v>
      </c>
      <c r="I570" s="38">
        <f>(VLOOKUP($A570,'The List'!$B1:$AH730,21,FALSE)-AVERAGE('The List'!V2:V730))/STDEV('The List'!V2:V730)</f>
        <v>-0.28376088248000331</v>
      </c>
      <c r="J570" s="38">
        <f>(VLOOKUP($A570,'The List'!$B1:$AH730,22,FALSE)-AVERAGE('The List'!W2:W730))/STDEV('The List'!W2:W730)</f>
        <v>-0.7322115079116146</v>
      </c>
      <c r="K570" s="38">
        <f>(VLOOKUP($A570,'The List'!$B1:$AH730,23,FALSE)-AVERAGE('The List'!X2:X730))/STDEV('The List'!X2:X730)</f>
        <v>-0.80689559757108165</v>
      </c>
      <c r="L570" s="38">
        <f>(VLOOKUP($A570,'The List'!$B1:$AH730,24,FALSE)-AVERAGE('The List'!Y2:Y730))/STDEV('The List'!Y2:Y730)</f>
        <v>-0.11784453838516101</v>
      </c>
      <c r="M570" s="38">
        <f>(VLOOKUP($A570,'The List'!$B1:$AH730,25,FALSE)-AVERAGE('The List'!Z2:Z730))/STDEV('The List'!Z2:Z730)</f>
        <v>0.25592920893292548</v>
      </c>
      <c r="N570" s="38">
        <f>(VLOOKUP($A570,'The List'!$B1:$AH730,26,FALSE)-AVERAGE('The List'!AA2:AA730))/STDEV('The List'!AA2:AA730)</f>
        <v>1.5069435092287111</v>
      </c>
      <c r="O570" s="38">
        <f>(VLOOKUP($A570,'The List'!$B1:$AH730,27,FALSE)-AVERAGE('The List'!AB2:AB730))/STDEV('The List'!AB2:AB730)</f>
        <v>0.93920850581382975</v>
      </c>
      <c r="P570" s="38">
        <f>(VLOOKUP($A570,'The List'!$B1:$AH730,28,FALSE)-AVERAGE('The List'!AC2:AC730))/STDEV('The List'!AC2:AC730)</f>
        <v>-0.31183780295693575</v>
      </c>
      <c r="Q570" s="38">
        <f>(VLOOKUP($A570,'The List'!$B1:$AH730,29,FALSE)-AVERAGE('The List'!AD2:AD730))/STDEV('The List'!AD2:AD730)</f>
        <v>-0.71216946541993376</v>
      </c>
      <c r="R570" s="38">
        <f>(VLOOKUP($A570,'The List'!$B1:$AH730,30,FALSE)-AVERAGE('The List'!AE2:AE730))/STDEV('The List'!AE2:AE730)</f>
        <v>-0.95633522419394257</v>
      </c>
      <c r="S570" s="38">
        <f>(VLOOKUP($A570,'The List'!$B1:$AH730,31,FALSE)-AVERAGE('The List'!AF2:AF730))/STDEV('The List'!AF2:AF730)</f>
        <v>-0.56911587195029545</v>
      </c>
      <c r="T570" s="38">
        <f>(VLOOKUP($A570,'The List'!$B1:$AH730,32,FALSE)-AVERAGE('The List'!AG2:AG730))/STDEV('The List'!AG2:AG730)</f>
        <v>-0.61510119871956948</v>
      </c>
      <c r="U570" s="38">
        <f>(VLOOKUP($A570,'The List'!$B1:$AH730,33,FALSE)-AVERAGE('The List'!AH2:AH730))/STDEV('The List'!AH2:AH730)</f>
        <v>-1.2363238714825984</v>
      </c>
      <c r="V570" s="38"/>
      <c r="W570" s="42"/>
      <c r="X570" s="40"/>
      <c r="Y570" s="40"/>
      <c r="Z570" s="40"/>
      <c r="AA570" s="40"/>
      <c r="AB570" s="40"/>
      <c r="AC570" s="43"/>
      <c r="AD570" s="44"/>
      <c r="AE570" s="38"/>
    </row>
    <row r="571" spans="1:31" ht="21.2" customHeight="1">
      <c r="A571" s="8" t="s">
        <v>452</v>
      </c>
      <c r="B571" s="34" t="str">
        <f>VLOOKUP(A571,'Player Data'!A1:B734,2,FALSE)</f>
        <v>OTT</v>
      </c>
      <c r="C571" s="36">
        <f>((E571)*Settings!$C$12)+(F571*Settings!$C$2)+(G571*Settings!$C$3)+(H571*Settings!$C$4)+(I571*Settings!$C$5)+(K571*Settings!$C$9)+(N571*Settings!$C$6)+(J571*Settings!$C$8)+(O571*Settings!$C$7)+(P571*Settings!$C$14)+(Q571*Settings!$C$15)+(R571*Settings!$C$16)+(S571*Settings!$C$17)+(T571*Settings!$C$18)+(U571*Settings!$C$19)+(L571*Settings!$C$10)+(Settings!$C$11*M571)</f>
        <v>-3.7992446915309386</v>
      </c>
      <c r="D571" s="40">
        <f>IF(Settings!$E$12="YES",VLOOKUP(A571,'Player Data'!A1:E734,5,FALSE),82)</f>
        <v>82</v>
      </c>
      <c r="E571" s="38">
        <f>(VLOOKUP($A571,'The List'!$B1:$AH730,17,FALSE)-AVERAGE('The List'!R2:R730))/STDEV('The List'!R2:R730)</f>
        <v>0.24167224374974755</v>
      </c>
      <c r="F571" s="38">
        <f>(VLOOKUP($A571,'The List'!$B1:$AH730,18,FALSE)-AVERAGE('The List'!S2:S730))/STDEV('The List'!S2:S730)</f>
        <v>-0.89815693079339731</v>
      </c>
      <c r="G571" s="38">
        <f>(VLOOKUP($A571,'The List'!$B1:$AH730,19,FALSE)-AVERAGE('The List'!T2:T730))/STDEV('The List'!T2:T730)</f>
        <v>-0.89675407984346156</v>
      </c>
      <c r="H571" s="38">
        <f>(VLOOKUP($A571,'The List'!$B1:$AH730,20,FALSE)-AVERAGE('The List'!U2:U730))/STDEV('The List'!U2:U730)</f>
        <v>-0.96861967896564549</v>
      </c>
      <c r="I571" s="38">
        <f>(VLOOKUP($A571,'The List'!$B1:$AH730,21,FALSE)-AVERAGE('The List'!V2:V730))/STDEV('The List'!V2:V730)</f>
        <v>-0.23627329605267514</v>
      </c>
      <c r="J571" s="38">
        <f>(VLOOKUP($A571,'The List'!$B1:$AH730,22,FALSE)-AVERAGE('The List'!W2:W730))/STDEV('The List'!W2:W730)</f>
        <v>-0.73073140738016085</v>
      </c>
      <c r="K571" s="38">
        <f>(VLOOKUP($A571,'The List'!$B1:$AH730,23,FALSE)-AVERAGE('The List'!X2:X730))/STDEV('The List'!X2:X730)</f>
        <v>-0.79944070587575944</v>
      </c>
      <c r="L571" s="38">
        <f>(VLOOKUP($A571,'The List'!$B1:$AH730,24,FALSE)-AVERAGE('The List'!Y2:Y730))/STDEV('The List'!Y2:Y730)</f>
        <v>-0.62163279168008378</v>
      </c>
      <c r="M571" s="38">
        <f>(VLOOKUP($A571,'The List'!$B1:$AH730,25,FALSE)-AVERAGE('The List'!Z2:Z730))/STDEV('The List'!Z2:Z730)</f>
        <v>0.47787609757531879</v>
      </c>
      <c r="N571" s="38">
        <f>(VLOOKUP($A571,'The List'!$B1:$AH730,26,FALSE)-AVERAGE('The List'!AA2:AA730))/STDEV('The List'!AA2:AA730)</f>
        <v>1.8916816871491471</v>
      </c>
      <c r="O571" s="38">
        <f>(VLOOKUP($A571,'The List'!$B1:$AH730,27,FALSE)-AVERAGE('The List'!AB2:AB730))/STDEV('The List'!AB2:AB730)</f>
        <v>0.30754104611259059</v>
      </c>
      <c r="P571" s="38">
        <f>(VLOOKUP($A571,'The List'!$B1:$AH730,28,FALSE)-AVERAGE('The List'!AC2:AC730))/STDEV('The List'!AC2:AC730)</f>
        <v>-0.21259366603047453</v>
      </c>
      <c r="Q571" s="38">
        <f>(VLOOKUP($A571,'The List'!$B1:$AH730,29,FALSE)-AVERAGE('The List'!AD2:AD730))/STDEV('The List'!AD2:AD730)</f>
        <v>0.97209617831571116</v>
      </c>
      <c r="R571" s="38">
        <f>(VLOOKUP($A571,'The List'!$B1:$AH730,30,FALSE)-AVERAGE('The List'!AE2:AE730))/STDEV('The List'!AE2:AE730)</f>
        <v>-0.78952313457172163</v>
      </c>
      <c r="S571" s="38">
        <f>(VLOOKUP($A571,'The List'!$B1:$AH730,31,FALSE)-AVERAGE('The List'!AF2:AF730))/STDEV('The List'!AF2:AF730)</f>
        <v>-0.56911587195029545</v>
      </c>
      <c r="T571" s="38">
        <f>(VLOOKUP($A571,'The List'!$B1:$AH730,32,FALSE)-AVERAGE('The List'!AG2:AG730))/STDEV('The List'!AG2:AG730)</f>
        <v>-0.61425538252168799</v>
      </c>
      <c r="U571" s="38">
        <f>(VLOOKUP($A571,'The List'!$B1:$AH730,33,FALSE)-AVERAGE('The List'!AH2:AH730))/STDEV('The List'!AH2:AH730)</f>
        <v>-1.2363238714825984</v>
      </c>
      <c r="V571" s="38"/>
      <c r="W571" s="40"/>
      <c r="X571" s="38"/>
      <c r="Y571" s="38"/>
      <c r="Z571" s="38"/>
      <c r="AA571" s="38"/>
      <c r="AB571" s="38"/>
      <c r="AC571" s="38"/>
      <c r="AD571" s="38"/>
      <c r="AE571" s="38"/>
    </row>
    <row r="572" spans="1:31" ht="21.2" customHeight="1">
      <c r="A572" s="8" t="s">
        <v>799</v>
      </c>
      <c r="B572" s="34" t="str">
        <f>VLOOKUP(A572,'Player Data'!A1:B734,2,FALSE)</f>
        <v>MIN</v>
      </c>
      <c r="C572" s="36">
        <f>((E572)*Settings!$C$12)+(F572*Settings!$C$2)+(G572*Settings!$C$3)+(H572*Settings!$C$4)+(I572*Settings!$C$5)+(K572*Settings!$C$9)+(N572*Settings!$C$6)+(J572*Settings!$C$8)+(O572*Settings!$C$7)+(P572*Settings!$C$14)+(Q572*Settings!$C$15)+(R572*Settings!$C$16)+(S572*Settings!$C$17)+(T572*Settings!$C$18)+(U572*Settings!$C$19)+(L572*Settings!$C$10)+(Settings!$C$11*M572)</f>
        <v>-4.445138037026017</v>
      </c>
      <c r="D572" s="40">
        <f>IF(Settings!$E$12="YES",VLOOKUP(A572,'Player Data'!A1:E734,5,FALSE),82)</f>
        <v>82</v>
      </c>
      <c r="E572" s="38">
        <f>(VLOOKUP($A572,'The List'!$B1:$AH730,17,FALSE)-AVERAGE('The List'!R2:R730))/STDEV('The List'!R2:R730)</f>
        <v>-1.499395091665354</v>
      </c>
      <c r="F572" s="38">
        <f>(VLOOKUP($A572,'The List'!$B1:$AH730,18,FALSE)-AVERAGE('The List'!S2:S730))/STDEV('The List'!S2:S730)</f>
        <v>-0.77982383341524264</v>
      </c>
      <c r="G572" s="38">
        <f>(VLOOKUP($A572,'The List'!$B1:$AH730,19,FALSE)-AVERAGE('The List'!T2:T730))/STDEV('The List'!T2:T730)</f>
        <v>-0.98785327777991927</v>
      </c>
      <c r="H572" s="38">
        <f>(VLOOKUP($A572,'The List'!$B1:$AH730,20,FALSE)-AVERAGE('The List'!U2:U730))/STDEV('The List'!U2:U730)</f>
        <v>-0.96959384272774007</v>
      </c>
      <c r="I572" s="38">
        <f>(VLOOKUP($A572,'The List'!$B1:$AH730,21,FALSE)-AVERAGE('The List'!V2:V730))/STDEV('The List'!V2:V730)</f>
        <v>-0.91576119638879638</v>
      </c>
      <c r="J572" s="38">
        <f>(VLOOKUP($A572,'The List'!$B1:$AH730,22,FALSE)-AVERAGE('The List'!W2:W730))/STDEV('The List'!W2:W730)</f>
        <v>-0.70850954424327317</v>
      </c>
      <c r="K572" s="38">
        <f>(VLOOKUP($A572,'The List'!$B1:$AH730,23,FALSE)-AVERAGE('The List'!X2:X730))/STDEV('The List'!X2:X730)</f>
        <v>-0.79210588671431825</v>
      </c>
      <c r="L572" s="38">
        <f>(VLOOKUP($A572,'The List'!$B1:$AH730,24,FALSE)-AVERAGE('The List'!Y2:Y730))/STDEV('The List'!Y2:Y730)</f>
        <v>-0.52515529094994673</v>
      </c>
      <c r="M572" s="38">
        <f>(VLOOKUP($A572,'The List'!$B1:$AH730,25,FALSE)-AVERAGE('The List'!Z2:Z730))/STDEV('The List'!Z2:Z730)</f>
        <v>-0.70378350861314143</v>
      </c>
      <c r="N572" s="38">
        <f>(VLOOKUP($A572,'The List'!$B1:$AH730,26,FALSE)-AVERAGE('The List'!AA2:AA730))/STDEV('The List'!AA2:AA730)</f>
        <v>-0.79055390635964484</v>
      </c>
      <c r="O572" s="38">
        <f>(VLOOKUP($A572,'The List'!$B1:$AH730,27,FALSE)-AVERAGE('The List'!AB2:AB730))/STDEV('The List'!AB2:AB730)</f>
        <v>-0.30363926428383664</v>
      </c>
      <c r="P572" s="38">
        <f>(VLOOKUP($A572,'The List'!$B1:$AH730,28,FALSE)-AVERAGE('The List'!AC2:AC730))/STDEV('The List'!AC2:AC730)</f>
        <v>0.25083564038540318</v>
      </c>
      <c r="Q572" s="38">
        <f>(VLOOKUP($A572,'The List'!$B1:$AH730,29,FALSE)-AVERAGE('The List'!AD2:AD730))/STDEV('The List'!AD2:AD730)</f>
        <v>-0.79955118772189682</v>
      </c>
      <c r="R572" s="38">
        <f>(VLOOKUP($A572,'The List'!$B1:$AH730,30,FALSE)-AVERAGE('The List'!AE2:AE730))/STDEV('The List'!AE2:AE730)</f>
        <v>-0.63447086358243798</v>
      </c>
      <c r="S572" s="38">
        <f>(VLOOKUP($A572,'The List'!$B1:$AH730,31,FALSE)-AVERAGE('The List'!AF2:AF730))/STDEV('The List'!AF2:AF730)</f>
        <v>-0.48427289181595229</v>
      </c>
      <c r="T572" s="38">
        <f>(VLOOKUP($A572,'The List'!$B1:$AH730,32,FALSE)-AVERAGE('The List'!AG2:AG730))/STDEV('The List'!AG2:AG730)</f>
        <v>-0.3787273069393905</v>
      </c>
      <c r="U572" s="38">
        <f>(VLOOKUP($A572,'The List'!$B1:$AH730,33,FALSE)-AVERAGE('The List'!AH2:AH730))/STDEV('The List'!AH2:AH730)</f>
        <v>4.3500619680886357E-4</v>
      </c>
      <c r="V572" s="38"/>
      <c r="W572" s="40"/>
      <c r="X572" s="38"/>
      <c r="Y572" s="38"/>
      <c r="Z572" s="38"/>
      <c r="AA572" s="38"/>
      <c r="AB572" s="38"/>
      <c r="AC572" s="38"/>
      <c r="AD572" s="38"/>
      <c r="AE572" s="38"/>
    </row>
    <row r="573" spans="1:31" ht="21.2" customHeight="1">
      <c r="A573" s="8" t="s">
        <v>620</v>
      </c>
      <c r="B573" s="34" t="str">
        <f>VLOOKUP(A573,'Player Data'!A1:B734,2,FALSE)</f>
        <v>WSH</v>
      </c>
      <c r="C573" s="36">
        <f>((E573)*Settings!$C$12)+(F573*Settings!$C$2)+(G573*Settings!$C$3)+(H573*Settings!$C$4)+(I573*Settings!$C$5)+(K573*Settings!$C$9)+(N573*Settings!$C$6)+(J573*Settings!$C$8)+(O573*Settings!$C$7)+(P573*Settings!$C$14)+(Q573*Settings!$C$15)+(R573*Settings!$C$16)+(S573*Settings!$C$17)+(T573*Settings!$C$18)+(U573*Settings!$C$19)+(L573*Settings!$C$10)+(Settings!$C$11*M573)</f>
        <v>-4.7406170929570788</v>
      </c>
      <c r="D573" s="40">
        <f>IF(Settings!$E$12="YES",VLOOKUP(A573,'Player Data'!A1:E734,5,FALSE),82)</f>
        <v>82</v>
      </c>
      <c r="E573" s="38">
        <f>(VLOOKUP($A573,'The List'!$B1:$AH730,17,FALSE)-AVERAGE('The List'!R2:R730))/STDEV('The List'!R2:R730)</f>
        <v>1.5287445165263298E-2</v>
      </c>
      <c r="F573" s="38">
        <f>(VLOOKUP($A573,'The List'!$B1:$AH730,18,FALSE)-AVERAGE('The List'!S2:S730))/STDEV('The List'!S2:S730)</f>
        <v>-1.1498174550340463</v>
      </c>
      <c r="G573" s="38">
        <f>(VLOOKUP($A573,'The List'!$B1:$AH730,19,FALSE)-AVERAGE('The List'!T2:T730))/STDEV('The List'!T2:T730)</f>
        <v>-0.72029186454140959</v>
      </c>
      <c r="H573" s="38">
        <f>(VLOOKUP($A573,'The List'!$B1:$AH730,20,FALSE)-AVERAGE('The List'!U2:U730))/STDEV('The List'!U2:U730)</f>
        <v>-0.9771669208817052</v>
      </c>
      <c r="I573" s="38">
        <f>(VLOOKUP($A573,'The List'!$B1:$AH730,21,FALSE)-AVERAGE('The List'!V2:V730))/STDEV('The List'!V2:V730)</f>
        <v>-1.0791482819650269</v>
      </c>
      <c r="J573" s="38">
        <f>(VLOOKUP($A573,'The List'!$B1:$AH730,22,FALSE)-AVERAGE('The List'!W2:W730))/STDEV('The List'!W2:W730)</f>
        <v>-0.73219289124635412</v>
      </c>
      <c r="K573" s="38">
        <f>(VLOOKUP($A573,'The List'!$B1:$AH730,23,FALSE)-AVERAGE('The List'!X2:X730))/STDEV('The List'!X2:X730)</f>
        <v>-0.81419257053489036</v>
      </c>
      <c r="L573" s="38">
        <f>(VLOOKUP($A573,'The List'!$B1:$AH730,24,FALSE)-AVERAGE('The List'!Y2:Y730))/STDEV('The List'!Y2:Y730)</f>
        <v>-0.38979410603756176</v>
      </c>
      <c r="M573" s="38">
        <f>(VLOOKUP($A573,'The List'!$B1:$AH730,25,FALSE)-AVERAGE('The List'!Z2:Z730))/STDEV('The List'!Z2:Z730)</f>
        <v>-0.32612058399704535</v>
      </c>
      <c r="N573" s="38">
        <f>(VLOOKUP($A573,'The List'!$B1:$AH730,26,FALSE)-AVERAGE('The List'!AA2:AA730))/STDEV('The List'!AA2:AA730)</f>
        <v>1.1163044622540483</v>
      </c>
      <c r="O573" s="38">
        <f>(VLOOKUP($A573,'The List'!$B1:$AH730,27,FALSE)-AVERAGE('The List'!AB2:AB730))/STDEV('The List'!AB2:AB730)</f>
        <v>-7.620578344221153E-2</v>
      </c>
      <c r="P573" s="38">
        <f>(VLOOKUP($A573,'The List'!$B1:$AH730,28,FALSE)-AVERAGE('The List'!AC2:AC730))/STDEV('The List'!AC2:AC730)</f>
        <v>-0.9067447565716048</v>
      </c>
      <c r="Q573" s="38">
        <f>(VLOOKUP($A573,'The List'!$B1:$AH730,29,FALSE)-AVERAGE('The List'!AD2:AD730))/STDEV('The List'!AD2:AD730)</f>
        <v>-0.67907325959458076</v>
      </c>
      <c r="R573" s="38">
        <f>(VLOOKUP($A573,'The List'!$B1:$AH730,30,FALSE)-AVERAGE('The List'!AE2:AE730))/STDEV('The List'!AE2:AE730)</f>
        <v>-1.0752396426462585</v>
      </c>
      <c r="S573" s="38">
        <f>(VLOOKUP($A573,'The List'!$B1:$AH730,31,FALSE)-AVERAGE('The List'!AF2:AF730))/STDEV('The List'!AF2:AF730)</f>
        <v>-0.56911587195029545</v>
      </c>
      <c r="T573" s="38">
        <f>(VLOOKUP($A573,'The List'!$B1:$AH730,32,FALSE)-AVERAGE('The List'!AG2:AG730))/STDEV('The List'!AG2:AG730)</f>
        <v>-0.61510119871956948</v>
      </c>
      <c r="U573" s="38">
        <f>(VLOOKUP($A573,'The List'!$B1:$AH730,33,FALSE)-AVERAGE('The List'!AH2:AH730))/STDEV('The List'!AH2:AH730)</f>
        <v>-1.2363238714825984</v>
      </c>
      <c r="V573" s="38"/>
      <c r="W573" s="42"/>
      <c r="X573" s="40"/>
      <c r="Y573" s="40"/>
      <c r="Z573" s="40"/>
      <c r="AA573" s="40"/>
      <c r="AB573" s="40"/>
      <c r="AC573" s="43"/>
      <c r="AD573" s="44"/>
      <c r="AE573" s="38"/>
    </row>
    <row r="574" spans="1:31" ht="21.2" customHeight="1">
      <c r="A574" s="8" t="s">
        <v>534</v>
      </c>
      <c r="B574" s="34" t="str">
        <f>VLOOKUP(A574,'Player Data'!A1:B734,2,FALSE)</f>
        <v>WPG</v>
      </c>
      <c r="C574" s="36">
        <f>((E574)*Settings!$C$12)+(F574*Settings!$C$2)+(G574*Settings!$C$3)+(H574*Settings!$C$4)+(I574*Settings!$C$5)+(K574*Settings!$C$9)+(N574*Settings!$C$6)+(J574*Settings!$C$8)+(O574*Settings!$C$7)+(P574*Settings!$C$14)+(Q574*Settings!$C$15)+(R574*Settings!$C$16)+(S574*Settings!$C$17)+(T574*Settings!$C$18)+(U574*Settings!$C$19)+(L574*Settings!$C$10)+(Settings!$C$11*M574)</f>
        <v>-4.746943927063799</v>
      </c>
      <c r="D574" s="40">
        <f>IF(Settings!$E$12="YES",VLOOKUP(A574,'Player Data'!A1:E734,5,FALSE),82)</f>
        <v>82</v>
      </c>
      <c r="E574" s="38">
        <f>(VLOOKUP($A574,'The List'!$B1:$AH730,17,FALSE)-AVERAGE('The List'!R2:R730))/STDEV('The List'!R2:R730)</f>
        <v>5.1776578784488714E-2</v>
      </c>
      <c r="F574" s="38">
        <f>(VLOOKUP($A574,'The List'!$B1:$AH730,18,FALSE)-AVERAGE('The List'!S2:S730))/STDEV('The List'!S2:S730)</f>
        <v>-1.0573834277933816</v>
      </c>
      <c r="G574" s="38">
        <f>(VLOOKUP($A574,'The List'!$B1:$AH730,19,FALSE)-AVERAGE('The List'!T2:T730))/STDEV('The List'!T2:T730)</f>
        <v>-0.79521424442753041</v>
      </c>
      <c r="H574" s="38">
        <f>(VLOOKUP($A574,'The List'!$B1:$AH730,20,FALSE)-AVERAGE('The List'!U2:U730))/STDEV('The List'!U2:U730)</f>
        <v>-0.98023957531295636</v>
      </c>
      <c r="I574" s="38">
        <f>(VLOOKUP($A574,'The List'!$B1:$AH730,21,FALSE)-AVERAGE('The List'!V2:V730))/STDEV('The List'!V2:V730)</f>
        <v>-1.1053398122413527</v>
      </c>
      <c r="J574" s="38">
        <f>(VLOOKUP($A574,'The List'!$B1:$AH730,22,FALSE)-AVERAGE('The List'!W2:W730))/STDEV('The List'!W2:W730)</f>
        <v>-0.7299053021748666</v>
      </c>
      <c r="K574" s="38">
        <f>(VLOOKUP($A574,'The List'!$B1:$AH730,23,FALSE)-AVERAGE('The List'!X2:X730))/STDEV('The List'!X2:X730)</f>
        <v>-0.80876686728857805</v>
      </c>
      <c r="L574" s="38">
        <f>(VLOOKUP($A574,'The List'!$B1:$AH730,24,FALSE)-AVERAGE('The List'!Y2:Y730))/STDEV('The List'!Y2:Y730)</f>
        <v>-0.42176402699612531</v>
      </c>
      <c r="M574" s="38">
        <f>(VLOOKUP($A574,'The List'!$B1:$AH730,25,FALSE)-AVERAGE('The List'!Z2:Z730))/STDEV('The List'!Z2:Z730)</f>
        <v>0.36380709401058481</v>
      </c>
      <c r="N574" s="38">
        <f>(VLOOKUP($A574,'The List'!$B1:$AH730,26,FALSE)-AVERAGE('The List'!AA2:AA730))/STDEV('The List'!AA2:AA730)</f>
        <v>1.3206861955809264</v>
      </c>
      <c r="O574" s="38">
        <f>(VLOOKUP($A574,'The List'!$B1:$AH730,27,FALSE)-AVERAGE('The List'!AB2:AB730))/STDEV('The List'!AB2:AB730)</f>
        <v>0.46154151412449018</v>
      </c>
      <c r="P574" s="38">
        <f>(VLOOKUP($A574,'The List'!$B1:$AH730,28,FALSE)-AVERAGE('The List'!AC2:AC730))/STDEV('The List'!AC2:AC730)</f>
        <v>0.55823743821021088</v>
      </c>
      <c r="Q574" s="38">
        <f>(VLOOKUP($A574,'The List'!$B1:$AH730,29,FALSE)-AVERAGE('The List'!AD2:AD730))/STDEV('The List'!AD2:AD730)</f>
        <v>8.3286837376939753E-3</v>
      </c>
      <c r="R574" s="38">
        <f>(VLOOKUP($A574,'The List'!$B1:$AH730,30,FALSE)-AVERAGE('The List'!AE2:AE730))/STDEV('The List'!AE2:AE730)</f>
        <v>-0.93402448388605108</v>
      </c>
      <c r="S574" s="38">
        <f>(VLOOKUP($A574,'The List'!$B1:$AH730,31,FALSE)-AVERAGE('The List'!AF2:AF730))/STDEV('The List'!AF2:AF730)</f>
        <v>-0.56911587195029545</v>
      </c>
      <c r="T574" s="38">
        <f>(VLOOKUP($A574,'The List'!$B1:$AH730,32,FALSE)-AVERAGE('The List'!AG2:AG730))/STDEV('The List'!AG2:AG730)</f>
        <v>-0.61510119871956948</v>
      </c>
      <c r="U574" s="38">
        <f>(VLOOKUP($A574,'The List'!$B1:$AH730,33,FALSE)-AVERAGE('The List'!AH2:AH730))/STDEV('The List'!AH2:AH730)</f>
        <v>-1.2363238714825984</v>
      </c>
      <c r="V574" s="38"/>
      <c r="W574" s="42"/>
      <c r="X574" s="40"/>
      <c r="Y574" s="40"/>
      <c r="Z574" s="40"/>
      <c r="AA574" s="40"/>
      <c r="AB574" s="40"/>
      <c r="AC574" s="43"/>
      <c r="AD574" s="44"/>
      <c r="AE574" s="38"/>
    </row>
    <row r="575" spans="1:31" ht="21.2" customHeight="1">
      <c r="A575" s="8" t="s">
        <v>496</v>
      </c>
      <c r="B575" s="34" t="str">
        <f>VLOOKUP(A575,'Player Data'!A1:B734,2,FALSE)</f>
        <v>PIT</v>
      </c>
      <c r="C575" s="36">
        <f>((E575)*Settings!$C$12)+(F575*Settings!$C$2)+(G575*Settings!$C$3)+(H575*Settings!$C$4)+(I575*Settings!$C$5)+(K575*Settings!$C$9)+(N575*Settings!$C$6)+(J575*Settings!$C$8)+(O575*Settings!$C$7)+(P575*Settings!$C$14)+(Q575*Settings!$C$15)+(R575*Settings!$C$16)+(S575*Settings!$C$17)+(T575*Settings!$C$18)+(U575*Settings!$C$19)+(L575*Settings!$C$10)+(Settings!$C$11*M575)</f>
        <v>-4.1117953173854849</v>
      </c>
      <c r="D575" s="40">
        <f>IF(Settings!$E$12="YES",VLOOKUP(A575,'Player Data'!A1:E734,5,FALSE),82)</f>
        <v>82</v>
      </c>
      <c r="E575" s="38">
        <f>(VLOOKUP($A575,'The List'!$B1:$AH730,17,FALSE)-AVERAGE('The List'!R2:R730))/STDEV('The List'!R2:R730)</f>
        <v>0.27936207777224403</v>
      </c>
      <c r="F575" s="38">
        <f>(VLOOKUP($A575,'The List'!$B1:$AH730,18,FALSE)-AVERAGE('The List'!S2:S730))/STDEV('The List'!S2:S730)</f>
        <v>-1.0798594978094394</v>
      </c>
      <c r="G575" s="38">
        <f>(VLOOKUP($A575,'The List'!$B1:$AH730,19,FALSE)-AVERAGE('The List'!T2:T730))/STDEV('The List'!T2:T730)</f>
        <v>-0.78835477488038608</v>
      </c>
      <c r="H575" s="38">
        <f>(VLOOKUP($A575,'The List'!$B1:$AH730,20,FALSE)-AVERAGE('The List'!U2:U730))/STDEV('The List'!U2:U730)</f>
        <v>-0.98647268238915131</v>
      </c>
      <c r="I575" s="38">
        <f>(VLOOKUP($A575,'The List'!$B1:$AH730,21,FALSE)-AVERAGE('The List'!V2:V730))/STDEV('The List'!V2:V730)</f>
        <v>-0.43713818461126369</v>
      </c>
      <c r="J575" s="38">
        <f>(VLOOKUP($A575,'The List'!$B1:$AH730,22,FALSE)-AVERAGE('The List'!W2:W730))/STDEV('The List'!W2:W730)</f>
        <v>-0.73497871364143574</v>
      </c>
      <c r="K575" s="38">
        <f>(VLOOKUP($A575,'The List'!$B1:$AH730,23,FALSE)-AVERAGE('The List'!X2:X730))/STDEV('The List'!X2:X730)</f>
        <v>-0.81997017769524405</v>
      </c>
      <c r="L575" s="38">
        <f>(VLOOKUP($A575,'The List'!$B1:$AH730,24,FALSE)-AVERAGE('The List'!Y2:Y730))/STDEV('The List'!Y2:Y730)</f>
        <v>-0.55718333888502536</v>
      </c>
      <c r="M575" s="38">
        <f>(VLOOKUP($A575,'The List'!$B1:$AH730,25,FALSE)-AVERAGE('The List'!Z2:Z730))/STDEV('The List'!Z2:Z730)</f>
        <v>-0.44930738916478535</v>
      </c>
      <c r="N575" s="38">
        <f>(VLOOKUP($A575,'The List'!$B1:$AH730,26,FALSE)-AVERAGE('The List'!AA2:AA730))/STDEV('The List'!AA2:AA730)</f>
        <v>1.2764659287522646</v>
      </c>
      <c r="O575" s="38">
        <f>(VLOOKUP($A575,'The List'!$B1:$AH730,27,FALSE)-AVERAGE('The List'!AB2:AB730))/STDEV('The List'!AB2:AB730)</f>
        <v>0.50855790753761598</v>
      </c>
      <c r="P575" s="38">
        <f>(VLOOKUP($A575,'The List'!$B1:$AH730,28,FALSE)-AVERAGE('The List'!AC2:AC730))/STDEV('The List'!AC2:AC730)</f>
        <v>-2.6002898916023895E-4</v>
      </c>
      <c r="Q575" s="38">
        <f>(VLOOKUP($A575,'The List'!$B1:$AH730,29,FALSE)-AVERAGE('The List'!AD2:AD730))/STDEV('The List'!AD2:AD730)</f>
        <v>0.87214580451428358</v>
      </c>
      <c r="R575" s="38">
        <f>(VLOOKUP($A575,'The List'!$B1:$AH730,30,FALSE)-AVERAGE('The List'!AE2:AE730))/STDEV('The List'!AE2:AE730)</f>
        <v>-0.94832497260075199</v>
      </c>
      <c r="S575" s="38">
        <f>(VLOOKUP($A575,'The List'!$B1:$AH730,31,FALSE)-AVERAGE('The List'!AF2:AF730))/STDEV('The List'!AF2:AF730)</f>
        <v>-0.56911587195029545</v>
      </c>
      <c r="T575" s="38">
        <f>(VLOOKUP($A575,'The List'!$B1:$AH730,32,FALSE)-AVERAGE('The List'!AG2:AG730))/STDEV('The List'!AG2:AG730)</f>
        <v>-0.61510119871956948</v>
      </c>
      <c r="U575" s="38">
        <f>(VLOOKUP($A575,'The List'!$B1:$AH730,33,FALSE)-AVERAGE('The List'!AH2:AH730))/STDEV('The List'!AH2:AH730)</f>
        <v>-1.2363238714825984</v>
      </c>
      <c r="V575" s="38"/>
      <c r="W575" s="42"/>
      <c r="X575" s="40"/>
      <c r="Y575" s="40"/>
      <c r="Z575" s="40"/>
      <c r="AA575" s="40"/>
      <c r="AB575" s="40"/>
      <c r="AC575" s="43"/>
      <c r="AD575" s="44"/>
      <c r="AE575" s="38"/>
    </row>
    <row r="576" spans="1:31" ht="21.2" customHeight="1">
      <c r="A576" s="8" t="s">
        <v>569</v>
      </c>
      <c r="B576" s="34" t="str">
        <f>VLOOKUP(A576,'Player Data'!A1:B734,2,FALSE)</f>
        <v>BUF</v>
      </c>
      <c r="C576" s="36">
        <f>((E576)*Settings!$C$12)+(F576*Settings!$C$2)+(G576*Settings!$C$3)+(H576*Settings!$C$4)+(I576*Settings!$C$5)+(K576*Settings!$C$9)+(N576*Settings!$C$6)+(J576*Settings!$C$8)+(O576*Settings!$C$7)+(P576*Settings!$C$14)+(Q576*Settings!$C$15)+(R576*Settings!$C$16)+(S576*Settings!$C$17)+(T576*Settings!$C$18)+(U576*Settings!$C$19)+(L576*Settings!$C$10)+(Settings!$C$11*M576)</f>
        <v>-4.6513739202687567</v>
      </c>
      <c r="D576" s="40">
        <f>IF(Settings!$E$12="YES",VLOOKUP(A576,'Player Data'!A1:E734,5,FALSE),82)</f>
        <v>82</v>
      </c>
      <c r="E576" s="38">
        <f>(VLOOKUP($A576,'The List'!$B1:$AH730,17,FALSE)-AVERAGE('The List'!R2:R730))/STDEV('The List'!R2:R730)</f>
        <v>0.15022209148571314</v>
      </c>
      <c r="F576" s="38">
        <f>(VLOOKUP($A576,'The List'!$B1:$AH730,18,FALSE)-AVERAGE('The List'!S2:S730))/STDEV('The List'!S2:S730)</f>
        <v>-1.0055569511374263</v>
      </c>
      <c r="G576" s="38">
        <f>(VLOOKUP($A576,'The List'!$B1:$AH730,19,FALSE)-AVERAGE('The List'!T2:T730))/STDEV('The List'!T2:T730)</f>
        <v>-0.85251021065397281</v>
      </c>
      <c r="H576" s="38">
        <f>(VLOOKUP($A576,'The List'!$B1:$AH730,20,FALSE)-AVERAGE('The List'!U2:U730))/STDEV('The List'!U2:U730)</f>
        <v>-0.9913574641845132</v>
      </c>
      <c r="I576" s="38">
        <f>(VLOOKUP($A576,'The List'!$B1:$AH730,21,FALSE)-AVERAGE('The List'!V2:V730))/STDEV('The List'!V2:V730)</f>
        <v>-0.99388535496927166</v>
      </c>
      <c r="J576" s="38">
        <f>(VLOOKUP($A576,'The List'!$B1:$AH730,22,FALSE)-AVERAGE('The List'!W2:W730))/STDEV('The List'!W2:W730)</f>
        <v>-0.73416260820161916</v>
      </c>
      <c r="K576" s="38">
        <f>(VLOOKUP($A576,'The List'!$B1:$AH730,23,FALSE)-AVERAGE('The List'!X2:X730))/STDEV('The List'!X2:X730)</f>
        <v>-0.80806393932357257</v>
      </c>
      <c r="L576" s="38">
        <f>(VLOOKUP($A576,'The List'!$B1:$AH730,24,FALSE)-AVERAGE('The List'!Y2:Y730))/STDEV('The List'!Y2:Y730)</f>
        <v>-0.43301570971799525</v>
      </c>
      <c r="M576" s="38">
        <f>(VLOOKUP($A576,'The List'!$B1:$AH730,25,FALSE)-AVERAGE('The List'!Z2:Z730))/STDEV('The List'!Z2:Z730)</f>
        <v>-0.37948330115733064</v>
      </c>
      <c r="N576" s="38">
        <f>(VLOOKUP($A576,'The List'!$B1:$AH730,26,FALSE)-AVERAGE('The List'!AA2:AA730))/STDEV('The List'!AA2:AA730)</f>
        <v>0.30338880954758635</v>
      </c>
      <c r="O576" s="38">
        <f>(VLOOKUP($A576,'The List'!$B1:$AH730,27,FALSE)-AVERAGE('The List'!AB2:AB730))/STDEV('The List'!AB2:AB730)</f>
        <v>-0.40020957545405927</v>
      </c>
      <c r="P576" s="38">
        <f>(VLOOKUP($A576,'The List'!$B1:$AH730,28,FALSE)-AVERAGE('The List'!AC2:AC730))/STDEV('The List'!AC2:AC730)</f>
        <v>-0.88002289946724355</v>
      </c>
      <c r="Q576" s="38">
        <f>(VLOOKUP($A576,'The List'!$B1:$AH730,29,FALSE)-AVERAGE('The List'!AD2:AD730))/STDEV('The List'!AD2:AD730)</f>
        <v>-0.55810629642576803</v>
      </c>
      <c r="R576" s="38">
        <f>(VLOOKUP($A576,'The List'!$B1:$AH730,30,FALSE)-AVERAGE('The List'!AE2:AE730))/STDEV('The List'!AE2:AE730)</f>
        <v>-0.94778473064873869</v>
      </c>
      <c r="S576" s="38">
        <f>(VLOOKUP($A576,'The List'!$B1:$AH730,31,FALSE)-AVERAGE('The List'!AF2:AF730))/STDEV('The List'!AF2:AF730)</f>
        <v>-0.56911587195029545</v>
      </c>
      <c r="T576" s="38">
        <f>(VLOOKUP($A576,'The List'!$B1:$AH730,32,FALSE)-AVERAGE('The List'!AG2:AG730))/STDEV('The List'!AG2:AG730)</f>
        <v>-0.61510119871956948</v>
      </c>
      <c r="U576" s="38">
        <f>(VLOOKUP($A576,'The List'!$B1:$AH730,33,FALSE)-AVERAGE('The List'!AH2:AH730))/STDEV('The List'!AH2:AH730)</f>
        <v>-1.2363238714825984</v>
      </c>
      <c r="V576" s="38"/>
      <c r="W576" s="42"/>
      <c r="X576" s="40"/>
      <c r="Y576" s="40"/>
      <c r="Z576" s="40"/>
      <c r="AA576" s="40"/>
      <c r="AB576" s="40"/>
      <c r="AC576" s="43"/>
      <c r="AD576" s="44"/>
      <c r="AE576" s="38"/>
    </row>
    <row r="577" spans="1:31" ht="21.2" customHeight="1">
      <c r="A577" s="8" t="s">
        <v>556</v>
      </c>
      <c r="B577" s="34" t="str">
        <f>VLOOKUP(A577,'Player Data'!A1:B734,2,FALSE)</f>
        <v>CAR</v>
      </c>
      <c r="C577" s="36">
        <f>((E577)*Settings!$C$12)+(F577*Settings!$C$2)+(G577*Settings!$C$3)+(H577*Settings!$C$4)+(I577*Settings!$C$5)+(K577*Settings!$C$9)+(N577*Settings!$C$6)+(J577*Settings!$C$8)+(O577*Settings!$C$7)+(P577*Settings!$C$14)+(Q577*Settings!$C$15)+(R577*Settings!$C$16)+(S577*Settings!$C$17)+(T577*Settings!$C$18)+(U577*Settings!$C$19)+(L577*Settings!$C$10)+(Settings!$C$11*M577)</f>
        <v>-3.8200830613541736</v>
      </c>
      <c r="D577" s="40">
        <f>IF(Settings!$E$12="YES",VLOOKUP(A577,'Player Data'!A1:E734,5,FALSE),82)</f>
        <v>82</v>
      </c>
      <c r="E577" s="38">
        <f>(VLOOKUP($A577,'The List'!$B1:$AH730,17,FALSE)-AVERAGE('The List'!R2:R730))/STDEV('The List'!R2:R730)</f>
        <v>-1.0100617512995704</v>
      </c>
      <c r="F577" s="38">
        <f>(VLOOKUP($A577,'The List'!$B1:$AH730,18,FALSE)-AVERAGE('The List'!S2:S730))/STDEV('The List'!S2:S730)</f>
        <v>-1.0136476864884947</v>
      </c>
      <c r="G577" s="38">
        <f>(VLOOKUP($A577,'The List'!$B1:$AH730,19,FALSE)-AVERAGE('The List'!T2:T730))/STDEV('The List'!T2:T730)</f>
        <v>-0.84970071780650136</v>
      </c>
      <c r="H577" s="38">
        <f>(VLOOKUP($A577,'The List'!$B1:$AH730,20,FALSE)-AVERAGE('The List'!U2:U730))/STDEV('The List'!U2:U730)</f>
        <v>-0.99339208575234295</v>
      </c>
      <c r="I577" s="38">
        <f>(VLOOKUP($A577,'The List'!$B1:$AH730,21,FALSE)-AVERAGE('The List'!V2:V730))/STDEV('The List'!V2:V730)</f>
        <v>-0.50370548058531406</v>
      </c>
      <c r="J577" s="38">
        <f>(VLOOKUP($A577,'The List'!$B1:$AH730,22,FALSE)-AVERAGE('The List'!W2:W730))/STDEV('The List'!W2:W730)</f>
        <v>-0.39305519740480577</v>
      </c>
      <c r="K577" s="38">
        <f>(VLOOKUP($A577,'The List'!$B1:$AH730,23,FALSE)-AVERAGE('The List'!X2:X730))/STDEV('The List'!X2:X730)</f>
        <v>-0.4596370907215207</v>
      </c>
      <c r="L577" s="38">
        <f>(VLOOKUP($A577,'The List'!$B1:$AH730,24,FALSE)-AVERAGE('The List'!Y2:Y730))/STDEV('The List'!Y2:Y730)</f>
        <v>-0.51595228440339769</v>
      </c>
      <c r="M577" s="38">
        <f>(VLOOKUP($A577,'The List'!$B1:$AH730,25,FALSE)-AVERAGE('The List'!Z2:Z730))/STDEV('The List'!Z2:Z730)</f>
        <v>-0.67957424703599534</v>
      </c>
      <c r="N577" s="38">
        <f>(VLOOKUP($A577,'The List'!$B1:$AH730,26,FALSE)-AVERAGE('The List'!AA2:AA730))/STDEV('The List'!AA2:AA730)</f>
        <v>2.9428953605462885E-2</v>
      </c>
      <c r="O577" s="38">
        <f>(VLOOKUP($A577,'The List'!$B1:$AH730,27,FALSE)-AVERAGE('The List'!AB2:AB730))/STDEV('The List'!AB2:AB730)</f>
        <v>-0.38199256079474714</v>
      </c>
      <c r="P577" s="38">
        <f>(VLOOKUP($A577,'The List'!$B1:$AH730,28,FALSE)-AVERAGE('The List'!AC2:AC730))/STDEV('The List'!AC2:AC730)</f>
        <v>-9.7564231017400513E-2</v>
      </c>
      <c r="Q577" s="38">
        <f>(VLOOKUP($A577,'The List'!$B1:$AH730,29,FALSE)-AVERAGE('The List'!AD2:AD730))/STDEV('The List'!AD2:AD730)</f>
        <v>-0.98517331364119154</v>
      </c>
      <c r="R577" s="38">
        <f>(VLOOKUP($A577,'The List'!$B1:$AH730,30,FALSE)-AVERAGE('The List'!AE2:AE730))/STDEV('The List'!AE2:AE730)</f>
        <v>-0.83524870771309234</v>
      </c>
      <c r="S577" s="38">
        <f>(VLOOKUP($A577,'The List'!$B1:$AH730,31,FALSE)-AVERAGE('The List'!AF2:AF730))/STDEV('The List'!AF2:AF730)</f>
        <v>-0.56911587195029545</v>
      </c>
      <c r="T577" s="38">
        <f>(VLOOKUP($A577,'The List'!$B1:$AH730,32,FALSE)-AVERAGE('The List'!AG2:AG730))/STDEV('The List'!AG2:AG730)</f>
        <v>-0.61284423182815517</v>
      </c>
      <c r="U577" s="38">
        <f>(VLOOKUP($A577,'The List'!$B1:$AH730,33,FALSE)-AVERAGE('The List'!AH2:AH730))/STDEV('The List'!AH2:AH730)</f>
        <v>-1.2363238714825984</v>
      </c>
      <c r="V577" s="38"/>
      <c r="W577" s="42"/>
      <c r="X577" s="40"/>
      <c r="Y577" s="40"/>
      <c r="Z577" s="40"/>
      <c r="AA577" s="40"/>
      <c r="AB577" s="40"/>
      <c r="AC577" s="43"/>
      <c r="AD577" s="44"/>
      <c r="AE577" s="38"/>
    </row>
    <row r="578" spans="1:31" ht="21.2" customHeight="1">
      <c r="A578" s="8" t="s">
        <v>470</v>
      </c>
      <c r="B578" s="34" t="str">
        <f>VLOOKUP(A578,'Player Data'!A1:B734,2,FALSE)</f>
        <v>CHI</v>
      </c>
      <c r="C578" s="36">
        <f>((E578)*Settings!$C$12)+(F578*Settings!$C$2)+(G578*Settings!$C$3)+(H578*Settings!$C$4)+(I578*Settings!$C$5)+(K578*Settings!$C$9)+(N578*Settings!$C$6)+(J578*Settings!$C$8)+(O578*Settings!$C$7)+(P578*Settings!$C$14)+(Q578*Settings!$C$15)+(R578*Settings!$C$16)+(S578*Settings!$C$17)+(T578*Settings!$C$18)+(U578*Settings!$C$19)+(L578*Settings!$C$10)+(Settings!$C$11*M578)</f>
        <v>-4.4485052968630061</v>
      </c>
      <c r="D578" s="40">
        <f>IF(Settings!$E$12="YES",VLOOKUP(A578,'Player Data'!A1:E734,5,FALSE),82)</f>
        <v>82</v>
      </c>
      <c r="E578" s="38">
        <f>(VLOOKUP($A578,'The List'!$B1:$AH730,17,FALSE)-AVERAGE('The List'!R2:R730))/STDEV('The List'!R2:R730)</f>
        <v>0.88175315214194172</v>
      </c>
      <c r="F578" s="38">
        <f>(VLOOKUP($A578,'The List'!$B1:$AH730,18,FALSE)-AVERAGE('The List'!S2:S730))/STDEV('The List'!S2:S730)</f>
        <v>-0.81762021165272591</v>
      </c>
      <c r="G578" s="38">
        <f>(VLOOKUP($A578,'The List'!$B1:$AH730,19,FALSE)-AVERAGE('The List'!T2:T730))/STDEV('The List'!T2:T730)</f>
        <v>-0.9990768551165955</v>
      </c>
      <c r="H578" s="38">
        <f>(VLOOKUP($A578,'The List'!$B1:$AH730,20,FALSE)-AVERAGE('The List'!U2:U730))/STDEV('The List'!U2:U730)</f>
        <v>-0.9940616930434899</v>
      </c>
      <c r="I578" s="38">
        <f>(VLOOKUP($A578,'The List'!$B1:$AH730,21,FALSE)-AVERAGE('The List'!V2:V730))/STDEV('The List'!V2:V730)</f>
        <v>-0.8292403525669233</v>
      </c>
      <c r="J578" s="38">
        <f>(VLOOKUP($A578,'The List'!$B1:$AH730,22,FALSE)-AVERAGE('The List'!W2:W730))/STDEV('The List'!W2:W730)</f>
        <v>-0.72191700028293915</v>
      </c>
      <c r="K578" s="38">
        <f>(VLOOKUP($A578,'The List'!$B1:$AH730,23,FALSE)-AVERAGE('The List'!X2:X730))/STDEV('The List'!X2:X730)</f>
        <v>-0.80850618448327183</v>
      </c>
      <c r="L578" s="38">
        <f>(VLOOKUP($A578,'The List'!$B1:$AH730,24,FALSE)-AVERAGE('The List'!Y2:Y730))/STDEV('The List'!Y2:Y730)</f>
        <v>1.3592435345968079</v>
      </c>
      <c r="M578" s="38">
        <f>(VLOOKUP($A578,'The List'!$B1:$AH730,25,FALSE)-AVERAGE('The List'!Z2:Z730))/STDEV('The List'!Z2:Z730)</f>
        <v>0.52326691691034277</v>
      </c>
      <c r="N578" s="38">
        <f>(VLOOKUP($A578,'The List'!$B1:$AH730,26,FALSE)-AVERAGE('The List'!AA2:AA730))/STDEV('The List'!AA2:AA730)</f>
        <v>2.4922788048418578</v>
      </c>
      <c r="O578" s="38">
        <f>(VLOOKUP($A578,'The List'!$B1:$AH730,27,FALSE)-AVERAGE('The List'!AB2:AB730))/STDEV('The List'!AB2:AB730)</f>
        <v>1.1598172890164653</v>
      </c>
      <c r="P578" s="38">
        <f>(VLOOKUP($A578,'The List'!$B1:$AH730,28,FALSE)-AVERAGE('The List'!AC2:AC730))/STDEV('The List'!AC2:AC730)</f>
        <v>-1.9168003345214886</v>
      </c>
      <c r="Q578" s="38">
        <f>(VLOOKUP($A578,'The List'!$B1:$AH730,29,FALSE)-AVERAGE('The List'!AD2:AD730))/STDEV('The List'!AD2:AD730)</f>
        <v>1.4193840948547867</v>
      </c>
      <c r="R578" s="38">
        <f>(VLOOKUP($A578,'The List'!$B1:$AH730,30,FALSE)-AVERAGE('The List'!AE2:AE730))/STDEV('The List'!AE2:AE730)</f>
        <v>-0.83008841454153115</v>
      </c>
      <c r="S578" s="38">
        <f>(VLOOKUP($A578,'The List'!$B1:$AH730,31,FALSE)-AVERAGE('The List'!AF2:AF730))/STDEV('The List'!AF2:AF730)</f>
        <v>-0.56911587195029545</v>
      </c>
      <c r="T578" s="38">
        <f>(VLOOKUP($A578,'The List'!$B1:$AH730,32,FALSE)-AVERAGE('The List'!AG2:AG730))/STDEV('The List'!AG2:AG730)</f>
        <v>-0.61510119871956948</v>
      </c>
      <c r="U578" s="38">
        <f>(VLOOKUP($A578,'The List'!$B1:$AH730,33,FALSE)-AVERAGE('The List'!AH2:AH730))/STDEV('The List'!AH2:AH730)</f>
        <v>-1.2363238714825984</v>
      </c>
      <c r="V578" s="38"/>
      <c r="W578" s="42"/>
      <c r="X578" s="40"/>
      <c r="Y578" s="40"/>
      <c r="Z578" s="40"/>
      <c r="AA578" s="40"/>
      <c r="AB578" s="40"/>
      <c r="AC578" s="43"/>
      <c r="AD578" s="44"/>
      <c r="AE578" s="38"/>
    </row>
    <row r="579" spans="1:31" ht="21.2" customHeight="1">
      <c r="A579" s="8" t="s">
        <v>497</v>
      </c>
      <c r="B579" s="34" t="str">
        <f>VLOOKUP(A579,'Player Data'!A1:B734,2,FALSE)</f>
        <v>BOS</v>
      </c>
      <c r="C579" s="36">
        <f>((E579)*Settings!$C$12)+(F579*Settings!$C$2)+(G579*Settings!$C$3)+(H579*Settings!$C$4)+(I579*Settings!$C$5)+(K579*Settings!$C$9)+(N579*Settings!$C$6)+(J579*Settings!$C$8)+(O579*Settings!$C$7)+(P579*Settings!$C$14)+(Q579*Settings!$C$15)+(R579*Settings!$C$16)+(S579*Settings!$C$17)+(T579*Settings!$C$18)+(U579*Settings!$C$19)+(L579*Settings!$C$10)+(Settings!$C$11*M579)</f>
        <v>-4.2640336823188028</v>
      </c>
      <c r="D579" s="40">
        <f>IF(Settings!$E$12="YES",VLOOKUP(A579,'Player Data'!A1:E734,5,FALSE),82)</f>
        <v>82</v>
      </c>
      <c r="E579" s="38">
        <f>(VLOOKUP($A579,'The List'!$B1:$AH730,17,FALSE)-AVERAGE('The List'!R2:R730))/STDEV('The List'!R2:R730)</f>
        <v>0.56588589528879729</v>
      </c>
      <c r="F579" s="38">
        <f>(VLOOKUP($A579,'The List'!$B1:$AH730,18,FALSE)-AVERAGE('The List'!S2:S730))/STDEV('The List'!S2:S730)</f>
        <v>-0.90139164360873492</v>
      </c>
      <c r="G579" s="38">
        <f>(VLOOKUP($A579,'The List'!$B1:$AH730,19,FALSE)-AVERAGE('The List'!T2:T730))/STDEV('The List'!T2:T730)</f>
        <v>-0.93755769622845586</v>
      </c>
      <c r="H579" s="38">
        <f>(VLOOKUP($A579,'The List'!$B1:$AH730,20,FALSE)-AVERAGE('The List'!U2:U730))/STDEV('The List'!U2:U730)</f>
        <v>-0.99519883740853388</v>
      </c>
      <c r="I579" s="38">
        <f>(VLOOKUP($A579,'The List'!$B1:$AH730,21,FALSE)-AVERAGE('The List'!V2:V730))/STDEV('The List'!V2:V730)</f>
        <v>-0.61195596355628101</v>
      </c>
      <c r="J579" s="38">
        <f>(VLOOKUP($A579,'The List'!$B1:$AH730,22,FALSE)-AVERAGE('The List'!W2:W730))/STDEV('The List'!W2:W730)</f>
        <v>-0.7347837049143775</v>
      </c>
      <c r="K579" s="38">
        <f>(VLOOKUP($A579,'The List'!$B1:$AH730,23,FALSE)-AVERAGE('The List'!X2:X730))/STDEV('The List'!X2:X730)</f>
        <v>-0.81792954151679742</v>
      </c>
      <c r="L579" s="38">
        <f>(VLOOKUP($A579,'The List'!$B1:$AH730,24,FALSE)-AVERAGE('The List'!Y2:Y730))/STDEV('The List'!Y2:Y730)</f>
        <v>5.2936069764338289E-2</v>
      </c>
      <c r="M579" s="38">
        <f>(VLOOKUP($A579,'The List'!$B1:$AH730,25,FALSE)-AVERAGE('The List'!Z2:Z730))/STDEV('The List'!Z2:Z730)</f>
        <v>-7.3309603914800126E-2</v>
      </c>
      <c r="N579" s="38">
        <f>(VLOOKUP($A579,'The List'!$B1:$AH730,26,FALSE)-AVERAGE('The List'!AA2:AA730))/STDEV('The List'!AA2:AA730)</f>
        <v>1.3003109180894308</v>
      </c>
      <c r="O579" s="38">
        <f>(VLOOKUP($A579,'The List'!$B1:$AH730,27,FALSE)-AVERAGE('The List'!AB2:AB730))/STDEV('The List'!AB2:AB730)</f>
        <v>0.64093440801250567</v>
      </c>
      <c r="P579" s="38">
        <f>(VLOOKUP($A579,'The List'!$B1:$AH730,28,FALSE)-AVERAGE('The List'!AC2:AC730))/STDEV('The List'!AC2:AC730)</f>
        <v>1.0744630599790028</v>
      </c>
      <c r="Q579" s="38">
        <f>(VLOOKUP($A579,'The List'!$B1:$AH730,29,FALSE)-AVERAGE('The List'!AD2:AD730))/STDEV('The List'!AD2:AD730)</f>
        <v>0.14468234790043411</v>
      </c>
      <c r="R579" s="38">
        <f>(VLOOKUP($A579,'The List'!$B1:$AH730,30,FALSE)-AVERAGE('The List'!AE2:AE730))/STDEV('The List'!AE2:AE730)</f>
        <v>-0.73930638956127825</v>
      </c>
      <c r="S579" s="38">
        <f>(VLOOKUP($A579,'The List'!$B1:$AH730,31,FALSE)-AVERAGE('The List'!AF2:AF730))/STDEV('The List'!AF2:AF730)</f>
        <v>-0.56911587195029545</v>
      </c>
      <c r="T579" s="38">
        <f>(VLOOKUP($A579,'The List'!$B1:$AH730,32,FALSE)-AVERAGE('The List'!AG2:AG730))/STDEV('The List'!AG2:AG730)</f>
        <v>-0.61510119871956948</v>
      </c>
      <c r="U579" s="38">
        <f>(VLOOKUP($A579,'The List'!$B1:$AH730,33,FALSE)-AVERAGE('The List'!AH2:AH730))/STDEV('The List'!AH2:AH730)</f>
        <v>-1.2363238714825984</v>
      </c>
      <c r="V579" s="38"/>
      <c r="W579" s="42"/>
      <c r="X579" s="40"/>
      <c r="Y579" s="40"/>
      <c r="Z579" s="40"/>
      <c r="AA579" s="40"/>
      <c r="AB579" s="40"/>
      <c r="AC579" s="43"/>
      <c r="AD579" s="44"/>
      <c r="AE579" s="38"/>
    </row>
    <row r="580" spans="1:31" ht="21.2" customHeight="1">
      <c r="A580" s="8" t="s">
        <v>520</v>
      </c>
      <c r="B580" s="34" t="str">
        <f>VLOOKUP(A580,'Player Data'!A1:B734,2,FALSE)</f>
        <v>ARI</v>
      </c>
      <c r="C580" s="36">
        <f>((E580)*Settings!$C$12)+(F580*Settings!$C$2)+(G580*Settings!$C$3)+(H580*Settings!$C$4)+(I580*Settings!$C$5)+(K580*Settings!$C$9)+(N580*Settings!$C$6)+(J580*Settings!$C$8)+(O580*Settings!$C$7)+(P580*Settings!$C$14)+(Q580*Settings!$C$15)+(R580*Settings!$C$16)+(S580*Settings!$C$17)+(T580*Settings!$C$18)+(U580*Settings!$C$19)+(L580*Settings!$C$10)+(Settings!$C$11*M580)</f>
        <v>-4.3314981075657633</v>
      </c>
      <c r="D580" s="40">
        <f>IF(Settings!$E$12="YES",VLOOKUP(A580,'Player Data'!A1:E734,5,FALSE),82)</f>
        <v>82</v>
      </c>
      <c r="E580" s="38">
        <f>(VLOOKUP($A580,'The List'!$B1:$AH730,17,FALSE)-AVERAGE('The List'!R2:R730))/STDEV('The List'!R2:R730)</f>
        <v>0.47664644487467978</v>
      </c>
      <c r="F580" s="38">
        <f>(VLOOKUP($A580,'The List'!$B1:$AH730,18,FALSE)-AVERAGE('The List'!S2:S730))/STDEV('The List'!S2:S730)</f>
        <v>-1.0069513027577355</v>
      </c>
      <c r="G580" s="38">
        <f>(VLOOKUP($A580,'The List'!$B1:$AH730,19,FALSE)-AVERAGE('The List'!T2:T730))/STDEV('The List'!T2:T730)</f>
        <v>-0.85852998517274592</v>
      </c>
      <c r="H580" s="38">
        <f>(VLOOKUP($A580,'The List'!$B1:$AH730,20,FALSE)-AVERAGE('The List'!U2:U730))/STDEV('The List'!U2:U730)</f>
        <v>-0.99570504902699941</v>
      </c>
      <c r="I580" s="38">
        <f>(VLOOKUP($A580,'The List'!$B1:$AH730,21,FALSE)-AVERAGE('The List'!V2:V730))/STDEV('The List'!V2:V730)</f>
        <v>-0.65728080418868728</v>
      </c>
      <c r="J580" s="38">
        <f>(VLOOKUP($A580,'The List'!$B1:$AH730,22,FALSE)-AVERAGE('The List'!W2:W730))/STDEV('The List'!W2:W730)</f>
        <v>-0.73201099191456076</v>
      </c>
      <c r="K580" s="38">
        <f>(VLOOKUP($A580,'The List'!$B1:$AH730,23,FALSE)-AVERAGE('The List'!X2:X730))/STDEV('The List'!X2:X730)</f>
        <v>-0.81303096641959571</v>
      </c>
      <c r="L580" s="38">
        <f>(VLOOKUP($A580,'The List'!$B1:$AH730,24,FALSE)-AVERAGE('The List'!Y2:Y730))/STDEV('The List'!Y2:Y730)</f>
        <v>-0.50023664353027275</v>
      </c>
      <c r="M580" s="38">
        <f>(VLOOKUP($A580,'The List'!$B1:$AH730,25,FALSE)-AVERAGE('The List'!Z2:Z730))/STDEV('The List'!Z2:Z730)</f>
        <v>-0.55498510423972613</v>
      </c>
      <c r="N580" s="38">
        <f>(VLOOKUP($A580,'The List'!$B1:$AH730,26,FALSE)-AVERAGE('The List'!AA2:AA730))/STDEV('The List'!AA2:AA730)</f>
        <v>1.0512764584257106</v>
      </c>
      <c r="O580" s="38">
        <f>(VLOOKUP($A580,'The List'!$B1:$AH730,27,FALSE)-AVERAGE('The List'!AB2:AB730))/STDEV('The List'!AB2:AB730)</f>
        <v>-0.19337770943875479</v>
      </c>
      <c r="P580" s="38">
        <f>(VLOOKUP($A580,'The List'!$B1:$AH730,28,FALSE)-AVERAGE('The List'!AC2:AC730))/STDEV('The List'!AC2:AC730)</f>
        <v>-1.2131224748420066</v>
      </c>
      <c r="Q580" s="38">
        <f>(VLOOKUP($A580,'The List'!$B1:$AH730,29,FALSE)-AVERAGE('The List'!AD2:AD730))/STDEV('The List'!AD2:AD730)</f>
        <v>0.47667181121798496</v>
      </c>
      <c r="R580" s="38">
        <f>(VLOOKUP($A580,'The List'!$B1:$AH730,30,FALSE)-AVERAGE('The List'!AE2:AE730))/STDEV('The List'!AE2:AE730)</f>
        <v>-0.95325565401347612</v>
      </c>
      <c r="S580" s="38">
        <f>(VLOOKUP($A580,'The List'!$B1:$AH730,31,FALSE)-AVERAGE('The List'!AF2:AF730))/STDEV('The List'!AF2:AF730)</f>
        <v>-0.56911587195029545</v>
      </c>
      <c r="T580" s="38">
        <f>(VLOOKUP($A580,'The List'!$B1:$AH730,32,FALSE)-AVERAGE('The List'!AG2:AG730))/STDEV('The List'!AG2:AG730)</f>
        <v>-0.61510119871956948</v>
      </c>
      <c r="U580" s="38">
        <f>(VLOOKUP($A580,'The List'!$B1:$AH730,33,FALSE)-AVERAGE('The List'!AH2:AH730))/STDEV('The List'!AH2:AH730)</f>
        <v>-1.2363238714825984</v>
      </c>
      <c r="V580" s="38"/>
      <c r="W580" s="40"/>
      <c r="X580" s="38"/>
      <c r="Y580" s="38"/>
      <c r="Z580" s="38"/>
      <c r="AA580" s="38"/>
      <c r="AB580" s="38"/>
      <c r="AC580" s="38"/>
      <c r="AD580" s="38"/>
      <c r="AE580" s="38"/>
    </row>
    <row r="581" spans="1:31" ht="21.2" customHeight="1">
      <c r="A581" s="8" t="s">
        <v>774</v>
      </c>
      <c r="B581" s="34" t="str">
        <f>VLOOKUP(A581,'Player Data'!A1:B734,2,FALSE)</f>
        <v>NYR</v>
      </c>
      <c r="C581" s="36">
        <f>((E581)*Settings!$C$12)+(F581*Settings!$C$2)+(G581*Settings!$C$3)+(H581*Settings!$C$4)+(I581*Settings!$C$5)+(K581*Settings!$C$9)+(N581*Settings!$C$6)+(J581*Settings!$C$8)+(O581*Settings!$C$7)+(P581*Settings!$C$14)+(Q581*Settings!$C$15)+(R581*Settings!$C$16)+(S581*Settings!$C$17)+(T581*Settings!$C$18)+(U581*Settings!$C$19)+(L581*Settings!$C$10)+(Settings!$C$11*M581)</f>
        <v>-4.7758294702794828</v>
      </c>
      <c r="D581" s="40">
        <f>IF(Settings!$E$12="YES",VLOOKUP(A581,'Player Data'!A1:E734,5,FALSE),82)</f>
        <v>82</v>
      </c>
      <c r="E581" s="38">
        <f>(VLOOKUP($A581,'The List'!$B1:$AH730,17,FALSE)-AVERAGE('The List'!R2:R730))/STDEV('The List'!R2:R730)</f>
        <v>-1.7200986018455084</v>
      </c>
      <c r="F581" s="38">
        <f>(VLOOKUP($A581,'The List'!$B1:$AH730,18,FALSE)-AVERAGE('The List'!S2:S730))/STDEV('The List'!S2:S730)</f>
        <v>-0.71895074785823421</v>
      </c>
      <c r="G581" s="38">
        <f>(VLOOKUP($A581,'The List'!$B1:$AH730,19,FALSE)-AVERAGE('The List'!T2:T730))/STDEV('The List'!T2:T730)</f>
        <v>-1.0807571867279377</v>
      </c>
      <c r="H581" s="38">
        <f>(VLOOKUP($A581,'The List'!$B1:$AH730,20,FALSE)-AVERAGE('The List'!U2:U730))/STDEV('The List'!U2:U730)</f>
        <v>-0.99838868776300116</v>
      </c>
      <c r="I581" s="38">
        <f>(VLOOKUP($A581,'The List'!$B1:$AH730,21,FALSE)-AVERAGE('The List'!V2:V730))/STDEV('The List'!V2:V730)</f>
        <v>-1.1635773005898762</v>
      </c>
      <c r="J581" s="38">
        <f>(VLOOKUP($A581,'The List'!$B1:$AH730,22,FALSE)-AVERAGE('The List'!W2:W730))/STDEV('The List'!W2:W730)</f>
        <v>-0.72649220526955194</v>
      </c>
      <c r="K581" s="38">
        <f>(VLOOKUP($A581,'The List'!$B1:$AH730,23,FALSE)-AVERAGE('The List'!X2:X730))/STDEV('The List'!X2:X730)</f>
        <v>-0.81415554734043294</v>
      </c>
      <c r="L581" s="38">
        <f>(VLOOKUP($A581,'The List'!$B1:$AH730,24,FALSE)-AVERAGE('The List'!Y2:Y730))/STDEV('The List'!Y2:Y730)</f>
        <v>-0.36196827273644877</v>
      </c>
      <c r="M581" s="38">
        <f>(VLOOKUP($A581,'The List'!$B1:$AH730,25,FALSE)-AVERAGE('The List'!Z2:Z730))/STDEV('The List'!Z2:Z730)</f>
        <v>-0.58603413920763803</v>
      </c>
      <c r="N581" s="38">
        <f>(VLOOKUP($A581,'The List'!$B1:$AH730,26,FALSE)-AVERAGE('The List'!AA2:AA730))/STDEV('The List'!AA2:AA730)</f>
        <v>-0.60887747951034088</v>
      </c>
      <c r="O581" s="38">
        <f>(VLOOKUP($A581,'The List'!$B1:$AH730,27,FALSE)-AVERAGE('The List'!AB2:AB730))/STDEV('The List'!AB2:AB730)</f>
        <v>0.65727858123828109</v>
      </c>
      <c r="P581" s="38">
        <f>(VLOOKUP($A581,'The List'!$B1:$AH730,28,FALSE)-AVERAGE('The List'!AC2:AC730))/STDEV('The List'!AC2:AC730)</f>
        <v>0.73616159211817322</v>
      </c>
      <c r="Q581" s="38">
        <f>(VLOOKUP($A581,'The List'!$B1:$AH730,29,FALSE)-AVERAGE('The List'!AD2:AD730))/STDEV('The List'!AD2:AD730)</f>
        <v>-1.0449081156321176</v>
      </c>
      <c r="R581" s="38">
        <f>(VLOOKUP($A581,'The List'!$B1:$AH730,30,FALSE)-AVERAGE('The List'!AE2:AE730))/STDEV('The List'!AE2:AE730)</f>
        <v>-0.52917556899748519</v>
      </c>
      <c r="S581" s="38">
        <f>(VLOOKUP($A581,'The List'!$B1:$AH730,31,FALSE)-AVERAGE('The List'!AF2:AF730))/STDEV('The List'!AF2:AF730)</f>
        <v>-0.55004394790595768</v>
      </c>
      <c r="T581" s="38">
        <f>(VLOOKUP($A581,'The List'!$B1:$AH730,32,FALSE)-AVERAGE('The List'!AG2:AG730))/STDEV('The List'!AG2:AG730)</f>
        <v>-0.59021993356706481</v>
      </c>
      <c r="U581" s="38">
        <f>(VLOOKUP($A581,'The List'!$B1:$AH730,33,FALSE)-AVERAGE('The List'!AH2:AH730))/STDEV('The List'!AH2:AH730)</f>
        <v>0.77834262618813721</v>
      </c>
      <c r="V581" s="38"/>
      <c r="W581" s="40"/>
      <c r="X581" s="38"/>
      <c r="Y581" s="38"/>
      <c r="Z581" s="38"/>
      <c r="AA581" s="38"/>
      <c r="AB581" s="38"/>
      <c r="AC581" s="38"/>
      <c r="AD581" s="38"/>
      <c r="AE581" s="38"/>
    </row>
    <row r="582" spans="1:31" ht="21.2" customHeight="1">
      <c r="A582" s="8" t="s">
        <v>550</v>
      </c>
      <c r="B582" s="34" t="str">
        <f>VLOOKUP(A582,'Player Data'!A1:B734,2,FALSE)</f>
        <v>ANA</v>
      </c>
      <c r="C582" s="36">
        <f>((E582)*Settings!$C$12)+(F582*Settings!$C$2)+(G582*Settings!$C$3)+(H582*Settings!$C$4)+(I582*Settings!$C$5)+(K582*Settings!$C$9)+(N582*Settings!$C$6)+(J582*Settings!$C$8)+(O582*Settings!$C$7)+(P582*Settings!$C$14)+(Q582*Settings!$C$15)+(R582*Settings!$C$16)+(S582*Settings!$C$17)+(T582*Settings!$C$18)+(U582*Settings!$C$19)+(L582*Settings!$C$10)+(Settings!$C$11*M582)</f>
        <v>-4.5574910082540327</v>
      </c>
      <c r="D582" s="40">
        <f>IF(Settings!$E$12="YES",VLOOKUP(A582,'Player Data'!A1:E734,5,FALSE),82)</f>
        <v>82</v>
      </c>
      <c r="E582" s="38">
        <f>(VLOOKUP($A582,'The List'!$B1:$AH730,17,FALSE)-AVERAGE('The List'!R2:R730))/STDEV('The List'!R2:R730)</f>
        <v>0.23575621497468374</v>
      </c>
      <c r="F582" s="38">
        <f>(VLOOKUP($A582,'The List'!$B1:$AH730,18,FALSE)-AVERAGE('The List'!S2:S730))/STDEV('The List'!S2:S730)</f>
        <v>-1.0277420710027847</v>
      </c>
      <c r="G582" s="38">
        <f>(VLOOKUP($A582,'The List'!$B1:$AH730,19,FALSE)-AVERAGE('The List'!T2:T730))/STDEV('The List'!T2:T730)</f>
        <v>-0.85239969237023105</v>
      </c>
      <c r="H582" s="38">
        <f>(VLOOKUP($A582,'The List'!$B1:$AH730,20,FALSE)-AVERAGE('The List'!U2:U730))/STDEV('The List'!U2:U730)</f>
        <v>-1.0016028123928185</v>
      </c>
      <c r="I582" s="38">
        <f>(VLOOKUP($A582,'The List'!$B1:$AH730,21,FALSE)-AVERAGE('The List'!V2:V730))/STDEV('The List'!V2:V730)</f>
        <v>-0.85932154539538519</v>
      </c>
      <c r="J582" s="38">
        <f>(VLOOKUP($A582,'The List'!$B1:$AH730,22,FALSE)-AVERAGE('The List'!W2:W730))/STDEV('The List'!W2:W730)</f>
        <v>-0.73330568007445707</v>
      </c>
      <c r="K582" s="38">
        <f>(VLOOKUP($A582,'The List'!$B1:$AH730,23,FALSE)-AVERAGE('The List'!X2:X730))/STDEV('The List'!X2:X730)</f>
        <v>-0.81642488709281291</v>
      </c>
      <c r="L582" s="38">
        <f>(VLOOKUP($A582,'The List'!$B1:$AH730,24,FALSE)-AVERAGE('The List'!Y2:Y730))/STDEV('The List'!Y2:Y730)</f>
        <v>-0.4890440958351755</v>
      </c>
      <c r="M582" s="38">
        <f>(VLOOKUP($A582,'The List'!$B1:$AH730,25,FALSE)-AVERAGE('The List'!Z2:Z730))/STDEV('The List'!Z2:Z730)</f>
        <v>-0.59690910190700464</v>
      </c>
      <c r="N582" s="38">
        <f>(VLOOKUP($A582,'The List'!$B1:$AH730,26,FALSE)-AVERAGE('The List'!AA2:AA730))/STDEV('The List'!AA2:AA730)</f>
        <v>1.1933648149894989</v>
      </c>
      <c r="O582" s="38">
        <f>(VLOOKUP($A582,'The List'!$B1:$AH730,27,FALSE)-AVERAGE('The List'!AB2:AB730))/STDEV('The List'!AB2:AB730)</f>
        <v>1.8953529483888356</v>
      </c>
      <c r="P582" s="38">
        <f>(VLOOKUP($A582,'The List'!$B1:$AH730,28,FALSE)-AVERAGE('The List'!AC2:AC730))/STDEV('The List'!AC2:AC730)</f>
        <v>-1.7261901826734389</v>
      </c>
      <c r="Q582" s="38">
        <f>(VLOOKUP($A582,'The List'!$B1:$AH730,29,FALSE)-AVERAGE('The List'!AD2:AD730))/STDEV('The List'!AD2:AD730)</f>
        <v>0.97386750239811581</v>
      </c>
      <c r="R582" s="38">
        <f>(VLOOKUP($A582,'The List'!$B1:$AH730,30,FALSE)-AVERAGE('The List'!AE2:AE730))/STDEV('The List'!AE2:AE730)</f>
        <v>-1.0379464915022572</v>
      </c>
      <c r="S582" s="38">
        <f>(VLOOKUP($A582,'The List'!$B1:$AH730,31,FALSE)-AVERAGE('The List'!AF2:AF730))/STDEV('The List'!AF2:AF730)</f>
        <v>-0.56911587195029545</v>
      </c>
      <c r="T582" s="38">
        <f>(VLOOKUP($A582,'The List'!$B1:$AH730,32,FALSE)-AVERAGE('The List'!AG2:AG730))/STDEV('The List'!AG2:AG730)</f>
        <v>-0.61510119871956948</v>
      </c>
      <c r="U582" s="38">
        <f>(VLOOKUP($A582,'The List'!$B1:$AH730,33,FALSE)-AVERAGE('The List'!AH2:AH730))/STDEV('The List'!AH2:AH730)</f>
        <v>-1.2363238714825984</v>
      </c>
      <c r="V582" s="38"/>
      <c r="W582" s="42"/>
      <c r="X582" s="40"/>
      <c r="Y582" s="40"/>
      <c r="Z582" s="40"/>
      <c r="AA582" s="40"/>
      <c r="AB582" s="40"/>
      <c r="AC582" s="43"/>
      <c r="AD582" s="44"/>
      <c r="AE582" s="38"/>
    </row>
    <row r="583" spans="1:31" ht="21.2" customHeight="1">
      <c r="A583" s="8" t="s">
        <v>751</v>
      </c>
      <c r="B583" s="34" t="str">
        <f>VLOOKUP(A583,'Player Data'!A1:B734,2,FALSE)</f>
        <v>NYI</v>
      </c>
      <c r="C583" s="36">
        <f>((E583)*Settings!$C$12)+(F583*Settings!$C$2)+(G583*Settings!$C$3)+(H583*Settings!$C$4)+(I583*Settings!$C$5)+(K583*Settings!$C$9)+(N583*Settings!$C$6)+(J583*Settings!$C$8)+(O583*Settings!$C$7)+(P583*Settings!$C$14)+(Q583*Settings!$C$15)+(R583*Settings!$C$16)+(S583*Settings!$C$17)+(T583*Settings!$C$18)+(U583*Settings!$C$19)+(L583*Settings!$C$10)+(Settings!$C$11*M583)</f>
        <v>-4.70207478511671</v>
      </c>
      <c r="D583" s="40">
        <f>IF(Settings!$E$12="YES",VLOOKUP(A583,'Player Data'!A1:E734,5,FALSE),82)</f>
        <v>82</v>
      </c>
      <c r="E583" s="38">
        <f>(VLOOKUP($A583,'The List'!$B1:$AH730,17,FALSE)-AVERAGE('The List'!R2:R730))/STDEV('The List'!R2:R730)</f>
        <v>-1.1177378220859648</v>
      </c>
      <c r="F583" s="38">
        <f>(VLOOKUP($A583,'The List'!$B1:$AH730,18,FALSE)-AVERAGE('The List'!S2:S730))/STDEV('The List'!S2:S730)</f>
        <v>-0.69797046130753204</v>
      </c>
      <c r="G583" s="38">
        <f>(VLOOKUP($A583,'The List'!$B1:$AH730,19,FALSE)-AVERAGE('The List'!T2:T730))/STDEV('The List'!T2:T730)</f>
        <v>-1.1078835529683144</v>
      </c>
      <c r="H583" s="38">
        <f>(VLOOKUP($A583,'The List'!$B1:$AH730,20,FALSE)-AVERAGE('The List'!U2:U730))/STDEV('The List'!U2:U730)</f>
        <v>-1.0053057354910346</v>
      </c>
      <c r="I583" s="38">
        <f>(VLOOKUP($A583,'The List'!$B1:$AH730,21,FALSE)-AVERAGE('The List'!V2:V730))/STDEV('The List'!V2:V730)</f>
        <v>-1.0790740697334726</v>
      </c>
      <c r="J583" s="38">
        <f>(VLOOKUP($A583,'The List'!$B1:$AH730,22,FALSE)-AVERAGE('The List'!W2:W730))/STDEV('The List'!W2:W730)</f>
        <v>-0.72313935304704335</v>
      </c>
      <c r="K583" s="38">
        <f>(VLOOKUP($A583,'The List'!$B1:$AH730,23,FALSE)-AVERAGE('The List'!X2:X730))/STDEV('The List'!X2:X730)</f>
        <v>-0.81184096561635632</v>
      </c>
      <c r="L583" s="38">
        <f>(VLOOKUP($A583,'The List'!$B1:$AH730,24,FALSE)-AVERAGE('The List'!Y2:Y730))/STDEV('The List'!Y2:Y730)</f>
        <v>0.46415267564816293</v>
      </c>
      <c r="M583" s="38">
        <f>(VLOOKUP($A583,'The List'!$B1:$AH730,25,FALSE)-AVERAGE('The List'!Z2:Z730))/STDEV('The List'!Z2:Z730)</f>
        <v>-0.36350237082235082</v>
      </c>
      <c r="N583" s="38">
        <f>(VLOOKUP($A583,'The List'!$B1:$AH730,26,FALSE)-AVERAGE('The List'!AA2:AA730))/STDEV('The List'!AA2:AA730)</f>
        <v>-0.49913151657878607</v>
      </c>
      <c r="O583" s="38">
        <f>(VLOOKUP($A583,'The List'!$B1:$AH730,27,FALSE)-AVERAGE('The List'!AB2:AB730))/STDEV('The List'!AB2:AB730)</f>
        <v>3.3779976771315585</v>
      </c>
      <c r="P583" s="38">
        <f>(VLOOKUP($A583,'The List'!$B1:$AH730,28,FALSE)-AVERAGE('The List'!AC2:AC730))/STDEV('The List'!AC2:AC730)</f>
        <v>-0.26445338685658509</v>
      </c>
      <c r="Q583" s="38">
        <f>(VLOOKUP($A583,'The List'!$B1:$AH730,29,FALSE)-AVERAGE('The List'!AD2:AD730))/STDEV('The List'!AD2:AD730)</f>
        <v>-0.81552757722401692</v>
      </c>
      <c r="R583" s="38">
        <f>(VLOOKUP($A583,'The List'!$B1:$AH730,30,FALSE)-AVERAGE('The List'!AE2:AE730))/STDEV('The List'!AE2:AE730)</f>
        <v>-0.57537290305897371</v>
      </c>
      <c r="S583" s="38">
        <f>(VLOOKUP($A583,'The List'!$B1:$AH730,31,FALSE)-AVERAGE('The List'!AF2:AF730))/STDEV('The List'!AF2:AF730)</f>
        <v>-0.55304137027172195</v>
      </c>
      <c r="T583" s="38">
        <f>(VLOOKUP($A583,'The List'!$B1:$AH730,32,FALSE)-AVERAGE('The List'!AG2:AG730))/STDEV('The List'!AG2:AG730)</f>
        <v>-0.58646435260992957</v>
      </c>
      <c r="U583" s="38">
        <f>(VLOOKUP($A583,'The List'!$B1:$AH730,33,FALSE)-AVERAGE('The List'!AH2:AH730))/STDEV('The List'!AH2:AH730)</f>
        <v>0.43909129658447704</v>
      </c>
      <c r="V583" s="38"/>
      <c r="W583" s="42"/>
      <c r="X583" s="40"/>
      <c r="Y583" s="40"/>
      <c r="Z583" s="40"/>
      <c r="AA583" s="40"/>
      <c r="AB583" s="40"/>
      <c r="AC583" s="43"/>
      <c r="AD583" s="44"/>
      <c r="AE583" s="38"/>
    </row>
    <row r="584" spans="1:31" ht="21.2" customHeight="1">
      <c r="A584" s="8" t="s">
        <v>801</v>
      </c>
      <c r="B584" s="34" t="str">
        <f>VLOOKUP(A584,'Player Data'!A1:B734,2,FALSE)</f>
        <v>ANA</v>
      </c>
      <c r="C584" s="36">
        <f>((E584)*Settings!$C$12)+(F584*Settings!$C$2)+(G584*Settings!$C$3)+(H584*Settings!$C$4)+(I584*Settings!$C$5)+(K584*Settings!$C$9)+(N584*Settings!$C$6)+(J584*Settings!$C$8)+(O584*Settings!$C$7)+(P584*Settings!$C$14)+(Q584*Settings!$C$15)+(R584*Settings!$C$16)+(S584*Settings!$C$17)+(T584*Settings!$C$18)+(U584*Settings!$C$19)+(L584*Settings!$C$10)+(Settings!$C$11*M584)</f>
        <v>-4.5419599854583117</v>
      </c>
      <c r="D584" s="40">
        <f>IF(Settings!$E$12="YES",VLOOKUP(A584,'Player Data'!A1:E734,5,FALSE),82)</f>
        <v>82</v>
      </c>
      <c r="E584" s="38">
        <f>(VLOOKUP($A584,'The List'!$B1:$AH730,17,FALSE)-AVERAGE('The List'!R2:R730))/STDEV('The List'!R2:R730)</f>
        <v>-1.5951883439584991</v>
      </c>
      <c r="F584" s="38">
        <f>(VLOOKUP($A584,'The List'!$B1:$AH730,18,FALSE)-AVERAGE('The List'!S2:S730))/STDEV('The List'!S2:S730)</f>
        <v>-0.62503631755852251</v>
      </c>
      <c r="G584" s="38">
        <f>(VLOOKUP($A584,'The List'!$B1:$AH730,19,FALSE)-AVERAGE('The List'!T2:T730))/STDEV('The List'!T2:T730)</f>
        <v>-1.1655873081491346</v>
      </c>
      <c r="H584" s="38">
        <f>(VLOOKUP($A584,'The List'!$B1:$AH730,20,FALSE)-AVERAGE('The List'!U2:U730))/STDEV('The List'!U2:U730)</f>
        <v>-1.0068618395145714</v>
      </c>
      <c r="I584" s="38">
        <f>(VLOOKUP($A584,'The List'!$B1:$AH730,21,FALSE)-AVERAGE('The List'!V2:V730))/STDEV('The List'!V2:V730)</f>
        <v>-0.97601952991075835</v>
      </c>
      <c r="J584" s="38">
        <f>(VLOOKUP($A584,'The List'!$B1:$AH730,22,FALSE)-AVERAGE('The List'!W2:W730))/STDEV('The List'!W2:W730)</f>
        <v>-0.68663986866715854</v>
      </c>
      <c r="K584" s="38">
        <f>(VLOOKUP($A584,'The List'!$B1:$AH730,23,FALSE)-AVERAGE('The List'!X2:X730))/STDEV('The List'!X2:X730)</f>
        <v>-0.76845499032532472</v>
      </c>
      <c r="L584" s="38">
        <f>(VLOOKUP($A584,'The List'!$B1:$AH730,24,FALSE)-AVERAGE('The List'!Y2:Y730))/STDEV('The List'!Y2:Y730)</f>
        <v>-0.41813817927992719</v>
      </c>
      <c r="M584" s="38">
        <f>(VLOOKUP($A584,'The List'!$B1:$AH730,25,FALSE)-AVERAGE('The List'!Z2:Z730))/STDEV('The List'!Z2:Z730)</f>
        <v>-0.61351142059885089</v>
      </c>
      <c r="N584" s="38">
        <f>(VLOOKUP($A584,'The List'!$B1:$AH730,26,FALSE)-AVERAGE('The List'!AA2:AA730))/STDEV('The List'!AA2:AA730)</f>
        <v>-0.77303839887834114</v>
      </c>
      <c r="O584" s="38">
        <f>(VLOOKUP($A584,'The List'!$B1:$AH730,27,FALSE)-AVERAGE('The List'!AB2:AB730))/STDEV('The List'!AB2:AB730)</f>
        <v>0.82661976190886677</v>
      </c>
      <c r="P584" s="38">
        <f>(VLOOKUP($A584,'The List'!$B1:$AH730,28,FALSE)-AVERAGE('The List'!AC2:AC730))/STDEV('The List'!AC2:AC730)</f>
        <v>-2.1859020144210639</v>
      </c>
      <c r="Q584" s="38">
        <f>(VLOOKUP($A584,'The List'!$B1:$AH730,29,FALSE)-AVERAGE('The List'!AD2:AD730))/STDEV('The List'!AD2:AD730)</f>
        <v>2.7456883756576729</v>
      </c>
      <c r="R584" s="38">
        <f>(VLOOKUP($A584,'The List'!$B1:$AH730,30,FALSE)-AVERAGE('The List'!AE2:AE730))/STDEV('The List'!AE2:AE730)</f>
        <v>-0.78654682759406624</v>
      </c>
      <c r="S584" s="38">
        <f>(VLOOKUP($A584,'The List'!$B1:$AH730,31,FALSE)-AVERAGE('The List'!AF2:AF730))/STDEV('The List'!AF2:AF730)</f>
        <v>0.71000889829650982</v>
      </c>
      <c r="T584" s="38">
        <f>(VLOOKUP($A584,'The List'!$B1:$AH730,32,FALSE)-AVERAGE('The List'!AG2:AG730))/STDEV('The List'!AG2:AG730)</f>
        <v>0.75057584537409783</v>
      </c>
      <c r="U584" s="38">
        <f>(VLOOKUP($A584,'The List'!$B1:$AH730,33,FALSE)-AVERAGE('The List'!AH2:AH730))/STDEV('The List'!AH2:AH730)</f>
        <v>1.0036880801630708</v>
      </c>
      <c r="V584" s="38"/>
      <c r="W584" s="42"/>
      <c r="X584" s="40"/>
      <c r="Y584" s="40"/>
      <c r="Z584" s="40"/>
      <c r="AA584" s="40"/>
      <c r="AB584" s="40"/>
      <c r="AC584" s="43"/>
      <c r="AD584" s="44"/>
      <c r="AE584" s="38"/>
    </row>
    <row r="585" spans="1:31" ht="21.2" customHeight="1">
      <c r="A585" s="8" t="s">
        <v>586</v>
      </c>
      <c r="B585" s="34" t="str">
        <f>VLOOKUP(A585,'Player Data'!A1:B734,2,FALSE)</f>
        <v>NJD</v>
      </c>
      <c r="C585" s="36">
        <f>((E585)*Settings!$C$12)+(F585*Settings!$C$2)+(G585*Settings!$C$3)+(H585*Settings!$C$4)+(I585*Settings!$C$5)+(K585*Settings!$C$9)+(N585*Settings!$C$6)+(J585*Settings!$C$8)+(O585*Settings!$C$7)+(P585*Settings!$C$14)+(Q585*Settings!$C$15)+(R585*Settings!$C$16)+(S585*Settings!$C$17)+(T585*Settings!$C$18)+(U585*Settings!$C$19)+(L585*Settings!$C$10)+(Settings!$C$11*M585)</f>
        <v>-5.0859193194998635</v>
      </c>
      <c r="D585" s="40">
        <f>IF(Settings!$E$12="YES",VLOOKUP(A585,'Player Data'!A1:E734,5,FALSE),82)</f>
        <v>82</v>
      </c>
      <c r="E585" s="38">
        <f>(VLOOKUP($A585,'The List'!$B1:$AH730,17,FALSE)-AVERAGE('The List'!R2:R730))/STDEV('The List'!R2:R730)</f>
        <v>-0.49395403566863871</v>
      </c>
      <c r="F585" s="38">
        <f>(VLOOKUP($A585,'The List'!$B1:$AH730,18,FALSE)-AVERAGE('The List'!S2:S730))/STDEV('The List'!S2:S730)</f>
        <v>-1.0200075348566791</v>
      </c>
      <c r="G585" s="38">
        <f>(VLOOKUP($A585,'The List'!$B1:$AH730,19,FALSE)-AVERAGE('The List'!T2:T730))/STDEV('The List'!T2:T730)</f>
        <v>-0.86880742619906082</v>
      </c>
      <c r="H585" s="38">
        <f>(VLOOKUP($A585,'The List'!$B1:$AH730,20,FALSE)-AVERAGE('The List'!U2:U730))/STDEV('The List'!U2:U730)</f>
        <v>-1.00809043226741</v>
      </c>
      <c r="I585" s="38">
        <f>(VLOOKUP($A585,'The List'!$B1:$AH730,21,FALSE)-AVERAGE('The List'!V2:V730))/STDEV('The List'!V2:V730)</f>
        <v>-1.3791263474837285</v>
      </c>
      <c r="J585" s="38">
        <f>(VLOOKUP($A585,'The List'!$B1:$AH730,22,FALSE)-AVERAGE('The List'!W2:W730))/STDEV('The List'!W2:W730)</f>
        <v>-0.73033761749025372</v>
      </c>
      <c r="K585" s="38">
        <f>(VLOOKUP($A585,'The List'!$B1:$AH730,23,FALSE)-AVERAGE('The List'!X2:X730))/STDEV('The List'!X2:X730)</f>
        <v>-0.80988757869298456</v>
      </c>
      <c r="L585" s="38">
        <f>(VLOOKUP($A585,'The List'!$B1:$AH730,24,FALSE)-AVERAGE('The List'!Y2:Y730))/STDEV('The List'!Y2:Y730)</f>
        <v>-0.37270967385720621</v>
      </c>
      <c r="M585" s="38">
        <f>(VLOOKUP($A585,'The List'!$B1:$AH730,25,FALSE)-AVERAGE('The List'!Z2:Z730))/STDEV('The List'!Z2:Z730)</f>
        <v>-0.27104299395967335</v>
      </c>
      <c r="N585" s="38">
        <f>(VLOOKUP($A585,'The List'!$B1:$AH730,26,FALSE)-AVERAGE('The List'!AA2:AA730))/STDEV('The List'!AA2:AA730)</f>
        <v>0.48978485500468216</v>
      </c>
      <c r="O585" s="38">
        <f>(VLOOKUP($A585,'The List'!$B1:$AH730,27,FALSE)-AVERAGE('The List'!AB2:AB730))/STDEV('The List'!AB2:AB730)</f>
        <v>0.40479752439325278</v>
      </c>
      <c r="P585" s="38">
        <f>(VLOOKUP($A585,'The List'!$B1:$AH730,28,FALSE)-AVERAGE('The List'!AC2:AC730))/STDEV('The List'!AC2:AC730)</f>
        <v>-7.5198491962676112E-2</v>
      </c>
      <c r="Q585" s="38">
        <f>(VLOOKUP($A585,'The List'!$B1:$AH730,29,FALSE)-AVERAGE('The List'!AD2:AD730))/STDEV('The List'!AD2:AD730)</f>
        <v>0.33265101550267379</v>
      </c>
      <c r="R585" s="38">
        <f>(VLOOKUP($A585,'The List'!$B1:$AH730,30,FALSE)-AVERAGE('The List'!AE2:AE730))/STDEV('The List'!AE2:AE730)</f>
        <v>-0.91662306340449384</v>
      </c>
      <c r="S585" s="38">
        <f>(VLOOKUP($A585,'The List'!$B1:$AH730,31,FALSE)-AVERAGE('The List'!AF2:AF730))/STDEV('The List'!AF2:AF730)</f>
        <v>-0.56911587195029545</v>
      </c>
      <c r="T585" s="38">
        <f>(VLOOKUP($A585,'The List'!$B1:$AH730,32,FALSE)-AVERAGE('The List'!AG2:AG730))/STDEV('The List'!AG2:AG730)</f>
        <v>-0.61510119871956948</v>
      </c>
      <c r="U585" s="38">
        <f>(VLOOKUP($A585,'The List'!$B1:$AH730,33,FALSE)-AVERAGE('The List'!AH2:AH730))/STDEV('The List'!AH2:AH730)</f>
        <v>-1.2363238714825984</v>
      </c>
      <c r="V585" s="38"/>
      <c r="W585" s="42"/>
      <c r="X585" s="40"/>
      <c r="Y585" s="40"/>
      <c r="Z585" s="40"/>
      <c r="AA585" s="40"/>
      <c r="AB585" s="40"/>
      <c r="AC585" s="43"/>
      <c r="AD585" s="44"/>
      <c r="AE585" s="38"/>
    </row>
    <row r="586" spans="1:31" ht="21.2" customHeight="1">
      <c r="A586" s="8" t="s">
        <v>521</v>
      </c>
      <c r="B586" s="34" t="str">
        <f>VLOOKUP(A586,'Player Data'!A1:B734,2,FALSE)</f>
        <v>SJS</v>
      </c>
      <c r="C586" s="36">
        <f>((E586)*Settings!$C$12)+(F586*Settings!$C$2)+(G586*Settings!$C$3)+(H586*Settings!$C$4)+(I586*Settings!$C$5)+(K586*Settings!$C$9)+(N586*Settings!$C$6)+(J586*Settings!$C$8)+(O586*Settings!$C$7)+(P586*Settings!$C$14)+(Q586*Settings!$C$15)+(R586*Settings!$C$16)+(S586*Settings!$C$17)+(T586*Settings!$C$18)+(U586*Settings!$C$19)+(L586*Settings!$C$10)+(Settings!$C$11*M586)</f>
        <v>-4.8077912979192066</v>
      </c>
      <c r="D586" s="40">
        <f>IF(Settings!$E$12="YES",VLOOKUP(A586,'Player Data'!A1:E734,5,FALSE),82)</f>
        <v>82</v>
      </c>
      <c r="E586" s="38">
        <f>(VLOOKUP($A586,'The List'!$B1:$AH730,17,FALSE)-AVERAGE('The List'!R2:R730))/STDEV('The List'!R2:R730)</f>
        <v>0.71134585073386081</v>
      </c>
      <c r="F586" s="38">
        <f>(VLOOKUP($A586,'The List'!$B1:$AH730,18,FALSE)-AVERAGE('The List'!S2:S730))/STDEV('The List'!S2:S730)</f>
        <v>-1.2099137050562094</v>
      </c>
      <c r="G586" s="38">
        <f>(VLOOKUP($A586,'The List'!$B1:$AH730,19,FALSE)-AVERAGE('The List'!T2:T730))/STDEV('The List'!T2:T730)</f>
        <v>-0.7351145817198329</v>
      </c>
      <c r="H586" s="38">
        <f>(VLOOKUP($A586,'The List'!$B1:$AH730,20,FALSE)-AVERAGE('The List'!U2:U730))/STDEV('The List'!U2:U730)</f>
        <v>-1.0142131953362001</v>
      </c>
      <c r="I586" s="38">
        <f>(VLOOKUP($A586,'The List'!$B1:$AH730,21,FALSE)-AVERAGE('The List'!V2:V730))/STDEV('The List'!V2:V730)</f>
        <v>-1.041804619879465</v>
      </c>
      <c r="J586" s="38">
        <f>(VLOOKUP($A586,'The List'!$B1:$AH730,22,FALSE)-AVERAGE('The List'!W2:W730))/STDEV('The List'!W2:W730)</f>
        <v>-0.72163713105573202</v>
      </c>
      <c r="K586" s="38">
        <f>(VLOOKUP($A586,'The List'!$B1:$AH730,23,FALSE)-AVERAGE('The List'!X2:X730))/STDEV('The List'!X2:X730)</f>
        <v>-0.80674519592749971</v>
      </c>
      <c r="L586" s="38">
        <f>(VLOOKUP($A586,'The List'!$B1:$AH730,24,FALSE)-AVERAGE('The List'!Y2:Y730))/STDEV('The List'!Y2:Y730)</f>
        <v>-0.66328162075757602</v>
      </c>
      <c r="M586" s="38">
        <f>(VLOOKUP($A586,'The List'!$B1:$AH730,25,FALSE)-AVERAGE('The List'!Z2:Z730))/STDEV('The List'!Z2:Z730)</f>
        <v>-1.0995873397084541</v>
      </c>
      <c r="N586" s="38">
        <f>(VLOOKUP($A586,'The List'!$B1:$AH730,26,FALSE)-AVERAGE('The List'!AA2:AA730))/STDEV('The List'!AA2:AA730)</f>
        <v>1.540221149026014</v>
      </c>
      <c r="O586" s="38">
        <f>(VLOOKUP($A586,'The List'!$B1:$AH730,27,FALSE)-AVERAGE('The List'!AB2:AB730))/STDEV('The List'!AB2:AB730)</f>
        <v>-0.54462519692484013</v>
      </c>
      <c r="P586" s="38">
        <f>(VLOOKUP($A586,'The List'!$B1:$AH730,28,FALSE)-AVERAGE('The List'!AC2:AC730))/STDEV('The List'!AC2:AC730)</f>
        <v>-0.2259676348963385</v>
      </c>
      <c r="Q586" s="38">
        <f>(VLOOKUP($A586,'The List'!$B1:$AH730,29,FALSE)-AVERAGE('The List'!AD2:AD730))/STDEV('The List'!AD2:AD730)</f>
        <v>-1.0856465966191673</v>
      </c>
      <c r="R586" s="38">
        <f>(VLOOKUP($A586,'The List'!$B1:$AH730,30,FALSE)-AVERAGE('The List'!AE2:AE730))/STDEV('The List'!AE2:AE730)</f>
        <v>-1.1221802619503698</v>
      </c>
      <c r="S586" s="38">
        <f>(VLOOKUP($A586,'The List'!$B1:$AH730,31,FALSE)-AVERAGE('The List'!AF2:AF730))/STDEV('The List'!AF2:AF730)</f>
        <v>-0.56911587195029545</v>
      </c>
      <c r="T586" s="38">
        <f>(VLOOKUP($A586,'The List'!$B1:$AH730,32,FALSE)-AVERAGE('The List'!AG2:AG730))/STDEV('The List'!AG2:AG730)</f>
        <v>-0.61510119871956948</v>
      </c>
      <c r="U586" s="38">
        <f>(VLOOKUP($A586,'The List'!$B1:$AH730,33,FALSE)-AVERAGE('The List'!AH2:AH730))/STDEV('The List'!AH2:AH730)</f>
        <v>-1.2363238714825984</v>
      </c>
      <c r="V586" s="38"/>
      <c r="W586" s="42"/>
      <c r="X586" s="40"/>
      <c r="Y586" s="40"/>
      <c r="Z586" s="40"/>
      <c r="AA586" s="40"/>
      <c r="AB586" s="40"/>
      <c r="AC586" s="43"/>
      <c r="AD586" s="44"/>
      <c r="AE586" s="38"/>
    </row>
    <row r="587" spans="1:31" ht="21.2" customHeight="1">
      <c r="A587" s="8" t="s">
        <v>624</v>
      </c>
      <c r="B587" s="34" t="str">
        <f>VLOOKUP(A587,'Player Data'!A1:B734,2,FALSE)</f>
        <v>ANA</v>
      </c>
      <c r="C587" s="36">
        <f>((E587)*Settings!$C$12)+(F587*Settings!$C$2)+(G587*Settings!$C$3)+(H587*Settings!$C$4)+(I587*Settings!$C$5)+(K587*Settings!$C$9)+(N587*Settings!$C$6)+(J587*Settings!$C$8)+(O587*Settings!$C$7)+(P587*Settings!$C$14)+(Q587*Settings!$C$15)+(R587*Settings!$C$16)+(S587*Settings!$C$17)+(T587*Settings!$C$18)+(U587*Settings!$C$19)+(L587*Settings!$C$10)+(Settings!$C$11*M587)</f>
        <v>-4.9831003881560445</v>
      </c>
      <c r="D587" s="40">
        <f>IF(Settings!$E$12="YES",VLOOKUP(A587,'Player Data'!A1:E734,5,FALSE),82)</f>
        <v>82</v>
      </c>
      <c r="E587" s="38">
        <f>(VLOOKUP($A587,'The List'!$B1:$AH730,17,FALSE)-AVERAGE('The List'!R2:R730))/STDEV('The List'!R2:R730)</f>
        <v>1.0330221806464007E-2</v>
      </c>
      <c r="F587" s="38">
        <f>(VLOOKUP($A587,'The List'!$B1:$AH730,18,FALSE)-AVERAGE('The List'!S2:S730))/STDEV('The List'!S2:S730)</f>
        <v>-1.2017747000879269</v>
      </c>
      <c r="G587" s="38">
        <f>(VLOOKUP($A587,'The List'!$B1:$AH730,19,FALSE)-AVERAGE('The List'!T2:T730))/STDEV('The List'!T2:T730)</f>
        <v>-0.74421984836411992</v>
      </c>
      <c r="H587" s="38">
        <f>(VLOOKUP($A587,'The List'!$B1:$AH730,20,FALSE)-AVERAGE('The List'!U2:U730))/STDEV('The List'!U2:U730)</f>
        <v>-1.0160251351788065</v>
      </c>
      <c r="I587" s="38">
        <f>(VLOOKUP($A587,'The List'!$B1:$AH730,21,FALSE)-AVERAGE('The List'!V2:V730))/STDEV('The List'!V2:V730)</f>
        <v>-1.2111637997543334</v>
      </c>
      <c r="J587" s="38">
        <f>(VLOOKUP($A587,'The List'!$B1:$AH730,22,FALSE)-AVERAGE('The List'!W2:W730))/STDEV('The List'!W2:W730)</f>
        <v>-0.7305383672739485</v>
      </c>
      <c r="K587" s="38">
        <f>(VLOOKUP($A587,'The List'!$B1:$AH730,23,FALSE)-AVERAGE('The List'!X2:X730))/STDEV('The List'!X2:X730)</f>
        <v>-0.80991690477085843</v>
      </c>
      <c r="L587" s="38">
        <f>(VLOOKUP($A587,'The List'!$B1:$AH730,24,FALSE)-AVERAGE('The List'!Y2:Y730))/STDEV('The List'!Y2:Y730)</f>
        <v>-0.44889114093580629</v>
      </c>
      <c r="M587" s="38">
        <f>(VLOOKUP($A587,'The List'!$B1:$AH730,25,FALSE)-AVERAGE('The List'!Z2:Z730))/STDEV('The List'!Z2:Z730)</f>
        <v>-0.49575153316443371</v>
      </c>
      <c r="N587" s="38">
        <f>(VLOOKUP($A587,'The List'!$B1:$AH730,26,FALSE)-AVERAGE('The List'!AA2:AA730))/STDEV('The List'!AA2:AA730)</f>
        <v>0.38114019371767227</v>
      </c>
      <c r="O587" s="38">
        <f>(VLOOKUP($A587,'The List'!$B1:$AH730,27,FALSE)-AVERAGE('The List'!AB2:AB730))/STDEV('The List'!AB2:AB730)</f>
        <v>-0.26202230940474208</v>
      </c>
      <c r="P587" s="38">
        <f>(VLOOKUP($A587,'The List'!$B1:$AH730,28,FALSE)-AVERAGE('The List'!AC2:AC730))/STDEV('The List'!AC2:AC730)</f>
        <v>-2.1286593285685007</v>
      </c>
      <c r="Q587" s="38">
        <f>(VLOOKUP($A587,'The List'!$B1:$AH730,29,FALSE)-AVERAGE('The List'!AD2:AD730))/STDEV('The List'!AD2:AD730)</f>
        <v>-0.61982237279275676</v>
      </c>
      <c r="R587" s="38">
        <f>(VLOOKUP($A587,'The List'!$B1:$AH730,30,FALSE)-AVERAGE('The List'!AE2:AE730))/STDEV('The List'!AE2:AE730)</f>
        <v>-1.1465909399285923</v>
      </c>
      <c r="S587" s="38">
        <f>(VLOOKUP($A587,'The List'!$B1:$AH730,31,FALSE)-AVERAGE('The List'!AF2:AF730))/STDEV('The List'!AF2:AF730)</f>
        <v>-0.56911587195029545</v>
      </c>
      <c r="T587" s="38">
        <f>(VLOOKUP($A587,'The List'!$B1:$AH730,32,FALSE)-AVERAGE('The List'!AG2:AG730))/STDEV('The List'!AG2:AG730)</f>
        <v>-0.61510119871956948</v>
      </c>
      <c r="U587" s="38">
        <f>(VLOOKUP($A587,'The List'!$B1:$AH730,33,FALSE)-AVERAGE('The List'!AH2:AH730))/STDEV('The List'!AH2:AH730)</f>
        <v>-1.2363238714825984</v>
      </c>
      <c r="V587" s="38"/>
      <c r="W587" s="42"/>
      <c r="X587" s="40"/>
      <c r="Y587" s="40"/>
      <c r="Z587" s="40"/>
      <c r="AA587" s="40"/>
      <c r="AB587" s="40"/>
      <c r="AC587" s="43"/>
      <c r="AD587" s="44"/>
      <c r="AE587" s="38"/>
    </row>
    <row r="588" spans="1:31" ht="21.2" customHeight="1">
      <c r="A588" s="8" t="s">
        <v>804</v>
      </c>
      <c r="B588" s="34" t="str">
        <f>VLOOKUP(A588,'Player Data'!A1:B734,2,FALSE)</f>
        <v>OTT</v>
      </c>
      <c r="C588" s="36">
        <f>((E588)*Settings!$C$12)+(F588*Settings!$C$2)+(G588*Settings!$C$3)+(H588*Settings!$C$4)+(I588*Settings!$C$5)+(K588*Settings!$C$9)+(N588*Settings!$C$6)+(J588*Settings!$C$8)+(O588*Settings!$C$7)+(P588*Settings!$C$14)+(Q588*Settings!$C$15)+(R588*Settings!$C$16)+(S588*Settings!$C$17)+(T588*Settings!$C$18)+(U588*Settings!$C$19)+(L588*Settings!$C$10)+(Settings!$C$11*M588)</f>
        <v>-4.62097402251562</v>
      </c>
      <c r="D588" s="40">
        <f>IF(Settings!$E$12="YES",VLOOKUP(A588,'Player Data'!A1:E734,5,FALSE),82)</f>
        <v>82</v>
      </c>
      <c r="E588" s="38">
        <f>(VLOOKUP($A588,'The List'!$B1:$AH730,17,FALSE)-AVERAGE('The List'!R2:R730))/STDEV('The List'!R2:R730)</f>
        <v>-2.0788201522690031</v>
      </c>
      <c r="F588" s="38">
        <f>(VLOOKUP($A588,'The List'!$B1:$AH730,18,FALSE)-AVERAGE('The List'!S2:S730))/STDEV('The List'!S2:S730)</f>
        <v>-0.54878532438972616</v>
      </c>
      <c r="G588" s="38">
        <f>(VLOOKUP($A588,'The List'!$B1:$AH730,19,FALSE)-AVERAGE('The List'!T2:T730))/STDEV('The List'!T2:T730)</f>
        <v>-1.2430327132451588</v>
      </c>
      <c r="H588" s="38">
        <f>(VLOOKUP($A588,'The List'!$B1:$AH730,20,FALSE)-AVERAGE('The List'!U2:U730))/STDEV('The List'!U2:U730)</f>
        <v>-1.0190080498376684</v>
      </c>
      <c r="I588" s="38">
        <f>(VLOOKUP($A588,'The List'!$B1:$AH730,21,FALSE)-AVERAGE('The List'!V2:V730))/STDEV('The List'!V2:V730)</f>
        <v>-0.9978682983305428</v>
      </c>
      <c r="J588" s="38">
        <f>(VLOOKUP($A588,'The List'!$B1:$AH730,22,FALSE)-AVERAGE('The List'!W2:W730))/STDEV('The List'!W2:W730)</f>
        <v>-0.7222158222209083</v>
      </c>
      <c r="K588" s="38">
        <f>(VLOOKUP($A588,'The List'!$B1:$AH730,23,FALSE)-AVERAGE('The List'!X2:X730))/STDEV('The List'!X2:X730)</f>
        <v>-0.8122796367125239</v>
      </c>
      <c r="L588" s="38">
        <f>(VLOOKUP($A588,'The List'!$B1:$AH730,24,FALSE)-AVERAGE('The List'!Y2:Y730))/STDEV('The List'!Y2:Y730)</f>
        <v>-0.2130236945609322</v>
      </c>
      <c r="M588" s="38">
        <f>(VLOOKUP($A588,'The List'!$B1:$AH730,25,FALSE)-AVERAGE('The List'!Z2:Z730))/STDEV('The List'!Z2:Z730)</f>
        <v>-0.30980400651037893</v>
      </c>
      <c r="N588" s="38">
        <f>(VLOOKUP($A588,'The List'!$B1:$AH730,26,FALSE)-AVERAGE('The List'!AA2:AA730))/STDEV('The List'!AA2:AA730)</f>
        <v>-0.54612854641287545</v>
      </c>
      <c r="O588" s="38">
        <f>(VLOOKUP($A588,'The List'!$B1:$AH730,27,FALSE)-AVERAGE('The List'!AB2:AB730))/STDEV('The List'!AB2:AB730)</f>
        <v>1.3663183302174315</v>
      </c>
      <c r="P588" s="38">
        <f>(VLOOKUP($A588,'The List'!$B1:$AH730,28,FALSE)-AVERAGE('The List'!AC2:AC730))/STDEV('The List'!AC2:AC730)</f>
        <v>0.1062103675896392</v>
      </c>
      <c r="Q588" s="38">
        <f>(VLOOKUP($A588,'The List'!$B1:$AH730,29,FALSE)-AVERAGE('The List'!AD2:AD730))/STDEV('The List'!AD2:AD730)</f>
        <v>1.0223395045465311</v>
      </c>
      <c r="R588" s="38">
        <f>(VLOOKUP($A588,'The List'!$B1:$AH730,30,FALSE)-AVERAGE('The List'!AE2:AE730))/STDEV('The List'!AE2:AE730)</f>
        <v>-0.44737003739231174</v>
      </c>
      <c r="S588" s="38">
        <f>(VLOOKUP($A588,'The List'!$B1:$AH730,31,FALSE)-AVERAGE('The List'!AF2:AF730))/STDEV('The List'!AF2:AF730)</f>
        <v>1.3737613652135037</v>
      </c>
      <c r="T588" s="38">
        <f>(VLOOKUP($A588,'The List'!$B1:$AH730,32,FALSE)-AVERAGE('The List'!AG2:AG730))/STDEV('The List'!AG2:AG730)</f>
        <v>0.91663363303911216</v>
      </c>
      <c r="U588" s="38">
        <f>(VLOOKUP($A588,'The List'!$B1:$AH730,33,FALSE)-AVERAGE('The List'!AH2:AH730))/STDEV('The List'!AH2:AH730)</f>
        <v>1.3438657818782318</v>
      </c>
      <c r="V588" s="38"/>
      <c r="W588" s="42"/>
      <c r="X588" s="40"/>
      <c r="Y588" s="40"/>
      <c r="Z588" s="40"/>
      <c r="AA588" s="40"/>
      <c r="AB588" s="40"/>
      <c r="AC588" s="43"/>
      <c r="AD588" s="44"/>
      <c r="AE588" s="38"/>
    </row>
    <row r="589" spans="1:31" ht="21.2" customHeight="1">
      <c r="A589" s="8" t="s">
        <v>539</v>
      </c>
      <c r="B589" s="34" t="str">
        <f>VLOOKUP(A589,'Player Data'!A1:B734,2,FALSE)</f>
        <v>BOS</v>
      </c>
      <c r="C589" s="36">
        <f>((E589)*Settings!$C$12)+(F589*Settings!$C$2)+(G589*Settings!$C$3)+(H589*Settings!$C$4)+(I589*Settings!$C$5)+(K589*Settings!$C$9)+(N589*Settings!$C$6)+(J589*Settings!$C$8)+(O589*Settings!$C$7)+(P589*Settings!$C$14)+(Q589*Settings!$C$15)+(R589*Settings!$C$16)+(S589*Settings!$C$17)+(T589*Settings!$C$18)+(U589*Settings!$C$19)+(L589*Settings!$C$10)+(Settings!$C$11*M589)</f>
        <v>-4.9840902076760285</v>
      </c>
      <c r="D589" s="40">
        <f>IF(Settings!$E$12="YES",VLOOKUP(A589,'Player Data'!A1:E734,5,FALSE),82)</f>
        <v>82</v>
      </c>
      <c r="E589" s="38">
        <f>(VLOOKUP($A589,'The List'!$B1:$AH730,17,FALSE)-AVERAGE('The List'!R2:R730))/STDEV('The List'!R2:R730)</f>
        <v>0.29319364644509738</v>
      </c>
      <c r="F589" s="38">
        <f>(VLOOKUP($A589,'The List'!$B1:$AH730,18,FALSE)-AVERAGE('The List'!S2:S730))/STDEV('The List'!S2:S730)</f>
        <v>-0.92140371895396744</v>
      </c>
      <c r="G589" s="38">
        <f>(VLOOKUP($A589,'The List'!$B1:$AH730,19,FALSE)-AVERAGE('The List'!T2:T730))/STDEV('The List'!T2:T730)</f>
        <v>-0.96625938638349884</v>
      </c>
      <c r="H589" s="38">
        <f>(VLOOKUP($A589,'The List'!$B1:$AH730,20,FALSE)-AVERAGE('The List'!U2:U730))/STDEV('The List'!U2:U730)</f>
        <v>-1.022140231102693</v>
      </c>
      <c r="I589" s="38">
        <f>(VLOOKUP($A589,'The List'!$B1:$AH730,21,FALSE)-AVERAGE('The List'!V2:V730))/STDEV('The List'!V2:V730)</f>
        <v>-1.2600595425288021</v>
      </c>
      <c r="J589" s="38">
        <f>(VLOOKUP($A589,'The List'!$B1:$AH730,22,FALSE)-AVERAGE('The List'!W2:W730))/STDEV('The List'!W2:W730)</f>
        <v>-0.73262121000969038</v>
      </c>
      <c r="K589" s="38">
        <f>(VLOOKUP($A589,'The List'!$B1:$AH730,23,FALSE)-AVERAGE('The List'!X2:X730))/STDEV('The List'!X2:X730)</f>
        <v>-0.8142273287070666</v>
      </c>
      <c r="L589" s="38">
        <f>(VLOOKUP($A589,'The List'!$B1:$AH730,24,FALSE)-AVERAGE('The List'!Y2:Y730))/STDEV('The List'!Y2:Y730)</f>
        <v>1.3838564234282633</v>
      </c>
      <c r="M589" s="38">
        <f>(VLOOKUP($A589,'The List'!$B1:$AH730,25,FALSE)-AVERAGE('The List'!Z2:Z730))/STDEV('The List'!Z2:Z730)</f>
        <v>0.83282824521017662</v>
      </c>
      <c r="N589" s="38">
        <f>(VLOOKUP($A589,'The List'!$B1:$AH730,26,FALSE)-AVERAGE('The List'!AA2:AA730))/STDEV('The List'!AA2:AA730)</f>
        <v>1.3997115992884339</v>
      </c>
      <c r="O589" s="38">
        <f>(VLOOKUP($A589,'The List'!$B1:$AH730,27,FALSE)-AVERAGE('The List'!AB2:AB730))/STDEV('The List'!AB2:AB730)</f>
        <v>0.75369288024650549</v>
      </c>
      <c r="P589" s="38">
        <f>(VLOOKUP($A589,'The List'!$B1:$AH730,28,FALSE)-AVERAGE('The List'!AC2:AC730))/STDEV('The List'!AC2:AC730)</f>
        <v>0.35235921446434609</v>
      </c>
      <c r="Q589" s="38">
        <f>(VLOOKUP($A589,'The List'!$B1:$AH730,29,FALSE)-AVERAGE('The List'!AD2:AD730))/STDEV('The List'!AD2:AD730)</f>
        <v>0.13088405792457339</v>
      </c>
      <c r="R589" s="38">
        <f>(VLOOKUP($A589,'The List'!$B1:$AH730,30,FALSE)-AVERAGE('The List'!AE2:AE730))/STDEV('The List'!AE2:AE730)</f>
        <v>-0.76118489470627715</v>
      </c>
      <c r="S589" s="38">
        <f>(VLOOKUP($A589,'The List'!$B1:$AH730,31,FALSE)-AVERAGE('The List'!AF2:AF730))/STDEV('The List'!AF2:AF730)</f>
        <v>-0.56911587195029545</v>
      </c>
      <c r="T589" s="38">
        <f>(VLOOKUP($A589,'The List'!$B1:$AH730,32,FALSE)-AVERAGE('The List'!AG2:AG730))/STDEV('The List'!AG2:AG730)</f>
        <v>-0.61510119871956948</v>
      </c>
      <c r="U589" s="38">
        <f>(VLOOKUP($A589,'The List'!$B1:$AH730,33,FALSE)-AVERAGE('The List'!AH2:AH730))/STDEV('The List'!AH2:AH730)</f>
        <v>-1.2363238714825984</v>
      </c>
      <c r="V589" s="38"/>
      <c r="W589" s="40"/>
      <c r="X589" s="38"/>
      <c r="Y589" s="38"/>
      <c r="Z589" s="38"/>
      <c r="AA589" s="38"/>
      <c r="AB589" s="38"/>
      <c r="AC589" s="38"/>
      <c r="AD589" s="38"/>
      <c r="AE589" s="38"/>
    </row>
    <row r="590" spans="1:31" ht="21.2" customHeight="1">
      <c r="A590" s="8" t="s">
        <v>487</v>
      </c>
      <c r="B590" s="34" t="str">
        <f>VLOOKUP(A590,'Player Data'!A1:B734,2,FALSE)</f>
        <v>VAN</v>
      </c>
      <c r="C590" s="36">
        <f>((E590)*Settings!$C$12)+(F590*Settings!$C$2)+(G590*Settings!$C$3)+(H590*Settings!$C$4)+(I590*Settings!$C$5)+(K590*Settings!$C$9)+(N590*Settings!$C$6)+(J590*Settings!$C$8)+(O590*Settings!$C$7)+(P590*Settings!$C$14)+(Q590*Settings!$C$15)+(R590*Settings!$C$16)+(S590*Settings!$C$17)+(T590*Settings!$C$18)+(U590*Settings!$C$19)+(L590*Settings!$C$10)+(Settings!$C$11*M590)</f>
        <v>-4.5277782390692174</v>
      </c>
      <c r="D590" s="40">
        <f>IF(Settings!$E$12="YES",VLOOKUP(A590,'Player Data'!A1:E734,5,FALSE),82)</f>
        <v>82</v>
      </c>
      <c r="E590" s="38">
        <f>(VLOOKUP($A590,'The List'!$B1:$AH730,17,FALSE)-AVERAGE('The List'!R2:R730))/STDEV('The List'!R2:R730)</f>
        <v>0.2871876224876726</v>
      </c>
      <c r="F590" s="38">
        <f>(VLOOKUP($A590,'The List'!$B1:$AH730,18,FALSE)-AVERAGE('The List'!S2:S730))/STDEV('The List'!S2:S730)</f>
        <v>-1.1935608543750631</v>
      </c>
      <c r="G590" s="38">
        <f>(VLOOKUP($A590,'The List'!$B1:$AH730,19,FALSE)-AVERAGE('The List'!T2:T730))/STDEV('The List'!T2:T730)</f>
        <v>-0.76629805066208023</v>
      </c>
      <c r="H590" s="38">
        <f>(VLOOKUP($A590,'The List'!$B1:$AH730,20,FALSE)-AVERAGE('The List'!U2:U730))/STDEV('The List'!U2:U730)</f>
        <v>-1.0257746628528674</v>
      </c>
      <c r="I590" s="38">
        <f>(VLOOKUP($A590,'The List'!$B1:$AH730,21,FALSE)-AVERAGE('The List'!V2:V730))/STDEV('The List'!V2:V730)</f>
        <v>-0.78533249760923485</v>
      </c>
      <c r="J590" s="38">
        <f>(VLOOKUP($A590,'The List'!$B1:$AH730,22,FALSE)-AVERAGE('The List'!W2:W730))/STDEV('The List'!W2:W730)</f>
        <v>-0.72600572353248927</v>
      </c>
      <c r="K590" s="38">
        <f>(VLOOKUP($A590,'The List'!$B1:$AH730,23,FALSE)-AVERAGE('The List'!X2:X730))/STDEV('The List'!X2:X730)</f>
        <v>-0.75681217356997199</v>
      </c>
      <c r="L590" s="38">
        <f>(VLOOKUP($A590,'The List'!$B1:$AH730,24,FALSE)-AVERAGE('The List'!Y2:Y730))/STDEV('The List'!Y2:Y730)</f>
        <v>-0.38257622204556058</v>
      </c>
      <c r="M590" s="38">
        <f>(VLOOKUP($A590,'The List'!$B1:$AH730,25,FALSE)-AVERAGE('The List'!Z2:Z730))/STDEV('The List'!Z2:Z730)</f>
        <v>-0.36522240642979786</v>
      </c>
      <c r="N590" s="38">
        <f>(VLOOKUP($A590,'The List'!$B1:$AH730,26,FALSE)-AVERAGE('The List'!AA2:AA730))/STDEV('The List'!AA2:AA730)</f>
        <v>1.3077241471421526</v>
      </c>
      <c r="O590" s="38">
        <f>(VLOOKUP($A590,'The List'!$B1:$AH730,27,FALSE)-AVERAGE('The List'!AB2:AB730))/STDEV('The List'!AB2:AB730)</f>
        <v>-0.10425234146099314</v>
      </c>
      <c r="P590" s="38">
        <f>(VLOOKUP($A590,'The List'!$B1:$AH730,28,FALSE)-AVERAGE('The List'!AC2:AC730))/STDEV('The List'!AC2:AC730)</f>
        <v>-0.55443760649153073</v>
      </c>
      <c r="Q590" s="38">
        <f>(VLOOKUP($A590,'The List'!$B1:$AH730,29,FALSE)-AVERAGE('The List'!AD2:AD730))/STDEV('The List'!AD2:AD730)</f>
        <v>1.1314842162107928</v>
      </c>
      <c r="R590" s="38">
        <f>(VLOOKUP($A590,'The List'!$B1:$AH730,30,FALSE)-AVERAGE('The List'!AE2:AE730))/STDEV('The List'!AE2:AE730)</f>
        <v>-1.0889638101864674</v>
      </c>
      <c r="S590" s="38">
        <f>(VLOOKUP($A590,'The List'!$B1:$AH730,31,FALSE)-AVERAGE('The List'!AF2:AF730))/STDEV('The List'!AF2:AF730)</f>
        <v>-0.56911587195029545</v>
      </c>
      <c r="T590" s="38">
        <f>(VLOOKUP($A590,'The List'!$B1:$AH730,32,FALSE)-AVERAGE('The List'!AG2:AG730))/STDEV('The List'!AG2:AG730)</f>
        <v>-0.61510119871956948</v>
      </c>
      <c r="U590" s="38">
        <f>(VLOOKUP($A590,'The List'!$B1:$AH730,33,FALSE)-AVERAGE('The List'!AH2:AH730))/STDEV('The List'!AH2:AH730)</f>
        <v>-1.2363238714825984</v>
      </c>
      <c r="V590" s="38"/>
      <c r="W590" s="42"/>
      <c r="X590" s="40"/>
      <c r="Y590" s="40"/>
      <c r="Z590" s="40"/>
      <c r="AA590" s="40"/>
      <c r="AB590" s="40"/>
      <c r="AC590" s="43"/>
      <c r="AD590" s="44"/>
      <c r="AE590" s="38"/>
    </row>
    <row r="591" spans="1:31" ht="21.2" customHeight="1">
      <c r="A591" s="8" t="s">
        <v>565</v>
      </c>
      <c r="B591" s="34" t="str">
        <f>VLOOKUP(A591,'Player Data'!A1:B734,2,FALSE)</f>
        <v>DET</v>
      </c>
      <c r="C591" s="36">
        <f>((E591)*Settings!$C$12)+(F591*Settings!$C$2)+(G591*Settings!$C$3)+(H591*Settings!$C$4)+(I591*Settings!$C$5)+(K591*Settings!$C$9)+(N591*Settings!$C$6)+(J591*Settings!$C$8)+(O591*Settings!$C$7)+(P591*Settings!$C$14)+(Q591*Settings!$C$15)+(R591*Settings!$C$16)+(S591*Settings!$C$17)+(T591*Settings!$C$18)+(U591*Settings!$C$19)+(L591*Settings!$C$10)+(Settings!$C$11*M591)</f>
        <v>-5.0695697399333062</v>
      </c>
      <c r="D591" s="40">
        <f>IF(Settings!$E$12="YES",VLOOKUP(A591,'Player Data'!A1:E734,5,FALSE),82)</f>
        <v>82</v>
      </c>
      <c r="E591" s="38">
        <f>(VLOOKUP($A591,'The List'!$B1:$AH730,17,FALSE)-AVERAGE('The List'!R2:R730))/STDEV('The List'!R2:R730)</f>
        <v>-0.20593771226388041</v>
      </c>
      <c r="F591" s="38">
        <f>(VLOOKUP($A591,'The List'!$B1:$AH730,18,FALSE)-AVERAGE('The List'!S2:S730))/STDEV('The List'!S2:S730)</f>
        <v>-1.0601905793040356</v>
      </c>
      <c r="G591" s="38">
        <f>(VLOOKUP($A591,'The List'!$B1:$AH730,19,FALSE)-AVERAGE('The List'!T2:T730))/STDEV('The List'!T2:T730)</f>
        <v>-0.86791564794035858</v>
      </c>
      <c r="H591" s="38">
        <f>(VLOOKUP($A591,'The List'!$B1:$AH730,20,FALSE)-AVERAGE('The List'!U2:U730))/STDEV('The List'!U2:U730)</f>
        <v>-1.0262224169653713</v>
      </c>
      <c r="I591" s="38">
        <f>(VLOOKUP($A591,'The List'!$B1:$AH730,21,FALSE)-AVERAGE('The List'!V2:V730))/STDEV('The List'!V2:V730)</f>
        <v>-1.3040926706641267</v>
      </c>
      <c r="J591" s="38">
        <f>(VLOOKUP($A591,'The List'!$B1:$AH730,22,FALSE)-AVERAGE('The List'!W2:W730))/STDEV('The List'!W2:W730)</f>
        <v>-0.73120002543080409</v>
      </c>
      <c r="K591" s="38">
        <f>(VLOOKUP($A591,'The List'!$B1:$AH730,23,FALSE)-AVERAGE('The List'!X2:X730))/STDEV('The List'!X2:X730)</f>
        <v>-0.81114842505941398</v>
      </c>
      <c r="L591" s="38">
        <f>(VLOOKUP($A591,'The List'!$B1:$AH730,24,FALSE)-AVERAGE('The List'!Y2:Y730))/STDEV('The List'!Y2:Y730)</f>
        <v>-0.51624734845237596</v>
      </c>
      <c r="M591" s="38">
        <f>(VLOOKUP($A591,'The List'!$B1:$AH730,25,FALSE)-AVERAGE('The List'!Z2:Z730))/STDEV('The List'!Z2:Z730)</f>
        <v>-0.6744019386644734</v>
      </c>
      <c r="N591" s="38">
        <f>(VLOOKUP($A591,'The List'!$B1:$AH730,26,FALSE)-AVERAGE('The List'!AA2:AA730))/STDEV('The List'!AA2:AA730)</f>
        <v>0.84945579546431049</v>
      </c>
      <c r="O591" s="38">
        <f>(VLOOKUP($A591,'The List'!$B1:$AH730,27,FALSE)-AVERAGE('The List'!AB2:AB730))/STDEV('The List'!AB2:AB730)</f>
        <v>-0.49630523888892281</v>
      </c>
      <c r="P591" s="38">
        <f>(VLOOKUP($A591,'The List'!$B1:$AH730,28,FALSE)-AVERAGE('The List'!AC2:AC730))/STDEV('The List'!AC2:AC730)</f>
        <v>-0.88600060271694936</v>
      </c>
      <c r="Q591" s="38">
        <f>(VLOOKUP($A591,'The List'!$B1:$AH730,29,FALSE)-AVERAGE('The List'!AD2:AD730))/STDEV('The List'!AD2:AD730)</f>
        <v>-1.2774885019355451</v>
      </c>
      <c r="R591" s="38">
        <f>(VLOOKUP($A591,'The List'!$B1:$AH730,30,FALSE)-AVERAGE('The List'!AE2:AE730))/STDEV('The List'!AE2:AE730)</f>
        <v>-0.98462308211561511</v>
      </c>
      <c r="S591" s="38">
        <f>(VLOOKUP($A591,'The List'!$B1:$AH730,31,FALSE)-AVERAGE('The List'!AF2:AF730))/STDEV('The List'!AF2:AF730)</f>
        <v>-0.56911587195029545</v>
      </c>
      <c r="T591" s="38">
        <f>(VLOOKUP($A591,'The List'!$B1:$AH730,32,FALSE)-AVERAGE('The List'!AG2:AG730))/STDEV('The List'!AG2:AG730)</f>
        <v>-0.61510119871956948</v>
      </c>
      <c r="U591" s="38">
        <f>(VLOOKUP($A591,'The List'!$B1:$AH730,33,FALSE)-AVERAGE('The List'!AH2:AH730))/STDEV('The List'!AH2:AH730)</f>
        <v>-1.2363238714825984</v>
      </c>
      <c r="V591" s="38"/>
      <c r="W591" s="42"/>
      <c r="X591" s="40"/>
      <c r="Y591" s="40"/>
      <c r="Z591" s="40"/>
      <c r="AA591" s="40"/>
      <c r="AB591" s="40"/>
      <c r="AC591" s="43"/>
      <c r="AD591" s="44"/>
      <c r="AE591" s="38"/>
    </row>
    <row r="592" spans="1:31" ht="21.2" customHeight="1">
      <c r="A592" s="8" t="s">
        <v>542</v>
      </c>
      <c r="B592" s="34" t="str">
        <f>VLOOKUP(A592,'Player Data'!A1:B734,2,FALSE)</f>
        <v>MTL</v>
      </c>
      <c r="C592" s="36">
        <f>((E592)*Settings!$C$12)+(F592*Settings!$C$2)+(G592*Settings!$C$3)+(H592*Settings!$C$4)+(I592*Settings!$C$5)+(K592*Settings!$C$9)+(N592*Settings!$C$6)+(J592*Settings!$C$8)+(O592*Settings!$C$7)+(P592*Settings!$C$14)+(Q592*Settings!$C$15)+(R592*Settings!$C$16)+(S592*Settings!$C$17)+(T592*Settings!$C$18)+(U592*Settings!$C$19)+(L592*Settings!$C$10)+(Settings!$C$11*M592)</f>
        <v>-4.1772580080061257</v>
      </c>
      <c r="D592" s="40">
        <f>IF(Settings!$E$12="YES",VLOOKUP(A592,'Player Data'!A1:E734,5,FALSE),82)</f>
        <v>82</v>
      </c>
      <c r="E592" s="38">
        <f>(VLOOKUP($A592,'The List'!$B1:$AH730,17,FALSE)-AVERAGE('The List'!R2:R730))/STDEV('The List'!R2:R730)</f>
        <v>-0.50983146385985112</v>
      </c>
      <c r="F592" s="38">
        <f>(VLOOKUP($A592,'The List'!$B1:$AH730,18,FALSE)-AVERAGE('The List'!S2:S730))/STDEV('The List'!S2:S730)</f>
        <v>-0.93310371789884738</v>
      </c>
      <c r="G592" s="38">
        <f>(VLOOKUP($A592,'The List'!$B1:$AH730,19,FALSE)-AVERAGE('The List'!T2:T730))/STDEV('The List'!T2:T730)</f>
        <v>-0.96629441357724943</v>
      </c>
      <c r="H592" s="38">
        <f>(VLOOKUP($A592,'The List'!$B1:$AH730,20,FALSE)-AVERAGE('The List'!U2:U730))/STDEV('The List'!U2:U730)</f>
        <v>-1.0276007717846942</v>
      </c>
      <c r="I592" s="38">
        <f>(VLOOKUP($A592,'The List'!$B1:$AH730,21,FALSE)-AVERAGE('The List'!V2:V730))/STDEV('The List'!V2:V730)</f>
        <v>-0.64046483859067416</v>
      </c>
      <c r="J592" s="38">
        <f>(VLOOKUP($A592,'The List'!$B1:$AH730,22,FALSE)-AVERAGE('The List'!W2:W730))/STDEV('The List'!W2:W730)</f>
        <v>-0.4840108251842592</v>
      </c>
      <c r="K592" s="38">
        <f>(VLOOKUP($A592,'The List'!$B1:$AH730,23,FALSE)-AVERAGE('The List'!X2:X730))/STDEV('The List'!X2:X730)</f>
        <v>-0.60979426615466048</v>
      </c>
      <c r="L592" s="38">
        <f>(VLOOKUP($A592,'The List'!$B1:$AH730,24,FALSE)-AVERAGE('The List'!Y2:Y730))/STDEV('The List'!Y2:Y730)</f>
        <v>-0.49604895443726621</v>
      </c>
      <c r="M592" s="38">
        <f>(VLOOKUP($A592,'The List'!$B1:$AH730,25,FALSE)-AVERAGE('The List'!Z2:Z730))/STDEV('The List'!Z2:Z730)</f>
        <v>-0.62042120018285396</v>
      </c>
      <c r="N592" s="38">
        <f>(VLOOKUP($A592,'The List'!$B1:$AH730,26,FALSE)-AVERAGE('The List'!AA2:AA730))/STDEV('The List'!AA2:AA730)</f>
        <v>0.35902690816642124</v>
      </c>
      <c r="O592" s="38">
        <f>(VLOOKUP($A592,'The List'!$B1:$AH730,27,FALSE)-AVERAGE('The List'!AB2:AB730))/STDEV('The List'!AB2:AB730)</f>
        <v>1.8792633392042761</v>
      </c>
      <c r="P592" s="38">
        <f>(VLOOKUP($A592,'The List'!$B1:$AH730,28,FALSE)-AVERAGE('The List'!AC2:AC730))/STDEV('The List'!AC2:AC730)</f>
        <v>-2.0721496089450517</v>
      </c>
      <c r="Q592" s="38">
        <f>(VLOOKUP($A592,'The List'!$B1:$AH730,29,FALSE)-AVERAGE('The List'!AD2:AD730))/STDEV('The List'!AD2:AD730)</f>
        <v>3.4847034287458976</v>
      </c>
      <c r="R592" s="38">
        <f>(VLOOKUP($A592,'The List'!$B1:$AH730,30,FALSE)-AVERAGE('The List'!AE2:AE730))/STDEV('The List'!AE2:AE730)</f>
        <v>-0.96014843642036951</v>
      </c>
      <c r="S592" s="38">
        <f>(VLOOKUP($A592,'The List'!$B1:$AH730,31,FALSE)-AVERAGE('The List'!AF2:AF730))/STDEV('The List'!AF2:AF730)</f>
        <v>-0.56911587195029545</v>
      </c>
      <c r="T592" s="38">
        <f>(VLOOKUP($A592,'The List'!$B1:$AH730,32,FALSE)-AVERAGE('The List'!AG2:AG730))/STDEV('The List'!AG2:AG730)</f>
        <v>-0.61510119871956948</v>
      </c>
      <c r="U592" s="38">
        <f>(VLOOKUP($A592,'The List'!$B1:$AH730,33,FALSE)-AVERAGE('The List'!AH2:AH730))/STDEV('The List'!AH2:AH730)</f>
        <v>-1.2363238714825984</v>
      </c>
      <c r="V592" s="38"/>
      <c r="W592" s="40"/>
      <c r="X592" s="40"/>
      <c r="Y592" s="40"/>
      <c r="Z592" s="40"/>
      <c r="AA592" s="40"/>
      <c r="AB592" s="40"/>
      <c r="AC592" s="43"/>
      <c r="AD592" s="44"/>
      <c r="AE592" s="38"/>
    </row>
    <row r="593" spans="1:31" ht="21.2" customHeight="1">
      <c r="A593" s="8" t="s">
        <v>777</v>
      </c>
      <c r="B593" s="34" t="str">
        <f>VLOOKUP(A593,'Player Data'!A1:B734,2,FALSE)</f>
        <v>CBJ</v>
      </c>
      <c r="C593" s="36">
        <f>((E593)*Settings!$C$12)+(F593*Settings!$C$2)+(G593*Settings!$C$3)+(H593*Settings!$C$4)+(I593*Settings!$C$5)+(K593*Settings!$C$9)+(N593*Settings!$C$6)+(J593*Settings!$C$8)+(O593*Settings!$C$7)+(P593*Settings!$C$14)+(Q593*Settings!$C$15)+(R593*Settings!$C$16)+(S593*Settings!$C$17)+(T593*Settings!$C$18)+(U593*Settings!$C$19)+(L593*Settings!$C$10)+(Settings!$C$11*M593)</f>
        <v>-4.8375383816846469</v>
      </c>
      <c r="D593" s="40">
        <f>IF(Settings!$E$12="YES",VLOOKUP(A593,'Player Data'!A1:E734,5,FALSE),82)</f>
        <v>82</v>
      </c>
      <c r="E593" s="38">
        <f>(VLOOKUP($A593,'The List'!$B1:$AH730,17,FALSE)-AVERAGE('The List'!R2:R730))/STDEV('The List'!R2:R730)</f>
        <v>-1.7433926539708451</v>
      </c>
      <c r="F593" s="38">
        <f>(VLOOKUP($A593,'The List'!$B1:$AH730,18,FALSE)-AVERAGE('The List'!S2:S730))/STDEV('The List'!S2:S730)</f>
        <v>-0.81968047823817658</v>
      </c>
      <c r="G593" s="38">
        <f>(VLOOKUP($A593,'The List'!$B1:$AH730,19,FALSE)-AVERAGE('The List'!T2:T730))/STDEV('The List'!T2:T730)</f>
        <v>-1.0523614110316557</v>
      </c>
      <c r="H593" s="38">
        <f>(VLOOKUP($A593,'The List'!$B1:$AH730,20,FALSE)-AVERAGE('The List'!U2:U730))/STDEV('The List'!U2:U730)</f>
        <v>-1.0277649113057177</v>
      </c>
      <c r="I593" s="38">
        <f>(VLOOKUP($A593,'The List'!$B1:$AH730,21,FALSE)-AVERAGE('The List'!V2:V730))/STDEV('The List'!V2:V730)</f>
        <v>-1.1156338487306625</v>
      </c>
      <c r="J593" s="38">
        <f>(VLOOKUP($A593,'The List'!$B1:$AH730,22,FALSE)-AVERAGE('The List'!W2:W730))/STDEV('The List'!W2:W730)</f>
        <v>-0.73166479806616214</v>
      </c>
      <c r="K593" s="38">
        <f>(VLOOKUP($A593,'The List'!$B1:$AH730,23,FALSE)-AVERAGE('The List'!X2:X730))/STDEV('The List'!X2:X730)</f>
        <v>-0.82209773237843464</v>
      </c>
      <c r="L593" s="38">
        <f>(VLOOKUP($A593,'The List'!$B1:$AH730,24,FALSE)-AVERAGE('The List'!Y2:Y730))/STDEV('The List'!Y2:Y730)</f>
        <v>-0.29007047708181305</v>
      </c>
      <c r="M593" s="38">
        <f>(VLOOKUP($A593,'The List'!$B1:$AH730,25,FALSE)-AVERAGE('The List'!Z2:Z730))/STDEV('The List'!Z2:Z730)</f>
        <v>-0.40832401841515137</v>
      </c>
      <c r="N593" s="38">
        <f>(VLOOKUP($A593,'The List'!$B1:$AH730,26,FALSE)-AVERAGE('The List'!AA2:AA730))/STDEV('The List'!AA2:AA730)</f>
        <v>-0.26621520724753334</v>
      </c>
      <c r="O593" s="38">
        <f>(VLOOKUP($A593,'The List'!$B1:$AH730,27,FALSE)-AVERAGE('The List'!AB2:AB730))/STDEV('The List'!AB2:AB730)</f>
        <v>1.3763782226305015</v>
      </c>
      <c r="P593" s="38">
        <f>(VLOOKUP($A593,'The List'!$B1:$AH730,28,FALSE)-AVERAGE('The List'!AC2:AC730))/STDEV('The List'!AC2:AC730)</f>
        <v>-1.4315786690411603</v>
      </c>
      <c r="Q593" s="38">
        <f>(VLOOKUP($A593,'The List'!$B1:$AH730,29,FALSE)-AVERAGE('The List'!AD2:AD730))/STDEV('The List'!AD2:AD730)</f>
        <v>2.3567583348462251</v>
      </c>
      <c r="R593" s="38">
        <f>(VLOOKUP($A593,'The List'!$B1:$AH730,30,FALSE)-AVERAGE('The List'!AE2:AE730))/STDEV('The List'!AE2:AE730)</f>
        <v>-0.86758542610428979</v>
      </c>
      <c r="S593" s="38">
        <f>(VLOOKUP($A593,'The List'!$B1:$AH730,31,FALSE)-AVERAGE('The List'!AF2:AF730))/STDEV('The List'!AF2:AF730)</f>
        <v>-0.5546971898245967</v>
      </c>
      <c r="T593" s="38">
        <f>(VLOOKUP($A593,'The List'!$B1:$AH730,32,FALSE)-AVERAGE('The List'!AG2:AG730))/STDEV('The List'!AG2:AG730)</f>
        <v>-0.55065289393319305</v>
      </c>
      <c r="U593" s="38">
        <f>(VLOOKUP($A593,'The List'!$B1:$AH730,33,FALSE)-AVERAGE('The List'!AH2:AH730))/STDEV('The List'!AH2:AH730)</f>
        <v>-0.37678490346731935</v>
      </c>
      <c r="V593" s="38"/>
      <c r="W593" s="42"/>
      <c r="X593" s="40"/>
      <c r="Y593" s="40"/>
      <c r="Z593" s="40"/>
      <c r="AA593" s="40"/>
      <c r="AB593" s="40"/>
      <c r="AC593" s="43"/>
      <c r="AD593" s="44"/>
      <c r="AE593" s="38"/>
    </row>
    <row r="594" spans="1:31" ht="21.2" customHeight="1">
      <c r="A594" s="8" t="s">
        <v>761</v>
      </c>
      <c r="B594" s="34" t="str">
        <f>VLOOKUP(A594,'Player Data'!A1:B734,2,FALSE)</f>
        <v>UFA</v>
      </c>
      <c r="C594" s="36">
        <f>((E594)*Settings!$C$12)+(F594*Settings!$C$2)+(G594*Settings!$C$3)+(H594*Settings!$C$4)+(I594*Settings!$C$5)+(K594*Settings!$C$9)+(N594*Settings!$C$6)+(J594*Settings!$C$8)+(O594*Settings!$C$7)+(P594*Settings!$C$14)+(Q594*Settings!$C$15)+(R594*Settings!$C$16)+(S594*Settings!$C$17)+(T594*Settings!$C$18)+(U594*Settings!$C$19)+(L594*Settings!$C$10)+(Settings!$C$11*M594)</f>
        <v>-4.5891289709022089</v>
      </c>
      <c r="D594" s="40">
        <f>IF(Settings!$E$12="YES",VLOOKUP(A594,'Player Data'!A1:E734,5,FALSE),82)</f>
        <v>82</v>
      </c>
      <c r="E594" s="38">
        <f>(VLOOKUP($A594,'The List'!$B1:$AH730,17,FALSE)-AVERAGE('The List'!R2:R730))/STDEV('The List'!R2:R730)</f>
        <v>-1.71878553060272</v>
      </c>
      <c r="F594" s="38">
        <f>(VLOOKUP($A594,'The List'!$B1:$AH730,18,FALSE)-AVERAGE('The List'!S2:S730))/STDEV('The List'!S2:S730)</f>
        <v>-0.57902401821727656</v>
      </c>
      <c r="G594" s="38">
        <f>(VLOOKUP($A594,'The List'!$B1:$AH730,19,FALSE)-AVERAGE('The List'!T2:T730))/STDEV('The List'!T2:T730)</f>
        <v>-1.2418426888421312</v>
      </c>
      <c r="H594" s="38">
        <f>(VLOOKUP($A594,'The List'!$B1:$AH730,20,FALSE)-AVERAGE('The List'!U2:U730))/STDEV('The List'!U2:U730)</f>
        <v>-1.03233388918063</v>
      </c>
      <c r="I594" s="38">
        <f>(VLOOKUP($A594,'The List'!$B1:$AH730,21,FALSE)-AVERAGE('The List'!V2:V730))/STDEV('The List'!V2:V730)</f>
        <v>-0.9215954798961139</v>
      </c>
      <c r="J594" s="38">
        <f>(VLOOKUP($A594,'The List'!$B1:$AH730,22,FALSE)-AVERAGE('The List'!W2:W730))/STDEV('The List'!W2:W730)</f>
        <v>-0.72480410766636438</v>
      </c>
      <c r="K594" s="38">
        <f>(VLOOKUP($A594,'The List'!$B1:$AH730,23,FALSE)-AVERAGE('The List'!X2:X730))/STDEV('The List'!X2:X730)</f>
        <v>-0.81433289476605697</v>
      </c>
      <c r="L594" s="38">
        <f>(VLOOKUP($A594,'The List'!$B1:$AH730,24,FALSE)-AVERAGE('The List'!Y2:Y730))/STDEV('The List'!Y2:Y730)</f>
        <v>-0.52515529094994673</v>
      </c>
      <c r="M594" s="38">
        <f>(VLOOKUP($A594,'The List'!$B1:$AH730,25,FALSE)-AVERAGE('The List'!Z2:Z730))/STDEV('The List'!Z2:Z730)</f>
        <v>-0.70378350861314143</v>
      </c>
      <c r="N594" s="38">
        <f>(VLOOKUP($A594,'The List'!$B1:$AH730,26,FALSE)-AVERAGE('The List'!AA2:AA730))/STDEV('The List'!AA2:AA730)</f>
        <v>-0.64831760423742379</v>
      </c>
      <c r="O594" s="38">
        <f>(VLOOKUP($A594,'The List'!$B1:$AH730,27,FALSE)-AVERAGE('The List'!AB2:AB730))/STDEV('The List'!AB2:AB730)</f>
        <v>1.476493442845719</v>
      </c>
      <c r="P594" s="38">
        <f>(VLOOKUP($A594,'The List'!$B1:$AH730,28,FALSE)-AVERAGE('The List'!AC2:AC730))/STDEV('The List'!AC2:AC730)</f>
        <v>-0.17222259379848348</v>
      </c>
      <c r="Q594" s="38">
        <f>(VLOOKUP($A594,'The List'!$B1:$AH730,29,FALSE)-AVERAGE('The List'!AD2:AD730))/STDEV('The List'!AD2:AD730)</f>
        <v>-0.75168838996095799</v>
      </c>
      <c r="R594" s="38">
        <f>(VLOOKUP($A594,'The List'!$B1:$AH730,30,FALSE)-AVERAGE('The List'!AE2:AE730))/STDEV('The List'!AE2:AE730)</f>
        <v>-1.2515972607254897</v>
      </c>
      <c r="S594" s="38">
        <f>(VLOOKUP($A594,'The List'!$B1:$AH730,31,FALSE)-AVERAGE('The List'!AF2:AF730))/STDEV('The List'!AF2:AF730)</f>
        <v>-0.53819213030716984</v>
      </c>
      <c r="T594" s="38">
        <f>(VLOOKUP($A594,'The List'!$B1:$AH730,32,FALSE)-AVERAGE('The List'!AG2:AG730))/STDEV('The List'!AG2:AG730)</f>
        <v>-0.5796541626334647</v>
      </c>
      <c r="U594" s="38">
        <f>(VLOOKUP($A594,'The List'!$B1:$AH730,33,FALSE)-AVERAGE('The List'!AH2:AH730))/STDEV('The List'!AH2:AH730)</f>
        <v>0.92353824104000759</v>
      </c>
      <c r="V594" s="38"/>
      <c r="W594" s="42"/>
      <c r="X594" s="40"/>
      <c r="Y594" s="40"/>
      <c r="Z594" s="40"/>
      <c r="AA594" s="40"/>
      <c r="AB594" s="40"/>
      <c r="AC594" s="43"/>
      <c r="AD594" s="44"/>
      <c r="AE594" s="38"/>
    </row>
    <row r="595" spans="1:31" ht="21.2" customHeight="1">
      <c r="A595" s="8" t="s">
        <v>763</v>
      </c>
      <c r="B595" s="34" t="str">
        <f>VLOOKUP(A595,'Player Data'!A1:B734,2,FALSE)</f>
        <v>NSH</v>
      </c>
      <c r="C595" s="36">
        <f>((E595)*Settings!$C$12)+(F595*Settings!$C$2)+(G595*Settings!$C$3)+(H595*Settings!$C$4)+(I595*Settings!$C$5)+(K595*Settings!$C$9)+(N595*Settings!$C$6)+(J595*Settings!$C$8)+(O595*Settings!$C$7)+(P595*Settings!$C$14)+(Q595*Settings!$C$15)+(R595*Settings!$C$16)+(S595*Settings!$C$17)+(T595*Settings!$C$18)+(U595*Settings!$C$19)+(L595*Settings!$C$10)+(Settings!$C$11*M595)</f>
        <v>-4.5851465435594889</v>
      </c>
      <c r="D595" s="40">
        <f>IF(Settings!$E$12="YES",VLOOKUP(A595,'Player Data'!A1:E734,5,FALSE),82)</f>
        <v>82</v>
      </c>
      <c r="E595" s="38">
        <f>(VLOOKUP($A595,'The List'!$B1:$AH730,17,FALSE)-AVERAGE('The List'!R2:R730))/STDEV('The List'!R2:R730)</f>
        <v>-1.6630133962704305</v>
      </c>
      <c r="F595" s="38">
        <f>(VLOOKUP($A595,'The List'!$B1:$AH730,18,FALSE)-AVERAGE('The List'!S2:S730))/STDEV('The List'!S2:S730)</f>
        <v>-0.64932403846270914</v>
      </c>
      <c r="G595" s="38">
        <f>(VLOOKUP($A595,'The List'!$B1:$AH730,19,FALSE)-AVERAGE('The List'!T2:T730))/STDEV('The List'!T2:T730)</f>
        <v>-1.1887869219379152</v>
      </c>
      <c r="H595" s="38">
        <f>(VLOOKUP($A595,'The List'!$B1:$AH730,20,FALSE)-AVERAGE('The List'!U2:U730))/STDEV('The List'!U2:U730)</f>
        <v>-1.0324096235638391</v>
      </c>
      <c r="I595" s="38">
        <f>(VLOOKUP($A595,'The List'!$B1:$AH730,21,FALSE)-AVERAGE('The List'!V2:V730))/STDEV('The List'!V2:V730)</f>
        <v>-0.90801727367158669</v>
      </c>
      <c r="J595" s="38">
        <f>(VLOOKUP($A595,'The List'!$B1:$AH730,22,FALSE)-AVERAGE('The List'!W2:W730))/STDEV('The List'!W2:W730)</f>
        <v>-0.72060479996542515</v>
      </c>
      <c r="K595" s="38">
        <f>(VLOOKUP($A595,'The List'!$B1:$AH730,23,FALSE)-AVERAGE('The List'!X2:X730))/STDEV('The List'!X2:X730)</f>
        <v>-0.80660868592343871</v>
      </c>
      <c r="L595" s="38">
        <f>(VLOOKUP($A595,'The List'!$B1:$AH730,24,FALSE)-AVERAGE('The List'!Y2:Y730))/STDEV('The List'!Y2:Y730)</f>
        <v>0.48966608649822535</v>
      </c>
      <c r="M595" s="38">
        <f>(VLOOKUP($A595,'The List'!$B1:$AH730,25,FALSE)-AVERAGE('The List'!Z2:Z730))/STDEV('The List'!Z2:Z730)</f>
        <v>0.90167431082383487</v>
      </c>
      <c r="N595" s="38">
        <f>(VLOOKUP($A595,'The List'!$B1:$AH730,26,FALSE)-AVERAGE('The List'!AA2:AA730))/STDEV('The List'!AA2:AA730)</f>
        <v>-0.49333568455723759</v>
      </c>
      <c r="O595" s="38">
        <f>(VLOOKUP($A595,'The List'!$B1:$AH730,27,FALSE)-AVERAGE('The List'!AB2:AB730))/STDEV('The List'!AB2:AB730)</f>
        <v>1.2931260056553056</v>
      </c>
      <c r="P595" s="38">
        <f>(VLOOKUP($A595,'The List'!$B1:$AH730,28,FALSE)-AVERAGE('The List'!AC2:AC730))/STDEV('The List'!AC2:AC730)</f>
        <v>-0.28766695703353895</v>
      </c>
      <c r="Q595" s="38">
        <f>(VLOOKUP($A595,'The List'!$B1:$AH730,29,FALSE)-AVERAGE('The List'!AD2:AD730))/STDEV('The List'!AD2:AD730)</f>
        <v>1.3377369059934818</v>
      </c>
      <c r="R595" s="38">
        <f>(VLOOKUP($A595,'The List'!$B1:$AH730,30,FALSE)-AVERAGE('The List'!AE2:AE730))/STDEV('The List'!AE2:AE730)</f>
        <v>-0.5662919425547891</v>
      </c>
      <c r="S595" s="38">
        <f>(VLOOKUP($A595,'The List'!$B1:$AH730,31,FALSE)-AVERAGE('The List'!AF2:AF730))/STDEV('The List'!AF2:AF730)</f>
        <v>0.33568051101271773</v>
      </c>
      <c r="T595" s="38">
        <f>(VLOOKUP($A595,'The List'!$B1:$AH730,32,FALSE)-AVERAGE('The List'!AG2:AG730))/STDEV('The List'!AG2:AG730)</f>
        <v>0.13277658696419564</v>
      </c>
      <c r="U595" s="38">
        <f>(VLOOKUP($A595,'The List'!$B1:$AH730,33,FALSE)-AVERAGE('The List'!AH2:AH730))/STDEV('The List'!AH2:AH730)</f>
        <v>1.2913802538670152</v>
      </c>
      <c r="V595" s="38"/>
      <c r="W595" s="42"/>
      <c r="X595" s="40"/>
      <c r="Y595" s="40"/>
      <c r="Z595" s="40"/>
      <c r="AA595" s="40"/>
      <c r="AB595" s="40"/>
      <c r="AC595" s="43"/>
      <c r="AD595" s="44"/>
      <c r="AE595" s="38"/>
    </row>
    <row r="596" spans="1:31" ht="21.2" customHeight="1">
      <c r="A596" s="8" t="s">
        <v>744</v>
      </c>
      <c r="B596" s="34" t="str">
        <f>VLOOKUP(A596,'Player Data'!A1:B734,2,FALSE)</f>
        <v>COL</v>
      </c>
      <c r="C596" s="36">
        <f>((E596)*Settings!$C$12)+(F596*Settings!$C$2)+(G596*Settings!$C$3)+(H596*Settings!$C$4)+(I596*Settings!$C$5)+(K596*Settings!$C$9)+(N596*Settings!$C$6)+(J596*Settings!$C$8)+(O596*Settings!$C$7)+(P596*Settings!$C$14)+(Q596*Settings!$C$15)+(R596*Settings!$C$16)+(S596*Settings!$C$17)+(T596*Settings!$C$18)+(U596*Settings!$C$19)+(L596*Settings!$C$10)+(Settings!$C$11*M596)</f>
        <v>-4.595605541407366</v>
      </c>
      <c r="D596" s="40">
        <f>IF(Settings!$E$12="YES",VLOOKUP(A596,'Player Data'!A1:E734,5,FALSE),82)</f>
        <v>82</v>
      </c>
      <c r="E596" s="38">
        <f>(VLOOKUP($A596,'The List'!$B1:$AH730,17,FALSE)-AVERAGE('The List'!R2:R730))/STDEV('The List'!R2:R730)</f>
        <v>-1.0456550430577989</v>
      </c>
      <c r="F596" s="38">
        <f>(VLOOKUP($A596,'The List'!$B1:$AH730,18,FALSE)-AVERAGE('The List'!S2:S730))/STDEV('The List'!S2:S730)</f>
        <v>-0.75827236662808828</v>
      </c>
      <c r="G596" s="38">
        <f>(VLOOKUP($A596,'The List'!$B1:$AH730,19,FALSE)-AVERAGE('The List'!T2:T730))/STDEV('The List'!T2:T730)</f>
        <v>-1.1080377021997105</v>
      </c>
      <c r="H596" s="38">
        <f>(VLOOKUP($A596,'The List'!$B1:$AH730,20,FALSE)-AVERAGE('The List'!U2:U730))/STDEV('The List'!U2:U730)</f>
        <v>-1.0334332015384931</v>
      </c>
      <c r="I596" s="38">
        <f>(VLOOKUP($A596,'The List'!$B1:$AH730,21,FALSE)-AVERAGE('The List'!V2:V730))/STDEV('The List'!V2:V730)</f>
        <v>-0.87429157292015158</v>
      </c>
      <c r="J596" s="38">
        <f>(VLOOKUP($A596,'The List'!$B1:$AH730,22,FALSE)-AVERAGE('The List'!W2:W730))/STDEV('The List'!W2:W730)</f>
        <v>-0.73254949283902582</v>
      </c>
      <c r="K596" s="38">
        <f>(VLOOKUP($A596,'The List'!$B1:$AH730,23,FALSE)-AVERAGE('The List'!X2:X730))/STDEV('The List'!X2:X730)</f>
        <v>-0.82157069812092187</v>
      </c>
      <c r="L596" s="38">
        <f>(VLOOKUP($A596,'The List'!$B1:$AH730,24,FALSE)-AVERAGE('The List'!Y2:Y730))/STDEV('The List'!Y2:Y730)</f>
        <v>0.10627526142329612</v>
      </c>
      <c r="M596" s="38">
        <f>(VLOOKUP($A596,'The List'!$B1:$AH730,25,FALSE)-AVERAGE('The List'!Z2:Z730))/STDEV('The List'!Z2:Z730)</f>
        <v>0.90255848457117838</v>
      </c>
      <c r="N596" s="38">
        <f>(VLOOKUP($A596,'The List'!$B1:$AH730,26,FALSE)-AVERAGE('The List'!AA2:AA730))/STDEV('The List'!AA2:AA730)</f>
        <v>-0.40950330609669494</v>
      </c>
      <c r="O596" s="38">
        <f>(VLOOKUP($A596,'The List'!$B1:$AH730,27,FALSE)-AVERAGE('The List'!AB2:AB730))/STDEV('The List'!AB2:AB730)</f>
        <v>-0.35278562272812258</v>
      </c>
      <c r="P596" s="38">
        <f>(VLOOKUP($A596,'The List'!$B1:$AH730,28,FALSE)-AVERAGE('The List'!AC2:AC730))/STDEV('The List'!AC2:AC730)</f>
        <v>0.46880859337704989</v>
      </c>
      <c r="Q596" s="38">
        <f>(VLOOKUP($A596,'The List'!$B1:$AH730,29,FALSE)-AVERAGE('The List'!AD2:AD730))/STDEV('The List'!AD2:AD730)</f>
        <v>-0.29352971603704237</v>
      </c>
      <c r="R596" s="38">
        <f>(VLOOKUP($A596,'The List'!$B1:$AH730,30,FALSE)-AVERAGE('The List'!AE2:AE730))/STDEV('The List'!AE2:AE730)</f>
        <v>-0.62134100567160322</v>
      </c>
      <c r="S596" s="38">
        <f>(VLOOKUP($A596,'The List'!$B1:$AH730,31,FALSE)-AVERAGE('The List'!AF2:AF730))/STDEV('The List'!AF2:AF730)</f>
        <v>-0.45785302961092805</v>
      </c>
      <c r="T596" s="38">
        <f>(VLOOKUP($A596,'The List'!$B1:$AH730,32,FALSE)-AVERAGE('The List'!AG2:AG730))/STDEV('The List'!AG2:AG730)</f>
        <v>-0.43889962430908691</v>
      </c>
      <c r="U596" s="38">
        <f>(VLOOKUP($A596,'The List'!$B1:$AH730,33,FALSE)-AVERAGE('The List'!AH2:AH730))/STDEV('The List'!AH2:AH730)</f>
        <v>0.56492864752754357</v>
      </c>
      <c r="V596" s="38"/>
      <c r="W596" s="40"/>
      <c r="X596" s="38"/>
      <c r="Y596" s="38"/>
      <c r="Z596" s="38"/>
      <c r="AA596" s="38"/>
      <c r="AB596" s="38"/>
      <c r="AC596" s="38"/>
      <c r="AD596" s="38"/>
      <c r="AE596" s="38"/>
    </row>
    <row r="597" spans="1:31" ht="21.2" customHeight="1">
      <c r="A597" s="8" t="s">
        <v>594</v>
      </c>
      <c r="B597" s="34" t="str">
        <f>VLOOKUP(A597,'Player Data'!A1:B734,2,FALSE)</f>
        <v>SEA</v>
      </c>
      <c r="C597" s="36">
        <f>((E597)*Settings!$C$12)+(F597*Settings!$C$2)+(G597*Settings!$C$3)+(H597*Settings!$C$4)+(I597*Settings!$C$5)+(K597*Settings!$C$9)+(N597*Settings!$C$6)+(J597*Settings!$C$8)+(O597*Settings!$C$7)+(P597*Settings!$C$14)+(Q597*Settings!$C$15)+(R597*Settings!$C$16)+(S597*Settings!$C$17)+(T597*Settings!$C$18)+(U597*Settings!$C$19)+(L597*Settings!$C$10)+(Settings!$C$11*M597)</f>
        <v>-4.9475347375943732</v>
      </c>
      <c r="D597" s="40">
        <f>IF(Settings!$E$12="YES",VLOOKUP(A597,'Player Data'!A1:E734,5,FALSE),82)</f>
        <v>82</v>
      </c>
      <c r="E597" s="38">
        <f>(VLOOKUP($A597,'The List'!$B1:$AH730,17,FALSE)-AVERAGE('The List'!R2:R730))/STDEV('The List'!R2:R730)</f>
        <v>-5.0236329873733061E-2</v>
      </c>
      <c r="F597" s="38">
        <f>(VLOOKUP($A597,'The List'!$B1:$AH730,18,FALSE)-AVERAGE('The List'!S2:S730))/STDEV('The List'!S2:S730)</f>
        <v>-1.1281988382563795</v>
      </c>
      <c r="G597" s="38">
        <f>(VLOOKUP($A597,'The List'!$B1:$AH730,19,FALSE)-AVERAGE('The List'!T2:T730))/STDEV('The List'!T2:T730)</f>
        <v>-0.83784888295741045</v>
      </c>
      <c r="H597" s="38">
        <f>(VLOOKUP($A597,'The List'!$B1:$AH730,20,FALSE)-AVERAGE('The List'!U2:U730))/STDEV('The List'!U2:U730)</f>
        <v>-1.0393604191214145</v>
      </c>
      <c r="I597" s="38">
        <f>(VLOOKUP($A597,'The List'!$B1:$AH730,21,FALSE)-AVERAGE('The List'!V2:V730))/STDEV('The List'!V2:V730)</f>
        <v>-1.132178927126815</v>
      </c>
      <c r="J597" s="38">
        <f>(VLOOKUP($A597,'The List'!$B1:$AH730,22,FALSE)-AVERAGE('The List'!W2:W730))/STDEV('The List'!W2:W730)</f>
        <v>-0.73085371061286675</v>
      </c>
      <c r="K597" s="38">
        <f>(VLOOKUP($A597,'The List'!$B1:$AH730,23,FALSE)-AVERAGE('The List'!X2:X730))/STDEV('The List'!X2:X730)</f>
        <v>-0.80994767013235358</v>
      </c>
      <c r="L597" s="38">
        <f>(VLOOKUP($A597,'The List'!$B1:$AH730,24,FALSE)-AVERAGE('The List'!Y2:Y730))/STDEV('The List'!Y2:Y730)</f>
        <v>-0.50406643445922683</v>
      </c>
      <c r="M597" s="38">
        <f>(VLOOKUP($A597,'The List'!$B1:$AH730,25,FALSE)-AVERAGE('The List'!Z2:Z730))/STDEV('The List'!Z2:Z730)</f>
        <v>-0.21774524122160863</v>
      </c>
      <c r="N597" s="38">
        <f>(VLOOKUP($A597,'The List'!$B1:$AH730,26,FALSE)-AVERAGE('The List'!AA2:AA730))/STDEV('The List'!AA2:AA730)</f>
        <v>0.8383136925797755</v>
      </c>
      <c r="O597" s="38">
        <f>(VLOOKUP($A597,'The List'!$B1:$AH730,27,FALSE)-AVERAGE('The List'!AB2:AB730))/STDEV('The List'!AB2:AB730)</f>
        <v>0.20025753968226948</v>
      </c>
      <c r="P597" s="38">
        <f>(VLOOKUP($A597,'The List'!$B1:$AH730,28,FALSE)-AVERAGE('The List'!AC2:AC730))/STDEV('The List'!AC2:AC730)</f>
        <v>-3.7134986976915386E-3</v>
      </c>
      <c r="Q597" s="38">
        <f>(VLOOKUP($A597,'The List'!$B1:$AH730,29,FALSE)-AVERAGE('The List'!AD2:AD730))/STDEV('The List'!AD2:AD730)</f>
        <v>-0.39428797689008299</v>
      </c>
      <c r="R597" s="38">
        <f>(VLOOKUP($A597,'The List'!$B1:$AH730,30,FALSE)-AVERAGE('The List'!AE2:AE730))/STDEV('The List'!AE2:AE730)</f>
        <v>-1.0302815773664522</v>
      </c>
      <c r="S597" s="38">
        <f>(VLOOKUP($A597,'The List'!$B1:$AH730,31,FALSE)-AVERAGE('The List'!AF2:AF730))/STDEV('The List'!AF2:AF730)</f>
        <v>-0.56911587195029545</v>
      </c>
      <c r="T597" s="38">
        <f>(VLOOKUP($A597,'The List'!$B1:$AH730,32,FALSE)-AVERAGE('The List'!AG2:AG730))/STDEV('The List'!AG2:AG730)</f>
        <v>-0.61510119871956948</v>
      </c>
      <c r="U597" s="38">
        <f>(VLOOKUP($A597,'The List'!$B1:$AH730,33,FALSE)-AVERAGE('The List'!AH2:AH730))/STDEV('The List'!AH2:AH730)</f>
        <v>-1.2363238714825984</v>
      </c>
      <c r="V597" s="38"/>
      <c r="W597" s="40"/>
      <c r="X597" s="38"/>
      <c r="Y597" s="38"/>
      <c r="Z597" s="38"/>
      <c r="AA597" s="38"/>
      <c r="AB597" s="38"/>
      <c r="AC597" s="38"/>
      <c r="AD597" s="38"/>
      <c r="AE597" s="38"/>
    </row>
    <row r="598" spans="1:31" ht="21.2" customHeight="1">
      <c r="A598" s="8" t="s">
        <v>805</v>
      </c>
      <c r="B598" s="34" t="str">
        <f>VLOOKUP(A598,'Player Data'!A1:B734,2,FALSE)</f>
        <v>COL</v>
      </c>
      <c r="C598" s="36">
        <f>((E598)*Settings!$C$12)+(F598*Settings!$C$2)+(G598*Settings!$C$3)+(H598*Settings!$C$4)+(I598*Settings!$C$5)+(K598*Settings!$C$9)+(N598*Settings!$C$6)+(J598*Settings!$C$8)+(O598*Settings!$C$7)+(P598*Settings!$C$14)+(Q598*Settings!$C$15)+(R598*Settings!$C$16)+(S598*Settings!$C$17)+(T598*Settings!$C$18)+(U598*Settings!$C$19)+(L598*Settings!$C$10)+(Settings!$C$11*M598)</f>
        <v>-4.5970335044850152</v>
      </c>
      <c r="D598" s="40">
        <f>IF(Settings!$E$12="YES",VLOOKUP(A598,'Player Data'!A1:E734,5,FALSE),82)</f>
        <v>82</v>
      </c>
      <c r="E598" s="38">
        <f>(VLOOKUP($A598,'The List'!$B1:$AH730,17,FALSE)-AVERAGE('The List'!R2:R730))/STDEV('The List'!R2:R730)</f>
        <v>-1.6860708461867726</v>
      </c>
      <c r="F598" s="38">
        <f>(VLOOKUP($A598,'The List'!$B1:$AH730,18,FALSE)-AVERAGE('The List'!S2:S730))/STDEV('The List'!S2:S730)</f>
        <v>-0.83648146407195256</v>
      </c>
      <c r="G598" s="38">
        <f>(VLOOKUP($A598,'The List'!$B1:$AH730,19,FALSE)-AVERAGE('The List'!T2:T730))/STDEV('The List'!T2:T730)</f>
        <v>-1.0764773942386747</v>
      </c>
      <c r="H598" s="38">
        <f>(VLOOKUP($A598,'The List'!$B1:$AH730,20,FALSE)-AVERAGE('The List'!U2:U730))/STDEV('The List'!U2:U730)</f>
        <v>-1.0503954584681789</v>
      </c>
      <c r="I598" s="38">
        <f>(VLOOKUP($A598,'The List'!$B1:$AH730,21,FALSE)-AVERAGE('The List'!V2:V730))/STDEV('The List'!V2:V730)</f>
        <v>-0.82016745233895694</v>
      </c>
      <c r="J598" s="38">
        <f>(VLOOKUP($A598,'The List'!$B1:$AH730,22,FALSE)-AVERAGE('The List'!W2:W730))/STDEV('The List'!W2:W730)</f>
        <v>-0.72368387138758905</v>
      </c>
      <c r="K598" s="38">
        <f>(VLOOKUP($A598,'The List'!$B1:$AH730,23,FALSE)-AVERAGE('The List'!X2:X730))/STDEV('The List'!X2:X730)</f>
        <v>-0.81351173536725185</v>
      </c>
      <c r="L598" s="38">
        <f>(VLOOKUP($A598,'The List'!$B1:$AH730,24,FALSE)-AVERAGE('The List'!Y2:Y730))/STDEV('The List'!Y2:Y730)</f>
        <v>-0.52515529094994673</v>
      </c>
      <c r="M598" s="38">
        <f>(VLOOKUP($A598,'The List'!$B1:$AH730,25,FALSE)-AVERAGE('The List'!Z2:Z730))/STDEV('The List'!Z2:Z730)</f>
        <v>-0.70378350861314143</v>
      </c>
      <c r="N598" s="38">
        <f>(VLOOKUP($A598,'The List'!$B1:$AH730,26,FALSE)-AVERAGE('The List'!AA2:AA730))/STDEV('The List'!AA2:AA730)</f>
        <v>-0.91586215652389225</v>
      </c>
      <c r="O598" s="38">
        <f>(VLOOKUP($A598,'The List'!$B1:$AH730,27,FALSE)-AVERAGE('The List'!AB2:AB730))/STDEV('The List'!AB2:AB730)</f>
        <v>0.11044820096101146</v>
      </c>
      <c r="P598" s="38">
        <f>(VLOOKUP($A598,'The List'!$B1:$AH730,28,FALSE)-AVERAGE('The List'!AC2:AC730))/STDEV('The List'!AC2:AC730)</f>
        <v>0.83389461058552194</v>
      </c>
      <c r="Q598" s="38">
        <f>(VLOOKUP($A598,'The List'!$B1:$AH730,29,FALSE)-AVERAGE('The List'!AD2:AD730))/STDEV('The List'!AD2:AD730)</f>
        <v>-1.2293700348836882</v>
      </c>
      <c r="R598" s="38">
        <f>(VLOOKUP($A598,'The List'!$B1:$AH730,30,FALSE)-AVERAGE('The List'!AE2:AE730))/STDEV('The List'!AE2:AE730)</f>
        <v>-0.70192166914473297</v>
      </c>
      <c r="S598" s="38">
        <f>(VLOOKUP($A598,'The List'!$B1:$AH730,31,FALSE)-AVERAGE('The List'!AF2:AF730))/STDEV('The List'!AF2:AF730)</f>
        <v>-0.52786213216751965</v>
      </c>
      <c r="T598" s="38">
        <f>(VLOOKUP($A598,'The List'!$B1:$AH730,32,FALSE)-AVERAGE('The List'!AG2:AG730))/STDEV('The List'!AG2:AG730)</f>
        <v>-0.54286388953994569</v>
      </c>
      <c r="U598" s="38">
        <f>(VLOOKUP($A598,'The List'!$B1:$AH730,33,FALSE)-AVERAGE('The List'!AH2:AH730))/STDEV('The List'!AH2:AH730)</f>
        <v>0.4573057911180361</v>
      </c>
      <c r="V598" s="38"/>
      <c r="W598" s="42"/>
      <c r="X598" s="40"/>
      <c r="Y598" s="40"/>
      <c r="Z598" s="40"/>
      <c r="AA598" s="40"/>
      <c r="AB598" s="40"/>
      <c r="AC598" s="43"/>
      <c r="AD598" s="44"/>
      <c r="AE598" s="38"/>
    </row>
    <row r="599" spans="1:31" ht="21.2" customHeight="1">
      <c r="A599" s="8" t="s">
        <v>661</v>
      </c>
      <c r="B599" s="34" t="str">
        <f>VLOOKUP(A599,'Player Data'!A1:B734,2,FALSE)</f>
        <v>PHI</v>
      </c>
      <c r="C599" s="36">
        <f>((E599)*Settings!$C$12)+(F599*Settings!$C$2)+(G599*Settings!$C$3)+(H599*Settings!$C$4)+(I599*Settings!$C$5)+(K599*Settings!$C$9)+(N599*Settings!$C$6)+(J599*Settings!$C$8)+(O599*Settings!$C$7)+(P599*Settings!$C$14)+(Q599*Settings!$C$15)+(R599*Settings!$C$16)+(S599*Settings!$C$17)+(T599*Settings!$C$18)+(U599*Settings!$C$19)+(L599*Settings!$C$10)+(Settings!$C$11*M599)</f>
        <v>-5.2096864647544772</v>
      </c>
      <c r="D599" s="40">
        <f>IF(Settings!$E$12="YES",VLOOKUP(A599,'Player Data'!A1:E734,5,FALSE),82)</f>
        <v>82</v>
      </c>
      <c r="E599" s="38">
        <f>(VLOOKUP($A599,'The List'!$B1:$AH730,17,FALSE)-AVERAGE('The List'!R2:R730))/STDEV('The List'!R2:R730)</f>
        <v>-0.63929209773123041</v>
      </c>
      <c r="F599" s="38">
        <f>(VLOOKUP($A599,'The List'!$B1:$AH730,18,FALSE)-AVERAGE('The List'!S2:S730))/STDEV('The List'!S2:S730)</f>
        <v>-1.1707391914715264</v>
      </c>
      <c r="G599" s="38">
        <f>(VLOOKUP($A599,'The List'!$B1:$AH730,19,FALSE)-AVERAGE('The List'!T2:T730))/STDEV('The List'!T2:T730)</f>
        <v>-0.82416484944718948</v>
      </c>
      <c r="H599" s="38">
        <f>(VLOOKUP($A599,'The List'!$B1:$AH730,20,FALSE)-AVERAGE('The List'!U2:U730))/STDEV('The List'!U2:U730)</f>
        <v>-1.0507269092494325</v>
      </c>
      <c r="I599" s="38">
        <f>(VLOOKUP($A599,'The List'!$B1:$AH730,21,FALSE)-AVERAGE('The List'!V2:V730))/STDEV('The List'!V2:V730)</f>
        <v>-1.3534864349717666</v>
      </c>
      <c r="J599" s="38">
        <f>(VLOOKUP($A599,'The List'!$B1:$AH730,22,FALSE)-AVERAGE('The List'!W2:W730))/STDEV('The List'!W2:W730)</f>
        <v>-0.73062393239802581</v>
      </c>
      <c r="K599" s="38">
        <f>(VLOOKUP($A599,'The List'!$B1:$AH730,23,FALSE)-AVERAGE('The List'!X2:X730))/STDEV('The List'!X2:X730)</f>
        <v>-0.81056907961456193</v>
      </c>
      <c r="L599" s="38">
        <f>(VLOOKUP($A599,'The List'!$B1:$AH730,24,FALSE)-AVERAGE('The List'!Y2:Y730))/STDEV('The List'!Y2:Y730)</f>
        <v>-0.51551163601715266</v>
      </c>
      <c r="M599" s="38">
        <f>(VLOOKUP($A599,'The List'!$B1:$AH730,25,FALSE)-AVERAGE('The List'!Z2:Z730))/STDEV('The List'!Z2:Z730)</f>
        <v>-0.67851941643303271</v>
      </c>
      <c r="N599" s="38">
        <f>(VLOOKUP($A599,'The List'!$B1:$AH730,26,FALSE)-AVERAGE('The List'!AA2:AA730))/STDEV('The List'!AA2:AA730)</f>
        <v>0.55654779605870031</v>
      </c>
      <c r="O599" s="38">
        <f>(VLOOKUP($A599,'The List'!$B1:$AH730,27,FALSE)-AVERAGE('The List'!AB2:AB730))/STDEV('The List'!AB2:AB730)</f>
        <v>-0.1598816876009381</v>
      </c>
      <c r="P599" s="38">
        <f>(VLOOKUP($A599,'The List'!$B1:$AH730,28,FALSE)-AVERAGE('The List'!AC2:AC730))/STDEV('The List'!AC2:AC730)</f>
        <v>-1.3382059595688471</v>
      </c>
      <c r="Q599" s="38">
        <f>(VLOOKUP($A599,'The List'!$B1:$AH730,29,FALSE)-AVERAGE('The List'!AD2:AD730))/STDEV('The List'!AD2:AD730)</f>
        <v>-0.63936582002385045</v>
      </c>
      <c r="R599" s="38">
        <f>(VLOOKUP($A599,'The List'!$B1:$AH730,30,FALSE)-AVERAGE('The List'!AE2:AE730))/STDEV('The List'!AE2:AE730)</f>
        <v>-1.0990832881591583</v>
      </c>
      <c r="S599" s="38">
        <f>(VLOOKUP($A599,'The List'!$B1:$AH730,31,FALSE)-AVERAGE('The List'!AF2:AF730))/STDEV('The List'!AF2:AF730)</f>
        <v>-0.56911587195029545</v>
      </c>
      <c r="T599" s="38">
        <f>(VLOOKUP($A599,'The List'!$B1:$AH730,32,FALSE)-AVERAGE('The List'!AG2:AG730))/STDEV('The List'!AG2:AG730)</f>
        <v>-0.61510119871956948</v>
      </c>
      <c r="U599" s="38">
        <f>(VLOOKUP($A599,'The List'!$B1:$AH730,33,FALSE)-AVERAGE('The List'!AH2:AH730))/STDEV('The List'!AH2:AH730)</f>
        <v>-1.2363238714825984</v>
      </c>
      <c r="V599" s="38"/>
      <c r="W599" s="42"/>
      <c r="X599" s="40"/>
      <c r="Y599" s="40"/>
      <c r="Z599" s="40"/>
      <c r="AA599" s="40"/>
      <c r="AB599" s="40"/>
      <c r="AC599" s="43"/>
      <c r="AD599" s="44"/>
      <c r="AE599" s="38"/>
    </row>
    <row r="600" spans="1:31" ht="21.2" customHeight="1">
      <c r="A600" s="8" t="s">
        <v>612</v>
      </c>
      <c r="B600" s="34" t="str">
        <f>VLOOKUP(A600,'Player Data'!A1:B734,2,FALSE)</f>
        <v>ANA</v>
      </c>
      <c r="C600" s="36">
        <f>((E600)*Settings!$C$12)+(F600*Settings!$C$2)+(G600*Settings!$C$3)+(H600*Settings!$C$4)+(I600*Settings!$C$5)+(K600*Settings!$C$9)+(N600*Settings!$C$6)+(J600*Settings!$C$8)+(O600*Settings!$C$7)+(P600*Settings!$C$14)+(Q600*Settings!$C$15)+(R600*Settings!$C$16)+(S600*Settings!$C$17)+(T600*Settings!$C$18)+(U600*Settings!$C$19)+(L600*Settings!$C$10)+(Settings!$C$11*M600)</f>
        <v>-4.7745501415659293</v>
      </c>
      <c r="D600" s="40">
        <f>IF(Settings!$E$12="YES",VLOOKUP(A600,'Player Data'!A1:E734,5,FALSE),82)</f>
        <v>82</v>
      </c>
      <c r="E600" s="38">
        <f>(VLOOKUP($A600,'The List'!$B1:$AH730,17,FALSE)-AVERAGE('The List'!R2:R730))/STDEV('The List'!R2:R730)</f>
        <v>6.4167069057467765E-3</v>
      </c>
      <c r="F600" s="38">
        <f>(VLOOKUP($A600,'The List'!$B1:$AH730,18,FALSE)-AVERAGE('The List'!S2:S730))/STDEV('The List'!S2:S730)</f>
        <v>-1.1929151770847202</v>
      </c>
      <c r="G600" s="38">
        <f>(VLOOKUP($A600,'The List'!$B1:$AH730,19,FALSE)-AVERAGE('The List'!T2:T730))/STDEV('The List'!T2:T730)</f>
        <v>-0.81716603171648738</v>
      </c>
      <c r="H600" s="38">
        <f>(VLOOKUP($A600,'The List'!$B1:$AH730,20,FALSE)-AVERAGE('The List'!U2:U730))/STDEV('The List'!U2:U730)</f>
        <v>-1.0567348802105423</v>
      </c>
      <c r="I600" s="38">
        <f>(VLOOKUP($A600,'The List'!$B1:$AH730,21,FALSE)-AVERAGE('The List'!V2:V730))/STDEV('The List'!V2:V730)</f>
        <v>-0.90138433230645798</v>
      </c>
      <c r="J600" s="38">
        <f>(VLOOKUP($A600,'The List'!$B1:$AH730,22,FALSE)-AVERAGE('The List'!W2:W730))/STDEV('The List'!W2:W730)</f>
        <v>-0.73109718355861208</v>
      </c>
      <c r="K600" s="38">
        <f>(VLOOKUP($A600,'The List'!$B1:$AH730,23,FALSE)-AVERAGE('The List'!X2:X730))/STDEV('The List'!X2:X730)</f>
        <v>-0.80634972024772134</v>
      </c>
      <c r="L600" s="38">
        <f>(VLOOKUP($A600,'The List'!$B1:$AH730,24,FALSE)-AVERAGE('The List'!Y2:Y730))/STDEV('The List'!Y2:Y730)</f>
        <v>-0.47794542193263972</v>
      </c>
      <c r="M600" s="38">
        <f>(VLOOKUP($A600,'The List'!$B1:$AH730,25,FALSE)-AVERAGE('The List'!Z2:Z730))/STDEV('The List'!Z2:Z730)</f>
        <v>-0.57302581944869335</v>
      </c>
      <c r="N600" s="38">
        <f>(VLOOKUP($A600,'The List'!$B1:$AH730,26,FALSE)-AVERAGE('The List'!AA2:AA730))/STDEV('The List'!AA2:AA730)</f>
        <v>0.64158513513521342</v>
      </c>
      <c r="O600" s="38">
        <f>(VLOOKUP($A600,'The List'!$B1:$AH730,27,FALSE)-AVERAGE('The List'!AB2:AB730))/STDEV('The List'!AB2:AB730)</f>
        <v>-0.31480667655292427</v>
      </c>
      <c r="P600" s="38">
        <f>(VLOOKUP($A600,'The List'!$B1:$AH730,28,FALSE)-AVERAGE('The List'!AC2:AC730))/STDEV('The List'!AC2:AC730)</f>
        <v>-2.5476164206136982</v>
      </c>
      <c r="Q600" s="38">
        <f>(VLOOKUP($A600,'The List'!$B1:$AH730,29,FALSE)-AVERAGE('The List'!AD2:AD730))/STDEV('The List'!AD2:AD730)</f>
        <v>-0.8872642566643052</v>
      </c>
      <c r="R600" s="38">
        <f>(VLOOKUP($A600,'The List'!$B1:$AH730,30,FALSE)-AVERAGE('The List'!AE2:AE730))/STDEV('The List'!AE2:AE730)</f>
        <v>-1.1410601495528818</v>
      </c>
      <c r="S600" s="38">
        <f>(VLOOKUP($A600,'The List'!$B1:$AH730,31,FALSE)-AVERAGE('The List'!AF2:AF730))/STDEV('The List'!AF2:AF730)</f>
        <v>-0.56911587195029545</v>
      </c>
      <c r="T600" s="38">
        <f>(VLOOKUP($A600,'The List'!$B1:$AH730,32,FALSE)-AVERAGE('The List'!AG2:AG730))/STDEV('The List'!AG2:AG730)</f>
        <v>-0.61510119871956948</v>
      </c>
      <c r="U600" s="38">
        <f>(VLOOKUP($A600,'The List'!$B1:$AH730,33,FALSE)-AVERAGE('The List'!AH2:AH730))/STDEV('The List'!AH2:AH730)</f>
        <v>-1.2363238714825984</v>
      </c>
      <c r="V600" s="38"/>
      <c r="W600" s="42"/>
      <c r="X600" s="40"/>
      <c r="Y600" s="40"/>
      <c r="Z600" s="40"/>
      <c r="AA600" s="40"/>
      <c r="AB600" s="40"/>
      <c r="AC600" s="43"/>
      <c r="AD600" s="44"/>
      <c r="AE600" s="38"/>
    </row>
    <row r="601" spans="1:31" ht="21.2" customHeight="1">
      <c r="A601" s="8" t="s">
        <v>554</v>
      </c>
      <c r="B601" s="34" t="str">
        <f>VLOOKUP(A601,'Player Data'!A1:B734,2,FALSE)</f>
        <v>SJS</v>
      </c>
      <c r="C601" s="36">
        <f>((E601)*Settings!$C$12)+(F601*Settings!$C$2)+(G601*Settings!$C$3)+(H601*Settings!$C$4)+(I601*Settings!$C$5)+(K601*Settings!$C$9)+(N601*Settings!$C$6)+(J601*Settings!$C$8)+(O601*Settings!$C$7)+(P601*Settings!$C$14)+(Q601*Settings!$C$15)+(R601*Settings!$C$16)+(S601*Settings!$C$17)+(T601*Settings!$C$18)+(U601*Settings!$C$19)+(L601*Settings!$C$10)+(Settings!$C$11*M601)</f>
        <v>-3.2229456424631584</v>
      </c>
      <c r="D601" s="40">
        <f>IF(Settings!$E$12="YES",VLOOKUP(A601,'Player Data'!A1:E734,5,FALSE),82)</f>
        <v>82</v>
      </c>
      <c r="E601" s="38">
        <f>(VLOOKUP($A601,'The List'!$B1:$AH730,17,FALSE)-AVERAGE('The List'!R2:R730))/STDEV('The List'!R2:R730)</f>
        <v>-0.64865376218962434</v>
      </c>
      <c r="F601" s="38">
        <f>(VLOOKUP($A601,'The List'!$B1:$AH730,18,FALSE)-AVERAGE('The List'!S2:S730))/STDEV('The List'!S2:S730)</f>
        <v>-1.160368710612214</v>
      </c>
      <c r="G601" s="38">
        <f>(VLOOKUP($A601,'The List'!$B1:$AH730,19,FALSE)-AVERAGE('The List'!T2:T730))/STDEV('The List'!T2:T730)</f>
        <v>-0.84187793058197258</v>
      </c>
      <c r="H601" s="38">
        <f>(VLOOKUP($A601,'The List'!$B1:$AH730,20,FALSE)-AVERAGE('The List'!U2:U730))/STDEV('The List'!U2:U730)</f>
        <v>-1.056791336531657</v>
      </c>
      <c r="I601" s="38">
        <f>(VLOOKUP($A601,'The List'!$B1:$AH730,21,FALSE)-AVERAGE('The List'!V2:V730))/STDEV('The List'!V2:V730)</f>
        <v>-4.9373671320405842E-2</v>
      </c>
      <c r="J601" s="38">
        <f>(VLOOKUP($A601,'The List'!$B1:$AH730,22,FALSE)-AVERAGE('The List'!W2:W730))/STDEV('The List'!W2:W730)</f>
        <v>-0.51003443664408343</v>
      </c>
      <c r="K601" s="38">
        <f>(VLOOKUP($A601,'The List'!$B1:$AH730,23,FALSE)-AVERAGE('The List'!X2:X730))/STDEV('The List'!X2:X730)</f>
        <v>-0.1145339934169089</v>
      </c>
      <c r="L601" s="38">
        <f>(VLOOKUP($A601,'The List'!$B1:$AH730,24,FALSE)-AVERAGE('The List'!Y2:Y730))/STDEV('The List'!Y2:Y730)</f>
        <v>-0.52158150307447704</v>
      </c>
      <c r="M601" s="38">
        <f>(VLOOKUP($A601,'The List'!$B1:$AH730,25,FALSE)-AVERAGE('The List'!Z2:Z730))/STDEV('The List'!Z2:Z730)</f>
        <v>-0.69586304395591536</v>
      </c>
      <c r="N601" s="38">
        <f>(VLOOKUP($A601,'The List'!$B1:$AH730,26,FALSE)-AVERAGE('The List'!AA2:AA730))/STDEV('The List'!AA2:AA730)</f>
        <v>0.30460646877509023</v>
      </c>
      <c r="O601" s="38">
        <f>(VLOOKUP($A601,'The List'!$B1:$AH730,27,FALSE)-AVERAGE('The List'!AB2:AB730))/STDEV('The List'!AB2:AB730)</f>
        <v>0.26810710818967776</v>
      </c>
      <c r="P601" s="38">
        <f>(VLOOKUP($A601,'The List'!$B1:$AH730,28,FALSE)-AVERAGE('The List'!AC2:AC730))/STDEV('The List'!AC2:AC730)</f>
        <v>-0.10617121536977923</v>
      </c>
      <c r="Q601" s="38">
        <f>(VLOOKUP($A601,'The List'!$B1:$AH730,29,FALSE)-AVERAGE('The List'!AD2:AD730))/STDEV('The List'!AD2:AD730)</f>
        <v>-0.12742930130849939</v>
      </c>
      <c r="R601" s="38">
        <f>(VLOOKUP($A601,'The List'!$B1:$AH730,30,FALSE)-AVERAGE('The List'!AE2:AE730))/STDEV('The List'!AE2:AE730)</f>
        <v>-1.0821219759091825</v>
      </c>
      <c r="S601" s="38">
        <f>(VLOOKUP($A601,'The List'!$B1:$AH730,31,FALSE)-AVERAGE('The List'!AF2:AF730))/STDEV('The List'!AF2:AF730)</f>
        <v>-0.56911587195029545</v>
      </c>
      <c r="T601" s="38">
        <f>(VLOOKUP($A601,'The List'!$B1:$AH730,32,FALSE)-AVERAGE('The List'!AG2:AG730))/STDEV('The List'!AG2:AG730)</f>
        <v>-0.61510119871956948</v>
      </c>
      <c r="U601" s="38">
        <f>(VLOOKUP($A601,'The List'!$B1:$AH730,33,FALSE)-AVERAGE('The List'!AH2:AH730))/STDEV('The List'!AH2:AH730)</f>
        <v>-1.2363238714825984</v>
      </c>
      <c r="V601" s="38"/>
      <c r="W601" s="42"/>
      <c r="X601" s="40"/>
      <c r="Y601" s="40"/>
      <c r="Z601" s="40"/>
      <c r="AA601" s="40"/>
      <c r="AB601" s="40"/>
      <c r="AC601" s="43"/>
      <c r="AD601" s="44"/>
      <c r="AE601" s="38"/>
    </row>
    <row r="602" spans="1:31" ht="21.2" customHeight="1">
      <c r="A602" s="8" t="s">
        <v>783</v>
      </c>
      <c r="B602" s="34" t="str">
        <f>VLOOKUP(A602,'Player Data'!A1:B734,2,FALSE)</f>
        <v>NJD</v>
      </c>
      <c r="C602" s="36">
        <f>((E602)*Settings!$C$12)+(F602*Settings!$C$2)+(G602*Settings!$C$3)+(H602*Settings!$C$4)+(I602*Settings!$C$5)+(K602*Settings!$C$9)+(N602*Settings!$C$6)+(J602*Settings!$C$8)+(O602*Settings!$C$7)+(P602*Settings!$C$14)+(Q602*Settings!$C$15)+(R602*Settings!$C$16)+(S602*Settings!$C$17)+(T602*Settings!$C$18)+(U602*Settings!$C$19)+(L602*Settings!$C$10)+(Settings!$C$11*M602)</f>
        <v>-4.6122811131689705</v>
      </c>
      <c r="D602" s="40">
        <f>IF(Settings!$E$12="YES",VLOOKUP(A602,'Player Data'!A1:E734,5,FALSE),82)</f>
        <v>82</v>
      </c>
      <c r="E602" s="38">
        <f>(VLOOKUP($A602,'The List'!$B1:$AH730,17,FALSE)-AVERAGE('The List'!R2:R730))/STDEV('The List'!R2:R730)</f>
        <v>-1.2892097515990801</v>
      </c>
      <c r="F602" s="38">
        <f>(VLOOKUP($A602,'The List'!$B1:$AH730,18,FALSE)-AVERAGE('The List'!S2:S730))/STDEV('The List'!S2:S730)</f>
        <v>-0.65438240485369881</v>
      </c>
      <c r="G602" s="38">
        <f>(VLOOKUP($A602,'The List'!$B1:$AH730,19,FALSE)-AVERAGE('The List'!T2:T730))/STDEV('The List'!T2:T730)</f>
        <v>-1.2305908341401228</v>
      </c>
      <c r="H602" s="38">
        <f>(VLOOKUP($A602,'The List'!$B1:$AH730,20,FALSE)-AVERAGE('The List'!U2:U730))/STDEV('The List'!U2:U730)</f>
        <v>-1.0604512706755604</v>
      </c>
      <c r="I602" s="38">
        <f>(VLOOKUP($A602,'The List'!$B1:$AH730,21,FALSE)-AVERAGE('The List'!V2:V730))/STDEV('The List'!V2:V730)</f>
        <v>-0.85576208043874902</v>
      </c>
      <c r="J602" s="38">
        <f>(VLOOKUP($A602,'The List'!$B1:$AH730,22,FALSE)-AVERAGE('The List'!W2:W730))/STDEV('The List'!W2:W730)</f>
        <v>-0.72136228255010937</v>
      </c>
      <c r="K602" s="38">
        <f>(VLOOKUP($A602,'The List'!$B1:$AH730,23,FALSE)-AVERAGE('The List'!X2:X730))/STDEV('The List'!X2:X730)</f>
        <v>-0.8110945230608394</v>
      </c>
      <c r="L602" s="38">
        <f>(VLOOKUP($A602,'The List'!$B1:$AH730,24,FALSE)-AVERAGE('The List'!Y2:Y730))/STDEV('The List'!Y2:Y730)</f>
        <v>-0.38389298595786908</v>
      </c>
      <c r="M602" s="38">
        <f>(VLOOKUP($A602,'The List'!$B1:$AH730,25,FALSE)-AVERAGE('The List'!Z2:Z730))/STDEV('The List'!Z2:Z730)</f>
        <v>-0.17059021220781612</v>
      </c>
      <c r="N602" s="38">
        <f>(VLOOKUP($A602,'The List'!$B1:$AH730,26,FALSE)-AVERAGE('The List'!AA2:AA730))/STDEV('The List'!AA2:AA730)</f>
        <v>4.6960401575663981E-2</v>
      </c>
      <c r="O602" s="38">
        <f>(VLOOKUP($A602,'The List'!$B1:$AH730,27,FALSE)-AVERAGE('The List'!AB2:AB730))/STDEV('The List'!AB2:AB730)</f>
        <v>1.887902839661673</v>
      </c>
      <c r="P602" s="38">
        <f>(VLOOKUP($A602,'The List'!$B1:$AH730,28,FALSE)-AVERAGE('The List'!AC2:AC730))/STDEV('The List'!AC2:AC730)</f>
        <v>-0.17645308257459705</v>
      </c>
      <c r="Q602" s="38">
        <f>(VLOOKUP($A602,'The List'!$B1:$AH730,29,FALSE)-AVERAGE('The List'!AD2:AD730))/STDEV('The List'!AD2:AD730)</f>
        <v>-0.79597188529436458</v>
      </c>
      <c r="R602" s="38">
        <f>(VLOOKUP($A602,'The List'!$B1:$AH730,30,FALSE)-AVERAGE('The List'!AE2:AE730))/STDEV('The List'!AE2:AE730)</f>
        <v>-0.56666658208151299</v>
      </c>
      <c r="S602" s="38">
        <f>(VLOOKUP($A602,'The List'!$B1:$AH730,31,FALSE)-AVERAGE('The List'!AF2:AF730))/STDEV('The List'!AF2:AF730)</f>
        <v>0.42171946950599343</v>
      </c>
      <c r="T602" s="38">
        <f>(VLOOKUP($A602,'The List'!$B1:$AH730,32,FALSE)-AVERAGE('The List'!AG2:AG730))/STDEV('The List'!AG2:AG730)</f>
        <v>0.4483210954416495</v>
      </c>
      <c r="U602" s="38">
        <f>(VLOOKUP($A602,'The List'!$B1:$AH730,33,FALSE)-AVERAGE('The List'!AH2:AH730))/STDEV('The List'!AH2:AH730)</f>
        <v>0.99778916604136747</v>
      </c>
      <c r="V602" s="38"/>
      <c r="W602" s="42"/>
      <c r="X602" s="40"/>
      <c r="Y602" s="40"/>
      <c r="Z602" s="40"/>
      <c r="AA602" s="40"/>
      <c r="AB602" s="40"/>
      <c r="AC602" s="43"/>
      <c r="AD602" s="44"/>
      <c r="AE602" s="38"/>
    </row>
    <row r="603" spans="1:31" ht="21.2" customHeight="1">
      <c r="A603" s="8" t="s">
        <v>671</v>
      </c>
      <c r="B603" s="34" t="str">
        <f>VLOOKUP(A603,'Player Data'!A1:B734,2,FALSE)</f>
        <v>BOS</v>
      </c>
      <c r="C603" s="36">
        <f>((E603)*Settings!$C$12)+(F603*Settings!$C$2)+(G603*Settings!$C$3)+(H603*Settings!$C$4)+(I603*Settings!$C$5)+(K603*Settings!$C$9)+(N603*Settings!$C$6)+(J603*Settings!$C$8)+(O603*Settings!$C$7)+(P603*Settings!$C$14)+(Q603*Settings!$C$15)+(R603*Settings!$C$16)+(S603*Settings!$C$17)+(T603*Settings!$C$18)+(U603*Settings!$C$19)+(L603*Settings!$C$10)+(Settings!$C$11*M603)</f>
        <v>-5.3368744166048483</v>
      </c>
      <c r="D603" s="40">
        <f>IF(Settings!$E$12="YES",VLOOKUP(A603,'Player Data'!A1:E734,5,FALSE),82)</f>
        <v>82</v>
      </c>
      <c r="E603" s="38">
        <f>(VLOOKUP($A603,'The List'!$B1:$AH730,17,FALSE)-AVERAGE('The List'!R2:R730))/STDEV('The List'!R2:R730)</f>
        <v>-0.54078694715478437</v>
      </c>
      <c r="F603" s="38">
        <f>(VLOOKUP($A603,'The List'!$B1:$AH730,18,FALSE)-AVERAGE('The List'!S2:S730))/STDEV('The List'!S2:S730)</f>
        <v>-1.1679868297890303</v>
      </c>
      <c r="G603" s="38">
        <f>(VLOOKUP($A603,'The List'!$B1:$AH730,19,FALSE)-AVERAGE('The List'!T2:T730))/STDEV('The List'!T2:T730)</f>
        <v>-0.84425009566057774</v>
      </c>
      <c r="H603" s="38">
        <f>(VLOOKUP($A603,'The List'!$B1:$AH730,20,FALSE)-AVERAGE('The List'!U2:U730))/STDEV('The List'!U2:U730)</f>
        <v>-1.0617905841699542</v>
      </c>
      <c r="I603" s="38">
        <f>(VLOOKUP($A603,'The List'!$B1:$AH730,21,FALSE)-AVERAGE('The List'!V2:V730))/STDEV('The List'!V2:V730)</f>
        <v>-1.4412409077332369</v>
      </c>
      <c r="J603" s="38">
        <f>(VLOOKUP($A603,'The List'!$B1:$AH730,22,FALSE)-AVERAGE('The List'!W2:W730))/STDEV('The List'!W2:W730)</f>
        <v>-0.7361138127431136</v>
      </c>
      <c r="K603" s="38">
        <f>(VLOOKUP($A603,'The List'!$B1:$AH730,23,FALSE)-AVERAGE('The List'!X2:X730))/STDEV('The List'!X2:X730)</f>
        <v>-0.82160599925204925</v>
      </c>
      <c r="L603" s="38">
        <f>(VLOOKUP($A603,'The List'!$B1:$AH730,24,FALSE)-AVERAGE('The List'!Y2:Y730))/STDEV('The List'!Y2:Y730)</f>
        <v>-0.4409335503278321</v>
      </c>
      <c r="M603" s="38">
        <f>(VLOOKUP($A603,'The List'!$B1:$AH730,25,FALSE)-AVERAGE('The List'!Z2:Z730))/STDEV('The List'!Z2:Z730)</f>
        <v>-0.47318876573725804</v>
      </c>
      <c r="N603" s="38">
        <f>(VLOOKUP($A603,'The List'!$B1:$AH730,26,FALSE)-AVERAGE('The List'!AA2:AA730))/STDEV('The List'!AA2:AA730)</f>
        <v>0.16204729736657614</v>
      </c>
      <c r="O603" s="38">
        <f>(VLOOKUP($A603,'The List'!$B1:$AH730,27,FALSE)-AVERAGE('The List'!AB2:AB730))/STDEV('The List'!AB2:AB730)</f>
        <v>2.1853647421787088E-2</v>
      </c>
      <c r="P603" s="38">
        <f>(VLOOKUP($A603,'The List'!$B1:$AH730,28,FALSE)-AVERAGE('The List'!AC2:AC730))/STDEV('The List'!AC2:AC730)</f>
        <v>0.42523991525432198</v>
      </c>
      <c r="Q603" s="38">
        <f>(VLOOKUP($A603,'The List'!$B1:$AH730,29,FALSE)-AVERAGE('The List'!AD2:AD730))/STDEV('The List'!AD2:AD730)</f>
        <v>-0.31167792468755523</v>
      </c>
      <c r="R603" s="38">
        <f>(VLOOKUP($A603,'The List'!$B1:$AH730,30,FALSE)-AVERAGE('The List'!AE2:AE730))/STDEV('The List'!AE2:AE730)</f>
        <v>-1.0307656236415224</v>
      </c>
      <c r="S603" s="38">
        <f>(VLOOKUP($A603,'The List'!$B1:$AH730,31,FALSE)-AVERAGE('The List'!AF2:AF730))/STDEV('The List'!AF2:AF730)</f>
        <v>-0.56911587195029545</v>
      </c>
      <c r="T603" s="38">
        <f>(VLOOKUP($A603,'The List'!$B1:$AH730,32,FALSE)-AVERAGE('The List'!AG2:AG730))/STDEV('The List'!AG2:AG730)</f>
        <v>-0.61510119871956948</v>
      </c>
      <c r="U603" s="38">
        <f>(VLOOKUP($A603,'The List'!$B1:$AH730,33,FALSE)-AVERAGE('The List'!AH2:AH730))/STDEV('The List'!AH2:AH730)</f>
        <v>-1.2363238714825984</v>
      </c>
      <c r="V603" s="38"/>
      <c r="W603" s="42"/>
      <c r="X603" s="40"/>
      <c r="Y603" s="40"/>
      <c r="Z603" s="40"/>
      <c r="AA603" s="40"/>
      <c r="AB603" s="40"/>
      <c r="AC603" s="43"/>
      <c r="AD603" s="44"/>
      <c r="AE603" s="38"/>
    </row>
    <row r="604" spans="1:31" ht="21.2" customHeight="1">
      <c r="A604" s="8" t="s">
        <v>509</v>
      </c>
      <c r="B604" s="34" t="str">
        <f>VLOOKUP(A604,'Player Data'!A1:B734,2,FALSE)</f>
        <v>PHI</v>
      </c>
      <c r="C604" s="36">
        <f>((E604)*Settings!$C$12)+(F604*Settings!$C$2)+(G604*Settings!$C$3)+(H604*Settings!$C$4)+(I604*Settings!$C$5)+(K604*Settings!$C$9)+(N604*Settings!$C$6)+(J604*Settings!$C$8)+(O604*Settings!$C$7)+(P604*Settings!$C$14)+(Q604*Settings!$C$15)+(R604*Settings!$C$16)+(S604*Settings!$C$17)+(T604*Settings!$C$18)+(U604*Settings!$C$19)+(L604*Settings!$C$10)+(Settings!$C$11*M604)</f>
        <v>-4.5533637007982373</v>
      </c>
      <c r="D604" s="40">
        <f>IF(Settings!$E$12="YES",VLOOKUP(A604,'Player Data'!A1:E734,5,FALSE),82)</f>
        <v>82</v>
      </c>
      <c r="E604" s="38">
        <f>(VLOOKUP($A604,'The List'!$B1:$AH730,17,FALSE)-AVERAGE('The List'!R2:R730))/STDEV('The List'!R2:R730)</f>
        <v>-8.4274775233799341E-3</v>
      </c>
      <c r="F604" s="38">
        <f>(VLOOKUP($A604,'The List'!$B1:$AH730,18,FALSE)-AVERAGE('The List'!S2:S730))/STDEV('The List'!S2:S730)</f>
        <v>-0.99858427220211676</v>
      </c>
      <c r="G604" s="38">
        <f>(VLOOKUP($A604,'The List'!$B1:$AH730,19,FALSE)-AVERAGE('The List'!T2:T730))/STDEV('The List'!T2:T730)</f>
        <v>-0.98101459472394881</v>
      </c>
      <c r="H604" s="38">
        <f>(VLOOKUP($A604,'The List'!$B1:$AH730,20,FALSE)-AVERAGE('The List'!U2:U730))/STDEV('The List'!U2:U730)</f>
        <v>-1.067087052181209</v>
      </c>
      <c r="I604" s="38">
        <f>(VLOOKUP($A604,'The List'!$B1:$AH730,21,FALSE)-AVERAGE('The List'!V2:V730))/STDEV('The List'!V2:V730)</f>
        <v>-0.68635864990448203</v>
      </c>
      <c r="J604" s="38">
        <f>(VLOOKUP($A604,'The List'!$B1:$AH730,22,FALSE)-AVERAGE('The List'!W2:W730))/STDEV('The List'!W2:W730)</f>
        <v>-0.73497011984092575</v>
      </c>
      <c r="K604" s="38">
        <f>(VLOOKUP($A604,'The List'!$B1:$AH730,23,FALSE)-AVERAGE('The List'!X2:X730))/STDEV('The List'!X2:X730)</f>
        <v>-0.82031913178648019</v>
      </c>
      <c r="L604" s="38">
        <f>(VLOOKUP($A604,'The List'!$B1:$AH730,24,FALSE)-AVERAGE('The List'!Y2:Y730))/STDEV('The List'!Y2:Y730)</f>
        <v>-0.49469986850522085</v>
      </c>
      <c r="M604" s="38">
        <f>(VLOOKUP($A604,'The List'!$B1:$AH730,25,FALSE)-AVERAGE('The List'!Z2:Z730))/STDEV('The List'!Z2:Z730)</f>
        <v>-0.1309062095707231</v>
      </c>
      <c r="N604" s="38">
        <f>(VLOOKUP($A604,'The List'!$B1:$AH730,26,FALSE)-AVERAGE('The List'!AA2:AA730))/STDEV('The List'!AA2:AA730)</f>
        <v>2.5377747593022724</v>
      </c>
      <c r="O604" s="38">
        <f>(VLOOKUP($A604,'The List'!$B1:$AH730,27,FALSE)-AVERAGE('The List'!AB2:AB730))/STDEV('The List'!AB2:AB730)</f>
        <v>0.98375907052986766</v>
      </c>
      <c r="P604" s="38">
        <f>(VLOOKUP($A604,'The List'!$B1:$AH730,28,FALSE)-AVERAGE('The List'!AC2:AC730))/STDEV('The List'!AC2:AC730)</f>
        <v>-1.3166036017462981</v>
      </c>
      <c r="Q604" s="38">
        <f>(VLOOKUP($A604,'The List'!$B1:$AH730,29,FALSE)-AVERAGE('The List'!AD2:AD730))/STDEV('The List'!AD2:AD730)</f>
        <v>1.6337199432094067</v>
      </c>
      <c r="R604" s="38">
        <f>(VLOOKUP($A604,'The List'!$B1:$AH730,30,FALSE)-AVERAGE('The List'!AE2:AE730))/STDEV('The List'!AE2:AE730)</f>
        <v>-0.96730262250753352</v>
      </c>
      <c r="S604" s="38">
        <f>(VLOOKUP($A604,'The List'!$B1:$AH730,31,FALSE)-AVERAGE('The List'!AF2:AF730))/STDEV('The List'!AF2:AF730)</f>
        <v>-0.56911587195029545</v>
      </c>
      <c r="T604" s="38">
        <f>(VLOOKUP($A604,'The List'!$B1:$AH730,32,FALSE)-AVERAGE('The List'!AG2:AG730))/STDEV('The List'!AG2:AG730)</f>
        <v>-0.61510119871956948</v>
      </c>
      <c r="U604" s="38">
        <f>(VLOOKUP($A604,'The List'!$B1:$AH730,33,FALSE)-AVERAGE('The List'!AH2:AH730))/STDEV('The List'!AH2:AH730)</f>
        <v>-1.2363238714825984</v>
      </c>
      <c r="V604" s="38"/>
      <c r="W604" s="42"/>
      <c r="X604" s="40"/>
      <c r="Y604" s="40"/>
      <c r="Z604" s="40"/>
      <c r="AA604" s="40"/>
      <c r="AB604" s="40"/>
      <c r="AC604" s="43"/>
      <c r="AD604" s="44"/>
      <c r="AE604" s="38"/>
    </row>
    <row r="605" spans="1:31" ht="21.2" customHeight="1">
      <c r="A605" s="8" t="s">
        <v>779</v>
      </c>
      <c r="B605" s="34" t="str">
        <f>VLOOKUP(A605,'Player Data'!A1:B734,2,FALSE)</f>
        <v>OTT</v>
      </c>
      <c r="C605" s="36">
        <f>((E605)*Settings!$C$12)+(F605*Settings!$C$2)+(G605*Settings!$C$3)+(H605*Settings!$C$4)+(I605*Settings!$C$5)+(K605*Settings!$C$9)+(N605*Settings!$C$6)+(J605*Settings!$C$8)+(O605*Settings!$C$7)+(P605*Settings!$C$14)+(Q605*Settings!$C$15)+(R605*Settings!$C$16)+(S605*Settings!$C$17)+(T605*Settings!$C$18)+(U605*Settings!$C$19)+(L605*Settings!$C$10)+(Settings!$C$11*M605)</f>
        <v>-4.7602639265964619</v>
      </c>
      <c r="D605" s="40">
        <f>IF(Settings!$E$12="YES",VLOOKUP(A605,'Player Data'!A1:E734,5,FALSE),82)</f>
        <v>82</v>
      </c>
      <c r="E605" s="38">
        <f>(VLOOKUP($A605,'The List'!$B1:$AH730,17,FALSE)-AVERAGE('The List'!R2:R730))/STDEV('The List'!R2:R730)</f>
        <v>-1.60803821169846</v>
      </c>
      <c r="F605" s="38">
        <f>(VLOOKUP($A605,'The List'!$B1:$AH730,18,FALSE)-AVERAGE('The List'!S2:S730))/STDEV('The List'!S2:S730)</f>
        <v>-0.73482360041882777</v>
      </c>
      <c r="G605" s="38">
        <f>(VLOOKUP($A605,'The List'!$B1:$AH730,19,FALSE)-AVERAGE('The List'!T2:T730))/STDEV('The List'!T2:T730)</f>
        <v>-1.1892871859586209</v>
      </c>
      <c r="H605" s="38">
        <f>(VLOOKUP($A605,'The List'!$B1:$AH730,20,FALSE)-AVERAGE('The List'!U2:U730))/STDEV('The List'!U2:U730)</f>
        <v>-1.0724635041939012</v>
      </c>
      <c r="I605" s="38">
        <f>(VLOOKUP($A605,'The List'!$B1:$AH730,21,FALSE)-AVERAGE('The List'!V2:V730))/STDEV('The List'!V2:V730)</f>
        <v>-0.9555099910166942</v>
      </c>
      <c r="J605" s="38">
        <f>(VLOOKUP($A605,'The List'!$B1:$AH730,22,FALSE)-AVERAGE('The List'!W2:W730))/STDEV('The List'!W2:W730)</f>
        <v>-0.71757995285789289</v>
      </c>
      <c r="K605" s="38">
        <f>(VLOOKUP($A605,'The List'!$B1:$AH730,23,FALSE)-AVERAGE('The List'!X2:X730))/STDEV('The List'!X2:X730)</f>
        <v>-0.80817964500841788</v>
      </c>
      <c r="L605" s="38">
        <f>(VLOOKUP($A605,'The List'!$B1:$AH730,24,FALSE)-AVERAGE('The List'!Y2:Y730))/STDEV('The List'!Y2:Y730)</f>
        <v>-0.11607288717478133</v>
      </c>
      <c r="M605" s="38">
        <f>(VLOOKUP($A605,'The List'!$B1:$AH730,25,FALSE)-AVERAGE('The List'!Z2:Z730))/STDEV('The List'!Z2:Z730)</f>
        <v>1.0053634215232197</v>
      </c>
      <c r="N605" s="38">
        <f>(VLOOKUP($A605,'The List'!$B1:$AH730,26,FALSE)-AVERAGE('The List'!AA2:AA730))/STDEV('The List'!AA2:AA730)</f>
        <v>-0.56094783831385953</v>
      </c>
      <c r="O605" s="38">
        <f>(VLOOKUP($A605,'The List'!$B1:$AH730,27,FALSE)-AVERAGE('The List'!AB2:AB730))/STDEV('The List'!AB2:AB730)</f>
        <v>2.1912570448128865</v>
      </c>
      <c r="P605" s="38">
        <f>(VLOOKUP($A605,'The List'!$B1:$AH730,28,FALSE)-AVERAGE('The List'!AC2:AC730))/STDEV('The List'!AC2:AC730)</f>
        <v>-0.18511940338532917</v>
      </c>
      <c r="Q605" s="38">
        <f>(VLOOKUP($A605,'The List'!$B1:$AH730,29,FALSE)-AVERAGE('The List'!AD2:AD730))/STDEV('The List'!AD2:AD730)</f>
        <v>0.57398817894611365</v>
      </c>
      <c r="R605" s="38">
        <f>(VLOOKUP($A605,'The List'!$B1:$AH730,30,FALSE)-AVERAGE('The List'!AE2:AE730))/STDEV('The List'!AE2:AE730)</f>
        <v>-0.6295645007389673</v>
      </c>
      <c r="S605" s="38">
        <f>(VLOOKUP($A605,'The List'!$B1:$AH730,31,FALSE)-AVERAGE('The List'!AF2:AF730))/STDEV('The List'!AF2:AF730)</f>
        <v>-0.54538239662129029</v>
      </c>
      <c r="T605" s="38">
        <f>(VLOOKUP($A605,'The List'!$B1:$AH730,32,FALSE)-AVERAGE('The List'!AG2:AG730))/STDEV('The List'!AG2:AG730)</f>
        <v>-0.56001034604362432</v>
      </c>
      <c r="U605" s="38">
        <f>(VLOOKUP($A605,'The List'!$B1:$AH730,33,FALSE)-AVERAGE('The List'!AH2:AH730))/STDEV('The List'!AH2:AH730)</f>
        <v>0.17091312585621074</v>
      </c>
      <c r="V605" s="38"/>
      <c r="W605" s="40"/>
      <c r="X605" s="38"/>
      <c r="Y605" s="38"/>
      <c r="Z605" s="38"/>
      <c r="AA605" s="38"/>
      <c r="AB605" s="38"/>
      <c r="AC605" s="38"/>
      <c r="AD605" s="38"/>
      <c r="AE605" s="38"/>
    </row>
    <row r="606" spans="1:31" ht="21.2" customHeight="1">
      <c r="A606" s="8" t="s">
        <v>781</v>
      </c>
      <c r="B606" s="34" t="str">
        <f>VLOOKUP(A606,'Player Data'!A1:B734,2,FALSE)</f>
        <v>MIN</v>
      </c>
      <c r="C606" s="36">
        <f>((E606)*Settings!$C$12)+(F606*Settings!$C$2)+(G606*Settings!$C$3)+(H606*Settings!$C$4)+(I606*Settings!$C$5)+(K606*Settings!$C$9)+(N606*Settings!$C$6)+(J606*Settings!$C$8)+(O606*Settings!$C$7)+(P606*Settings!$C$14)+(Q606*Settings!$C$15)+(R606*Settings!$C$16)+(S606*Settings!$C$17)+(T606*Settings!$C$18)+(U606*Settings!$C$19)+(L606*Settings!$C$10)+(Settings!$C$11*M606)</f>
        <v>-5.092804477832261</v>
      </c>
      <c r="D606" s="40">
        <f>IF(Settings!$E$12="YES",VLOOKUP(A606,'Player Data'!A1:E734,5,FALSE),82)</f>
        <v>82</v>
      </c>
      <c r="E606" s="38">
        <f>(VLOOKUP($A606,'The List'!$B1:$AH730,17,FALSE)-AVERAGE('The List'!R2:R730))/STDEV('The List'!R2:R730)</f>
        <v>-1.6591682384536728</v>
      </c>
      <c r="F606" s="38">
        <f>(VLOOKUP($A606,'The List'!$B1:$AH730,18,FALSE)-AVERAGE('The List'!S2:S730))/STDEV('The List'!S2:S730)</f>
        <v>-0.89624654225814615</v>
      </c>
      <c r="G606" s="38">
        <f>(VLOOKUP($A606,'The List'!$B1:$AH730,19,FALSE)-AVERAGE('The List'!T2:T730))/STDEV('The List'!T2:T730)</f>
        <v>-1.0727565314564076</v>
      </c>
      <c r="H606" s="38">
        <f>(VLOOKUP($A606,'The List'!$B1:$AH730,20,FALSE)-AVERAGE('The List'!U2:U730))/STDEV('The List'!U2:U730)</f>
        <v>-1.0758920206913225</v>
      </c>
      <c r="I606" s="38">
        <f>(VLOOKUP($A606,'The List'!$B1:$AH730,21,FALSE)-AVERAGE('The List'!V2:V730))/STDEV('The List'!V2:V730)</f>
        <v>-1.2411827961220696</v>
      </c>
      <c r="J606" s="38">
        <f>(VLOOKUP($A606,'The List'!$B1:$AH730,22,FALSE)-AVERAGE('The List'!W2:W730))/STDEV('The List'!W2:W730)</f>
        <v>-0.71601541207584196</v>
      </c>
      <c r="K606" s="38">
        <f>(VLOOKUP($A606,'The List'!$B1:$AH730,23,FALSE)-AVERAGE('The List'!X2:X730))/STDEV('The List'!X2:X730)</f>
        <v>-0.80672658730431512</v>
      </c>
      <c r="L606" s="38">
        <f>(VLOOKUP($A606,'The List'!$B1:$AH730,24,FALSE)-AVERAGE('The List'!Y2:Y730))/STDEV('The List'!Y2:Y730)</f>
        <v>-0.52442230807674228</v>
      </c>
      <c r="M606" s="38">
        <f>(VLOOKUP($A606,'The List'!$B1:$AH730,25,FALSE)-AVERAGE('The List'!Z2:Z730))/STDEV('The List'!Z2:Z730)</f>
        <v>-0.70302001811802128</v>
      </c>
      <c r="N606" s="38">
        <f>(VLOOKUP($A606,'The List'!$B1:$AH730,26,FALSE)-AVERAGE('The List'!AA2:AA730))/STDEV('The List'!AA2:AA730)</f>
        <v>-1.2192331271680066</v>
      </c>
      <c r="O606" s="38">
        <f>(VLOOKUP($A606,'The List'!$B1:$AH730,27,FALSE)-AVERAGE('The List'!AB2:AB730))/STDEV('The List'!AB2:AB730)</f>
        <v>1.1322444369613365</v>
      </c>
      <c r="P606" s="38">
        <f>(VLOOKUP($A606,'The List'!$B1:$AH730,28,FALSE)-AVERAGE('The List'!AC2:AC730))/STDEV('The List'!AC2:AC730)</f>
        <v>0.26052813739209607</v>
      </c>
      <c r="Q606" s="38">
        <f>(VLOOKUP($A606,'The List'!$B1:$AH730,29,FALSE)-AVERAGE('The List'!AD2:AD730))/STDEV('The List'!AD2:AD730)</f>
        <v>2.3564285432793857</v>
      </c>
      <c r="R606" s="38">
        <f>(VLOOKUP($A606,'The List'!$B1:$AH730,30,FALSE)-AVERAGE('The List'!AE2:AE730))/STDEV('The List'!AE2:AE730)</f>
        <v>-0.75621419596590467</v>
      </c>
      <c r="S606" s="38">
        <f>(VLOOKUP($A606,'The List'!$B1:$AH730,31,FALSE)-AVERAGE('The List'!AF2:AF730))/STDEV('The List'!AF2:AF730)</f>
        <v>-0.54782469434707037</v>
      </c>
      <c r="T606" s="38">
        <f>(VLOOKUP($A606,'The List'!$B1:$AH730,32,FALSE)-AVERAGE('The List'!AG2:AG730))/STDEV('The List'!AG2:AG730)</f>
        <v>-0.56365022173404578</v>
      </c>
      <c r="U606" s="38">
        <f>(VLOOKUP($A606,'The List'!$B1:$AH730,33,FALSE)-AVERAGE('The List'!AH2:AH730))/STDEV('The List'!AH2:AH730)</f>
        <v>0.13222924872012809</v>
      </c>
      <c r="V606" s="38"/>
      <c r="W606" s="42"/>
      <c r="X606" s="40"/>
      <c r="Y606" s="40"/>
      <c r="Z606" s="40"/>
      <c r="AA606" s="40"/>
      <c r="AB606" s="40"/>
      <c r="AC606" s="43"/>
      <c r="AD606" s="44"/>
      <c r="AE606" s="38"/>
    </row>
    <row r="607" spans="1:31" ht="21.2" customHeight="1">
      <c r="A607" s="8" t="s">
        <v>820</v>
      </c>
      <c r="B607" s="34" t="str">
        <f>VLOOKUP(A607,'Player Data'!A1:B734,2,FALSE)</f>
        <v>EDM</v>
      </c>
      <c r="C607" s="36">
        <f>((E607)*Settings!$C$12)+(F607*Settings!$C$2)+(G607*Settings!$C$3)+(H607*Settings!$C$4)+(I607*Settings!$C$5)+(K607*Settings!$C$9)+(N607*Settings!$C$6)+(J607*Settings!$C$8)+(O607*Settings!$C$7)+(P607*Settings!$C$14)+(Q607*Settings!$C$15)+(R607*Settings!$C$16)+(S607*Settings!$C$17)+(T607*Settings!$C$18)+(U607*Settings!$C$19)+(L607*Settings!$C$10)+(Settings!$C$11*M607)</f>
        <v>-5.0059760238281346</v>
      </c>
      <c r="D607" s="40">
        <f>IF(Settings!$E$12="YES",VLOOKUP(A607,'Player Data'!A1:E734,5,FALSE),82)</f>
        <v>82</v>
      </c>
      <c r="E607" s="38">
        <f>(VLOOKUP($A607,'The List'!$B1:$AH730,17,FALSE)-AVERAGE('The List'!R2:R730))/STDEV('The List'!R2:R730)</f>
        <v>-1.7824127199592097</v>
      </c>
      <c r="F607" s="38">
        <f>(VLOOKUP($A607,'The List'!$B1:$AH730,18,FALSE)-AVERAGE('The List'!S2:S730))/STDEV('The List'!S2:S730)</f>
        <v>-0.7799341334237887</v>
      </c>
      <c r="G607" s="38">
        <f>(VLOOKUP($A607,'The List'!$B1:$AH730,19,FALSE)-AVERAGE('The List'!T2:T730))/STDEV('The List'!T2:T730)</f>
        <v>-1.1618036277508941</v>
      </c>
      <c r="H607" s="38">
        <f>(VLOOKUP($A607,'The List'!$B1:$AH730,20,FALSE)-AVERAGE('The List'!U2:U730))/STDEV('The List'!U2:U730)</f>
        <v>-1.0765444510715489</v>
      </c>
      <c r="I607" s="38">
        <f>(VLOOKUP($A607,'The List'!$B1:$AH730,21,FALSE)-AVERAGE('The List'!V2:V730))/STDEV('The List'!V2:V730)</f>
        <v>-1.2244640283632593</v>
      </c>
      <c r="J607" s="38">
        <f>(VLOOKUP($A607,'The List'!$B1:$AH730,22,FALSE)-AVERAGE('The List'!W2:W730))/STDEV('The List'!W2:W730)</f>
        <v>-0.67914074543807212</v>
      </c>
      <c r="K607" s="38">
        <f>(VLOOKUP($A607,'The List'!$B1:$AH730,23,FALSE)-AVERAGE('The List'!X2:X730))/STDEV('The List'!X2:X730)</f>
        <v>-0.76322978321864354</v>
      </c>
      <c r="L607" s="38">
        <f>(VLOOKUP($A607,'The List'!$B1:$AH730,24,FALSE)-AVERAGE('The List'!Y2:Y730))/STDEV('The List'!Y2:Y730)</f>
        <v>-0.36122400102407598</v>
      </c>
      <c r="M607" s="38">
        <f>(VLOOKUP($A607,'The List'!$B1:$AH730,25,FALSE)-AVERAGE('The List'!Z2:Z730))/STDEV('The List'!Z2:Z730)</f>
        <v>-0.51177263228023984</v>
      </c>
      <c r="N607" s="38">
        <f>(VLOOKUP($A607,'The List'!$B1:$AH730,26,FALSE)-AVERAGE('The List'!AA2:AA730))/STDEV('The List'!AA2:AA730)</f>
        <v>-0.87405810164882625</v>
      </c>
      <c r="O607" s="38">
        <f>(VLOOKUP($A607,'The List'!$B1:$AH730,27,FALSE)-AVERAGE('The List'!AB2:AB730))/STDEV('The List'!AB2:AB730)</f>
        <v>0.96723746440612046</v>
      </c>
      <c r="P607" s="38">
        <f>(VLOOKUP($A607,'The List'!$B1:$AH730,28,FALSE)-AVERAGE('The List'!AC2:AC730))/STDEV('The List'!AC2:AC730)</f>
        <v>0.91664679304981456</v>
      </c>
      <c r="Q607" s="38">
        <f>(VLOOKUP($A607,'The List'!$B1:$AH730,29,FALSE)-AVERAGE('The List'!AD2:AD730))/STDEV('The List'!AD2:AD730)</f>
        <v>-0.11531361826806731</v>
      </c>
      <c r="R607" s="38">
        <f>(VLOOKUP($A607,'The List'!$B1:$AH730,30,FALSE)-AVERAGE('The List'!AE2:AE730))/STDEV('The List'!AE2:AE730)</f>
        <v>-0.64337452830960629</v>
      </c>
      <c r="S607" s="38">
        <f>(VLOOKUP($A607,'The List'!$B1:$AH730,31,FALSE)-AVERAGE('The List'!AF2:AF730))/STDEV('The List'!AF2:AF730)</f>
        <v>0.2427931813429817</v>
      </c>
      <c r="T607" s="38">
        <f>(VLOOKUP($A607,'The List'!$B1:$AH730,32,FALSE)-AVERAGE('The List'!AG2:AG730))/STDEV('The List'!AG2:AG730)</f>
        <v>0.29840795174301865</v>
      </c>
      <c r="U607" s="38">
        <f>(VLOOKUP($A607,'The List'!$B1:$AH730,33,FALSE)-AVERAGE('The List'!AH2:AH730))/STDEV('The List'!AH2:AH730)</f>
        <v>0.94451900500691954</v>
      </c>
      <c r="V607" s="38"/>
      <c r="W607" s="40"/>
      <c r="X607" s="38"/>
      <c r="Y607" s="38"/>
      <c r="Z607" s="38"/>
      <c r="AA607" s="38"/>
      <c r="AB607" s="38"/>
      <c r="AC607" s="38"/>
      <c r="AD607" s="38"/>
      <c r="AE607" s="38"/>
    </row>
    <row r="608" spans="1:31" ht="21.2" customHeight="1">
      <c r="A608" s="8" t="s">
        <v>625</v>
      </c>
      <c r="B608" s="34" t="str">
        <f>VLOOKUP(A608,'Player Data'!A1:B734,2,FALSE)</f>
        <v>MTL</v>
      </c>
      <c r="C608" s="36">
        <f>((E608)*Settings!$C$12)+(F608*Settings!$C$2)+(G608*Settings!$C$3)+(H608*Settings!$C$4)+(I608*Settings!$C$5)+(K608*Settings!$C$9)+(N608*Settings!$C$6)+(J608*Settings!$C$8)+(O608*Settings!$C$7)+(P608*Settings!$C$14)+(Q608*Settings!$C$15)+(R608*Settings!$C$16)+(S608*Settings!$C$17)+(T608*Settings!$C$18)+(U608*Settings!$C$19)+(L608*Settings!$C$10)+(Settings!$C$11*M608)</f>
        <v>-5.164335179713877</v>
      </c>
      <c r="D608" s="40">
        <f>IF(Settings!$E$12="YES",VLOOKUP(A608,'Player Data'!A1:E734,5,FALSE),82)</f>
        <v>82</v>
      </c>
      <c r="E608" s="38">
        <f>(VLOOKUP($A608,'The List'!$B1:$AH730,17,FALSE)-AVERAGE('The List'!R2:R730))/STDEV('The List'!R2:R730)</f>
        <v>-0.99888347991703286</v>
      </c>
      <c r="F608" s="38">
        <f>(VLOOKUP($A608,'The List'!$B1:$AH730,18,FALSE)-AVERAGE('The List'!S2:S730))/STDEV('The List'!S2:S730)</f>
        <v>-1.131139046164823</v>
      </c>
      <c r="G608" s="38">
        <f>(VLOOKUP($A608,'The List'!$B1:$AH730,19,FALSE)-AVERAGE('The List'!T2:T730))/STDEV('The List'!T2:T730)</f>
        <v>-0.8989403422351725</v>
      </c>
      <c r="H608" s="38">
        <f>(VLOOKUP($A608,'The List'!$B1:$AH730,20,FALSE)-AVERAGE('The List'!U2:U730))/STDEV('The List'!U2:U730)</f>
        <v>-1.0782703476785604</v>
      </c>
      <c r="I608" s="38">
        <f>(VLOOKUP($A608,'The List'!$B1:$AH730,21,FALSE)-AVERAGE('The List'!V2:V730))/STDEV('The List'!V2:V730)</f>
        <v>-1.3628829046535245</v>
      </c>
      <c r="J608" s="38">
        <f>(VLOOKUP($A608,'The List'!$B1:$AH730,22,FALSE)-AVERAGE('The List'!W2:W730))/STDEV('The List'!W2:W730)</f>
        <v>-0.73157089418320487</v>
      </c>
      <c r="K608" s="38">
        <f>(VLOOKUP($A608,'The List'!$B1:$AH730,23,FALSE)-AVERAGE('The List'!X2:X730))/STDEV('The List'!X2:X730)</f>
        <v>-0.69310253898179686</v>
      </c>
      <c r="L608" s="38">
        <f>(VLOOKUP($A608,'The List'!$B1:$AH730,24,FALSE)-AVERAGE('The List'!Y2:Y730))/STDEV('The List'!Y2:Y730)</f>
        <v>-0.51919754131024565</v>
      </c>
      <c r="M608" s="38">
        <f>(VLOOKUP($A608,'The List'!$B1:$AH730,25,FALSE)-AVERAGE('The List'!Z2:Z730))/STDEV('The List'!Z2:Z730)</f>
        <v>-0.69003082546093009</v>
      </c>
      <c r="N608" s="38">
        <f>(VLOOKUP($A608,'The List'!$B1:$AH730,26,FALSE)-AVERAGE('The List'!AA2:AA730))/STDEV('The List'!AA2:AA730)</f>
        <v>0.27674658190953366</v>
      </c>
      <c r="O608" s="38">
        <f>(VLOOKUP($A608,'The List'!$B1:$AH730,27,FALSE)-AVERAGE('The List'!AB2:AB730))/STDEV('The List'!AB2:AB730)</f>
        <v>-0.68108070910633534</v>
      </c>
      <c r="P608" s="38">
        <f>(VLOOKUP($A608,'The List'!$B1:$AH730,28,FALSE)-AVERAGE('The List'!AC2:AC730))/STDEV('The List'!AC2:AC730)</f>
        <v>-1.9934094399232714</v>
      </c>
      <c r="Q608" s="38">
        <f>(VLOOKUP($A608,'The List'!$B1:$AH730,29,FALSE)-AVERAGE('The List'!AD2:AD730))/STDEV('The List'!AD2:AD730)</f>
        <v>1.0273917520335563</v>
      </c>
      <c r="R608" s="38">
        <f>(VLOOKUP($A608,'The List'!$B1:$AH730,30,FALSE)-AVERAGE('The List'!AE2:AE730))/STDEV('The List'!AE2:AE730)</f>
        <v>-1.0922618557970982</v>
      </c>
      <c r="S608" s="38">
        <f>(VLOOKUP($A608,'The List'!$B1:$AH730,31,FALSE)-AVERAGE('The List'!AF2:AF730))/STDEV('The List'!AF2:AF730)</f>
        <v>-0.56911587195029545</v>
      </c>
      <c r="T608" s="38">
        <f>(VLOOKUP($A608,'The List'!$B1:$AH730,32,FALSE)-AVERAGE('The List'!AG2:AG730))/STDEV('The List'!AG2:AG730)</f>
        <v>-0.61510119871956948</v>
      </c>
      <c r="U608" s="38">
        <f>(VLOOKUP($A608,'The List'!$B1:$AH730,33,FALSE)-AVERAGE('The List'!AH2:AH730))/STDEV('The List'!AH2:AH730)</f>
        <v>-1.2363238714825984</v>
      </c>
      <c r="V608" s="38"/>
      <c r="W608" s="42"/>
      <c r="X608" s="40"/>
      <c r="Y608" s="40"/>
      <c r="Z608" s="40"/>
      <c r="AA608" s="40"/>
      <c r="AB608" s="40"/>
      <c r="AC608" s="43"/>
      <c r="AD608" s="44"/>
      <c r="AE608" s="38"/>
    </row>
    <row r="609" spans="1:31" ht="21.2" customHeight="1">
      <c r="A609" s="8" t="s">
        <v>583</v>
      </c>
      <c r="B609" s="34" t="str">
        <f>VLOOKUP(A609,'Player Data'!A1:B734,2,FALSE)</f>
        <v>MIN</v>
      </c>
      <c r="C609" s="36">
        <f>((E609)*Settings!$C$12)+(F609*Settings!$C$2)+(G609*Settings!$C$3)+(H609*Settings!$C$4)+(I609*Settings!$C$5)+(K609*Settings!$C$9)+(N609*Settings!$C$6)+(J609*Settings!$C$8)+(O609*Settings!$C$7)+(P609*Settings!$C$14)+(Q609*Settings!$C$15)+(R609*Settings!$C$16)+(S609*Settings!$C$17)+(T609*Settings!$C$18)+(U609*Settings!$C$19)+(L609*Settings!$C$10)+(Settings!$C$11*M609)</f>
        <v>-5.383890072168322</v>
      </c>
      <c r="D609" s="40">
        <f>IF(Settings!$E$12="YES",VLOOKUP(A609,'Player Data'!A1:E734,5,FALSE),82)</f>
        <v>82</v>
      </c>
      <c r="E609" s="38">
        <f>(VLOOKUP($A609,'The List'!$B1:$AH730,17,FALSE)-AVERAGE('The List'!R2:R730))/STDEV('The List'!R2:R730)</f>
        <v>-0.3659532586999637</v>
      </c>
      <c r="F609" s="38">
        <f>(VLOOKUP($A609,'The List'!$B1:$AH730,18,FALSE)-AVERAGE('The List'!S2:S730))/STDEV('The List'!S2:S730)</f>
        <v>-1.1378448626751374</v>
      </c>
      <c r="G609" s="38">
        <f>(VLOOKUP($A609,'The List'!$B1:$AH730,19,FALSE)-AVERAGE('The List'!T2:T730))/STDEV('The List'!T2:T730)</f>
        <v>-0.89905782288891978</v>
      </c>
      <c r="H609" s="38">
        <f>(VLOOKUP($A609,'The List'!$B1:$AH730,20,FALSE)-AVERAGE('The List'!U2:U730))/STDEV('The List'!U2:U730)</f>
        <v>-1.0814598980508674</v>
      </c>
      <c r="I609" s="38">
        <f>(VLOOKUP($A609,'The List'!$B1:$AH730,21,FALSE)-AVERAGE('The List'!V2:V730))/STDEV('The List'!V2:V730)</f>
        <v>-1.4509471907528535</v>
      </c>
      <c r="J609" s="38">
        <f>(VLOOKUP($A609,'The List'!$B1:$AH730,22,FALSE)-AVERAGE('The List'!W2:W730))/STDEV('The List'!W2:W730)</f>
        <v>-0.73275241509286304</v>
      </c>
      <c r="K609" s="38">
        <f>(VLOOKUP($A609,'The List'!$B1:$AH730,23,FALSE)-AVERAGE('The List'!X2:X730))/STDEV('The List'!X2:X730)</f>
        <v>-0.81458029780054408</v>
      </c>
      <c r="L609" s="38">
        <f>(VLOOKUP($A609,'The List'!$B1:$AH730,24,FALSE)-AVERAGE('The List'!Y2:Y730))/STDEV('The List'!Y2:Y730)</f>
        <v>-0.51915551046786945</v>
      </c>
      <c r="M609" s="38">
        <f>(VLOOKUP($A609,'The List'!$B1:$AH730,25,FALSE)-AVERAGE('The List'!Z2:Z730))/STDEV('The List'!Z2:Z730)</f>
        <v>-0.69173285734563261</v>
      </c>
      <c r="N609" s="38">
        <f>(VLOOKUP($A609,'The List'!$B1:$AH730,26,FALSE)-AVERAGE('The List'!AA2:AA730))/STDEV('The List'!AA2:AA730)</f>
        <v>1.1165004180021938</v>
      </c>
      <c r="O609" s="38">
        <f>(VLOOKUP($A609,'The List'!$B1:$AH730,27,FALSE)-AVERAGE('The List'!AB2:AB730))/STDEV('The List'!AB2:AB730)</f>
        <v>-0.63762270037738988</v>
      </c>
      <c r="P609" s="38">
        <f>(VLOOKUP($A609,'The List'!$B1:$AH730,28,FALSE)-AVERAGE('The List'!AC2:AC730))/STDEV('The List'!AC2:AC730)</f>
        <v>0.20245636608066078</v>
      </c>
      <c r="Q609" s="38">
        <f>(VLOOKUP($A609,'The List'!$B1:$AH730,29,FALSE)-AVERAGE('The List'!AD2:AD730))/STDEV('The List'!AD2:AD730)</f>
        <v>-0.13927546700377669</v>
      </c>
      <c r="R609" s="38">
        <f>(VLOOKUP($A609,'The List'!$B1:$AH730,30,FALSE)-AVERAGE('The List'!AE2:AE730))/STDEV('The List'!AE2:AE730)</f>
        <v>-1.0088537790690719</v>
      </c>
      <c r="S609" s="38">
        <f>(VLOOKUP($A609,'The List'!$B1:$AH730,31,FALSE)-AVERAGE('The List'!AF2:AF730))/STDEV('The List'!AF2:AF730)</f>
        <v>-0.56911587195029545</v>
      </c>
      <c r="T609" s="38">
        <f>(VLOOKUP($A609,'The List'!$B1:$AH730,32,FALSE)-AVERAGE('The List'!AG2:AG730))/STDEV('The List'!AG2:AG730)</f>
        <v>-0.61510119871956948</v>
      </c>
      <c r="U609" s="38">
        <f>(VLOOKUP($A609,'The List'!$B1:$AH730,33,FALSE)-AVERAGE('The List'!AH2:AH730))/STDEV('The List'!AH2:AH730)</f>
        <v>-1.2363238714825984</v>
      </c>
      <c r="V609" s="38"/>
      <c r="W609" s="42"/>
      <c r="X609" s="40"/>
      <c r="Y609" s="40"/>
      <c r="Z609" s="40"/>
      <c r="AA609" s="40"/>
      <c r="AB609" s="40"/>
      <c r="AC609" s="43"/>
      <c r="AD609" s="44"/>
      <c r="AE609" s="38"/>
    </row>
    <row r="610" spans="1:31" ht="21.2" customHeight="1">
      <c r="A610" s="8" t="s">
        <v>635</v>
      </c>
      <c r="B610" s="34" t="str">
        <f>VLOOKUP(A610,'Player Data'!A1:B734,2,FALSE)</f>
        <v>COL</v>
      </c>
      <c r="C610" s="36">
        <f>((E610)*Settings!$C$12)+(F610*Settings!$C$2)+(G610*Settings!$C$3)+(H610*Settings!$C$4)+(I610*Settings!$C$5)+(K610*Settings!$C$9)+(N610*Settings!$C$6)+(J610*Settings!$C$8)+(O610*Settings!$C$7)+(P610*Settings!$C$14)+(Q610*Settings!$C$15)+(R610*Settings!$C$16)+(S610*Settings!$C$17)+(T610*Settings!$C$18)+(U610*Settings!$C$19)+(L610*Settings!$C$10)+(Settings!$C$11*M610)</f>
        <v>-5.0619462428606399</v>
      </c>
      <c r="D610" s="40">
        <f>IF(Settings!$E$12="YES",VLOOKUP(A610,'Player Data'!A1:E734,5,FALSE),82)</f>
        <v>82</v>
      </c>
      <c r="E610" s="38">
        <f>(VLOOKUP($A610,'The List'!$B1:$AH730,17,FALSE)-AVERAGE('The List'!R2:R730))/STDEV('The List'!R2:R730)</f>
        <v>-1.4158675188662828</v>
      </c>
      <c r="F610" s="38">
        <f>(VLOOKUP($A610,'The List'!$B1:$AH730,18,FALSE)-AVERAGE('The List'!S2:S730))/STDEV('The List'!S2:S730)</f>
        <v>-0.99330038335520998</v>
      </c>
      <c r="G610" s="38">
        <f>(VLOOKUP($A610,'The List'!$B1:$AH730,19,FALSE)-AVERAGE('The List'!T2:T730))/STDEV('The List'!T2:T730)</f>
        <v>-1.0141801637388581</v>
      </c>
      <c r="H610" s="38">
        <f>(VLOOKUP($A610,'The List'!$B1:$AH730,20,FALSE)-AVERAGE('The List'!U2:U730))/STDEV('The List'!U2:U730)</f>
        <v>-1.0850122610622255</v>
      </c>
      <c r="I610" s="38">
        <f>(VLOOKUP($A610,'The List'!$B1:$AH730,21,FALSE)-AVERAGE('The List'!V2:V730))/STDEV('The List'!V2:V730)</f>
        <v>-1.1580009452921123</v>
      </c>
      <c r="J610" s="38">
        <f>(VLOOKUP($A610,'The List'!$B1:$AH730,22,FALSE)-AVERAGE('The List'!W2:W730))/STDEV('The List'!W2:W730)</f>
        <v>-0.73437261444398194</v>
      </c>
      <c r="K610" s="38">
        <f>(VLOOKUP($A610,'The List'!$B1:$AH730,23,FALSE)-AVERAGE('The List'!X2:X730))/STDEV('The List'!X2:X730)</f>
        <v>-0.81145248941223425</v>
      </c>
      <c r="L610" s="38">
        <f>(VLOOKUP($A610,'The List'!$B1:$AH730,24,FALSE)-AVERAGE('The List'!Y2:Y730))/STDEV('The List'!Y2:Y730)</f>
        <v>-0.52261404457063942</v>
      </c>
      <c r="M610" s="38">
        <f>(VLOOKUP($A610,'The List'!$B1:$AH730,25,FALSE)-AVERAGE('The List'!Z2:Z730))/STDEV('The List'!Z2:Z730)</f>
        <v>-0.69895116550098091</v>
      </c>
      <c r="N610" s="38">
        <f>(VLOOKUP($A610,'The List'!$B1:$AH730,26,FALSE)-AVERAGE('The List'!AA2:AA730))/STDEV('The List'!AA2:AA730)</f>
        <v>-0.453960342175043</v>
      </c>
      <c r="O610" s="38">
        <f>(VLOOKUP($A610,'The List'!$B1:$AH730,27,FALSE)-AVERAGE('The List'!AB2:AB730))/STDEV('The List'!AB2:AB730)</f>
        <v>-0.96609052227037351</v>
      </c>
      <c r="P610" s="38">
        <f>(VLOOKUP($A610,'The List'!$B1:$AH730,28,FALSE)-AVERAGE('The List'!AC2:AC730))/STDEV('The List'!AC2:AC730)</f>
        <v>0.80674635334002076</v>
      </c>
      <c r="Q610" s="38">
        <f>(VLOOKUP($A610,'The List'!$B1:$AH730,29,FALSE)-AVERAGE('The List'!AD2:AD730))/STDEV('The List'!AD2:AD730)</f>
        <v>-0.97386519987628184</v>
      </c>
      <c r="R610" s="38">
        <f>(VLOOKUP($A610,'The List'!$B1:$AH730,30,FALSE)-AVERAGE('The List'!AE2:AE730))/STDEV('The List'!AE2:AE730)</f>
        <v>-0.86349587181411058</v>
      </c>
      <c r="S610" s="38">
        <f>(VLOOKUP($A610,'The List'!$B1:$AH730,31,FALSE)-AVERAGE('The List'!AF2:AF730))/STDEV('The List'!AF2:AF730)</f>
        <v>-0.56911587195029545</v>
      </c>
      <c r="T610" s="38">
        <f>(VLOOKUP($A610,'The List'!$B1:$AH730,32,FALSE)-AVERAGE('The List'!AG2:AG730))/STDEV('The List'!AG2:AG730)</f>
        <v>-0.61510119871956948</v>
      </c>
      <c r="U610" s="38">
        <f>(VLOOKUP($A610,'The List'!$B1:$AH730,33,FALSE)-AVERAGE('The List'!AH2:AH730))/STDEV('The List'!AH2:AH730)</f>
        <v>-1.2363238714825984</v>
      </c>
      <c r="V610" s="38"/>
      <c r="W610" s="42"/>
      <c r="X610" s="40"/>
      <c r="Y610" s="40"/>
      <c r="Z610" s="40"/>
      <c r="AA610" s="40"/>
      <c r="AB610" s="40"/>
      <c r="AC610" s="43"/>
      <c r="AD610" s="44"/>
      <c r="AE610" s="38"/>
    </row>
    <row r="611" spans="1:31" ht="21.2" customHeight="1">
      <c r="A611" s="8" t="s">
        <v>769</v>
      </c>
      <c r="B611" s="34" t="str">
        <f>VLOOKUP(A611,'Player Data'!A1:B734,2,FALSE)</f>
        <v>TBL</v>
      </c>
      <c r="C611" s="36">
        <f>((E611)*Settings!$C$12)+(F611*Settings!$C$2)+(G611*Settings!$C$3)+(H611*Settings!$C$4)+(I611*Settings!$C$5)+(K611*Settings!$C$9)+(N611*Settings!$C$6)+(J611*Settings!$C$8)+(O611*Settings!$C$7)+(P611*Settings!$C$14)+(Q611*Settings!$C$15)+(R611*Settings!$C$16)+(S611*Settings!$C$17)+(T611*Settings!$C$18)+(U611*Settings!$C$19)+(L611*Settings!$C$10)+(Settings!$C$11*M611)</f>
        <v>-4.8806281516937311</v>
      </c>
      <c r="D611" s="40">
        <f>IF(Settings!$E$12="YES",VLOOKUP(A611,'Player Data'!A1:E734,5,FALSE),82)</f>
        <v>82</v>
      </c>
      <c r="E611" s="38">
        <f>(VLOOKUP($A611,'The List'!$B1:$AH730,17,FALSE)-AVERAGE('The List'!R2:R730))/STDEV('The List'!R2:R730)</f>
        <v>-1.9354437349362872</v>
      </c>
      <c r="F611" s="38">
        <f>(VLOOKUP($A611,'The List'!$B1:$AH730,18,FALSE)-AVERAGE('The List'!S2:S730))/STDEV('The List'!S2:S730)</f>
        <v>-0.72441685537897593</v>
      </c>
      <c r="G611" s="38">
        <f>(VLOOKUP($A611,'The List'!$B1:$AH730,19,FALSE)-AVERAGE('The List'!T2:T730))/STDEV('The List'!T2:T730)</f>
        <v>-1.2185510663851529</v>
      </c>
      <c r="H611" s="38">
        <f>(VLOOKUP($A611,'The List'!$B1:$AH730,20,FALSE)-AVERAGE('The List'!U2:U730))/STDEV('The List'!U2:U730)</f>
        <v>-1.0856094937777974</v>
      </c>
      <c r="I611" s="38">
        <f>(VLOOKUP($A611,'The List'!$B1:$AH730,21,FALSE)-AVERAGE('The List'!V2:V730))/STDEV('The List'!V2:V730)</f>
        <v>-1.0394689295984902</v>
      </c>
      <c r="J611" s="38">
        <f>(VLOOKUP($A611,'The List'!$B1:$AH730,22,FALSE)-AVERAGE('The List'!W2:W730))/STDEV('The List'!W2:W730)</f>
        <v>-0.72313495966400443</v>
      </c>
      <c r="K611" s="38">
        <f>(VLOOKUP($A611,'The List'!$B1:$AH730,23,FALSE)-AVERAGE('The List'!X2:X730))/STDEV('The List'!X2:X730)</f>
        <v>-0.81258180655331469</v>
      </c>
      <c r="L611" s="38">
        <f>(VLOOKUP($A611,'The List'!$B1:$AH730,24,FALSE)-AVERAGE('The List'!Y2:Y730))/STDEV('The List'!Y2:Y730)</f>
        <v>-0.47615977575578183</v>
      </c>
      <c r="M611" s="38">
        <f>(VLOOKUP($A611,'The List'!$B1:$AH730,25,FALSE)-AVERAGE('The List'!Z2:Z730))/STDEV('The List'!Z2:Z730)</f>
        <v>-0.67501473496405362</v>
      </c>
      <c r="N611" s="38">
        <f>(VLOOKUP($A611,'The List'!$B1:$AH730,26,FALSE)-AVERAGE('The List'!AA2:AA730))/STDEV('The List'!AA2:AA730)</f>
        <v>-0.80455863129481275</v>
      </c>
      <c r="O611" s="38">
        <f>(VLOOKUP($A611,'The List'!$B1:$AH730,27,FALSE)-AVERAGE('The List'!AB2:AB730))/STDEV('The List'!AB2:AB730)</f>
        <v>2.1812333861866811</v>
      </c>
      <c r="P611" s="38">
        <f>(VLOOKUP($A611,'The List'!$B1:$AH730,28,FALSE)-AVERAGE('The List'!AC2:AC730))/STDEV('The List'!AC2:AC730)</f>
        <v>1.1081904542107359E-2</v>
      </c>
      <c r="Q611" s="38">
        <f>(VLOOKUP($A611,'The List'!$B1:$AH730,29,FALSE)-AVERAGE('The List'!AD2:AD730))/STDEV('The List'!AD2:AD730)</f>
        <v>-0.19474141496555508</v>
      </c>
      <c r="R611" s="38">
        <f>(VLOOKUP($A611,'The List'!$B1:$AH730,30,FALSE)-AVERAGE('The List'!AE2:AE730))/STDEV('The List'!AE2:AE730)</f>
        <v>-0.59366751783600069</v>
      </c>
      <c r="S611" s="38">
        <f>(VLOOKUP($A611,'The List'!$B1:$AH730,31,FALSE)-AVERAGE('The List'!AF2:AF730))/STDEV('The List'!AF2:AF730)</f>
        <v>-0.55847008256216868</v>
      </c>
      <c r="T611" s="38">
        <f>(VLOOKUP($A611,'The List'!$B1:$AH730,32,FALSE)-AVERAGE('The List'!AG2:AG730))/STDEV('The List'!AG2:AG730)</f>
        <v>-0.59508703550275288</v>
      </c>
      <c r="U611" s="38">
        <f>(VLOOKUP($A611,'The List'!$B1:$AH730,33,FALSE)-AVERAGE('The List'!AH2:AH730))/STDEV('The List'!AH2:AH730)</f>
        <v>0.38277991409444861</v>
      </c>
      <c r="V611" s="38"/>
      <c r="W611" s="42"/>
      <c r="X611" s="40"/>
      <c r="Y611" s="40"/>
      <c r="Z611" s="40"/>
      <c r="AA611" s="40"/>
      <c r="AB611" s="40"/>
      <c r="AC611" s="43"/>
      <c r="AD611" s="44"/>
      <c r="AE611" s="38"/>
    </row>
    <row r="612" spans="1:31" ht="21.2" customHeight="1">
      <c r="A612" s="8" t="s">
        <v>819</v>
      </c>
      <c r="B612" s="34" t="str">
        <f>VLOOKUP(A612,'Player Data'!A1:B734,2,FALSE)</f>
        <v>WPG</v>
      </c>
      <c r="C612" s="36">
        <f>((E612)*Settings!$C$12)+(F612*Settings!$C$2)+(G612*Settings!$C$3)+(H612*Settings!$C$4)+(I612*Settings!$C$5)+(K612*Settings!$C$9)+(N612*Settings!$C$6)+(J612*Settings!$C$8)+(O612*Settings!$C$7)+(P612*Settings!$C$14)+(Q612*Settings!$C$15)+(R612*Settings!$C$16)+(S612*Settings!$C$17)+(T612*Settings!$C$18)+(U612*Settings!$C$19)+(L612*Settings!$C$10)+(Settings!$C$11*M612)</f>
        <v>-5.0534607727822412</v>
      </c>
      <c r="D612" s="40">
        <f>IF(Settings!$E$12="YES",VLOOKUP(A612,'Player Data'!A1:E734,5,FALSE),82)</f>
        <v>82</v>
      </c>
      <c r="E612" s="38">
        <f>(VLOOKUP($A612,'The List'!$B1:$AH730,17,FALSE)-AVERAGE('The List'!R2:R730))/STDEV('The List'!R2:R730)</f>
        <v>-1.8675619156545344</v>
      </c>
      <c r="F612" s="38">
        <f>(VLOOKUP($A612,'The List'!$B1:$AH730,18,FALSE)-AVERAGE('The List'!S2:S730))/STDEV('The List'!S2:S730)</f>
        <v>-1.009353376521269</v>
      </c>
      <c r="G612" s="38">
        <f>(VLOOKUP($A612,'The List'!$B1:$AH730,19,FALSE)-AVERAGE('The List'!T2:T730))/STDEV('The List'!T2:T730)</f>
        <v>-1.0209488488697778</v>
      </c>
      <c r="H612" s="38">
        <f>(VLOOKUP($A612,'The List'!$B1:$AH730,20,FALSE)-AVERAGE('The List'!U2:U730))/STDEV('The List'!U2:U730)</f>
        <v>-1.0966344894668012</v>
      </c>
      <c r="I612" s="38">
        <f>(VLOOKUP($A612,'The List'!$B1:$AH730,21,FALSE)-AVERAGE('The List'!V2:V730))/STDEV('The List'!V2:V730)</f>
        <v>-1.1170245384735922</v>
      </c>
      <c r="J612" s="38">
        <f>(VLOOKUP($A612,'The List'!$B1:$AH730,22,FALSE)-AVERAGE('The List'!W2:W730))/STDEV('The List'!W2:W730)</f>
        <v>-0.71891091033866439</v>
      </c>
      <c r="K612" s="38">
        <f>(VLOOKUP($A612,'The List'!$B1:$AH730,23,FALSE)-AVERAGE('The List'!X2:X730))/STDEV('The List'!X2:X730)</f>
        <v>-0.80949951945080145</v>
      </c>
      <c r="L612" s="38">
        <f>(VLOOKUP($A612,'The List'!$B1:$AH730,24,FALSE)-AVERAGE('The List'!Y2:Y730))/STDEV('The List'!Y2:Y730)</f>
        <v>-0.14667227434544403</v>
      </c>
      <c r="M612" s="38">
        <f>(VLOOKUP($A612,'The List'!$B1:$AH730,25,FALSE)-AVERAGE('The List'!Z2:Z730))/STDEV('The List'!Z2:Z730)</f>
        <v>0.62114510493790298</v>
      </c>
      <c r="N612" s="38">
        <f>(VLOOKUP($A612,'The List'!$B1:$AH730,26,FALSE)-AVERAGE('The List'!AA2:AA730))/STDEV('The List'!AA2:AA730)</f>
        <v>-0.84485200745582889</v>
      </c>
      <c r="O612" s="38">
        <f>(VLOOKUP($A612,'The List'!$B1:$AH730,27,FALSE)-AVERAGE('The List'!AB2:AB730))/STDEV('The List'!AB2:AB730)</f>
        <v>-0.72586341403939769</v>
      </c>
      <c r="P612" s="38">
        <f>(VLOOKUP($A612,'The List'!$B1:$AH730,28,FALSE)-AVERAGE('The List'!AC2:AC730))/STDEV('The List'!AC2:AC730)</f>
        <v>0.16993704643574664</v>
      </c>
      <c r="Q612" s="38">
        <f>(VLOOKUP($A612,'The List'!$B1:$AH730,29,FALSE)-AVERAGE('The List'!AD2:AD730))/STDEV('The List'!AD2:AD730)</f>
        <v>-1.2861599153641954</v>
      </c>
      <c r="R612" s="38">
        <f>(VLOOKUP($A612,'The List'!$B1:$AH730,30,FALSE)-AVERAGE('The List'!AE2:AE730))/STDEV('The List'!AE2:AE730)</f>
        <v>-0.88522977930926061</v>
      </c>
      <c r="S612" s="38">
        <f>(VLOOKUP($A612,'The List'!$B1:$AH730,31,FALSE)-AVERAGE('The List'!AF2:AF730))/STDEV('The List'!AF2:AF730)</f>
        <v>0.24870440903297833</v>
      </c>
      <c r="T612" s="38">
        <f>(VLOOKUP($A612,'The List'!$B1:$AH730,32,FALSE)-AVERAGE('The List'!AG2:AG730))/STDEV('The List'!AG2:AG730)</f>
        <v>0.27275453582901321</v>
      </c>
      <c r="U612" s="38">
        <f>(VLOOKUP($A612,'The List'!$B1:$AH730,33,FALSE)-AVERAGE('The List'!AH2:AH730))/STDEV('The List'!AH2:AH730)</f>
        <v>0.98484381224975637</v>
      </c>
      <c r="V612" s="38"/>
      <c r="W612" s="42"/>
      <c r="X612" s="40"/>
      <c r="Y612" s="40"/>
      <c r="Z612" s="40"/>
      <c r="AA612" s="40"/>
      <c r="AB612" s="40"/>
      <c r="AC612" s="43"/>
      <c r="AD612" s="44"/>
      <c r="AE612" s="38"/>
    </row>
    <row r="613" spans="1:31" ht="21.2" customHeight="1">
      <c r="A613" s="8" t="s">
        <v>615</v>
      </c>
      <c r="B613" s="34" t="str">
        <f>VLOOKUP(A613,'Player Data'!A1:B734,2,FALSE)</f>
        <v>CHI</v>
      </c>
      <c r="C613" s="36">
        <f>((E613)*Settings!$C$12)+(F613*Settings!$C$2)+(G613*Settings!$C$3)+(H613*Settings!$C$4)+(I613*Settings!$C$5)+(K613*Settings!$C$9)+(N613*Settings!$C$6)+(J613*Settings!$C$8)+(O613*Settings!$C$7)+(P613*Settings!$C$14)+(Q613*Settings!$C$15)+(R613*Settings!$C$16)+(S613*Settings!$C$17)+(T613*Settings!$C$18)+(U613*Settings!$C$19)+(L613*Settings!$C$10)+(Settings!$C$11*M613)</f>
        <v>-5.1320624632339449</v>
      </c>
      <c r="D613" s="40">
        <f>IF(Settings!$E$12="YES",VLOOKUP(A613,'Player Data'!A1:E734,5,FALSE),82)</f>
        <v>82</v>
      </c>
      <c r="E613" s="38">
        <f>(VLOOKUP($A613,'The List'!$B1:$AH730,17,FALSE)-AVERAGE('The List'!R2:R730))/STDEV('The List'!R2:R730)</f>
        <v>7.8428718128039365E-2</v>
      </c>
      <c r="F613" s="38">
        <f>(VLOOKUP($A613,'The List'!$B1:$AH730,18,FALSE)-AVERAGE('The List'!S2:S730))/STDEV('The List'!S2:S730)</f>
        <v>-1.0257086099560317</v>
      </c>
      <c r="G613" s="38">
        <f>(VLOOKUP($A613,'The List'!$B1:$AH730,19,FALSE)-AVERAGE('The List'!T2:T730))/STDEV('The List'!T2:T730)</f>
        <v>-1.0113503632907872</v>
      </c>
      <c r="H613" s="38">
        <f>(VLOOKUP($A613,'The List'!$B1:$AH730,20,FALSE)-AVERAGE('The List'!U2:U730))/STDEV('The List'!U2:U730)</f>
        <v>-1.0983389510048693</v>
      </c>
      <c r="I613" s="38">
        <f>(VLOOKUP($A613,'The List'!$B1:$AH730,21,FALSE)-AVERAGE('The List'!V2:V730))/STDEV('The List'!V2:V730)</f>
        <v>-1.1832103896840611</v>
      </c>
      <c r="J613" s="38">
        <f>(VLOOKUP($A613,'The List'!$B1:$AH730,22,FALSE)-AVERAGE('The List'!W2:W730))/STDEV('The List'!W2:W730)</f>
        <v>-0.73233547432471113</v>
      </c>
      <c r="K613" s="38">
        <f>(VLOOKUP($A613,'The List'!$B1:$AH730,23,FALSE)-AVERAGE('The List'!X2:X730))/STDEV('The List'!X2:X730)</f>
        <v>-0.81345414929819493</v>
      </c>
      <c r="L613" s="38">
        <f>(VLOOKUP($A613,'The List'!$B1:$AH730,24,FALSE)-AVERAGE('The List'!Y2:Y730))/STDEV('The List'!Y2:Y730)</f>
        <v>-0.48641909498678076</v>
      </c>
      <c r="M613" s="38">
        <f>(VLOOKUP($A613,'The List'!$B1:$AH730,25,FALSE)-AVERAGE('The List'!Z2:Z730))/STDEV('The List'!Z2:Z730)</f>
        <v>-0.60589897479985366</v>
      </c>
      <c r="N613" s="38">
        <f>(VLOOKUP($A613,'The List'!$B1:$AH730,26,FALSE)-AVERAGE('The List'!AA2:AA730))/STDEV('The List'!AA2:AA730)</f>
        <v>1.3554146494277259</v>
      </c>
      <c r="O613" s="38">
        <f>(VLOOKUP($A613,'The List'!$B1:$AH730,27,FALSE)-AVERAGE('The List'!AB2:AB730))/STDEV('The List'!AB2:AB730)</f>
        <v>1.8729745138921226</v>
      </c>
      <c r="P613" s="38">
        <f>(VLOOKUP($A613,'The List'!$B1:$AH730,28,FALSE)-AVERAGE('The List'!AC2:AC730))/STDEV('The List'!AC2:AC730)</f>
        <v>-1.991038499881103</v>
      </c>
      <c r="Q613" s="38">
        <f>(VLOOKUP($A613,'The List'!$B1:$AH730,29,FALSE)-AVERAGE('The List'!AD2:AD730))/STDEV('The List'!AD2:AD730)</f>
        <v>1.6778085206498359</v>
      </c>
      <c r="R613" s="38">
        <f>(VLOOKUP($A613,'The List'!$B1:$AH730,30,FALSE)-AVERAGE('The List'!AE2:AE730))/STDEV('The List'!AE2:AE730)</f>
        <v>-0.9888819576037412</v>
      </c>
      <c r="S613" s="38">
        <f>(VLOOKUP($A613,'The List'!$B1:$AH730,31,FALSE)-AVERAGE('The List'!AF2:AF730))/STDEV('The List'!AF2:AF730)</f>
        <v>-0.56911587195029545</v>
      </c>
      <c r="T613" s="38">
        <f>(VLOOKUP($A613,'The List'!$B1:$AH730,32,FALSE)-AVERAGE('The List'!AG2:AG730))/STDEV('The List'!AG2:AG730)</f>
        <v>-0.61510119871956948</v>
      </c>
      <c r="U613" s="38">
        <f>(VLOOKUP($A613,'The List'!$B1:$AH730,33,FALSE)-AVERAGE('The List'!AH2:AH730))/STDEV('The List'!AH2:AH730)</f>
        <v>-1.2363238714825984</v>
      </c>
      <c r="V613" s="38"/>
      <c r="W613" s="40"/>
      <c r="X613" s="38"/>
      <c r="Y613" s="38"/>
      <c r="Z613" s="38"/>
      <c r="AA613" s="38"/>
      <c r="AB613" s="38"/>
      <c r="AC613" s="38"/>
      <c r="AD613" s="38"/>
      <c r="AE613" s="38"/>
    </row>
    <row r="614" spans="1:31" ht="21.2" customHeight="1">
      <c r="A614" s="8" t="s">
        <v>585</v>
      </c>
      <c r="B614" s="34" t="str">
        <f>VLOOKUP(A614,'Player Data'!A1:B734,2,FALSE)</f>
        <v>CHI</v>
      </c>
      <c r="C614" s="36">
        <f>((E614)*Settings!$C$12)+(F614*Settings!$C$2)+(G614*Settings!$C$3)+(H614*Settings!$C$4)+(I614*Settings!$C$5)+(K614*Settings!$C$9)+(N614*Settings!$C$6)+(J614*Settings!$C$8)+(O614*Settings!$C$7)+(P614*Settings!$C$14)+(Q614*Settings!$C$15)+(R614*Settings!$C$16)+(S614*Settings!$C$17)+(T614*Settings!$C$18)+(U614*Settings!$C$19)+(L614*Settings!$C$10)+(Settings!$C$11*M614)</f>
        <v>-5.382067558918477</v>
      </c>
      <c r="D614" s="40">
        <f>IF(Settings!$E$12="YES",VLOOKUP(A614,'Player Data'!A1:E734,5,FALSE),82)</f>
        <v>82</v>
      </c>
      <c r="E614" s="38">
        <f>(VLOOKUP($A614,'The List'!$B1:$AH730,17,FALSE)-AVERAGE('The List'!R2:R730))/STDEV('The List'!R2:R730)</f>
        <v>-1.4556330375687194E-2</v>
      </c>
      <c r="F614" s="38">
        <f>(VLOOKUP($A614,'The List'!$B1:$AH730,18,FALSE)-AVERAGE('The List'!S2:S730))/STDEV('The List'!S2:S730)</f>
        <v>-1.1234627908862582</v>
      </c>
      <c r="G614" s="38">
        <f>(VLOOKUP($A614,'The List'!$B1:$AH730,19,FALSE)-AVERAGE('The List'!T2:T730))/STDEV('The List'!T2:T730)</f>
        <v>-0.94494267084836203</v>
      </c>
      <c r="H614" s="38">
        <f>(VLOOKUP($A614,'The List'!$B1:$AH730,20,FALSE)-AVERAGE('The List'!U2:U730))/STDEV('The List'!U2:U730)</f>
        <v>-1.102972103435474</v>
      </c>
      <c r="I614" s="38">
        <f>(VLOOKUP($A614,'The List'!$B1:$AH730,21,FALSE)-AVERAGE('The List'!V2:V730))/STDEV('The List'!V2:V730)</f>
        <v>-1.3948640510603318</v>
      </c>
      <c r="J614" s="38">
        <f>(VLOOKUP($A614,'The List'!$B1:$AH730,22,FALSE)-AVERAGE('The List'!W2:W730))/STDEV('The List'!W2:W730)</f>
        <v>-0.73325057745381794</v>
      </c>
      <c r="K614" s="38">
        <f>(VLOOKUP($A614,'The List'!$B1:$AH730,23,FALSE)-AVERAGE('The List'!X2:X730))/STDEV('The List'!X2:X730)</f>
        <v>-0.81582594268805098</v>
      </c>
      <c r="L614" s="38">
        <f>(VLOOKUP($A614,'The List'!$B1:$AH730,24,FALSE)-AVERAGE('The List'!Y2:Y730))/STDEV('The List'!Y2:Y730)</f>
        <v>-0.54699501783863236</v>
      </c>
      <c r="M614" s="38">
        <f>(VLOOKUP($A614,'The List'!$B1:$AH730,25,FALSE)-AVERAGE('The List'!Z2:Z730))/STDEV('The List'!Z2:Z730)</f>
        <v>-0.16698046719899576</v>
      </c>
      <c r="N614" s="38">
        <f>(VLOOKUP($A614,'The List'!$B1:$AH730,26,FALSE)-AVERAGE('The List'!AA2:AA730))/STDEV('The List'!AA2:AA730)</f>
        <v>1.3203206787841921</v>
      </c>
      <c r="O614" s="38">
        <f>(VLOOKUP($A614,'The List'!$B1:$AH730,27,FALSE)-AVERAGE('The List'!AB2:AB730))/STDEV('The List'!AB2:AB730)</f>
        <v>0.90736766075978104</v>
      </c>
      <c r="P614" s="38">
        <f>(VLOOKUP($A614,'The List'!$B1:$AH730,28,FALSE)-AVERAGE('The List'!AC2:AC730))/STDEV('The List'!AC2:AC730)</f>
        <v>-1.8781652127068986</v>
      </c>
      <c r="Q614" s="38">
        <f>(VLOOKUP($A614,'The List'!$B1:$AH730,29,FALSE)-AVERAGE('The List'!AD2:AD730))/STDEV('The List'!AD2:AD730)</f>
        <v>-0.1418141987617394</v>
      </c>
      <c r="R614" s="38">
        <f>(VLOOKUP($A614,'The List'!$B1:$AH730,30,FALSE)-AVERAGE('The List'!AE2:AE730))/STDEV('The List'!AE2:AE730)</f>
        <v>-1.0634787773477681</v>
      </c>
      <c r="S614" s="38">
        <f>(VLOOKUP($A614,'The List'!$B1:$AH730,31,FALSE)-AVERAGE('The List'!AF2:AF730))/STDEV('The List'!AF2:AF730)</f>
        <v>-0.56911587195029545</v>
      </c>
      <c r="T614" s="38">
        <f>(VLOOKUP($A614,'The List'!$B1:$AH730,32,FALSE)-AVERAGE('The List'!AG2:AG730))/STDEV('The List'!AG2:AG730)</f>
        <v>-0.61510119871956948</v>
      </c>
      <c r="U614" s="38">
        <f>(VLOOKUP($A614,'The List'!$B1:$AH730,33,FALSE)-AVERAGE('The List'!AH2:AH730))/STDEV('The List'!AH2:AH730)</f>
        <v>-1.2363238714825984</v>
      </c>
      <c r="V614" s="38"/>
      <c r="W614" s="40"/>
      <c r="X614" s="38"/>
      <c r="Y614" s="38"/>
      <c r="Z614" s="38"/>
      <c r="AA614" s="38"/>
      <c r="AB614" s="38"/>
      <c r="AC614" s="38"/>
      <c r="AD614" s="38"/>
      <c r="AE614" s="38"/>
    </row>
    <row r="615" spans="1:31" ht="21.2" customHeight="1">
      <c r="A615" s="8" t="s">
        <v>596</v>
      </c>
      <c r="B615" s="34" t="str">
        <f>VLOOKUP(A615,'Player Data'!A1:B734,2,FALSE)</f>
        <v>WPG</v>
      </c>
      <c r="C615" s="36">
        <f>((E615)*Settings!$C$12)+(F615*Settings!$C$2)+(G615*Settings!$C$3)+(H615*Settings!$C$4)+(I615*Settings!$C$5)+(K615*Settings!$C$9)+(N615*Settings!$C$6)+(J615*Settings!$C$8)+(O615*Settings!$C$7)+(P615*Settings!$C$14)+(Q615*Settings!$C$15)+(R615*Settings!$C$16)+(S615*Settings!$C$17)+(T615*Settings!$C$18)+(U615*Settings!$C$19)+(L615*Settings!$C$10)+(Settings!$C$11*M615)</f>
        <v>-5.033772221980306</v>
      </c>
      <c r="D615" s="40">
        <f>IF(Settings!$E$12="YES",VLOOKUP(A615,'Player Data'!A1:E734,5,FALSE),82)</f>
        <v>82</v>
      </c>
      <c r="E615" s="38">
        <f>(VLOOKUP($A615,'The List'!$B1:$AH730,17,FALSE)-AVERAGE('The List'!R2:R730))/STDEV('The List'!R2:R730)</f>
        <v>-0.77788175815532368</v>
      </c>
      <c r="F615" s="38">
        <f>(VLOOKUP($A615,'The List'!$B1:$AH730,18,FALSE)-AVERAGE('The List'!S2:S730))/STDEV('The List'!S2:S730)</f>
        <v>-1.129824212559422</v>
      </c>
      <c r="G615" s="38">
        <f>(VLOOKUP($A615,'The List'!$B1:$AH730,19,FALSE)-AVERAGE('The List'!T2:T730))/STDEV('The List'!T2:T730)</f>
        <v>-0.94294276506445807</v>
      </c>
      <c r="H615" s="38">
        <f>(VLOOKUP($A615,'The List'!$B1:$AH730,20,FALSE)-AVERAGE('The List'!U2:U730))/STDEV('The List'!U2:U730)</f>
        <v>-1.1047003366442811</v>
      </c>
      <c r="I615" s="38">
        <f>(VLOOKUP($A615,'The List'!$B1:$AH730,21,FALSE)-AVERAGE('The List'!V2:V730))/STDEV('The List'!V2:V730)</f>
        <v>-1.0294473510876914</v>
      </c>
      <c r="J615" s="38">
        <f>(VLOOKUP($A615,'The List'!$B1:$AH730,22,FALSE)-AVERAGE('The List'!W2:W730))/STDEV('The List'!W2:W730)</f>
        <v>-0.73755957923134097</v>
      </c>
      <c r="K615" s="38">
        <f>(VLOOKUP($A615,'The List'!$B1:$AH730,23,FALSE)-AVERAGE('The List'!X2:X730))/STDEV('The List'!X2:X730)</f>
        <v>-0.8268575566244537</v>
      </c>
      <c r="L615" s="38">
        <f>(VLOOKUP($A615,'The List'!$B1:$AH730,24,FALSE)-AVERAGE('The List'!Y2:Y730))/STDEV('The List'!Y2:Y730)</f>
        <v>-0.44458418518708903</v>
      </c>
      <c r="M615" s="38">
        <f>(VLOOKUP($A615,'The List'!$B1:$AH730,25,FALSE)-AVERAGE('The List'!Z2:Z730))/STDEV('The List'!Z2:Z730)</f>
        <v>-0.12432689820583469</v>
      </c>
      <c r="N615" s="38">
        <f>(VLOOKUP($A615,'The List'!$B1:$AH730,26,FALSE)-AVERAGE('The List'!AA2:AA730))/STDEV('The List'!AA2:AA730)</f>
        <v>0.73117740564376132</v>
      </c>
      <c r="O615" s="38">
        <f>(VLOOKUP($A615,'The List'!$B1:$AH730,27,FALSE)-AVERAGE('The List'!AB2:AB730))/STDEV('The List'!AB2:AB730)</f>
        <v>0.74067778369251391</v>
      </c>
      <c r="P615" s="38">
        <f>(VLOOKUP($A615,'The List'!$B1:$AH730,28,FALSE)-AVERAGE('The List'!AC2:AC730))/STDEV('The List'!AC2:AC730)</f>
        <v>7.3460947501636967E-2</v>
      </c>
      <c r="Q615" s="38">
        <f>(VLOOKUP($A615,'The List'!$B1:$AH730,29,FALSE)-AVERAGE('The List'!AD2:AD730))/STDEV('The List'!AD2:AD730)</f>
        <v>1.1632249452666421</v>
      </c>
      <c r="R615" s="38">
        <f>(VLOOKUP($A615,'The List'!$B1:$AH730,30,FALSE)-AVERAGE('The List'!AE2:AE730))/STDEV('The List'!AE2:AE730)</f>
        <v>-1.0076185484008695</v>
      </c>
      <c r="S615" s="38">
        <f>(VLOOKUP($A615,'The List'!$B1:$AH730,31,FALSE)-AVERAGE('The List'!AF2:AF730))/STDEV('The List'!AF2:AF730)</f>
        <v>-0.56911587195029545</v>
      </c>
      <c r="T615" s="38">
        <f>(VLOOKUP($A615,'The List'!$B1:$AH730,32,FALSE)-AVERAGE('The List'!AG2:AG730))/STDEV('The List'!AG2:AG730)</f>
        <v>-0.61510119871956948</v>
      </c>
      <c r="U615" s="38">
        <f>(VLOOKUP($A615,'The List'!$B1:$AH730,33,FALSE)-AVERAGE('The List'!AH2:AH730))/STDEV('The List'!AH2:AH730)</f>
        <v>-1.2363238714825984</v>
      </c>
      <c r="V615" s="38"/>
      <c r="W615" s="42"/>
      <c r="X615" s="40"/>
      <c r="Y615" s="40"/>
      <c r="Z615" s="40"/>
      <c r="AA615" s="40"/>
      <c r="AB615" s="40"/>
      <c r="AC615" s="43"/>
      <c r="AD615" s="44"/>
      <c r="AE615" s="38"/>
    </row>
    <row r="616" spans="1:31" ht="21.2" customHeight="1">
      <c r="A616" s="8" t="s">
        <v>579</v>
      </c>
      <c r="B616" s="34" t="str">
        <f>VLOOKUP(A616,'Player Data'!A1:B734,2,FALSE)</f>
        <v>STL</v>
      </c>
      <c r="C616" s="36">
        <f>((E616)*Settings!$C$12)+(F616*Settings!$C$2)+(G616*Settings!$C$3)+(H616*Settings!$C$4)+(I616*Settings!$C$5)+(K616*Settings!$C$9)+(N616*Settings!$C$6)+(J616*Settings!$C$8)+(O616*Settings!$C$7)+(P616*Settings!$C$14)+(Q616*Settings!$C$15)+(R616*Settings!$C$16)+(S616*Settings!$C$17)+(T616*Settings!$C$18)+(U616*Settings!$C$19)+(L616*Settings!$C$10)+(Settings!$C$11*M616)</f>
        <v>-4.9909045305745527</v>
      </c>
      <c r="D616" s="40">
        <f>IF(Settings!$E$12="YES",VLOOKUP(A616,'Player Data'!A1:E734,5,FALSE),82)</f>
        <v>82</v>
      </c>
      <c r="E616" s="38">
        <f>(VLOOKUP($A616,'The List'!$B1:$AH730,17,FALSE)-AVERAGE('The List'!R2:R730))/STDEV('The List'!R2:R730)</f>
        <v>0.33482666333996214</v>
      </c>
      <c r="F616" s="38">
        <f>(VLOOKUP($A616,'The List'!$B1:$AH730,18,FALSE)-AVERAGE('The List'!S2:S730))/STDEV('The List'!S2:S730)</f>
        <v>-1.0474865053157871</v>
      </c>
      <c r="G616" s="38">
        <f>(VLOOKUP($A616,'The List'!$B1:$AH730,19,FALSE)-AVERAGE('The List'!T2:T730))/STDEV('The List'!T2:T730)</f>
        <v>-1.0112500899213466</v>
      </c>
      <c r="H616" s="38">
        <f>(VLOOKUP($A616,'The List'!$B1:$AH730,20,FALSE)-AVERAGE('The List'!U2:U730))/STDEV('The List'!U2:U730)</f>
        <v>-1.1084012873867755</v>
      </c>
      <c r="I616" s="38">
        <f>(VLOOKUP($A616,'The List'!$B1:$AH730,21,FALSE)-AVERAGE('The List'!V2:V730))/STDEV('The List'!V2:V730)</f>
        <v>-1.0148748842749604</v>
      </c>
      <c r="J616" s="38">
        <f>(VLOOKUP($A616,'The List'!$B1:$AH730,22,FALSE)-AVERAGE('The List'!W2:W730))/STDEV('The List'!W2:W730)</f>
        <v>-0.73080950628878782</v>
      </c>
      <c r="K616" s="38">
        <f>(VLOOKUP($A616,'The List'!$B1:$AH730,23,FALSE)-AVERAGE('The List'!X2:X730))/STDEV('The List'!X2:X730)</f>
        <v>-0.80889176367568272</v>
      </c>
      <c r="L616" s="38">
        <f>(VLOOKUP($A616,'The List'!$B1:$AH730,24,FALSE)-AVERAGE('The List'!Y2:Y730))/STDEV('The List'!Y2:Y730)</f>
        <v>-0.57329196148769457</v>
      </c>
      <c r="M616" s="38">
        <f>(VLOOKUP($A616,'The List'!$B1:$AH730,25,FALSE)-AVERAGE('The List'!Z2:Z730))/STDEV('The List'!Z2:Z730)</f>
        <v>0.52095454093804172</v>
      </c>
      <c r="N616" s="38">
        <f>(VLOOKUP($A616,'The List'!$B1:$AH730,26,FALSE)-AVERAGE('The List'!AA2:AA730))/STDEV('The List'!AA2:AA730)</f>
        <v>0.87445560113178911</v>
      </c>
      <c r="O616" s="38">
        <f>(VLOOKUP($A616,'The List'!$B1:$AH730,27,FALSE)-AVERAGE('The List'!AB2:AB730))/STDEV('The List'!AB2:AB730)</f>
        <v>0.24947733509587097</v>
      </c>
      <c r="P616" s="38">
        <f>(VLOOKUP($A616,'The List'!$B1:$AH730,28,FALSE)-AVERAGE('The List'!AC2:AC730))/STDEV('The List'!AC2:AC730)</f>
        <v>-0.93904203239296802</v>
      </c>
      <c r="Q616" s="38">
        <f>(VLOOKUP($A616,'The List'!$B1:$AH730,29,FALSE)-AVERAGE('The List'!AD2:AD730))/STDEV('The List'!AD2:AD730)</f>
        <v>-0.39654463206106078</v>
      </c>
      <c r="R616" s="38">
        <f>(VLOOKUP($A616,'The List'!$B1:$AH730,30,FALSE)-AVERAGE('The List'!AE2:AE730))/STDEV('The List'!AE2:AE730)</f>
        <v>-1.0099296002754834</v>
      </c>
      <c r="S616" s="38">
        <f>(VLOOKUP($A616,'The List'!$B1:$AH730,31,FALSE)-AVERAGE('The List'!AF2:AF730))/STDEV('The List'!AF2:AF730)</f>
        <v>-0.56911587195029545</v>
      </c>
      <c r="T616" s="38">
        <f>(VLOOKUP($A616,'The List'!$B1:$AH730,32,FALSE)-AVERAGE('The List'!AG2:AG730))/STDEV('The List'!AG2:AG730)</f>
        <v>-0.61510119871956948</v>
      </c>
      <c r="U616" s="38">
        <f>(VLOOKUP($A616,'The List'!$B1:$AH730,33,FALSE)-AVERAGE('The List'!AH2:AH730))/STDEV('The List'!AH2:AH730)</f>
        <v>-1.2363238714825984</v>
      </c>
      <c r="V616" s="38"/>
      <c r="W616" s="42"/>
      <c r="X616" s="40"/>
      <c r="Y616" s="40"/>
      <c r="Z616" s="40"/>
      <c r="AA616" s="40"/>
      <c r="AB616" s="40"/>
      <c r="AC616" s="43"/>
      <c r="AD616" s="44"/>
      <c r="AE616" s="38"/>
    </row>
    <row r="617" spans="1:31" ht="21.2" customHeight="1">
      <c r="A617" s="8" t="s">
        <v>796</v>
      </c>
      <c r="B617" s="34" t="str">
        <f>VLOOKUP(A617,'Player Data'!A1:B734,2,FALSE)</f>
        <v>PHI</v>
      </c>
      <c r="C617" s="36">
        <f>((E617)*Settings!$C$12)+(F617*Settings!$C$2)+(G617*Settings!$C$3)+(H617*Settings!$C$4)+(I617*Settings!$C$5)+(K617*Settings!$C$9)+(N617*Settings!$C$6)+(J617*Settings!$C$8)+(O617*Settings!$C$7)+(P617*Settings!$C$14)+(Q617*Settings!$C$15)+(R617*Settings!$C$16)+(S617*Settings!$C$17)+(T617*Settings!$C$18)+(U617*Settings!$C$19)+(L617*Settings!$C$10)+(Settings!$C$11*M617)</f>
        <v>-5.15881266495761</v>
      </c>
      <c r="D617" s="40">
        <f>IF(Settings!$E$12="YES",VLOOKUP(A617,'Player Data'!A1:E734,5,FALSE),82)</f>
        <v>82</v>
      </c>
      <c r="E617" s="38">
        <f>(VLOOKUP($A617,'The List'!$B1:$AH730,17,FALSE)-AVERAGE('The List'!R2:R730))/STDEV('The List'!R2:R730)</f>
        <v>-1.8890794893099445</v>
      </c>
      <c r="F617" s="38">
        <f>(VLOOKUP($A617,'The List'!$B1:$AH730,18,FALSE)-AVERAGE('The List'!S2:S730))/STDEV('The List'!S2:S730)</f>
        <v>-0.76880777015885438</v>
      </c>
      <c r="G617" s="38">
        <f>(VLOOKUP($A617,'The List'!$B1:$AH730,19,FALSE)-AVERAGE('The List'!T2:T730))/STDEV('The List'!T2:T730)</f>
        <v>-1.224674535051935</v>
      </c>
      <c r="H617" s="38">
        <f>(VLOOKUP($A617,'The List'!$B1:$AH730,20,FALSE)-AVERAGE('The List'!U2:U730))/STDEV('The List'!U2:U730)</f>
        <v>-1.1100087495127686</v>
      </c>
      <c r="I617" s="38">
        <f>(VLOOKUP($A617,'The List'!$B1:$AH730,21,FALSE)-AVERAGE('The List'!V2:V730))/STDEV('The List'!V2:V730)</f>
        <v>-1.2746609718899367</v>
      </c>
      <c r="J617" s="38">
        <f>(VLOOKUP($A617,'The List'!$B1:$AH730,22,FALSE)-AVERAGE('The List'!W2:W730))/STDEV('The List'!W2:W730)</f>
        <v>-0.68907760092544168</v>
      </c>
      <c r="K617" s="38">
        <f>(VLOOKUP($A617,'The List'!$B1:$AH730,23,FALSE)-AVERAGE('The List'!X2:X730))/STDEV('The List'!X2:X730)</f>
        <v>-0.78066063834411548</v>
      </c>
      <c r="L617" s="38">
        <f>(VLOOKUP($A617,'The List'!$B1:$AH730,24,FALSE)-AVERAGE('The List'!Y2:Y730))/STDEV('The List'!Y2:Y730)</f>
        <v>-0.40937058546969862</v>
      </c>
      <c r="M617" s="38">
        <f>(VLOOKUP($A617,'The List'!$B1:$AH730,25,FALSE)-AVERAGE('The List'!Z2:Z730))/STDEV('The List'!Z2:Z730)</f>
        <v>-0.56803721253949735</v>
      </c>
      <c r="N617" s="38">
        <f>(VLOOKUP($A617,'The List'!$B1:$AH730,26,FALSE)-AVERAGE('The List'!AA2:AA730))/STDEV('The List'!AA2:AA730)</f>
        <v>-0.89860098583458581</v>
      </c>
      <c r="O617" s="38">
        <f>(VLOOKUP($A617,'The List'!$B1:$AH730,27,FALSE)-AVERAGE('The List'!AB2:AB730))/STDEV('The List'!AB2:AB730)</f>
        <v>-0.158716862448706</v>
      </c>
      <c r="P617" s="38">
        <f>(VLOOKUP($A617,'The List'!$B1:$AH730,28,FALSE)-AVERAGE('The List'!AC2:AC730))/STDEV('The List'!AC2:AC730)</f>
        <v>-1.4995794731814915</v>
      </c>
      <c r="Q617" s="38">
        <f>(VLOOKUP($A617,'The List'!$B1:$AH730,29,FALSE)-AVERAGE('The List'!AD2:AD730))/STDEV('The List'!AD2:AD730)</f>
        <v>-1.3678331551723246</v>
      </c>
      <c r="R617" s="38">
        <f>(VLOOKUP($A617,'The List'!$B1:$AH730,30,FALSE)-AVERAGE('The List'!AE2:AE730))/STDEV('The List'!AE2:AE730)</f>
        <v>-0.79141394898681428</v>
      </c>
      <c r="S617" s="38">
        <f>(VLOOKUP($A617,'The List'!$B1:$AH730,31,FALSE)-AVERAGE('The List'!AF2:AF730))/STDEV('The List'!AF2:AF730)</f>
        <v>2.9718984081157581E-2</v>
      </c>
      <c r="T617" s="38">
        <f>(VLOOKUP($A617,'The List'!$B1:$AH730,32,FALSE)-AVERAGE('The List'!AG2:AG730))/STDEV('The List'!AG2:AG730)</f>
        <v>5.1944055716989001E-3</v>
      </c>
      <c r="U617" s="38">
        <f>(VLOOKUP($A617,'The List'!$B1:$AH730,33,FALSE)-AVERAGE('The List'!AH2:AH730))/STDEV('The List'!AH2:AH730)</f>
        <v>1.0378580393874277</v>
      </c>
      <c r="V617" s="38"/>
      <c r="W617" s="40"/>
      <c r="X617" s="38"/>
      <c r="Y617" s="38"/>
      <c r="Z617" s="38"/>
      <c r="AA617" s="38"/>
      <c r="AB617" s="38"/>
      <c r="AC617" s="38"/>
      <c r="AD617" s="38"/>
      <c r="AE617" s="38"/>
    </row>
    <row r="618" spans="1:31" ht="21.2" customHeight="1">
      <c r="A618" s="8" t="s">
        <v>640</v>
      </c>
      <c r="B618" s="34" t="str">
        <f>VLOOKUP(A618,'Player Data'!A1:B734,2,FALSE)</f>
        <v>OTT</v>
      </c>
      <c r="C618" s="36">
        <f>((E618)*Settings!$C$12)+(F618*Settings!$C$2)+(G618*Settings!$C$3)+(H618*Settings!$C$4)+(I618*Settings!$C$5)+(K618*Settings!$C$9)+(N618*Settings!$C$6)+(J618*Settings!$C$8)+(O618*Settings!$C$7)+(P618*Settings!$C$14)+(Q618*Settings!$C$15)+(R618*Settings!$C$16)+(S618*Settings!$C$17)+(T618*Settings!$C$18)+(U618*Settings!$C$19)+(L618*Settings!$C$10)+(Settings!$C$11*M618)</f>
        <v>-4.8658027327979472</v>
      </c>
      <c r="D618" s="40">
        <f>IF(Settings!$E$12="YES",VLOOKUP(A618,'Player Data'!A1:E734,5,FALSE),82)</f>
        <v>82</v>
      </c>
      <c r="E618" s="38">
        <f>(VLOOKUP($A618,'The List'!$B1:$AH730,17,FALSE)-AVERAGE('The List'!R2:R730))/STDEV('The List'!R2:R730)</f>
        <v>-0.12338850548884177</v>
      </c>
      <c r="F618" s="38">
        <f>(VLOOKUP($A618,'The List'!$B1:$AH730,18,FALSE)-AVERAGE('The List'!S2:S730))/STDEV('The List'!S2:S730)</f>
        <v>-1.1300680481490226</v>
      </c>
      <c r="G618" s="38">
        <f>(VLOOKUP($A618,'The List'!$B1:$AH730,19,FALSE)-AVERAGE('The List'!T2:T730))/STDEV('The List'!T2:T730)</f>
        <v>-0.95262491901992929</v>
      </c>
      <c r="H618" s="38">
        <f>(VLOOKUP($A618,'The List'!$B1:$AH730,20,FALSE)-AVERAGE('The List'!U2:U730))/STDEV('The List'!U2:U730)</f>
        <v>-1.1107637537348947</v>
      </c>
      <c r="I618" s="38">
        <f>(VLOOKUP($A618,'The List'!$B1:$AH730,21,FALSE)-AVERAGE('The List'!V2:V730))/STDEV('The List'!V2:V730)</f>
        <v>-0.85965369154363747</v>
      </c>
      <c r="J618" s="38">
        <f>(VLOOKUP($A618,'The List'!$B1:$AH730,22,FALSE)-AVERAGE('The List'!W2:W730))/STDEV('The List'!W2:W730)</f>
        <v>-0.73150818719942134</v>
      </c>
      <c r="K618" s="38">
        <f>(VLOOKUP($A618,'The List'!$B1:$AH730,23,FALSE)-AVERAGE('The List'!X2:X730))/STDEV('The List'!X2:X730)</f>
        <v>-0.81269232035046335</v>
      </c>
      <c r="L618" s="38">
        <f>(VLOOKUP($A618,'The List'!$B1:$AH730,24,FALSE)-AVERAGE('The List'!Y2:Y730))/STDEV('The List'!Y2:Y730)</f>
        <v>-0.46494972804908213</v>
      </c>
      <c r="M618" s="38">
        <f>(VLOOKUP($A618,'The List'!$B1:$AH730,25,FALSE)-AVERAGE('The List'!Z2:Z730))/STDEV('The List'!Z2:Z730)</f>
        <v>-0.54575326721335071</v>
      </c>
      <c r="N618" s="38">
        <f>(VLOOKUP($A618,'The List'!$B1:$AH730,26,FALSE)-AVERAGE('The List'!AA2:AA730))/STDEV('The List'!AA2:AA730)</f>
        <v>0.73739233691404626</v>
      </c>
      <c r="O618" s="38">
        <f>(VLOOKUP($A618,'The List'!$B1:$AH730,27,FALSE)-AVERAGE('The List'!AB2:AB730))/STDEV('The List'!AB2:AB730)</f>
        <v>-1.0425873378552252E-2</v>
      </c>
      <c r="P618" s="38">
        <f>(VLOOKUP($A618,'The List'!$B1:$AH730,28,FALSE)-AVERAGE('The List'!AC2:AC730))/STDEV('The List'!AC2:AC730)</f>
        <v>-0.13930517255435623</v>
      </c>
      <c r="Q618" s="38">
        <f>(VLOOKUP($A618,'The List'!$B1:$AH730,29,FALSE)-AVERAGE('The List'!AD2:AD730))/STDEV('The List'!AD2:AD730)</f>
        <v>0.18372607052297124</v>
      </c>
      <c r="R618" s="38">
        <f>(VLOOKUP($A618,'The List'!$B1:$AH730,30,FALSE)-AVERAGE('The List'!AE2:AE730))/STDEV('The List'!AE2:AE730)</f>
        <v>-1.0166426417645342</v>
      </c>
      <c r="S618" s="38">
        <f>(VLOOKUP($A618,'The List'!$B1:$AH730,31,FALSE)-AVERAGE('The List'!AF2:AF730))/STDEV('The List'!AF2:AF730)</f>
        <v>-0.56911587195029545</v>
      </c>
      <c r="T618" s="38">
        <f>(VLOOKUP($A618,'The List'!$B1:$AH730,32,FALSE)-AVERAGE('The List'!AG2:AG730))/STDEV('The List'!AG2:AG730)</f>
        <v>-0.61510119871956948</v>
      </c>
      <c r="U618" s="38">
        <f>(VLOOKUP($A618,'The List'!$B1:$AH730,33,FALSE)-AVERAGE('The List'!AH2:AH730))/STDEV('The List'!AH2:AH730)</f>
        <v>-1.2363238714825984</v>
      </c>
      <c r="V618" s="38"/>
      <c r="W618" s="42"/>
      <c r="X618" s="40"/>
      <c r="Y618" s="40"/>
      <c r="Z618" s="40"/>
      <c r="AA618" s="40"/>
      <c r="AB618" s="40"/>
      <c r="AC618" s="43"/>
      <c r="AD618" s="44"/>
      <c r="AE618" s="38"/>
    </row>
    <row r="619" spans="1:31" ht="21.2" customHeight="1">
      <c r="A619" s="8" t="s">
        <v>525</v>
      </c>
      <c r="B619" s="34" t="str">
        <f>VLOOKUP(A619,'Player Data'!A1:B734,2,FALSE)</f>
        <v>CBJ</v>
      </c>
      <c r="C619" s="36">
        <f>((E619)*Settings!$C$12)+(F619*Settings!$C$2)+(G619*Settings!$C$3)+(H619*Settings!$C$4)+(I619*Settings!$C$5)+(K619*Settings!$C$9)+(N619*Settings!$C$6)+(J619*Settings!$C$8)+(O619*Settings!$C$7)+(P619*Settings!$C$14)+(Q619*Settings!$C$15)+(R619*Settings!$C$16)+(S619*Settings!$C$17)+(T619*Settings!$C$18)+(U619*Settings!$C$19)+(L619*Settings!$C$10)+(Settings!$C$11*M619)</f>
        <v>-4.6374242101236662</v>
      </c>
      <c r="D619" s="40">
        <f>IF(Settings!$E$12="YES",VLOOKUP(A619,'Player Data'!A1:E734,5,FALSE),82)</f>
        <v>82</v>
      </c>
      <c r="E619" s="38">
        <f>(VLOOKUP($A619,'The List'!$B1:$AH730,17,FALSE)-AVERAGE('The List'!R2:R730))/STDEV('The List'!R2:R730)</f>
        <v>0.26507871806630146</v>
      </c>
      <c r="F619" s="38">
        <f>(VLOOKUP($A619,'The List'!$B1:$AH730,18,FALSE)-AVERAGE('The List'!S2:S730))/STDEV('The List'!S2:S730)</f>
        <v>-1.0834342163684654</v>
      </c>
      <c r="G619" s="38">
        <f>(VLOOKUP($A619,'The List'!$B1:$AH730,19,FALSE)-AVERAGE('The List'!T2:T730))/STDEV('The List'!T2:T730)</f>
        <v>-0.98865361582196631</v>
      </c>
      <c r="H619" s="38">
        <f>(VLOOKUP($A619,'The List'!$B1:$AH730,20,FALSE)-AVERAGE('The List'!U2:U730))/STDEV('The List'!U2:U730)</f>
        <v>-1.1112259900031538</v>
      </c>
      <c r="I619" s="38">
        <f>(VLOOKUP($A619,'The List'!$B1:$AH730,21,FALSE)-AVERAGE('The List'!V2:V730))/STDEV('The List'!V2:V730)</f>
        <v>-0.64212961326946416</v>
      </c>
      <c r="J619" s="38">
        <f>(VLOOKUP($A619,'The List'!$B1:$AH730,22,FALSE)-AVERAGE('The List'!W2:W730))/STDEV('The List'!W2:W730)</f>
        <v>-0.73177794237061988</v>
      </c>
      <c r="K619" s="38">
        <f>(VLOOKUP($A619,'The List'!$B1:$AH730,23,FALSE)-AVERAGE('The List'!X2:X730))/STDEV('The List'!X2:X730)</f>
        <v>-0.81198077466061636</v>
      </c>
      <c r="L619" s="38">
        <f>(VLOOKUP($A619,'The List'!$B1:$AH730,24,FALSE)-AVERAGE('The List'!Y2:Y730))/STDEV('The List'!Y2:Y730)</f>
        <v>-0.55539715714999982</v>
      </c>
      <c r="M619" s="38">
        <f>(VLOOKUP($A619,'The List'!$B1:$AH730,25,FALSE)-AVERAGE('The List'!Z2:Z730))/STDEV('The List'!Z2:Z730)</f>
        <v>-0.74002934538822007</v>
      </c>
      <c r="N619" s="38">
        <f>(VLOOKUP($A619,'The List'!$B1:$AH730,26,FALSE)-AVERAGE('The List'!AA2:AA730))/STDEV('The List'!AA2:AA730)</f>
        <v>1.3338372249440862</v>
      </c>
      <c r="O619" s="38">
        <f>(VLOOKUP($A619,'The List'!$B1:$AH730,27,FALSE)-AVERAGE('The List'!AB2:AB730))/STDEV('The List'!AB2:AB730)</f>
        <v>0.41790332819318704</v>
      </c>
      <c r="P619" s="38">
        <f>(VLOOKUP($A619,'The List'!$B1:$AH730,28,FALSE)-AVERAGE('The List'!AC2:AC730))/STDEV('The List'!AC2:AC730)</f>
        <v>-1.6617999217505233</v>
      </c>
      <c r="Q619" s="38">
        <f>(VLOOKUP($A619,'The List'!$B1:$AH730,29,FALSE)-AVERAGE('The List'!AD2:AD730))/STDEV('The List'!AD2:AD730)</f>
        <v>1.7093281607773188</v>
      </c>
      <c r="R619" s="38">
        <f>(VLOOKUP($A619,'The List'!$B1:$AH730,30,FALSE)-AVERAGE('The List'!AE2:AE730))/STDEV('The List'!AE2:AE730)</f>
        <v>-1.0516390745448199</v>
      </c>
      <c r="S619" s="38">
        <f>(VLOOKUP($A619,'The List'!$B1:$AH730,31,FALSE)-AVERAGE('The List'!AF2:AF730))/STDEV('The List'!AF2:AF730)</f>
        <v>-0.56911587195029545</v>
      </c>
      <c r="T619" s="38">
        <f>(VLOOKUP($A619,'The List'!$B1:$AH730,32,FALSE)-AVERAGE('The List'!AG2:AG730))/STDEV('The List'!AG2:AG730)</f>
        <v>-0.61510119871956948</v>
      </c>
      <c r="U619" s="38">
        <f>(VLOOKUP($A619,'The List'!$B1:$AH730,33,FALSE)-AVERAGE('The List'!AH2:AH730))/STDEV('The List'!AH2:AH730)</f>
        <v>-1.2363238714825984</v>
      </c>
      <c r="V619" s="38"/>
      <c r="W619" s="42"/>
      <c r="X619" s="40"/>
      <c r="Y619" s="40"/>
      <c r="Z619" s="40"/>
      <c r="AA619" s="40"/>
      <c r="AB619" s="40"/>
      <c r="AC619" s="43"/>
      <c r="AD619" s="44"/>
      <c r="AE619" s="38"/>
    </row>
    <row r="620" spans="1:31" ht="21.2" customHeight="1">
      <c r="A620" s="8" t="s">
        <v>575</v>
      </c>
      <c r="B620" s="34" t="str">
        <f>VLOOKUP(A620,'Player Data'!A1:B734,2,FALSE)</f>
        <v>PHI</v>
      </c>
      <c r="C620" s="36">
        <f>((E620)*Settings!$C$12)+(F620*Settings!$C$2)+(G620*Settings!$C$3)+(H620*Settings!$C$4)+(I620*Settings!$C$5)+(K620*Settings!$C$9)+(N620*Settings!$C$6)+(J620*Settings!$C$8)+(O620*Settings!$C$7)+(P620*Settings!$C$14)+(Q620*Settings!$C$15)+(R620*Settings!$C$16)+(S620*Settings!$C$17)+(T620*Settings!$C$18)+(U620*Settings!$C$19)+(L620*Settings!$C$10)+(Settings!$C$11*M620)</f>
        <v>-5.2844541896762234</v>
      </c>
      <c r="D620" s="40">
        <f>IF(Settings!$E$12="YES",VLOOKUP(A620,'Player Data'!A1:E734,5,FALSE),82)</f>
        <v>82</v>
      </c>
      <c r="E620" s="38">
        <f>(VLOOKUP($A620,'The List'!$B1:$AH730,17,FALSE)-AVERAGE('The List'!R2:R730))/STDEV('The List'!R2:R730)</f>
        <v>-2.9595013763569589E-2</v>
      </c>
      <c r="F620" s="38">
        <f>(VLOOKUP($A620,'The List'!$B1:$AH730,18,FALSE)-AVERAGE('The List'!S2:S730))/STDEV('The List'!S2:S730)</f>
        <v>-1.1187531601249538</v>
      </c>
      <c r="G620" s="38">
        <f>(VLOOKUP($A620,'The List'!$B1:$AH730,19,FALSE)-AVERAGE('The List'!T2:T730))/STDEV('The List'!T2:T730)</f>
        <v>-0.96424767573185466</v>
      </c>
      <c r="H620" s="38">
        <f>(VLOOKUP($A620,'The List'!$B1:$AH730,20,FALSE)-AVERAGE('The List'!U2:U730))/STDEV('The List'!U2:U730)</f>
        <v>-1.1126464075692724</v>
      </c>
      <c r="I620" s="38">
        <f>(VLOOKUP($A620,'The List'!$B1:$AH730,21,FALSE)-AVERAGE('The List'!V2:V730))/STDEV('The List'!V2:V730)</f>
        <v>-1.2767538708179218</v>
      </c>
      <c r="J620" s="38">
        <f>(VLOOKUP($A620,'The List'!$B1:$AH730,22,FALSE)-AVERAGE('The List'!W2:W730))/STDEV('The List'!W2:W730)</f>
        <v>-0.73224046085439598</v>
      </c>
      <c r="K620" s="38">
        <f>(VLOOKUP($A620,'The List'!$B1:$AH730,23,FALSE)-AVERAGE('The List'!X2:X730))/STDEV('The List'!X2:X730)</f>
        <v>-0.81205307543222138</v>
      </c>
      <c r="L620" s="38">
        <f>(VLOOKUP($A620,'The List'!$B1:$AH730,24,FALSE)-AVERAGE('The List'!Y2:Y730))/STDEV('The List'!Y2:Y730)</f>
        <v>-0.61594101424175152</v>
      </c>
      <c r="M620" s="38">
        <f>(VLOOKUP($A620,'The List'!$B1:$AH730,25,FALSE)-AVERAGE('The List'!Z2:Z730))/STDEV('The List'!Z2:Z730)</f>
        <v>-0.99330470154419537</v>
      </c>
      <c r="N620" s="38">
        <f>(VLOOKUP($A620,'The List'!$B1:$AH730,26,FALSE)-AVERAGE('The List'!AA2:AA730))/STDEV('The List'!AA2:AA730)</f>
        <v>0.98551715330184986</v>
      </c>
      <c r="O620" s="38">
        <f>(VLOOKUP($A620,'The List'!$B1:$AH730,27,FALSE)-AVERAGE('The List'!AB2:AB730))/STDEV('The List'!AB2:AB730)</f>
        <v>0.56346270101655915</v>
      </c>
      <c r="P620" s="38">
        <f>(VLOOKUP($A620,'The List'!$B1:$AH730,28,FALSE)-AVERAGE('The List'!AC2:AC730))/STDEV('The List'!AC2:AC730)</f>
        <v>-1.2997739294547108</v>
      </c>
      <c r="Q620" s="38">
        <f>(VLOOKUP($A620,'The List'!$B1:$AH730,29,FALSE)-AVERAGE('The List'!AD2:AD730))/STDEV('The List'!AD2:AD730)</f>
        <v>-0.27314380731071436</v>
      </c>
      <c r="R620" s="38">
        <f>(VLOOKUP($A620,'The List'!$B1:$AH730,30,FALSE)-AVERAGE('The List'!AE2:AE730))/STDEV('The List'!AE2:AE730)</f>
        <v>-1.0592891664197923</v>
      </c>
      <c r="S620" s="38">
        <f>(VLOOKUP($A620,'The List'!$B1:$AH730,31,FALSE)-AVERAGE('The List'!AF2:AF730))/STDEV('The List'!AF2:AF730)</f>
        <v>-0.56911587195029545</v>
      </c>
      <c r="T620" s="38">
        <f>(VLOOKUP($A620,'The List'!$B1:$AH730,32,FALSE)-AVERAGE('The List'!AG2:AG730))/STDEV('The List'!AG2:AG730)</f>
        <v>-0.61510119871956948</v>
      </c>
      <c r="U620" s="38">
        <f>(VLOOKUP($A620,'The List'!$B1:$AH730,33,FALSE)-AVERAGE('The List'!AH2:AH730))/STDEV('The List'!AH2:AH730)</f>
        <v>-1.2363238714825984</v>
      </c>
      <c r="V620" s="38"/>
      <c r="W620" s="42"/>
      <c r="X620" s="40"/>
      <c r="Y620" s="40"/>
      <c r="Z620" s="40"/>
      <c r="AA620" s="40"/>
      <c r="AB620" s="40"/>
      <c r="AC620" s="43"/>
      <c r="AD620" s="44"/>
      <c r="AE620" s="38"/>
    </row>
    <row r="621" spans="1:31" ht="21.2" customHeight="1">
      <c r="A621" s="8" t="s">
        <v>560</v>
      </c>
      <c r="B621" s="34" t="str">
        <f>VLOOKUP(A621,'Player Data'!A1:B734,2,FALSE)</f>
        <v>NSH</v>
      </c>
      <c r="C621" s="36">
        <f>((E621)*Settings!$C$12)+(F621*Settings!$C$2)+(G621*Settings!$C$3)+(H621*Settings!$C$4)+(I621*Settings!$C$5)+(K621*Settings!$C$9)+(N621*Settings!$C$6)+(J621*Settings!$C$8)+(O621*Settings!$C$7)+(P621*Settings!$C$14)+(Q621*Settings!$C$15)+(R621*Settings!$C$16)+(S621*Settings!$C$17)+(T621*Settings!$C$18)+(U621*Settings!$C$19)+(L621*Settings!$C$10)+(Settings!$C$11*M621)</f>
        <v>-4.8930595232832808</v>
      </c>
      <c r="D621" s="40">
        <f>IF(Settings!$E$12="YES",VLOOKUP(A621,'Player Data'!A1:E734,5,FALSE),82)</f>
        <v>82</v>
      </c>
      <c r="E621" s="38">
        <f>(VLOOKUP($A621,'The List'!$B1:$AH730,17,FALSE)-AVERAGE('The List'!R2:R730))/STDEV('The List'!R2:R730)</f>
        <v>-7.929323247777377E-2</v>
      </c>
      <c r="F621" s="38">
        <f>(VLOOKUP($A621,'The List'!$B1:$AH730,18,FALSE)-AVERAGE('The List'!S2:S730))/STDEV('The List'!S2:S730)</f>
        <v>-1.0728084001578591</v>
      </c>
      <c r="G621" s="38">
        <f>(VLOOKUP($A621,'The List'!$B1:$AH730,19,FALSE)-AVERAGE('The List'!T2:T730))/STDEV('The List'!T2:T730)</f>
        <v>-1.0029471951041216</v>
      </c>
      <c r="H621" s="38">
        <f>(VLOOKUP($A621,'The List'!$B1:$AH730,20,FALSE)-AVERAGE('The List'!U2:U730))/STDEV('The List'!U2:U730)</f>
        <v>-1.1150703003390385</v>
      </c>
      <c r="I621" s="38">
        <f>(VLOOKUP($A621,'The List'!$B1:$AH730,21,FALSE)-AVERAGE('The List'!V2:V730))/STDEV('The List'!V2:V730)</f>
        <v>-0.88946695880640969</v>
      </c>
      <c r="J621" s="38">
        <f>(VLOOKUP($A621,'The List'!$B1:$AH730,22,FALSE)-AVERAGE('The List'!W2:W730))/STDEV('The List'!W2:W730)</f>
        <v>-0.73166174531695882</v>
      </c>
      <c r="K621" s="38">
        <f>(VLOOKUP($A621,'The List'!$B1:$AH730,23,FALSE)-AVERAGE('The List'!X2:X730))/STDEV('The List'!X2:X730)</f>
        <v>-0.81276666887585158</v>
      </c>
      <c r="L621" s="38">
        <f>(VLOOKUP($A621,'The List'!$B1:$AH730,24,FALSE)-AVERAGE('The List'!Y2:Y730))/STDEV('The List'!Y2:Y730)</f>
        <v>-0.47576400551559078</v>
      </c>
      <c r="M621" s="38">
        <f>(VLOOKUP($A621,'The List'!$B1:$AH730,25,FALSE)-AVERAGE('The List'!Z2:Z730))/STDEV('The List'!Z2:Z730)</f>
        <v>1.4858071584484697E-2</v>
      </c>
      <c r="N621" s="38">
        <f>(VLOOKUP($A621,'The List'!$B1:$AH730,26,FALSE)-AVERAGE('The List'!AA2:AA730))/STDEV('The List'!AA2:AA730)</f>
        <v>0.50119258727697558</v>
      </c>
      <c r="O621" s="38">
        <f>(VLOOKUP($A621,'The List'!$B1:$AH730,27,FALSE)-AVERAGE('The List'!AB2:AB730))/STDEV('The List'!AB2:AB730)</f>
        <v>2.6398732561343667</v>
      </c>
      <c r="P621" s="38">
        <f>(VLOOKUP($A621,'The List'!$B1:$AH730,28,FALSE)-AVERAGE('The List'!AC2:AC730))/STDEV('The List'!AC2:AC730)</f>
        <v>-0.76116178395996292</v>
      </c>
      <c r="Q621" s="38">
        <f>(VLOOKUP($A621,'The List'!$B1:$AH730,29,FALSE)-AVERAGE('The List'!AD2:AD730))/STDEV('The List'!AD2:AD730)</f>
        <v>2.1218405050415696</v>
      </c>
      <c r="R621" s="38">
        <f>(VLOOKUP($A621,'The List'!$B1:$AH730,30,FALSE)-AVERAGE('The List'!AE2:AE730))/STDEV('The List'!AE2:AE730)</f>
        <v>-0.96900318210985459</v>
      </c>
      <c r="S621" s="38">
        <f>(VLOOKUP($A621,'The List'!$B1:$AH730,31,FALSE)-AVERAGE('The List'!AF2:AF730))/STDEV('The List'!AF2:AF730)</f>
        <v>-0.56911587195029545</v>
      </c>
      <c r="T621" s="38">
        <f>(VLOOKUP($A621,'The List'!$B1:$AH730,32,FALSE)-AVERAGE('The List'!AG2:AG730))/STDEV('The List'!AG2:AG730)</f>
        <v>-0.61510119871956948</v>
      </c>
      <c r="U621" s="38">
        <f>(VLOOKUP($A621,'The List'!$B1:$AH730,33,FALSE)-AVERAGE('The List'!AH2:AH730))/STDEV('The List'!AH2:AH730)</f>
        <v>-1.2363238714825984</v>
      </c>
      <c r="V621" s="38"/>
      <c r="W621" s="42"/>
      <c r="X621" s="40"/>
      <c r="Y621" s="40"/>
      <c r="Z621" s="40"/>
      <c r="AA621" s="40"/>
      <c r="AB621" s="40"/>
      <c r="AC621" s="43"/>
      <c r="AD621" s="44"/>
      <c r="AE621" s="38"/>
    </row>
    <row r="622" spans="1:31" ht="21.2" customHeight="1">
      <c r="A622" s="8" t="s">
        <v>587</v>
      </c>
      <c r="B622" s="34" t="str">
        <f>VLOOKUP(A622,'Player Data'!A1:B734,2,FALSE)</f>
        <v>CGY</v>
      </c>
      <c r="C622" s="36">
        <f>((E622)*Settings!$C$12)+(F622*Settings!$C$2)+(G622*Settings!$C$3)+(H622*Settings!$C$4)+(I622*Settings!$C$5)+(K622*Settings!$C$9)+(N622*Settings!$C$6)+(J622*Settings!$C$8)+(O622*Settings!$C$7)+(P622*Settings!$C$14)+(Q622*Settings!$C$15)+(R622*Settings!$C$16)+(S622*Settings!$C$17)+(T622*Settings!$C$18)+(U622*Settings!$C$19)+(L622*Settings!$C$10)+(Settings!$C$11*M622)</f>
        <v>-5.0556467191153436</v>
      </c>
      <c r="D622" s="40">
        <f>IF(Settings!$E$12="YES",VLOOKUP(A622,'Player Data'!A1:E734,5,FALSE),82)</f>
        <v>82</v>
      </c>
      <c r="E622" s="38">
        <f>(VLOOKUP($A622,'The List'!$B1:$AH730,17,FALSE)-AVERAGE('The List'!R2:R730))/STDEV('The List'!R2:R730)</f>
        <v>-0.47479815170414019</v>
      </c>
      <c r="F622" s="38">
        <f>(VLOOKUP($A622,'The List'!$B1:$AH730,18,FALSE)-AVERAGE('The List'!S2:S730))/STDEV('The List'!S2:S730)</f>
        <v>-1.1242524597959054</v>
      </c>
      <c r="G622" s="38">
        <f>(VLOOKUP($A622,'The List'!$B1:$AH730,19,FALSE)-AVERAGE('The List'!T2:T730))/STDEV('The List'!T2:T730)</f>
        <v>-0.96436798538701074</v>
      </c>
      <c r="H622" s="38">
        <f>(VLOOKUP($A622,'The List'!$B1:$AH730,20,FALSE)-AVERAGE('The List'!U2:U730))/STDEV('The List'!U2:U730)</f>
        <v>-1.1152768192185281</v>
      </c>
      <c r="I622" s="38">
        <f>(VLOOKUP($A622,'The List'!$B1:$AH730,21,FALSE)-AVERAGE('The List'!V2:V730))/STDEV('The List'!V2:V730)</f>
        <v>-1.037944181090235</v>
      </c>
      <c r="J622" s="38">
        <f>(VLOOKUP($A622,'The List'!$B1:$AH730,22,FALSE)-AVERAGE('The List'!W2:W730))/STDEV('The List'!W2:W730)</f>
        <v>-0.73477562563050791</v>
      </c>
      <c r="K622" s="38">
        <f>(VLOOKUP($A622,'The List'!$B1:$AH730,23,FALSE)-AVERAGE('The List'!X2:X730))/STDEV('The List'!X2:X730)</f>
        <v>-0.81380527362366473</v>
      </c>
      <c r="L622" s="38">
        <f>(VLOOKUP($A622,'The List'!$B1:$AH730,24,FALSE)-AVERAGE('The List'!Y2:Y730))/STDEV('The List'!Y2:Y730)</f>
        <v>-0.51367918118173739</v>
      </c>
      <c r="M622" s="38">
        <f>(VLOOKUP($A622,'The List'!$B1:$AH730,25,FALSE)-AVERAGE('The List'!Z2:Z730))/STDEV('The List'!Z2:Z730)</f>
        <v>-0.6774569986048955</v>
      </c>
      <c r="N622" s="38">
        <f>(VLOOKUP($A622,'The List'!$B1:$AH730,26,FALSE)-AVERAGE('The List'!AA2:AA730))/STDEV('The List'!AA2:AA730)</f>
        <v>0.62011392962120226</v>
      </c>
      <c r="O622" s="38">
        <f>(VLOOKUP($A622,'The List'!$B1:$AH730,27,FALSE)-AVERAGE('The List'!AB2:AB730))/STDEV('The List'!AB2:AB730)</f>
        <v>-0.50243154270012924</v>
      </c>
      <c r="P622" s="38">
        <f>(VLOOKUP($A622,'The List'!$B1:$AH730,28,FALSE)-AVERAGE('The List'!AC2:AC730))/STDEV('The List'!AC2:AC730)</f>
        <v>2.7465583839396102E-3</v>
      </c>
      <c r="Q622" s="38">
        <f>(VLOOKUP($A622,'The List'!$B1:$AH730,29,FALSE)-AVERAGE('The List'!AD2:AD730))/STDEV('The List'!AD2:AD730)</f>
        <v>-0.90223904737083505</v>
      </c>
      <c r="R622" s="38">
        <f>(VLOOKUP($A622,'The List'!$B1:$AH730,30,FALSE)-AVERAGE('The List'!AE2:AE730))/STDEV('The List'!AE2:AE730)</f>
        <v>-0.98420384218717127</v>
      </c>
      <c r="S622" s="38">
        <f>(VLOOKUP($A622,'The List'!$B1:$AH730,31,FALSE)-AVERAGE('The List'!AF2:AF730))/STDEV('The List'!AF2:AF730)</f>
        <v>-0.56887876248386071</v>
      </c>
      <c r="T622" s="38">
        <f>(VLOOKUP($A622,'The List'!$B1:$AH730,32,FALSE)-AVERAGE('The List'!AG2:AG730))/STDEV('The List'!AG2:AG730)</f>
        <v>-0.61427776749289364</v>
      </c>
      <c r="U622" s="38">
        <f>(VLOOKUP($A622,'The List'!$B1:$AH730,33,FALSE)-AVERAGE('The List'!AH2:AH730))/STDEV('The List'!AH2:AH730)</f>
        <v>-0.18733738930311603</v>
      </c>
      <c r="V622" s="38"/>
      <c r="W622" s="42"/>
      <c r="X622" s="40"/>
      <c r="Y622" s="40"/>
      <c r="Z622" s="40"/>
      <c r="AA622" s="40"/>
      <c r="AB622" s="40"/>
      <c r="AC622" s="43"/>
      <c r="AD622" s="44"/>
      <c r="AE622" s="38"/>
    </row>
    <row r="623" spans="1:31" ht="21.2" customHeight="1">
      <c r="A623" s="8" t="s">
        <v>749</v>
      </c>
      <c r="B623" s="34" t="str">
        <f>VLOOKUP(A623,'Player Data'!A1:B734,2,FALSE)</f>
        <v>OTT</v>
      </c>
      <c r="C623" s="36">
        <f>((E623)*Settings!$C$12)+(F623*Settings!$C$2)+(G623*Settings!$C$3)+(H623*Settings!$C$4)+(I623*Settings!$C$5)+(K623*Settings!$C$9)+(N623*Settings!$C$6)+(J623*Settings!$C$8)+(O623*Settings!$C$7)+(P623*Settings!$C$14)+(Q623*Settings!$C$15)+(R623*Settings!$C$16)+(S623*Settings!$C$17)+(T623*Settings!$C$18)+(U623*Settings!$C$19)+(L623*Settings!$C$10)+(Settings!$C$11*M623)</f>
        <v>-4.744890179862546</v>
      </c>
      <c r="D623" s="40">
        <f>IF(Settings!$E$12="YES",VLOOKUP(A623,'Player Data'!A1:E734,5,FALSE),82)</f>
        <v>82</v>
      </c>
      <c r="E623" s="38">
        <f>(VLOOKUP($A623,'The List'!$B1:$AH730,17,FALSE)-AVERAGE('The List'!R2:R730))/STDEV('The List'!R2:R730)</f>
        <v>-1.5917532130503644</v>
      </c>
      <c r="F623" s="38">
        <f>(VLOOKUP($A623,'The List'!$B1:$AH730,18,FALSE)-AVERAGE('The List'!S2:S730))/STDEV('The List'!S2:S730)</f>
        <v>-0.86216925099018438</v>
      </c>
      <c r="G623" s="38">
        <f>(VLOOKUP($A623,'The List'!$B1:$AH730,19,FALSE)-AVERAGE('The List'!T2:T730))/STDEV('The List'!T2:T730)</f>
        <v>-1.1740373259444306</v>
      </c>
      <c r="H623" s="38">
        <f>(VLOOKUP($A623,'The List'!$B1:$AH730,20,FALSE)-AVERAGE('The List'!U2:U730))/STDEV('The List'!U2:U730)</f>
        <v>-1.1222914360942589</v>
      </c>
      <c r="I623" s="38">
        <f>(VLOOKUP($A623,'The List'!$B1:$AH730,21,FALSE)-AVERAGE('The List'!V2:V730))/STDEV('The List'!V2:V730)</f>
        <v>-0.77124755313296534</v>
      </c>
      <c r="J623" s="38">
        <f>(VLOOKUP($A623,'The List'!$B1:$AH730,22,FALSE)-AVERAGE('The List'!W2:W730))/STDEV('The List'!W2:W730)</f>
        <v>-0.72548390192336842</v>
      </c>
      <c r="K623" s="38">
        <f>(VLOOKUP($A623,'The List'!$B1:$AH730,23,FALSE)-AVERAGE('The List'!X2:X730))/STDEV('The List'!X2:X730)</f>
        <v>-0.81514461370070679</v>
      </c>
      <c r="L623" s="38">
        <f>(VLOOKUP($A623,'The List'!$B1:$AH730,24,FALSE)-AVERAGE('The List'!Y2:Y730))/STDEV('The List'!Y2:Y730)</f>
        <v>-0.50304188272989481</v>
      </c>
      <c r="M623" s="38">
        <f>(VLOOKUP($A623,'The List'!$B1:$AH730,25,FALSE)-AVERAGE('The List'!Z2:Z730))/STDEV('The List'!Z2:Z730)</f>
        <v>-0.67822163624283105</v>
      </c>
      <c r="N623" s="38">
        <f>(VLOOKUP($A623,'The List'!$B1:$AH730,26,FALSE)-AVERAGE('The List'!AA2:AA730))/STDEV('The List'!AA2:AA730)</f>
        <v>-0.66999884489345518</v>
      </c>
      <c r="O623" s="38">
        <f>(VLOOKUP($A623,'The List'!$B1:$AH730,27,FALSE)-AVERAGE('The List'!AB2:AB730))/STDEV('The List'!AB2:AB730)</f>
        <v>1.7050723666727459</v>
      </c>
      <c r="P623" s="38">
        <f>(VLOOKUP($A623,'The List'!$B1:$AH730,28,FALSE)-AVERAGE('The List'!AC2:AC730))/STDEV('The List'!AC2:AC730)</f>
        <v>-0.12045558101019284</v>
      </c>
      <c r="Q623" s="38">
        <f>(VLOOKUP($A623,'The List'!$B1:$AH730,29,FALSE)-AVERAGE('The List'!AD2:AD730))/STDEV('The List'!AD2:AD730)</f>
        <v>3.1439574114106446</v>
      </c>
      <c r="R623" s="38">
        <f>(VLOOKUP($A623,'The List'!$B1:$AH730,30,FALSE)-AVERAGE('The List'!AE2:AE730))/STDEV('The List'!AE2:AE730)</f>
        <v>-0.75427901089573279</v>
      </c>
      <c r="S623" s="38">
        <f>(VLOOKUP($A623,'The List'!$B1:$AH730,31,FALSE)-AVERAGE('The List'!AF2:AF730))/STDEV('The List'!AF2:AF730)</f>
        <v>-0.48128081932043293</v>
      </c>
      <c r="T623" s="38">
        <f>(VLOOKUP($A623,'The List'!$B1:$AH730,32,FALSE)-AVERAGE('The List'!AG2:AG730))/STDEV('The List'!AG2:AG730)</f>
        <v>-0.51895323024205509</v>
      </c>
      <c r="U623" s="38">
        <f>(VLOOKUP($A623,'The List'!$B1:$AH730,33,FALSE)-AVERAGE('The List'!AH2:AH730))/STDEV('The List'!AH2:AH730)</f>
        <v>0.97551958667748118</v>
      </c>
      <c r="V623" s="38"/>
      <c r="W623" s="42"/>
      <c r="X623" s="40"/>
      <c r="Y623" s="40"/>
      <c r="Z623" s="40"/>
      <c r="AA623" s="40"/>
      <c r="AB623" s="40"/>
      <c r="AC623" s="43"/>
      <c r="AD623" s="44"/>
      <c r="AE623" s="38"/>
    </row>
    <row r="624" spans="1:31" ht="21.2" customHeight="1">
      <c r="A624" s="8" t="s">
        <v>813</v>
      </c>
      <c r="B624" s="34" t="str">
        <f>VLOOKUP(A624,'Player Data'!A1:B734,2,FALSE)</f>
        <v>COL</v>
      </c>
      <c r="C624" s="36">
        <f>((E624)*Settings!$C$12)+(F624*Settings!$C$2)+(G624*Settings!$C$3)+(H624*Settings!$C$4)+(I624*Settings!$C$5)+(K624*Settings!$C$9)+(N624*Settings!$C$6)+(J624*Settings!$C$8)+(O624*Settings!$C$7)+(P624*Settings!$C$14)+(Q624*Settings!$C$15)+(R624*Settings!$C$16)+(S624*Settings!$C$17)+(T624*Settings!$C$18)+(U624*Settings!$C$19)+(L624*Settings!$C$10)+(Settings!$C$11*M624)</f>
        <v>-5.0374279662402941</v>
      </c>
      <c r="D624" s="40">
        <f>IF(Settings!$E$12="YES",VLOOKUP(A624,'Player Data'!A1:E734,5,FALSE),82)</f>
        <v>82</v>
      </c>
      <c r="E624" s="38">
        <f>(VLOOKUP($A624,'The List'!$B1:$AH730,17,FALSE)-AVERAGE('The List'!R2:R730))/STDEV('The List'!R2:R730)</f>
        <v>-1.8978949871086956</v>
      </c>
      <c r="F624" s="38">
        <f>(VLOOKUP($A624,'The List'!$B1:$AH730,18,FALSE)-AVERAGE('The List'!S2:S730))/STDEV('The List'!S2:S730)</f>
        <v>-0.53957791952319112</v>
      </c>
      <c r="G624" s="38">
        <f>(VLOOKUP($A624,'The List'!$B1:$AH730,19,FALSE)-AVERAGE('The List'!T2:T730))/STDEV('The List'!T2:T730)</f>
        <v>-1.4191860876736291</v>
      </c>
      <c r="H624" s="38">
        <f>(VLOOKUP($A624,'The List'!$B1:$AH730,20,FALSE)-AVERAGE('The List'!U2:U730))/STDEV('The List'!U2:U730)</f>
        <v>-1.1229809527718719</v>
      </c>
      <c r="I624" s="38">
        <f>(VLOOKUP($A624,'The List'!$B1:$AH730,21,FALSE)-AVERAGE('The List'!V2:V730))/STDEV('The List'!V2:V730)</f>
        <v>-1.1447852259182709</v>
      </c>
      <c r="J624" s="38">
        <f>(VLOOKUP($A624,'The List'!$B1:$AH730,22,FALSE)-AVERAGE('The List'!W2:W730))/STDEV('The List'!W2:W730)</f>
        <v>-0.72049232186769374</v>
      </c>
      <c r="K624" s="38">
        <f>(VLOOKUP($A624,'The List'!$B1:$AH730,23,FALSE)-AVERAGE('The List'!X2:X730))/STDEV('The List'!X2:X730)</f>
        <v>-0.81089778035333104</v>
      </c>
      <c r="L624" s="38">
        <f>(VLOOKUP($A624,'The List'!$B1:$AH730,24,FALSE)-AVERAGE('The List'!Y2:Y730))/STDEV('The List'!Y2:Y730)</f>
        <v>-0.51174660011168871</v>
      </c>
      <c r="M624" s="38">
        <f>(VLOOKUP($A624,'The List'!$B1:$AH730,25,FALSE)-AVERAGE('The List'!Z2:Z730))/STDEV('The List'!Z2:Z730)</f>
        <v>-0.68810190215094447</v>
      </c>
      <c r="N624" s="38">
        <f>(VLOOKUP($A624,'The List'!$B1:$AH730,26,FALSE)-AVERAGE('The List'!AA2:AA730))/STDEV('The List'!AA2:AA730)</f>
        <v>-0.90035156339025046</v>
      </c>
      <c r="O624" s="38">
        <f>(VLOOKUP($A624,'The List'!$B1:$AH730,27,FALSE)-AVERAGE('The List'!AB2:AB730))/STDEV('The List'!AB2:AB730)</f>
        <v>-0.54623941392814401</v>
      </c>
      <c r="P624" s="38">
        <f>(VLOOKUP($A624,'The List'!$B1:$AH730,28,FALSE)-AVERAGE('The List'!AC2:AC730))/STDEV('The List'!AC2:AC730)</f>
        <v>0.70548691497688409</v>
      </c>
      <c r="Q624" s="38">
        <f>(VLOOKUP($A624,'The List'!$B1:$AH730,29,FALSE)-AVERAGE('The List'!AD2:AD730))/STDEV('The List'!AD2:AD730)</f>
        <v>-1.2247251318405765</v>
      </c>
      <c r="R624" s="38">
        <f>(VLOOKUP($A624,'The List'!$B1:$AH730,30,FALSE)-AVERAGE('The List'!AE2:AE730))/STDEV('The List'!AE2:AE730)</f>
        <v>-0.39601499857568295</v>
      </c>
      <c r="S624" s="38">
        <f>(VLOOKUP($A624,'The List'!$B1:$AH730,31,FALSE)-AVERAGE('The List'!AF2:AF730))/STDEV('The List'!AF2:AF730)</f>
        <v>0.350217206429565</v>
      </c>
      <c r="T624" s="38">
        <f>(VLOOKUP($A624,'The List'!$B1:$AH730,32,FALSE)-AVERAGE('The List'!AG2:AG730))/STDEV('The List'!AG2:AG730)</f>
        <v>0.3207073744354807</v>
      </c>
      <c r="U624" s="38">
        <f>(VLOOKUP($A624,'The List'!$B1:$AH730,33,FALSE)-AVERAGE('The List'!AH2:AH730))/STDEV('The List'!AH2:AH730)</f>
        <v>1.0575554481441376</v>
      </c>
      <c r="V624" s="38"/>
      <c r="W624" s="40"/>
      <c r="X624" s="38"/>
      <c r="Y624" s="38"/>
      <c r="Z624" s="38"/>
      <c r="AA624" s="38"/>
      <c r="AB624" s="38"/>
      <c r="AC624" s="38"/>
      <c r="AD624" s="38"/>
      <c r="AE624" s="38"/>
    </row>
    <row r="625" spans="1:31" ht="21.2" customHeight="1">
      <c r="A625" s="8" t="s">
        <v>647</v>
      </c>
      <c r="B625" s="34" t="str">
        <f>VLOOKUP(A625,'Player Data'!A1:B734,2,FALSE)</f>
        <v>EDM</v>
      </c>
      <c r="C625" s="36">
        <f>((E625)*Settings!$C$12)+(F625*Settings!$C$2)+(G625*Settings!$C$3)+(H625*Settings!$C$4)+(I625*Settings!$C$5)+(K625*Settings!$C$9)+(N625*Settings!$C$6)+(J625*Settings!$C$8)+(O625*Settings!$C$7)+(P625*Settings!$C$14)+(Q625*Settings!$C$15)+(R625*Settings!$C$16)+(S625*Settings!$C$17)+(T625*Settings!$C$18)+(U625*Settings!$C$19)+(L625*Settings!$C$10)+(Settings!$C$11*M625)</f>
        <v>-5.3651318448637957</v>
      </c>
      <c r="D625" s="40">
        <f>IF(Settings!$E$12="YES",VLOOKUP(A625,'Player Data'!A1:E734,5,FALSE),82)</f>
        <v>82</v>
      </c>
      <c r="E625" s="38">
        <f>(VLOOKUP($A625,'The List'!$B1:$AH730,17,FALSE)-AVERAGE('The List'!R2:R730))/STDEV('The List'!R2:R730)</f>
        <v>-1.1717633926343112</v>
      </c>
      <c r="F625" s="38">
        <f>(VLOOKUP($A625,'The List'!$B1:$AH730,18,FALSE)-AVERAGE('The List'!S2:S730))/STDEV('The List'!S2:S730)</f>
        <v>-1.1263690802078965</v>
      </c>
      <c r="G625" s="38">
        <f>(VLOOKUP($A625,'The List'!$B1:$AH730,19,FALSE)-AVERAGE('The List'!T2:T730))/STDEV('The List'!T2:T730)</f>
        <v>-0.98011597734839095</v>
      </c>
      <c r="H625" s="38">
        <f>(VLOOKUP($A625,'The List'!$B1:$AH730,20,FALSE)-AVERAGE('The List'!U2:U730))/STDEV('The List'!U2:U730)</f>
        <v>-1.1259385397151336</v>
      </c>
      <c r="I625" s="38">
        <f>(VLOOKUP($A625,'The List'!$B1:$AH730,21,FALSE)-AVERAGE('The List'!V2:V730))/STDEV('The List'!V2:V730)</f>
        <v>-1.3352901842060971</v>
      </c>
      <c r="J625" s="38">
        <f>(VLOOKUP($A625,'The List'!$B1:$AH730,22,FALSE)-AVERAGE('The List'!W2:W730))/STDEV('The List'!W2:W730)</f>
        <v>-0.72501873098907788</v>
      </c>
      <c r="K625" s="38">
        <f>(VLOOKUP($A625,'The List'!$B1:$AH730,23,FALSE)-AVERAGE('The List'!X2:X730))/STDEV('The List'!X2:X730)</f>
        <v>-0.79741806338627697</v>
      </c>
      <c r="L625" s="38">
        <f>(VLOOKUP($A625,'The List'!$B1:$AH730,24,FALSE)-AVERAGE('The List'!Y2:Y730))/STDEV('The List'!Y2:Y730)</f>
        <v>-0.47190239991640126</v>
      </c>
      <c r="M625" s="38">
        <f>(VLOOKUP($A625,'The List'!$B1:$AH730,25,FALSE)-AVERAGE('The List'!Z2:Z730))/STDEV('The List'!Z2:Z730)</f>
        <v>-0.5498438350611593</v>
      </c>
      <c r="N625" s="38">
        <f>(VLOOKUP($A625,'The List'!$B1:$AH730,26,FALSE)-AVERAGE('The List'!AA2:AA730))/STDEV('The List'!AA2:AA730)</f>
        <v>-3.6360156632638127E-2</v>
      </c>
      <c r="O625" s="38">
        <f>(VLOOKUP($A625,'The List'!$B1:$AH730,27,FALSE)-AVERAGE('The List'!AB2:AB730))/STDEV('The List'!AB2:AB730)</f>
        <v>-0.63987657558914968</v>
      </c>
      <c r="P625" s="38">
        <f>(VLOOKUP($A625,'The List'!$B1:$AH730,28,FALSE)-AVERAGE('The List'!AC2:AC730))/STDEV('The List'!AC2:AC730)</f>
        <v>1.1756893397925996</v>
      </c>
      <c r="Q625" s="38">
        <f>(VLOOKUP($A625,'The List'!$B1:$AH730,29,FALSE)-AVERAGE('The List'!AD2:AD730))/STDEV('The List'!AD2:AD730)</f>
        <v>-1.2293841346229752</v>
      </c>
      <c r="R625" s="38">
        <f>(VLOOKUP($A625,'The List'!$B1:$AH730,30,FALSE)-AVERAGE('The List'!AE2:AE730))/STDEV('The List'!AE2:AE730)</f>
        <v>-1.0004819548948884</v>
      </c>
      <c r="S625" s="38">
        <f>(VLOOKUP($A625,'The List'!$B1:$AH730,31,FALSE)-AVERAGE('The List'!AF2:AF730))/STDEV('The List'!AF2:AF730)</f>
        <v>-0.56911587195029545</v>
      </c>
      <c r="T625" s="38">
        <f>(VLOOKUP($A625,'The List'!$B1:$AH730,32,FALSE)-AVERAGE('The List'!AG2:AG730))/STDEV('The List'!AG2:AG730)</f>
        <v>-0.61510119871956948</v>
      </c>
      <c r="U625" s="38">
        <f>(VLOOKUP($A625,'The List'!$B1:$AH730,33,FALSE)-AVERAGE('The List'!AH2:AH730))/STDEV('The List'!AH2:AH730)</f>
        <v>-1.2363238714825984</v>
      </c>
      <c r="V625" s="38"/>
      <c r="W625" s="40"/>
      <c r="X625" s="38"/>
      <c r="Y625" s="38"/>
      <c r="Z625" s="38"/>
      <c r="AA625" s="38"/>
      <c r="AB625" s="38"/>
      <c r="AC625" s="38"/>
      <c r="AD625" s="38"/>
      <c r="AE625" s="38"/>
    </row>
    <row r="626" spans="1:31" ht="21.2" customHeight="1">
      <c r="A626" s="8" t="s">
        <v>595</v>
      </c>
      <c r="B626" s="34" t="str">
        <f>VLOOKUP(A626,'Player Data'!A1:B734,2,FALSE)</f>
        <v>FLA</v>
      </c>
      <c r="C626" s="36">
        <f>((E626)*Settings!$C$12)+(F626*Settings!$C$2)+(G626*Settings!$C$3)+(H626*Settings!$C$4)+(I626*Settings!$C$5)+(K626*Settings!$C$9)+(N626*Settings!$C$6)+(J626*Settings!$C$8)+(O626*Settings!$C$7)+(P626*Settings!$C$14)+(Q626*Settings!$C$15)+(R626*Settings!$C$16)+(S626*Settings!$C$17)+(T626*Settings!$C$18)+(U626*Settings!$C$19)+(L626*Settings!$C$10)+(Settings!$C$11*M626)</f>
        <v>-5.2492700329074751</v>
      </c>
      <c r="D626" s="40">
        <f>IF(Settings!$E$12="YES",VLOOKUP(A626,'Player Data'!A1:E734,5,FALSE),82)</f>
        <v>82</v>
      </c>
      <c r="E626" s="38">
        <f>(VLOOKUP($A626,'The List'!$B1:$AH730,17,FALSE)-AVERAGE('The List'!R2:R730))/STDEV('The List'!R2:R730)</f>
        <v>0.27530161634593758</v>
      </c>
      <c r="F626" s="38">
        <f>(VLOOKUP($A626,'The List'!$B1:$AH730,18,FALSE)-AVERAGE('The List'!S2:S730))/STDEV('The List'!S2:S730)</f>
        <v>-1.101663083255654</v>
      </c>
      <c r="G626" s="38">
        <f>(VLOOKUP($A626,'The List'!$B1:$AH730,19,FALSE)-AVERAGE('The List'!T2:T730))/STDEV('The List'!T2:T730)</f>
        <v>-1.0114294563058361</v>
      </c>
      <c r="H626" s="38">
        <f>(VLOOKUP($A626,'The List'!$B1:$AH730,20,FALSE)-AVERAGE('The List'!U2:U730))/STDEV('The List'!U2:U730)</f>
        <v>-1.1336967502743966</v>
      </c>
      <c r="I626" s="38">
        <f>(VLOOKUP($A626,'The List'!$B1:$AH730,21,FALSE)-AVERAGE('The List'!V2:V730))/STDEV('The List'!V2:V730)</f>
        <v>-1.1870819871269029</v>
      </c>
      <c r="J626" s="38">
        <f>(VLOOKUP($A626,'The List'!$B1:$AH730,22,FALSE)-AVERAGE('The List'!W2:W730))/STDEV('The List'!W2:W730)</f>
        <v>-0.73281000050226164</v>
      </c>
      <c r="K626" s="38">
        <f>(VLOOKUP($A626,'The List'!$B1:$AH730,23,FALSE)-AVERAGE('The List'!X2:X730))/STDEV('The List'!X2:X730)</f>
        <v>-0.8153987559446858</v>
      </c>
      <c r="L626" s="38">
        <f>(VLOOKUP($A626,'The List'!$B1:$AH730,24,FALSE)-AVERAGE('The List'!Y2:Y730))/STDEV('The List'!Y2:Y730)</f>
        <v>6.0898077293334761E-2</v>
      </c>
      <c r="M626" s="38">
        <f>(VLOOKUP($A626,'The List'!$B1:$AH730,25,FALSE)-AVERAGE('The List'!Z2:Z730))/STDEV('The List'!Z2:Z730)</f>
        <v>-0.18582280451147309</v>
      </c>
      <c r="N626" s="38">
        <f>(VLOOKUP($A626,'The List'!$B1:$AH730,26,FALSE)-AVERAGE('The List'!AA2:AA730))/STDEV('The List'!AA2:AA730)</f>
        <v>1.1353674487204435</v>
      </c>
      <c r="O626" s="38">
        <f>(VLOOKUP($A626,'The List'!$B1:$AH730,27,FALSE)-AVERAGE('The List'!AB2:AB730))/STDEV('The List'!AB2:AB730)</f>
        <v>0.89565983741282185</v>
      </c>
      <c r="P626" s="38">
        <f>(VLOOKUP($A626,'The List'!$B1:$AH730,28,FALSE)-AVERAGE('The List'!AC2:AC730))/STDEV('The List'!AC2:AC730)</f>
        <v>-0.26101365191951159</v>
      </c>
      <c r="Q626" s="38">
        <f>(VLOOKUP($A626,'The List'!$B1:$AH730,29,FALSE)-AVERAGE('The List'!AD2:AD730))/STDEV('The List'!AD2:AD730)</f>
        <v>1.6174690297942926</v>
      </c>
      <c r="R626" s="38">
        <f>(VLOOKUP($A626,'The List'!$B1:$AH730,30,FALSE)-AVERAGE('The List'!AE2:AE730))/STDEV('The List'!AE2:AE730)</f>
        <v>-1.0009398469201833</v>
      </c>
      <c r="S626" s="38">
        <f>(VLOOKUP($A626,'The List'!$B1:$AH730,31,FALSE)-AVERAGE('The List'!AF2:AF730))/STDEV('The List'!AF2:AF730)</f>
        <v>-0.56911587195029545</v>
      </c>
      <c r="T626" s="38">
        <f>(VLOOKUP($A626,'The List'!$B1:$AH730,32,FALSE)-AVERAGE('The List'!AG2:AG730))/STDEV('The List'!AG2:AG730)</f>
        <v>-0.61510119871956948</v>
      </c>
      <c r="U626" s="38">
        <f>(VLOOKUP($A626,'The List'!$B1:$AH730,33,FALSE)-AVERAGE('The List'!AH2:AH730))/STDEV('The List'!AH2:AH730)</f>
        <v>-1.2363238714825984</v>
      </c>
      <c r="V626" s="38"/>
      <c r="W626" s="40"/>
      <c r="X626" s="38"/>
      <c r="Y626" s="38"/>
      <c r="Z626" s="38"/>
      <c r="AA626" s="38"/>
      <c r="AB626" s="38"/>
      <c r="AC626" s="38"/>
      <c r="AD626" s="38"/>
      <c r="AE626" s="38"/>
    </row>
    <row r="627" spans="1:31" ht="21.2" customHeight="1">
      <c r="A627" s="8" t="s">
        <v>590</v>
      </c>
      <c r="B627" s="34" t="str">
        <f>VLOOKUP(A627,'Player Data'!A1:B734,2,FALSE)</f>
        <v>VGK</v>
      </c>
      <c r="C627" s="36">
        <f>((E627)*Settings!$C$12)+(F627*Settings!$C$2)+(G627*Settings!$C$3)+(H627*Settings!$C$4)+(I627*Settings!$C$5)+(K627*Settings!$C$9)+(N627*Settings!$C$6)+(J627*Settings!$C$8)+(O627*Settings!$C$7)+(P627*Settings!$C$14)+(Q627*Settings!$C$15)+(R627*Settings!$C$16)+(S627*Settings!$C$17)+(T627*Settings!$C$18)+(U627*Settings!$C$19)+(L627*Settings!$C$10)+(Settings!$C$11*M627)</f>
        <v>-4.8710014524368184</v>
      </c>
      <c r="D627" s="40">
        <f>IF(Settings!$E$12="YES",VLOOKUP(A627,'Player Data'!A1:E734,5,FALSE),82)</f>
        <v>82</v>
      </c>
      <c r="E627" s="38">
        <f>(VLOOKUP($A627,'The List'!$B1:$AH730,17,FALSE)-AVERAGE('The List'!R2:R730))/STDEV('The List'!R2:R730)</f>
        <v>-1.0902919776809465</v>
      </c>
      <c r="F627" s="38">
        <f>(VLOOKUP($A627,'The List'!$B1:$AH730,18,FALSE)-AVERAGE('The List'!S2:S730))/STDEV('The List'!S2:S730)</f>
        <v>-1.047125873029219</v>
      </c>
      <c r="G627" s="38">
        <f>(VLOOKUP($A627,'The List'!$B1:$AH730,19,FALSE)-AVERAGE('The List'!T2:T730))/STDEV('The List'!T2:T730)</f>
        <v>-1.0598311400003941</v>
      </c>
      <c r="H627" s="38">
        <f>(VLOOKUP($A627,'The List'!$B1:$AH730,20,FALSE)-AVERAGE('The List'!U2:U730))/STDEV('The List'!U2:U730)</f>
        <v>-1.1380886054600761</v>
      </c>
      <c r="I627" s="38">
        <f>(VLOOKUP($A627,'The List'!$B1:$AH730,21,FALSE)-AVERAGE('The List'!V2:V730))/STDEV('The List'!V2:V730)</f>
        <v>-0.88152781464746532</v>
      </c>
      <c r="J627" s="38">
        <f>(VLOOKUP($A627,'The List'!$B1:$AH730,22,FALSE)-AVERAGE('The List'!W2:W730))/STDEV('The List'!W2:W730)</f>
        <v>-0.71611197115873404</v>
      </c>
      <c r="K627" s="38">
        <f>(VLOOKUP($A627,'The List'!$B1:$AH730,23,FALSE)-AVERAGE('The List'!X2:X730))/STDEV('The List'!X2:X730)</f>
        <v>-0.74442801929966285</v>
      </c>
      <c r="L627" s="38">
        <f>(VLOOKUP($A627,'The List'!$B1:$AH730,24,FALSE)-AVERAGE('The List'!Y2:Y730))/STDEV('The List'!Y2:Y730)</f>
        <v>-0.51541908186432273</v>
      </c>
      <c r="M627" s="38">
        <f>(VLOOKUP($A627,'The List'!$B1:$AH730,25,FALSE)-AVERAGE('The List'!Z2:Z730))/STDEV('The List'!Z2:Z730)</f>
        <v>-0.67975780365866123</v>
      </c>
      <c r="N627" s="38">
        <f>(VLOOKUP($A627,'The List'!$B1:$AH730,26,FALSE)-AVERAGE('The List'!AA2:AA730))/STDEV('The List'!AA2:AA730)</f>
        <v>0.18308218839618484</v>
      </c>
      <c r="O627" s="38">
        <f>(VLOOKUP($A627,'The List'!$B1:$AH730,27,FALSE)-AVERAGE('The List'!AB2:AB730))/STDEV('The List'!AB2:AB730)</f>
        <v>-0.68150637531727254</v>
      </c>
      <c r="P627" s="38">
        <f>(VLOOKUP($A627,'The List'!$B1:$AH730,28,FALSE)-AVERAGE('The List'!AC2:AC730))/STDEV('The List'!AC2:AC730)</f>
        <v>0.89203929445030472</v>
      </c>
      <c r="Q627" s="38">
        <f>(VLOOKUP($A627,'The List'!$B1:$AH730,29,FALSE)-AVERAGE('The List'!AD2:AD730))/STDEV('The List'!AD2:AD730)</f>
        <v>-0.69834937142964082</v>
      </c>
      <c r="R627" s="38">
        <f>(VLOOKUP($A627,'The List'!$B1:$AH730,30,FALSE)-AVERAGE('The List'!AE2:AE730))/STDEV('The List'!AE2:AE730)</f>
        <v>-0.90799495883134396</v>
      </c>
      <c r="S627" s="38">
        <f>(VLOOKUP($A627,'The List'!$B1:$AH730,31,FALSE)-AVERAGE('The List'!AF2:AF730))/STDEV('The List'!AF2:AF730)</f>
        <v>-0.56911587195029545</v>
      </c>
      <c r="T627" s="38">
        <f>(VLOOKUP($A627,'The List'!$B1:$AH730,32,FALSE)-AVERAGE('The List'!AG2:AG730))/STDEV('The List'!AG2:AG730)</f>
        <v>-0.61510119871956948</v>
      </c>
      <c r="U627" s="38">
        <f>(VLOOKUP($A627,'The List'!$B1:$AH730,33,FALSE)-AVERAGE('The List'!AH2:AH730))/STDEV('The List'!AH2:AH730)</f>
        <v>-1.2363238714825984</v>
      </c>
      <c r="V627" s="38"/>
      <c r="W627" s="40"/>
      <c r="X627" s="38"/>
      <c r="Y627" s="38"/>
      <c r="Z627" s="38"/>
      <c r="AA627" s="38"/>
      <c r="AB627" s="38"/>
      <c r="AC627" s="38"/>
      <c r="AD627" s="38"/>
      <c r="AE627" s="38"/>
    </row>
    <row r="628" spans="1:31" ht="21.2" customHeight="1">
      <c r="A628" s="8" t="s">
        <v>822</v>
      </c>
      <c r="B628" s="34" t="str">
        <f>VLOOKUP(A628,'Player Data'!A1:B734,2,FALSE)</f>
        <v>BOS</v>
      </c>
      <c r="C628" s="36">
        <f>((E628)*Settings!$C$12)+(F628*Settings!$C$2)+(G628*Settings!$C$3)+(H628*Settings!$C$4)+(I628*Settings!$C$5)+(K628*Settings!$C$9)+(N628*Settings!$C$6)+(J628*Settings!$C$8)+(O628*Settings!$C$7)+(P628*Settings!$C$14)+(Q628*Settings!$C$15)+(R628*Settings!$C$16)+(S628*Settings!$C$17)+(T628*Settings!$C$18)+(U628*Settings!$C$19)+(L628*Settings!$C$10)+(Settings!$C$11*M628)</f>
        <v>-5.4257522885362306</v>
      </c>
      <c r="D628" s="40">
        <f>IF(Settings!$E$12="YES",VLOOKUP(A628,'Player Data'!A1:E734,5,FALSE),82)</f>
        <v>82</v>
      </c>
      <c r="E628" s="38">
        <f>(VLOOKUP($A628,'The List'!$B1:$AH730,17,FALSE)-AVERAGE('The List'!R2:R730))/STDEV('The List'!R2:R730)</f>
        <v>-1.5351540924765015</v>
      </c>
      <c r="F628" s="38">
        <f>(VLOOKUP($A628,'The List'!$B1:$AH730,18,FALSE)-AVERAGE('The List'!S2:S730))/STDEV('The List'!S2:S730)</f>
        <v>-1.0522973662911665</v>
      </c>
      <c r="G628" s="38">
        <f>(VLOOKUP($A628,'The List'!$B1:$AH730,19,FALSE)-AVERAGE('The List'!T2:T730))/STDEV('The List'!T2:T730)</f>
        <v>-1.0615735256477601</v>
      </c>
      <c r="H628" s="38">
        <f>(VLOOKUP($A628,'The List'!$B1:$AH730,20,FALSE)-AVERAGE('The List'!U2:U730))/STDEV('The List'!U2:U730)</f>
        <v>-1.1415634582246523</v>
      </c>
      <c r="I628" s="38">
        <f>(VLOOKUP($A628,'The List'!$B1:$AH730,21,FALSE)-AVERAGE('The List'!V2:V730))/STDEV('The List'!V2:V730)</f>
        <v>-1.3496675102226305</v>
      </c>
      <c r="J628" s="38">
        <f>(VLOOKUP($A628,'The List'!$B1:$AH730,22,FALSE)-AVERAGE('The List'!W2:W730))/STDEV('The List'!W2:W730)</f>
        <v>-0.73160452906137508</v>
      </c>
      <c r="K628" s="38">
        <f>(VLOOKUP($A628,'The List'!$B1:$AH730,23,FALSE)-AVERAGE('The List'!X2:X730))/STDEV('The List'!X2:X730)</f>
        <v>-0.82065042815002043</v>
      </c>
      <c r="L628" s="38">
        <f>(VLOOKUP($A628,'The List'!$B1:$AH730,24,FALSE)-AVERAGE('The List'!Y2:Y730))/STDEV('The List'!Y2:Y730)</f>
        <v>-0.38097809585683284</v>
      </c>
      <c r="M628" s="38">
        <f>(VLOOKUP($A628,'The List'!$B1:$AH730,25,FALSE)-AVERAGE('The List'!Z2:Z730))/STDEV('The List'!Z2:Z730)</f>
        <v>-0.6251560835799691</v>
      </c>
      <c r="N628" s="38">
        <f>(VLOOKUP($A628,'The List'!$B1:$AH730,26,FALSE)-AVERAGE('The List'!AA2:AA730))/STDEV('The List'!AA2:AA730)</f>
        <v>-0.74792972615543429</v>
      </c>
      <c r="O628" s="38">
        <f>(VLOOKUP($A628,'The List'!$B1:$AH730,27,FALSE)-AVERAGE('The List'!AB2:AB730))/STDEV('The List'!AB2:AB730)</f>
        <v>-0.30723183680844751</v>
      </c>
      <c r="P628" s="38">
        <f>(VLOOKUP($A628,'The List'!$B1:$AH730,28,FALSE)-AVERAGE('The List'!AC2:AC730))/STDEV('The List'!AC2:AC730)</f>
        <v>0.1524730638014484</v>
      </c>
      <c r="Q628" s="38">
        <f>(VLOOKUP($A628,'The List'!$B1:$AH730,29,FALSE)-AVERAGE('The List'!AD2:AD730))/STDEV('The List'!AD2:AD730)</f>
        <v>-1.2519159178895245</v>
      </c>
      <c r="R628" s="38">
        <f>(VLOOKUP($A628,'The List'!$B1:$AH730,30,FALSE)-AVERAGE('The List'!AE2:AE730))/STDEV('The List'!AE2:AE730)</f>
        <v>-0.9042863615612311</v>
      </c>
      <c r="S628" s="38">
        <f>(VLOOKUP($A628,'The List'!$B1:$AH730,31,FALSE)-AVERAGE('The List'!AF2:AF730))/STDEV('The List'!AF2:AF730)</f>
        <v>0.51216547114770938</v>
      </c>
      <c r="T628" s="38">
        <f>(VLOOKUP($A628,'The List'!$B1:$AH730,32,FALSE)-AVERAGE('The List'!AG2:AG730))/STDEV('The List'!AG2:AG730)</f>
        <v>0.45284245566673875</v>
      </c>
      <c r="U628" s="38">
        <f>(VLOOKUP($A628,'The List'!$B1:$AH730,33,FALSE)-AVERAGE('The List'!AH2:AH730))/STDEV('The List'!AH2:AH730)</f>
        <v>1.0916055409405432</v>
      </c>
      <c r="V628" s="38"/>
      <c r="W628" s="40"/>
      <c r="X628" s="38"/>
      <c r="Y628" s="38"/>
      <c r="Z628" s="38"/>
      <c r="AA628" s="38"/>
      <c r="AB628" s="38"/>
      <c r="AC628" s="38"/>
      <c r="AD628" s="38"/>
      <c r="AE628" s="38"/>
    </row>
    <row r="629" spans="1:31" ht="21.2" customHeight="1">
      <c r="A629" s="8" t="s">
        <v>591</v>
      </c>
      <c r="B629" s="34" t="str">
        <f>VLOOKUP(A629,'Player Data'!A1:B734,2,FALSE)</f>
        <v>CAR</v>
      </c>
      <c r="C629" s="36">
        <f>((E629)*Settings!$C$12)+(F629*Settings!$C$2)+(G629*Settings!$C$3)+(H629*Settings!$C$4)+(I629*Settings!$C$5)+(K629*Settings!$C$9)+(N629*Settings!$C$6)+(J629*Settings!$C$8)+(O629*Settings!$C$7)+(P629*Settings!$C$14)+(Q629*Settings!$C$15)+(R629*Settings!$C$16)+(S629*Settings!$C$17)+(T629*Settings!$C$18)+(U629*Settings!$C$19)+(L629*Settings!$C$10)+(Settings!$C$11*M629)</f>
        <v>-4.9647593938615895</v>
      </c>
      <c r="D629" s="40">
        <f>IF(Settings!$E$12="YES",VLOOKUP(A629,'Player Data'!A1:E734,5,FALSE),82)</f>
        <v>82</v>
      </c>
      <c r="E629" s="38">
        <f>(VLOOKUP($A629,'The List'!$B1:$AH730,17,FALSE)-AVERAGE('The List'!R2:R730))/STDEV('The List'!R2:R730)</f>
        <v>-0.76566210003627533</v>
      </c>
      <c r="F629" s="38">
        <f>(VLOOKUP($A629,'The List'!$B1:$AH730,18,FALSE)-AVERAGE('The List'!S2:S730))/STDEV('The List'!S2:S730)</f>
        <v>-1.0068034244558293</v>
      </c>
      <c r="G629" s="38">
        <f>(VLOOKUP($A629,'The List'!$B1:$AH730,19,FALSE)-AVERAGE('The List'!T2:T730))/STDEV('The List'!T2:T730)</f>
        <v>-1.1060676818692117</v>
      </c>
      <c r="H629" s="38">
        <f>(VLOOKUP($A629,'The List'!$B1:$AH730,20,FALSE)-AVERAGE('The List'!U2:U730))/STDEV('The List'!U2:U730)</f>
        <v>-1.14775795651948</v>
      </c>
      <c r="I629" s="38">
        <f>(VLOOKUP($A629,'The List'!$B1:$AH730,21,FALSE)-AVERAGE('The List'!V2:V730))/STDEV('The List'!V2:V730)</f>
        <v>-0.88449607634764693</v>
      </c>
      <c r="J629" s="38">
        <f>(VLOOKUP($A629,'The List'!$B1:$AH730,22,FALSE)-AVERAGE('The List'!W2:W730))/STDEV('The List'!W2:W730)</f>
        <v>-0.73456826228255989</v>
      </c>
      <c r="K629" s="38">
        <f>(VLOOKUP($A629,'The List'!$B1:$AH730,23,FALSE)-AVERAGE('The List'!X2:X730))/STDEV('The List'!X2:X730)</f>
        <v>-0.81963425466942152</v>
      </c>
      <c r="L629" s="38">
        <f>(VLOOKUP($A629,'The List'!$B1:$AH730,24,FALSE)-AVERAGE('The List'!Y2:Y730))/STDEV('The List'!Y2:Y730)</f>
        <v>-0.10208791609981281</v>
      </c>
      <c r="M629" s="38">
        <f>(VLOOKUP($A629,'The List'!$B1:$AH730,25,FALSE)-AVERAGE('The List'!Z2:Z730))/STDEV('The List'!Z2:Z730)</f>
        <v>-0.14965406387474045</v>
      </c>
      <c r="N629" s="38">
        <f>(VLOOKUP($A629,'The List'!$B1:$AH730,26,FALSE)-AVERAGE('The List'!AA2:AA730))/STDEV('The List'!AA2:AA730)</f>
        <v>7.0937593352809136E-2</v>
      </c>
      <c r="O629" s="38">
        <f>(VLOOKUP($A629,'The List'!$B1:$AH730,27,FALSE)-AVERAGE('The List'!AB2:AB730))/STDEV('The List'!AB2:AB730)</f>
        <v>-0.18679896994556594</v>
      </c>
      <c r="P629" s="38">
        <f>(VLOOKUP($A629,'The List'!$B1:$AH730,28,FALSE)-AVERAGE('The List'!AC2:AC730))/STDEV('The List'!AC2:AC730)</f>
        <v>1.5795565215310234</v>
      </c>
      <c r="Q629" s="38">
        <f>(VLOOKUP($A629,'The List'!$B1:$AH730,29,FALSE)-AVERAGE('The List'!AD2:AD730))/STDEV('The List'!AD2:AD730)</f>
        <v>4.1201043618860844E-2</v>
      </c>
      <c r="R629" s="38">
        <f>(VLOOKUP($A629,'The List'!$B1:$AH730,30,FALSE)-AVERAGE('The List'!AE2:AE730))/STDEV('The List'!AE2:AE730)</f>
        <v>-0.8272516727316187</v>
      </c>
      <c r="S629" s="38">
        <f>(VLOOKUP($A629,'The List'!$B1:$AH730,31,FALSE)-AVERAGE('The List'!AF2:AF730))/STDEV('The List'!AF2:AF730)</f>
        <v>-0.56911587195029545</v>
      </c>
      <c r="T629" s="38">
        <f>(VLOOKUP($A629,'The List'!$B1:$AH730,32,FALSE)-AVERAGE('The List'!AG2:AG730))/STDEV('The List'!AG2:AG730)</f>
        <v>-0.61510119871956948</v>
      </c>
      <c r="U629" s="38">
        <f>(VLOOKUP($A629,'The List'!$B1:$AH730,33,FALSE)-AVERAGE('The List'!AH2:AH730))/STDEV('The List'!AH2:AH730)</f>
        <v>-1.2363238714825984</v>
      </c>
      <c r="V629" s="38"/>
      <c r="W629" s="40"/>
      <c r="X629" s="38"/>
      <c r="Y629" s="38"/>
      <c r="Z629" s="38"/>
      <c r="AA629" s="38"/>
      <c r="AB629" s="38"/>
      <c r="AC629" s="38"/>
      <c r="AD629" s="38"/>
      <c r="AE629" s="38"/>
    </row>
    <row r="630" spans="1:31" ht="21.2" customHeight="1">
      <c r="A630" s="8" t="s">
        <v>786</v>
      </c>
      <c r="B630" s="34" t="str">
        <f>VLOOKUP(A630,'Player Data'!A1:B734,2,FALSE)</f>
        <v>TOR</v>
      </c>
      <c r="C630" s="36">
        <f>((E630)*Settings!$C$12)+(F630*Settings!$C$2)+(G630*Settings!$C$3)+(H630*Settings!$C$4)+(I630*Settings!$C$5)+(K630*Settings!$C$9)+(N630*Settings!$C$6)+(J630*Settings!$C$8)+(O630*Settings!$C$7)+(P630*Settings!$C$14)+(Q630*Settings!$C$15)+(R630*Settings!$C$16)+(S630*Settings!$C$17)+(T630*Settings!$C$18)+(U630*Settings!$C$19)+(L630*Settings!$C$10)+(Settings!$C$11*M630)</f>
        <v>-5.5537886752010071</v>
      </c>
      <c r="D630" s="40">
        <f>IF(Settings!$E$12="YES",VLOOKUP(A630,'Player Data'!A1:E734,5,FALSE),82)</f>
        <v>82</v>
      </c>
      <c r="E630" s="38">
        <f>(VLOOKUP($A630,'The List'!$B1:$AH730,17,FALSE)-AVERAGE('The List'!R2:R730))/STDEV('The List'!R2:R730)</f>
        <v>-1.9255723802218616</v>
      </c>
      <c r="F630" s="38">
        <f>(VLOOKUP($A630,'The List'!$B1:$AH730,18,FALSE)-AVERAGE('The List'!S2:S730))/STDEV('The List'!S2:S730)</f>
        <v>-0.95502275176594942</v>
      </c>
      <c r="G630" s="38">
        <f>(VLOOKUP($A630,'The List'!$B1:$AH730,19,FALSE)-AVERAGE('The List'!T2:T730))/STDEV('The List'!T2:T730)</f>
        <v>-1.151528838083508</v>
      </c>
      <c r="H630" s="38">
        <f>(VLOOKUP($A630,'The List'!$B1:$AH730,20,FALSE)-AVERAGE('The List'!U2:U730))/STDEV('The List'!U2:U730)</f>
        <v>-1.1516241821193329</v>
      </c>
      <c r="I630" s="38">
        <f>(VLOOKUP($A630,'The List'!$B1:$AH730,21,FALSE)-AVERAGE('The List'!V2:V730))/STDEV('The List'!V2:V730)</f>
        <v>-1.4761979241380445</v>
      </c>
      <c r="J630" s="38">
        <f>(VLOOKUP($A630,'The List'!$B1:$AH730,22,FALSE)-AVERAGE('The List'!W2:W730))/STDEV('The List'!W2:W730)</f>
        <v>-0.7304220049218898</v>
      </c>
      <c r="K630" s="38">
        <f>(VLOOKUP($A630,'The List'!$B1:$AH730,23,FALSE)-AVERAGE('The List'!X2:X730))/STDEV('The List'!X2:X730)</f>
        <v>-0.81941497909417194</v>
      </c>
      <c r="L630" s="38">
        <f>(VLOOKUP($A630,'The List'!$B1:$AH730,24,FALSE)-AVERAGE('The List'!Y2:Y730))/STDEV('The List'!Y2:Y730)</f>
        <v>-0.52115542795337577</v>
      </c>
      <c r="M630" s="38">
        <f>(VLOOKUP($A630,'The List'!$B1:$AH730,25,FALSE)-AVERAGE('The List'!Z2:Z730))/STDEV('The List'!Z2:Z730)</f>
        <v>-0.69967930656286348</v>
      </c>
      <c r="N630" s="38">
        <f>(VLOOKUP($A630,'The List'!$B1:$AH730,26,FALSE)-AVERAGE('The List'!AA2:AA730))/STDEV('The List'!AA2:AA730)</f>
        <v>-0.96682597515242352</v>
      </c>
      <c r="O630" s="38">
        <f>(VLOOKUP($A630,'The List'!$B1:$AH730,27,FALSE)-AVERAGE('The List'!AB2:AB730))/STDEV('The List'!AB2:AB730)</f>
        <v>2.3574966234472834</v>
      </c>
      <c r="P630" s="38">
        <f>(VLOOKUP($A630,'The List'!$B1:$AH730,28,FALSE)-AVERAGE('The List'!AC2:AC730))/STDEV('The List'!AC2:AC730)</f>
        <v>0.54907117437839026</v>
      </c>
      <c r="Q630" s="38">
        <f>(VLOOKUP($A630,'The List'!$B1:$AH730,29,FALSE)-AVERAGE('The List'!AD2:AD730))/STDEV('The List'!AD2:AD730)</f>
        <v>0.37133734129007223</v>
      </c>
      <c r="R630" s="38">
        <f>(VLOOKUP($A630,'The List'!$B1:$AH730,30,FALSE)-AVERAGE('The List'!AE2:AE730))/STDEV('The List'!AE2:AE730)</f>
        <v>-0.81747840484002232</v>
      </c>
      <c r="S630" s="38">
        <f>(VLOOKUP($A630,'The List'!$B1:$AH730,31,FALSE)-AVERAGE('The List'!AF2:AF730))/STDEV('The List'!AF2:AF730)</f>
        <v>-0.54047699732926668</v>
      </c>
      <c r="T630" s="38">
        <f>(VLOOKUP($A630,'The List'!$B1:$AH730,32,FALSE)-AVERAGE('The List'!AG2:AG730))/STDEV('The List'!AG2:AG730)</f>
        <v>-0.56320430552448031</v>
      </c>
      <c r="U630" s="38">
        <f>(VLOOKUP($A630,'The List'!$B1:$AH730,33,FALSE)-AVERAGE('The List'!AH2:AH730))/STDEV('The List'!AH2:AH730)</f>
        <v>0.42117918050793896</v>
      </c>
      <c r="V630" s="38"/>
      <c r="W630" s="40"/>
      <c r="X630" s="38"/>
      <c r="Y630" s="38"/>
      <c r="Z630" s="38"/>
      <c r="AA630" s="38"/>
      <c r="AB630" s="38"/>
      <c r="AC630" s="38"/>
      <c r="AD630" s="38"/>
      <c r="AE630" s="38"/>
    </row>
    <row r="631" spans="1:31" ht="21.2" customHeight="1">
      <c r="A631" s="8" t="s">
        <v>532</v>
      </c>
      <c r="B631" s="34" t="str">
        <f>VLOOKUP(A631,'Player Data'!A1:B734,2,FALSE)</f>
        <v>DAL</v>
      </c>
      <c r="C631" s="36">
        <f>((E631)*Settings!$C$12)+(F631*Settings!$C$2)+(G631*Settings!$C$3)+(H631*Settings!$C$4)+(I631*Settings!$C$5)+(K631*Settings!$C$9)+(N631*Settings!$C$6)+(J631*Settings!$C$8)+(O631*Settings!$C$7)+(P631*Settings!$C$14)+(Q631*Settings!$C$15)+(R631*Settings!$C$16)+(S631*Settings!$C$17)+(T631*Settings!$C$18)+(U631*Settings!$C$19)+(L631*Settings!$C$10)+(Settings!$C$11*M631)</f>
        <v>-5.1320672667622045</v>
      </c>
      <c r="D631" s="40">
        <f>IF(Settings!$E$12="YES",VLOOKUP(A631,'Player Data'!A1:E734,5,FALSE),82)</f>
        <v>82</v>
      </c>
      <c r="E631" s="38">
        <f>(VLOOKUP($A631,'The List'!$B1:$AH730,17,FALSE)-AVERAGE('The List'!R2:R730))/STDEV('The List'!R2:R730)</f>
        <v>0.49083882255298505</v>
      </c>
      <c r="F631" s="38">
        <f>(VLOOKUP($A631,'The List'!$B1:$AH730,18,FALSE)-AVERAGE('The List'!S2:S730))/STDEV('The List'!S2:S730)</f>
        <v>-0.96993507092016951</v>
      </c>
      <c r="G631" s="38">
        <f>(VLOOKUP($A631,'The List'!$B1:$AH730,19,FALSE)-AVERAGE('The List'!T2:T730))/STDEV('The List'!T2:T730)</f>
        <v>-1.1478430700282816</v>
      </c>
      <c r="H631" s="38">
        <f>(VLOOKUP($A631,'The List'!$B1:$AH730,20,FALSE)-AVERAGE('The List'!U2:U730))/STDEV('The List'!U2:U730)</f>
        <v>-1.1562914690940846</v>
      </c>
      <c r="I631" s="38">
        <f>(VLOOKUP($A631,'The List'!$B1:$AH730,21,FALSE)-AVERAGE('The List'!V2:V730))/STDEV('The List'!V2:V730)</f>
        <v>-1.0502074066325637</v>
      </c>
      <c r="J631" s="38">
        <f>(VLOOKUP($A631,'The List'!$B1:$AH730,22,FALSE)-AVERAGE('The List'!W2:W730))/STDEV('The List'!W2:W730)</f>
        <v>-0.73017565396806994</v>
      </c>
      <c r="K631" s="38">
        <f>(VLOOKUP($A631,'The List'!$B1:$AH730,23,FALSE)-AVERAGE('The List'!X2:X730))/STDEV('The List'!X2:X730)</f>
        <v>-0.80779025008710548</v>
      </c>
      <c r="L631" s="38">
        <f>(VLOOKUP($A631,'The List'!$B1:$AH730,24,FALSE)-AVERAGE('The List'!Y2:Y730))/STDEV('The List'!Y2:Y730)</f>
        <v>-0.58254840706840638</v>
      </c>
      <c r="M631" s="38">
        <f>(VLOOKUP($A631,'The List'!$B1:$AH730,25,FALSE)-AVERAGE('The List'!Z2:Z730))/STDEV('The List'!Z2:Z730)</f>
        <v>-0.24884171067413605</v>
      </c>
      <c r="N631" s="38">
        <f>(VLOOKUP($A631,'The List'!$B1:$AH730,26,FALSE)-AVERAGE('The List'!AA2:AA730))/STDEV('The List'!AA2:AA730)</f>
        <v>1.4433781611794139</v>
      </c>
      <c r="O631" s="38">
        <f>(VLOOKUP($A631,'The List'!$B1:$AH730,27,FALSE)-AVERAGE('The List'!AB2:AB730))/STDEV('The List'!AB2:AB730)</f>
        <v>2.125631229341391</v>
      </c>
      <c r="P631" s="38">
        <f>(VLOOKUP($A631,'The List'!$B1:$AH730,28,FALSE)-AVERAGE('The List'!AC2:AC730))/STDEV('The List'!AC2:AC730)</f>
        <v>0.72844702117691129</v>
      </c>
      <c r="Q631" s="38">
        <f>(VLOOKUP($A631,'The List'!$B1:$AH730,29,FALSE)-AVERAGE('The List'!AD2:AD730))/STDEV('The List'!AD2:AD730)</f>
        <v>0.91866951869294267</v>
      </c>
      <c r="R631" s="38">
        <f>(VLOOKUP($A631,'The List'!$B1:$AH730,30,FALSE)-AVERAGE('The List'!AE2:AE730))/STDEV('The List'!AE2:AE730)</f>
        <v>-0.83479047885770241</v>
      </c>
      <c r="S631" s="38">
        <f>(VLOOKUP($A631,'The List'!$B1:$AH730,31,FALSE)-AVERAGE('The List'!AF2:AF730))/STDEV('The List'!AF2:AF730)</f>
        <v>-0.56911587195029545</v>
      </c>
      <c r="T631" s="38">
        <f>(VLOOKUP($A631,'The List'!$B1:$AH730,32,FALSE)-AVERAGE('The List'!AG2:AG730))/STDEV('The List'!AG2:AG730)</f>
        <v>-0.61510119871956948</v>
      </c>
      <c r="U631" s="38">
        <f>(VLOOKUP($A631,'The List'!$B1:$AH730,33,FALSE)-AVERAGE('The List'!AH2:AH730))/STDEV('The List'!AH2:AH730)</f>
        <v>-1.2363238714825984</v>
      </c>
      <c r="V631" s="38"/>
      <c r="W631" s="40"/>
      <c r="X631" s="38"/>
      <c r="Y631" s="38"/>
      <c r="Z631" s="38"/>
      <c r="AA631" s="38"/>
      <c r="AB631" s="38"/>
      <c r="AC631" s="38"/>
      <c r="AD631" s="38"/>
      <c r="AE631" s="38"/>
    </row>
    <row r="632" spans="1:31" ht="21.2" customHeight="1">
      <c r="A632" s="8" t="s">
        <v>760</v>
      </c>
      <c r="B632" s="34" t="str">
        <f>VLOOKUP(A632,'Player Data'!A1:B734,2,FALSE)</f>
        <v>LAK</v>
      </c>
      <c r="C632" s="36">
        <f>((E632)*Settings!$C$12)+(F632*Settings!$C$2)+(G632*Settings!$C$3)+(H632*Settings!$C$4)+(I632*Settings!$C$5)+(K632*Settings!$C$9)+(N632*Settings!$C$6)+(J632*Settings!$C$8)+(O632*Settings!$C$7)+(P632*Settings!$C$14)+(Q632*Settings!$C$15)+(R632*Settings!$C$16)+(S632*Settings!$C$17)+(T632*Settings!$C$18)+(U632*Settings!$C$19)+(L632*Settings!$C$10)+(Settings!$C$11*M632)</f>
        <v>-4.5887976170341558</v>
      </c>
      <c r="D632" s="40">
        <f>IF(Settings!$E$12="YES",VLOOKUP(A632,'Player Data'!A1:E734,5,FALSE),82)</f>
        <v>82</v>
      </c>
      <c r="E632" s="38">
        <f>(VLOOKUP($A632,'The List'!$B1:$AH730,17,FALSE)-AVERAGE('The List'!R2:R730))/STDEV('The List'!R2:R730)</f>
        <v>-1.5412475240629506</v>
      </c>
      <c r="F632" s="38">
        <f>(VLOOKUP($A632,'The List'!$B1:$AH730,18,FALSE)-AVERAGE('The List'!S2:S730))/STDEV('The List'!S2:S730)</f>
        <v>-0.84668546146571233</v>
      </c>
      <c r="G632" s="38">
        <f>(VLOOKUP($A632,'The List'!$B1:$AH730,19,FALSE)-AVERAGE('The List'!T2:T730))/STDEV('The List'!T2:T730)</f>
        <v>-1.24187700817048</v>
      </c>
      <c r="H632" s="38">
        <f>(VLOOKUP($A632,'The List'!$B1:$AH730,20,FALSE)-AVERAGE('The List'!U2:U730))/STDEV('The List'!U2:U730)</f>
        <v>-1.1567835918159632</v>
      </c>
      <c r="I632" s="38">
        <f>(VLOOKUP($A632,'The List'!$B1:$AH730,21,FALSE)-AVERAGE('The List'!V2:V730))/STDEV('The List'!V2:V730)</f>
        <v>-0.56271419150282664</v>
      </c>
      <c r="J632" s="38">
        <f>(VLOOKUP($A632,'The List'!$B1:$AH730,22,FALSE)-AVERAGE('The List'!W2:W730))/STDEV('The List'!W2:W730)</f>
        <v>-0.68099483616545375</v>
      </c>
      <c r="K632" s="38">
        <f>(VLOOKUP($A632,'The List'!$B1:$AH730,23,FALSE)-AVERAGE('The List'!X2:X730))/STDEV('The List'!X2:X730)</f>
        <v>-0.78073736407917393</v>
      </c>
      <c r="L632" s="38">
        <f>(VLOOKUP($A632,'The List'!$B1:$AH730,24,FALSE)-AVERAGE('The List'!Y2:Y730))/STDEV('The List'!Y2:Y730)</f>
        <v>0.52222631128666919</v>
      </c>
      <c r="M632" s="38">
        <f>(VLOOKUP($A632,'The List'!$B1:$AH730,25,FALSE)-AVERAGE('The List'!Z2:Z730))/STDEV('The List'!Z2:Z730)</f>
        <v>-0.25684168862067791</v>
      </c>
      <c r="N632" s="38">
        <f>(VLOOKUP($A632,'The List'!$B1:$AH730,26,FALSE)-AVERAGE('The List'!AA2:AA730))/STDEV('The List'!AA2:AA730)</f>
        <v>-0.85257163462010144</v>
      </c>
      <c r="O632" s="38">
        <f>(VLOOKUP($A632,'The List'!$B1:$AH730,27,FALSE)-AVERAGE('The List'!AB2:AB730))/STDEV('The List'!AB2:AB730)</f>
        <v>0.6788473250331708</v>
      </c>
      <c r="P632" s="38">
        <f>(VLOOKUP($A632,'The List'!$B1:$AH730,28,FALSE)-AVERAGE('The List'!AC2:AC730))/STDEV('The List'!AC2:AC730)</f>
        <v>-0.29044975438746701</v>
      </c>
      <c r="Q632" s="38">
        <f>(VLOOKUP($A632,'The List'!$B1:$AH730,29,FALSE)-AVERAGE('The List'!AD2:AD730))/STDEV('The List'!AD2:AD730)</f>
        <v>-1.3506477559242314</v>
      </c>
      <c r="R632" s="38">
        <f>(VLOOKUP($A632,'The List'!$B1:$AH730,30,FALSE)-AVERAGE('The List'!AE2:AE730))/STDEV('The List'!AE2:AE730)</f>
        <v>-0.74703772437291982</v>
      </c>
      <c r="S632" s="38">
        <f>(VLOOKUP($A632,'The List'!$B1:$AH730,31,FALSE)-AVERAGE('The List'!AF2:AF730))/STDEV('The List'!AF2:AF730)</f>
        <v>-7.8021331301995872E-2</v>
      </c>
      <c r="T632" s="38">
        <f>(VLOOKUP($A632,'The List'!$B1:$AH730,32,FALSE)-AVERAGE('The List'!AG2:AG730))/STDEV('The List'!AG2:AG730)</f>
        <v>2.3913494735984326E-2</v>
      </c>
      <c r="U632" s="38">
        <f>(VLOOKUP($A632,'The List'!$B1:$AH730,33,FALSE)-AVERAGE('The List'!AH2:AH730))/STDEV('The List'!AH2:AH730)</f>
        <v>0.78125235262595882</v>
      </c>
      <c r="V632" s="38"/>
      <c r="W632" s="40"/>
      <c r="X632" s="38"/>
      <c r="Y632" s="38"/>
      <c r="Z632" s="38"/>
      <c r="AA632" s="38"/>
      <c r="AB632" s="38"/>
      <c r="AC632" s="38"/>
      <c r="AD632" s="38"/>
      <c r="AE632" s="38"/>
    </row>
    <row r="633" spans="1:31" ht="21.2" customHeight="1">
      <c r="A633" s="8" t="s">
        <v>775</v>
      </c>
      <c r="B633" s="34" t="str">
        <f>VLOOKUP(A633,'Player Data'!A1:B734,2,FALSE)</f>
        <v>NYI</v>
      </c>
      <c r="C633" s="36">
        <f>((E633)*Settings!$C$12)+(F633*Settings!$C$2)+(G633*Settings!$C$3)+(H633*Settings!$C$4)+(I633*Settings!$C$5)+(K633*Settings!$C$9)+(N633*Settings!$C$6)+(J633*Settings!$C$8)+(O633*Settings!$C$7)+(P633*Settings!$C$14)+(Q633*Settings!$C$15)+(R633*Settings!$C$16)+(S633*Settings!$C$17)+(T633*Settings!$C$18)+(U633*Settings!$C$19)+(L633*Settings!$C$10)+(Settings!$C$11*M633)</f>
        <v>-5.1319470863537751</v>
      </c>
      <c r="D633" s="40">
        <f>IF(Settings!$E$12="YES",VLOOKUP(A633,'Player Data'!A1:E734,5,FALSE),82)</f>
        <v>82</v>
      </c>
      <c r="E633" s="38">
        <f>(VLOOKUP($A633,'The List'!$B1:$AH730,17,FALSE)-AVERAGE('The List'!R2:R730))/STDEV('The List'!R2:R730)</f>
        <v>-1.5728076948268221</v>
      </c>
      <c r="F633" s="38">
        <f>(VLOOKUP($A633,'The List'!$B1:$AH730,18,FALSE)-AVERAGE('The List'!S2:S730))/STDEV('The List'!S2:S730)</f>
        <v>-0.90959505796040341</v>
      </c>
      <c r="G633" s="38">
        <f>(VLOOKUP($A633,'The List'!$B1:$AH730,19,FALSE)-AVERAGE('The List'!T2:T730))/STDEV('The List'!T2:T730)</f>
        <v>-1.2012233159117149</v>
      </c>
      <c r="H633" s="38">
        <f>(VLOOKUP($A633,'The List'!$B1:$AH730,20,FALSE)-AVERAGE('The List'!U2:U730))/STDEV('The List'!U2:U730)</f>
        <v>-1.1610452795380655</v>
      </c>
      <c r="I633" s="38">
        <f>(VLOOKUP($A633,'The List'!$B1:$AH730,21,FALSE)-AVERAGE('The List'!V2:V730))/STDEV('The List'!V2:V730)</f>
        <v>-1.0502024781186454</v>
      </c>
      <c r="J633" s="38">
        <f>(VLOOKUP($A633,'The List'!$B1:$AH730,22,FALSE)-AVERAGE('The List'!W2:W730))/STDEV('The List'!W2:W730)</f>
        <v>-0.72032064035904375</v>
      </c>
      <c r="K633" s="38">
        <f>(VLOOKUP($A633,'The List'!$B1:$AH730,23,FALSE)-AVERAGE('The List'!X2:X730))/STDEV('The List'!X2:X730)</f>
        <v>-0.80988095482494593</v>
      </c>
      <c r="L633" s="38">
        <f>(VLOOKUP($A633,'The List'!$B1:$AH730,24,FALSE)-AVERAGE('The List'!Y2:Y730))/STDEV('The List'!Y2:Y730)</f>
        <v>-0.47414023320925874</v>
      </c>
      <c r="M633" s="38">
        <f>(VLOOKUP($A633,'The List'!$B1:$AH730,25,FALSE)-AVERAGE('The List'!Z2:Z730))/STDEV('The List'!Z2:Z730)</f>
        <v>-0.65155227312448283</v>
      </c>
      <c r="N633" s="38">
        <f>(VLOOKUP($A633,'The List'!$B1:$AH730,26,FALSE)-AVERAGE('The List'!AA2:AA730))/STDEV('The List'!AA2:AA730)</f>
        <v>-0.67703668117160976</v>
      </c>
      <c r="O633" s="38">
        <f>(VLOOKUP($A633,'The List'!$B1:$AH730,27,FALSE)-AVERAGE('The List'!AB2:AB730))/STDEV('The List'!AB2:AB730)</f>
        <v>3.0161183752629293</v>
      </c>
      <c r="P633" s="38">
        <f>(VLOOKUP($A633,'The List'!$B1:$AH730,28,FALSE)-AVERAGE('The List'!AC2:AC730))/STDEV('The List'!AC2:AC730)</f>
        <v>-0.32306425046557102</v>
      </c>
      <c r="Q633" s="38">
        <f>(VLOOKUP($A633,'The List'!$B1:$AH730,29,FALSE)-AVERAGE('The List'!AD2:AD730))/STDEV('The List'!AD2:AD730)</f>
        <v>0.74696664166294247</v>
      </c>
      <c r="R633" s="38">
        <f>(VLOOKUP($A633,'The List'!$B1:$AH730,30,FALSE)-AVERAGE('The List'!AE2:AE730))/STDEV('The List'!AE2:AE730)</f>
        <v>-0.78832493538744375</v>
      </c>
      <c r="S633" s="38">
        <f>(VLOOKUP($A633,'The List'!$B1:$AH730,31,FALSE)-AVERAGE('The List'!AF2:AF730))/STDEV('The List'!AF2:AF730)</f>
        <v>-0.52919217869131041</v>
      </c>
      <c r="T633" s="38">
        <f>(VLOOKUP($A633,'The List'!$B1:$AH730,32,FALSE)-AVERAGE('The List'!AG2:AG730))/STDEV('The List'!AG2:AG730)</f>
        <v>-0.5367859289509932</v>
      </c>
      <c r="U633" s="38">
        <f>(VLOOKUP($A633,'The List'!$B1:$AH730,33,FALSE)-AVERAGE('The List'!AH2:AH730))/STDEV('The List'!AH2:AH730)</f>
        <v>0.33891059930219342</v>
      </c>
      <c r="V633" s="38"/>
      <c r="W633" s="40"/>
      <c r="X633" s="38"/>
      <c r="Y633" s="38"/>
      <c r="Z633" s="38"/>
      <c r="AA633" s="38"/>
      <c r="AB633" s="38"/>
      <c r="AC633" s="38"/>
      <c r="AD633" s="38"/>
      <c r="AE633" s="38"/>
    </row>
    <row r="634" spans="1:31" ht="21.2" customHeight="1">
      <c r="A634" s="8" t="s">
        <v>797</v>
      </c>
      <c r="B634" s="34" t="str">
        <f>VLOOKUP(A634,'Player Data'!A1:B734,2,FALSE)</f>
        <v>SEA</v>
      </c>
      <c r="C634" s="36">
        <f>((E634)*Settings!$C$12)+(F634*Settings!$C$2)+(G634*Settings!$C$3)+(H634*Settings!$C$4)+(I634*Settings!$C$5)+(K634*Settings!$C$9)+(N634*Settings!$C$6)+(J634*Settings!$C$8)+(O634*Settings!$C$7)+(P634*Settings!$C$14)+(Q634*Settings!$C$15)+(R634*Settings!$C$16)+(S634*Settings!$C$17)+(T634*Settings!$C$18)+(U634*Settings!$C$19)+(L634*Settings!$C$10)+(Settings!$C$11*M634)</f>
        <v>-5.4266330963892599</v>
      </c>
      <c r="D634" s="40">
        <f>IF(Settings!$E$12="YES",VLOOKUP(A634,'Player Data'!A1:E734,5,FALSE),82)</f>
        <v>82</v>
      </c>
      <c r="E634" s="38">
        <f>(VLOOKUP($A634,'The List'!$B1:$AH730,17,FALSE)-AVERAGE('The List'!R2:R730))/STDEV('The List'!R2:R730)</f>
        <v>-1.3967978441172992</v>
      </c>
      <c r="F634" s="38">
        <f>(VLOOKUP($A634,'The List'!$B1:$AH730,18,FALSE)-AVERAGE('The List'!S2:S730))/STDEV('The List'!S2:S730)</f>
        <v>-0.89319625874476161</v>
      </c>
      <c r="G634" s="38">
        <f>(VLOOKUP($A634,'The List'!$B1:$AH730,19,FALSE)-AVERAGE('The List'!T2:T730))/STDEV('The List'!T2:T730)</f>
        <v>-1.2232424474710983</v>
      </c>
      <c r="H634" s="38">
        <f>(VLOOKUP($A634,'The List'!$B1:$AH730,20,FALSE)-AVERAGE('The List'!U2:U730))/STDEV('The List'!U2:U730)</f>
        <v>-1.1669535409916785</v>
      </c>
      <c r="I634" s="38">
        <f>(VLOOKUP($A634,'The List'!$B1:$AH730,21,FALSE)-AVERAGE('The List'!V2:V730))/STDEV('The List'!V2:V730)</f>
        <v>-1.3214730583220278</v>
      </c>
      <c r="J634" s="38">
        <f>(VLOOKUP($A634,'The List'!$B1:$AH730,22,FALSE)-AVERAGE('The List'!W2:W730))/STDEV('The List'!W2:W730)</f>
        <v>-0.73285340078773631</v>
      </c>
      <c r="K634" s="38">
        <f>(VLOOKUP($A634,'The List'!$B1:$AH730,23,FALSE)-AVERAGE('The List'!X2:X730))/STDEV('The List'!X2:X730)</f>
        <v>-0.82176779085969409</v>
      </c>
      <c r="L634" s="38">
        <f>(VLOOKUP($A634,'The List'!$B1:$AH730,24,FALSE)-AVERAGE('The List'!Y2:Y730))/STDEV('The List'!Y2:Y730)</f>
        <v>-0.46400283129040903</v>
      </c>
      <c r="M634" s="38">
        <f>(VLOOKUP($A634,'The List'!$B1:$AH730,25,FALSE)-AVERAGE('The List'!Z2:Z730))/STDEV('The List'!Z2:Z730)</f>
        <v>-0.72384772275690878</v>
      </c>
      <c r="N634" s="38">
        <f>(VLOOKUP($A634,'The List'!$B1:$AH730,26,FALSE)-AVERAGE('The List'!AA2:AA730))/STDEV('The List'!AA2:AA730)</f>
        <v>-0.41697006553843807</v>
      </c>
      <c r="O634" s="38">
        <f>(VLOOKUP($A634,'The List'!$B1:$AH730,27,FALSE)-AVERAGE('The List'!AB2:AB730))/STDEV('The List'!AB2:AB730)</f>
        <v>-0.40907378976189612</v>
      </c>
      <c r="P634" s="38">
        <f>(VLOOKUP($A634,'The List'!$B1:$AH730,28,FALSE)-AVERAGE('The List'!AC2:AC730))/STDEV('The List'!AC2:AC730)</f>
        <v>-0.17651013706631441</v>
      </c>
      <c r="Q634" s="38">
        <f>(VLOOKUP($A634,'The List'!$B1:$AH730,29,FALSE)-AVERAGE('The List'!AD2:AD730))/STDEV('The List'!AD2:AD730)</f>
        <v>-0.73061849519313404</v>
      </c>
      <c r="R634" s="38">
        <f>(VLOOKUP($A634,'The List'!$B1:$AH730,30,FALSE)-AVERAGE('The List'!AE2:AE730))/STDEV('The List'!AE2:AE730)</f>
        <v>-0.81517032930809219</v>
      </c>
      <c r="S634" s="38">
        <f>(VLOOKUP($A634,'The List'!$B1:$AH730,31,FALSE)-AVERAGE('The List'!AF2:AF730))/STDEV('The List'!AF2:AF730)</f>
        <v>1.2037152897301131</v>
      </c>
      <c r="T634" s="38">
        <f>(VLOOKUP($A634,'The List'!$B1:$AH730,32,FALSE)-AVERAGE('The List'!AG2:AG730))/STDEV('The List'!AG2:AG730)</f>
        <v>1.0079369589146963</v>
      </c>
      <c r="U634" s="38">
        <f>(VLOOKUP($A634,'The List'!$B1:$AH730,33,FALSE)-AVERAGE('The List'!AH2:AH730))/STDEV('The List'!AH2:AH730)</f>
        <v>1.1770422235590576</v>
      </c>
      <c r="V634" s="38"/>
      <c r="W634" s="40"/>
      <c r="X634" s="38"/>
      <c r="Y634" s="38"/>
      <c r="Z634" s="38"/>
      <c r="AA634" s="38"/>
      <c r="AB634" s="38"/>
      <c r="AC634" s="38"/>
      <c r="AD634" s="38"/>
      <c r="AE634" s="38"/>
    </row>
    <row r="635" spans="1:31" ht="21.2" customHeight="1">
      <c r="A635" s="8" t="s">
        <v>593</v>
      </c>
      <c r="B635" s="34" t="str">
        <f>VLOOKUP(A635,'Player Data'!A1:B734,2,FALSE)</f>
        <v>BUF</v>
      </c>
      <c r="C635" s="36">
        <f>((E635)*Settings!$C$12)+(F635*Settings!$C$2)+(G635*Settings!$C$3)+(H635*Settings!$C$4)+(I635*Settings!$C$5)+(K635*Settings!$C$9)+(N635*Settings!$C$6)+(J635*Settings!$C$8)+(O635*Settings!$C$7)+(P635*Settings!$C$14)+(Q635*Settings!$C$15)+(R635*Settings!$C$16)+(S635*Settings!$C$17)+(T635*Settings!$C$18)+(U635*Settings!$C$19)+(L635*Settings!$C$10)+(Settings!$C$11*M635)</f>
        <v>-5.7312077017653724</v>
      </c>
      <c r="D635" s="40">
        <f>IF(Settings!$E$12="YES",VLOOKUP(A635,'Player Data'!A1:E734,5,FALSE),82)</f>
        <v>82</v>
      </c>
      <c r="E635" s="38">
        <f>(VLOOKUP($A635,'The List'!$B1:$AH730,17,FALSE)-AVERAGE('The List'!R2:R730))/STDEV('The List'!R2:R730)</f>
        <v>-0.68841686362779309</v>
      </c>
      <c r="F635" s="38">
        <f>(VLOOKUP($A635,'The List'!$B1:$AH730,18,FALSE)-AVERAGE('The List'!S2:S730))/STDEV('The List'!S2:S730)</f>
        <v>-1.1815961532791965</v>
      </c>
      <c r="G635" s="38">
        <f>(VLOOKUP($A635,'The List'!$B1:$AH730,19,FALSE)-AVERAGE('The List'!T2:T730))/STDEV('The List'!T2:T730)</f>
        <v>-1.0224076940490352</v>
      </c>
      <c r="H635" s="38">
        <f>(VLOOKUP($A635,'The List'!$B1:$AH730,20,FALSE)-AVERAGE('The List'!U2:U730))/STDEV('The List'!U2:U730)</f>
        <v>-1.1776020454242777</v>
      </c>
      <c r="I635" s="38">
        <f>(VLOOKUP($A635,'The List'!$B1:$AH730,21,FALSE)-AVERAGE('The List'!V2:V730))/STDEV('The List'!V2:V730)</f>
        <v>-1.5319081673076431</v>
      </c>
      <c r="J635" s="38">
        <f>(VLOOKUP($A635,'The List'!$B1:$AH730,22,FALSE)-AVERAGE('The List'!W2:W730))/STDEV('The List'!W2:W730)</f>
        <v>-0.73386035976131547</v>
      </c>
      <c r="K635" s="38">
        <f>(VLOOKUP($A635,'The List'!$B1:$AH730,23,FALSE)-AVERAGE('The List'!X2:X730))/STDEV('The List'!X2:X730)</f>
        <v>-0.8176936417052203</v>
      </c>
      <c r="L635" s="38">
        <f>(VLOOKUP($A635,'The List'!$B1:$AH730,24,FALSE)-AVERAGE('The List'!Y2:Y730))/STDEV('The List'!Y2:Y730)</f>
        <v>-5.6548364039755536E-2</v>
      </c>
      <c r="M635" s="38">
        <f>(VLOOKUP($A635,'The List'!$B1:$AH730,25,FALSE)-AVERAGE('The List'!Z2:Z730))/STDEV('The List'!Z2:Z730)</f>
        <v>7.0324533458960628E-2</v>
      </c>
      <c r="N635" s="38">
        <f>(VLOOKUP($A635,'The List'!$B1:$AH730,26,FALSE)-AVERAGE('The List'!AA2:AA730))/STDEV('The List'!AA2:AA730)</f>
        <v>0.7662654881072164</v>
      </c>
      <c r="O635" s="38">
        <f>(VLOOKUP($A635,'The List'!$B1:$AH730,27,FALSE)-AVERAGE('The List'!AB2:AB730))/STDEV('The List'!AB2:AB730)</f>
        <v>0.44827456648315495</v>
      </c>
      <c r="P635" s="38">
        <f>(VLOOKUP($A635,'The List'!$B1:$AH730,28,FALSE)-AVERAGE('The List'!AC2:AC730))/STDEV('The List'!AC2:AC730)</f>
        <v>-0.6908903929116772</v>
      </c>
      <c r="Q635" s="38">
        <f>(VLOOKUP($A635,'The List'!$B1:$AH730,29,FALSE)-AVERAGE('The List'!AD2:AD730))/STDEV('The List'!AD2:AD730)</f>
        <v>0.16000220082747119</v>
      </c>
      <c r="R635" s="38">
        <f>(VLOOKUP($A635,'The List'!$B1:$AH730,30,FALSE)-AVERAGE('The List'!AE2:AE730))/STDEV('The List'!AE2:AE730)</f>
        <v>-1.0945454189107253</v>
      </c>
      <c r="S635" s="38">
        <f>(VLOOKUP($A635,'The List'!$B1:$AH730,31,FALSE)-AVERAGE('The List'!AF2:AF730))/STDEV('The List'!AF2:AF730)</f>
        <v>-0.56911587195029545</v>
      </c>
      <c r="T635" s="38">
        <f>(VLOOKUP($A635,'The List'!$B1:$AH730,32,FALSE)-AVERAGE('The List'!AG2:AG730))/STDEV('The List'!AG2:AG730)</f>
        <v>-0.61510119871956948</v>
      </c>
      <c r="U635" s="38">
        <f>(VLOOKUP($A635,'The List'!$B1:$AH730,33,FALSE)-AVERAGE('The List'!AH2:AH730))/STDEV('The List'!AH2:AH730)</f>
        <v>-1.2363238714825984</v>
      </c>
      <c r="V635" s="38"/>
      <c r="W635" s="40"/>
      <c r="X635" s="38"/>
      <c r="Y635" s="38"/>
      <c r="Z635" s="38"/>
      <c r="AA635" s="38"/>
      <c r="AB635" s="38"/>
      <c r="AC635" s="38"/>
      <c r="AD635" s="38"/>
      <c r="AE635" s="38"/>
    </row>
    <row r="636" spans="1:31" ht="21.2" customHeight="1">
      <c r="A636" s="8" t="s">
        <v>824</v>
      </c>
      <c r="B636" s="34" t="str">
        <f>VLOOKUP(A636,'Player Data'!A1:B734,2,FALSE)</f>
        <v>NYI</v>
      </c>
      <c r="C636" s="36">
        <f>((E636)*Settings!$C$12)+(F636*Settings!$C$2)+(G636*Settings!$C$3)+(H636*Settings!$C$4)+(I636*Settings!$C$5)+(K636*Settings!$C$9)+(N636*Settings!$C$6)+(J636*Settings!$C$8)+(O636*Settings!$C$7)+(P636*Settings!$C$14)+(Q636*Settings!$C$15)+(R636*Settings!$C$16)+(S636*Settings!$C$17)+(T636*Settings!$C$18)+(U636*Settings!$C$19)+(L636*Settings!$C$10)+(Settings!$C$11*M636)</f>
        <v>-6.0101111442322228</v>
      </c>
      <c r="D636" s="40">
        <f>IF(Settings!$E$12="YES",VLOOKUP(A636,'Player Data'!A1:E734,5,FALSE),82)</f>
        <v>82</v>
      </c>
      <c r="E636" s="38">
        <f>(VLOOKUP($A636,'The List'!$B1:$AH730,17,FALSE)-AVERAGE('The List'!R2:R730))/STDEV('The List'!R2:R730)</f>
        <v>-2.3336600654164315</v>
      </c>
      <c r="F636" s="38">
        <f>(VLOOKUP($A636,'The List'!$B1:$AH730,18,FALSE)-AVERAGE('The List'!S2:S730))/STDEV('The List'!S2:S730)</f>
        <v>-1.0171733828269109</v>
      </c>
      <c r="G636" s="38">
        <f>(VLOOKUP($A636,'The List'!$B1:$AH730,19,FALSE)-AVERAGE('The List'!T2:T730))/STDEV('The List'!T2:T730)</f>
        <v>-1.1613613098586</v>
      </c>
      <c r="H636" s="38">
        <f>(VLOOKUP($A636,'The List'!$B1:$AH730,20,FALSE)-AVERAGE('The List'!U2:U730))/STDEV('The List'!U2:U730)</f>
        <v>-1.1865587810067937</v>
      </c>
      <c r="I636" s="38">
        <f>(VLOOKUP($A636,'The List'!$B1:$AH730,21,FALSE)-AVERAGE('The List'!V2:V730))/STDEV('The List'!V2:V730)</f>
        <v>-1.8247612704870178</v>
      </c>
      <c r="J636" s="38">
        <f>(VLOOKUP($A636,'The List'!$B1:$AH730,22,FALSE)-AVERAGE('The List'!W2:W730))/STDEV('The List'!W2:W730)</f>
        <v>-0.73083225702611154</v>
      </c>
      <c r="K636" s="38">
        <f>(VLOOKUP($A636,'The List'!$B1:$AH730,23,FALSE)-AVERAGE('The List'!X2:X730))/STDEV('The List'!X2:X730)</f>
        <v>-0.82025640005290068</v>
      </c>
      <c r="L636" s="38">
        <f>(VLOOKUP($A636,'The List'!$B1:$AH730,24,FALSE)-AVERAGE('The List'!Y2:Y730))/STDEV('The List'!Y2:Y730)</f>
        <v>-0.52515529094994673</v>
      </c>
      <c r="M636" s="38">
        <f>(VLOOKUP($A636,'The List'!$B1:$AH730,25,FALSE)-AVERAGE('The List'!Z2:Z730))/STDEV('The List'!Z2:Z730)</f>
        <v>-0.70378350861314143</v>
      </c>
      <c r="N636" s="38">
        <f>(VLOOKUP($A636,'The List'!$B1:$AH730,26,FALSE)-AVERAGE('The List'!AA2:AA730))/STDEV('The List'!AA2:AA730)</f>
        <v>-0.92217169579867619</v>
      </c>
      <c r="O636" s="38">
        <f>(VLOOKUP($A636,'The List'!$B1:$AH730,27,FALSE)-AVERAGE('The List'!AB2:AB730))/STDEV('The List'!AB2:AB730)</f>
        <v>0.78786160960422524</v>
      </c>
      <c r="P636" s="38">
        <f>(VLOOKUP($A636,'The List'!$B1:$AH730,28,FALSE)-AVERAGE('The List'!AC2:AC730))/STDEV('The List'!AC2:AC730)</f>
        <v>-0.21020395207116108</v>
      </c>
      <c r="Q636" s="38">
        <f>(VLOOKUP($A636,'The List'!$B1:$AH730,29,FALSE)-AVERAGE('The List'!AD2:AD730))/STDEV('The List'!AD2:AD730)</f>
        <v>0.93578117932899652</v>
      </c>
      <c r="R636" s="38">
        <f>(VLOOKUP($A636,'The List'!$B1:$AH730,30,FALSE)-AVERAGE('The List'!AE2:AE730))/STDEV('The List'!AE2:AE730)</f>
        <v>-0.89657805566340332</v>
      </c>
      <c r="S636" s="38">
        <f>(VLOOKUP($A636,'The List'!$B1:$AH730,31,FALSE)-AVERAGE('The List'!AF2:AF730))/STDEV('The List'!AF2:AF730)</f>
        <v>-0.56042170325117435</v>
      </c>
      <c r="T636" s="38">
        <f>(VLOOKUP($A636,'The List'!$B1:$AH730,32,FALSE)-AVERAGE('The List'!AG2:AG730))/STDEV('The List'!AG2:AG730)</f>
        <v>-0.59432398124668484</v>
      </c>
      <c r="U636" s="38">
        <f>(VLOOKUP($A636,'The List'!$B1:$AH730,33,FALSE)-AVERAGE('The List'!AH2:AH730))/STDEV('The List'!AH2:AH730)</f>
        <v>0.14287086350698439</v>
      </c>
      <c r="V636" s="38"/>
      <c r="W636" s="40"/>
      <c r="X636" s="38"/>
      <c r="Y636" s="38"/>
      <c r="Z636" s="38"/>
      <c r="AA636" s="38"/>
      <c r="AB636" s="38"/>
      <c r="AC636" s="38"/>
      <c r="AD636" s="38"/>
      <c r="AE636" s="38"/>
    </row>
    <row r="637" spans="1:31" ht="21.2" customHeight="1">
      <c r="A637" s="8" t="s">
        <v>651</v>
      </c>
      <c r="B637" s="34" t="str">
        <f>VLOOKUP(A637,'Player Data'!A1:B734,2,FALSE)</f>
        <v>EDM</v>
      </c>
      <c r="C637" s="36">
        <f>((E637)*Settings!$C$12)+(F637*Settings!$C$2)+(G637*Settings!$C$3)+(H637*Settings!$C$4)+(I637*Settings!$C$5)+(K637*Settings!$C$9)+(N637*Settings!$C$6)+(J637*Settings!$C$8)+(O637*Settings!$C$7)+(P637*Settings!$C$14)+(Q637*Settings!$C$15)+(R637*Settings!$C$16)+(S637*Settings!$C$17)+(T637*Settings!$C$18)+(U637*Settings!$C$19)+(L637*Settings!$C$10)+(Settings!$C$11*M637)</f>
        <v>-5.8316120054957166</v>
      </c>
      <c r="D637" s="40">
        <f>IF(Settings!$E$12="YES",VLOOKUP(A637,'Player Data'!A1:E734,5,FALSE),82)</f>
        <v>82</v>
      </c>
      <c r="E637" s="38">
        <f>(VLOOKUP($A637,'The List'!$B1:$AH730,17,FALSE)-AVERAGE('The List'!R2:R730))/STDEV('The List'!R2:R730)</f>
        <v>-0.82135829184094833</v>
      </c>
      <c r="F637" s="38">
        <f>(VLOOKUP($A637,'The List'!$B1:$AH730,18,FALSE)-AVERAGE('The List'!S2:S730))/STDEV('The List'!S2:S730)</f>
        <v>-1.2208300757051922</v>
      </c>
      <c r="G637" s="38">
        <f>(VLOOKUP($A637,'The List'!$B1:$AH730,19,FALSE)-AVERAGE('The List'!T2:T730))/STDEV('The List'!T2:T730)</f>
        <v>-1.0180380917364089</v>
      </c>
      <c r="H637" s="38">
        <f>(VLOOKUP($A637,'The List'!$B1:$AH730,20,FALSE)-AVERAGE('The List'!U2:U730))/STDEV('The List'!U2:U730)</f>
        <v>-1.1931555491102761</v>
      </c>
      <c r="I637" s="38">
        <f>(VLOOKUP($A637,'The List'!$B1:$AH730,21,FALSE)-AVERAGE('The List'!V2:V730))/STDEV('The List'!V2:V730)</f>
        <v>-1.5814480517149809</v>
      </c>
      <c r="J637" s="38">
        <f>(VLOOKUP($A637,'The List'!$B1:$AH730,22,FALSE)-AVERAGE('The List'!W2:W730))/STDEV('The List'!W2:W730)</f>
        <v>-0.73394712944281737</v>
      </c>
      <c r="K637" s="38">
        <f>(VLOOKUP($A637,'The List'!$B1:$AH730,23,FALSE)-AVERAGE('The List'!X2:X730))/STDEV('The List'!X2:X730)</f>
        <v>-0.81814023722885854</v>
      </c>
      <c r="L637" s="38">
        <f>(VLOOKUP($A637,'The List'!$B1:$AH730,24,FALSE)-AVERAGE('The List'!Y2:Y730))/STDEV('The List'!Y2:Y730)</f>
        <v>-0.42117005708666966</v>
      </c>
      <c r="M637" s="38">
        <f>(VLOOKUP($A637,'The List'!$B1:$AH730,25,FALSE)-AVERAGE('The List'!Z2:Z730))/STDEV('The List'!Z2:Z730)</f>
        <v>0.91692462653339801</v>
      </c>
      <c r="N637" s="38">
        <f>(VLOOKUP($A637,'The List'!$B1:$AH730,26,FALSE)-AVERAGE('The List'!AA2:AA730))/STDEV('The List'!AA2:AA730)</f>
        <v>0.86688245732063185</v>
      </c>
      <c r="O637" s="38">
        <f>(VLOOKUP($A637,'The List'!$B1:$AH730,27,FALSE)-AVERAGE('The List'!AB2:AB730))/STDEV('The List'!AB2:AB730)</f>
        <v>-3.452553003740966E-3</v>
      </c>
      <c r="P637" s="38">
        <f>(VLOOKUP($A637,'The List'!$B1:$AH730,28,FALSE)-AVERAGE('The List'!AC2:AC730))/STDEV('The List'!AC2:AC730)</f>
        <v>1.2349066218055984</v>
      </c>
      <c r="Q637" s="38">
        <f>(VLOOKUP($A637,'The List'!$B1:$AH730,29,FALSE)-AVERAGE('The List'!AD2:AD730))/STDEV('The List'!AD2:AD730)</f>
        <v>0.86621267990036566</v>
      </c>
      <c r="R637" s="38">
        <f>(VLOOKUP($A637,'The List'!$B1:$AH730,30,FALSE)-AVERAGE('The List'!AE2:AE730))/STDEV('The List'!AE2:AE730)</f>
        <v>-1.0978529716697774</v>
      </c>
      <c r="S637" s="38">
        <f>(VLOOKUP($A637,'The List'!$B1:$AH730,31,FALSE)-AVERAGE('The List'!AF2:AF730))/STDEV('The List'!AF2:AF730)</f>
        <v>-0.56911587195029545</v>
      </c>
      <c r="T637" s="38">
        <f>(VLOOKUP($A637,'The List'!$B1:$AH730,32,FALSE)-AVERAGE('The List'!AG2:AG730))/STDEV('The List'!AG2:AG730)</f>
        <v>-0.61510119871956948</v>
      </c>
      <c r="U637" s="38">
        <f>(VLOOKUP($A637,'The List'!$B1:$AH730,33,FALSE)-AVERAGE('The List'!AH2:AH730))/STDEV('The List'!AH2:AH730)</f>
        <v>-1.2363238714825984</v>
      </c>
      <c r="V637" s="38"/>
      <c r="W637" s="40"/>
      <c r="X637" s="38"/>
      <c r="Y637" s="38"/>
      <c r="Z637" s="38"/>
      <c r="AA637" s="38"/>
      <c r="AB637" s="38"/>
      <c r="AC637" s="38"/>
      <c r="AD637" s="38"/>
      <c r="AE637" s="38"/>
    </row>
    <row r="638" spans="1:31" ht="21.2" customHeight="1">
      <c r="A638" s="8" t="s">
        <v>818</v>
      </c>
      <c r="B638" s="34" t="str">
        <f>VLOOKUP(A638,'Player Data'!A1:B734,2,FALSE)</f>
        <v>CGY</v>
      </c>
      <c r="C638" s="36">
        <f>((E638)*Settings!$C$12)+(F638*Settings!$C$2)+(G638*Settings!$C$3)+(H638*Settings!$C$4)+(I638*Settings!$C$5)+(K638*Settings!$C$9)+(N638*Settings!$C$6)+(J638*Settings!$C$8)+(O638*Settings!$C$7)+(P638*Settings!$C$14)+(Q638*Settings!$C$15)+(R638*Settings!$C$16)+(S638*Settings!$C$17)+(T638*Settings!$C$18)+(U638*Settings!$C$19)+(L638*Settings!$C$10)+(Settings!$C$11*M638)</f>
        <v>-5.4379130103180264</v>
      </c>
      <c r="D638" s="40">
        <f>IF(Settings!$E$12="YES",VLOOKUP(A638,'Player Data'!A1:E734,5,FALSE),82)</f>
        <v>82</v>
      </c>
      <c r="E638" s="38">
        <f>(VLOOKUP($A638,'The List'!$B1:$AH730,17,FALSE)-AVERAGE('The List'!R2:R730))/STDEV('The List'!R2:R730)</f>
        <v>-2.0737048901277331</v>
      </c>
      <c r="F638" s="38">
        <f>(VLOOKUP($A638,'The List'!$B1:$AH730,18,FALSE)-AVERAGE('The List'!S2:S730))/STDEV('The List'!S2:S730)</f>
        <v>-0.8495054731574182</v>
      </c>
      <c r="G638" s="38">
        <f>(VLOOKUP($A638,'The List'!$B1:$AH730,19,FALSE)-AVERAGE('The List'!T2:T730))/STDEV('The List'!T2:T730)</f>
        <v>-1.2999263668067953</v>
      </c>
      <c r="H638" s="38">
        <f>(VLOOKUP($A638,'The List'!$B1:$AH730,20,FALSE)-AVERAGE('The List'!U2:U730))/STDEV('The List'!U2:U730)</f>
        <v>-1.1937681538691112</v>
      </c>
      <c r="I638" s="38">
        <f>(VLOOKUP($A638,'The List'!$B1:$AH730,21,FALSE)-AVERAGE('The List'!V2:V730))/STDEV('The List'!V2:V730)</f>
        <v>-1.2842259197539279</v>
      </c>
      <c r="J638" s="38">
        <f>(VLOOKUP($A638,'The List'!$B1:$AH730,22,FALSE)-AVERAGE('The List'!W2:W730))/STDEV('The List'!W2:W730)</f>
        <v>-0.72107566807293821</v>
      </c>
      <c r="K638" s="38">
        <f>(VLOOKUP($A638,'The List'!$B1:$AH730,23,FALSE)-AVERAGE('The List'!X2:X730))/STDEV('The List'!X2:X730)</f>
        <v>-0.81048709673077413</v>
      </c>
      <c r="L638" s="38">
        <f>(VLOOKUP($A638,'The List'!$B1:$AH730,24,FALSE)-AVERAGE('The List'!Y2:Y730))/STDEV('The List'!Y2:Y730)</f>
        <v>-0.44400792695282559</v>
      </c>
      <c r="M638" s="38">
        <f>(VLOOKUP($A638,'The List'!$B1:$AH730,25,FALSE)-AVERAGE('The List'!Z2:Z730))/STDEV('The List'!Z2:Z730)</f>
        <v>-0.64840629970279906</v>
      </c>
      <c r="N638" s="38">
        <f>(VLOOKUP($A638,'The List'!$B1:$AH730,26,FALSE)-AVERAGE('The List'!AA2:AA730))/STDEV('The List'!AA2:AA730)</f>
        <v>-0.72539936628254242</v>
      </c>
      <c r="O638" s="38">
        <f>(VLOOKUP($A638,'The List'!$B1:$AH730,27,FALSE)-AVERAGE('The List'!AB2:AB730))/STDEV('The List'!AB2:AB730)</f>
        <v>-1.7068423480704625E-2</v>
      </c>
      <c r="P638" s="38">
        <f>(VLOOKUP($A638,'The List'!$B1:$AH730,28,FALSE)-AVERAGE('The List'!AC2:AC730))/STDEV('The List'!AC2:AC730)</f>
        <v>0.1213281102196665</v>
      </c>
      <c r="Q638" s="38">
        <f>(VLOOKUP($A638,'The List'!$B1:$AH730,29,FALSE)-AVERAGE('The List'!AD2:AD730))/STDEV('The List'!AD2:AD730)</f>
        <v>-0.78101218879907719</v>
      </c>
      <c r="R638" s="38">
        <f>(VLOOKUP($A638,'The List'!$B1:$AH730,30,FALSE)-AVERAGE('The List'!AE2:AE730))/STDEV('The List'!AE2:AE730)</f>
        <v>-0.68523180843300746</v>
      </c>
      <c r="S638" s="38">
        <f>(VLOOKUP($A638,'The List'!$B1:$AH730,31,FALSE)-AVERAGE('The List'!AF2:AF730))/STDEV('The List'!AF2:AF730)</f>
        <v>0.33591472222540397</v>
      </c>
      <c r="T638" s="38">
        <f>(VLOOKUP($A638,'The List'!$B1:$AH730,32,FALSE)-AVERAGE('The List'!AG2:AG730))/STDEV('The List'!AG2:AG730)</f>
        <v>0.57049101285386328</v>
      </c>
      <c r="U638" s="38">
        <f>(VLOOKUP($A638,'The List'!$B1:$AH730,33,FALSE)-AVERAGE('The List'!AH2:AH730))/STDEV('The List'!AH2:AH730)</f>
        <v>0.77373349653421997</v>
      </c>
      <c r="V638" s="38"/>
      <c r="W638" s="40"/>
      <c r="X638" s="38"/>
      <c r="Y638" s="38"/>
      <c r="Z638" s="38"/>
      <c r="AA638" s="38"/>
      <c r="AB638" s="38"/>
      <c r="AC638" s="38"/>
      <c r="AD638" s="38"/>
      <c r="AE638" s="38"/>
    </row>
    <row r="639" spans="1:31" ht="21.2" customHeight="1">
      <c r="A639" s="8" t="s">
        <v>588</v>
      </c>
      <c r="B639" s="34" t="str">
        <f>VLOOKUP(A639,'Player Data'!A1:B734,2,FALSE)</f>
        <v>SJS</v>
      </c>
      <c r="C639" s="36">
        <f>((E639)*Settings!$C$12)+(F639*Settings!$C$2)+(G639*Settings!$C$3)+(H639*Settings!$C$4)+(I639*Settings!$C$5)+(K639*Settings!$C$9)+(N639*Settings!$C$6)+(J639*Settings!$C$8)+(O639*Settings!$C$7)+(P639*Settings!$C$14)+(Q639*Settings!$C$15)+(R639*Settings!$C$16)+(S639*Settings!$C$17)+(T639*Settings!$C$18)+(U639*Settings!$C$19)+(L639*Settings!$C$10)+(Settings!$C$11*M639)</f>
        <v>-5.174065841401938</v>
      </c>
      <c r="D639" s="40">
        <f>IF(Settings!$E$12="YES",VLOOKUP(A639,'Player Data'!A1:E734,5,FALSE),82)</f>
        <v>82</v>
      </c>
      <c r="E639" s="38">
        <f>(VLOOKUP($A639,'The List'!$B1:$AH730,17,FALSE)-AVERAGE('The List'!R2:R730))/STDEV('The List'!R2:R730)</f>
        <v>5.0944242762557053E-2</v>
      </c>
      <c r="F639" s="38">
        <f>(VLOOKUP($A639,'The List'!$B1:$AH730,18,FALSE)-AVERAGE('The List'!S2:S730))/STDEV('The List'!S2:S730)</f>
        <v>-1.056050621110789</v>
      </c>
      <c r="G639" s="38">
        <f>(VLOOKUP($A639,'The List'!$B1:$AH730,19,FALSE)-AVERAGE('The List'!T2:T730))/STDEV('The List'!T2:T730)</f>
        <v>-1.1472076253715795</v>
      </c>
      <c r="H639" s="38">
        <f>(VLOOKUP($A639,'The List'!$B1:$AH730,20,FALSE)-AVERAGE('The List'!U2:U730))/STDEV('The List'!U2:U730)</f>
        <v>-1.1959337684425781</v>
      </c>
      <c r="I639" s="38">
        <f>(VLOOKUP($A639,'The List'!$B1:$AH730,21,FALSE)-AVERAGE('The List'!V2:V730))/STDEV('The List'!V2:V730)</f>
        <v>-1.033720982130601</v>
      </c>
      <c r="J639" s="38">
        <f>(VLOOKUP($A639,'The List'!$B1:$AH730,22,FALSE)-AVERAGE('The List'!W2:W730))/STDEV('The List'!W2:W730)</f>
        <v>-0.70445254975572313</v>
      </c>
      <c r="K639" s="38">
        <f>(VLOOKUP($A639,'The List'!$B1:$AH730,23,FALSE)-AVERAGE('The List'!X2:X730))/STDEV('The List'!X2:X730)</f>
        <v>-0.74115284434639095</v>
      </c>
      <c r="L639" s="38">
        <f>(VLOOKUP($A639,'The List'!$B1:$AH730,24,FALSE)-AVERAGE('The List'!Y2:Y730))/STDEV('The List'!Y2:Y730)</f>
        <v>-0.49000899418135263</v>
      </c>
      <c r="M639" s="38">
        <f>(VLOOKUP($A639,'The List'!$B1:$AH730,25,FALSE)-AVERAGE('The List'!Z2:Z730))/STDEV('The List'!Z2:Z730)</f>
        <v>-0.62228878878831584</v>
      </c>
      <c r="N639" s="38">
        <f>(VLOOKUP($A639,'The List'!$B1:$AH730,26,FALSE)-AVERAGE('The List'!AA2:AA730))/STDEV('The List'!AA2:AA730)</f>
        <v>1.5076514804718677</v>
      </c>
      <c r="O639" s="38">
        <f>(VLOOKUP($A639,'The List'!$B1:$AH730,27,FALSE)-AVERAGE('The List'!AB2:AB730))/STDEV('The List'!AB2:AB730)</f>
        <v>1.3196175857960895</v>
      </c>
      <c r="P639" s="38">
        <f>(VLOOKUP($A639,'The List'!$B1:$AH730,28,FALSE)-AVERAGE('The List'!AC2:AC730))/STDEV('The List'!AC2:AC730)</f>
        <v>-0.26784999291041139</v>
      </c>
      <c r="Q639" s="38">
        <f>(VLOOKUP($A639,'The List'!$B1:$AH730,29,FALSE)-AVERAGE('The List'!AD2:AD730))/STDEV('The List'!AD2:AD730)</f>
        <v>0.49707694240483247</v>
      </c>
      <c r="R639" s="38">
        <f>(VLOOKUP($A639,'The List'!$B1:$AH730,30,FALSE)-AVERAGE('The List'!AE2:AE730))/STDEV('The List'!AE2:AE730)</f>
        <v>-0.99777836228254446</v>
      </c>
      <c r="S639" s="38">
        <f>(VLOOKUP($A639,'The List'!$B1:$AH730,31,FALSE)-AVERAGE('The List'!AF2:AF730))/STDEV('The List'!AF2:AF730)</f>
        <v>-0.56911587195029545</v>
      </c>
      <c r="T639" s="38">
        <f>(VLOOKUP($A639,'The List'!$B1:$AH730,32,FALSE)-AVERAGE('The List'!AG2:AG730))/STDEV('The List'!AG2:AG730)</f>
        <v>-0.61510119871956948</v>
      </c>
      <c r="U639" s="38">
        <f>(VLOOKUP($A639,'The List'!$B1:$AH730,33,FALSE)-AVERAGE('The List'!AH2:AH730))/STDEV('The List'!AH2:AH730)</f>
        <v>-1.2363238714825984</v>
      </c>
      <c r="V639" s="38"/>
      <c r="W639" s="40"/>
      <c r="X639" s="38"/>
      <c r="Y639" s="38"/>
      <c r="Z639" s="38"/>
      <c r="AA639" s="38"/>
      <c r="AB639" s="38"/>
      <c r="AC639" s="38"/>
      <c r="AD639" s="38"/>
      <c r="AE639" s="38"/>
    </row>
    <row r="640" spans="1:31" ht="21.2" customHeight="1">
      <c r="A640" s="8" t="s">
        <v>794</v>
      </c>
      <c r="B640" s="34" t="str">
        <f>VLOOKUP(A640,'Player Data'!A1:B734,2,FALSE)</f>
        <v>SJS</v>
      </c>
      <c r="C640" s="36">
        <f>((E640)*Settings!$C$12)+(F640*Settings!$C$2)+(G640*Settings!$C$3)+(H640*Settings!$C$4)+(I640*Settings!$C$5)+(K640*Settings!$C$9)+(N640*Settings!$C$6)+(J640*Settings!$C$8)+(O640*Settings!$C$7)+(P640*Settings!$C$14)+(Q640*Settings!$C$15)+(R640*Settings!$C$16)+(S640*Settings!$C$17)+(T640*Settings!$C$18)+(U640*Settings!$C$19)+(L640*Settings!$C$10)+(Settings!$C$11*M640)</f>
        <v>-5.5446315249577207</v>
      </c>
      <c r="D640" s="40">
        <f>IF(Settings!$E$12="YES",VLOOKUP(A640,'Player Data'!A1:E734,5,FALSE),82)</f>
        <v>82</v>
      </c>
      <c r="E640" s="38">
        <f>(VLOOKUP($A640,'The List'!$B1:$AH730,17,FALSE)-AVERAGE('The List'!R2:R730))/STDEV('The List'!R2:R730)</f>
        <v>-2.5452803443499725</v>
      </c>
      <c r="F640" s="38">
        <f>(VLOOKUP($A640,'The List'!$B1:$AH730,18,FALSE)-AVERAGE('The List'!S2:S730))/STDEV('The List'!S2:S730)</f>
        <v>-0.90847529019934659</v>
      </c>
      <c r="G640" s="38">
        <f>(VLOOKUP($A640,'The List'!$B1:$AH730,19,FALSE)-AVERAGE('The List'!T2:T730))/STDEV('The List'!T2:T730)</f>
        <v>-1.289844787025584</v>
      </c>
      <c r="H640" s="38">
        <f>(VLOOKUP($A640,'The List'!$B1:$AH730,20,FALSE)-AVERAGE('The List'!U2:U730))/STDEV('The List'!U2:U730)</f>
        <v>-1.2149861097467289</v>
      </c>
      <c r="I640" s="38">
        <f>(VLOOKUP($A640,'The List'!$B1:$AH730,21,FALSE)-AVERAGE('The List'!V2:V730))/STDEV('The List'!V2:V730)</f>
        <v>-1.3189828547776477</v>
      </c>
      <c r="J640" s="38">
        <f>(VLOOKUP($A640,'The List'!$B1:$AH730,22,FALSE)-AVERAGE('The List'!W2:W730))/STDEV('The List'!W2:W730)</f>
        <v>-0.72226156882419745</v>
      </c>
      <c r="K640" s="38">
        <f>(VLOOKUP($A640,'The List'!$B1:$AH730,23,FALSE)-AVERAGE('The List'!X2:X730))/STDEV('The List'!X2:X730)</f>
        <v>-0.81234248320841318</v>
      </c>
      <c r="L640" s="38">
        <f>(VLOOKUP($A640,'The List'!$B1:$AH730,24,FALSE)-AVERAGE('The List'!Y2:Y730))/STDEV('The List'!Y2:Y730)</f>
        <v>-0.51683930522621957</v>
      </c>
      <c r="M640" s="38">
        <f>(VLOOKUP($A640,'The List'!$B1:$AH730,25,FALSE)-AVERAGE('The List'!Z2:Z730))/STDEV('The List'!Z2:Z730)</f>
        <v>-0.69402898418530667</v>
      </c>
      <c r="N640" s="38">
        <f>(VLOOKUP($A640,'The List'!$B1:$AH730,26,FALSE)-AVERAGE('The List'!AA2:AA730))/STDEV('The List'!AA2:AA730)</f>
        <v>-1.0375225833614057</v>
      </c>
      <c r="O640" s="38">
        <f>(VLOOKUP($A640,'The List'!$B1:$AH730,27,FALSE)-AVERAGE('The List'!AB2:AB730))/STDEV('The List'!AB2:AB730)</f>
        <v>0.41445948717142128</v>
      </c>
      <c r="P640" s="38">
        <f>(VLOOKUP($A640,'The List'!$B1:$AH730,28,FALSE)-AVERAGE('The List'!AC2:AC730))/STDEV('The List'!AC2:AC730)</f>
        <v>-0.18441421427766663</v>
      </c>
      <c r="Q640" s="38">
        <f>(VLOOKUP($A640,'The List'!$B1:$AH730,29,FALSE)-AVERAGE('The List'!AD2:AD730))/STDEV('The List'!AD2:AD730)</f>
        <v>2.0365817393576209</v>
      </c>
      <c r="R640" s="38">
        <f>(VLOOKUP($A640,'The List'!$B1:$AH730,30,FALSE)-AVERAGE('The List'!AE2:AE730))/STDEV('The List'!AE2:AE730)</f>
        <v>-0.87846025790863469</v>
      </c>
      <c r="S640" s="38">
        <f>(VLOOKUP($A640,'The List'!$B1:$AH730,31,FALSE)-AVERAGE('The List'!AF2:AF730))/STDEV('The List'!AF2:AF730)</f>
        <v>-0.56839203974575248</v>
      </c>
      <c r="T640" s="38">
        <f>(VLOOKUP($A640,'The List'!$B1:$AH730,32,FALSE)-AVERAGE('The List'!AG2:AG730))/STDEV('The List'!AG2:AG730)</f>
        <v>-0.61268382961287338</v>
      </c>
      <c r="U640" s="38">
        <f>(VLOOKUP($A640,'The List'!$B1:$AH730,33,FALSE)-AVERAGE('The List'!AH2:AH730))/STDEV('The List'!AH2:AH730)</f>
        <v>-0.15553367335595664</v>
      </c>
      <c r="V640" s="38"/>
      <c r="W640" s="40"/>
      <c r="X640" s="38"/>
      <c r="Y640" s="38"/>
      <c r="Z640" s="38"/>
      <c r="AA640" s="38"/>
      <c r="AB640" s="38"/>
      <c r="AC640" s="38"/>
      <c r="AD640" s="38"/>
      <c r="AE640" s="38"/>
    </row>
    <row r="641" spans="1:31" ht="21.2" customHeight="1">
      <c r="A641" s="8" t="s">
        <v>654</v>
      </c>
      <c r="B641" s="34" t="str">
        <f>VLOOKUP(A641,'Player Data'!A1:B734,2,FALSE)</f>
        <v>LAK</v>
      </c>
      <c r="C641" s="36">
        <f>((E641)*Settings!$C$12)+(F641*Settings!$C$2)+(G641*Settings!$C$3)+(H641*Settings!$C$4)+(I641*Settings!$C$5)+(K641*Settings!$C$9)+(N641*Settings!$C$6)+(J641*Settings!$C$8)+(O641*Settings!$C$7)+(P641*Settings!$C$14)+(Q641*Settings!$C$15)+(R641*Settings!$C$16)+(S641*Settings!$C$17)+(T641*Settings!$C$18)+(U641*Settings!$C$19)+(L641*Settings!$C$10)+(Settings!$C$11*M641)</f>
        <v>-5.6579259266747481</v>
      </c>
      <c r="D641" s="40">
        <f>IF(Settings!$E$12="YES",VLOOKUP(A641,'Player Data'!A1:E734,5,FALSE),82)</f>
        <v>82</v>
      </c>
      <c r="E641" s="38">
        <f>(VLOOKUP($A641,'The List'!$B1:$AH730,17,FALSE)-AVERAGE('The List'!R2:R730))/STDEV('The List'!R2:R730)</f>
        <v>-0.61722712621169984</v>
      </c>
      <c r="F641" s="38">
        <f>(VLOOKUP($A641,'The List'!$B1:$AH730,18,FALSE)-AVERAGE('The List'!S2:S730))/STDEV('The List'!S2:S730)</f>
        <v>-1.2302243730540152</v>
      </c>
      <c r="G641" s="38">
        <f>(VLOOKUP($A641,'The List'!$B1:$AH730,19,FALSE)-AVERAGE('The List'!T2:T730))/STDEV('The List'!T2:T730)</f>
        <v>-1.0481343795603804</v>
      </c>
      <c r="H641" s="38">
        <f>(VLOOKUP($A641,'The List'!$B1:$AH730,20,FALSE)-AVERAGE('The List'!U2:U730))/STDEV('The List'!U2:U730)</f>
        <v>-1.2160180582747087</v>
      </c>
      <c r="I641" s="38">
        <f>(VLOOKUP($A641,'The List'!$B1:$AH730,21,FALSE)-AVERAGE('The List'!V2:V730))/STDEV('The List'!V2:V730)</f>
        <v>-1.3458379531091633</v>
      </c>
      <c r="J641" s="38">
        <f>(VLOOKUP($A641,'The List'!$B1:$AH730,22,FALSE)-AVERAGE('The List'!W2:W730))/STDEV('The List'!W2:W730)</f>
        <v>-0.73356963764299898</v>
      </c>
      <c r="K641" s="38">
        <f>(VLOOKUP($A641,'The List'!$B1:$AH730,23,FALSE)-AVERAGE('The List'!X2:X730))/STDEV('The List'!X2:X730)</f>
        <v>-0.81771116267648003</v>
      </c>
      <c r="L641" s="38">
        <f>(VLOOKUP($A641,'The List'!$B1:$AH730,24,FALSE)-AVERAGE('The List'!Y2:Y730))/STDEV('The List'!Y2:Y730)</f>
        <v>-0.47662026361837495</v>
      </c>
      <c r="M641" s="38">
        <f>(VLOOKUP($A641,'The List'!$B1:$AH730,25,FALSE)-AVERAGE('The List'!Z2:Z730))/STDEV('The List'!Z2:Z730)</f>
        <v>-0.56408518231208393</v>
      </c>
      <c r="N641" s="38">
        <f>(VLOOKUP($A641,'The List'!$B1:$AH730,26,FALSE)-AVERAGE('The List'!AA2:AA730))/STDEV('The List'!AA2:AA730)</f>
        <v>0.17205910344146969</v>
      </c>
      <c r="O641" s="38">
        <f>(VLOOKUP($A641,'The List'!$B1:$AH730,27,FALSE)-AVERAGE('The List'!AB2:AB730))/STDEV('The List'!AB2:AB730)</f>
        <v>-0.28526864840641214</v>
      </c>
      <c r="P641" s="38">
        <f>(VLOOKUP($A641,'The List'!$B1:$AH730,28,FALSE)-AVERAGE('The List'!AC2:AC730))/STDEV('The List'!AC2:AC730)</f>
        <v>-0.25406803347863238</v>
      </c>
      <c r="Q641" s="38">
        <f>(VLOOKUP($A641,'The List'!$B1:$AH730,29,FALSE)-AVERAGE('The List'!AD2:AD730))/STDEV('The List'!AD2:AD730)</f>
        <v>-0.94476270580620003</v>
      </c>
      <c r="R641" s="38">
        <f>(VLOOKUP($A641,'The List'!$B1:$AH730,30,FALSE)-AVERAGE('The List'!AE2:AE730))/STDEV('The List'!AE2:AE730)</f>
        <v>-1.1168454666071117</v>
      </c>
      <c r="S641" s="38">
        <f>(VLOOKUP($A641,'The List'!$B1:$AH730,31,FALSE)-AVERAGE('The List'!AF2:AF730))/STDEV('The List'!AF2:AF730)</f>
        <v>-0.56911587195029545</v>
      </c>
      <c r="T641" s="38">
        <f>(VLOOKUP($A641,'The List'!$B1:$AH730,32,FALSE)-AVERAGE('The List'!AG2:AG730))/STDEV('The List'!AG2:AG730)</f>
        <v>-0.61510119871956948</v>
      </c>
      <c r="U641" s="38">
        <f>(VLOOKUP($A641,'The List'!$B1:$AH730,33,FALSE)-AVERAGE('The List'!AH2:AH730))/STDEV('The List'!AH2:AH730)</f>
        <v>-1.2363238714825984</v>
      </c>
      <c r="V641" s="38"/>
      <c r="W641" s="40"/>
      <c r="X641" s="38"/>
      <c r="Y641" s="38"/>
      <c r="Z641" s="38"/>
      <c r="AA641" s="38"/>
      <c r="AB641" s="38"/>
      <c r="AC641" s="38"/>
      <c r="AD641" s="38"/>
      <c r="AE641" s="38"/>
    </row>
    <row r="642" spans="1:31" ht="21.2" customHeight="1">
      <c r="A642" s="8" t="s">
        <v>789</v>
      </c>
      <c r="B642" s="34" t="str">
        <f>VLOOKUP(A642,'Player Data'!A1:B734,2,FALSE)</f>
        <v>PHI</v>
      </c>
      <c r="C642" s="36">
        <f>((E642)*Settings!$C$12)+(F642*Settings!$C$2)+(G642*Settings!$C$3)+(H642*Settings!$C$4)+(I642*Settings!$C$5)+(K642*Settings!$C$9)+(N642*Settings!$C$6)+(J642*Settings!$C$8)+(O642*Settings!$C$7)+(P642*Settings!$C$14)+(Q642*Settings!$C$15)+(R642*Settings!$C$16)+(S642*Settings!$C$17)+(T642*Settings!$C$18)+(U642*Settings!$C$19)+(L642*Settings!$C$10)+(Settings!$C$11*M642)</f>
        <v>-5.3846071864428602</v>
      </c>
      <c r="D642" s="40">
        <f>IF(Settings!$E$12="YES",VLOOKUP(A642,'Player Data'!A1:E734,5,FALSE),82)</f>
        <v>82</v>
      </c>
      <c r="E642" s="38">
        <f>(VLOOKUP($A642,'The List'!$B1:$AH730,17,FALSE)-AVERAGE('The List'!R2:R730))/STDEV('The List'!R2:R730)</f>
        <v>-1.8738432209475961</v>
      </c>
      <c r="F642" s="38">
        <f>(VLOOKUP($A642,'The List'!$B1:$AH730,18,FALSE)-AVERAGE('The List'!S2:S730))/STDEV('The List'!S2:S730)</f>
        <v>-0.83064805257629937</v>
      </c>
      <c r="G642" s="38">
        <f>(VLOOKUP($A642,'The List'!$B1:$AH730,19,FALSE)-AVERAGE('The List'!T2:T730))/STDEV('The List'!T2:T730)</f>
        <v>-1.363313746887187</v>
      </c>
      <c r="H642" s="38">
        <f>(VLOOKUP($A642,'The List'!$B1:$AH730,20,FALSE)-AVERAGE('The List'!U2:U730))/STDEV('The List'!U2:U730)</f>
        <v>-1.2239558843616323</v>
      </c>
      <c r="I642" s="38">
        <f>(VLOOKUP($A642,'The List'!$B1:$AH730,21,FALSE)-AVERAGE('The List'!V2:V730))/STDEV('The List'!V2:V730)</f>
        <v>-1.1545589603716959</v>
      </c>
      <c r="J642" s="38">
        <f>(VLOOKUP($A642,'The List'!$B1:$AH730,22,FALSE)-AVERAGE('The List'!W2:W730))/STDEV('The List'!W2:W730)</f>
        <v>-0.72314518087752555</v>
      </c>
      <c r="K642" s="38">
        <f>(VLOOKUP($A642,'The List'!$B1:$AH730,23,FALSE)-AVERAGE('The List'!X2:X730))/STDEV('The List'!X2:X730)</f>
        <v>-0.81213054224604586</v>
      </c>
      <c r="L642" s="38">
        <f>(VLOOKUP($A642,'The List'!$B1:$AH730,24,FALSE)-AVERAGE('The List'!Y2:Y730))/STDEV('The List'!Y2:Y730)</f>
        <v>-0.30528794935017517</v>
      </c>
      <c r="M642" s="38">
        <f>(VLOOKUP($A642,'The List'!$B1:$AH730,25,FALSE)-AVERAGE('The List'!Z2:Z730))/STDEV('The List'!Z2:Z730)</f>
        <v>-0.57432051967299846</v>
      </c>
      <c r="N642" s="38">
        <f>(VLOOKUP($A642,'The List'!$B1:$AH730,26,FALSE)-AVERAGE('The List'!AA2:AA730))/STDEV('The List'!AA2:AA730)</f>
        <v>-0.87595224922384718</v>
      </c>
      <c r="O642" s="38">
        <f>(VLOOKUP($A642,'The List'!$B1:$AH730,27,FALSE)-AVERAGE('The List'!AB2:AB730))/STDEV('The List'!AB2:AB730)</f>
        <v>3.0802087394936657</v>
      </c>
      <c r="P642" s="38">
        <f>(VLOOKUP($A642,'The List'!$B1:$AH730,28,FALSE)-AVERAGE('The List'!AC2:AC730))/STDEV('The List'!AC2:AC730)</f>
        <v>-1.6903508656668729</v>
      </c>
      <c r="Q642" s="38">
        <f>(VLOOKUP($A642,'The List'!$B1:$AH730,29,FALSE)-AVERAGE('The List'!AD2:AD730))/STDEV('The List'!AD2:AD730)</f>
        <v>2.1657569173437206</v>
      </c>
      <c r="R642" s="38">
        <f>(VLOOKUP($A642,'The List'!$B1:$AH730,30,FALSE)-AVERAGE('The List'!AE2:AE730))/STDEV('The List'!AE2:AE730)</f>
        <v>-0.83875127524876214</v>
      </c>
      <c r="S642" s="38">
        <f>(VLOOKUP($A642,'The List'!$B1:$AH730,31,FALSE)-AVERAGE('The List'!AF2:AF730))/STDEV('The List'!AF2:AF730)</f>
        <v>-0.55830211859416434</v>
      </c>
      <c r="T642" s="38">
        <f>(VLOOKUP($A642,'The List'!$B1:$AH730,32,FALSE)-AVERAGE('The List'!AG2:AG730))/STDEV('The List'!AG2:AG730)</f>
        <v>-0.58271089434644951</v>
      </c>
      <c r="U642" s="38">
        <f>(VLOOKUP($A642,'The List'!$B1:$AH730,33,FALSE)-AVERAGE('The List'!AH2:AH730))/STDEV('The List'!AH2:AH730)</f>
        <v>-6.3535404016694733E-2</v>
      </c>
      <c r="V642" s="38"/>
      <c r="W642" s="40"/>
      <c r="X642" s="38"/>
      <c r="Y642" s="38"/>
      <c r="Z642" s="38"/>
      <c r="AA642" s="38"/>
      <c r="AB642" s="38"/>
      <c r="AC642" s="38"/>
      <c r="AD642" s="38"/>
      <c r="AE642" s="38"/>
    </row>
    <row r="643" spans="1:31" ht="21.2" customHeight="1">
      <c r="A643" s="8" t="s">
        <v>629</v>
      </c>
      <c r="B643" s="34" t="str">
        <f>VLOOKUP(A643,'Player Data'!A1:B734,2,FALSE)</f>
        <v>NJD</v>
      </c>
      <c r="C643" s="36">
        <f>((E643)*Settings!$C$12)+(F643*Settings!$C$2)+(G643*Settings!$C$3)+(H643*Settings!$C$4)+(I643*Settings!$C$5)+(K643*Settings!$C$9)+(N643*Settings!$C$6)+(J643*Settings!$C$8)+(O643*Settings!$C$7)+(P643*Settings!$C$14)+(Q643*Settings!$C$15)+(R643*Settings!$C$16)+(S643*Settings!$C$17)+(T643*Settings!$C$18)+(U643*Settings!$C$19)+(L643*Settings!$C$10)+(Settings!$C$11*M643)</f>
        <v>-5.2276425160348703</v>
      </c>
      <c r="D643" s="40">
        <f>IF(Settings!$E$12="YES",VLOOKUP(A643,'Player Data'!A1:E734,5,FALSE),82)</f>
        <v>82</v>
      </c>
      <c r="E643" s="38">
        <f>(VLOOKUP($A643,'The List'!$B1:$AH730,17,FALSE)-AVERAGE('The List'!R2:R730))/STDEV('The List'!R2:R730)</f>
        <v>-0.25786357147761363</v>
      </c>
      <c r="F643" s="38">
        <f>(VLOOKUP($A643,'The List'!$B1:$AH730,18,FALSE)-AVERAGE('The List'!S2:S730))/STDEV('The List'!S2:S730)</f>
        <v>-1.0365058657178599</v>
      </c>
      <c r="G643" s="38">
        <f>(VLOOKUP($A643,'The List'!$B1:$AH730,19,FALSE)-AVERAGE('The List'!T2:T730))/STDEV('The List'!T2:T730)</f>
        <v>-1.2191550733651995</v>
      </c>
      <c r="H643" s="38">
        <f>(VLOOKUP($A643,'The List'!$B1:$AH730,20,FALSE)-AVERAGE('The List'!U2:U730))/STDEV('The List'!U2:U730)</f>
        <v>-1.2310624739165363</v>
      </c>
      <c r="I643" s="38">
        <f>(VLOOKUP($A643,'The List'!$B1:$AH730,21,FALSE)-AVERAGE('The List'!V2:V730))/STDEV('The List'!V2:V730)</f>
        <v>-0.93030308812159457</v>
      </c>
      <c r="J643" s="38">
        <f>(VLOOKUP($A643,'The List'!$B1:$AH730,22,FALSE)-AVERAGE('The List'!W2:W730))/STDEV('The List'!W2:W730)</f>
        <v>-0.73159784801893046</v>
      </c>
      <c r="K643" s="38">
        <f>(VLOOKUP($A643,'The List'!$B1:$AH730,23,FALSE)-AVERAGE('The List'!X2:X730))/STDEV('The List'!X2:X730)</f>
        <v>-0.81061601491368018</v>
      </c>
      <c r="L643" s="38">
        <f>(VLOOKUP($A643,'The List'!$B1:$AH730,24,FALSE)-AVERAGE('The List'!Y2:Y730))/STDEV('The List'!Y2:Y730)</f>
        <v>-0.55549853376123548</v>
      </c>
      <c r="M643" s="38">
        <f>(VLOOKUP($A643,'The List'!$B1:$AH730,25,FALSE)-AVERAGE('The List'!Z2:Z730))/STDEV('The List'!Z2:Z730)</f>
        <v>-0.12595550185777146</v>
      </c>
      <c r="N643" s="38">
        <f>(VLOOKUP($A643,'The List'!$B1:$AH730,26,FALSE)-AVERAGE('The List'!AA2:AA730))/STDEV('The List'!AA2:AA730)</f>
        <v>0.80526356702655189</v>
      </c>
      <c r="O643" s="38">
        <f>(VLOOKUP($A643,'The List'!$B1:$AH730,27,FALSE)-AVERAGE('The List'!AB2:AB730))/STDEV('The List'!AB2:AB730)</f>
        <v>0.64752849856367178</v>
      </c>
      <c r="P643" s="38">
        <f>(VLOOKUP($A643,'The List'!$B1:$AH730,28,FALSE)-AVERAGE('The List'!AC2:AC730))/STDEV('The List'!AC2:AC730)</f>
        <v>-0.11585224373082977</v>
      </c>
      <c r="Q643" s="38">
        <f>(VLOOKUP($A643,'The List'!$B1:$AH730,29,FALSE)-AVERAGE('The List'!AD2:AD730))/STDEV('The List'!AD2:AD730)</f>
        <v>2.7016867256197212</v>
      </c>
      <c r="R643" s="38">
        <f>(VLOOKUP($A643,'The List'!$B1:$AH730,30,FALSE)-AVERAGE('The List'!AE2:AE730))/STDEV('The List'!AE2:AE730)</f>
        <v>-0.93241436805533717</v>
      </c>
      <c r="S643" s="38">
        <f>(VLOOKUP($A643,'The List'!$B1:$AH730,31,FALSE)-AVERAGE('The List'!AF2:AF730))/STDEV('The List'!AF2:AF730)</f>
        <v>-0.56911587195029545</v>
      </c>
      <c r="T643" s="38">
        <f>(VLOOKUP($A643,'The List'!$B1:$AH730,32,FALSE)-AVERAGE('The List'!AG2:AG730))/STDEV('The List'!AG2:AG730)</f>
        <v>-0.61510119871956948</v>
      </c>
      <c r="U643" s="38">
        <f>(VLOOKUP($A643,'The List'!$B1:$AH730,33,FALSE)-AVERAGE('The List'!AH2:AH730))/STDEV('The List'!AH2:AH730)</f>
        <v>-1.2363238714825984</v>
      </c>
      <c r="V643" s="38"/>
      <c r="W643" s="40"/>
      <c r="X643" s="38"/>
      <c r="Y643" s="38"/>
      <c r="Z643" s="38"/>
      <c r="AA643" s="38"/>
      <c r="AB643" s="38"/>
      <c r="AC643" s="38"/>
      <c r="AD643" s="38"/>
      <c r="AE643" s="38"/>
    </row>
    <row r="644" spans="1:31" ht="21.2" customHeight="1">
      <c r="A644" s="8" t="s">
        <v>674</v>
      </c>
      <c r="B644" s="34" t="str">
        <f>VLOOKUP(A644,'Player Data'!A1:B734,2,FALSE)</f>
        <v>DAL</v>
      </c>
      <c r="C644" s="36">
        <f>((E644)*Settings!$C$12)+(F644*Settings!$C$2)+(G644*Settings!$C$3)+(H644*Settings!$C$4)+(I644*Settings!$C$5)+(K644*Settings!$C$9)+(N644*Settings!$C$6)+(J644*Settings!$C$8)+(O644*Settings!$C$7)+(P644*Settings!$C$14)+(Q644*Settings!$C$15)+(R644*Settings!$C$16)+(S644*Settings!$C$17)+(T644*Settings!$C$18)+(U644*Settings!$C$19)+(L644*Settings!$C$10)+(Settings!$C$11*M644)</f>
        <v>-5.9895614062339551</v>
      </c>
      <c r="D644" s="40">
        <f>IF(Settings!$E$12="YES",VLOOKUP(A644,'Player Data'!A1:E734,5,FALSE),82)</f>
        <v>82</v>
      </c>
      <c r="E644" s="38">
        <f>(VLOOKUP($A644,'The List'!$B1:$AH730,17,FALSE)-AVERAGE('The List'!R2:R730))/STDEV('The List'!R2:R730)</f>
        <v>-1.3016411213212389</v>
      </c>
      <c r="F644" s="38">
        <f>(VLOOKUP($A644,'The List'!$B1:$AH730,18,FALSE)-AVERAGE('The List'!S2:S730))/STDEV('The List'!S2:S730)</f>
        <v>-1.2021470663558191</v>
      </c>
      <c r="G644" s="38">
        <f>(VLOOKUP($A644,'The List'!$B1:$AH730,19,FALSE)-AVERAGE('The List'!T2:T730))/STDEV('The List'!T2:T730)</f>
        <v>-1.1285142314570333</v>
      </c>
      <c r="H644" s="38">
        <f>(VLOOKUP($A644,'The List'!$B1:$AH730,20,FALSE)-AVERAGE('The List'!U2:U730))/STDEV('The List'!U2:U730)</f>
        <v>-1.2523622538517842</v>
      </c>
      <c r="I644" s="38">
        <f>(VLOOKUP($A644,'The List'!$B1:$AH730,21,FALSE)-AVERAGE('The List'!V2:V730))/STDEV('The List'!V2:V730)</f>
        <v>-1.5857877605242483</v>
      </c>
      <c r="J644" s="38">
        <f>(VLOOKUP($A644,'The List'!$B1:$AH730,22,FALSE)-AVERAGE('The List'!W2:W730))/STDEV('The List'!W2:W730)</f>
        <v>-0.73519525205399627</v>
      </c>
      <c r="K644" s="38">
        <f>(VLOOKUP($A644,'The List'!$B1:$AH730,23,FALSE)-AVERAGE('The List'!X2:X730))/STDEV('The List'!X2:X730)</f>
        <v>-0.82075009404507016</v>
      </c>
      <c r="L644" s="38">
        <f>(VLOOKUP($A644,'The List'!$B1:$AH730,24,FALSE)-AVERAGE('The List'!Y2:Y730))/STDEV('The List'!Y2:Y730)</f>
        <v>-0.52194436993040028</v>
      </c>
      <c r="M644" s="38">
        <f>(VLOOKUP($A644,'The List'!$B1:$AH730,25,FALSE)-AVERAGE('The List'!Z2:Z730))/STDEV('The List'!Z2:Z730)</f>
        <v>-0.69674863395178122</v>
      </c>
      <c r="N644" s="38">
        <f>(VLOOKUP($A644,'The List'!$B1:$AH730,26,FALSE)-AVERAGE('The List'!AA2:AA730))/STDEV('The List'!AA2:AA730)</f>
        <v>0.27065540236472135</v>
      </c>
      <c r="O644" s="38">
        <f>(VLOOKUP($A644,'The List'!$B1:$AH730,27,FALSE)-AVERAGE('The List'!AB2:AB730))/STDEV('The List'!AB2:AB730)</f>
        <v>-0.20065050399224985</v>
      </c>
      <c r="P644" s="38">
        <f>(VLOOKUP($A644,'The List'!$B1:$AH730,28,FALSE)-AVERAGE('The List'!AC2:AC730))/STDEV('The List'!AC2:AC730)</f>
        <v>0.90479597445237725</v>
      </c>
      <c r="Q644" s="38">
        <f>(VLOOKUP($A644,'The List'!$B1:$AH730,29,FALSE)-AVERAGE('The List'!AD2:AD730))/STDEV('The List'!AD2:AD730)</f>
        <v>-0.84463677464427023</v>
      </c>
      <c r="R644" s="38">
        <f>(VLOOKUP($A644,'The List'!$B1:$AH730,30,FALSE)-AVERAGE('The List'!AE2:AE730))/STDEV('The List'!AE2:AE730)</f>
        <v>-1.0767323954407622</v>
      </c>
      <c r="S644" s="38">
        <f>(VLOOKUP($A644,'The List'!$B1:$AH730,31,FALSE)-AVERAGE('The List'!AF2:AF730))/STDEV('The List'!AF2:AF730)</f>
        <v>-0.56911587195029545</v>
      </c>
      <c r="T644" s="38">
        <f>(VLOOKUP($A644,'The List'!$B1:$AH730,32,FALSE)-AVERAGE('The List'!AG2:AG730))/STDEV('The List'!AG2:AG730)</f>
        <v>-0.61510119871956948</v>
      </c>
      <c r="U644" s="38">
        <f>(VLOOKUP($A644,'The List'!$B1:$AH730,33,FALSE)-AVERAGE('The List'!AH2:AH730))/STDEV('The List'!AH2:AH730)</f>
        <v>-1.2363238714825984</v>
      </c>
      <c r="V644" s="38"/>
      <c r="W644" s="40"/>
      <c r="X644" s="38"/>
      <c r="Y644" s="38"/>
      <c r="Z644" s="38"/>
      <c r="AA644" s="38"/>
      <c r="AB644" s="38"/>
      <c r="AC644" s="38"/>
      <c r="AD644" s="38"/>
      <c r="AE644" s="38"/>
    </row>
    <row r="645" spans="1:31" ht="21.2" customHeight="1">
      <c r="A645" s="8" t="s">
        <v>627</v>
      </c>
      <c r="B645" s="34" t="str">
        <f>VLOOKUP(A645,'Player Data'!A1:B734,2,FALSE)</f>
        <v>PIT</v>
      </c>
      <c r="C645" s="36">
        <f>((E645)*Settings!$C$12)+(F645*Settings!$C$2)+(G645*Settings!$C$3)+(H645*Settings!$C$4)+(I645*Settings!$C$5)+(K645*Settings!$C$9)+(N645*Settings!$C$6)+(J645*Settings!$C$8)+(O645*Settings!$C$7)+(P645*Settings!$C$14)+(Q645*Settings!$C$15)+(R645*Settings!$C$16)+(S645*Settings!$C$17)+(T645*Settings!$C$18)+(U645*Settings!$C$19)+(L645*Settings!$C$10)+(Settings!$C$11*M645)</f>
        <v>-5.6171308662735715</v>
      </c>
      <c r="D645" s="40">
        <f>IF(Settings!$E$12="YES",VLOOKUP(A645,'Player Data'!A1:E734,5,FALSE),82)</f>
        <v>82</v>
      </c>
      <c r="E645" s="38">
        <f>(VLOOKUP($A645,'The List'!$B1:$AH730,17,FALSE)-AVERAGE('The List'!R2:R730))/STDEV('The List'!R2:R730)</f>
        <v>-0.45039598832189881</v>
      </c>
      <c r="F645" s="38">
        <f>(VLOOKUP($A645,'The List'!$B1:$AH730,18,FALSE)-AVERAGE('The List'!S2:S730))/STDEV('The List'!S2:S730)</f>
        <v>-1.136805081071331</v>
      </c>
      <c r="G645" s="38">
        <f>(VLOOKUP($A645,'The List'!$B1:$AH730,19,FALSE)-AVERAGE('The List'!T2:T730))/STDEV('The List'!T2:T730)</f>
        <v>-1.1928994678995704</v>
      </c>
      <c r="H645" s="38">
        <f>(VLOOKUP($A645,'The List'!$B1:$AH730,20,FALSE)-AVERAGE('The List'!U2:U730))/STDEV('The List'!U2:U730)</f>
        <v>-1.2615537813884876</v>
      </c>
      <c r="I645" s="38">
        <f>(VLOOKUP($A645,'The List'!$B1:$AH730,21,FALSE)-AVERAGE('The List'!V2:V730))/STDEV('The List'!V2:V730)</f>
        <v>-1.1996365904698487</v>
      </c>
      <c r="J645" s="38">
        <f>(VLOOKUP($A645,'The List'!$B1:$AH730,22,FALSE)-AVERAGE('The List'!W2:W730))/STDEV('The List'!W2:W730)</f>
        <v>-0.73732653805857418</v>
      </c>
      <c r="K645" s="38">
        <f>(VLOOKUP($A645,'The List'!$B1:$AH730,23,FALSE)-AVERAGE('The List'!X2:X730))/STDEV('The List'!X2:X730)</f>
        <v>-0.82623594544433399</v>
      </c>
      <c r="L645" s="38">
        <f>(VLOOKUP($A645,'The List'!$B1:$AH730,24,FALSE)-AVERAGE('The List'!Y2:Y730))/STDEV('The List'!Y2:Y730)</f>
        <v>-0.56591417160224944</v>
      </c>
      <c r="M645" s="38">
        <f>(VLOOKUP($A645,'The List'!$B1:$AH730,25,FALSE)-AVERAGE('The List'!Z2:Z730))/STDEV('The List'!Z2:Z730)</f>
        <v>-0.78420833117615418</v>
      </c>
      <c r="N645" s="38">
        <f>(VLOOKUP($A645,'The List'!$B1:$AH730,26,FALSE)-AVERAGE('The List'!AA2:AA730))/STDEV('The List'!AA2:AA730)</f>
        <v>0.69744436784740804</v>
      </c>
      <c r="O645" s="38">
        <f>(VLOOKUP($A645,'The List'!$B1:$AH730,27,FALSE)-AVERAGE('The List'!AB2:AB730))/STDEV('The List'!AB2:AB730)</f>
        <v>0.81282275872815313</v>
      </c>
      <c r="P645" s="38">
        <f>(VLOOKUP($A645,'The List'!$B1:$AH730,28,FALSE)-AVERAGE('The List'!AC2:AC730))/STDEV('The List'!AC2:AC730)</f>
        <v>0.3523415738479902</v>
      </c>
      <c r="Q645" s="38">
        <f>(VLOOKUP($A645,'The List'!$B1:$AH730,29,FALSE)-AVERAGE('The List'!AD2:AD730))/STDEV('The List'!AD2:AD730)</f>
        <v>-0.48573984944365944</v>
      </c>
      <c r="R645" s="38">
        <f>(VLOOKUP($A645,'The List'!$B1:$AH730,30,FALSE)-AVERAGE('The List'!AE2:AE730))/STDEV('The List'!AE2:AE730)</f>
        <v>-1.007852108331458</v>
      </c>
      <c r="S645" s="38">
        <f>(VLOOKUP($A645,'The List'!$B1:$AH730,31,FALSE)-AVERAGE('The List'!AF2:AF730))/STDEV('The List'!AF2:AF730)</f>
        <v>-0.56911587195029545</v>
      </c>
      <c r="T645" s="38">
        <f>(VLOOKUP($A645,'The List'!$B1:$AH730,32,FALSE)-AVERAGE('The List'!AG2:AG730))/STDEV('The List'!AG2:AG730)</f>
        <v>-0.61510119871956948</v>
      </c>
      <c r="U645" s="38">
        <f>(VLOOKUP($A645,'The List'!$B1:$AH730,33,FALSE)-AVERAGE('The List'!AH2:AH730))/STDEV('The List'!AH2:AH730)</f>
        <v>-1.2363238714825984</v>
      </c>
      <c r="V645" s="38"/>
      <c r="W645" s="40"/>
      <c r="X645" s="38"/>
      <c r="Y645" s="38"/>
      <c r="Z645" s="38"/>
      <c r="AA645" s="38"/>
      <c r="AB645" s="38"/>
      <c r="AC645" s="38"/>
      <c r="AD645" s="38"/>
      <c r="AE645" s="38"/>
    </row>
    <row r="646" spans="1:31" ht="21.2" customHeight="1">
      <c r="A646" s="8" t="s">
        <v>821</v>
      </c>
      <c r="B646" s="34" t="str">
        <f>VLOOKUP(A646,'Player Data'!A1:B734,2,FALSE)</f>
        <v>SJS</v>
      </c>
      <c r="C646" s="36">
        <f>((E646)*Settings!$C$12)+(F646*Settings!$C$2)+(G646*Settings!$C$3)+(H646*Settings!$C$4)+(I646*Settings!$C$5)+(K646*Settings!$C$9)+(N646*Settings!$C$6)+(J646*Settings!$C$8)+(O646*Settings!$C$7)+(P646*Settings!$C$14)+(Q646*Settings!$C$15)+(R646*Settings!$C$16)+(S646*Settings!$C$17)+(T646*Settings!$C$18)+(U646*Settings!$C$19)+(L646*Settings!$C$10)+(Settings!$C$11*M646)</f>
        <v>-5.6763688712292799</v>
      </c>
      <c r="D646" s="40">
        <f>IF(Settings!$E$12="YES",VLOOKUP(A646,'Player Data'!A1:E734,5,FALSE),82)</f>
        <v>82</v>
      </c>
      <c r="E646" s="38">
        <f>(VLOOKUP($A646,'The List'!$B1:$AH730,17,FALSE)-AVERAGE('The List'!R2:R730))/STDEV('The List'!R2:R730)</f>
        <v>-1.9702149474929533</v>
      </c>
      <c r="F646" s="38">
        <f>(VLOOKUP($A646,'The List'!$B1:$AH730,18,FALSE)-AVERAGE('The List'!S2:S730))/STDEV('The List'!S2:S730)</f>
        <v>-1.0258860727173562</v>
      </c>
      <c r="G646" s="38">
        <f>(VLOOKUP($A646,'The List'!$B1:$AH730,19,FALSE)-AVERAGE('The List'!T2:T730))/STDEV('The List'!T2:T730)</f>
        <v>-1.2831044788925643</v>
      </c>
      <c r="H646" s="38">
        <f>(VLOOKUP($A646,'The List'!$B1:$AH730,20,FALSE)-AVERAGE('The List'!U2:U730))/STDEV('The List'!U2:U730)</f>
        <v>-1.2654250428460772</v>
      </c>
      <c r="I646" s="38">
        <f>(VLOOKUP($A646,'The List'!$B1:$AH730,21,FALSE)-AVERAGE('The List'!V2:V730))/STDEV('The List'!V2:V730)</f>
        <v>-1.2931972538577396</v>
      </c>
      <c r="J646" s="38">
        <f>(VLOOKUP($A646,'The List'!$B1:$AH730,22,FALSE)-AVERAGE('The List'!W2:W730))/STDEV('The List'!W2:W730)</f>
        <v>-0.72016715833405698</v>
      </c>
      <c r="K646" s="38">
        <f>(VLOOKUP($A646,'The List'!$B1:$AH730,23,FALSE)-AVERAGE('The List'!X2:X730))/STDEV('The List'!X2:X730)</f>
        <v>-0.80875602291554283</v>
      </c>
      <c r="L646" s="38">
        <f>(VLOOKUP($A646,'The List'!$B1:$AH730,24,FALSE)-AVERAGE('The List'!Y2:Y730))/STDEV('The List'!Y2:Y730)</f>
        <v>-0.19388149669156451</v>
      </c>
      <c r="M646" s="38">
        <f>(VLOOKUP($A646,'The List'!$B1:$AH730,25,FALSE)-AVERAGE('The List'!Z2:Z730))/STDEV('The List'!Z2:Z730)</f>
        <v>-0.54631320334003675</v>
      </c>
      <c r="N646" s="38">
        <f>(VLOOKUP($A646,'The List'!$B1:$AH730,26,FALSE)-AVERAGE('The List'!AA2:AA730))/STDEV('The List'!AA2:AA730)</f>
        <v>-0.69598398624908531</v>
      </c>
      <c r="O646" s="38">
        <f>(VLOOKUP($A646,'The List'!$B1:$AH730,27,FALSE)-AVERAGE('The List'!AB2:AB730))/STDEV('The List'!AB2:AB730)</f>
        <v>0.39174757148186462</v>
      </c>
      <c r="P646" s="38">
        <f>(VLOOKUP($A646,'The List'!$B1:$AH730,28,FALSE)-AVERAGE('The List'!AC2:AC730))/STDEV('The List'!AC2:AC730)</f>
        <v>-0.2117445218662139</v>
      </c>
      <c r="Q646" s="38">
        <f>(VLOOKUP($A646,'The List'!$B1:$AH730,29,FALSE)-AVERAGE('The List'!AD2:AD730))/STDEV('The List'!AD2:AD730)</f>
        <v>-0.6725932437373694</v>
      </c>
      <c r="R646" s="38">
        <f>(VLOOKUP($A646,'The List'!$B1:$AH730,30,FALSE)-AVERAGE('The List'!AE2:AE730))/STDEV('The List'!AE2:AE730)</f>
        <v>-0.97338961985946804</v>
      </c>
      <c r="S646" s="38">
        <f>(VLOOKUP($A646,'The List'!$B1:$AH730,31,FALSE)-AVERAGE('The List'!AF2:AF730))/STDEV('The List'!AF2:AF730)</f>
        <v>0.29537901066151767</v>
      </c>
      <c r="T646" s="38">
        <f>(VLOOKUP($A646,'The List'!$B1:$AH730,32,FALSE)-AVERAGE('The List'!AG2:AG730))/STDEV('The List'!AG2:AG730)</f>
        <v>0.25116827757503274</v>
      </c>
      <c r="U646" s="38">
        <f>(VLOOKUP($A646,'The List'!$B1:$AH730,33,FALSE)-AVERAGE('The List'!AH2:AH730))/STDEV('The List'!AH2:AH730)</f>
        <v>1.0752884247204759</v>
      </c>
      <c r="V646" s="38"/>
      <c r="W646" s="40"/>
      <c r="X646" s="38"/>
      <c r="Y646" s="38"/>
      <c r="Z646" s="38"/>
      <c r="AA646" s="38"/>
      <c r="AB646" s="38"/>
      <c r="AC646" s="38"/>
      <c r="AD646" s="38"/>
      <c r="AE646" s="38"/>
    </row>
    <row r="647" spans="1:31" ht="21.2" customHeight="1">
      <c r="A647" s="8" t="s">
        <v>608</v>
      </c>
      <c r="B647" s="34" t="str">
        <f>VLOOKUP(A647,'Player Data'!A1:B734,2,FALSE)</f>
        <v>TBL</v>
      </c>
      <c r="C647" s="36">
        <f>((E647)*Settings!$C$12)+(F647*Settings!$C$2)+(G647*Settings!$C$3)+(H647*Settings!$C$4)+(I647*Settings!$C$5)+(K647*Settings!$C$9)+(N647*Settings!$C$6)+(J647*Settings!$C$8)+(O647*Settings!$C$7)+(P647*Settings!$C$14)+(Q647*Settings!$C$15)+(R647*Settings!$C$16)+(S647*Settings!$C$17)+(T647*Settings!$C$18)+(U647*Settings!$C$19)+(L647*Settings!$C$10)+(Settings!$C$11*M647)</f>
        <v>-5.343506735736522</v>
      </c>
      <c r="D647" s="40">
        <f>IF(Settings!$E$12="YES",VLOOKUP(A647,'Player Data'!A1:E734,5,FALSE),82)</f>
        <v>82</v>
      </c>
      <c r="E647" s="38">
        <f>(VLOOKUP($A647,'The List'!$B1:$AH730,17,FALSE)-AVERAGE('The List'!R2:R730))/STDEV('The List'!R2:R730)</f>
        <v>-0.43610564734443058</v>
      </c>
      <c r="F647" s="38">
        <f>(VLOOKUP($A647,'The List'!$B1:$AH730,18,FALSE)-AVERAGE('The List'!S2:S730))/STDEV('The List'!S2:S730)</f>
        <v>-1.1442844927520872</v>
      </c>
      <c r="G647" s="38">
        <f>(VLOOKUP($A647,'The List'!$B1:$AH730,19,FALSE)-AVERAGE('The List'!T2:T730))/STDEV('The List'!T2:T730)</f>
        <v>-1.2018017133289425</v>
      </c>
      <c r="H647" s="38">
        <f>(VLOOKUP($A647,'The List'!$B1:$AH730,20,FALSE)-AVERAGE('The List'!U2:U730))/STDEV('The List'!U2:U730)</f>
        <v>-1.2705015388921403</v>
      </c>
      <c r="I647" s="38">
        <f>(VLOOKUP($A647,'The List'!$B1:$AH730,21,FALSE)-AVERAGE('The List'!V2:V730))/STDEV('The List'!V2:V730)</f>
        <v>-0.90451323645837745</v>
      </c>
      <c r="J647" s="38">
        <f>(VLOOKUP($A647,'The List'!$B1:$AH730,22,FALSE)-AVERAGE('The List'!W2:W730))/STDEV('The List'!W2:W730)</f>
        <v>-0.73589509657688668</v>
      </c>
      <c r="K647" s="38">
        <f>(VLOOKUP($A647,'The List'!$B1:$AH730,23,FALSE)-AVERAGE('The List'!X2:X730))/STDEV('The List'!X2:X730)</f>
        <v>-0.82240575430497387</v>
      </c>
      <c r="L647" s="38">
        <f>(VLOOKUP($A647,'The List'!$B1:$AH730,24,FALSE)-AVERAGE('The List'!Y2:Y730))/STDEV('The List'!Y2:Y730)</f>
        <v>-0.51356090323858161</v>
      </c>
      <c r="M647" s="38">
        <f>(VLOOKUP($A647,'The List'!$B1:$AH730,25,FALSE)-AVERAGE('The List'!Z2:Z730))/STDEV('The List'!Z2:Z730)</f>
        <v>-0.68594600303182562</v>
      </c>
      <c r="N647" s="38">
        <f>(VLOOKUP($A647,'The List'!$B1:$AH730,26,FALSE)-AVERAGE('The List'!AA2:AA730))/STDEV('The List'!AA2:AA730)</f>
        <v>0.38551231637433081</v>
      </c>
      <c r="O647" s="38">
        <f>(VLOOKUP($A647,'The List'!$B1:$AH730,27,FALSE)-AVERAGE('The List'!AB2:AB730))/STDEV('The List'!AB2:AB730)</f>
        <v>1.3068892859481791</v>
      </c>
      <c r="P647" s="38">
        <f>(VLOOKUP($A647,'The List'!$B1:$AH730,28,FALSE)-AVERAGE('The List'!AC2:AC730))/STDEV('The List'!AC2:AC730)</f>
        <v>-0.22592398687238521</v>
      </c>
      <c r="Q647" s="38">
        <f>(VLOOKUP($A647,'The List'!$B1:$AH730,29,FALSE)-AVERAGE('The List'!AD2:AD730))/STDEV('The List'!AD2:AD730)</f>
        <v>0.86009852703570921</v>
      </c>
      <c r="R647" s="38">
        <f>(VLOOKUP($A647,'The List'!$B1:$AH730,30,FALSE)-AVERAGE('The List'!AE2:AE730))/STDEV('The List'!AE2:AE730)</f>
        <v>-1.021578544040652</v>
      </c>
      <c r="S647" s="38">
        <f>(VLOOKUP($A647,'The List'!$B1:$AH730,31,FALSE)-AVERAGE('The List'!AF2:AF730))/STDEV('The List'!AF2:AF730)</f>
        <v>-0.56671953734918745</v>
      </c>
      <c r="T647" s="38">
        <f>(VLOOKUP($A647,'The List'!$B1:$AH730,32,FALSE)-AVERAGE('The List'!AG2:AG730))/STDEV('The List'!AG2:AG730)</f>
        <v>-0.61145866813245131</v>
      </c>
      <c r="U647" s="38">
        <f>(VLOOKUP($A647,'The List'!$B1:$AH730,33,FALSE)-AVERAGE('The List'!AH2:AH730))/STDEV('The List'!AH2:AH730)</f>
        <v>0.60949904981241576</v>
      </c>
      <c r="V647" s="38"/>
      <c r="W647" s="40"/>
      <c r="X647" s="38"/>
      <c r="Y647" s="38"/>
      <c r="Z647" s="38"/>
      <c r="AA647" s="38"/>
      <c r="AB647" s="38"/>
      <c r="AC647" s="38"/>
      <c r="AD647" s="38"/>
      <c r="AE647" s="38"/>
    </row>
    <row r="648" spans="1:31" ht="21.2" customHeight="1">
      <c r="A648" s="8" t="s">
        <v>811</v>
      </c>
      <c r="B648" s="34" t="str">
        <f>VLOOKUP(A648,'Player Data'!A1:B734,2,FALSE)</f>
        <v>TBL</v>
      </c>
      <c r="C648" s="36">
        <f>((E648)*Settings!$C$12)+(F648*Settings!$C$2)+(G648*Settings!$C$3)+(H648*Settings!$C$4)+(I648*Settings!$C$5)+(K648*Settings!$C$9)+(N648*Settings!$C$6)+(J648*Settings!$C$8)+(O648*Settings!$C$7)+(P648*Settings!$C$14)+(Q648*Settings!$C$15)+(R648*Settings!$C$16)+(S648*Settings!$C$17)+(T648*Settings!$C$18)+(U648*Settings!$C$19)+(L648*Settings!$C$10)+(Settings!$C$11*M648)</f>
        <v>-5.5105457446545163</v>
      </c>
      <c r="D648" s="40">
        <f>IF(Settings!$E$12="YES",VLOOKUP(A648,'Player Data'!A1:E734,5,FALSE),82)</f>
        <v>82</v>
      </c>
      <c r="E648" s="38">
        <f>(VLOOKUP($A648,'The List'!$B1:$AH730,17,FALSE)-AVERAGE('The List'!R2:R730))/STDEV('The List'!R2:R730)</f>
        <v>-1.324948092058184</v>
      </c>
      <c r="F648" s="38">
        <f>(VLOOKUP($A648,'The List'!$B1:$AH730,18,FALSE)-AVERAGE('The List'!S2:S730))/STDEV('The List'!S2:S730)</f>
        <v>-0.92340847020940342</v>
      </c>
      <c r="G648" s="38">
        <f>(VLOOKUP($A648,'The List'!$B1:$AH730,19,FALSE)-AVERAGE('The List'!T2:T730))/STDEV('The List'!T2:T730)</f>
        <v>-1.4206501621722427</v>
      </c>
      <c r="H648" s="38">
        <f>(VLOOKUP($A648,'The List'!$B1:$AH730,20,FALSE)-AVERAGE('The List'!U2:U730))/STDEV('The List'!U2:U730)</f>
        <v>-1.3023131924194467</v>
      </c>
      <c r="I648" s="38">
        <f>(VLOOKUP($A648,'The List'!$B1:$AH730,21,FALSE)-AVERAGE('The List'!V2:V730))/STDEV('The List'!V2:V730)</f>
        <v>-1.054006797705868</v>
      </c>
      <c r="J648" s="38">
        <f>(VLOOKUP($A648,'The List'!$B1:$AH730,22,FALSE)-AVERAGE('The List'!W2:W730))/STDEV('The List'!W2:W730)</f>
        <v>-0.7222075634528593</v>
      </c>
      <c r="K648" s="38">
        <f>(VLOOKUP($A648,'The List'!$B1:$AH730,23,FALSE)-AVERAGE('The List'!X2:X730))/STDEV('The List'!X2:X730)</f>
        <v>-0.81016712214755637</v>
      </c>
      <c r="L648" s="38">
        <f>(VLOOKUP($A648,'The List'!$B1:$AH730,24,FALSE)-AVERAGE('The List'!Y2:Y730))/STDEV('The List'!Y2:Y730)</f>
        <v>0.73481851630935047</v>
      </c>
      <c r="M648" s="38">
        <f>(VLOOKUP($A648,'The List'!$B1:$AH730,25,FALSE)-AVERAGE('The List'!Z2:Z730))/STDEV('The List'!Z2:Z730)</f>
        <v>0.42112197122734113</v>
      </c>
      <c r="N648" s="38">
        <f>(VLOOKUP($A648,'The List'!$B1:$AH730,26,FALSE)-AVERAGE('The List'!AA2:AA730))/STDEV('The List'!AA2:AA730)</f>
        <v>-0.18767786162818625</v>
      </c>
      <c r="O648" s="38">
        <f>(VLOOKUP($A648,'The List'!$B1:$AH730,27,FALSE)-AVERAGE('The List'!AB2:AB730))/STDEV('The List'!AB2:AB730)</f>
        <v>0.62006681062474889</v>
      </c>
      <c r="P648" s="38">
        <f>(VLOOKUP($A648,'The List'!$B1:$AH730,28,FALSE)-AVERAGE('The List'!AC2:AC730))/STDEV('The List'!AC2:AC730)</f>
        <v>-0.37138941899580247</v>
      </c>
      <c r="Q648" s="38">
        <f>(VLOOKUP($A648,'The List'!$B1:$AH730,29,FALSE)-AVERAGE('The List'!AD2:AD730))/STDEV('The List'!AD2:AD730)</f>
        <v>-0.73991165100280742</v>
      </c>
      <c r="R648" s="38">
        <f>(VLOOKUP($A648,'The List'!$B1:$AH730,30,FALSE)-AVERAGE('The List'!AE2:AE730))/STDEV('The List'!AE2:AE730)</f>
        <v>-0.79647120768681068</v>
      </c>
      <c r="S648" s="38">
        <f>(VLOOKUP($A648,'The List'!$B1:$AH730,31,FALSE)-AVERAGE('The List'!AF2:AF730))/STDEV('The List'!AF2:AF730)</f>
        <v>1.4044410274681631</v>
      </c>
      <c r="T648" s="38">
        <f>(VLOOKUP($A648,'The List'!$B1:$AH730,32,FALSE)-AVERAGE('The List'!AG2:AG730))/STDEV('The List'!AG2:AG730)</f>
        <v>0.80914158622877985</v>
      </c>
      <c r="U648" s="38">
        <f>(VLOOKUP($A648,'The List'!$B1:$AH730,33,FALSE)-AVERAGE('The List'!AH2:AH730))/STDEV('The List'!AH2:AH730)</f>
        <v>1.4410027599906767</v>
      </c>
      <c r="V648" s="38"/>
      <c r="W648" s="40"/>
      <c r="X648" s="38"/>
      <c r="Y648" s="38"/>
      <c r="Z648" s="38"/>
      <c r="AA648" s="38"/>
      <c r="AB648" s="38"/>
      <c r="AC648" s="38"/>
      <c r="AD648" s="38"/>
      <c r="AE648" s="38"/>
    </row>
    <row r="649" spans="1:31" ht="21.2" customHeight="1">
      <c r="A649" s="8" t="s">
        <v>692</v>
      </c>
      <c r="B649" s="34" t="str">
        <f>VLOOKUP(A649,'Player Data'!A1:B734,2,FALSE)</f>
        <v>LAK</v>
      </c>
      <c r="C649" s="36">
        <f>((E649)*Settings!$C$12)+(F649*Settings!$C$2)+(G649*Settings!$C$3)+(H649*Settings!$C$4)+(I649*Settings!$C$5)+(K649*Settings!$C$9)+(N649*Settings!$C$6)+(J649*Settings!$C$8)+(O649*Settings!$C$7)+(P649*Settings!$C$14)+(Q649*Settings!$C$15)+(R649*Settings!$C$16)+(S649*Settings!$C$17)+(T649*Settings!$C$18)+(U649*Settings!$C$19)+(L649*Settings!$C$10)+(Settings!$C$11*M649)</f>
        <v>-5.9962582231167634</v>
      </c>
      <c r="D649" s="40">
        <f>IF(Settings!$E$12="YES",VLOOKUP(A649,'Player Data'!A1:E734,5,FALSE),82)</f>
        <v>82</v>
      </c>
      <c r="E649" s="38">
        <f>(VLOOKUP($A649,'The List'!$B1:$AH730,17,FALSE)-AVERAGE('The List'!R2:R730))/STDEV('The List'!R2:R730)</f>
        <v>-1.1562424431772482</v>
      </c>
      <c r="F649" s="38">
        <f>(VLOOKUP($A649,'The List'!$B1:$AH730,18,FALSE)-AVERAGE('The List'!S2:S730))/STDEV('The List'!S2:S730)</f>
        <v>-1.2379515416457383</v>
      </c>
      <c r="G649" s="38">
        <f>(VLOOKUP($A649,'The List'!$B1:$AH730,19,FALSE)-AVERAGE('The List'!T2:T730))/STDEV('The List'!T2:T730)</f>
        <v>-1.1845970900314706</v>
      </c>
      <c r="H649" s="38">
        <f>(VLOOKUP($A649,'The List'!$B1:$AH730,20,FALSE)-AVERAGE('The List'!U2:U730))/STDEV('The List'!U2:U730)</f>
        <v>-1.3034719149897747</v>
      </c>
      <c r="I649" s="38">
        <f>(VLOOKUP($A649,'The List'!$B1:$AH730,21,FALSE)-AVERAGE('The List'!V2:V730))/STDEV('The List'!V2:V730)</f>
        <v>-1.4462286636333457</v>
      </c>
      <c r="J649" s="38">
        <f>(VLOOKUP($A649,'The List'!$B1:$AH730,22,FALSE)-AVERAGE('The List'!W2:W730))/STDEV('The List'!W2:W730)</f>
        <v>-0.73637461004029414</v>
      </c>
      <c r="K649" s="38">
        <f>(VLOOKUP($A649,'The List'!$B1:$AH730,23,FALSE)-AVERAGE('The List'!X2:X730))/STDEV('The List'!X2:X730)</f>
        <v>-0.82400901281643424</v>
      </c>
      <c r="L649" s="38">
        <f>(VLOOKUP($A649,'The List'!$B1:$AH730,24,FALSE)-AVERAGE('The List'!Y2:Y730))/STDEV('The List'!Y2:Y730)</f>
        <v>-0.45263001874722519</v>
      </c>
      <c r="M649" s="38">
        <f>(VLOOKUP($A649,'The List'!$B1:$AH730,25,FALSE)-AVERAGE('The List'!Z2:Z730))/STDEV('The List'!Z2:Z730)</f>
        <v>-0.51426421503970221</v>
      </c>
      <c r="N649" s="38">
        <f>(VLOOKUP($A649,'The List'!$B1:$AH730,26,FALSE)-AVERAGE('The List'!AA2:AA730))/STDEV('The List'!AA2:AA730)</f>
        <v>4.2306074069063067E-2</v>
      </c>
      <c r="O649" s="38">
        <f>(VLOOKUP($A649,'The List'!$B1:$AH730,27,FALSE)-AVERAGE('The List'!AB2:AB730))/STDEV('The List'!AB2:AB730)</f>
        <v>1.2278466853222285</v>
      </c>
      <c r="P649" s="38">
        <f>(VLOOKUP($A649,'The List'!$B1:$AH730,28,FALSE)-AVERAGE('The List'!AC2:AC730))/STDEV('The List'!AC2:AC730)</f>
        <v>-8.7814044841173319E-2</v>
      </c>
      <c r="Q649" s="38">
        <f>(VLOOKUP($A649,'The List'!$B1:$AH730,29,FALSE)-AVERAGE('The List'!AD2:AD730))/STDEV('The List'!AD2:AD730)</f>
        <v>0.60166396889472784</v>
      </c>
      <c r="R649" s="38">
        <f>(VLOOKUP($A649,'The List'!$B1:$AH730,30,FALSE)-AVERAGE('The List'!AE2:AE730))/STDEV('The List'!AE2:AE730)</f>
        <v>-1.1242959929668348</v>
      </c>
      <c r="S649" s="38">
        <f>(VLOOKUP($A649,'The List'!$B1:$AH730,31,FALSE)-AVERAGE('The List'!AF2:AF730))/STDEV('The List'!AF2:AF730)</f>
        <v>-0.56911587195029545</v>
      </c>
      <c r="T649" s="38">
        <f>(VLOOKUP($A649,'The List'!$B1:$AH730,32,FALSE)-AVERAGE('The List'!AG2:AG730))/STDEV('The List'!AG2:AG730)</f>
        <v>-0.61510119871956948</v>
      </c>
      <c r="U649" s="38">
        <f>(VLOOKUP($A649,'The List'!$B1:$AH730,33,FALSE)-AVERAGE('The List'!AH2:AH730))/STDEV('The List'!AH2:AH730)</f>
        <v>-1.2363238714825984</v>
      </c>
      <c r="V649" s="38"/>
      <c r="W649" s="40"/>
      <c r="X649" s="38"/>
      <c r="Y649" s="38"/>
      <c r="Z649" s="38"/>
      <c r="AA649" s="38"/>
      <c r="AB649" s="38"/>
      <c r="AC649" s="38"/>
      <c r="AD649" s="38"/>
      <c r="AE649" s="38"/>
    </row>
    <row r="650" spans="1:31" ht="21.2" customHeight="1">
      <c r="A650" s="8" t="s">
        <v>598</v>
      </c>
      <c r="B650" s="34" t="str">
        <f>VLOOKUP(A650,'Player Data'!A1:B734,2,FALSE)</f>
        <v>ARI</v>
      </c>
      <c r="C650" s="36">
        <f>((E650)*Settings!$C$12)+(F650*Settings!$C$2)+(G650*Settings!$C$3)+(H650*Settings!$C$4)+(I650*Settings!$C$5)+(K650*Settings!$C$9)+(N650*Settings!$C$6)+(J650*Settings!$C$8)+(O650*Settings!$C$7)+(P650*Settings!$C$14)+(Q650*Settings!$C$15)+(R650*Settings!$C$16)+(S650*Settings!$C$17)+(T650*Settings!$C$18)+(U650*Settings!$C$19)+(L650*Settings!$C$10)+(Settings!$C$11*M650)</f>
        <v>-5.6524657611646978</v>
      </c>
      <c r="D650" s="40">
        <f>IF(Settings!$E$12="YES",VLOOKUP(A650,'Player Data'!A1:E734,5,FALSE),82)</f>
        <v>82</v>
      </c>
      <c r="E650" s="38">
        <f>(VLOOKUP($A650,'The List'!$B1:$AH730,17,FALSE)-AVERAGE('The List'!R2:R730))/STDEV('The List'!R2:R730)</f>
        <v>-0.27862720306387712</v>
      </c>
      <c r="F650" s="38">
        <f>(VLOOKUP($A650,'The List'!$B1:$AH730,18,FALSE)-AVERAGE('The List'!S2:S730))/STDEV('The List'!S2:S730)</f>
        <v>-1.1333325029573351</v>
      </c>
      <c r="G650" s="38">
        <f>(VLOOKUP($A650,'The List'!$B1:$AH730,19,FALSE)-AVERAGE('The List'!T2:T730))/STDEV('The List'!T2:T730)</f>
        <v>-1.2659318591972537</v>
      </c>
      <c r="H650" s="38">
        <f>(VLOOKUP($A650,'The List'!$B1:$AH730,20,FALSE)-AVERAGE('The List'!U2:U730))/STDEV('The List'!U2:U730)</f>
        <v>-1.304820750508602</v>
      </c>
      <c r="I650" s="38">
        <f>(VLOOKUP($A650,'The List'!$B1:$AH730,21,FALSE)-AVERAGE('The List'!V2:V730))/STDEV('The List'!V2:V730)</f>
        <v>-1.1302956358386176</v>
      </c>
      <c r="J650" s="38">
        <f>(VLOOKUP($A650,'The List'!$B1:$AH730,22,FALSE)-AVERAGE('The List'!W2:W730))/STDEV('The List'!W2:W730)</f>
        <v>-0.73402423910403147</v>
      </c>
      <c r="K650" s="38">
        <f>(VLOOKUP($A650,'The List'!$B1:$AH730,23,FALSE)-AVERAGE('The List'!X2:X730))/STDEV('The List'!X2:X730)</f>
        <v>-0.81808501266288902</v>
      </c>
      <c r="L650" s="38">
        <f>(VLOOKUP($A650,'The List'!$B1:$AH730,24,FALSE)-AVERAGE('The List'!Y2:Y730))/STDEV('The List'!Y2:Y730)</f>
        <v>-0.50987197827647612</v>
      </c>
      <c r="M650" s="38">
        <f>(VLOOKUP($A650,'The List'!$B1:$AH730,25,FALSE)-AVERAGE('The List'!Z2:Z730))/STDEV('The List'!Z2:Z730)</f>
        <v>-0.5730948089661797</v>
      </c>
      <c r="N650" s="38">
        <f>(VLOOKUP($A650,'The List'!$B1:$AH730,26,FALSE)-AVERAGE('The List'!AA2:AA730))/STDEV('The List'!AA2:AA730)</f>
        <v>1.4578535021138668</v>
      </c>
      <c r="O650" s="38">
        <f>(VLOOKUP($A650,'The List'!$B1:$AH730,27,FALSE)-AVERAGE('The List'!AB2:AB730))/STDEV('The List'!AB2:AB730)</f>
        <v>1.249222955403424</v>
      </c>
      <c r="P650" s="38">
        <f>(VLOOKUP($A650,'The List'!$B1:$AH730,28,FALSE)-AVERAGE('The List'!AC2:AC730))/STDEV('The List'!AC2:AC730)</f>
        <v>-1.3279296961648053</v>
      </c>
      <c r="Q650" s="38">
        <f>(VLOOKUP($A650,'The List'!$B1:$AH730,29,FALSE)-AVERAGE('The List'!AD2:AD730))/STDEV('The List'!AD2:AD730)</f>
        <v>2.1449443917283459</v>
      </c>
      <c r="R650" s="38">
        <f>(VLOOKUP($A650,'The List'!$B1:$AH730,30,FALSE)-AVERAGE('The List'!AE2:AE730))/STDEV('The List'!AE2:AE730)</f>
        <v>-1.0571174548622173</v>
      </c>
      <c r="S650" s="38">
        <f>(VLOOKUP($A650,'The List'!$B1:$AH730,31,FALSE)-AVERAGE('The List'!AF2:AF730))/STDEV('The List'!AF2:AF730)</f>
        <v>-0.56911587195029545</v>
      </c>
      <c r="T650" s="38">
        <f>(VLOOKUP($A650,'The List'!$B1:$AH730,32,FALSE)-AVERAGE('The List'!AG2:AG730))/STDEV('The List'!AG2:AG730)</f>
        <v>-0.61510119871956948</v>
      </c>
      <c r="U650" s="38">
        <f>(VLOOKUP($A650,'The List'!$B1:$AH730,33,FALSE)-AVERAGE('The List'!AH2:AH730))/STDEV('The List'!AH2:AH730)</f>
        <v>-1.2363238714825984</v>
      </c>
      <c r="V650" s="38"/>
      <c r="W650" s="40"/>
      <c r="X650" s="38"/>
      <c r="Y650" s="38"/>
      <c r="Z650" s="38"/>
      <c r="AA650" s="38"/>
      <c r="AB650" s="38"/>
      <c r="AC650" s="38"/>
      <c r="AD650" s="38"/>
      <c r="AE650" s="38"/>
    </row>
    <row r="651" spans="1:31" ht="21.2" customHeight="1">
      <c r="A651" s="8" t="s">
        <v>614</v>
      </c>
      <c r="B651" s="34" t="str">
        <f>VLOOKUP(A651,'Player Data'!A1:B734,2,FALSE)</f>
        <v>TBL</v>
      </c>
      <c r="C651" s="36">
        <f>((E651)*Settings!$C$12)+(F651*Settings!$C$2)+(G651*Settings!$C$3)+(H651*Settings!$C$4)+(I651*Settings!$C$5)+(K651*Settings!$C$9)+(N651*Settings!$C$6)+(J651*Settings!$C$8)+(O651*Settings!$C$7)+(P651*Settings!$C$14)+(Q651*Settings!$C$15)+(R651*Settings!$C$16)+(S651*Settings!$C$17)+(T651*Settings!$C$18)+(U651*Settings!$C$19)+(L651*Settings!$C$10)+(Settings!$C$11*M651)</f>
        <v>-5.309616926052664</v>
      </c>
      <c r="D651" s="40">
        <f>IF(Settings!$E$12="YES",VLOOKUP(A651,'Player Data'!A1:E734,5,FALSE),82)</f>
        <v>82</v>
      </c>
      <c r="E651" s="38">
        <f>(VLOOKUP($A651,'The List'!$B1:$AH730,17,FALSE)-AVERAGE('The List'!R2:R730))/STDEV('The List'!R2:R730)</f>
        <v>-0.56882130259136621</v>
      </c>
      <c r="F651" s="38">
        <f>(VLOOKUP($A651,'The List'!$B1:$AH730,18,FALSE)-AVERAGE('The List'!S2:S730))/STDEV('The List'!S2:S730)</f>
        <v>-1.0553702167528853</v>
      </c>
      <c r="G651" s="38">
        <f>(VLOOKUP($A651,'The List'!$B1:$AH730,19,FALSE)-AVERAGE('The List'!T2:T730))/STDEV('The List'!T2:T730)</f>
        <v>-1.3513025126159082</v>
      </c>
      <c r="H651" s="38">
        <f>(VLOOKUP($A651,'The List'!$B1:$AH730,20,FALSE)-AVERAGE('The List'!U2:U730))/STDEV('The List'!U2:U730)</f>
        <v>-1.3210418035412061</v>
      </c>
      <c r="I651" s="38">
        <f>(VLOOKUP($A651,'The List'!$B1:$AH730,21,FALSE)-AVERAGE('The List'!V2:V730))/STDEV('The List'!V2:V730)</f>
        <v>-0.76293822368546893</v>
      </c>
      <c r="J651" s="38">
        <f>(VLOOKUP($A651,'The List'!$B1:$AH730,22,FALSE)-AVERAGE('The List'!W2:W730))/STDEV('The List'!W2:W730)</f>
        <v>-0.73426421548129528</v>
      </c>
      <c r="K651" s="38">
        <f>(VLOOKUP($A651,'The List'!$B1:$AH730,23,FALSE)-AVERAGE('The List'!X2:X730))/STDEV('The List'!X2:X730)</f>
        <v>-0.81896416945719619</v>
      </c>
      <c r="L651" s="38">
        <f>(VLOOKUP($A651,'The List'!$B1:$AH730,24,FALSE)-AVERAGE('The List'!Y2:Y730))/STDEV('The List'!Y2:Y730)</f>
        <v>-0.48989347773747771</v>
      </c>
      <c r="M651" s="38">
        <f>(VLOOKUP($A651,'The List'!$B1:$AH730,25,FALSE)-AVERAGE('The List'!Z2:Z730))/STDEV('The List'!Z2:Z730)</f>
        <v>-0.60706917947529226</v>
      </c>
      <c r="N651" s="38">
        <f>(VLOOKUP($A651,'The List'!$B1:$AH730,26,FALSE)-AVERAGE('The List'!AA2:AA730))/STDEV('The List'!AA2:AA730)</f>
        <v>0.73841898912267334</v>
      </c>
      <c r="O651" s="38">
        <f>(VLOOKUP($A651,'The List'!$B1:$AH730,27,FALSE)-AVERAGE('The List'!AB2:AB730))/STDEV('The List'!AB2:AB730)</f>
        <v>0.13877005890194935</v>
      </c>
      <c r="P651" s="38">
        <f>(VLOOKUP($A651,'The List'!$B1:$AH730,28,FALSE)-AVERAGE('The List'!AC2:AC730))/STDEV('The List'!AC2:AC730)</f>
        <v>-0.26453293527612448</v>
      </c>
      <c r="Q651" s="38">
        <f>(VLOOKUP($A651,'The List'!$B1:$AH730,29,FALSE)-AVERAGE('The List'!AD2:AD730))/STDEV('The List'!AD2:AD730)</f>
        <v>-0.87226625670518609</v>
      </c>
      <c r="R651" s="38">
        <f>(VLOOKUP($A651,'The List'!$B1:$AH730,30,FALSE)-AVERAGE('The List'!AE2:AE730))/STDEV('The List'!AE2:AE730)</f>
        <v>-0.93096094053802325</v>
      </c>
      <c r="S651" s="38">
        <f>(VLOOKUP($A651,'The List'!$B1:$AH730,31,FALSE)-AVERAGE('The List'!AF2:AF730))/STDEV('The List'!AF2:AF730)</f>
        <v>-0.56911587195029545</v>
      </c>
      <c r="T651" s="38">
        <f>(VLOOKUP($A651,'The List'!$B1:$AH730,32,FALSE)-AVERAGE('The List'!AG2:AG730))/STDEV('The List'!AG2:AG730)</f>
        <v>-0.61510119871956948</v>
      </c>
      <c r="U651" s="38">
        <f>(VLOOKUP($A651,'The List'!$B1:$AH730,33,FALSE)-AVERAGE('The List'!AH2:AH730))/STDEV('The List'!AH2:AH730)</f>
        <v>-1.2363238714825984</v>
      </c>
      <c r="V651" s="38"/>
      <c r="W651" s="40"/>
      <c r="X651" s="38"/>
      <c r="Y651" s="38"/>
      <c r="Z651" s="38"/>
      <c r="AA651" s="38"/>
      <c r="AB651" s="38"/>
      <c r="AC651" s="38"/>
      <c r="AD651" s="38"/>
      <c r="AE651" s="38"/>
    </row>
    <row r="652" spans="1:31" ht="21.2" customHeight="1">
      <c r="A652" s="8" t="s">
        <v>631</v>
      </c>
      <c r="B652" s="34" t="str">
        <f>VLOOKUP(A652,'Player Data'!A1:B734,2,FALSE)</f>
        <v>VAN</v>
      </c>
      <c r="C652" s="36">
        <f>((E652)*Settings!$C$12)+(F652*Settings!$C$2)+(G652*Settings!$C$3)+(H652*Settings!$C$4)+(I652*Settings!$C$5)+(K652*Settings!$C$9)+(N652*Settings!$C$6)+(J652*Settings!$C$8)+(O652*Settings!$C$7)+(P652*Settings!$C$14)+(Q652*Settings!$C$15)+(R652*Settings!$C$16)+(S652*Settings!$C$17)+(T652*Settings!$C$18)+(U652*Settings!$C$19)+(L652*Settings!$C$10)+(Settings!$C$11*M652)</f>
        <v>-5.4390374344167807</v>
      </c>
      <c r="D652" s="40">
        <f>IF(Settings!$E$12="YES",VLOOKUP(A652,'Player Data'!A1:E734,5,FALSE),82)</f>
        <v>82</v>
      </c>
      <c r="E652" s="38">
        <f>(VLOOKUP($A652,'The List'!$B1:$AH730,17,FALSE)-AVERAGE('The List'!R2:R730))/STDEV('The List'!R2:R730)</f>
        <v>-1.1039616089725142</v>
      </c>
      <c r="F652" s="38">
        <f>(VLOOKUP($A652,'The List'!$B1:$AH730,18,FALSE)-AVERAGE('The List'!S2:S730))/STDEV('The List'!S2:S730)</f>
        <v>-1.1712460094769792</v>
      </c>
      <c r="G652" s="38">
        <f>(VLOOKUP($A652,'The List'!$B1:$AH730,19,FALSE)-AVERAGE('The List'!T2:T730))/STDEV('The List'!T2:T730)</f>
        <v>-1.3128211528813956</v>
      </c>
      <c r="H652" s="38">
        <f>(VLOOKUP($A652,'The List'!$B1:$AH730,20,FALSE)-AVERAGE('The List'!U2:U730))/STDEV('The List'!U2:U730)</f>
        <v>-1.3512610363117588</v>
      </c>
      <c r="I652" s="38">
        <f>(VLOOKUP($A652,'The List'!$B1:$AH730,21,FALSE)-AVERAGE('The List'!V2:V730))/STDEV('The List'!V2:V730)</f>
        <v>-0.77850121600885447</v>
      </c>
      <c r="J652" s="38">
        <f>(VLOOKUP($A652,'The List'!$B1:$AH730,22,FALSE)-AVERAGE('The List'!W2:W730))/STDEV('The List'!W2:W730)</f>
        <v>-0.73696616393925751</v>
      </c>
      <c r="K652" s="38">
        <f>(VLOOKUP($A652,'The List'!$B1:$AH730,23,FALSE)-AVERAGE('The List'!X2:X730))/STDEV('The List'!X2:X730)</f>
        <v>-0.82520801973779245</v>
      </c>
      <c r="L652" s="38">
        <f>(VLOOKUP($A652,'The List'!$B1:$AH730,24,FALSE)-AVERAGE('The List'!Y2:Y730))/STDEV('The List'!Y2:Y730)</f>
        <v>-0.52587257602925641</v>
      </c>
      <c r="M652" s="38">
        <f>(VLOOKUP($A652,'The List'!$B1:$AH730,25,FALSE)-AVERAGE('The List'!Z2:Z730))/STDEV('The List'!Z2:Z730)</f>
        <v>-0.71424958857382981</v>
      </c>
      <c r="N652" s="38">
        <f>(VLOOKUP($A652,'The List'!$B1:$AH730,26,FALSE)-AVERAGE('The List'!AA2:AA730))/STDEV('The List'!AA2:AA730)</f>
        <v>0.49598966835608543</v>
      </c>
      <c r="O652" s="38">
        <f>(VLOOKUP($A652,'The List'!$B1:$AH730,27,FALSE)-AVERAGE('The List'!AB2:AB730))/STDEV('The List'!AB2:AB730)</f>
        <v>0.64755888383006432</v>
      </c>
      <c r="P652" s="38">
        <f>(VLOOKUP($A652,'The List'!$B1:$AH730,28,FALSE)-AVERAGE('The List'!AC2:AC730))/STDEV('The List'!AC2:AC730)</f>
        <v>-0.24073621558551361</v>
      </c>
      <c r="Q652" s="38">
        <f>(VLOOKUP($A652,'The List'!$B1:$AH730,29,FALSE)-AVERAGE('The List'!AD2:AD730))/STDEV('The List'!AD2:AD730)</f>
        <v>0.25494172033481394</v>
      </c>
      <c r="R652" s="38">
        <f>(VLOOKUP($A652,'The List'!$B1:$AH730,30,FALSE)-AVERAGE('The List'!AE2:AE730))/STDEV('The List'!AE2:AE730)</f>
        <v>-1.0683926362813276</v>
      </c>
      <c r="S652" s="38">
        <f>(VLOOKUP($A652,'The List'!$B1:$AH730,31,FALSE)-AVERAGE('The List'!AF2:AF730))/STDEV('The List'!AF2:AF730)</f>
        <v>-0.56911587195029545</v>
      </c>
      <c r="T652" s="38">
        <f>(VLOOKUP($A652,'The List'!$B1:$AH730,32,FALSE)-AVERAGE('The List'!AG2:AG730))/STDEV('The List'!AG2:AG730)</f>
        <v>-0.61510119871956948</v>
      </c>
      <c r="U652" s="38">
        <f>(VLOOKUP($A652,'The List'!$B1:$AH730,33,FALSE)-AVERAGE('The List'!AH2:AH730))/STDEV('The List'!AH2:AH730)</f>
        <v>-1.2363238714825984</v>
      </c>
      <c r="V652" s="38"/>
      <c r="W652" s="40"/>
      <c r="X652" s="38"/>
      <c r="Y652" s="38"/>
      <c r="Z652" s="38"/>
      <c r="AA652" s="38"/>
      <c r="AB652" s="38"/>
      <c r="AC652" s="38"/>
      <c r="AD652" s="38"/>
      <c r="AE652" s="38"/>
    </row>
    <row r="653" spans="1:31" ht="21.2" customHeight="1">
      <c r="A653" s="8" t="s">
        <v>663</v>
      </c>
      <c r="B653" s="34" t="str">
        <f>VLOOKUP(A653,'Player Data'!A1:B734,2,FALSE)</f>
        <v>STL</v>
      </c>
      <c r="C653" s="36">
        <f>((E653)*Settings!$C$12)+(F653*Settings!$C$2)+(G653*Settings!$C$3)+(H653*Settings!$C$4)+(I653*Settings!$C$5)+(K653*Settings!$C$9)+(N653*Settings!$C$6)+(J653*Settings!$C$8)+(O653*Settings!$C$7)+(P653*Settings!$C$14)+(Q653*Settings!$C$15)+(R653*Settings!$C$16)+(S653*Settings!$C$17)+(T653*Settings!$C$18)+(U653*Settings!$C$19)+(L653*Settings!$C$10)+(Settings!$C$11*M653)</f>
        <v>-6.2591888466518144</v>
      </c>
      <c r="D653" s="40">
        <f>IF(Settings!$E$12="YES",VLOOKUP(A653,'Player Data'!A1:E734,5,FALSE),82)</f>
        <v>82</v>
      </c>
      <c r="E653" s="38">
        <f>(VLOOKUP($A653,'The List'!$B1:$AH730,17,FALSE)-AVERAGE('The List'!R2:R730))/STDEV('The List'!R2:R730)</f>
        <v>-0.98980477222971941</v>
      </c>
      <c r="F653" s="38">
        <f>(VLOOKUP($A653,'The List'!$B1:$AH730,18,FALSE)-AVERAGE('The List'!S2:S730))/STDEV('The List'!S2:S730)</f>
        <v>-1.2113841070701101</v>
      </c>
      <c r="G653" s="38">
        <f>(VLOOKUP($A653,'The List'!$B1:$AH730,19,FALSE)-AVERAGE('The List'!T2:T730))/STDEV('The List'!T2:T730)</f>
        <v>-1.3544474997431908</v>
      </c>
      <c r="H653" s="38">
        <f>(VLOOKUP($A653,'The List'!$B1:$AH730,20,FALSE)-AVERAGE('The List'!U2:U730))/STDEV('The List'!U2:U730)</f>
        <v>-1.3955011868695422</v>
      </c>
      <c r="I653" s="38">
        <f>(VLOOKUP($A653,'The List'!$B1:$AH730,21,FALSE)-AVERAGE('The List'!V2:V730))/STDEV('The List'!V2:V730)</f>
        <v>-1.4809704857525032</v>
      </c>
      <c r="J653" s="38">
        <f>(VLOOKUP($A653,'The List'!$B1:$AH730,22,FALSE)-AVERAGE('The List'!W2:W730))/STDEV('The List'!W2:W730)</f>
        <v>-0.73397041540149988</v>
      </c>
      <c r="K653" s="38">
        <f>(VLOOKUP($A653,'The List'!$B1:$AH730,23,FALSE)-AVERAGE('The List'!X2:X730))/STDEV('The List'!X2:X730)</f>
        <v>-0.81688556721646732</v>
      </c>
      <c r="L653" s="38">
        <f>(VLOOKUP($A653,'The List'!$B1:$AH730,24,FALSE)-AVERAGE('The List'!Y2:Y730))/STDEV('The List'!Y2:Y730)</f>
        <v>-0.59175001536142746</v>
      </c>
      <c r="M653" s="38">
        <f>(VLOOKUP($A653,'The List'!$B1:$AH730,25,FALSE)-AVERAGE('The List'!Z2:Z730))/STDEV('The List'!Z2:Z730)</f>
        <v>-0.87451235497420732</v>
      </c>
      <c r="N653" s="38">
        <f>(VLOOKUP($A653,'The List'!$B1:$AH730,26,FALSE)-AVERAGE('The List'!AA2:AA730))/STDEV('The List'!AA2:AA730)</f>
        <v>0.7188614370537324</v>
      </c>
      <c r="O653" s="38">
        <f>(VLOOKUP($A653,'The List'!$B1:$AH730,27,FALSE)-AVERAGE('The List'!AB2:AB730))/STDEV('The List'!AB2:AB730)</f>
        <v>0.33832268726151449</v>
      </c>
      <c r="P653" s="38">
        <f>(VLOOKUP($A653,'The List'!$B1:$AH730,28,FALSE)-AVERAGE('The List'!AC2:AC730))/STDEV('The List'!AC2:AC730)</f>
        <v>-0.91145324061993083</v>
      </c>
      <c r="Q653" s="38">
        <f>(VLOOKUP($A653,'The List'!$B1:$AH730,29,FALSE)-AVERAGE('The List'!AD2:AD730))/STDEV('The List'!AD2:AD730)</f>
        <v>0.64705429082473287</v>
      </c>
      <c r="R653" s="38">
        <f>(VLOOKUP($A653,'The List'!$B1:$AH730,30,FALSE)-AVERAGE('The List'!AE2:AE730))/STDEV('The List'!AE2:AE730)</f>
        <v>-1.1327500681938545</v>
      </c>
      <c r="S653" s="38">
        <f>(VLOOKUP($A653,'The List'!$B1:$AH730,31,FALSE)-AVERAGE('The List'!AF2:AF730))/STDEV('The List'!AF2:AF730)</f>
        <v>-0.56911587195029545</v>
      </c>
      <c r="T653" s="38">
        <f>(VLOOKUP($A653,'The List'!$B1:$AH730,32,FALSE)-AVERAGE('The List'!AG2:AG730))/STDEV('The List'!AG2:AG730)</f>
        <v>-0.61510119871956948</v>
      </c>
      <c r="U653" s="38">
        <f>(VLOOKUP($A653,'The List'!$B1:$AH730,33,FALSE)-AVERAGE('The List'!AH2:AH730))/STDEV('The List'!AH2:AH730)</f>
        <v>-1.2363238714825984</v>
      </c>
      <c r="V653" s="38"/>
      <c r="W653" s="40"/>
      <c r="X653" s="38"/>
      <c r="Y653" s="38"/>
      <c r="Z653" s="38"/>
      <c r="AA653" s="38"/>
      <c r="AB653" s="38"/>
      <c r="AC653" s="38"/>
      <c r="AD653" s="38"/>
      <c r="AE653" s="38"/>
    </row>
    <row r="654" spans="1:31" ht="21.2" customHeight="1">
      <c r="A654" s="8" t="s">
        <v>633</v>
      </c>
      <c r="B654" s="34" t="str">
        <f>VLOOKUP(A654,'Player Data'!A1:B734,2,FALSE)</f>
        <v>COL</v>
      </c>
      <c r="C654" s="36">
        <f>((E654)*Settings!$C$12)+(F654*Settings!$C$2)+(G654*Settings!$C$3)+(H654*Settings!$C$4)+(I654*Settings!$C$5)+(K654*Settings!$C$9)+(N654*Settings!$C$6)+(J654*Settings!$C$8)+(O654*Settings!$C$7)+(P654*Settings!$C$14)+(Q654*Settings!$C$15)+(R654*Settings!$C$16)+(S654*Settings!$C$17)+(T654*Settings!$C$18)+(U654*Settings!$C$19)+(L654*Settings!$C$10)+(Settings!$C$11*M654)</f>
        <v>-6.0630887158674192</v>
      </c>
      <c r="D654" s="40">
        <f>IF(Settings!$E$12="YES",VLOOKUP(A654,'Player Data'!A1:E734,5,FALSE),82)</f>
        <v>82</v>
      </c>
      <c r="E654" s="38">
        <f>(VLOOKUP($A654,'The List'!$B1:$AH730,17,FALSE)-AVERAGE('The List'!R2:R730))/STDEV('The List'!R2:R730)</f>
        <v>-0.27686775213306603</v>
      </c>
      <c r="F654" s="38">
        <f>(VLOOKUP($A654,'The List'!$B1:$AH730,18,FALSE)-AVERAGE('The List'!S2:S730))/STDEV('The List'!S2:S730)</f>
        <v>-1.2636773927440126</v>
      </c>
      <c r="G654" s="38">
        <f>(VLOOKUP($A654,'The List'!$B1:$AH730,19,FALSE)-AVERAGE('The List'!T2:T730))/STDEV('The List'!T2:T730)</f>
        <v>-1.3357950136575889</v>
      </c>
      <c r="H654" s="38">
        <f>(VLOOKUP($A654,'The List'!$B1:$AH730,20,FALSE)-AVERAGE('The List'!U2:U730))/STDEV('The List'!U2:U730)</f>
        <v>-1.408348243651329</v>
      </c>
      <c r="I654" s="38">
        <f>(VLOOKUP($A654,'The List'!$B1:$AH730,21,FALSE)-AVERAGE('The List'!V2:V730))/STDEV('The List'!V2:V730)</f>
        <v>-1.2479860001301175</v>
      </c>
      <c r="J654" s="38">
        <f>(VLOOKUP($A654,'The List'!$B1:$AH730,22,FALSE)-AVERAGE('The List'!W2:W730))/STDEV('The List'!W2:W730)</f>
        <v>-0.73111315091784279</v>
      </c>
      <c r="K654" s="38">
        <f>(VLOOKUP($A654,'The List'!$B1:$AH730,23,FALSE)-AVERAGE('The List'!X2:X730))/STDEV('The List'!X2:X730)</f>
        <v>-0.80728206568437111</v>
      </c>
      <c r="L654" s="38">
        <f>(VLOOKUP($A654,'The List'!$B1:$AH730,24,FALSE)-AVERAGE('The List'!Y2:Y730))/STDEV('The List'!Y2:Y730)</f>
        <v>-0.64880922990575707</v>
      </c>
      <c r="M654" s="38">
        <f>(VLOOKUP($A654,'The List'!$B1:$AH730,25,FALSE)-AVERAGE('The List'!Z2:Z730))/STDEV('The List'!Z2:Z730)</f>
        <v>0.6976633557402897</v>
      </c>
      <c r="N654" s="38">
        <f>(VLOOKUP($A654,'The List'!$B1:$AH730,26,FALSE)-AVERAGE('The List'!AA2:AA730))/STDEV('The List'!AA2:AA730)</f>
        <v>0.7662782048056952</v>
      </c>
      <c r="O654" s="38">
        <f>(VLOOKUP($A654,'The List'!$B1:$AH730,27,FALSE)-AVERAGE('The List'!AB2:AB730))/STDEV('The List'!AB2:AB730)</f>
        <v>-5.6045119073757727E-2</v>
      </c>
      <c r="P654" s="38">
        <f>(VLOOKUP($A654,'The List'!$B1:$AH730,28,FALSE)-AVERAGE('The List'!AC2:AC730))/STDEV('The List'!AC2:AC730)</f>
        <v>0.29668563811937482</v>
      </c>
      <c r="Q654" s="38">
        <f>(VLOOKUP($A654,'The List'!$B1:$AH730,29,FALSE)-AVERAGE('The List'!AD2:AD730))/STDEV('The List'!AD2:AD730)</f>
        <v>-0.43471316624839246</v>
      </c>
      <c r="R654" s="38">
        <f>(VLOOKUP($A654,'The List'!$B1:$AH730,30,FALSE)-AVERAGE('The List'!AE2:AE730))/STDEV('The List'!AE2:AE730)</f>
        <v>-1.1420716323906657</v>
      </c>
      <c r="S654" s="38">
        <f>(VLOOKUP($A654,'The List'!$B1:$AH730,31,FALSE)-AVERAGE('The List'!AF2:AF730))/STDEV('The List'!AF2:AF730)</f>
        <v>-0.56911587195029545</v>
      </c>
      <c r="T654" s="38">
        <f>(VLOOKUP($A654,'The List'!$B1:$AH730,32,FALSE)-AVERAGE('The List'!AG2:AG730))/STDEV('The List'!AG2:AG730)</f>
        <v>-0.61179465190520022</v>
      </c>
      <c r="U654" s="38">
        <f>(VLOOKUP($A654,'The List'!$B1:$AH730,33,FALSE)-AVERAGE('The List'!AH2:AH730))/STDEV('The List'!AH2:AH730)</f>
        <v>-1.2363238714825984</v>
      </c>
      <c r="V654" s="38"/>
      <c r="W654" s="40"/>
      <c r="X654" s="38"/>
      <c r="Y654" s="38"/>
      <c r="Z654" s="38"/>
      <c r="AA654" s="38"/>
      <c r="AB654" s="38"/>
      <c r="AC654" s="38"/>
      <c r="AD654" s="38"/>
      <c r="AE654" s="38"/>
    </row>
    <row r="655" spans="1:31" ht="21.2" customHeight="1">
      <c r="A655" s="8" t="s">
        <v>578</v>
      </c>
      <c r="B655" s="34" t="str">
        <f>VLOOKUP(A655,'Player Data'!A1:B734,2,FALSE)</f>
        <v>ANA</v>
      </c>
      <c r="C655" s="36">
        <f>((E655)*Settings!$C$12)+(F655*Settings!$C$2)+(G655*Settings!$C$3)+(H655*Settings!$C$4)+(I655*Settings!$C$5)+(K655*Settings!$C$9)+(N655*Settings!$C$6)+(J655*Settings!$C$8)+(O655*Settings!$C$7)+(P655*Settings!$C$14)+(Q655*Settings!$C$15)+(R655*Settings!$C$16)+(S655*Settings!$C$17)+(T655*Settings!$C$18)+(U655*Settings!$C$19)+(L655*Settings!$C$10)+(Settings!$C$11*M655)</f>
        <v>0.83653038406221181</v>
      </c>
      <c r="D655" s="40">
        <f>IF(Settings!$E$12="YES",VLOOKUP(A655,'Player Data'!A1:E734,5,FALSE),82)</f>
        <v>82</v>
      </c>
      <c r="E655" s="38">
        <f>(VLOOKUP($A655,'The List'!$B1:$AH730,17,FALSE)-AVERAGE('The List'!R2:R730))/STDEV('The List'!R2:R730)</f>
        <v>-0.93490160098875297</v>
      </c>
      <c r="F655" s="38">
        <f>(VLOOKUP($A655,'The List'!$B1:$AH730,18,FALSE)-AVERAGE('The List'!S2:S730))/STDEV('The List'!S2:S730)</f>
        <v>0.10964863411850161</v>
      </c>
      <c r="G655" s="38">
        <f>(VLOOKUP($A655,'The List'!$B1:$AH730,19,FALSE)-AVERAGE('The List'!T2:T730))/STDEV('The List'!T2:T730)</f>
        <v>0.34136544178881811</v>
      </c>
      <c r="H655" s="38">
        <f>(VLOOKUP($A655,'The List'!$B1:$AH730,20,FALSE)-AVERAGE('The List'!U2:U730))/STDEV('The List'!U2:U730)</f>
        <v>0.26075519584854834</v>
      </c>
      <c r="I655" s="38">
        <f>(VLOOKUP($A655,'The List'!$B1:$AH730,21,FALSE)-AVERAGE('The List'!V2:V730))/STDEV('The List'!V2:V730)</f>
        <v>-0.1402845307238321</v>
      </c>
      <c r="J655" s="38">
        <f>(VLOOKUP($A655,'The List'!$B1:$AH730,22,FALSE)-AVERAGE('The List'!W2:W730))/STDEV('The List'!W2:W730)</f>
        <v>0.24713239985508612</v>
      </c>
      <c r="K655" s="38">
        <f>(VLOOKUP($A655,'The List'!$B1:$AH730,23,FALSE)-AVERAGE('The List'!X2:X730))/STDEV('The List'!X2:X730)</f>
        <v>0.26504564303017569</v>
      </c>
      <c r="L655" s="38">
        <f>(VLOOKUP($A655,'The List'!$B1:$AH730,24,FALSE)-AVERAGE('The List'!Y2:Y730))/STDEV('The List'!Y2:Y730)</f>
        <v>-0.52515529094994673</v>
      </c>
      <c r="M655" s="38">
        <f>(VLOOKUP($A655,'The List'!$B1:$AH730,25,FALSE)-AVERAGE('The List'!Z2:Z730))/STDEV('The List'!Z2:Z730)</f>
        <v>-0.70378350861314143</v>
      </c>
      <c r="N655" s="38">
        <f>(VLOOKUP($A655,'The List'!$B1:$AH730,26,FALSE)-AVERAGE('The List'!AA2:AA730))/STDEV('The List'!AA2:AA730)</f>
        <v>-0.75628717994387074</v>
      </c>
      <c r="O655" s="38">
        <f>(VLOOKUP($A655,'The List'!$B1:$AH730,27,FALSE)-AVERAGE('The List'!AB2:AB730))/STDEV('The List'!AB2:AB730)</f>
        <v>-1.2058282260660769</v>
      </c>
      <c r="P655" s="38">
        <f>(VLOOKUP($A655,'The List'!$B1:$AH730,28,FALSE)-AVERAGE('The List'!AC2:AC730))/STDEV('The List'!AC2:AC730)</f>
        <v>-0.14886037825410225</v>
      </c>
      <c r="Q655" s="38">
        <f>(VLOOKUP($A655,'The List'!$B1:$AH730,29,FALSE)-AVERAGE('The List'!AD2:AD730))/STDEV('The List'!AD2:AD730)</f>
        <v>-0.96035526590990905</v>
      </c>
      <c r="R655" s="38">
        <f>(VLOOKUP($A655,'The List'!$B1:$AH730,30,FALSE)-AVERAGE('The List'!AE2:AE730))/STDEV('The List'!AE2:AE730)</f>
        <v>-0.32790041305860551</v>
      </c>
      <c r="S655" s="38">
        <f>(VLOOKUP($A655,'The List'!$B1:$AH730,31,FALSE)-AVERAGE('The List'!AF2:AF730))/STDEV('The List'!AF2:AF730)</f>
        <v>-0.14660485936335918</v>
      </c>
      <c r="T655" s="38">
        <f>(VLOOKUP($A655,'The List'!$B1:$AH730,32,FALSE)-AVERAGE('The List'!AG2:AG730))/STDEV('The List'!AG2:AG730)</f>
        <v>2.6091195010449191E-2</v>
      </c>
      <c r="U655" s="38">
        <f>(VLOOKUP($A655,'The List'!$B1:$AH730,33,FALSE)-AVERAGE('The List'!AH2:AH730))/STDEV('The List'!AH2:AH730)</f>
        <v>0.61537789296076184</v>
      </c>
      <c r="V655" s="38"/>
      <c r="W655" s="40"/>
      <c r="X655" s="38"/>
      <c r="Y655" s="38"/>
      <c r="Z655" s="38"/>
      <c r="AA655" s="38"/>
      <c r="AB655" s="38"/>
      <c r="AC655" s="38"/>
      <c r="AD655" s="38"/>
      <c r="AE655" s="38"/>
    </row>
    <row r="656" spans="1:31" ht="21.2" customHeight="1">
      <c r="A656" s="8" t="s">
        <v>339</v>
      </c>
      <c r="B656" s="34" t="str">
        <f>VLOOKUP(A656,'Player Data'!A1:B734,2,FALSE)</f>
        <v>ANA</v>
      </c>
      <c r="C656" s="36">
        <f>((E656)*Settings!$C$12)+(F656*Settings!$C$2)+(G656*Settings!$C$3)+(H656*Settings!$C$4)+(I656*Settings!$C$5)+(K656*Settings!$C$9)+(N656*Settings!$C$6)+(J656*Settings!$C$8)+(O656*Settings!$C$7)+(P656*Settings!$C$14)+(Q656*Settings!$C$15)+(R656*Settings!$C$16)+(S656*Settings!$C$17)+(T656*Settings!$C$18)+(U656*Settings!$C$19)+(L656*Settings!$C$10)+(Settings!$C$11*M656)</f>
        <v>-0.35114908602908396</v>
      </c>
      <c r="D656" s="40">
        <f>IF(Settings!$E$12="YES",VLOOKUP(A656,'Player Data'!A1:E734,5,FALSE),82)</f>
        <v>82</v>
      </c>
      <c r="E656" s="38">
        <f>(VLOOKUP($A656,'The List'!$B1:$AH730,17,FALSE)-AVERAGE('The List'!R2:R730))/STDEV('The List'!R2:R730)</f>
        <v>0.67906373200133263</v>
      </c>
      <c r="F656" s="38">
        <f>(VLOOKUP($A656,'The List'!$B1:$AH730,18,FALSE)-AVERAGE('The List'!S2:S730))/STDEV('The List'!S2:S730)</f>
        <v>-0.54935803210749534</v>
      </c>
      <c r="G656" s="38">
        <f>(VLOOKUP($A656,'The List'!$B1:$AH730,19,FALSE)-AVERAGE('The List'!T2:T730))/STDEV('The List'!T2:T730)</f>
        <v>0.2539364922370061</v>
      </c>
      <c r="H656" s="38">
        <f>(VLOOKUP($A656,'The List'!$B1:$AH730,20,FALSE)-AVERAGE('The List'!U2:U730))/STDEV('The List'!U2:U730)</f>
        <v>-9.9327822428205828E-2</v>
      </c>
      <c r="I656" s="38">
        <f>(VLOOKUP($A656,'The List'!$B1:$AH730,21,FALSE)-AVERAGE('The List'!V2:V730))/STDEV('The List'!V2:V730)</f>
        <v>0.10352940372356828</v>
      </c>
      <c r="J656" s="38">
        <f>(VLOOKUP($A656,'The List'!$B1:$AH730,22,FALSE)-AVERAGE('The List'!W2:W730))/STDEV('The List'!W2:W730)</f>
        <v>-0.26907518959207888</v>
      </c>
      <c r="K656" s="38">
        <f>(VLOOKUP($A656,'The List'!$B1:$AH730,23,FALSE)-AVERAGE('The List'!X2:X730))/STDEV('The List'!X2:X730)</f>
        <v>-5.9929127453957155E-2</v>
      </c>
      <c r="L656" s="38">
        <f>(VLOOKUP($A656,'The List'!$B1:$AH730,24,FALSE)-AVERAGE('The List'!Y2:Y730))/STDEV('The List'!Y2:Y730)</f>
        <v>-0.52515529094994673</v>
      </c>
      <c r="M656" s="38">
        <f>(VLOOKUP($A656,'The List'!$B1:$AH730,25,FALSE)-AVERAGE('The List'!Z2:Z730))/STDEV('The List'!Z2:Z730)</f>
        <v>-0.70378350861314143</v>
      </c>
      <c r="N656" s="38">
        <f>(VLOOKUP($A656,'The List'!$B1:$AH730,26,FALSE)-AVERAGE('The List'!AA2:AA730))/STDEV('The List'!AA2:AA730)</f>
        <v>0.89757679744442731</v>
      </c>
      <c r="O656" s="38">
        <f>(VLOOKUP($A656,'The List'!$B1:$AH730,27,FALSE)-AVERAGE('The List'!AB2:AB730))/STDEV('The List'!AB2:AB730)</f>
        <v>2.4806121191370531E-2</v>
      </c>
      <c r="P656" s="38">
        <f>(VLOOKUP($A656,'The List'!$B1:$AH730,28,FALSE)-AVERAGE('The List'!AC2:AC730))/STDEV('The List'!AC2:AC730)</f>
        <v>6.8589529105626421E-2</v>
      </c>
      <c r="Q656" s="38">
        <f>(VLOOKUP($A656,'The List'!$B1:$AH730,29,FALSE)-AVERAGE('The List'!AD2:AD730))/STDEV('The List'!AD2:AD730)</f>
        <v>7.231121042507011E-3</v>
      </c>
      <c r="R656" s="38">
        <f>(VLOOKUP($A656,'The List'!$B1:$AH730,30,FALSE)-AVERAGE('The List'!AE2:AE730))/STDEV('The List'!AE2:AE730)</f>
        <v>-0.7393026664048753</v>
      </c>
      <c r="S656" s="38">
        <f>(VLOOKUP($A656,'The List'!$B1:$AH730,31,FALSE)-AVERAGE('The List'!AF2:AF730))/STDEV('The List'!AF2:AF730)</f>
        <v>-0.56911587195029545</v>
      </c>
      <c r="T656" s="38">
        <f>(VLOOKUP($A656,'The List'!$B1:$AH730,32,FALSE)-AVERAGE('The List'!AG2:AG730))/STDEV('The List'!AG2:AG730)</f>
        <v>-0.61510119871956948</v>
      </c>
      <c r="U656" s="38">
        <f>(VLOOKUP($A656,'The List'!$B1:$AH730,33,FALSE)-AVERAGE('The List'!AH2:AH730))/STDEV('The List'!AH2:AH730)</f>
        <v>-1.2363238714825984</v>
      </c>
      <c r="V656" s="38"/>
      <c r="W656" s="40"/>
      <c r="X656" s="38"/>
      <c r="Y656" s="38"/>
      <c r="Z656" s="38"/>
      <c r="AA656" s="38"/>
      <c r="AB656" s="38"/>
      <c r="AC656" s="38"/>
      <c r="AD656" s="38"/>
      <c r="AE656" s="38"/>
    </row>
    <row r="657" spans="1:31" ht="21.2" customHeight="1">
      <c r="A657" s="8" t="s">
        <v>275</v>
      </c>
      <c r="B657" s="34" t="str">
        <f>VLOOKUP(A657,'Player Data'!A1:B734,2,FALSE)</f>
        <v>ANA</v>
      </c>
      <c r="C657" s="36">
        <f>((E657)*Settings!$C$12)+(F657*Settings!$C$2)+(G657*Settings!$C$3)+(H657*Settings!$C$4)+(I657*Settings!$C$5)+(K657*Settings!$C$9)+(N657*Settings!$C$6)+(J657*Settings!$C$8)+(O657*Settings!$C$7)+(P657*Settings!$C$14)+(Q657*Settings!$C$15)+(R657*Settings!$C$16)+(S657*Settings!$C$17)+(T657*Settings!$C$18)+(U657*Settings!$C$19)+(L657*Settings!$C$10)+(Settings!$C$11*M657)</f>
        <v>0.51898848940261877</v>
      </c>
      <c r="D657" s="40">
        <f>IF(Settings!$E$12="YES",VLOOKUP(A657,'Player Data'!A1:E734,5,FALSE),82)</f>
        <v>82</v>
      </c>
      <c r="E657" s="38">
        <f>(VLOOKUP($A657,'The List'!$B1:$AH730,17,FALSE)-AVERAGE('The List'!R2:R730))/STDEV('The List'!R2:R730)</f>
        <v>0.94805795416634686</v>
      </c>
      <c r="F657" s="38">
        <f>(VLOOKUP($A657,'The List'!$B1:$AH730,18,FALSE)-AVERAGE('The List'!S2:S730))/STDEV('The List'!S2:S730)</f>
        <v>-0.25215092437771919</v>
      </c>
      <c r="G657" s="38">
        <f>(VLOOKUP($A657,'The List'!$B1:$AH730,19,FALSE)-AVERAGE('The List'!T2:T730))/STDEV('The List'!T2:T730)</f>
        <v>0.16340349631628134</v>
      </c>
      <c r="H657" s="38">
        <f>(VLOOKUP($A657,'The List'!$B1:$AH730,20,FALSE)-AVERAGE('The List'!U2:U730))/STDEV('The List'!U2:U730)</f>
        <v>-1.6800312275663108E-2</v>
      </c>
      <c r="I657" s="38">
        <f>(VLOOKUP($A657,'The List'!$B1:$AH730,21,FALSE)-AVERAGE('The List'!V2:V730))/STDEV('The List'!V2:V730)</f>
        <v>0.60998431446415091</v>
      </c>
      <c r="J657" s="38">
        <f>(VLOOKUP($A657,'The List'!$B1:$AH730,22,FALSE)-AVERAGE('The List'!W2:W730))/STDEV('The List'!W2:W730)</f>
        <v>-7.1228507058050686E-2</v>
      </c>
      <c r="K657" s="38">
        <f>(VLOOKUP($A657,'The List'!$B1:$AH730,23,FALSE)-AVERAGE('The List'!X2:X730))/STDEV('The List'!X2:X730)</f>
        <v>1.4551915275568776E-2</v>
      </c>
      <c r="L657" s="38">
        <f>(VLOOKUP($A657,'The List'!$B1:$AH730,24,FALSE)-AVERAGE('The List'!Y2:Y730))/STDEV('The List'!Y2:Y730)</f>
        <v>-0.52515529094994673</v>
      </c>
      <c r="M657" s="38">
        <f>(VLOOKUP($A657,'The List'!$B1:$AH730,25,FALSE)-AVERAGE('The List'!Z2:Z730))/STDEV('The List'!Z2:Z730)</f>
        <v>-0.70378350861314143</v>
      </c>
      <c r="N657" s="38">
        <f>(VLOOKUP($A657,'The List'!$B1:$AH730,26,FALSE)-AVERAGE('The List'!AA2:AA730))/STDEV('The List'!AA2:AA730)</f>
        <v>0.99201412558227364</v>
      </c>
      <c r="O657" s="38">
        <f>(VLOOKUP($A657,'The List'!$B1:$AH730,27,FALSE)-AVERAGE('The List'!AB2:AB730))/STDEV('The List'!AB2:AB730)</f>
        <v>5.0766540545536823E-2</v>
      </c>
      <c r="P657" s="38">
        <f>(VLOOKUP($A657,'The List'!$B1:$AH730,28,FALSE)-AVERAGE('The List'!AC2:AC730))/STDEV('The List'!AC2:AC730)</f>
        <v>0.10483118033224786</v>
      </c>
      <c r="Q657" s="38">
        <f>(VLOOKUP($A657,'The List'!$B1:$AH730,29,FALSE)-AVERAGE('The List'!AD2:AD730))/STDEV('The List'!AD2:AD730)</f>
        <v>6.9698923496856191E-2</v>
      </c>
      <c r="R657" s="38">
        <f>(VLOOKUP($A657,'The List'!$B1:$AH730,30,FALSE)-AVERAGE('The List'!AE2:AE730))/STDEV('The List'!AE2:AE730)</f>
        <v>-0.55376330831191234</v>
      </c>
      <c r="S657" s="38">
        <f>(VLOOKUP($A657,'The List'!$B1:$AH730,31,FALSE)-AVERAGE('The List'!AF2:AF730))/STDEV('The List'!AF2:AF730)</f>
        <v>-0.56911587195029545</v>
      </c>
      <c r="T657" s="38">
        <f>(VLOOKUP($A657,'The List'!$B1:$AH730,32,FALSE)-AVERAGE('The List'!AG2:AG730))/STDEV('The List'!AG2:AG730)</f>
        <v>-0.61510119871956948</v>
      </c>
      <c r="U657" s="38">
        <f>(VLOOKUP($A657,'The List'!$B1:$AH730,33,FALSE)-AVERAGE('The List'!AH2:AH730))/STDEV('The List'!AH2:AH730)</f>
        <v>-1.2363238714825984</v>
      </c>
      <c r="V657" s="38"/>
      <c r="W657" s="40"/>
      <c r="X657" s="38"/>
      <c r="Y657" s="38"/>
      <c r="Z657" s="38"/>
      <c r="AA657" s="38"/>
      <c r="AB657" s="38"/>
      <c r="AC657" s="38"/>
      <c r="AD657" s="38"/>
      <c r="AE657" s="38"/>
    </row>
    <row r="658" spans="1:31" ht="21.2" customHeight="1">
      <c r="A658" s="23"/>
      <c r="B658" s="14"/>
      <c r="C658" s="36"/>
      <c r="D658" s="40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40"/>
      <c r="X658" s="38"/>
      <c r="Y658" s="38"/>
      <c r="Z658" s="38"/>
      <c r="AA658" s="38"/>
      <c r="AB658" s="38"/>
      <c r="AC658" s="38"/>
      <c r="AD658" s="38"/>
      <c r="AE658" s="38"/>
    </row>
    <row r="659" spans="1:31" ht="21.2" customHeight="1">
      <c r="A659" s="8" t="s">
        <v>234</v>
      </c>
      <c r="B659" s="34" t="str">
        <f>VLOOKUP(A659,'Player Data'!A1:B734,2,FALSE)</f>
        <v>ANA</v>
      </c>
      <c r="C659" s="36">
        <f>(W659*Settings!$C$29)+(X659*Settings!$C$21)+(Y659*Settings!$C$22)+(AA659*Settings!$C$24)+(AB659*Settings!$C$25)+(Z659*Settings!$C$23)+(AC659*Settings!$C$26)+(AD659*Settings!$C$28)</f>
        <v>1.9847474227843245</v>
      </c>
      <c r="D659" s="40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>
        <f>(VLOOKUP($A659,'The List'!$B1:$AR730,35,FALSE)-AVERAGE('The List'!AJ2:AJ730))/STDEV('The List'!AJ2:AJ730)</f>
        <v>1.2454849379623452</v>
      </c>
      <c r="X659" s="38">
        <f>(VLOOKUP($A659,'The List'!$B1:$AR730,36,FALSE)-AVERAGE('The List'!AK2:AK730))/STDEV('The List'!AK2:AK730)</f>
        <v>0.40926303829867466</v>
      </c>
      <c r="Y659" s="38">
        <f>(VLOOKUP($A659,'The List'!$B1:$AR730,37,FALSE)-AVERAGE('The List'!AL2:AL730))/STDEV('The List'!AL2:AL730)*-1</f>
        <v>-2.1967800865096749</v>
      </c>
      <c r="Z659" s="38">
        <f>(VLOOKUP($A659,'The List'!$B1:$AR730,38,FALSE)-AVERAGE('The List'!AM2:AM730))/STDEV('The List'!AM2:AM730)</f>
        <v>1.2454849379623452</v>
      </c>
      <c r="AA659" s="38">
        <f>(VLOOKUP($A659,'The List'!$B1:$AR730,39,FALSE)-AVERAGE('The List'!AN2:AN730))/STDEV('The List'!AN2:AN730)</f>
        <v>-0.11660258677993685</v>
      </c>
      <c r="AB659" s="38">
        <f>(VLOOKUP($A659,'The List'!$B1:$AR730,40,FALSE)-AVERAGE('The List'!AO2:AO730))/STDEV('The List'!AO2:AO730)</f>
        <v>1.5754843844856499</v>
      </c>
      <c r="AC659" s="38">
        <f>(VLOOKUP($A659,'The List'!$B1:$AR730,42,FALSE)-AVERAGE('The List'!AQ2:AQ730))/STDEV('The List'!AQ2:AQ730)</f>
        <v>0.34478272936077453</v>
      </c>
      <c r="AD659" s="38">
        <f>(VLOOKUP($A659,'The List'!$B1:$AR730,43,FALSE)-AVERAGE('The List'!AR2:AR730))/STDEV('The List'!AR2:AR730)*-1</f>
        <v>-1.1159256714630754</v>
      </c>
      <c r="AE659" s="38"/>
    </row>
    <row r="660" spans="1:31" ht="21.2" customHeight="1">
      <c r="A660" s="8" t="s">
        <v>808</v>
      </c>
      <c r="B660" s="34" t="str">
        <f>VLOOKUP(A660,'Player Data'!A1:B734,2,FALSE)</f>
        <v>ANA</v>
      </c>
      <c r="C660" s="36">
        <f>(W660*Settings!$C$29)+(X660*Settings!$C$21)+(Y660*Settings!$C$22)+(AA660*Settings!$C$24)+(AB660*Settings!$C$25)+(Z660*Settings!$C$23)+(AC660*Settings!$C$26)+(AD660*Settings!$C$28)</f>
        <v>-2.1181348887636737</v>
      </c>
      <c r="D660" s="40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>
        <f>(VLOOKUP($A660,'The List'!$B1:$AR730,35,FALSE)-AVERAGE('The List'!AJ2:AJ730))/STDEV('The List'!AJ2:AJ730)</f>
        <v>-1.0450220018312473</v>
      </c>
      <c r="X660" s="38">
        <f>(VLOOKUP($A660,'The List'!$B1:$AR730,36,FALSE)-AVERAGE('The List'!AK2:AK730))/STDEV('The List'!AK2:AK730)</f>
        <v>-1.1921320818862116</v>
      </c>
      <c r="Y660" s="38">
        <f>(VLOOKUP($A660,'The List'!$B1:$AR730,37,FALSE)-AVERAGE('The List'!AL2:AL730))/STDEV('The List'!AL2:AL730)*-1</f>
        <v>0.57047029202338351</v>
      </c>
      <c r="Z660" s="38">
        <f>(VLOOKUP($A660,'The List'!$B1:$AR730,38,FALSE)-AVERAGE('The List'!AM2:AM730))/STDEV('The List'!AM2:AM730)</f>
        <v>-1.0450220018312473</v>
      </c>
      <c r="AA660" s="38">
        <f>(VLOOKUP($A660,'The List'!$B1:$AR730,39,FALSE)-AVERAGE('The List'!AN2:AN730))/STDEV('The List'!AN2:AN730)</f>
        <v>-1.1779539415545042</v>
      </c>
      <c r="AB660" s="38">
        <f>(VLOOKUP($A660,'The List'!$B1:$AR730,40,FALSE)-AVERAGE('The List'!AO2:AO730))/STDEV('The List'!AO2:AO730)</f>
        <v>-0.92600280687746217</v>
      </c>
      <c r="AC660" s="38">
        <f>(VLOOKUP($A660,'The List'!$B1:$AR730,42,FALSE)-AVERAGE('The List'!AQ2:AQ730))/STDEV('The List'!AQ2:AQ730)</f>
        <v>-0.58364682077433572</v>
      </c>
      <c r="AD660" s="38">
        <f>(VLOOKUP($A660,'The List'!$B1:$AR730,43,FALSE)-AVERAGE('The List'!AR2:AR730))/STDEV('The List'!AR2:AR730)*-1</f>
        <v>-1.9995738344047298</v>
      </c>
      <c r="AE660" s="38"/>
    </row>
    <row r="661" spans="1:31" ht="21.2" customHeight="1">
      <c r="A661" s="8" t="s">
        <v>408</v>
      </c>
      <c r="B661" s="34" t="str">
        <f>VLOOKUP(A661,'Player Data'!A1:B734,2,FALSE)</f>
        <v>ARI</v>
      </c>
      <c r="C661" s="36">
        <f>(W661*Settings!$C$29)+(X661*Settings!$C$21)+(Y661*Settings!$C$22)+(AA661*Settings!$C$24)+(AB661*Settings!$C$25)+(Z661*Settings!$C$23)+(AC661*Settings!$C$26)+(AD661*Settings!$C$28)</f>
        <v>0.58644566356808481</v>
      </c>
      <c r="D661" s="40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>
        <f>(VLOOKUP($A661,'The List'!$B1:$AR730,35,FALSE)-AVERAGE('The List'!AJ2:AJ730))/STDEV('The List'!AJ2:AJ730)</f>
        <v>0.48198262469781439</v>
      </c>
      <c r="X661" s="38">
        <f>(VLOOKUP($A661,'The List'!$B1:$AR730,36,FALSE)-AVERAGE('The List'!AK2:AK730))/STDEV('The List'!AK2:AK730)</f>
        <v>0.11993015776298706</v>
      </c>
      <c r="Y661" s="38">
        <f>(VLOOKUP($A661,'The List'!$B1:$AR730,37,FALSE)-AVERAGE('The List'!AL2:AL730))/STDEV('The List'!AL2:AL730)*-1</f>
        <v>-0.90777354891367734</v>
      </c>
      <c r="Z661" s="38">
        <f>(VLOOKUP($A661,'The List'!$B1:$AR730,38,FALSE)-AVERAGE('The List'!AM2:AM730))/STDEV('The List'!AM2:AM730)</f>
        <v>0.48198262469781439</v>
      </c>
      <c r="AA661" s="38">
        <f>(VLOOKUP($A661,'The List'!$B1:$AR730,39,FALSE)-AVERAGE('The List'!AN2:AN730))/STDEV('The List'!AN2:AN730)</f>
        <v>0.20002930646778805</v>
      </c>
      <c r="AB661" s="38">
        <f>(VLOOKUP($A661,'The List'!$B1:$AR730,40,FALSE)-AVERAGE('The List'!AO2:AO730))/STDEV('The List'!AO2:AO730)</f>
        <v>0.46651550580509776</v>
      </c>
      <c r="AC661" s="38">
        <f>(VLOOKUP($A661,'The List'!$B1:$AR730,42,FALSE)-AVERAGE('The List'!AQ2:AQ730))/STDEV('The List'!AQ2:AQ730)</f>
        <v>5.8605539242802901E-2</v>
      </c>
      <c r="AD661" s="38">
        <f>(VLOOKUP($A661,'The List'!$B1:$AR730,43,FALSE)-AVERAGE('The List'!AR2:AR730))/STDEV('The List'!AR2:AR730)*-1</f>
        <v>7.2829092919645774E-2</v>
      </c>
      <c r="AE661" s="38"/>
    </row>
    <row r="662" spans="1:31" ht="21.2" customHeight="1">
      <c r="A662" s="8" t="s">
        <v>559</v>
      </c>
      <c r="B662" s="34" t="str">
        <f>VLOOKUP(A662,'Player Data'!A1:B734,2,FALSE)</f>
        <v>ARI</v>
      </c>
      <c r="C662" s="36">
        <f>(W662*Settings!$C$29)+(X662*Settings!$C$21)+(Y662*Settings!$C$22)+(AA662*Settings!$C$24)+(AB662*Settings!$C$25)+(Z662*Settings!$C$23)+(AC662*Settings!$C$26)+(AD662*Settings!$C$28)</f>
        <v>-0.1927368628169206</v>
      </c>
      <c r="D662" s="40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>
        <f>(VLOOKUP($A662,'The List'!$B1:$AR730,35,FALSE)-AVERAGE('The List'!AJ2:AJ730))/STDEV('The List'!AJ2:AJ730)</f>
        <v>3.6606275293504763E-2</v>
      </c>
      <c r="X662" s="38">
        <f>(VLOOKUP($A662,'The List'!$B1:$AR730,36,FALSE)-AVERAGE('The List'!AK2:AK730))/STDEV('The List'!AK2:AK730)</f>
        <v>-0.22147936460826656</v>
      </c>
      <c r="Y662" s="38">
        <f>(VLOOKUP($A662,'The List'!$B1:$AR730,37,FALSE)-AVERAGE('The List'!AL2:AL730))/STDEV('The List'!AL2:AL730)*-1</f>
        <v>-0.41472446712132122</v>
      </c>
      <c r="Z662" s="38">
        <f>(VLOOKUP($A662,'The List'!$B1:$AR730,38,FALSE)-AVERAGE('The List'!AM2:AM730))/STDEV('The List'!AM2:AM730)</f>
        <v>3.6606275293504763E-2</v>
      </c>
      <c r="AA662" s="38">
        <f>(VLOOKUP($A662,'The List'!$B1:$AR730,39,FALSE)-AVERAGE('The List'!AN2:AN730))/STDEV('The List'!AN2:AN730)</f>
        <v>-4.4592505930199131E-2</v>
      </c>
      <c r="AB662" s="38">
        <f>(VLOOKUP($A662,'The List'!$B1:$AR730,40,FALSE)-AVERAGE('The List'!AO2:AO730))/STDEV('The List'!AO2:AO730)</f>
        <v>2.8742501791345972E-2</v>
      </c>
      <c r="AC662" s="38">
        <f>(VLOOKUP($A662,'The List'!$B1:$AR730,42,FALSE)-AVERAGE('The List'!AQ2:AQ730))/STDEV('The List'!AQ2:AQ730)</f>
        <v>0.12742636048644498</v>
      </c>
      <c r="AD662" s="38">
        <f>(VLOOKUP($A662,'The List'!$B1:$AR730,43,FALSE)-AVERAGE('The List'!AR2:AR730))/STDEV('The List'!AR2:AR730)*-1</f>
        <v>0.1321892965548071</v>
      </c>
      <c r="AE662" s="38"/>
    </row>
    <row r="663" spans="1:31" ht="21.2" customHeight="1">
      <c r="A663" s="8" t="s">
        <v>265</v>
      </c>
      <c r="B663" s="34" t="str">
        <f>VLOOKUP(A663,'Player Data'!A1:B734,2,FALSE)</f>
        <v>BOS</v>
      </c>
      <c r="C663" s="36">
        <f>(W663*Settings!$C$29)+(X663*Settings!$C$21)+(Y663*Settings!$C$22)+(AA663*Settings!$C$24)+(AB663*Settings!$C$25)+(Z663*Settings!$C$23)+(AC663*Settings!$C$26)+(AD663*Settings!$C$28)</f>
        <v>1.5914839465715365</v>
      </c>
      <c r="D663" s="40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>
        <f>(VLOOKUP($A663,'The List'!$B1:$AR730,35,FALSE)-AVERAGE('The List'!AJ2:AJ730))/STDEV('The List'!AJ2:AJ730)</f>
        <v>0.60923301024190291</v>
      </c>
      <c r="X663" s="38">
        <f>(VLOOKUP($A663,'The List'!$B1:$AR730,36,FALSE)-AVERAGE('The List'!AK2:AK730))/STDEV('The List'!AK2:AK730)</f>
        <v>0.94526439399052631</v>
      </c>
      <c r="Y663" s="38">
        <f>(VLOOKUP($A663,'The List'!$B1:$AR730,37,FALSE)-AVERAGE('The List'!AL2:AL730))/STDEV('The List'!AL2:AL730)*-1</f>
        <v>4.271527762673643E-2</v>
      </c>
      <c r="Z663" s="38">
        <f>(VLOOKUP($A663,'The List'!$B1:$AR730,38,FALSE)-AVERAGE('The List'!AM2:AM730))/STDEV('The List'!AM2:AM730)</f>
        <v>0.60923301024190291</v>
      </c>
      <c r="AA663" s="38">
        <f>(VLOOKUP($A663,'The List'!$B1:$AR730,39,FALSE)-AVERAGE('The List'!AN2:AN730))/STDEV('The List'!AN2:AN730)</f>
        <v>1.0913460096111376</v>
      </c>
      <c r="AB663" s="38">
        <f>(VLOOKUP($A663,'The List'!$B1:$AR730,40,FALSE)-AVERAGE('The List'!AO2:AO730))/STDEV('The List'!AO2:AO730)</f>
        <v>0.64621955258101005</v>
      </c>
      <c r="AC663" s="38">
        <f>(VLOOKUP($A663,'The List'!$B1:$AR730,42,FALSE)-AVERAGE('The List'!AQ2:AQ730))/STDEV('The List'!AQ2:AQ730)</f>
        <v>1.9387416376618172</v>
      </c>
      <c r="AD663" s="38">
        <f>(VLOOKUP($A663,'The List'!$B1:$AR730,43,FALSE)-AVERAGE('The List'!AR2:AR730))/STDEV('The List'!AR2:AR730)*-1</f>
        <v>1.5972900670740988</v>
      </c>
      <c r="AE663" s="38"/>
    </row>
    <row r="664" spans="1:31" ht="21.2" customHeight="1">
      <c r="A664" s="8" t="s">
        <v>422</v>
      </c>
      <c r="B664" s="34" t="str">
        <f>VLOOKUP(A664,'Player Data'!A1:B734,2,FALSE)</f>
        <v>BOS</v>
      </c>
      <c r="C664" s="36">
        <f>(W664*Settings!$C$29)+(X664*Settings!$C$21)+(Y664*Settings!$C$22)+(AA664*Settings!$C$24)+(AB664*Settings!$C$25)+(Z664*Settings!$C$23)+(AC664*Settings!$C$26)+(AD664*Settings!$C$28)</f>
        <v>0.47195335007228612</v>
      </c>
      <c r="D664" s="40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>
        <f>(VLOOKUP($A664,'The List'!$B1:$AR730,35,FALSE)-AVERAGE('The List'!AJ2:AJ730))/STDEV('The List'!AJ2:AJ730)</f>
        <v>0.100231468065549</v>
      </c>
      <c r="X664" s="38">
        <f>(VLOOKUP($A664,'The List'!$B1:$AR730,36,FALSE)-AVERAGE('The List'!AK2:AK730))/STDEV('The List'!AK2:AK730)</f>
        <v>0.35072076757263987</v>
      </c>
      <c r="Y664" s="38">
        <f>(VLOOKUP($A664,'The List'!$B1:$AR730,37,FALSE)-AVERAGE('The List'!AL2:AL730))/STDEV('The List'!AL2:AL730)*-1</f>
        <v>0.29974866600751093</v>
      </c>
      <c r="Z664" s="38">
        <f>(VLOOKUP($A664,'The List'!$B1:$AR730,38,FALSE)-AVERAGE('The List'!AM2:AM730))/STDEV('The List'!AM2:AM730)</f>
        <v>0.100231468065549</v>
      </c>
      <c r="AA664" s="38">
        <f>(VLOOKUP($A664,'The List'!$B1:$AR730,39,FALSE)-AVERAGE('The List'!AN2:AN730))/STDEV('The List'!AN2:AN730)</f>
        <v>0.2713894909314995</v>
      </c>
      <c r="AB664" s="38">
        <f>(VLOOKUP($A664,'The List'!$B1:$AR730,40,FALSE)-AVERAGE('The List'!AO2:AO730))/STDEV('The List'!AO2:AO730)</f>
        <v>0.12123258249964625</v>
      </c>
      <c r="AC664" s="38">
        <f>(VLOOKUP($A664,'The List'!$B1:$AR730,42,FALSE)-AVERAGE('The List'!AQ2:AQ730))/STDEV('The List'!AQ2:AQ730)</f>
        <v>0.98172022926774694</v>
      </c>
      <c r="AD664" s="38">
        <f>(VLOOKUP($A664,'The List'!$B1:$AR730,43,FALSE)-AVERAGE('The List'!AR2:AR730))/STDEV('The List'!AR2:AR730)*-1</f>
        <v>0.76540871112142317</v>
      </c>
      <c r="AE664" s="38"/>
    </row>
    <row r="665" spans="1:31" ht="21.2" customHeight="1">
      <c r="A665" s="8" t="s">
        <v>305</v>
      </c>
      <c r="B665" s="34" t="str">
        <f>VLOOKUP(A665,'Player Data'!A1:B734,2,FALSE)</f>
        <v>BUF</v>
      </c>
      <c r="C665" s="36">
        <f>(W665*Settings!$C$29)+(X665*Settings!$C$21)+(Y665*Settings!$C$22)+(AA665*Settings!$C$24)+(AB665*Settings!$C$25)+(Z665*Settings!$C$23)+(AC665*Settings!$C$26)+(AD665*Settings!$C$28)</f>
        <v>1.5123765898805908</v>
      </c>
      <c r="D665" s="40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>
        <f>(VLOOKUP($A665,'The List'!$B1:$AR730,35,FALSE)-AVERAGE('The List'!AJ2:AJ730))/STDEV('The List'!AJ2:AJ730)</f>
        <v>0.86373378133007983</v>
      </c>
      <c r="X665" s="38">
        <f>(VLOOKUP($A665,'The List'!$B1:$AR730,36,FALSE)-AVERAGE('The List'!AK2:AK730))/STDEV('The List'!AK2:AK730)</f>
        <v>0.64066695223826031</v>
      </c>
      <c r="Y665" s="38">
        <f>(VLOOKUP($A665,'The List'!$B1:$AR730,37,FALSE)-AVERAGE('The List'!AL2:AL730))/STDEV('The List'!AL2:AL730)*-1</f>
        <v>-0.98833818757984515</v>
      </c>
      <c r="Z665" s="38">
        <f>(VLOOKUP($A665,'The List'!$B1:$AR730,38,FALSE)-AVERAGE('The List'!AM2:AM730))/STDEV('The List'!AM2:AM730)</f>
        <v>0.86373378133007983</v>
      </c>
      <c r="AA665" s="38">
        <f>(VLOOKUP($A665,'The List'!$B1:$AR730,39,FALSE)-AVERAGE('The List'!AN2:AN730))/STDEV('The List'!AN2:AN730)</f>
        <v>0.30669208997030351</v>
      </c>
      <c r="AB665" s="38">
        <f>(VLOOKUP($A665,'The List'!$B1:$AR730,40,FALSE)-AVERAGE('The List'!AO2:AO730))/STDEV('The List'!AO2:AO730)</f>
        <v>0.87170963764233045</v>
      </c>
      <c r="AC665" s="38">
        <f>(VLOOKUP($A665,'The List'!$B1:$AR730,42,FALSE)-AVERAGE('The List'!AQ2:AQ730))/STDEV('The List'!AQ2:AQ730)</f>
        <v>-2.15802329226903E-2</v>
      </c>
      <c r="AD665" s="38">
        <f>(VLOOKUP($A665,'The List'!$B1:$AR730,43,FALSE)-AVERAGE('The List'!AR2:AR730))/STDEV('The List'!AR2:AR730)*-1</f>
        <v>-0.141069577696535</v>
      </c>
      <c r="AE665" s="38"/>
    </row>
    <row r="666" spans="1:31" ht="21.2" customHeight="1">
      <c r="A666" s="8" t="s">
        <v>780</v>
      </c>
      <c r="B666" s="34" t="str">
        <f>VLOOKUP(A666,'Player Data'!A1:B734,2,FALSE)</f>
        <v>BUF</v>
      </c>
      <c r="C666" s="36">
        <f>(W666*Settings!$C$29)+(X666*Settings!$C$21)+(Y666*Settings!$C$22)+(AA666*Settings!$C$24)+(AB666*Settings!$C$25)+(Z666*Settings!$C$23)+(AC666*Settings!$C$26)+(AD666*Settings!$C$28)</f>
        <v>-1.5637571513654489</v>
      </c>
      <c r="D666" s="40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>
        <f>(VLOOKUP($A666,'The List'!$B1:$AR730,35,FALSE)-AVERAGE('The List'!AJ2:AJ730))/STDEV('The List'!AJ2:AJ730)</f>
        <v>-0.79052123074307024</v>
      </c>
      <c r="X666" s="38">
        <f>(VLOOKUP($A666,'The List'!$B1:$AR730,36,FALSE)-AVERAGE('The List'!AK2:AK730))/STDEV('The List'!AK2:AK730)</f>
        <v>-0.78330729925275278</v>
      </c>
      <c r="Y666" s="38">
        <f>(VLOOKUP($A666,'The List'!$B1:$AR730,37,FALSE)-AVERAGE('The List'!AL2:AL730))/STDEV('The List'!AL2:AL730)*-1</f>
        <v>0.60923354441900257</v>
      </c>
      <c r="Z666" s="38">
        <f>(VLOOKUP($A666,'The List'!$B1:$AR730,38,FALSE)-AVERAGE('The List'!AM2:AM730))/STDEV('The List'!AM2:AM730)</f>
        <v>-0.79052123074307024</v>
      </c>
      <c r="AA666" s="38">
        <f>(VLOOKUP($A666,'The List'!$B1:$AR730,39,FALSE)-AVERAGE('The List'!AN2:AN730))/STDEV('The List'!AN2:AN730)</f>
        <v>-0.80914259140662359</v>
      </c>
      <c r="AB666" s="38">
        <f>(VLOOKUP($A666,'The List'!$B1:$AR730,40,FALSE)-AVERAGE('The List'!AO2:AO730))/STDEV('The List'!AO2:AO730)</f>
        <v>-0.78044985211269624</v>
      </c>
      <c r="AC666" s="38">
        <f>(VLOOKUP($A666,'The List'!$B1:$AR730,42,FALSE)-AVERAGE('The List'!AQ2:AQ730))/STDEV('The List'!AQ2:AQ730)</f>
        <v>-0.79976203216297514</v>
      </c>
      <c r="AD666" s="38">
        <f>(VLOOKUP($A666,'The List'!$B1:$AR730,43,FALSE)-AVERAGE('The List'!AR2:AR730))/STDEV('The List'!AR2:AR730)*-1</f>
        <v>-0.81912182279044887</v>
      </c>
      <c r="AE666" s="38"/>
    </row>
    <row r="667" spans="1:31" ht="21.2" customHeight="1">
      <c r="A667" s="8" t="s">
        <v>827</v>
      </c>
      <c r="B667" s="34" t="str">
        <f>VLOOKUP(A667,'Player Data'!A1:B734,2,FALSE)</f>
        <v>BUF</v>
      </c>
      <c r="C667" s="36">
        <f>(W667*Settings!$C$29)+(X667*Settings!$C$21)+(Y667*Settings!$C$22)+(AA667*Settings!$C$24)+(AB667*Settings!$C$25)+(Z667*Settings!$C$23)+(AC667*Settings!$C$26)+(AD667*Settings!$C$28)</f>
        <v>-2.7206743852082984</v>
      </c>
      <c r="D667" s="40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>
        <f>(VLOOKUP($A667,'The List'!$B1:$AR730,35,FALSE)-AVERAGE('The List'!AJ2:AJ730))/STDEV('The List'!AJ2:AJ730)</f>
        <v>-1.4267731584635126</v>
      </c>
      <c r="X667" s="38">
        <f>(VLOOKUP($A667,'The List'!$B1:$AR730,36,FALSE)-AVERAGE('The List'!AK2:AK730))/STDEV('The List'!AK2:AK730)</f>
        <v>-1.3093612923498921</v>
      </c>
      <c r="Y667" s="38">
        <f>(VLOOKUP($A667,'The List'!$B1:$AR730,37,FALSE)-AVERAGE('The List'!AL2:AL730))/STDEV('The List'!AL2:AL730)*-1</f>
        <v>1.2561172288006921</v>
      </c>
      <c r="Z667" s="38">
        <f>(VLOOKUP($A667,'The List'!$B1:$AR730,38,FALSE)-AVERAGE('The List'!AM2:AM730))/STDEV('The List'!AM2:AM730)</f>
        <v>-1.4267731584635126</v>
      </c>
      <c r="AA667" s="38">
        <f>(VLOOKUP($A667,'The List'!$B1:$AR730,39,FALSE)-AVERAGE('The List'!AN2:AN730))/STDEV('The List'!AN2:AN730)</f>
        <v>-1.1167588576520935</v>
      </c>
      <c r="AB667" s="38">
        <f>(VLOOKUP($A667,'The List'!$B1:$AR730,40,FALSE)-AVERAGE('The List'!AO2:AO730))/STDEV('The List'!AO2:AO730)</f>
        <v>-1.4113130928584063</v>
      </c>
      <c r="AC667" s="38">
        <f>(VLOOKUP($A667,'The List'!$B1:$AR730,42,FALSE)-AVERAGE('The List'!AQ2:AQ730))/STDEV('The List'!AQ2:AQ730)</f>
        <v>-1.0392800742884647</v>
      </c>
      <c r="AD667" s="38">
        <f>(VLOOKUP($A667,'The List'!$B1:$AR730,43,FALSE)-AVERAGE('The List'!AR2:AR730))/STDEV('The List'!AR2:AR730)*-1</f>
        <v>-1.0278208007956096</v>
      </c>
      <c r="AE667" s="38"/>
    </row>
    <row r="668" spans="1:31" ht="21.2" customHeight="1">
      <c r="A668" s="8" t="s">
        <v>373</v>
      </c>
      <c r="B668" s="34" t="str">
        <f>VLOOKUP(A668,'Player Data'!A1:B734,2,FALSE)</f>
        <v>CAR</v>
      </c>
      <c r="C668" s="36">
        <f>(W668*Settings!$C$29)+(X668*Settings!$C$21)+(Y668*Settings!$C$22)+(AA668*Settings!$C$24)+(AB668*Settings!$C$25)+(Z668*Settings!$C$23)+(AC668*Settings!$C$26)+(AD668*Settings!$C$28)</f>
        <v>1.2585302140310204</v>
      </c>
      <c r="D668" s="40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>
        <f>(VLOOKUP($A668,'The List'!$B1:$AR730,35,FALSE)-AVERAGE('The List'!AJ2:AJ730))/STDEV('The List'!AJ2:AJ730)</f>
        <v>0.41835743192577018</v>
      </c>
      <c r="X668" s="38">
        <f>(VLOOKUP($A668,'The List'!$B1:$AR730,36,FALSE)-AVERAGE('The List'!AK2:AK730))/STDEV('The List'!AK2:AK730)</f>
        <v>0.94894503311678502</v>
      </c>
      <c r="Y668" s="38">
        <f>(VLOOKUP($A668,'The List'!$B1:$AR730,37,FALSE)-AVERAGE('The List'!AL2:AL730))/STDEV('The List'!AL2:AL730)*-1</f>
        <v>0.47895396573158505</v>
      </c>
      <c r="Z668" s="38">
        <f>(VLOOKUP($A668,'The List'!$B1:$AR730,38,FALSE)-AVERAGE('The List'!AM2:AM730))/STDEV('The List'!AM2:AM730)</f>
        <v>0.41835743192577018</v>
      </c>
      <c r="AA668" s="38">
        <f>(VLOOKUP($A668,'The List'!$B1:$AR730,39,FALSE)-AVERAGE('The List'!AN2:AN730))/STDEV('The List'!AN2:AN730)</f>
        <v>0.58163557504344809</v>
      </c>
      <c r="AB668" s="38">
        <f>(VLOOKUP($A668,'The List'!$B1:$AR730,40,FALSE)-AVERAGE('The List'!AO2:AO730))/STDEV('The List'!AO2:AO730)</f>
        <v>0.30958518091423542</v>
      </c>
      <c r="AC668" s="38">
        <f>(VLOOKUP($A668,'The List'!$B1:$AR730,42,FALSE)-AVERAGE('The List'!AQ2:AQ730))/STDEV('The List'!AQ2:AQ730)</f>
        <v>0.41526439483869948</v>
      </c>
      <c r="AD668" s="38">
        <f>(VLOOKUP($A668,'The List'!$B1:$AR730,43,FALSE)-AVERAGE('The List'!AR2:AR730))/STDEV('The List'!AR2:AR730)*-1</f>
        <v>0.91704465167456939</v>
      </c>
      <c r="AE668" s="38"/>
    </row>
    <row r="669" spans="1:31" ht="21.2" customHeight="1">
      <c r="A669" s="8" t="s">
        <v>785</v>
      </c>
      <c r="B669" s="34" t="str">
        <f>VLOOKUP(A669,'Player Data'!A1:B734,2,FALSE)</f>
        <v>CAR</v>
      </c>
      <c r="C669" s="36">
        <f>(W669*Settings!$C$29)+(X669*Settings!$C$21)+(Y669*Settings!$C$22)+(AA669*Settings!$C$24)+(AB669*Settings!$C$25)+(Z669*Settings!$C$23)+(AC669*Settings!$C$26)+(AD669*Settings!$C$28)</f>
        <v>-1.4056333044845402</v>
      </c>
      <c r="D669" s="40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>
        <f>(VLOOKUP($A669,'The List'!$B1:$AR730,35,FALSE)-AVERAGE('The List'!AJ2:AJ730))/STDEV('The List'!AJ2:AJ730)</f>
        <v>-0.85414642351511449</v>
      </c>
      <c r="X669" s="38">
        <f>(VLOOKUP($A669,'The List'!$B1:$AR730,36,FALSE)-AVERAGE('The List'!AK2:AK730))/STDEV('The List'!AK2:AK730)</f>
        <v>-0.49840900778011443</v>
      </c>
      <c r="Y669" s="38">
        <f>(VLOOKUP($A669,'The List'!$B1:$AR730,37,FALSE)-AVERAGE('The List'!AL2:AL730))/STDEV('The List'!AL2:AL730)*-1</f>
        <v>1.1800276638551763</v>
      </c>
      <c r="Z669" s="38">
        <f>(VLOOKUP($A669,'The List'!$B1:$AR730,38,FALSE)-AVERAGE('The List'!AM2:AM730))/STDEV('The List'!AM2:AM730)</f>
        <v>-0.85414642351511449</v>
      </c>
      <c r="AA669" s="38">
        <f>(VLOOKUP($A669,'The List'!$B1:$AR730,39,FALSE)-AVERAGE('The List'!AN2:AN730))/STDEV('The List'!AN2:AN730)</f>
        <v>-0.64072846726889832</v>
      </c>
      <c r="AB669" s="38">
        <f>(VLOOKUP($A669,'The List'!$B1:$AR730,40,FALSE)-AVERAGE('The List'!AO2:AO730))/STDEV('The List'!AO2:AO730)</f>
        <v>-0.90722429670442573</v>
      </c>
      <c r="AC669" s="38">
        <f>(VLOOKUP($A669,'The List'!$B1:$AR730,42,FALSE)-AVERAGE('The List'!AQ2:AQ730))/STDEV('The List'!AQ2:AQ730)</f>
        <v>-0.75084599808710895</v>
      </c>
      <c r="AD669" s="38">
        <f>(VLOOKUP($A669,'The List'!$B1:$AR730,43,FALSE)-AVERAGE('The List'!AR2:AR730))/STDEV('The List'!AR2:AR730)*-1</f>
        <v>-4.9698915119939416E-2</v>
      </c>
      <c r="AE669" s="38"/>
    </row>
    <row r="670" spans="1:31" ht="21.2" customHeight="1">
      <c r="A670" s="8" t="s">
        <v>776</v>
      </c>
      <c r="B670" s="34" t="str">
        <f>VLOOKUP(A670,'Player Data'!A1:B734,2,FALSE)</f>
        <v>CAR</v>
      </c>
      <c r="C670" s="36">
        <f>(W670*Settings!$C$29)+(X670*Settings!$C$21)+(Y670*Settings!$C$22)+(AA670*Settings!$C$24)+(AB670*Settings!$C$25)+(Z670*Settings!$C$23)+(AC670*Settings!$C$26)+(AD670*Settings!$C$28)</f>
        <v>-1.4711410207417539</v>
      </c>
      <c r="D670" s="40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>
        <f>(VLOOKUP($A670,'The List'!$B1:$AR730,35,FALSE)-AVERAGE('The List'!AJ2:AJ730))/STDEV('The List'!AJ2:AJ730)</f>
        <v>-0.91777161628715875</v>
      </c>
      <c r="X670" s="38">
        <f>(VLOOKUP($A670,'The List'!$B1:$AR730,36,FALSE)-AVERAGE('The List'!AK2:AK730))/STDEV('The List'!AK2:AK730)</f>
        <v>-0.52099832385473543</v>
      </c>
      <c r="Y670" s="38">
        <f>(VLOOKUP($A670,'The List'!$B1:$AR730,37,FALSE)-AVERAGE('The List'!AL2:AL730))/STDEV('The List'!AL2:AL730)*-1</f>
        <v>1.2897268359159693</v>
      </c>
      <c r="Z670" s="38">
        <f>(VLOOKUP($A670,'The List'!$B1:$AR730,38,FALSE)-AVERAGE('The List'!AM2:AM730))/STDEV('The List'!AM2:AM730)</f>
        <v>-0.91777161628715875</v>
      </c>
      <c r="AA670" s="38">
        <f>(VLOOKUP($A670,'The List'!$B1:$AR730,39,FALSE)-AVERAGE('The List'!AN2:AN730))/STDEV('The List'!AN2:AN730)</f>
        <v>-0.62456649526205121</v>
      </c>
      <c r="AB670" s="38">
        <f>(VLOOKUP($A670,'The List'!$B1:$AR730,40,FALSE)-AVERAGE('The List'!AO2:AO730))/STDEV('The List'!AO2:AO730)</f>
        <v>-0.95014269688701858</v>
      </c>
      <c r="AC670" s="38">
        <f>(VLOOKUP($A670,'The List'!$B1:$AR730,42,FALSE)-AVERAGE('The List'!AQ2:AQ730))/STDEV('The List'!AQ2:AQ730)</f>
        <v>-0.10810075144037132</v>
      </c>
      <c r="AD670" s="38">
        <f>(VLOOKUP($A670,'The List'!$B1:$AR730,43,FALSE)-AVERAGE('The List'!AR2:AR730))/STDEV('The List'!AR2:AR730)*-1</f>
        <v>0.3448628419633461</v>
      </c>
      <c r="AE670" s="38"/>
    </row>
    <row r="671" spans="1:31" ht="21.2" customHeight="1">
      <c r="A671" s="8" t="s">
        <v>287</v>
      </c>
      <c r="B671" s="34" t="str">
        <f>VLOOKUP(A671,'Player Data'!A1:B734,2,FALSE)</f>
        <v>CBJ</v>
      </c>
      <c r="C671" s="36">
        <f>(W671*Settings!$C$29)+(X671*Settings!$C$21)+(Y671*Settings!$C$22)+(AA671*Settings!$C$24)+(AB671*Settings!$C$25)+(Z671*Settings!$C$23)+(AC671*Settings!$C$26)+(AD671*Settings!$C$28)</f>
        <v>1.3881040847469317</v>
      </c>
      <c r="D671" s="40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>
        <f>(VLOOKUP($A671,'The List'!$B1:$AR730,35,FALSE)-AVERAGE('The List'!AJ2:AJ730))/STDEV('The List'!AJ2:AJ730)</f>
        <v>0.86373378133007983</v>
      </c>
      <c r="X671" s="38">
        <f>(VLOOKUP($A671,'The List'!$B1:$AR730,36,FALSE)-AVERAGE('The List'!AK2:AK730))/STDEV('The List'!AK2:AK730)</f>
        <v>0.27934297325075713</v>
      </c>
      <c r="Y671" s="38">
        <f>(VLOOKUP($A671,'The List'!$B1:$AR730,37,FALSE)-AVERAGE('The List'!AL2:AL730))/STDEV('The List'!AL2:AL730)*-1</f>
        <v>-1.5301637993684425</v>
      </c>
      <c r="Z671" s="38">
        <f>(VLOOKUP($A671,'The List'!$B1:$AR730,38,FALSE)-AVERAGE('The List'!AM2:AM730))/STDEV('The List'!AM2:AM730)</f>
        <v>0.86373378133007983</v>
      </c>
      <c r="AA671" s="38">
        <f>(VLOOKUP($A671,'The List'!$B1:$AR730,39,FALSE)-AVERAGE('The List'!AN2:AN730))/STDEV('The List'!AN2:AN730)</f>
        <v>-0.28589386855601595</v>
      </c>
      <c r="AB671" s="38">
        <f>(VLOOKUP($A671,'The List'!$B1:$AR730,40,FALSE)-AVERAGE('The List'!AO2:AO730))/STDEV('The List'!AO2:AO730)</f>
        <v>1.1087611114961746</v>
      </c>
      <c r="AC671" s="38">
        <f>(VLOOKUP($A671,'The List'!$B1:$AR730,42,FALSE)-AVERAGE('The List'!AQ2:AQ730))/STDEV('The List'!AQ2:AQ730)</f>
        <v>0.26228813429932718</v>
      </c>
      <c r="AD671" s="38">
        <f>(VLOOKUP($A671,'The List'!$B1:$AR730,43,FALSE)-AVERAGE('The List'!AR2:AR730))/STDEV('The List'!AR2:AR730)*-1</f>
        <v>-0.96618181683821736</v>
      </c>
      <c r="AE671" s="38"/>
    </row>
    <row r="672" spans="1:31" ht="21.2" customHeight="1">
      <c r="A672" s="8" t="s">
        <v>737</v>
      </c>
      <c r="B672" s="34" t="str">
        <f>VLOOKUP(A672,'Player Data'!A1:B734,2,FALSE)</f>
        <v>CBJ</v>
      </c>
      <c r="C672" s="36">
        <f>(W672*Settings!$C$29)+(X672*Settings!$C$21)+(Y672*Settings!$C$22)+(AA672*Settings!$C$24)+(AB672*Settings!$C$25)+(Z672*Settings!$C$23)+(AC672*Settings!$C$26)+(AD672*Settings!$C$28)</f>
        <v>-1.3345115784347761</v>
      </c>
      <c r="D672" s="40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>
        <f>(VLOOKUP($A672,'The List'!$B1:$AR730,35,FALSE)-AVERAGE('The List'!AJ2:AJ730))/STDEV('The List'!AJ2:AJ730)</f>
        <v>-0.59964565242693757</v>
      </c>
      <c r="X672" s="38">
        <f>(VLOOKUP($A672,'The List'!$B1:$AR730,36,FALSE)-AVERAGE('The List'!AK2:AK730))/STDEV('The List'!AK2:AK730)</f>
        <v>-0.84844806781635262</v>
      </c>
      <c r="Y672" s="38">
        <f>(VLOOKUP($A672,'The List'!$B1:$AR730,37,FALSE)-AVERAGE('The List'!AL2:AL730))/STDEV('The List'!AL2:AL730)*-1</f>
        <v>8.0831938352527416E-2</v>
      </c>
      <c r="Z672" s="38">
        <f>(VLOOKUP($A672,'The List'!$B1:$AR730,38,FALSE)-AVERAGE('The List'!AM2:AM730))/STDEV('The List'!AM2:AM730)</f>
        <v>-0.59964565242693757</v>
      </c>
      <c r="AA672" s="38">
        <f>(VLOOKUP($A672,'The List'!$B1:$AR730,39,FALSE)-AVERAGE('The List'!AN2:AN730))/STDEV('The List'!AN2:AN730)</f>
        <v>-0.95338342973050461</v>
      </c>
      <c r="AB672" s="38">
        <f>(VLOOKUP($A672,'The List'!$B1:$AR730,40,FALSE)-AVERAGE('The List'!AO2:AO730))/STDEV('The List'!AO2:AO730)</f>
        <v>-0.48606351061842351</v>
      </c>
      <c r="AC672" s="38">
        <f>(VLOOKUP($A672,'The List'!$B1:$AR730,42,FALSE)-AVERAGE('The List'!AQ2:AQ730))/STDEV('The List'!AQ2:AQ730)</f>
        <v>-0.55052390760955217</v>
      </c>
      <c r="AD672" s="38">
        <f>(VLOOKUP($A672,'The List'!$B1:$AR730,43,FALSE)-AVERAGE('The List'!AR2:AR730))/STDEV('The List'!AR2:AR730)*-1</f>
        <v>-1.5684792373902945</v>
      </c>
      <c r="AE672" s="38"/>
    </row>
    <row r="673" spans="1:31" ht="21.2" customHeight="1">
      <c r="A673" s="8" t="s">
        <v>233</v>
      </c>
      <c r="B673" s="34" t="str">
        <f>VLOOKUP(A673,'Player Data'!A1:B734,2,FALSE)</f>
        <v>CGY</v>
      </c>
      <c r="C673" s="36">
        <f>(W673*Settings!$C$29)+(X673*Settings!$C$21)+(Y673*Settings!$C$22)+(AA673*Settings!$C$24)+(AB673*Settings!$C$25)+(Z673*Settings!$C$23)+(AC673*Settings!$C$26)+(AD673*Settings!$C$28)</f>
        <v>2.6927710949822523</v>
      </c>
      <c r="D673" s="40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>
        <f>(VLOOKUP($A673,'The List'!$B1:$AR730,35,FALSE)-AVERAGE('The List'!AJ2:AJ730))/STDEV('The List'!AJ2:AJ730)</f>
        <v>1.3727353235064337</v>
      </c>
      <c r="X673" s="38">
        <f>(VLOOKUP($A673,'The List'!$B1:$AR730,36,FALSE)-AVERAGE('The List'!AK2:AK730))/STDEV('The List'!AK2:AK730)</f>
        <v>1.4845835420074809</v>
      </c>
      <c r="Y673" s="38">
        <f>(VLOOKUP($A673,'The List'!$B1:$AR730,37,FALSE)-AVERAGE('The List'!AL2:AL730))/STDEV('The List'!AL2:AL730)*-1</f>
        <v>-0.87142280342137668</v>
      </c>
      <c r="Z673" s="38">
        <f>(VLOOKUP($A673,'The List'!$B1:$AR730,38,FALSE)-AVERAGE('The List'!AM2:AM730))/STDEV('The List'!AM2:AM730)</f>
        <v>1.3727353235064337</v>
      </c>
      <c r="AA673" s="38">
        <f>(VLOOKUP($A673,'The List'!$B1:$AR730,39,FALSE)-AVERAGE('The List'!AN2:AN730))/STDEV('The List'!AN2:AN730)</f>
        <v>1.302315293037219</v>
      </c>
      <c r="AB673" s="38">
        <f>(VLOOKUP($A673,'The List'!$B1:$AR730,40,FALSE)-AVERAGE('The List'!AO2:AO730))/STDEV('The List'!AO2:AO730)</f>
        <v>1.2081875529747714</v>
      </c>
      <c r="AC673" s="38">
        <f>(VLOOKUP($A673,'The List'!$B1:$AR730,42,FALSE)-AVERAGE('The List'!AQ2:AQ730))/STDEV('The List'!AQ2:AQ730)</f>
        <v>0.36672790292563279</v>
      </c>
      <c r="AD673" s="38">
        <f>(VLOOKUP($A673,'The List'!$B1:$AR730,43,FALSE)-AVERAGE('The List'!AR2:AR730))/STDEV('The List'!AR2:AR730)*-1</f>
        <v>0.9004701147442935</v>
      </c>
      <c r="AE673" s="38"/>
    </row>
    <row r="674" spans="1:31" ht="21.2" customHeight="1">
      <c r="A674" s="8" t="s">
        <v>816</v>
      </c>
      <c r="B674" s="34" t="str">
        <f>VLOOKUP(A674,'Player Data'!A1:B734,2,FALSE)</f>
        <v>CGY</v>
      </c>
      <c r="C674" s="36">
        <f>(W674*Settings!$C$29)+(X674*Settings!$C$21)+(Y674*Settings!$C$22)+(AA674*Settings!$C$24)+(AB674*Settings!$C$25)+(Z674*Settings!$C$23)+(AC674*Settings!$C$26)+(AD674*Settings!$C$28)</f>
        <v>-1.9955415366596088</v>
      </c>
      <c r="D674" s="40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>
        <f>(VLOOKUP($A674,'The List'!$B1:$AR730,35,FALSE)-AVERAGE('The List'!AJ2:AJ730))/STDEV('The List'!AJ2:AJ730)</f>
        <v>-1.0450220018312473</v>
      </c>
      <c r="X674" s="38">
        <f>(VLOOKUP($A674,'The List'!$B1:$AR730,36,FALSE)-AVERAGE('The List'!AK2:AK730))/STDEV('The List'!AK2:AK730)</f>
        <v>-0.90612215748949687</v>
      </c>
      <c r="Y674" s="38">
        <f>(VLOOKUP($A674,'The List'!$B1:$AR730,37,FALSE)-AVERAGE('The List'!AL2:AL730))/STDEV('The List'!AL2:AL730)*-1</f>
        <v>0.99935824653475591</v>
      </c>
      <c r="Z674" s="38">
        <f>(VLOOKUP($A674,'The List'!$B1:$AR730,38,FALSE)-AVERAGE('The List'!AM2:AM730))/STDEV('The List'!AM2:AM730)</f>
        <v>-1.0450220018312473</v>
      </c>
      <c r="AA674" s="38">
        <f>(VLOOKUP($A674,'The List'!$B1:$AR730,39,FALSE)-AVERAGE('The List'!AN2:AN730))/STDEV('The List'!AN2:AN730)</f>
        <v>-0.75905998832037891</v>
      </c>
      <c r="AB674" s="38">
        <f>(VLOOKUP($A674,'The List'!$B1:$AR730,40,FALSE)-AVERAGE('The List'!AO2:AO730))/STDEV('The List'!AO2:AO730)</f>
        <v>-1.0894193791701119</v>
      </c>
      <c r="AC674" s="38">
        <f>(VLOOKUP($A674,'The List'!$B1:$AR730,42,FALSE)-AVERAGE('The List'!AQ2:AQ730))/STDEV('The List'!AQ2:AQ730)</f>
        <v>-0.82095686804938117</v>
      </c>
      <c r="AD674" s="38">
        <f>(VLOOKUP($A674,'The List'!$B1:$AR730,43,FALSE)-AVERAGE('The List'!AR2:AR730))/STDEV('The List'!AR2:AR730)*-1</f>
        <v>-8.2409963028519551E-2</v>
      </c>
      <c r="AE674" s="38"/>
    </row>
    <row r="675" spans="1:31" ht="21.2" customHeight="1">
      <c r="A675" s="8" t="s">
        <v>830</v>
      </c>
      <c r="B675" s="34" t="str">
        <f>VLOOKUP(A675,'Player Data'!A1:B734,2,FALSE)</f>
        <v>CGY</v>
      </c>
      <c r="C675" s="36">
        <f>(W675*Settings!$C$29)+(X675*Settings!$C$21)+(Y675*Settings!$C$22)+(AA675*Settings!$C$24)+(AB675*Settings!$C$25)+(Z675*Settings!$C$23)+(AC675*Settings!$C$26)+(AD675*Settings!$C$28)</f>
        <v>-3.1184243145490989</v>
      </c>
      <c r="D675" s="40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>
        <f>(VLOOKUP($A675,'The List'!$B1:$AR730,35,FALSE)-AVERAGE('The List'!AJ2:AJ730))/STDEV('The List'!AJ2:AJ730)</f>
        <v>-1.6812739295516896</v>
      </c>
      <c r="X675" s="38">
        <f>(VLOOKUP($A675,'The List'!$B1:$AR730,36,FALSE)-AVERAGE('The List'!AK2:AK730))/STDEV('The List'!AK2:AK730)</f>
        <v>-1.4327978284443952</v>
      </c>
      <c r="Y675" s="38">
        <f>(VLOOKUP($A675,'The List'!$B1:$AR730,37,FALSE)-AVERAGE('The List'!AL2:AL730))/STDEV('The List'!AL2:AL730)*-1</f>
        <v>1.6453096900323514</v>
      </c>
      <c r="Z675" s="38">
        <f>(VLOOKUP($A675,'The List'!$B1:$AR730,38,FALSE)-AVERAGE('The List'!AM2:AM730))/STDEV('The List'!AM2:AM730)</f>
        <v>-1.6812739295516896</v>
      </c>
      <c r="AA675" s="38">
        <f>(VLOOKUP($A675,'The List'!$B1:$AR730,39,FALSE)-AVERAGE('The List'!AN2:AN730))/STDEV('The List'!AN2:AN730)</f>
        <v>-1.078030039940941</v>
      </c>
      <c r="AB675" s="38">
        <f>(VLOOKUP($A675,'The List'!$B1:$AR730,40,FALSE)-AVERAGE('The List'!AO2:AO730))/STDEV('The List'!AO2:AO730)</f>
        <v>-1.6856264861047039</v>
      </c>
      <c r="AC675" s="38">
        <f>(VLOOKUP($A675,'The List'!$B1:$AR730,42,FALSE)-AVERAGE('The List'!AQ2:AQ730))/STDEV('The List'!AQ2:AQ730)</f>
        <v>-0.22773783853172505</v>
      </c>
      <c r="AD675" s="38">
        <f>(VLOOKUP($A675,'The List'!$B1:$AR730,43,FALSE)-AVERAGE('The List'!AR2:AR730))/STDEV('The List'!AR2:AR730)*-1</f>
        <v>0.40851421156535789</v>
      </c>
      <c r="AE675" s="38"/>
    </row>
    <row r="676" spans="1:31" ht="21.2" customHeight="1">
      <c r="A676" s="8" t="s">
        <v>597</v>
      </c>
      <c r="B676" s="34" t="str">
        <f>VLOOKUP(A676,'Player Data'!A1:B734,2,FALSE)</f>
        <v>CHI</v>
      </c>
      <c r="C676" s="36">
        <f>(W676*Settings!$C$29)+(X676*Settings!$C$21)+(Y676*Settings!$C$22)+(AA676*Settings!$C$24)+(AB676*Settings!$C$25)+(Z676*Settings!$C$23)+(AC676*Settings!$C$26)+(AD676*Settings!$C$28)</f>
        <v>-0.25062864997033252</v>
      </c>
      <c r="D676" s="40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>
        <f>(VLOOKUP($A676,'The List'!$B1:$AR730,35,FALSE)-AVERAGE('The List'!AJ2:AJ730))/STDEV('The List'!AJ2:AJ730)</f>
        <v>0.22748185360963746</v>
      </c>
      <c r="X676" s="38">
        <f>(VLOOKUP($A676,'The List'!$B1:$AR730,36,FALSE)-AVERAGE('The List'!AK2:AK730))/STDEV('The List'!AK2:AK730)</f>
        <v>-0.45180799989137083</v>
      </c>
      <c r="Y676" s="38">
        <f>(VLOOKUP($A676,'The List'!$B1:$AR730,37,FALSE)-AVERAGE('The List'!AL2:AL730))/STDEV('The List'!AL2:AL730)*-1</f>
        <v>-1.1908345623839827</v>
      </c>
      <c r="Z676" s="38">
        <f>(VLOOKUP($A676,'The List'!$B1:$AR730,38,FALSE)-AVERAGE('The List'!AM2:AM730))/STDEV('The List'!AM2:AM730)</f>
        <v>0.22748185360963746</v>
      </c>
      <c r="AA676" s="38">
        <f>(VLOOKUP($A676,'The List'!$B1:$AR730,39,FALSE)-AVERAGE('The List'!AN2:AN730))/STDEV('The List'!AN2:AN730)</f>
        <v>-0.29258402941089429</v>
      </c>
      <c r="AB676" s="38">
        <f>(VLOOKUP($A676,'The List'!$B1:$AR730,40,FALSE)-AVERAGE('The List'!AO2:AO730))/STDEV('The List'!AO2:AO730)</f>
        <v>0.20117934992103831</v>
      </c>
      <c r="AC676" s="38">
        <f>(VLOOKUP($A676,'The List'!$B1:$AR730,42,FALSE)-AVERAGE('The List'!AQ2:AQ730))/STDEV('The List'!AQ2:AQ730)</f>
        <v>-0.99832831782399023</v>
      </c>
      <c r="AD676" s="38">
        <f>(VLOOKUP($A676,'The List'!$B1:$AR730,43,FALSE)-AVERAGE('The List'!AR2:AR730))/STDEV('The List'!AR2:AR730)*-1</f>
        <v>-0.84654734243211971</v>
      </c>
      <c r="AE676" s="38"/>
    </row>
    <row r="677" spans="1:31" ht="21.2" customHeight="1">
      <c r="A677" s="8" t="s">
        <v>573</v>
      </c>
      <c r="B677" s="34" t="str">
        <f>VLOOKUP(A677,'Player Data'!A1:B734,2,FALSE)</f>
        <v>CHI</v>
      </c>
      <c r="C677" s="36">
        <f>(W677*Settings!$C$29)+(X677*Settings!$C$21)+(Y677*Settings!$C$22)+(AA677*Settings!$C$24)+(AB677*Settings!$C$25)+(Z677*Settings!$C$23)+(AC677*Settings!$C$26)+(AD677*Settings!$C$28)</f>
        <v>-0.27236448623648168</v>
      </c>
      <c r="D677" s="40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>
        <f>(VLOOKUP($A677,'The List'!$B1:$AR730,35,FALSE)-AVERAGE('The List'!AJ2:AJ730))/STDEV('The List'!AJ2:AJ730)</f>
        <v>0.16385666083759323</v>
      </c>
      <c r="X677" s="38">
        <f>(VLOOKUP($A677,'The List'!$B1:$AR730,36,FALSE)-AVERAGE('The List'!AK2:AK730))/STDEV('The List'!AK2:AK730)</f>
        <v>-0.44328709247250508</v>
      </c>
      <c r="Y677" s="38">
        <f>(VLOOKUP($A677,'The List'!$B1:$AR730,37,FALSE)-AVERAGE('The List'!AL2:AL730))/STDEV('The List'!AL2:AL730)*-1</f>
        <v>-1.0344838618957848</v>
      </c>
      <c r="Z677" s="38">
        <f>(VLOOKUP($A677,'The List'!$B1:$AR730,38,FALSE)-AVERAGE('The List'!AM2:AM730))/STDEV('The List'!AM2:AM730)</f>
        <v>0.16385666083759323</v>
      </c>
      <c r="AA677" s="38">
        <f>(VLOOKUP($A677,'The List'!$B1:$AR730,39,FALSE)-AVERAGE('The List'!AN2:AN730))/STDEV('The List'!AN2:AN730)</f>
        <v>-0.24638830572069001</v>
      </c>
      <c r="AB677" s="38">
        <f>(VLOOKUP($A677,'The List'!$B1:$AR730,40,FALSE)-AVERAGE('The List'!AO2:AO730))/STDEV('The List'!AO2:AO730)</f>
        <v>0.17092260623602343</v>
      </c>
      <c r="AC677" s="38">
        <f>(VLOOKUP($A677,'The List'!$B1:$AR730,42,FALSE)-AVERAGE('The List'!AQ2:AQ730))/STDEV('The List'!AQ2:AQ730)</f>
        <v>-0.41611311180173954</v>
      </c>
      <c r="AD677" s="38">
        <f>(VLOOKUP($A677,'The List'!$B1:$AR730,43,FALSE)-AVERAGE('The List'!AR2:AR730))/STDEV('The List'!AR2:AR730)*-1</f>
        <v>-0.49197992226236448</v>
      </c>
      <c r="AE677" s="38"/>
    </row>
    <row r="678" spans="1:31" ht="21.2" customHeight="1">
      <c r="A678" s="8" t="s">
        <v>181</v>
      </c>
      <c r="B678" s="34" t="str">
        <f>VLOOKUP(A678,'Player Data'!A1:B734,2,FALSE)</f>
        <v>COL</v>
      </c>
      <c r="C678" s="36">
        <f>(W678*Settings!$C$29)+(X678*Settings!$C$21)+(Y678*Settings!$C$22)+(AA678*Settings!$C$24)+(AB678*Settings!$C$25)+(Z678*Settings!$C$23)+(AC678*Settings!$C$26)+(AD678*Settings!$C$28)</f>
        <v>3.025853558987643</v>
      </c>
      <c r="D678" s="40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>
        <f>(VLOOKUP($A678,'The List'!$B1:$AR730,35,FALSE)-AVERAGE('The List'!AJ2:AJ730))/STDEV('The List'!AJ2:AJ730)</f>
        <v>1.3727353235064337</v>
      </c>
      <c r="X678" s="38">
        <f>(VLOOKUP($A678,'The List'!$B1:$AR730,36,FALSE)-AVERAGE('The List'!AK2:AK730))/STDEV('The List'!AK2:AK730)</f>
        <v>1.7161270001693378</v>
      </c>
      <c r="Y678" s="38">
        <f>(VLOOKUP($A678,'The List'!$B1:$AR730,37,FALSE)-AVERAGE('The List'!AL2:AL730))/STDEV('The List'!AL2:AL730)*-1</f>
        <v>-0.52421037587713493</v>
      </c>
      <c r="Z678" s="38">
        <f>(VLOOKUP($A678,'The List'!$B1:$AR730,38,FALSE)-AVERAGE('The List'!AM2:AM730))/STDEV('The List'!AM2:AM730)</f>
        <v>1.3727353235064337</v>
      </c>
      <c r="AA678" s="38">
        <f>(VLOOKUP($A678,'The List'!$B1:$AR730,39,FALSE)-AVERAGE('The List'!AN2:AN730))/STDEV('The List'!AN2:AN730)</f>
        <v>1.6626089705307427</v>
      </c>
      <c r="AB678" s="38">
        <f>(VLOOKUP($A678,'The List'!$B1:$AR730,40,FALSE)-AVERAGE('The List'!AO2:AO730))/STDEV('The List'!AO2:AO730)</f>
        <v>1.3097265588183051</v>
      </c>
      <c r="AC678" s="38">
        <f>(VLOOKUP($A678,'The List'!$B1:$AR730,42,FALSE)-AVERAGE('The List'!AQ2:AQ730))/STDEV('The List'!AQ2:AQ730)</f>
        <v>1.3639814655005547</v>
      </c>
      <c r="AD678" s="38">
        <f>(VLOOKUP($A678,'The List'!$B1:$AR730,43,FALSE)-AVERAGE('The List'!AR2:AR730))/STDEV('The List'!AR2:AR730)*-1</f>
        <v>1.4304950041146081</v>
      </c>
      <c r="AE678" s="38"/>
    </row>
    <row r="679" spans="1:31" ht="21.2" customHeight="1">
      <c r="A679" s="8" t="s">
        <v>747</v>
      </c>
      <c r="B679" s="34" t="str">
        <f>VLOOKUP(A679,'Player Data'!A1:B734,2,FALSE)</f>
        <v>COL</v>
      </c>
      <c r="C679" s="36">
        <f>(W679*Settings!$C$29)+(X679*Settings!$C$21)+(Y679*Settings!$C$22)+(AA679*Settings!$C$24)+(AB679*Settings!$C$25)+(Z679*Settings!$C$23)+(AC679*Settings!$C$26)+(AD679*Settings!$C$28)</f>
        <v>-1.1399086003262058</v>
      </c>
      <c r="D679" s="40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>
        <f>(VLOOKUP($A679,'The List'!$B1:$AR730,35,FALSE)-AVERAGE('The List'!AJ2:AJ730))/STDEV('The List'!AJ2:AJ730)</f>
        <v>-0.66327084519898183</v>
      </c>
      <c r="X679" s="38">
        <f>(VLOOKUP($A679,'The List'!$B1:$AR730,36,FALSE)-AVERAGE('The List'!AK2:AK730))/STDEV('The List'!AK2:AK730)</f>
        <v>-0.44576135120007554</v>
      </c>
      <c r="Y679" s="38">
        <f>(VLOOKUP($A679,'The List'!$B1:$AR730,37,FALSE)-AVERAGE('The List'!AL2:AL730))/STDEV('The List'!AL2:AL730)*-1</f>
        <v>0.82825642063897498</v>
      </c>
      <c r="Z679" s="38">
        <f>(VLOOKUP($A679,'The List'!$B1:$AR730,38,FALSE)-AVERAGE('The List'!AM2:AM730))/STDEV('The List'!AM2:AM730)</f>
        <v>-0.66327084519898183</v>
      </c>
      <c r="AA679" s="38">
        <f>(VLOOKUP($A679,'The List'!$B1:$AR730,39,FALSE)-AVERAGE('The List'!AN2:AN730))/STDEV('The List'!AN2:AN730)</f>
        <v>-0.57158279834688108</v>
      </c>
      <c r="AB679" s="38">
        <f>(VLOOKUP($A679,'The List'!$B1:$AR730,40,FALSE)-AVERAGE('The List'!AO2:AO730))/STDEV('The List'!AO2:AO730)</f>
        <v>-0.69414724912613035</v>
      </c>
      <c r="AC679" s="38">
        <f>(VLOOKUP($A679,'The List'!$B1:$AR730,42,FALSE)-AVERAGE('The List'!AQ2:AQ730))/STDEV('The List'!AQ2:AQ730)</f>
        <v>-0.55360766835287634</v>
      </c>
      <c r="AD679" s="38">
        <f>(VLOOKUP($A679,'The List'!$B1:$AR730,43,FALSE)-AVERAGE('The List'!AR2:AR730))/STDEV('The List'!AR2:AR730)*-1</f>
        <v>-0.19399834560293067</v>
      </c>
      <c r="AE679" s="38"/>
    </row>
    <row r="680" spans="1:31" ht="21.2" customHeight="1">
      <c r="A680" s="8" t="s">
        <v>134</v>
      </c>
      <c r="B680" s="34" t="str">
        <f>VLOOKUP(A680,'Player Data'!A1:B734,2,FALSE)</f>
        <v>DAL</v>
      </c>
      <c r="C680" s="36">
        <f>(W680*Settings!$C$29)+(X680*Settings!$C$21)+(Y680*Settings!$C$22)+(AA680*Settings!$C$24)+(AB680*Settings!$C$25)+(Z680*Settings!$C$23)+(AC680*Settings!$C$26)+(AD680*Settings!$C$28)</f>
        <v>3.7400598115202563</v>
      </c>
      <c r="D680" s="40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>
        <f>(VLOOKUP($A680,'The List'!$B1:$AR730,35,FALSE)-AVERAGE('The List'!AJ2:AJ730))/STDEV('The List'!AJ2:AJ730)</f>
        <v>1.754486480138699</v>
      </c>
      <c r="X680" s="38">
        <f>(VLOOKUP($A680,'The List'!$B1:$AR730,36,FALSE)-AVERAGE('The List'!AK2:AK730))/STDEV('The List'!AK2:AK730)</f>
        <v>2.1683971272396838</v>
      </c>
      <c r="Y680" s="38">
        <f>(VLOOKUP($A680,'The List'!$B1:$AR730,37,FALSE)-AVERAGE('The List'!AL2:AL730))/STDEV('The List'!AL2:AL730)*-1</f>
        <v>-0.7074446299332191</v>
      </c>
      <c r="Z680" s="38">
        <f>(VLOOKUP($A680,'The List'!$B1:$AR730,38,FALSE)-AVERAGE('The List'!AM2:AM730))/STDEV('The List'!AM2:AM730)</f>
        <v>1.754486480138699</v>
      </c>
      <c r="AA680" s="38">
        <f>(VLOOKUP($A680,'The List'!$B1:$AR730,39,FALSE)-AVERAGE('The List'!AN2:AN730))/STDEV('The List'!AN2:AN730)</f>
        <v>2.6552044969409865</v>
      </c>
      <c r="AB680" s="38">
        <f>(VLOOKUP($A680,'The List'!$B1:$AR730,40,FALSE)-AVERAGE('The List'!AO2:AO730))/STDEV('The List'!AO2:AO730)</f>
        <v>1.5716626842805725</v>
      </c>
      <c r="AC680" s="38">
        <f>(VLOOKUP($A680,'The List'!$B1:$AR730,42,FALSE)-AVERAGE('The List'!AQ2:AQ730))/STDEV('The List'!AQ2:AQ730)</f>
        <v>1.9366982735731837</v>
      </c>
      <c r="AD680" s="38">
        <f>(VLOOKUP($A680,'The List'!$B1:$AR730,43,FALSE)-AVERAGE('The List'!AR2:AR730))/STDEV('The List'!AR2:AR730)*-1</f>
        <v>2.3106723085754979</v>
      </c>
      <c r="AE680" s="38"/>
    </row>
    <row r="681" spans="1:31" ht="21.2" customHeight="1">
      <c r="A681" s="8" t="s">
        <v>807</v>
      </c>
      <c r="B681" s="34" t="str">
        <f>VLOOKUP(A681,'Player Data'!A1:B734,2,FALSE)</f>
        <v>DAL</v>
      </c>
      <c r="C681" s="36">
        <f>(W681*Settings!$C$29)+(X681*Settings!$C$21)+(Y681*Settings!$C$22)+(AA681*Settings!$C$24)+(AB681*Settings!$C$25)+(Z681*Settings!$C$23)+(AC681*Settings!$C$26)+(AD681*Settings!$C$28)</f>
        <v>-1.8941764597144568</v>
      </c>
      <c r="D681" s="40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>
        <f>(VLOOKUP($A681,'The List'!$B1:$AR730,35,FALSE)-AVERAGE('The List'!AJ2:AJ730))/STDEV('The List'!AJ2:AJ730)</f>
        <v>-1.0450220018312473</v>
      </c>
      <c r="X681" s="38">
        <f>(VLOOKUP($A681,'The List'!$B1:$AR730,36,FALSE)-AVERAGE('The List'!AK2:AK730))/STDEV('The List'!AK2:AK730)</f>
        <v>-0.7976797312895636</v>
      </c>
      <c r="Y681" s="38">
        <f>(VLOOKUP($A681,'The List'!$B1:$AR730,37,FALSE)-AVERAGE('The List'!AL2:AL730))/STDEV('The List'!AL2:AL730)*-1</f>
        <v>1.1619737587525345</v>
      </c>
      <c r="Z681" s="38">
        <f>(VLOOKUP($A681,'The List'!$B1:$AR730,38,FALSE)-AVERAGE('The List'!AM2:AM730))/STDEV('The List'!AM2:AM730)</f>
        <v>-1.0450220018312473</v>
      </c>
      <c r="AA681" s="38">
        <f>(VLOOKUP($A681,'The List'!$B1:$AR730,39,FALSE)-AVERAGE('The List'!AN2:AN730))/STDEV('The List'!AN2:AN730)</f>
        <v>-0.6538504565510076</v>
      </c>
      <c r="AB681" s="38">
        <f>(VLOOKUP($A681,'The List'!$B1:$AR730,40,FALSE)-AVERAGE('The List'!AO2:AO730))/STDEV('The List'!AO2:AO730)</f>
        <v>-1.0964967284248932</v>
      </c>
      <c r="AC681" s="38">
        <f>(VLOOKUP($A681,'The List'!$B1:$AR730,42,FALSE)-AVERAGE('The List'!AQ2:AQ730))/STDEV('The List'!AQ2:AQ730)</f>
        <v>-0.3947498410336765</v>
      </c>
      <c r="AD681" s="38">
        <f>(VLOOKUP($A681,'The List'!$B1:$AR730,43,FALSE)-AVERAGE('The List'!AR2:AR730))/STDEV('The List'!AR2:AR730)*-1</f>
        <v>0.39910549374846765</v>
      </c>
      <c r="AE681" s="38"/>
    </row>
    <row r="682" spans="1:31" ht="21.2" customHeight="1">
      <c r="A682" s="8" t="s">
        <v>371</v>
      </c>
      <c r="B682" s="34" t="str">
        <f>VLOOKUP(A682,'Player Data'!A1:B734,2,FALSE)</f>
        <v>DET</v>
      </c>
      <c r="C682" s="36">
        <f>(W682*Settings!$C$29)+(X682*Settings!$C$21)+(Y682*Settings!$C$22)+(AA682*Settings!$C$24)+(AB682*Settings!$C$25)+(Z682*Settings!$C$23)+(AC682*Settings!$C$26)+(AD682*Settings!$C$28)</f>
        <v>0.85955570804788051</v>
      </c>
      <c r="D682" s="40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>
        <f>(VLOOKUP($A682,'The List'!$B1:$AR730,35,FALSE)-AVERAGE('The List'!AJ2:AJ730))/STDEV('The List'!AJ2:AJ730)</f>
        <v>0.60923301024190291</v>
      </c>
      <c r="X682" s="38">
        <f>(VLOOKUP($A682,'The List'!$B1:$AR730,36,FALSE)-AVERAGE('The List'!AK2:AK730))/STDEV('The List'!AK2:AK730)</f>
        <v>0.32881735045573757</v>
      </c>
      <c r="Y682" s="38">
        <f>(VLOOKUP($A682,'The List'!$B1:$AR730,37,FALSE)-AVERAGE('The List'!AL2:AL730))/STDEV('The List'!AL2:AL730)*-1</f>
        <v>-0.88168170658244316</v>
      </c>
      <c r="Z682" s="38">
        <f>(VLOOKUP($A682,'The List'!$B1:$AR730,38,FALSE)-AVERAGE('The List'!AM2:AM730))/STDEV('The List'!AM2:AM730)</f>
        <v>0.60923301024190291</v>
      </c>
      <c r="AA682" s="38">
        <f>(VLOOKUP($A682,'The List'!$B1:$AR730,39,FALSE)-AVERAGE('The List'!AN2:AN730))/STDEV('The List'!AN2:AN730)</f>
        <v>0.57913134855697523</v>
      </c>
      <c r="AB682" s="38">
        <f>(VLOOKUP($A682,'The List'!$B1:$AR730,40,FALSE)-AVERAGE('The List'!AO2:AO730))/STDEV('The List'!AO2:AO730)</f>
        <v>0.53073835759214294</v>
      </c>
      <c r="AC682" s="38">
        <f>(VLOOKUP($A682,'The List'!$B1:$AR730,42,FALSE)-AVERAGE('The List'!AQ2:AQ730))/STDEV('The List'!AQ2:AQ730)</f>
        <v>0.33033985099748914</v>
      </c>
      <c r="AD682" s="38">
        <f>(VLOOKUP($A682,'The List'!$B1:$AR730,43,FALSE)-AVERAGE('The List'!AR2:AR730))/STDEV('The List'!AR2:AR730)*-1</f>
        <v>0.63827158140971141</v>
      </c>
      <c r="AE682" s="38"/>
    </row>
    <row r="683" spans="1:31" ht="21.2" customHeight="1">
      <c r="A683" s="8" t="s">
        <v>810</v>
      </c>
      <c r="B683" s="34" t="str">
        <f>VLOOKUP(A683,'Player Data'!A1:B734,2,FALSE)</f>
        <v>DET</v>
      </c>
      <c r="C683" s="36">
        <f>(W683*Settings!$C$29)+(X683*Settings!$C$21)+(Y683*Settings!$C$22)+(AA683*Settings!$C$24)+(AB683*Settings!$C$25)+(Z683*Settings!$C$23)+(AC683*Settings!$C$26)+(AD683*Settings!$C$28)</f>
        <v>-1.8634189823249427</v>
      </c>
      <c r="D683" s="40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>
        <f>(VLOOKUP($A683,'The List'!$B1:$AR730,35,FALSE)-AVERAGE('The List'!AJ2:AJ730))/STDEV('The List'!AJ2:AJ730)</f>
        <v>-0.91777161628715875</v>
      </c>
      <c r="X683" s="38">
        <f>(VLOOKUP($A683,'The List'!$B1:$AR730,36,FALSE)-AVERAGE('The List'!AK2:AK730))/STDEV('The List'!AK2:AK730)</f>
        <v>-0.91168189464013494</v>
      </c>
      <c r="Y683" s="38">
        <f>(VLOOKUP($A683,'The List'!$B1:$AR730,37,FALSE)-AVERAGE('The List'!AL2:AL730))/STDEV('The List'!AL2:AL730)*-1</f>
        <v>0.70387486630762486</v>
      </c>
      <c r="Z683" s="38">
        <f>(VLOOKUP($A683,'The List'!$B1:$AR730,38,FALSE)-AVERAGE('The List'!AM2:AM730))/STDEV('The List'!AM2:AM730)</f>
        <v>-0.91777161628715875</v>
      </c>
      <c r="AA683" s="38">
        <f>(VLOOKUP($A683,'The List'!$B1:$AR730,39,FALSE)-AVERAGE('The List'!AN2:AN730))/STDEV('The List'!AN2:AN730)</f>
        <v>-0.81901069660420989</v>
      </c>
      <c r="AB683" s="38">
        <f>(VLOOKUP($A683,'The List'!$B1:$AR730,40,FALSE)-AVERAGE('The List'!AO2:AO730))/STDEV('The List'!AO2:AO730)</f>
        <v>-0.9517370876848078</v>
      </c>
      <c r="AC683" s="38">
        <f>(VLOOKUP($A683,'The List'!$B1:$AR730,42,FALSE)-AVERAGE('The List'!AQ2:AQ730))/STDEV('The List'!AQ2:AQ730)</f>
        <v>-1.1776267477563416</v>
      </c>
      <c r="AD683" s="38">
        <f>(VLOOKUP($A683,'The List'!$B1:$AR730,43,FALSE)-AVERAGE('The List'!AR2:AR730))/STDEV('The List'!AR2:AR730)*-1</f>
        <v>-0.63139527325586231</v>
      </c>
      <c r="AE683" s="38"/>
    </row>
    <row r="684" spans="1:31" ht="21.2" customHeight="1">
      <c r="A684" s="8" t="s">
        <v>817</v>
      </c>
      <c r="B684" s="34" t="str">
        <f>VLOOKUP(A684,'Player Data'!A1:B734,2,FALSE)</f>
        <v>DET</v>
      </c>
      <c r="C684" s="36">
        <f>(W684*Settings!$C$29)+(X684*Settings!$C$21)+(Y684*Settings!$C$22)+(AA684*Settings!$C$24)+(AB684*Settings!$C$25)+(Z684*Settings!$C$23)+(AC684*Settings!$C$26)+(AD684*Settings!$C$28)</f>
        <v>-2.0887163812656229</v>
      </c>
      <c r="D684" s="40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>
        <f>(VLOOKUP($A684,'The List'!$B1:$AR730,35,FALSE)-AVERAGE('The List'!AJ2:AJ730))/STDEV('The List'!AJ2:AJ730)</f>
        <v>-1.0450220018312473</v>
      </c>
      <c r="X684" s="38">
        <f>(VLOOKUP($A684,'The List'!$B1:$AR730,36,FALSE)-AVERAGE('The List'!AK2:AK730))/STDEV('The List'!AK2:AK730)</f>
        <v>-1.0178113195685081</v>
      </c>
      <c r="Y684" s="38">
        <f>(VLOOKUP($A684,'The List'!$B1:$AR730,37,FALSE)-AVERAGE('The List'!AL2:AL730))/STDEV('The List'!AL2:AL730)*-1</f>
        <v>0.8318740714097248</v>
      </c>
      <c r="Z684" s="38">
        <f>(VLOOKUP($A684,'The List'!$B1:$AR730,38,FALSE)-AVERAGE('The List'!AM2:AM730))/STDEV('The List'!AM2:AM730)</f>
        <v>-1.0450220018312473</v>
      </c>
      <c r="AA684" s="38">
        <f>(VLOOKUP($A684,'The List'!$B1:$AR730,39,FALSE)-AVERAGE('The List'!AN2:AN730))/STDEV('The List'!AN2:AN730)</f>
        <v>-0.8195699977979175</v>
      </c>
      <c r="AB684" s="38">
        <f>(VLOOKUP($A684,'The List'!$B1:$AR730,40,FALSE)-AVERAGE('The List'!AO2:AO730))/STDEV('The List'!AO2:AO730)</f>
        <v>-1.0709050616971147</v>
      </c>
      <c r="AC684" s="38">
        <f>(VLOOKUP($A684,'The List'!$B1:$AR730,42,FALSE)-AVERAGE('The List'!AQ2:AQ730))/STDEV('The List'!AQ2:AQ730)</f>
        <v>-0.85451960029662111</v>
      </c>
      <c r="AD684" s="38">
        <f>(VLOOKUP($A684,'The List'!$B1:$AR730,43,FALSE)-AVERAGE('The List'!AR2:AR730))/STDEV('The List'!AR2:AR730)*-1</f>
        <v>-0.35934784463629876</v>
      </c>
      <c r="AE684" s="38"/>
    </row>
    <row r="685" spans="1:31" ht="21.2" customHeight="1">
      <c r="A685" s="8" t="s">
        <v>255</v>
      </c>
      <c r="B685" s="34" t="str">
        <f>VLOOKUP(A685,'Player Data'!A1:B734,2,FALSE)</f>
        <v>EDM</v>
      </c>
      <c r="C685" s="36">
        <f>(W685*Settings!$C$29)+(X685*Settings!$C$21)+(Y685*Settings!$C$22)+(AA685*Settings!$C$24)+(AB685*Settings!$C$25)+(Z685*Settings!$C$23)+(AC685*Settings!$C$26)+(AD685*Settings!$C$28)</f>
        <v>2.2002690990200922</v>
      </c>
      <c r="D685" s="40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>
        <f>(VLOOKUP($A685,'The List'!$B1:$AR730,35,FALSE)-AVERAGE('The List'!AJ2:AJ730))/STDEV('The List'!AJ2:AJ730)</f>
        <v>0.86373378133007983</v>
      </c>
      <c r="X685" s="38">
        <f>(VLOOKUP($A685,'The List'!$B1:$AR730,36,FALSE)-AVERAGE('The List'!AK2:AK730))/STDEV('The List'!AK2:AK730)</f>
        <v>1.3639681597618079</v>
      </c>
      <c r="Y685" s="38">
        <f>(VLOOKUP($A685,'The List'!$B1:$AR730,37,FALSE)-AVERAGE('The List'!AL2:AL730))/STDEV('The List'!AL2:AL730)*-1</f>
        <v>9.6292620406003074E-2</v>
      </c>
      <c r="Z685" s="38">
        <f>(VLOOKUP($A685,'The List'!$B1:$AR730,38,FALSE)-AVERAGE('The List'!AM2:AM730))/STDEV('The List'!AM2:AM730)</f>
        <v>0.86373378133007983</v>
      </c>
      <c r="AA685" s="38">
        <f>(VLOOKUP($A685,'The List'!$B1:$AR730,39,FALSE)-AVERAGE('The List'!AN2:AN730))/STDEV('The List'!AN2:AN730)</f>
        <v>1.0003992049670618</v>
      </c>
      <c r="AB685" s="38">
        <f>(VLOOKUP($A685,'The List'!$B1:$AR730,40,FALSE)-AVERAGE('The List'!AO2:AO730))/STDEV('The List'!AO2:AO730)</f>
        <v>0.8363009392582843</v>
      </c>
      <c r="AC685" s="38">
        <f>(VLOOKUP($A685,'The List'!$B1:$AR730,42,FALSE)-AVERAGE('The List'!AQ2:AQ730))/STDEV('The List'!AQ2:AQ730)</f>
        <v>1.0625802761277638</v>
      </c>
      <c r="AD685" s="38">
        <f>(VLOOKUP($A685,'The List'!$B1:$AR730,43,FALSE)-AVERAGE('The List'!AR2:AR730))/STDEV('The List'!AR2:AR730)*-1</f>
        <v>1.0495213295489241</v>
      </c>
      <c r="AE685" s="38"/>
    </row>
    <row r="686" spans="1:31" ht="21.2" customHeight="1">
      <c r="A686" s="8" t="s">
        <v>599</v>
      </c>
      <c r="B686" s="34" t="str">
        <f>VLOOKUP(A686,'Player Data'!A1:B734,2,FALSE)</f>
        <v>EDM</v>
      </c>
      <c r="C686" s="36">
        <f>(W686*Settings!$C$29)+(X686*Settings!$C$21)+(Y686*Settings!$C$22)+(AA686*Settings!$C$24)+(AB686*Settings!$C$25)+(Z686*Settings!$C$23)+(AC686*Settings!$C$26)+(AD686*Settings!$C$28)</f>
        <v>-3.1772936826700987E-2</v>
      </c>
      <c r="D686" s="40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>
        <f>(VLOOKUP($A686,'The List'!$B1:$AR730,35,FALSE)-AVERAGE('The List'!AJ2:AJ730))/STDEV('The List'!AJ2:AJ730)</f>
        <v>-0.15426930302262792</v>
      </c>
      <c r="X686" s="38">
        <f>(VLOOKUP($A686,'The List'!$B1:$AR730,36,FALSE)-AVERAGE('The List'!AK2:AK730))/STDEV('The List'!AK2:AK730)</f>
        <v>0.15032734042861856</v>
      </c>
      <c r="Y686" s="38">
        <f>(VLOOKUP($A686,'The List'!$B1:$AR730,37,FALSE)-AVERAGE('The List'!AL2:AL730))/STDEV('The List'!AL2:AL730)*-1</f>
        <v>0.57353994436972167</v>
      </c>
      <c r="Z686" s="38">
        <f>(VLOOKUP($A686,'The List'!$B1:$AR730,38,FALSE)-AVERAGE('The List'!AM2:AM730))/STDEV('The List'!AM2:AM730)</f>
        <v>-0.15426930302262792</v>
      </c>
      <c r="AA686" s="38">
        <f>(VLOOKUP($A686,'The List'!$B1:$AR730,39,FALSE)-AVERAGE('The List'!AN2:AN730))/STDEV('The List'!AN2:AN730)</f>
        <v>-0.27532511251260361</v>
      </c>
      <c r="AB686" s="38">
        <f>(VLOOKUP($A686,'The List'!$B1:$AR730,40,FALSE)-AVERAGE('The List'!AO2:AO730))/STDEV('The List'!AO2:AO730)</f>
        <v>-0.18210027725531955</v>
      </c>
      <c r="AC686" s="38">
        <f>(VLOOKUP($A686,'The List'!$B1:$AR730,42,FALSE)-AVERAGE('The List'!AQ2:AQ730))/STDEV('The List'!AQ2:AQ730)</f>
        <v>-0.34979715684317236</v>
      </c>
      <c r="AD686" s="38">
        <f>(VLOOKUP($A686,'The List'!$B1:$AR730,43,FALSE)-AVERAGE('The List'!AR2:AR730))/STDEV('The List'!AR2:AR730)*-1</f>
        <v>-0.15852509861161082</v>
      </c>
      <c r="AE686" s="38"/>
    </row>
    <row r="687" spans="1:31" ht="21.2" customHeight="1">
      <c r="A687" s="8" t="s">
        <v>250</v>
      </c>
      <c r="B687" s="34" t="str">
        <f>VLOOKUP(A687,'Player Data'!A1:B734,2,FALSE)</f>
        <v>FLA</v>
      </c>
      <c r="C687" s="36">
        <f>(W687*Settings!$C$29)+(X687*Settings!$C$21)+(Y687*Settings!$C$22)+(AA687*Settings!$C$24)+(AB687*Settings!$C$25)+(Z687*Settings!$C$23)+(AC687*Settings!$C$26)+(AD687*Settings!$C$28)</f>
        <v>2.5823115211006948</v>
      </c>
      <c r="D687" s="40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>
        <f>(VLOOKUP($A687,'The List'!$B1:$AR730,35,FALSE)-AVERAGE('The List'!AJ2:AJ730))/STDEV('The List'!AJ2:AJ730)</f>
        <v>1.1182345524182566</v>
      </c>
      <c r="X687" s="38">
        <f>(VLOOKUP($A687,'The List'!$B1:$AR730,36,FALSE)-AVERAGE('The List'!AK2:AK730))/STDEV('The List'!AK2:AK730)</f>
        <v>1.4185200142264782</v>
      </c>
      <c r="Y687" s="38">
        <f>(VLOOKUP($A687,'The List'!$B1:$AR730,37,FALSE)-AVERAGE('The List'!AL2:AL730))/STDEV('The List'!AL2:AL730)*-1</f>
        <v>-0.39619629203693241</v>
      </c>
      <c r="Z687" s="38">
        <f>(VLOOKUP($A687,'The List'!$B1:$AR730,38,FALSE)-AVERAGE('The List'!AM2:AM730))/STDEV('The List'!AM2:AM730)</f>
        <v>1.1182345524182566</v>
      </c>
      <c r="AA687" s="38">
        <f>(VLOOKUP($A687,'The List'!$B1:$AR730,39,FALSE)-AVERAGE('The List'!AN2:AN730))/STDEV('The List'!AN2:AN730)</f>
        <v>0.47490458345805647</v>
      </c>
      <c r="AB687" s="38">
        <f>(VLOOKUP($A687,'The List'!$B1:$AR730,40,FALSE)-AVERAGE('The List'!AO2:AO730))/STDEV('The List'!AO2:AO730)</f>
        <v>1.1637915068742164</v>
      </c>
      <c r="AC687" s="38">
        <f>(VLOOKUP($A687,'The List'!$B1:$AR730,42,FALSE)-AVERAGE('The List'!AQ2:AQ730))/STDEV('The List'!AQ2:AQ730)</f>
        <v>0.19285797891755749</v>
      </c>
      <c r="AD687" s="38">
        <f>(VLOOKUP($A687,'The List'!$B1:$AR730,43,FALSE)-AVERAGE('The List'!AR2:AR730))/STDEV('The List'!AR2:AR730)*-1</f>
        <v>-0.10240860947325035</v>
      </c>
      <c r="AE687" s="38"/>
    </row>
    <row r="688" spans="1:31" ht="21.2" customHeight="1">
      <c r="A688" s="8" t="s">
        <v>788</v>
      </c>
      <c r="B688" s="34" t="str">
        <f>VLOOKUP(A688,'Player Data'!A1:B734,2,FALSE)</f>
        <v>FLA</v>
      </c>
      <c r="C688" s="36">
        <f>(W688*Settings!$C$29)+(X688*Settings!$C$21)+(Y688*Settings!$C$22)+(AA688*Settings!$C$24)+(AB688*Settings!$C$25)+(Z688*Settings!$C$23)+(AC688*Settings!$C$26)+(AD688*Settings!$C$28)</f>
        <v>-1.5875459889654464</v>
      </c>
      <c r="D688" s="40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>
        <f>(VLOOKUP($A688,'The List'!$B1:$AR730,35,FALSE)-AVERAGE('The List'!AJ2:AJ730))/STDEV('The List'!AJ2:AJ730)</f>
        <v>-0.91777161628715875</v>
      </c>
      <c r="X688" s="38">
        <f>(VLOOKUP($A688,'The List'!$B1:$AR730,36,FALSE)-AVERAGE('The List'!AK2:AK730))/STDEV('The List'!AK2:AK730)</f>
        <v>-0.6965640776238079</v>
      </c>
      <c r="Y688" s="38">
        <f>(VLOOKUP($A688,'The List'!$B1:$AR730,37,FALSE)-AVERAGE('The List'!AL2:AL730))/STDEV('The List'!AL2:AL730)*-1</f>
        <v>1.0264561218836079</v>
      </c>
      <c r="Z688" s="38">
        <f>(VLOOKUP($A688,'The List'!$B1:$AR730,38,FALSE)-AVERAGE('The List'!AM2:AM730))/STDEV('The List'!AM2:AM730)</f>
        <v>-0.91777161628715875</v>
      </c>
      <c r="AA688" s="38">
        <f>(VLOOKUP($A688,'The List'!$B1:$AR730,39,FALSE)-AVERAGE('The List'!AN2:AN730))/STDEV('The List'!AN2:AN730)</f>
        <v>-0.84381759065917794</v>
      </c>
      <c r="AB688" s="38">
        <f>(VLOOKUP($A688,'The List'!$B1:$AR730,40,FALSE)-AVERAGE('The List'!AO2:AO730))/STDEV('The List'!AO2:AO730)</f>
        <v>-0.89098191134163862</v>
      </c>
      <c r="AC688" s="38">
        <f>(VLOOKUP($A688,'The List'!$B1:$AR730,42,FALSE)-AVERAGE('The List'!AQ2:AQ730))/STDEV('The List'!AQ2:AQ730)</f>
        <v>-0.52400845651475714</v>
      </c>
      <c r="AD688" s="38">
        <f>(VLOOKUP($A688,'The List'!$B1:$AR730,43,FALSE)-AVERAGE('The List'!AR2:AR730))/STDEV('The List'!AR2:AR730)*-1</f>
        <v>-0.7335762491531066</v>
      </c>
      <c r="AE688" s="38"/>
    </row>
    <row r="689" spans="1:31" ht="21.2" customHeight="1">
      <c r="A689" s="8" t="s">
        <v>828</v>
      </c>
      <c r="B689" s="34" t="str">
        <f>VLOOKUP(A689,'Player Data'!A1:B734,2,FALSE)</f>
        <v>FLA</v>
      </c>
      <c r="C689" s="36">
        <f>(W689*Settings!$C$29)+(X689*Settings!$C$21)+(Y689*Settings!$C$22)+(AA689*Settings!$C$24)+(AB689*Settings!$C$25)+(Z689*Settings!$C$23)+(AC689*Settings!$C$26)+(AD689*Settings!$C$28)</f>
        <v>-2.834071883832662</v>
      </c>
      <c r="D689" s="40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>
        <f>(VLOOKUP($A689,'The List'!$B1:$AR730,35,FALSE)-AVERAGE('The List'!AJ2:AJ730))/STDEV('The List'!AJ2:AJ730)</f>
        <v>-1.5540235440076011</v>
      </c>
      <c r="X689" s="38">
        <f>(VLOOKUP($A689,'The List'!$B1:$AR730,36,FALSE)-AVERAGE('The List'!AK2:AK730))/STDEV('The List'!AK2:AK730)</f>
        <v>-1.3049695662160945</v>
      </c>
      <c r="Y689" s="38">
        <f>(VLOOKUP($A689,'The List'!$B1:$AR730,37,FALSE)-AVERAGE('The List'!AL2:AL730))/STDEV('The List'!AL2:AL730)*-1</f>
        <v>1.5498491108694425</v>
      </c>
      <c r="Z689" s="38">
        <f>(VLOOKUP($A689,'The List'!$B1:$AR730,38,FALSE)-AVERAGE('The List'!AM2:AM730))/STDEV('The List'!AM2:AM730)</f>
        <v>-1.5540235440076011</v>
      </c>
      <c r="AA689" s="38">
        <f>(VLOOKUP($A689,'The List'!$B1:$AR730,39,FALSE)-AVERAGE('The List'!AN2:AN730))/STDEV('The List'!AN2:AN730)</f>
        <v>-1.1499216827496161</v>
      </c>
      <c r="AB689" s="38">
        <f>(VLOOKUP($A689,'The List'!$B1:$AR730,40,FALSE)-AVERAGE('The List'!AO2:AO730))/STDEV('The List'!AO2:AO730)</f>
        <v>-1.5291023176165677</v>
      </c>
      <c r="AC689" s="38">
        <f>(VLOOKUP($A689,'The List'!$B1:$AR730,42,FALSE)-AVERAGE('The List'!AQ2:AQ730))/STDEV('The List'!AQ2:AQ730)</f>
        <v>-0.69714164570516568</v>
      </c>
      <c r="AD689" s="38">
        <f>(VLOOKUP($A689,'The List'!$B1:$AR730,43,FALSE)-AVERAGE('The List'!AR2:AR730))/STDEV('The List'!AR2:AR730)*-1</f>
        <v>-0.88601199027640887</v>
      </c>
      <c r="AE689" s="38"/>
    </row>
    <row r="690" spans="1:31" ht="21.2" customHeight="1">
      <c r="A690" s="8" t="s">
        <v>418</v>
      </c>
      <c r="B690" s="34" t="str">
        <f>VLOOKUP(A690,'Player Data'!A1:B734,2,FALSE)</f>
        <v>LAK</v>
      </c>
      <c r="C690" s="36">
        <f>(W690*Settings!$C$29)+(X690*Settings!$C$21)+(Y690*Settings!$C$22)+(AA690*Settings!$C$24)+(AB690*Settings!$C$25)+(Z690*Settings!$C$23)+(AC690*Settings!$C$26)+(AD690*Settings!$C$28)</f>
        <v>0.95091834096043959</v>
      </c>
      <c r="D690" s="40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>
        <f>(VLOOKUP($A690,'The List'!$B1:$AR730,35,FALSE)-AVERAGE('The List'!AJ2:AJ730))/STDEV('The List'!AJ2:AJ730)</f>
        <v>0.48198262469781439</v>
      </c>
      <c r="X690" s="38">
        <f>(VLOOKUP($A690,'The List'!$B1:$AR730,36,FALSE)-AVERAGE('The List'!AK2:AK730))/STDEV('The List'!AK2:AK730)</f>
        <v>0.56378147256326028</v>
      </c>
      <c r="Y690" s="38">
        <f>(VLOOKUP($A690,'The List'!$B1:$AR730,37,FALSE)-AVERAGE('The List'!AL2:AL730))/STDEV('The List'!AL2:AL730)*-1</f>
        <v>-0.24219355929126449</v>
      </c>
      <c r="Z690" s="38">
        <f>(VLOOKUP($A690,'The List'!$B1:$AR730,38,FALSE)-AVERAGE('The List'!AM2:AM730))/STDEV('The List'!AM2:AM730)</f>
        <v>0.48198262469781439</v>
      </c>
      <c r="AA690" s="38">
        <f>(VLOOKUP($A690,'The List'!$B1:$AR730,39,FALSE)-AVERAGE('The List'!AN2:AN730))/STDEV('The List'!AN2:AN730)</f>
        <v>0.25690879419342993</v>
      </c>
      <c r="AB690" s="38">
        <f>(VLOOKUP($A690,'The List'!$B1:$AR730,40,FALSE)-AVERAGE('The List'!AO2:AO730))/STDEV('The List'!AO2:AO730)</f>
        <v>0.38713686839717926</v>
      </c>
      <c r="AC690" s="38">
        <f>(VLOOKUP($A690,'The List'!$B1:$AR730,42,FALSE)-AVERAGE('The List'!AQ2:AQ730))/STDEV('The List'!AQ2:AQ730)</f>
        <v>-0.28128518541758957</v>
      </c>
      <c r="AD690" s="38">
        <f>(VLOOKUP($A690,'The List'!$B1:$AR730,43,FALSE)-AVERAGE('The List'!AR2:AR730))/STDEV('The List'!AR2:AR730)*-1</f>
        <v>0.18439565124859633</v>
      </c>
      <c r="AE690" s="38"/>
    </row>
    <row r="691" spans="1:31" ht="21.2" customHeight="1">
      <c r="A691" s="8" t="s">
        <v>642</v>
      </c>
      <c r="B691" s="34" t="str">
        <f>VLOOKUP(A691,'Player Data'!A1:B734,2,FALSE)</f>
        <v>LAK</v>
      </c>
      <c r="C691" s="36">
        <f>(W691*Settings!$C$29)+(X691*Settings!$C$21)+(Y691*Settings!$C$22)+(AA691*Settings!$C$24)+(AB691*Settings!$C$25)+(Z691*Settings!$C$23)+(AC691*Settings!$C$26)+(AD691*Settings!$C$28)</f>
        <v>-5.505161092317274E-2</v>
      </c>
      <c r="D691" s="40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>
        <f>(VLOOKUP($A691,'The List'!$B1:$AR730,35,FALSE)-AVERAGE('The List'!AJ2:AJ730))/STDEV('The List'!AJ2:AJ730)</f>
        <v>-2.7018917478539468E-2</v>
      </c>
      <c r="X691" s="38">
        <f>(VLOOKUP($A691,'The List'!$B1:$AR730,36,FALSE)-AVERAGE('The List'!AK2:AK730))/STDEV('The List'!AK2:AK730)</f>
        <v>5.4193981690842434E-2</v>
      </c>
      <c r="Y691" s="38">
        <f>(VLOOKUP($A691,'The List'!$B1:$AR730,37,FALSE)-AVERAGE('The List'!AL2:AL730))/STDEV('The List'!AL2:AL730)*-1</f>
        <v>0.14223632861358551</v>
      </c>
      <c r="Z691" s="38">
        <f>(VLOOKUP($A691,'The List'!$B1:$AR730,38,FALSE)-AVERAGE('The List'!AM2:AM730))/STDEV('The List'!AM2:AM730)</f>
        <v>-2.7018917478539468E-2</v>
      </c>
      <c r="AA691" s="38">
        <f>(VLOOKUP($A691,'The List'!$B1:$AR730,39,FALSE)-AVERAGE('The List'!AN2:AN730))/STDEV('The List'!AN2:AN730)</f>
        <v>-0.33029936625943634</v>
      </c>
      <c r="AB691" s="38">
        <f>(VLOOKUP($A691,'The List'!$B1:$AR730,40,FALSE)-AVERAGE('The List'!AO2:AO730))/STDEV('The List'!AO2:AO730)</f>
        <v>-0.10924559261401517</v>
      </c>
      <c r="AC691" s="38">
        <f>(VLOOKUP($A691,'The List'!$B1:$AR730,42,FALSE)-AVERAGE('The List'!AQ2:AQ730))/STDEV('The List'!AQ2:AQ730)</f>
        <v>-1.0558343857708512</v>
      </c>
      <c r="AD691" s="38">
        <f>(VLOOKUP($A691,'The List'!$B1:$AR730,43,FALSE)-AVERAGE('The List'!AR2:AR730))/STDEV('The List'!AR2:AR730)*-1</f>
        <v>-0.4649224537504002</v>
      </c>
      <c r="AE691" s="38"/>
    </row>
    <row r="692" spans="1:31" ht="21.2" customHeight="1">
      <c r="A692" s="8" t="s">
        <v>199</v>
      </c>
      <c r="B692" s="34" t="str">
        <f>VLOOKUP(A692,'Player Data'!A1:B734,2,FALSE)</f>
        <v>MIN</v>
      </c>
      <c r="C692" s="36">
        <f>(W692*Settings!$C$29)+(X692*Settings!$C$21)+(Y692*Settings!$C$22)+(AA692*Settings!$C$24)+(AB692*Settings!$C$25)+(Z692*Settings!$C$23)+(AC692*Settings!$C$26)+(AD692*Settings!$C$28)</f>
        <v>2.465804343501782</v>
      </c>
      <c r="D692" s="40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>
        <f>(VLOOKUP($A692,'The List'!$B1:$AR730,35,FALSE)-AVERAGE('The List'!AJ2:AJ730))/STDEV('The List'!AJ2:AJ730)</f>
        <v>1.1182345524182566</v>
      </c>
      <c r="X692" s="38">
        <f>(VLOOKUP($A692,'The List'!$B1:$AR730,36,FALSE)-AVERAGE('The List'!AK2:AK730))/STDEV('The List'!AK2:AK730)</f>
        <v>1.2270002473415158</v>
      </c>
      <c r="Y692" s="38">
        <f>(VLOOKUP($A692,'The List'!$B1:$AR730,37,FALSE)-AVERAGE('The List'!AL2:AL730))/STDEV('The List'!AL2:AL730)*-1</f>
        <v>-0.68339094530306221</v>
      </c>
      <c r="Z692" s="38">
        <f>(VLOOKUP($A692,'The List'!$B1:$AR730,38,FALSE)-AVERAGE('The List'!AM2:AM730))/STDEV('The List'!AM2:AM730)</f>
        <v>1.1182345524182566</v>
      </c>
      <c r="AA692" s="38">
        <f>(VLOOKUP($A692,'The List'!$B1:$AR730,39,FALSE)-AVERAGE('The List'!AN2:AN730))/STDEV('The List'!AN2:AN730)</f>
        <v>1.0960217759982815</v>
      </c>
      <c r="AB692" s="38">
        <f>(VLOOKUP($A692,'The List'!$B1:$AR730,40,FALSE)-AVERAGE('The List'!AO2:AO730))/STDEV('The List'!AO2:AO730)</f>
        <v>1.238804096160266</v>
      </c>
      <c r="AC692" s="38">
        <f>(VLOOKUP($A692,'The List'!$B1:$AR730,42,FALSE)-AVERAGE('The List'!AQ2:AQ730))/STDEV('The List'!AQ2:AQ730)</f>
        <v>1.5201280364827807</v>
      </c>
      <c r="AD692" s="38">
        <f>(VLOOKUP($A692,'The List'!$B1:$AR730,43,FALSE)-AVERAGE('The List'!AR2:AR730))/STDEV('The List'!AR2:AR730)*-1</f>
        <v>0.88159764080673753</v>
      </c>
      <c r="AE692" s="38"/>
    </row>
    <row r="693" spans="1:31" ht="21.2" customHeight="1">
      <c r="A693" s="8" t="s">
        <v>679</v>
      </c>
      <c r="B693" s="34" t="str">
        <f>VLOOKUP(A693,'Player Data'!A1:B734,2,FALSE)</f>
        <v>MIN</v>
      </c>
      <c r="C693" s="36">
        <f>(W693*Settings!$C$29)+(X693*Settings!$C$21)+(Y693*Settings!$C$22)+(AA693*Settings!$C$24)+(AB693*Settings!$C$25)+(Z693*Settings!$C$23)+(AC693*Settings!$C$26)+(AD693*Settings!$C$28)</f>
        <v>-0.67493291754254936</v>
      </c>
      <c r="D693" s="40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>
        <f>(VLOOKUP($A693,'The List'!$B1:$AR730,35,FALSE)-AVERAGE('The List'!AJ2:AJ730))/STDEV('The List'!AJ2:AJ730)</f>
        <v>-0.40877007411080485</v>
      </c>
      <c r="X693" s="38">
        <f>(VLOOKUP($A693,'The List'!$B1:$AR730,36,FALSE)-AVERAGE('The List'!AK2:AK730))/STDEV('The List'!AK2:AK730)</f>
        <v>-0.32173949128427859</v>
      </c>
      <c r="Y693" s="38">
        <f>(VLOOKUP($A693,'The List'!$B1:$AR730,37,FALSE)-AVERAGE('The List'!AL2:AL730))/STDEV('The List'!AL2:AL730)*-1</f>
        <v>0.43994168537074529</v>
      </c>
      <c r="Z693" s="38">
        <f>(VLOOKUP($A693,'The List'!$B1:$AR730,38,FALSE)-AVERAGE('The List'!AM2:AM730))/STDEV('The List'!AM2:AM730)</f>
        <v>-0.40877007411080485</v>
      </c>
      <c r="AA693" s="38">
        <f>(VLOOKUP($A693,'The List'!$B1:$AR730,39,FALSE)-AVERAGE('The List'!AN2:AN730))/STDEV('The List'!AN2:AN730)</f>
        <v>-0.61192764681348133</v>
      </c>
      <c r="AB693" s="38">
        <f>(VLOOKUP($A693,'The List'!$B1:$AR730,40,FALSE)-AVERAGE('The List'!AO2:AO730))/STDEV('The List'!AO2:AO730)</f>
        <v>-0.35319342625827077</v>
      </c>
      <c r="AC693" s="38">
        <f>(VLOOKUP($A693,'The List'!$B1:$AR730,42,FALSE)-AVERAGE('The List'!AQ2:AQ730))/STDEV('The List'!AQ2:AQ730)</f>
        <v>-0.28295436566943694</v>
      </c>
      <c r="AD693" s="38">
        <f>(VLOOKUP($A693,'The List'!$B1:$AR730,43,FALSE)-AVERAGE('The List'!AR2:AR730))/STDEV('The List'!AR2:AR730)*-1</f>
        <v>-0.72825192882958745</v>
      </c>
      <c r="AE693" s="38"/>
    </row>
    <row r="694" spans="1:31" ht="21.2" customHeight="1">
      <c r="A694" s="8" t="s">
        <v>601</v>
      </c>
      <c r="B694" s="34" t="str">
        <f>VLOOKUP(A694,'Player Data'!A1:B734,2,FALSE)</f>
        <v>MTL</v>
      </c>
      <c r="C694" s="36">
        <f>(W694*Settings!$C$29)+(X694*Settings!$C$21)+(Y694*Settings!$C$22)+(AA694*Settings!$C$24)+(AB694*Settings!$C$25)+(Z694*Settings!$C$23)+(AC694*Settings!$C$26)+(AD694*Settings!$C$28)</f>
        <v>-0.32484780751655629</v>
      </c>
      <c r="D694" s="40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>
        <f>(VLOOKUP($A694,'The List'!$B1:$AR730,35,FALSE)-AVERAGE('The List'!AJ2:AJ730))/STDEV('The List'!AJ2:AJ730)</f>
        <v>0.100231468065549</v>
      </c>
      <c r="X694" s="38">
        <f>(VLOOKUP($A694,'The List'!$B1:$AR730,36,FALSE)-AVERAGE('The List'!AK2:AK730))/STDEV('The List'!AK2:AK730)</f>
        <v>-0.44785526408815013</v>
      </c>
      <c r="Y694" s="38">
        <f>(VLOOKUP($A694,'The List'!$B1:$AR730,37,FALSE)-AVERAGE('The List'!AL2:AL730))/STDEV('The List'!AL2:AL730)*-1</f>
        <v>-0.89776097098583896</v>
      </c>
      <c r="Z694" s="38">
        <f>(VLOOKUP($A694,'The List'!$B1:$AR730,38,FALSE)-AVERAGE('The List'!AM2:AM730))/STDEV('The List'!AM2:AM730)</f>
        <v>0.100231468065549</v>
      </c>
      <c r="AA694" s="38">
        <f>(VLOOKUP($A694,'The List'!$B1:$AR730,39,FALSE)-AVERAGE('The List'!AN2:AN730))/STDEV('The List'!AN2:AN730)</f>
        <v>-0.45787727067741651</v>
      </c>
      <c r="AB694" s="38">
        <f>(VLOOKUP($A694,'The List'!$B1:$AR730,40,FALSE)-AVERAGE('The List'!AO2:AO730))/STDEV('The List'!AO2:AO730)</f>
        <v>0.12300745657159387</v>
      </c>
      <c r="AC694" s="38">
        <f>(VLOOKUP($A694,'The List'!$B1:$AR730,42,FALSE)-AVERAGE('The List'!AQ2:AQ730))/STDEV('The List'!AQ2:AQ730)</f>
        <v>-0.73778732257129231</v>
      </c>
      <c r="AD694" s="38">
        <f>(VLOOKUP($A694,'The List'!$B1:$AR730,43,FALSE)-AVERAGE('The List'!AR2:AR730))/STDEV('The List'!AR2:AR730)*-1</f>
        <v>-0.90341925495178543</v>
      </c>
      <c r="AE694" s="38"/>
    </row>
    <row r="695" spans="1:31" ht="21.2" customHeight="1">
      <c r="A695" s="8" t="s">
        <v>653</v>
      </c>
      <c r="B695" s="34" t="str">
        <f>VLOOKUP(A695,'Player Data'!A1:B734,2,FALSE)</f>
        <v>MTL</v>
      </c>
      <c r="C695" s="36">
        <f>(W695*Settings!$C$29)+(X695*Settings!$C$21)+(Y695*Settings!$C$22)+(AA695*Settings!$C$24)+(AB695*Settings!$C$25)+(Z695*Settings!$C$23)+(AC695*Settings!$C$26)+(AD695*Settings!$C$28)</f>
        <v>-0.73746056706204621</v>
      </c>
      <c r="D695" s="40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>
        <f>(VLOOKUP($A695,'The List'!$B1:$AR730,35,FALSE)-AVERAGE('The List'!AJ2:AJ730))/STDEV('The List'!AJ2:AJ730)</f>
        <v>-0.15426930302262792</v>
      </c>
      <c r="X695" s="38">
        <f>(VLOOKUP($A695,'The List'!$B1:$AR730,36,FALSE)-AVERAGE('The List'!AK2:AK730))/STDEV('The List'!AK2:AK730)</f>
        <v>-0.61177447889915271</v>
      </c>
      <c r="Y695" s="38">
        <f>(VLOOKUP($A695,'The List'!$B1:$AR730,37,FALSE)-AVERAGE('The List'!AL2:AL730))/STDEV('The List'!AL2:AL730)*-1</f>
        <v>-0.56927456149166233</v>
      </c>
      <c r="Z695" s="38">
        <f>(VLOOKUP($A695,'The List'!$B1:$AR730,38,FALSE)-AVERAGE('The List'!AM2:AM730))/STDEV('The List'!AM2:AM730)</f>
        <v>-0.15426930302262792</v>
      </c>
      <c r="AA695" s="38">
        <f>(VLOOKUP($A695,'The List'!$B1:$AR730,39,FALSE)-AVERAGE('The List'!AN2:AN730))/STDEV('The List'!AN2:AN730)</f>
        <v>-0.41556876848907076</v>
      </c>
      <c r="AB695" s="38">
        <f>(VLOOKUP($A695,'The List'!$B1:$AR730,40,FALSE)-AVERAGE('The List'!AO2:AO730))/STDEV('The List'!AO2:AO730)</f>
        <v>-0.12568608816289351</v>
      </c>
      <c r="AC695" s="38">
        <f>(VLOOKUP($A695,'The List'!$B1:$AR730,42,FALSE)-AVERAGE('The List'!AQ2:AQ730))/STDEV('The List'!AQ2:AQ730)</f>
        <v>-0.30128874264014666</v>
      </c>
      <c r="AD695" s="38">
        <f>(VLOOKUP($A695,'The List'!$B1:$AR730,43,FALSE)-AVERAGE('The List'!AR2:AR730))/STDEV('The List'!AR2:AR730)*-1</f>
        <v>-0.51956973400911899</v>
      </c>
      <c r="AE695" s="38"/>
    </row>
    <row r="696" spans="1:31" ht="21.2" customHeight="1">
      <c r="A696" s="8" t="s">
        <v>826</v>
      </c>
      <c r="B696" s="34" t="str">
        <f>VLOOKUP(A696,'Player Data'!A1:B734,2,FALSE)</f>
        <v>MTL</v>
      </c>
      <c r="C696" s="36">
        <f>(W696*Settings!$C$29)+(X696*Settings!$C$21)+(Y696*Settings!$C$22)+(AA696*Settings!$C$24)+(AB696*Settings!$C$25)+(Z696*Settings!$C$23)+(AC696*Settings!$C$26)+(AD696*Settings!$C$28)</f>
        <v>-2.6242568375108122</v>
      </c>
      <c r="D696" s="40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>
        <f>(VLOOKUP($A696,'The List'!$B1:$AR730,35,FALSE)-AVERAGE('The List'!AJ2:AJ730))/STDEV('The List'!AJ2:AJ730)</f>
        <v>-1.2995227729194241</v>
      </c>
      <c r="X696" s="38">
        <f>(VLOOKUP($A696,'The List'!$B1:$AR730,36,FALSE)-AVERAGE('The List'!AK2:AK730))/STDEV('The List'!AK2:AK730)</f>
        <v>-1.3467714514180098</v>
      </c>
      <c r="Y696" s="38">
        <f>(VLOOKUP($A696,'The List'!$B1:$AR730,37,FALSE)-AVERAGE('The List'!AL2:AL730))/STDEV('The List'!AL2:AL730)*-1</f>
        <v>0.91287235101250319</v>
      </c>
      <c r="Z696" s="38">
        <f>(VLOOKUP($A696,'The List'!$B1:$AR730,38,FALSE)-AVERAGE('The List'!AM2:AM730))/STDEV('The List'!AM2:AM730)</f>
        <v>-1.2995227729194241</v>
      </c>
      <c r="AA696" s="38">
        <f>(VLOOKUP($A696,'The List'!$B1:$AR730,39,FALSE)-AVERAGE('The List'!AN2:AN730))/STDEV('The List'!AN2:AN730)</f>
        <v>-1.0919333952593122</v>
      </c>
      <c r="AB696" s="38">
        <f>(VLOOKUP($A696,'The List'!$B1:$AR730,40,FALSE)-AVERAGE('The List'!AO2:AO730))/STDEV('The List'!AO2:AO730)</f>
        <v>-1.2774853860928024</v>
      </c>
      <c r="AC696" s="38">
        <f>(VLOOKUP($A696,'The List'!$B1:$AR730,42,FALSE)-AVERAGE('The List'!AQ2:AQ730))/STDEV('The List'!AQ2:AQ730)</f>
        <v>-1.0502263568348842</v>
      </c>
      <c r="AD696" s="38">
        <f>(VLOOKUP($A696,'The List'!$B1:$AR730,43,FALSE)-AVERAGE('The List'!AR2:AR730))/STDEV('The List'!AR2:AR730)*-1</f>
        <v>-1.178172894802793</v>
      </c>
      <c r="AE696" s="38"/>
    </row>
    <row r="697" spans="1:31" ht="21.2" customHeight="1">
      <c r="A697" s="8" t="s">
        <v>292</v>
      </c>
      <c r="B697" s="34" t="str">
        <f>VLOOKUP(A697,'Player Data'!A1:B734,2,FALSE)</f>
        <v>NJD</v>
      </c>
      <c r="C697" s="36">
        <f>(W697*Settings!$C$29)+(X697*Settings!$C$21)+(Y697*Settings!$C$22)+(AA697*Settings!$C$24)+(AB697*Settings!$C$25)+(Z697*Settings!$C$23)+(AC697*Settings!$C$26)+(AD697*Settings!$C$28)</f>
        <v>1.7042290511902916</v>
      </c>
      <c r="D697" s="40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>
        <f>(VLOOKUP($A697,'The List'!$B1:$AR730,35,FALSE)-AVERAGE('The List'!AJ2:AJ730))/STDEV('The List'!AJ2:AJ730)</f>
        <v>0.73648339578599131</v>
      </c>
      <c r="X697" s="38">
        <f>(VLOOKUP($A697,'The List'!$B1:$AR730,36,FALSE)-AVERAGE('The List'!AK2:AK730))/STDEV('The List'!AK2:AK730)</f>
        <v>1.0710876602170072</v>
      </c>
      <c r="Y697" s="38">
        <f>(VLOOKUP($A697,'The List'!$B1:$AR730,37,FALSE)-AVERAGE('The List'!AL2:AL730))/STDEV('The List'!AL2:AL730)*-1</f>
        <v>-5.5751905715512792E-2</v>
      </c>
      <c r="Z697" s="38">
        <f>(VLOOKUP($A697,'The List'!$B1:$AR730,38,FALSE)-AVERAGE('The List'!AM2:AM730))/STDEV('The List'!AM2:AM730)</f>
        <v>0.73648339578599131</v>
      </c>
      <c r="AA697" s="38">
        <f>(VLOOKUP($A697,'The List'!$B1:$AR730,39,FALSE)-AVERAGE('The List'!AN2:AN730))/STDEV('The List'!AN2:AN730)</f>
        <v>0.93218041180924682</v>
      </c>
      <c r="AB697" s="38">
        <f>(VLOOKUP($A697,'The List'!$B1:$AR730,40,FALSE)-AVERAGE('The List'!AO2:AO730))/STDEV('The List'!AO2:AO730)</f>
        <v>0.63314139097328437</v>
      </c>
      <c r="AC697" s="38">
        <f>(VLOOKUP($A697,'The List'!$B1:$AR730,42,FALSE)-AVERAGE('The List'!AQ2:AQ730))/STDEV('The List'!AQ2:AQ730)</f>
        <v>0.73614057367818397</v>
      </c>
      <c r="AD697" s="38">
        <f>(VLOOKUP($A697,'The List'!$B1:$AR730,43,FALSE)-AVERAGE('The List'!AR2:AR730))/STDEV('The List'!AR2:AR730)*-1</f>
        <v>1.1078870411626047</v>
      </c>
      <c r="AE697" s="38"/>
    </row>
    <row r="698" spans="1:31" ht="21.2" customHeight="1">
      <c r="A698" s="8" t="s">
        <v>574</v>
      </c>
      <c r="B698" s="34" t="str">
        <f>VLOOKUP(A698,'Player Data'!A1:B734,2,FALSE)</f>
        <v>NJD</v>
      </c>
      <c r="C698" s="36">
        <f>(W698*Settings!$C$29)+(X698*Settings!$C$21)+(Y698*Settings!$C$22)+(AA698*Settings!$C$24)+(AB698*Settings!$C$25)+(Z698*Settings!$C$23)+(AC698*Settings!$C$26)+(AD698*Settings!$C$28)</f>
        <v>-2.8274475598769916E-2</v>
      </c>
      <c r="D698" s="40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>
        <f>(VLOOKUP($A698,'The List'!$B1:$AR730,35,FALSE)-AVERAGE('The List'!AJ2:AJ730))/STDEV('The List'!AJ2:AJ730)</f>
        <v>-0.15426930302262792</v>
      </c>
      <c r="X698" s="38">
        <f>(VLOOKUP($A698,'The List'!$B1:$AR730,36,FALSE)-AVERAGE('The List'!AK2:AK730))/STDEV('The List'!AK2:AK730)</f>
        <v>0.17638293401049981</v>
      </c>
      <c r="Y698" s="38">
        <f>(VLOOKUP($A698,'The List'!$B1:$AR730,37,FALSE)-AVERAGE('The List'!AL2:AL730))/STDEV('The List'!AL2:AL730)*-1</f>
        <v>0.61261177119001176</v>
      </c>
      <c r="Z698" s="38">
        <f>(VLOOKUP($A698,'The List'!$B1:$AR730,38,FALSE)-AVERAGE('The List'!AM2:AM730))/STDEV('The List'!AM2:AM730)</f>
        <v>-0.15426930302262792</v>
      </c>
      <c r="AA698" s="38">
        <f>(VLOOKUP($A698,'The List'!$B1:$AR730,39,FALSE)-AVERAGE('The List'!AN2:AN730))/STDEV('The List'!AN2:AN730)</f>
        <v>-5.2636337595929929E-2</v>
      </c>
      <c r="AB698" s="38">
        <f>(VLOOKUP($A698,'The List'!$B1:$AR730,40,FALSE)-AVERAGE('The List'!AO2:AO730))/STDEV('The List'!AO2:AO730)</f>
        <v>-0.20465740960926973</v>
      </c>
      <c r="AC698" s="38">
        <f>(VLOOKUP($A698,'The List'!$B1:$AR730,42,FALSE)-AVERAGE('The List'!AQ2:AQ730))/STDEV('The List'!AQ2:AQ730)</f>
        <v>0.27533261113732171</v>
      </c>
      <c r="AD698" s="38">
        <f>(VLOOKUP($A698,'The List'!$B1:$AR730,43,FALSE)-AVERAGE('The List'!AR2:AR730))/STDEV('The List'!AR2:AR730)*-1</f>
        <v>0.58703324535059742</v>
      </c>
      <c r="AE698" s="38"/>
    </row>
    <row r="699" spans="1:31" ht="21.2" customHeight="1">
      <c r="A699" s="8" t="s">
        <v>150</v>
      </c>
      <c r="B699" s="34" t="str">
        <f>VLOOKUP(A699,'Player Data'!A1:B734,2,FALSE)</f>
        <v>NSH</v>
      </c>
      <c r="C699" s="36">
        <f>(W699*Settings!$C$29)+(X699*Settings!$C$21)+(Y699*Settings!$C$22)+(AA699*Settings!$C$24)+(AB699*Settings!$C$25)+(Z699*Settings!$C$23)+(AC699*Settings!$C$26)+(AD699*Settings!$C$28)</f>
        <v>2.885503156000083</v>
      </c>
      <c r="D699" s="40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>
        <f>(VLOOKUP($A699,'The List'!$B1:$AR730,35,FALSE)-AVERAGE('The List'!AJ2:AJ730))/STDEV('The List'!AJ2:AJ730)</f>
        <v>1.6272360945946107</v>
      </c>
      <c r="X699" s="38">
        <f>(VLOOKUP($A699,'The List'!$B1:$AR730,36,FALSE)-AVERAGE('The List'!AK2:AK730))/STDEV('The List'!AK2:AK730)</f>
        <v>1.2059144465434144</v>
      </c>
      <c r="Y699" s="38">
        <f>(VLOOKUP($A699,'The List'!$B1:$AR730,37,FALSE)-AVERAGE('The List'!AL2:AL730))/STDEV('The List'!AL2:AL730)*-1</f>
        <v>-1.8635952562754508</v>
      </c>
      <c r="Z699" s="38">
        <f>(VLOOKUP($A699,'The List'!$B1:$AR730,38,FALSE)-AVERAGE('The List'!AM2:AM730))/STDEV('The List'!AM2:AM730)</f>
        <v>1.6272360945946107</v>
      </c>
      <c r="AA699" s="38">
        <f>(VLOOKUP($A699,'The List'!$B1:$AR730,39,FALSE)-AVERAGE('The List'!AN2:AN730))/STDEV('The List'!AN2:AN730)</f>
        <v>1.9770680577546247</v>
      </c>
      <c r="AB699" s="38">
        <f>(VLOOKUP($A699,'The List'!$B1:$AR730,40,FALSE)-AVERAGE('The List'!AO2:AO730))/STDEV('The List'!AO2:AO730)</f>
        <v>1.6795887094566688</v>
      </c>
      <c r="AC699" s="38">
        <f>(VLOOKUP($A699,'The List'!$B1:$AR730,42,FALSE)-AVERAGE('The List'!AQ2:AQ730))/STDEV('The List'!AQ2:AQ730)</f>
        <v>1.770865036599383</v>
      </c>
      <c r="AD699" s="38">
        <f>(VLOOKUP($A699,'The List'!$B1:$AR730,43,FALSE)-AVERAGE('The List'!AR2:AR730))/STDEV('The List'!AR2:AR730)*-1</f>
        <v>1.4020790780682884</v>
      </c>
      <c r="AE699" s="38"/>
    </row>
    <row r="700" spans="1:31" ht="21.2" customHeight="1">
      <c r="A700" s="8" t="s">
        <v>823</v>
      </c>
      <c r="B700" s="34" t="str">
        <f>VLOOKUP(A700,'Player Data'!A1:B734,2,FALSE)</f>
        <v>NSH</v>
      </c>
      <c r="C700" s="36">
        <f>(W700*Settings!$C$29)+(X700*Settings!$C$21)+(Y700*Settings!$C$22)+(AA700*Settings!$C$24)+(AB700*Settings!$C$25)+(Z700*Settings!$C$23)+(AC700*Settings!$C$26)+(AD700*Settings!$C$28)</f>
        <v>-2.3124813013207266</v>
      </c>
      <c r="D700" s="40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>
        <f>(VLOOKUP($A700,'The List'!$B1:$AR730,35,FALSE)-AVERAGE('The List'!AJ2:AJ730))/STDEV('The List'!AJ2:AJ730)</f>
        <v>-1.1722723873753358</v>
      </c>
      <c r="X700" s="38">
        <f>(VLOOKUP($A700,'The List'!$B1:$AR730,36,FALSE)-AVERAGE('The List'!AK2:AK730))/STDEV('The List'!AK2:AK730)</f>
        <v>-1.1665409717516837</v>
      </c>
      <c r="Y700" s="38">
        <f>(VLOOKUP($A700,'The List'!$B1:$AR730,37,FALSE)-AVERAGE('The List'!AL2:AL730))/STDEV('The List'!AL2:AL730)*-1</f>
        <v>0.89599184174143842</v>
      </c>
      <c r="Z700" s="38">
        <f>(VLOOKUP($A700,'The List'!$B1:$AR730,38,FALSE)-AVERAGE('The List'!AM2:AM730))/STDEV('The List'!AM2:AM730)</f>
        <v>-1.1722723873753358</v>
      </c>
      <c r="AA700" s="38">
        <f>(VLOOKUP($A700,'The List'!$B1:$AR730,39,FALSE)-AVERAGE('The List'!AN2:AN730))/STDEV('The List'!AN2:AN730)</f>
        <v>-1.0050792024520099</v>
      </c>
      <c r="AB700" s="38">
        <f>(VLOOKUP($A700,'The List'!$B1:$AR730,40,FALSE)-AVERAGE('The List'!AO2:AO730))/STDEV('The List'!AO2:AO730)</f>
        <v>-1.1459403295690429</v>
      </c>
      <c r="AC700" s="38">
        <f>(VLOOKUP($A700,'The List'!$B1:$AR730,42,FALSE)-AVERAGE('The List'!AQ2:AQ730))/STDEV('The List'!AQ2:AQ730)</f>
        <v>-0.76760029527829454</v>
      </c>
      <c r="AD700" s="38">
        <f>(VLOOKUP($A700,'The List'!$B1:$AR730,43,FALSE)-AVERAGE('The List'!AR2:AR730))/STDEV('The List'!AR2:AR730)*-1</f>
        <v>-0.97156222852237806</v>
      </c>
      <c r="AE700" s="38"/>
    </row>
    <row r="701" spans="1:31" ht="21.2" customHeight="1">
      <c r="A701" s="8" t="s">
        <v>129</v>
      </c>
      <c r="B701" s="34" t="str">
        <f>VLOOKUP(A701,'Player Data'!A1:B734,2,FALSE)</f>
        <v>NYI</v>
      </c>
      <c r="C701" s="36">
        <f>(W701*Settings!$C$29)+(X701*Settings!$C$21)+(Y701*Settings!$C$22)+(AA701*Settings!$C$24)+(AB701*Settings!$C$25)+(Z701*Settings!$C$23)+(AC701*Settings!$C$26)+(AD701*Settings!$C$28)</f>
        <v>3.1640175721886212</v>
      </c>
      <c r="D701" s="40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>
        <f>(VLOOKUP($A701,'The List'!$B1:$AR730,35,FALSE)-AVERAGE('The List'!AJ2:AJ730))/STDEV('The List'!AJ2:AJ730)</f>
        <v>1.6272360945946107</v>
      </c>
      <c r="X701" s="38">
        <f>(VLOOKUP($A701,'The List'!$B1:$AR730,36,FALSE)-AVERAGE('The List'!AK2:AK730))/STDEV('The List'!AK2:AK730)</f>
        <v>1.5437819498513241</v>
      </c>
      <c r="Y701" s="38">
        <f>(VLOOKUP($A701,'The List'!$B1:$AR730,37,FALSE)-AVERAGE('The List'!AL2:AL730))/STDEV('The List'!AL2:AL730)*-1</f>
        <v>-1.356943947950227</v>
      </c>
      <c r="Z701" s="38">
        <f>(VLOOKUP($A701,'The List'!$B1:$AR730,38,FALSE)-AVERAGE('The List'!AM2:AM730))/STDEV('The List'!AM2:AM730)</f>
        <v>1.6272360945946107</v>
      </c>
      <c r="AA701" s="38">
        <f>(VLOOKUP($A701,'The List'!$B1:$AR730,39,FALSE)-AVERAGE('The List'!AN2:AN730))/STDEV('The List'!AN2:AN730)</f>
        <v>2.4893273629846178</v>
      </c>
      <c r="AB701" s="38">
        <f>(VLOOKUP($A701,'The List'!$B1:$AR730,40,FALSE)-AVERAGE('The List'!AO2:AO730))/STDEV('The List'!AO2:AO730)</f>
        <v>1.6202356223372971</v>
      </c>
      <c r="AC701" s="38">
        <f>(VLOOKUP($A701,'The List'!$B1:$AR730,42,FALSE)-AVERAGE('The List'!AQ2:AQ730))/STDEV('The List'!AQ2:AQ730)</f>
        <v>2.4819840006157832</v>
      </c>
      <c r="AD701" s="38">
        <f>(VLOOKUP($A701,'The List'!$B1:$AR730,43,FALSE)-AVERAGE('The List'!AR2:AR730))/STDEV('The List'!AR2:AR730)*-1</f>
        <v>2.2633710082342984</v>
      </c>
      <c r="AE701" s="38"/>
    </row>
    <row r="702" spans="1:31" ht="21.2" customHeight="1">
      <c r="A702" s="8" t="s">
        <v>793</v>
      </c>
      <c r="B702" s="34" t="str">
        <f>VLOOKUP(A702,'Player Data'!A1:B734,2,FALSE)</f>
        <v>NYI</v>
      </c>
      <c r="C702" s="36">
        <f>(W702*Settings!$C$29)+(X702*Settings!$C$21)+(Y702*Settings!$C$22)+(AA702*Settings!$C$24)+(AB702*Settings!$C$25)+(Z702*Settings!$C$23)+(AC702*Settings!$C$26)+(AD702*Settings!$C$28)</f>
        <v>-1.8245775283859678</v>
      </c>
      <c r="D702" s="40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>
        <f>(VLOOKUP($A702,'The List'!$B1:$AR730,35,FALSE)-AVERAGE('The List'!AJ2:AJ730))/STDEV('The List'!AJ2:AJ730)</f>
        <v>-0.91777161628715875</v>
      </c>
      <c r="X702" s="38">
        <f>(VLOOKUP($A702,'The List'!$B1:$AR730,36,FALSE)-AVERAGE('The List'!AK2:AK730))/STDEV('The List'!AK2:AK730)</f>
        <v>-0.89750419153871275</v>
      </c>
      <c r="Y702" s="38">
        <f>(VLOOKUP($A702,'The List'!$B1:$AR730,37,FALSE)-AVERAGE('The List'!AL2:AL730))/STDEV('The List'!AL2:AL730)*-1</f>
        <v>0.72513512885153653</v>
      </c>
      <c r="Z702" s="38">
        <f>(VLOOKUP($A702,'The List'!$B1:$AR730,38,FALSE)-AVERAGE('The List'!AM2:AM730))/STDEV('The List'!AM2:AM730)</f>
        <v>-0.91777161628715875</v>
      </c>
      <c r="AA702" s="38">
        <f>(VLOOKUP($A702,'The List'!$B1:$AR730,39,FALSE)-AVERAGE('The List'!AN2:AN730))/STDEV('The List'!AN2:AN730)</f>
        <v>-0.73336226472268506</v>
      </c>
      <c r="AB702" s="38">
        <f>(VLOOKUP($A702,'The List'!$B1:$AR730,40,FALSE)-AVERAGE('The List'!AO2:AO730))/STDEV('The List'!AO2:AO730)</f>
        <v>-0.92707333684725501</v>
      </c>
      <c r="AC702" s="38">
        <f>(VLOOKUP($A702,'The List'!$B1:$AR730,42,FALSE)-AVERAGE('The List'!AQ2:AQ730))/STDEV('The List'!AQ2:AQ730)</f>
        <v>-0.48989422194990634</v>
      </c>
      <c r="AD702" s="38">
        <f>(VLOOKUP($A702,'The List'!$B1:$AR730,43,FALSE)-AVERAGE('The List'!AR2:AR730))/STDEV('The List'!AR2:AR730)*-1</f>
        <v>-0.27860462020873944</v>
      </c>
      <c r="AE702" s="38"/>
    </row>
    <row r="703" spans="1:31" ht="21.2" customHeight="1">
      <c r="A703" s="8" t="s">
        <v>130</v>
      </c>
      <c r="B703" s="34" t="str">
        <f>VLOOKUP(A703,'Player Data'!A1:B734,2,FALSE)</f>
        <v>NYR</v>
      </c>
      <c r="C703" s="36">
        <f>(W703*Settings!$C$29)+(X703*Settings!$C$21)+(Y703*Settings!$C$22)+(AA703*Settings!$C$24)+(AB703*Settings!$C$25)+(Z703*Settings!$C$23)+(AC703*Settings!$C$26)+(AD703*Settings!$C$28)</f>
        <v>3.464178384051916</v>
      </c>
      <c r="D703" s="40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>
        <f>(VLOOKUP($A703,'The List'!$B1:$AR730,35,FALSE)-AVERAGE('The List'!AJ2:AJ730))/STDEV('The List'!AJ2:AJ730)</f>
        <v>1.3727353235064337</v>
      </c>
      <c r="X703" s="38">
        <f>(VLOOKUP($A703,'The List'!$B1:$AR730,36,FALSE)-AVERAGE('The List'!AK2:AK730))/STDEV('The List'!AK2:AK730)</f>
        <v>2.0632748913264289</v>
      </c>
      <c r="Y703" s="38">
        <f>(VLOOKUP($A703,'The List'!$B1:$AR730,37,FALSE)-AVERAGE('The List'!AL2:AL730))/STDEV('The List'!AL2:AL730)*-1</f>
        <v>-3.6426044427964035E-3</v>
      </c>
      <c r="Z703" s="38">
        <f>(VLOOKUP($A703,'The List'!$B1:$AR730,38,FALSE)-AVERAGE('The List'!AM2:AM730))/STDEV('The List'!AM2:AM730)</f>
        <v>1.3727353235064337</v>
      </c>
      <c r="AA703" s="38">
        <f>(VLOOKUP($A703,'The List'!$B1:$AR730,39,FALSE)-AVERAGE('The List'!AN2:AN730))/STDEV('The List'!AN2:AN730)</f>
        <v>2.195913738842632</v>
      </c>
      <c r="AB703" s="38">
        <f>(VLOOKUP($A703,'The List'!$B1:$AR730,40,FALSE)-AVERAGE('The List'!AO2:AO730))/STDEV('The List'!AO2:AO730)</f>
        <v>1.4009034927254873</v>
      </c>
      <c r="AC703" s="38">
        <f>(VLOOKUP($A703,'The List'!$B1:$AR730,42,FALSE)-AVERAGE('The List'!AQ2:AQ730))/STDEV('The List'!AQ2:AQ730)</f>
        <v>2.7094812771815677</v>
      </c>
      <c r="AD703" s="38">
        <f>(VLOOKUP($A703,'The List'!$B1:$AR730,43,FALSE)-AVERAGE('The List'!AR2:AR730))/STDEV('The List'!AR2:AR730)*-1</f>
        <v>2.3647978427199821</v>
      </c>
      <c r="AE703" s="38"/>
    </row>
    <row r="704" spans="1:31" ht="21.2" customHeight="1">
      <c r="A704" s="8" t="s">
        <v>771</v>
      </c>
      <c r="B704" s="34" t="str">
        <f>VLOOKUP(A704,'Player Data'!A1:B734,2,FALSE)</f>
        <v>NYR</v>
      </c>
      <c r="C704" s="36">
        <f>(W704*Settings!$C$29)+(X704*Settings!$C$21)+(Y704*Settings!$C$22)+(AA704*Settings!$C$24)+(AB704*Settings!$C$25)+(Z704*Settings!$C$23)+(AC704*Settings!$C$26)+(AD704*Settings!$C$28)</f>
        <v>-1.1560242231456963</v>
      </c>
      <c r="D704" s="40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>
        <f>(VLOOKUP($A704,'The List'!$B1:$AR730,35,FALSE)-AVERAGE('The List'!AJ2:AJ730))/STDEV('The List'!AJ2:AJ730)</f>
        <v>-0.66327084519898183</v>
      </c>
      <c r="X704" s="38">
        <f>(VLOOKUP($A704,'The List'!$B1:$AR730,36,FALSE)-AVERAGE('The List'!AK2:AK730))/STDEV('The List'!AK2:AK730)</f>
        <v>-0.46332317473567453</v>
      </c>
      <c r="Y704" s="38">
        <f>(VLOOKUP($A704,'The List'!$B1:$AR730,37,FALSE)-AVERAGE('The List'!AL2:AL730))/STDEV('The List'!AL2:AL730)*-1</f>
        <v>0.80192147932685032</v>
      </c>
      <c r="Z704" s="38">
        <f>(VLOOKUP($A704,'The List'!$B1:$AR730,38,FALSE)-AVERAGE('The List'!AM2:AM730))/STDEV('The List'!AM2:AM730)</f>
        <v>-0.66327084519898183</v>
      </c>
      <c r="AA704" s="38">
        <f>(VLOOKUP($A704,'The List'!$B1:$AR730,39,FALSE)-AVERAGE('The List'!AN2:AN730))/STDEV('The List'!AN2:AN730)</f>
        <v>-0.8405574006532105</v>
      </c>
      <c r="AB704" s="38">
        <f>(VLOOKUP($A704,'The List'!$B1:$AR730,40,FALSE)-AVERAGE('The List'!AO2:AO730))/STDEV('The List'!AO2:AO730)</f>
        <v>-0.69270104841002178</v>
      </c>
      <c r="AC704" s="38">
        <f>(VLOOKUP($A704,'The List'!$B1:$AR730,42,FALSE)-AVERAGE('The List'!AQ2:AQ730))/STDEV('The List'!AQ2:AQ730)</f>
        <v>-1.5158432832127542</v>
      </c>
      <c r="AD704" s="38">
        <f>(VLOOKUP($A704,'The List'!$B1:$AR730,43,FALSE)-AVERAGE('The List'!AR2:AR730))/STDEV('The List'!AR2:AR730)*-1</f>
        <v>-1.1172661307037766</v>
      </c>
      <c r="AE704" s="38"/>
    </row>
    <row r="705" spans="1:31" ht="21.2" customHeight="1">
      <c r="A705" s="8" t="s">
        <v>361</v>
      </c>
      <c r="B705" s="34" t="str">
        <f>VLOOKUP(A705,'Player Data'!A1:B734,2,FALSE)</f>
        <v>OTT</v>
      </c>
      <c r="C705" s="36">
        <f>(W705*Settings!$C$29)+(X705*Settings!$C$21)+(Y705*Settings!$C$22)+(AA705*Settings!$C$24)+(AB705*Settings!$C$25)+(Z705*Settings!$C$23)+(AC705*Settings!$C$26)+(AD705*Settings!$C$28)</f>
        <v>1.1937284377781698</v>
      </c>
      <c r="D705" s="40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>
        <f>(VLOOKUP($A705,'The List'!$B1:$AR730,35,FALSE)-AVERAGE('The List'!AJ2:AJ730))/STDEV('The List'!AJ2:AJ730)</f>
        <v>0.60923301024190291</v>
      </c>
      <c r="X705" s="38">
        <f>(VLOOKUP($A705,'The List'!$B1:$AR730,36,FALSE)-AVERAGE('The List'!AK2:AK730))/STDEV('The List'!AK2:AK730)</f>
        <v>0.6240604928070661</v>
      </c>
      <c r="Y705" s="38">
        <f>(VLOOKUP($A705,'The List'!$B1:$AR730,37,FALSE)-AVERAGE('The List'!AL2:AL730))/STDEV('The List'!AL2:AL730)*-1</f>
        <v>-0.43894802286966295</v>
      </c>
      <c r="Z705" s="38">
        <f>(VLOOKUP($A705,'The List'!$B1:$AR730,38,FALSE)-AVERAGE('The List'!AM2:AM730))/STDEV('The List'!AM2:AM730)</f>
        <v>0.60923301024190291</v>
      </c>
      <c r="AA705" s="38">
        <f>(VLOOKUP($A705,'The List'!$B1:$AR730,39,FALSE)-AVERAGE('The List'!AN2:AN730))/STDEV('The List'!AN2:AN730)</f>
        <v>0.38235344044577291</v>
      </c>
      <c r="AB705" s="38">
        <f>(VLOOKUP($A705,'The List'!$B1:$AR730,40,FALSE)-AVERAGE('The List'!AO2:AO730))/STDEV('The List'!AO2:AO730)</f>
        <v>0.56966794497110373</v>
      </c>
      <c r="AC705" s="38">
        <f>(VLOOKUP($A705,'The List'!$B1:$AR730,42,FALSE)-AVERAGE('The List'!AQ2:AQ730))/STDEV('The List'!AQ2:AQ730)</f>
        <v>0.14694942265061137</v>
      </c>
      <c r="AD705" s="38">
        <f>(VLOOKUP($A705,'The List'!$B1:$AR730,43,FALSE)-AVERAGE('The List'!AR2:AR730))/STDEV('The List'!AR2:AR730)*-1</f>
        <v>0.26984469753132623</v>
      </c>
      <c r="AE705" s="38"/>
    </row>
    <row r="706" spans="1:31" ht="21.2" customHeight="1">
      <c r="A706" s="8" t="s">
        <v>543</v>
      </c>
      <c r="B706" s="34" t="str">
        <f>VLOOKUP(A706,'Player Data'!A1:B734,2,FALSE)</f>
        <v>OTT</v>
      </c>
      <c r="C706" s="36">
        <f>(W706*Settings!$C$29)+(X706*Settings!$C$21)+(Y706*Settings!$C$22)+(AA706*Settings!$C$24)+(AB706*Settings!$C$25)+(Z706*Settings!$C$23)+(AC706*Settings!$C$26)+(AD706*Settings!$C$28)</f>
        <v>1.4582879375380865E-2</v>
      </c>
      <c r="D706" s="40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>
        <f>(VLOOKUP($A706,'The List'!$B1:$AR730,35,FALSE)-AVERAGE('The List'!AJ2:AJ730))/STDEV('The List'!AJ2:AJ730)</f>
        <v>-2.7018917478539468E-2</v>
      </c>
      <c r="X706" s="38">
        <f>(VLOOKUP($A706,'The List'!$B1:$AR730,36,FALSE)-AVERAGE('The List'!AK2:AK730))/STDEV('The List'!AK2:AK730)</f>
        <v>6.4726204708684842E-2</v>
      </c>
      <c r="Y706" s="38">
        <f>(VLOOKUP($A706,'The List'!$B1:$AR730,37,FALSE)-AVERAGE('The List'!AL2:AL730))/STDEV('The List'!AL2:AL730)*-1</f>
        <v>0.15802998890739561</v>
      </c>
      <c r="Z706" s="38">
        <f>(VLOOKUP($A706,'The List'!$B1:$AR730,38,FALSE)-AVERAGE('The List'!AM2:AM730))/STDEV('The List'!AM2:AM730)</f>
        <v>-2.7018917478539468E-2</v>
      </c>
      <c r="AA706" s="38">
        <f>(VLOOKUP($A706,'The List'!$B1:$AR730,39,FALSE)-AVERAGE('The List'!AN2:AN730))/STDEV('The List'!AN2:AN730)</f>
        <v>2.313990483833369E-2</v>
      </c>
      <c r="AB706" s="38">
        <f>(VLOOKUP($A706,'The List'!$B1:$AR730,40,FALSE)-AVERAGE('The List'!AO2:AO730))/STDEV('The List'!AO2:AO730)</f>
        <v>-5.0143325333303977E-2</v>
      </c>
      <c r="AC706" s="38">
        <f>(VLOOKUP($A706,'The List'!$B1:$AR730,42,FALSE)-AVERAGE('The List'!AQ2:AQ730))/STDEV('The List'!AQ2:AQ730)</f>
        <v>0.28916081574309305</v>
      </c>
      <c r="AD706" s="38">
        <f>(VLOOKUP($A706,'The List'!$B1:$AR730,43,FALSE)-AVERAGE('The List'!AR2:AR730))/STDEV('The List'!AR2:AR730)*-1</f>
        <v>0.39145166929773267</v>
      </c>
      <c r="AE706" s="38"/>
    </row>
    <row r="707" spans="1:31" ht="21.2" customHeight="1">
      <c r="A707" s="8" t="s">
        <v>310</v>
      </c>
      <c r="B707" s="34" t="str">
        <f>VLOOKUP(A707,'Player Data'!A1:B734,2,FALSE)</f>
        <v>PHI</v>
      </c>
      <c r="C707" s="36">
        <f>(W707*Settings!$C$29)+(X707*Settings!$C$21)+(Y707*Settings!$C$22)+(AA707*Settings!$C$24)+(AB707*Settings!$C$25)+(Z707*Settings!$C$23)+(AC707*Settings!$C$26)+(AD707*Settings!$C$28)</f>
        <v>0.96537791431035502</v>
      </c>
      <c r="D707" s="40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>
        <f>(VLOOKUP($A707,'The List'!$B1:$AR730,35,FALSE)-AVERAGE('The List'!AJ2:AJ730))/STDEV('The List'!AJ2:AJ730)</f>
        <v>0.86373378133007983</v>
      </c>
      <c r="X707" s="38">
        <f>(VLOOKUP($A707,'The List'!$B1:$AR730,36,FALSE)-AVERAGE('The List'!AK2:AK730))/STDEV('The List'!AK2:AK730)</f>
        <v>7.9874335941162153E-2</v>
      </c>
      <c r="Y707" s="38">
        <f>(VLOOKUP($A707,'The List'!$B1:$AR730,37,FALSE)-AVERAGE('The List'!AL2:AL730))/STDEV('The List'!AL2:AL730)*-1</f>
        <v>-1.8292782305383901</v>
      </c>
      <c r="Z707" s="38">
        <f>(VLOOKUP($A707,'The List'!$B1:$AR730,38,FALSE)-AVERAGE('The List'!AM2:AM730))/STDEV('The List'!AM2:AM730)</f>
        <v>0.86373378133007983</v>
      </c>
      <c r="AA707" s="38">
        <f>(VLOOKUP($A707,'The List'!$B1:$AR730,39,FALSE)-AVERAGE('The List'!AN2:AN730))/STDEV('The List'!AN2:AN730)</f>
        <v>0.60468149852494357</v>
      </c>
      <c r="AB707" s="38">
        <f>(VLOOKUP($A707,'The List'!$B1:$AR730,40,FALSE)-AVERAGE('The List'!AO2:AO730))/STDEV('The List'!AO2:AO730)</f>
        <v>0.88550357836919291</v>
      </c>
      <c r="AC707" s="38">
        <f>(VLOOKUP($A707,'The List'!$B1:$AR730,42,FALSE)-AVERAGE('The List'!AQ2:AQ730))/STDEV('The List'!AQ2:AQ730)</f>
        <v>0.39743243526004268</v>
      </c>
      <c r="AD707" s="38">
        <f>(VLOOKUP($A707,'The List'!$B1:$AR730,43,FALSE)-AVERAGE('The List'!AR2:AR730))/STDEV('The List'!AR2:AR730)*-1</f>
        <v>0.19754039020140293</v>
      </c>
      <c r="AE707" s="38"/>
    </row>
    <row r="708" spans="1:31" ht="21.2" customHeight="1">
      <c r="A708" s="8" t="s">
        <v>773</v>
      </c>
      <c r="B708" s="34" t="str">
        <f>VLOOKUP(A708,'Player Data'!A1:B734,2,FALSE)</f>
        <v>PHI</v>
      </c>
      <c r="C708" s="36">
        <f>(W708*Settings!$C$29)+(X708*Settings!$C$21)+(Y708*Settings!$C$22)+(AA708*Settings!$C$24)+(AB708*Settings!$C$25)+(Z708*Settings!$C$23)+(AC708*Settings!$C$26)+(AD708*Settings!$C$28)</f>
        <v>-1.5915124010553607</v>
      </c>
      <c r="D708" s="40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>
        <f>(VLOOKUP($A708,'The List'!$B1:$AR730,35,FALSE)-AVERAGE('The List'!AJ2:AJ730))/STDEV('The List'!AJ2:AJ730)</f>
        <v>-0.66327084519898183</v>
      </c>
      <c r="X708" s="38">
        <f>(VLOOKUP($A708,'The List'!$B1:$AR730,36,FALSE)-AVERAGE('The List'!AK2:AK730))/STDEV('The List'!AK2:AK730)</f>
        <v>-0.95416799985083478</v>
      </c>
      <c r="Y708" s="38">
        <f>(VLOOKUP($A708,'The List'!$B1:$AR730,37,FALSE)-AVERAGE('The List'!AL2:AL730))/STDEV('The List'!AL2:AL730)*-1</f>
        <v>6.5872080096452137E-2</v>
      </c>
      <c r="Z708" s="38">
        <f>(VLOOKUP($A708,'The List'!$B1:$AR730,38,FALSE)-AVERAGE('The List'!AM2:AM730))/STDEV('The List'!AM2:AM730)</f>
        <v>-0.66327084519898183</v>
      </c>
      <c r="AA708" s="38">
        <f>(VLOOKUP($A708,'The List'!$B1:$AR730,39,FALSE)-AVERAGE('The List'!AN2:AN730))/STDEV('The List'!AN2:AN730)</f>
        <v>-0.84466943521705373</v>
      </c>
      <c r="AB708" s="38">
        <f>(VLOOKUP($A708,'The List'!$B1:$AR730,40,FALSE)-AVERAGE('The List'!AO2:AO730))/STDEV('The List'!AO2:AO730)</f>
        <v>-0.63734440120452607</v>
      </c>
      <c r="AC708" s="38">
        <f>(VLOOKUP($A708,'The List'!$B1:$AR730,42,FALSE)-AVERAGE('The List'!AQ2:AQ730))/STDEV('The List'!AQ2:AQ730)</f>
        <v>-0.94466053621007062</v>
      </c>
      <c r="AD708" s="38">
        <f>(VLOOKUP($A708,'The List'!$B1:$AR730,43,FALSE)-AVERAGE('The List'!AR2:AR730))/STDEV('The List'!AR2:AR730)*-1</f>
        <v>-1.1313808798714153</v>
      </c>
      <c r="AE708" s="38"/>
    </row>
    <row r="709" spans="1:31" ht="21.2" customHeight="1">
      <c r="A709" s="8" t="s">
        <v>829</v>
      </c>
      <c r="B709" s="34" t="str">
        <f>VLOOKUP(A709,'Player Data'!A1:B734,2,FALSE)</f>
        <v>PHI</v>
      </c>
      <c r="C709" s="36">
        <f>(W709*Settings!$C$29)+(X709*Settings!$C$21)+(Y709*Settings!$C$22)+(AA709*Settings!$C$24)+(AB709*Settings!$C$25)+(Z709*Settings!$C$23)+(AC709*Settings!$C$26)+(AD709*Settings!$C$28)</f>
        <v>-3.0494229753074489</v>
      </c>
      <c r="D709" s="40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>
        <f>(VLOOKUP($A709,'The List'!$B1:$AR730,35,FALSE)-AVERAGE('The List'!AJ2:AJ730))/STDEV('The List'!AJ2:AJ730)</f>
        <v>-1.5540235440076011</v>
      </c>
      <c r="X709" s="38">
        <f>(VLOOKUP($A709,'The List'!$B1:$AR730,36,FALSE)-AVERAGE('The List'!AK2:AK730))/STDEV('The List'!AK2:AK730)</f>
        <v>-1.5183703595087337</v>
      </c>
      <c r="Y709" s="38">
        <f>(VLOOKUP($A709,'The List'!$B1:$AR730,37,FALSE)-AVERAGE('The List'!AL2:AL730))/STDEV('The List'!AL2:AL730)*-1</f>
        <v>1.2298426288585842</v>
      </c>
      <c r="Z709" s="38">
        <f>(VLOOKUP($A709,'The List'!$B1:$AR730,38,FALSE)-AVERAGE('The List'!AM2:AM730))/STDEV('The List'!AM2:AM730)</f>
        <v>-1.5540235440076011</v>
      </c>
      <c r="AA709" s="38">
        <f>(VLOOKUP($A709,'The List'!$B1:$AR730,39,FALSE)-AVERAGE('The List'!AN2:AN730))/STDEV('The List'!AN2:AN730)</f>
        <v>-1.2352229858166102</v>
      </c>
      <c r="AB709" s="38">
        <f>(VLOOKUP($A709,'The List'!$B1:$AR730,40,FALSE)-AVERAGE('The List'!AO2:AO730))/STDEV('The List'!AO2:AO730)</f>
        <v>-1.5310526157987154</v>
      </c>
      <c r="AC709" s="38">
        <f>(VLOOKUP($A709,'The List'!$B1:$AR730,42,FALSE)-AVERAGE('The List'!AQ2:AQ730))/STDEV('The List'!AQ2:AQ730)</f>
        <v>-1.4631818412744737</v>
      </c>
      <c r="AD709" s="38">
        <f>(VLOOKUP($A709,'The List'!$B1:$AR730,43,FALSE)-AVERAGE('The List'!AR2:AR730))/STDEV('The List'!AR2:AR730)*-1</f>
        <v>-1.5887336105952228</v>
      </c>
      <c r="AE709" s="38"/>
    </row>
    <row r="710" spans="1:31" ht="21.2" customHeight="1">
      <c r="A710" s="8" t="s">
        <v>200</v>
      </c>
      <c r="B710" s="34" t="str">
        <f>VLOOKUP(A710,'Player Data'!A1:B734,2,FALSE)</f>
        <v>PIT</v>
      </c>
      <c r="C710" s="36">
        <f>(W710*Settings!$C$29)+(X710*Settings!$C$21)+(Y710*Settings!$C$22)+(AA710*Settings!$C$24)+(AB710*Settings!$C$25)+(Z710*Settings!$C$23)+(AC710*Settings!$C$26)+(AD710*Settings!$C$28)</f>
        <v>2.5292196067867474</v>
      </c>
      <c r="D710" s="40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>
        <f>(VLOOKUP($A710,'The List'!$B1:$AR730,35,FALSE)-AVERAGE('The List'!AJ2:AJ730))/STDEV('The List'!AJ2:AJ730)</f>
        <v>1.2454849379623452</v>
      </c>
      <c r="X710" s="38">
        <f>(VLOOKUP($A710,'The List'!$B1:$AR730,36,FALSE)-AVERAGE('The List'!AK2:AK730))/STDEV('The List'!AK2:AK730)</f>
        <v>1.3111345887401371</v>
      </c>
      <c r="Y710" s="38">
        <f>(VLOOKUP($A710,'The List'!$B1:$AR730,37,FALSE)-AVERAGE('The List'!AL2:AL730))/STDEV('The List'!AL2:AL730)*-1</f>
        <v>-0.84437301421410205</v>
      </c>
      <c r="Z710" s="38">
        <f>(VLOOKUP($A710,'The List'!$B1:$AR730,38,FALSE)-AVERAGE('The List'!AM2:AM730))/STDEV('The List'!AM2:AM730)</f>
        <v>1.2454849379623452</v>
      </c>
      <c r="AA710" s="38">
        <f>(VLOOKUP($A710,'The List'!$B1:$AR730,39,FALSE)-AVERAGE('The List'!AN2:AN730))/STDEV('The List'!AN2:AN730)</f>
        <v>1.5246350425341433</v>
      </c>
      <c r="AB710" s="38">
        <f>(VLOOKUP($A710,'The List'!$B1:$AR730,40,FALSE)-AVERAGE('The List'!AO2:AO730))/STDEV('The List'!AO2:AO730)</f>
        <v>1.2180850180466101</v>
      </c>
      <c r="AC710" s="38">
        <f>(VLOOKUP($A710,'The List'!$B1:$AR730,42,FALSE)-AVERAGE('The List'!AQ2:AQ730))/STDEV('The List'!AQ2:AQ730)</f>
        <v>1.4507368704316841</v>
      </c>
      <c r="AD710" s="38">
        <f>(VLOOKUP($A710,'The List'!$B1:$AR730,43,FALSE)-AVERAGE('The List'!AR2:AR730))/STDEV('The List'!AR2:AR730)*-1</f>
        <v>1.3879073097890755</v>
      </c>
      <c r="AE710" s="38"/>
    </row>
    <row r="711" spans="1:31" ht="21.2" customHeight="1">
      <c r="A711" s="8" t="s">
        <v>745</v>
      </c>
      <c r="B711" s="34" t="str">
        <f>VLOOKUP(A711,'Player Data'!A1:B734,2,FALSE)</f>
        <v>PIT</v>
      </c>
      <c r="C711" s="36">
        <f>(W711*Settings!$C$29)+(X711*Settings!$C$21)+(Y711*Settings!$C$22)+(AA711*Settings!$C$24)+(AB711*Settings!$C$25)+(Z711*Settings!$C$23)+(AC711*Settings!$C$26)+(AD711*Settings!$C$28)</f>
        <v>-1.2370579074477557</v>
      </c>
      <c r="D711" s="40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>
        <f>(VLOOKUP($A711,'The List'!$B1:$AR730,35,FALSE)-AVERAGE('The List'!AJ2:AJ730))/STDEV('The List'!AJ2:AJ730)</f>
        <v>-0.66327084519898183</v>
      </c>
      <c r="X711" s="38">
        <f>(VLOOKUP($A711,'The List'!$B1:$AR730,36,FALSE)-AVERAGE('The List'!AK2:AK730))/STDEV('The List'!AK2:AK730)</f>
        <v>-0.5582072603553192</v>
      </c>
      <c r="Y711" s="38">
        <f>(VLOOKUP($A711,'The List'!$B1:$AR730,37,FALSE)-AVERAGE('The List'!AL2:AL730))/STDEV('The List'!AL2:AL730)*-1</f>
        <v>0.65963746074627405</v>
      </c>
      <c r="Z711" s="38">
        <f>(VLOOKUP($A711,'The List'!$B1:$AR730,38,FALSE)-AVERAGE('The List'!AM2:AM730))/STDEV('The List'!AM2:AM730)</f>
        <v>-0.66327084519898183</v>
      </c>
      <c r="AA711" s="38">
        <f>(VLOOKUP($A711,'The List'!$B1:$AR730,39,FALSE)-AVERAGE('The List'!AN2:AN730))/STDEV('The List'!AN2:AN730)</f>
        <v>-0.56121515248233989</v>
      </c>
      <c r="AB711" s="38">
        <f>(VLOOKUP($A711,'The List'!$B1:$AR730,40,FALSE)-AVERAGE('The List'!AO2:AO730))/STDEV('The List'!AO2:AO730)</f>
        <v>-0.67885064709243637</v>
      </c>
      <c r="AC711" s="38">
        <f>(VLOOKUP($A711,'The List'!$B1:$AR730,42,FALSE)-AVERAGE('The List'!AQ2:AQ730))/STDEV('The List'!AQ2:AQ730)</f>
        <v>-0.35802941689637213</v>
      </c>
      <c r="AD711" s="38">
        <f>(VLOOKUP($A711,'The List'!$B1:$AR730,43,FALSE)-AVERAGE('The List'!AR2:AR730))/STDEV('The List'!AR2:AR730)*-1</f>
        <v>-0.15841092079780791</v>
      </c>
      <c r="AE711" s="38"/>
    </row>
    <row r="712" spans="1:31" ht="21.2" customHeight="1">
      <c r="A712" s="8" t="s">
        <v>355</v>
      </c>
      <c r="B712" s="34" t="str">
        <f>VLOOKUP(A712,'Player Data'!A1:B734,2,FALSE)</f>
        <v>SEA</v>
      </c>
      <c r="C712" s="36">
        <f>(W712*Settings!$C$29)+(X712*Settings!$C$21)+(Y712*Settings!$C$22)+(AA712*Settings!$C$24)+(AB712*Settings!$C$25)+(Z712*Settings!$C$23)+(AC712*Settings!$C$26)+(AD712*Settings!$C$28)</f>
        <v>1.4298859441628888</v>
      </c>
      <c r="D712" s="40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>
        <f>(VLOOKUP($A712,'The List'!$B1:$AR730,35,FALSE)-AVERAGE('The List'!AJ2:AJ730))/STDEV('The List'!AJ2:AJ730)</f>
        <v>0.80010858855803557</v>
      </c>
      <c r="X712" s="38">
        <f>(VLOOKUP($A712,'The List'!$B1:$AR730,36,FALSE)-AVERAGE('The List'!AK2:AK730))/STDEV('The List'!AK2:AK730)</f>
        <v>0.78164727544360846</v>
      </c>
      <c r="Y712" s="38">
        <f>(VLOOKUP($A712,'The List'!$B1:$AR730,37,FALSE)-AVERAGE('The List'!AL2:AL730))/STDEV('The List'!AL2:AL730)*-1</f>
        <v>-0.6333571493078568</v>
      </c>
      <c r="Z712" s="38">
        <f>(VLOOKUP($A712,'The List'!$B1:$AR730,38,FALSE)-AVERAGE('The List'!AM2:AM730))/STDEV('The List'!AM2:AM730)</f>
        <v>0.80010858855803557</v>
      </c>
      <c r="AA712" s="38">
        <f>(VLOOKUP($A712,'The List'!$B1:$AR730,39,FALSE)-AVERAGE('The List'!AN2:AN730))/STDEV('The List'!AN2:AN730)</f>
        <v>0.52744485828121224</v>
      </c>
      <c r="AB712" s="38">
        <f>(VLOOKUP($A712,'The List'!$B1:$AR730,40,FALSE)-AVERAGE('The List'!AO2:AO730))/STDEV('The List'!AO2:AO730)</f>
        <v>0.64823866871928049</v>
      </c>
      <c r="AC712" s="38">
        <f>(VLOOKUP($A712,'The List'!$B1:$AR730,42,FALSE)-AVERAGE('The List'!AQ2:AQ730))/STDEV('The List'!AQ2:AQ730)</f>
        <v>-0.18477112305952836</v>
      </c>
      <c r="AD712" s="38">
        <f>(VLOOKUP($A712,'The List'!$B1:$AR730,43,FALSE)-AVERAGE('The List'!AR2:AR730))/STDEV('The List'!AR2:AR730)*-1</f>
        <v>0.48247017498796457</v>
      </c>
      <c r="AE712" s="38"/>
    </row>
    <row r="713" spans="1:31" ht="21.2" customHeight="1">
      <c r="A713" s="8" t="s">
        <v>812</v>
      </c>
      <c r="B713" s="34" t="str">
        <f>VLOOKUP(A713,'Player Data'!A1:B734,2,FALSE)</f>
        <v>SEA</v>
      </c>
      <c r="C713" s="36">
        <f>(W713*Settings!$C$29)+(X713*Settings!$C$21)+(Y713*Settings!$C$22)+(AA713*Settings!$C$24)+(AB713*Settings!$C$25)+(Z713*Settings!$C$23)+(AC713*Settings!$C$26)+(AD713*Settings!$C$28)</f>
        <v>-1.8507891490850734</v>
      </c>
      <c r="D713" s="40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>
        <f>(VLOOKUP($A713,'The List'!$B1:$AR730,35,FALSE)-AVERAGE('The List'!AJ2:AJ730))/STDEV('The List'!AJ2:AJ730)</f>
        <v>-0.91777161628715875</v>
      </c>
      <c r="X713" s="38">
        <f>(VLOOKUP($A713,'The List'!$B1:$AR730,36,FALSE)-AVERAGE('The List'!AK2:AK730))/STDEV('The List'!AK2:AK730)</f>
        <v>-0.86363628269093795</v>
      </c>
      <c r="Y713" s="38">
        <f>(VLOOKUP($A713,'The List'!$B1:$AR730,37,FALSE)-AVERAGE('The List'!AL2:AL730))/STDEV('The List'!AL2:AL730)*-1</f>
        <v>0.77592196144113534</v>
      </c>
      <c r="Z713" s="38">
        <f>(VLOOKUP($A713,'The List'!$B1:$AR730,38,FALSE)-AVERAGE('The List'!AM2:AM730))/STDEV('The List'!AM2:AM730)</f>
        <v>-0.91777161628715875</v>
      </c>
      <c r="AA713" s="38">
        <f>(VLOOKUP($A713,'The List'!$B1:$AR730,39,FALSE)-AVERAGE('The List'!AN2:AN730))/STDEV('The List'!AN2:AN730)</f>
        <v>-0.69727437577391382</v>
      </c>
      <c r="AB713" s="38">
        <f>(VLOOKUP($A713,'The List'!$B1:$AR730,40,FALSE)-AVERAGE('The List'!AO2:AO730))/STDEV('The List'!AO2:AO730)</f>
        <v>-0.98715286639413546</v>
      </c>
      <c r="AC713" s="38">
        <f>(VLOOKUP($A713,'The List'!$B1:$AR730,42,FALSE)-AVERAGE('The List'!AQ2:AQ730))/STDEV('The List'!AQ2:AQ730)</f>
        <v>-1.1017611414049913</v>
      </c>
      <c r="AD713" s="38">
        <f>(VLOOKUP($A713,'The List'!$B1:$AR730,43,FALSE)-AVERAGE('The List'!AR2:AR730))/STDEV('The List'!AR2:AR730)*-1</f>
        <v>-0.12995659911081495</v>
      </c>
      <c r="AE713" s="38"/>
    </row>
    <row r="714" spans="1:31" ht="21.2" customHeight="1">
      <c r="A714" s="8" t="s">
        <v>825</v>
      </c>
      <c r="B714" s="34" t="str">
        <f>VLOOKUP(A714,'Player Data'!A1:B734,2,FALSE)</f>
        <v>SEA</v>
      </c>
      <c r="C714" s="36">
        <f>(W714*Settings!$C$29)+(X714*Settings!$C$21)+(Y714*Settings!$C$22)+(AA714*Settings!$C$24)+(AB714*Settings!$C$25)+(Z714*Settings!$C$23)+(AC714*Settings!$C$26)+(AD714*Settings!$C$28)</f>
        <v>-2.3924408381179418</v>
      </c>
      <c r="D714" s="40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>
        <f>(VLOOKUP($A714,'The List'!$B1:$AR730,35,FALSE)-AVERAGE('The List'!AJ2:AJ730))/STDEV('The List'!AJ2:AJ730)</f>
        <v>-1.2358975801473799</v>
      </c>
      <c r="X714" s="38">
        <f>(VLOOKUP($A714,'The List'!$B1:$AR730,36,FALSE)-AVERAGE('The List'!AK2:AK730))/STDEV('The List'!AK2:AK730)</f>
        <v>-1.1115148401535877</v>
      </c>
      <c r="Y714" s="38">
        <f>(VLOOKUP($A714,'The List'!$B1:$AR730,37,FALSE)-AVERAGE('The List'!AL2:AL730))/STDEV('The List'!AL2:AL730)*-1</f>
        <v>1.1220797393370241</v>
      </c>
      <c r="Z714" s="38">
        <f>(VLOOKUP($A714,'The List'!$B1:$AR730,38,FALSE)-AVERAGE('The List'!AM2:AM730))/STDEV('The List'!AM2:AM730)</f>
        <v>-1.2358975801473799</v>
      </c>
      <c r="AA714" s="38">
        <f>(VLOOKUP($A714,'The List'!$B1:$AR730,39,FALSE)-AVERAGE('The List'!AN2:AN730))/STDEV('The List'!AN2:AN730)</f>
        <v>-0.85395783084844146</v>
      </c>
      <c r="AB714" s="38">
        <f>(VLOOKUP($A714,'The List'!$B1:$AR730,40,FALSE)-AVERAGE('The List'!AO2:AO730))/STDEV('The List'!AO2:AO730)</f>
        <v>-1.2809259979643544</v>
      </c>
      <c r="AC714" s="38">
        <f>(VLOOKUP($A714,'The List'!$B1:$AR730,42,FALSE)-AVERAGE('The List'!AQ2:AQ730))/STDEV('The List'!AQ2:AQ730)</f>
        <v>-0.94209440994834281</v>
      </c>
      <c r="AD714" s="38">
        <f>(VLOOKUP($A714,'The List'!$B1:$AR730,43,FALSE)-AVERAGE('The List'!AR2:AR730))/STDEV('The List'!AR2:AR730)*-1</f>
        <v>4.9406959389198082E-4</v>
      </c>
      <c r="AE714" s="38"/>
    </row>
    <row r="715" spans="1:31" ht="21.2" customHeight="1">
      <c r="A715" s="8" t="s">
        <v>447</v>
      </c>
      <c r="B715" s="34" t="str">
        <f>VLOOKUP(A715,'Player Data'!A1:B734,2,FALSE)</f>
        <v>SJS</v>
      </c>
      <c r="C715" s="36">
        <f>(W715*Settings!$C$29)+(X715*Settings!$C$21)+(Y715*Settings!$C$22)+(AA715*Settings!$C$24)+(AB715*Settings!$C$25)+(Z715*Settings!$C$23)+(AC715*Settings!$C$26)+(AD715*Settings!$C$28)</f>
        <v>0.37987244605328713</v>
      </c>
      <c r="D715" s="40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>
        <f>(VLOOKUP($A715,'The List'!$B1:$AR730,35,FALSE)-AVERAGE('The List'!AJ2:AJ730))/STDEV('The List'!AJ2:AJ730)</f>
        <v>0.60923301024190291</v>
      </c>
      <c r="X715" s="38">
        <f>(VLOOKUP($A715,'The List'!$B1:$AR730,36,FALSE)-AVERAGE('The List'!AK2:AK730))/STDEV('The List'!AK2:AK730)</f>
        <v>-0.31775272160937423</v>
      </c>
      <c r="Y715" s="38">
        <f>(VLOOKUP($A715,'The List'!$B1:$AR730,37,FALSE)-AVERAGE('The List'!AL2:AL730))/STDEV('The List'!AL2:AL730)*-1</f>
        <v>-1.8512498648944415</v>
      </c>
      <c r="Z715" s="38">
        <f>(VLOOKUP($A715,'The List'!$B1:$AR730,38,FALSE)-AVERAGE('The List'!AM2:AM730))/STDEV('The List'!AM2:AM730)</f>
        <v>0.60923301024190291</v>
      </c>
      <c r="AA715" s="38">
        <f>(VLOOKUP($A715,'The List'!$B1:$AR730,39,FALSE)-AVERAGE('The List'!AN2:AN730))/STDEV('The List'!AN2:AN730)</f>
        <v>-0.25901320803115857</v>
      </c>
      <c r="AB715" s="38">
        <f>(VLOOKUP($A715,'The List'!$B1:$AR730,40,FALSE)-AVERAGE('The List'!AO2:AO730))/STDEV('The List'!AO2:AO730)</f>
        <v>0.69762516766266136</v>
      </c>
      <c r="AC715" s="38">
        <f>(VLOOKUP($A715,'The List'!$B1:$AR730,42,FALSE)-AVERAGE('The List'!AQ2:AQ730))/STDEV('The List'!AQ2:AQ730)</f>
        <v>-0.59785936633944292</v>
      </c>
      <c r="AD715" s="38">
        <f>(VLOOKUP($A715,'The List'!$B1:$AR730,43,FALSE)-AVERAGE('The List'!AR2:AR730))/STDEV('The List'!AR2:AR730)*-1</f>
        <v>-1.1200728845471088</v>
      </c>
      <c r="AE715" s="38"/>
    </row>
    <row r="716" spans="1:31" ht="21.2" customHeight="1">
      <c r="A716" s="8" t="s">
        <v>687</v>
      </c>
      <c r="B716" s="34" t="str">
        <f>VLOOKUP(A716,'Player Data'!A1:B734,2,FALSE)</f>
        <v>SJS</v>
      </c>
      <c r="C716" s="36">
        <f>(W716*Settings!$C$29)+(X716*Settings!$C$21)+(Y716*Settings!$C$22)+(AA716*Settings!$C$24)+(AB716*Settings!$C$25)+(Z716*Settings!$C$23)+(AC716*Settings!$C$26)+(AD716*Settings!$C$28)</f>
        <v>-0.97211205114022403</v>
      </c>
      <c r="D716" s="40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>
        <f>(VLOOKUP($A716,'The List'!$B1:$AR730,35,FALSE)-AVERAGE('The List'!AJ2:AJ730))/STDEV('The List'!AJ2:AJ730)</f>
        <v>-0.28151968856671639</v>
      </c>
      <c r="X716" s="38">
        <f>(VLOOKUP($A716,'The List'!$B1:$AR730,36,FALSE)-AVERAGE('The List'!AK2:AK730))/STDEV('The List'!AK2:AK730)</f>
        <v>-0.78042137427782066</v>
      </c>
      <c r="Y716" s="38">
        <f>(VLOOKUP($A716,'The List'!$B1:$AR730,37,FALSE)-AVERAGE('The List'!AL2:AL730))/STDEV('The List'!AL2:AL730)*-1</f>
        <v>-0.53502381661942777</v>
      </c>
      <c r="Z716" s="38">
        <f>(VLOOKUP($A716,'The List'!$B1:$AR730,38,FALSE)-AVERAGE('The List'!AM2:AM730))/STDEV('The List'!AM2:AM730)</f>
        <v>-0.28151968856671639</v>
      </c>
      <c r="AA716" s="38">
        <f>(VLOOKUP($A716,'The List'!$B1:$AR730,39,FALSE)-AVERAGE('The List'!AN2:AN730))/STDEV('The List'!AN2:AN730)</f>
        <v>-0.70583686648874278</v>
      </c>
      <c r="AB716" s="38">
        <f>(VLOOKUP($A716,'The List'!$B1:$AR730,40,FALSE)-AVERAGE('The List'!AO2:AO730))/STDEV('The List'!AO2:AO730)</f>
        <v>-0.1916906768624034</v>
      </c>
      <c r="AC716" s="38">
        <f>(VLOOKUP($A716,'The List'!$B1:$AR730,42,FALSE)-AVERAGE('The List'!AQ2:AQ730))/STDEV('The List'!AQ2:AQ730)</f>
        <v>-0.45226862171370091</v>
      </c>
      <c r="AD716" s="38">
        <f>(VLOOKUP($A716,'The List'!$B1:$AR730,43,FALSE)-AVERAGE('The List'!AR2:AR730))/STDEV('The List'!AR2:AR730)*-1</f>
        <v>-1.1444373356237469</v>
      </c>
      <c r="AE716" s="38"/>
    </row>
    <row r="717" spans="1:31" ht="21.2" customHeight="1">
      <c r="A717" s="8" t="s">
        <v>241</v>
      </c>
      <c r="B717" s="34" t="str">
        <f>VLOOKUP(A717,'Player Data'!A1:B734,2,FALSE)</f>
        <v>STL</v>
      </c>
      <c r="C717" s="36">
        <f>(W717*Settings!$C$29)+(X717*Settings!$C$21)+(Y717*Settings!$C$22)+(AA717*Settings!$C$24)+(AB717*Settings!$C$25)+(Z717*Settings!$C$23)+(AC717*Settings!$C$26)+(AD717*Settings!$C$28)</f>
        <v>2.4214631416697765</v>
      </c>
      <c r="D717" s="40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>
        <f>(VLOOKUP($A717,'The List'!$B1:$AR730,35,FALSE)-AVERAGE('The List'!AJ2:AJ730))/STDEV('The List'!AJ2:AJ730)</f>
        <v>1.6272360945946107</v>
      </c>
      <c r="X717" s="38">
        <f>(VLOOKUP($A717,'The List'!$B1:$AR730,36,FALSE)-AVERAGE('The List'!AK2:AK730))/STDEV('The List'!AK2:AK730)</f>
        <v>0.81241230402897935</v>
      </c>
      <c r="Y717" s="38">
        <f>(VLOOKUP($A717,'The List'!$B1:$AR730,37,FALSE)-AVERAGE('The List'!AL2:AL730))/STDEV('The List'!AL2:AL730)*-1</f>
        <v>-2.453673832586551</v>
      </c>
      <c r="Z717" s="38">
        <f>(VLOOKUP($A717,'The List'!$B1:$AR730,38,FALSE)-AVERAGE('The List'!AM2:AM730))/STDEV('The List'!AM2:AM730)</f>
        <v>1.6272360945946107</v>
      </c>
      <c r="AA717" s="38">
        <f>(VLOOKUP($A717,'The List'!$B1:$AR730,39,FALSE)-AVERAGE('The List'!AN2:AN730))/STDEV('The List'!AN2:AN730)</f>
        <v>0.75841048107794962</v>
      </c>
      <c r="AB717" s="38">
        <f>(VLOOKUP($A717,'The List'!$B1:$AR730,40,FALSE)-AVERAGE('The List'!AO2:AO730))/STDEV('The List'!AO2:AO730)</f>
        <v>1.609050837640797</v>
      </c>
      <c r="AC717" s="38">
        <f>(VLOOKUP($A717,'The List'!$B1:$AR730,42,FALSE)-AVERAGE('The List'!AQ2:AQ730))/STDEV('The List'!AQ2:AQ730)</f>
        <v>-0.26620109083229337</v>
      </c>
      <c r="AD717" s="38">
        <f>(VLOOKUP($A717,'The List'!$B1:$AR730,43,FALSE)-AVERAGE('The List'!AR2:AR730))/STDEV('The List'!AR2:AR730)*-1</f>
        <v>-0.29207585383476609</v>
      </c>
      <c r="AE717" s="38"/>
    </row>
    <row r="718" spans="1:31" ht="21.2" customHeight="1">
      <c r="A718" s="8" t="s">
        <v>803</v>
      </c>
      <c r="B718" s="34" t="str">
        <f>VLOOKUP(A718,'Player Data'!A1:B734,2,FALSE)</f>
        <v>STL</v>
      </c>
      <c r="C718" s="36">
        <f>(W718*Settings!$C$29)+(X718*Settings!$C$21)+(Y718*Settings!$C$22)+(AA718*Settings!$C$24)+(AB718*Settings!$C$25)+(Z718*Settings!$C$23)+(AC718*Settings!$C$26)+(AD718*Settings!$C$28)</f>
        <v>-1.9199198745436696</v>
      </c>
      <c r="D718" s="40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>
        <f>(VLOOKUP($A718,'The List'!$B1:$AR730,35,FALSE)-AVERAGE('The List'!AJ2:AJ730))/STDEV('The List'!AJ2:AJ730)</f>
        <v>-0.91777161628715875</v>
      </c>
      <c r="X718" s="38">
        <f>(VLOOKUP($A718,'The List'!$B1:$AR730,36,FALSE)-AVERAGE('The List'!AK2:AK730))/STDEV('The List'!AK2:AK730)</f>
        <v>-1.0201529311518449</v>
      </c>
      <c r="Y718" s="38">
        <f>(VLOOKUP($A718,'The List'!$B1:$AR730,37,FALSE)-AVERAGE('The List'!AL2:AL730))/STDEV('The List'!AL2:AL730)*-1</f>
        <v>0.54121645131952556</v>
      </c>
      <c r="Z718" s="38">
        <f>(VLOOKUP($A718,'The List'!$B1:$AR730,38,FALSE)-AVERAGE('The List'!AM2:AM730))/STDEV('The List'!AM2:AM730)</f>
        <v>-0.91777161628715875</v>
      </c>
      <c r="AA718" s="38">
        <f>(VLOOKUP($A718,'The List'!$B1:$AR730,39,FALSE)-AVERAGE('The List'!AN2:AN730))/STDEV('The List'!AN2:AN730)</f>
        <v>-0.90964268781365176</v>
      </c>
      <c r="AB718" s="38">
        <f>(VLOOKUP($A718,'The List'!$B1:$AR730,40,FALSE)-AVERAGE('The List'!AO2:AO730))/STDEV('The List'!AO2:AO730)</f>
        <v>-0.89976694339182461</v>
      </c>
      <c r="AC718" s="38">
        <f>(VLOOKUP($A718,'The List'!$B1:$AR730,42,FALSE)-AVERAGE('The List'!AQ2:AQ730))/STDEV('The List'!AQ2:AQ730)</f>
        <v>-0.90940466167840994</v>
      </c>
      <c r="AD718" s="38">
        <f>(VLOOKUP($A718,'The List'!$B1:$AR730,43,FALSE)-AVERAGE('The List'!AR2:AR730))/STDEV('The List'!AR2:AR730)*-1</f>
        <v>-1.0047134842648924</v>
      </c>
      <c r="AE718" s="38"/>
    </row>
    <row r="719" spans="1:31" ht="21.2" customHeight="1">
      <c r="A719" s="8" t="s">
        <v>282</v>
      </c>
      <c r="B719" s="34" t="str">
        <f>VLOOKUP(A719,'Player Data'!A1:B734,2,FALSE)</f>
        <v>TBL</v>
      </c>
      <c r="C719" s="36">
        <f>(W719*Settings!$C$29)+(X719*Settings!$C$21)+(Y719*Settings!$C$22)+(AA719*Settings!$C$24)+(AB719*Settings!$C$25)+(Z719*Settings!$C$23)+(AC719*Settings!$C$26)+(AD719*Settings!$C$28)</f>
        <v>1.2580547883083208</v>
      </c>
      <c r="D719" s="40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>
        <f>(VLOOKUP($A719,'The List'!$B1:$AR730,35,FALSE)-AVERAGE('The List'!AJ2:AJ730))/STDEV('The List'!AJ2:AJ730)</f>
        <v>0.48198262469781439</v>
      </c>
      <c r="X719" s="38">
        <f>(VLOOKUP($A719,'The List'!$B1:$AR730,36,FALSE)-AVERAGE('The List'!AK2:AK730))/STDEV('The List'!AK2:AK730)</f>
        <v>0.72049464330851731</v>
      </c>
      <c r="Y719" s="38">
        <f>(VLOOKUP($A719,'The List'!$B1:$AR730,37,FALSE)-AVERAGE('The List'!AL2:AL730))/STDEV('The List'!AL2:AL730)*-1</f>
        <v>-7.1933529603236028E-3</v>
      </c>
      <c r="Z719" s="38">
        <f>(VLOOKUP($A719,'The List'!$B1:$AR730,38,FALSE)-AVERAGE('The List'!AM2:AM730))/STDEV('The List'!AM2:AM730)</f>
        <v>0.48198262469781439</v>
      </c>
      <c r="AA719" s="38">
        <f>(VLOOKUP($A719,'The List'!$B1:$AR730,39,FALSE)-AVERAGE('The List'!AN2:AN730))/STDEV('The List'!AN2:AN730)</f>
        <v>0.89158484729697207</v>
      </c>
      <c r="AB719" s="38">
        <f>(VLOOKUP($A719,'The List'!$B1:$AR730,40,FALSE)-AVERAGE('The List'!AO2:AO730))/STDEV('The List'!AO2:AO730)</f>
        <v>0.53756014499980342</v>
      </c>
      <c r="AC719" s="38">
        <f>(VLOOKUP($A719,'The List'!$B1:$AR730,42,FALSE)-AVERAGE('The List'!AQ2:AQ730))/STDEV('The List'!AQ2:AQ730)</f>
        <v>1.8569837590855003</v>
      </c>
      <c r="AD719" s="38">
        <f>(VLOOKUP($A719,'The List'!$B1:$AR730,43,FALSE)-AVERAGE('The List'!AR2:AR730))/STDEV('The List'!AR2:AR730)*-1</f>
        <v>1.4292841994736849</v>
      </c>
      <c r="AE719" s="38"/>
    </row>
    <row r="720" spans="1:31" ht="21.2" customHeight="1">
      <c r="A720" s="8" t="s">
        <v>607</v>
      </c>
      <c r="B720" s="34" t="str">
        <f>VLOOKUP(A720,'Player Data'!A1:B734,2,FALSE)</f>
        <v>TBL</v>
      </c>
      <c r="C720" s="36">
        <f>(W720*Settings!$C$29)+(X720*Settings!$C$21)+(Y720*Settings!$C$22)+(AA720*Settings!$C$24)+(AB720*Settings!$C$25)+(Z720*Settings!$C$23)+(AC720*Settings!$C$26)+(AD720*Settings!$C$28)</f>
        <v>0.11854065839805565</v>
      </c>
      <c r="D720" s="40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>
        <f>(VLOOKUP($A720,'The List'!$B1:$AR730,35,FALSE)-AVERAGE('The List'!AJ2:AJ730))/STDEV('The List'!AJ2:AJ730)</f>
        <v>0.100231468065549</v>
      </c>
      <c r="X720" s="38">
        <f>(VLOOKUP($A720,'The List'!$B1:$AR730,36,FALSE)-AVERAGE('The List'!AK2:AK730))/STDEV('The List'!AK2:AK730)</f>
        <v>1.2799319151468928E-2</v>
      </c>
      <c r="Y720" s="38">
        <f>(VLOOKUP($A720,'The List'!$B1:$AR730,37,FALSE)-AVERAGE('The List'!AL2:AL730))/STDEV('The List'!AL2:AL730)*-1</f>
        <v>-0.20698353604659742</v>
      </c>
      <c r="Z720" s="38">
        <f>(VLOOKUP($A720,'The List'!$B1:$AR730,38,FALSE)-AVERAGE('The List'!AM2:AM730))/STDEV('The List'!AM2:AM730)</f>
        <v>0.100231468065549</v>
      </c>
      <c r="AA720" s="38">
        <f>(VLOOKUP($A720,'The List'!$B1:$AR730,39,FALSE)-AVERAGE('The List'!AN2:AN730))/STDEV('The List'!AN2:AN730)</f>
        <v>-0.64853087995514946</v>
      </c>
      <c r="AB720" s="38">
        <f>(VLOOKUP($A720,'The List'!$B1:$AR730,40,FALSE)-AVERAGE('The List'!AO2:AO730))/STDEV('The List'!AO2:AO730)</f>
        <v>0.10574133924658673</v>
      </c>
      <c r="AC720" s="38">
        <f>(VLOOKUP($A720,'The List'!$B1:$AR730,42,FALSE)-AVERAGE('The List'!AQ2:AQ730))/STDEV('The List'!AQ2:AQ730)</f>
        <v>-1.3043561416486111</v>
      </c>
      <c r="AD720" s="38">
        <f>(VLOOKUP($A720,'The List'!$B1:$AR730,43,FALSE)-AVERAGE('The List'!AR2:AR730))/STDEV('The List'!AR2:AR730)*-1</f>
        <v>-1.3397041533523808</v>
      </c>
      <c r="AE720" s="38"/>
    </row>
    <row r="721" spans="1:31" ht="21.2" customHeight="1">
      <c r="A721" s="8" t="s">
        <v>238</v>
      </c>
      <c r="B721" s="34" t="str">
        <f>VLOOKUP(A721,'Player Data'!A1:B734,2,FALSE)</f>
        <v>TOR</v>
      </c>
      <c r="C721" s="36">
        <f>(W721*Settings!$C$29)+(X721*Settings!$C$21)+(Y721*Settings!$C$22)+(AA721*Settings!$C$24)+(AB721*Settings!$C$25)+(Z721*Settings!$C$23)+(AC721*Settings!$C$26)+(AD721*Settings!$C$28)</f>
        <v>2.4376092606347135</v>
      </c>
      <c r="D721" s="40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>
        <f>(VLOOKUP($A721,'The List'!$B1:$AR730,35,FALSE)-AVERAGE('The List'!AJ2:AJ730))/STDEV('The List'!AJ2:AJ730)</f>
        <v>0.99098416687416824</v>
      </c>
      <c r="X721" s="38">
        <f>(VLOOKUP($A721,'The List'!$B1:$AR730,36,FALSE)-AVERAGE('The List'!AK2:AK730))/STDEV('The List'!AK2:AK730)</f>
        <v>1.4186999464312182</v>
      </c>
      <c r="Y721" s="38">
        <f>(VLOOKUP($A721,'The List'!$B1:$AR730,37,FALSE)-AVERAGE('The List'!AL2:AL730))/STDEV('The List'!AL2:AL730)*-1</f>
        <v>-0.1087802316546749</v>
      </c>
      <c r="Z721" s="38">
        <f>(VLOOKUP($A721,'The List'!$B1:$AR730,38,FALSE)-AVERAGE('The List'!AM2:AM730))/STDEV('The List'!AM2:AM730)</f>
        <v>0.99098416687416824</v>
      </c>
      <c r="AA721" s="38">
        <f>(VLOOKUP($A721,'The List'!$B1:$AR730,39,FALSE)-AVERAGE('The List'!AN2:AN730))/STDEV('The List'!AN2:AN730)</f>
        <v>0.82885096363549748</v>
      </c>
      <c r="AB721" s="38">
        <f>(VLOOKUP($A721,'The List'!$B1:$AR730,40,FALSE)-AVERAGE('The List'!AO2:AO730))/STDEV('The List'!AO2:AO730)</f>
        <v>1.0189093142034953</v>
      </c>
      <c r="AC721" s="38">
        <f>(VLOOKUP($A721,'The List'!$B1:$AR730,42,FALSE)-AVERAGE('The List'!AQ2:AQ730))/STDEV('The List'!AQ2:AQ730)</f>
        <v>0.84615551158667912</v>
      </c>
      <c r="AD721" s="38">
        <f>(VLOOKUP($A721,'The List'!$B1:$AR730,43,FALSE)-AVERAGE('The List'!AR2:AR730))/STDEV('The List'!AR2:AR730)*-1</f>
        <v>0.60077937633758338</v>
      </c>
      <c r="AE721" s="38"/>
    </row>
    <row r="722" spans="1:31" ht="21.2" customHeight="1">
      <c r="A722" s="8" t="s">
        <v>727</v>
      </c>
      <c r="B722" s="34" t="str">
        <f>VLOOKUP(A722,'Player Data'!A1:B734,2,FALSE)</f>
        <v>TOR</v>
      </c>
      <c r="C722" s="36">
        <f>(W722*Settings!$C$29)+(X722*Settings!$C$21)+(Y722*Settings!$C$22)+(AA722*Settings!$C$24)+(AB722*Settings!$C$25)+(Z722*Settings!$C$23)+(AC722*Settings!$C$26)+(AD722*Settings!$C$28)</f>
        <v>-1.044152656201232</v>
      </c>
      <c r="D722" s="40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>
        <f>(VLOOKUP($A722,'The List'!$B1:$AR730,35,FALSE)-AVERAGE('The List'!AJ2:AJ730))/STDEV('The List'!AJ2:AJ730)</f>
        <v>-0.66327084519898183</v>
      </c>
      <c r="X722" s="38">
        <f>(VLOOKUP($A722,'The List'!$B1:$AR730,36,FALSE)-AVERAGE('The List'!AK2:AK730))/STDEV('The List'!AK2:AK730)</f>
        <v>-0.39629658805690154</v>
      </c>
      <c r="Y722" s="38">
        <f>(VLOOKUP($A722,'The List'!$B1:$AR730,37,FALSE)-AVERAGE('The List'!AL2:AL730))/STDEV('The List'!AL2:AL730)*-1</f>
        <v>0.90243161273978845</v>
      </c>
      <c r="Z722" s="38">
        <f>(VLOOKUP($A722,'The List'!$B1:$AR730,38,FALSE)-AVERAGE('The List'!AM2:AM730))/STDEV('The List'!AM2:AM730)</f>
        <v>-0.66327084519898183</v>
      </c>
      <c r="AA722" s="38">
        <f>(VLOOKUP($A722,'The List'!$B1:$AR730,39,FALSE)-AVERAGE('The List'!AN2:AN730))/STDEV('The List'!AN2:AN730)</f>
        <v>-0.6239052150287886</v>
      </c>
      <c r="AB722" s="38">
        <f>(VLOOKUP($A722,'The List'!$B1:$AR730,40,FALSE)-AVERAGE('The List'!AO2:AO730))/STDEV('The List'!AO2:AO730)</f>
        <v>-0.64785606814433039</v>
      </c>
      <c r="AC722" s="38">
        <f>(VLOOKUP($A722,'The List'!$B1:$AR730,42,FALSE)-AVERAGE('The List'!AQ2:AQ730))/STDEV('The List'!AQ2:AQ730)</f>
        <v>-0.27093900638793672</v>
      </c>
      <c r="AD722" s="38">
        <f>(VLOOKUP($A722,'The List'!$B1:$AR730,43,FALSE)-AVERAGE('The List'!AR2:AR730))/STDEV('The List'!AR2:AR730)*-1</f>
        <v>-0.37359746517338449</v>
      </c>
      <c r="AE722" s="38"/>
    </row>
    <row r="723" spans="1:31" ht="21.2" customHeight="1">
      <c r="A723" s="8" t="s">
        <v>831</v>
      </c>
      <c r="B723" s="34" t="str">
        <f>VLOOKUP(A723,'Player Data'!A1:B734,2,FALSE)</f>
        <v>TOR</v>
      </c>
      <c r="C723" s="36">
        <f>(W723*Settings!$C$29)+(X723*Settings!$C$21)+(Y723*Settings!$C$22)+(AA723*Settings!$C$24)+(AB723*Settings!$C$25)+(Z723*Settings!$C$23)+(AC723*Settings!$C$26)+(AD723*Settings!$C$28)</f>
        <v>-3.0725494053036346</v>
      </c>
      <c r="D723" s="40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>
        <f>(VLOOKUP($A723,'The List'!$B1:$AR730,35,FALSE)-AVERAGE('The List'!AJ2:AJ730))/STDEV('The List'!AJ2:AJ730)</f>
        <v>-1.6812739295516896</v>
      </c>
      <c r="X723" s="38">
        <f>(VLOOKUP($A723,'The List'!$B1:$AR730,36,FALSE)-AVERAGE('The List'!AK2:AK730))/STDEV('The List'!AK2:AK730)</f>
        <v>-1.4108531780805413</v>
      </c>
      <c r="Y723" s="38">
        <f>(VLOOKUP($A723,'The List'!$B1:$AR730,37,FALSE)-AVERAGE('The List'!AL2:AL730))/STDEV('The List'!AL2:AL730)*-1</f>
        <v>1.6782169264748383</v>
      </c>
      <c r="Z723" s="38">
        <f>(VLOOKUP($A723,'The List'!$B1:$AR730,38,FALSE)-AVERAGE('The List'!AM2:AM730))/STDEV('The List'!AM2:AM730)</f>
        <v>-1.6812739295516896</v>
      </c>
      <c r="AA723" s="38">
        <f>(VLOOKUP($A723,'The List'!$B1:$AR730,39,FALSE)-AVERAGE('The List'!AN2:AN730))/STDEV('The List'!AN2:AN730)</f>
        <v>-1.2032943008023038</v>
      </c>
      <c r="AB723" s="38">
        <f>(VLOOKUP($A723,'The List'!$B1:$AR730,40,FALSE)-AVERAGE('The List'!AO2:AO730))/STDEV('The List'!AO2:AO730)</f>
        <v>-1.6616962272230933</v>
      </c>
      <c r="AC723" s="38">
        <f>(VLOOKUP($A723,'The List'!$B1:$AR730,42,FALSE)-AVERAGE('The List'!AQ2:AQ730))/STDEV('The List'!AQ2:AQ730)</f>
        <v>-0.85313341711878643</v>
      </c>
      <c r="AD723" s="38">
        <f>(VLOOKUP($A723,'The List'!$B1:$AR730,43,FALSE)-AVERAGE('The List'!AR2:AR730))/STDEV('The List'!AR2:AR730)*-1</f>
        <v>-0.88141192665848467</v>
      </c>
      <c r="AE723" s="38"/>
    </row>
    <row r="724" spans="1:31" ht="21.2" customHeight="1">
      <c r="A724" s="8" t="s">
        <v>178</v>
      </c>
      <c r="B724" s="34" t="str">
        <f>VLOOKUP(A724,'Player Data'!A1:B734,2,FALSE)</f>
        <v>VAN</v>
      </c>
      <c r="C724" s="36">
        <f>(W724*Settings!$C$29)+(X724*Settings!$C$21)+(Y724*Settings!$C$22)+(AA724*Settings!$C$24)+(AB724*Settings!$C$25)+(Z724*Settings!$C$23)+(AC724*Settings!$C$26)+(AD724*Settings!$C$28)</f>
        <v>2.7933322148167123</v>
      </c>
      <c r="D724" s="40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>
        <f>(VLOOKUP($A724,'The List'!$B1:$AR730,35,FALSE)-AVERAGE('The List'!AJ2:AJ730))/STDEV('The List'!AJ2:AJ730)</f>
        <v>1.3727353235064337</v>
      </c>
      <c r="X724" s="38">
        <f>(VLOOKUP($A724,'The List'!$B1:$AR730,36,FALSE)-AVERAGE('The List'!AK2:AK730))/STDEV('The List'!AK2:AK730)</f>
        <v>1.4142507767803716</v>
      </c>
      <c r="Y724" s="38">
        <f>(VLOOKUP($A724,'The List'!$B1:$AR730,37,FALSE)-AVERAGE('The List'!AL2:AL730))/STDEV('The List'!AL2:AL730)*-1</f>
        <v>-0.97689073736461551</v>
      </c>
      <c r="Z724" s="38">
        <f>(VLOOKUP($A724,'The List'!$B1:$AR730,38,FALSE)-AVERAGE('The List'!AM2:AM730))/STDEV('The List'!AM2:AM730)</f>
        <v>1.3727353235064337</v>
      </c>
      <c r="AA724" s="38">
        <f>(VLOOKUP($A724,'The List'!$B1:$AR730,39,FALSE)-AVERAGE('The List'!AN2:AN730))/STDEV('The List'!AN2:AN730)</f>
        <v>1.4693416340102785</v>
      </c>
      <c r="AB724" s="38">
        <f>(VLOOKUP($A724,'The List'!$B1:$AR730,40,FALSE)-AVERAGE('The List'!AO2:AO730))/STDEV('The List'!AO2:AO730)</f>
        <v>1.3790814380363405</v>
      </c>
      <c r="AC724" s="38">
        <f>(VLOOKUP($A724,'The List'!$B1:$AR730,42,FALSE)-AVERAGE('The List'!AQ2:AQ730))/STDEV('The List'!AQ2:AQ730)</f>
        <v>1.5053669642258127</v>
      </c>
      <c r="AD724" s="38">
        <f>(VLOOKUP($A724,'The List'!$B1:$AR730,43,FALSE)-AVERAGE('The List'!AR2:AR730))/STDEV('The List'!AR2:AR730)*-1</f>
        <v>1.3093046242839763</v>
      </c>
      <c r="AE724" s="38"/>
    </row>
    <row r="725" spans="1:31" ht="21.2" customHeight="1">
      <c r="A725" s="8" t="s">
        <v>832</v>
      </c>
      <c r="B725" s="34" t="str">
        <f>VLOOKUP(A725,'Player Data'!A1:B734,2,FALSE)</f>
        <v>VAN</v>
      </c>
      <c r="C725" s="36">
        <f>(W725*Settings!$C$29)+(X725*Settings!$C$21)+(Y725*Settings!$C$22)+(AA725*Settings!$C$24)+(AB725*Settings!$C$25)+(Z725*Settings!$C$23)+(AC725*Settings!$C$26)+(AD725*Settings!$C$28)</f>
        <v>-3.172351078684474</v>
      </c>
      <c r="D725" s="40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>
        <f>(VLOOKUP($A725,'The List'!$B1:$AR730,35,FALSE)-AVERAGE('The List'!AJ2:AJ730))/STDEV('The List'!AJ2:AJ730)</f>
        <v>-1.6812739295516896</v>
      </c>
      <c r="X725" s="38">
        <f>(VLOOKUP($A725,'The List'!$B1:$AR730,36,FALSE)-AVERAGE('The List'!AK2:AK730))/STDEV('The List'!AK2:AK730)</f>
        <v>-1.4988662299335347</v>
      </c>
      <c r="Y725" s="38">
        <f>(VLOOKUP($A725,'The List'!$B1:$AR730,37,FALSE)-AVERAGE('The List'!AL2:AL730))/STDEV('The List'!AL2:AL730)*-1</f>
        <v>1.5462364091583307</v>
      </c>
      <c r="Z725" s="38">
        <f>(VLOOKUP($A725,'The List'!$B1:$AR730,38,FALSE)-AVERAGE('The List'!AM2:AM730))/STDEV('The List'!AM2:AM730)</f>
        <v>-1.6812739295516896</v>
      </c>
      <c r="AA725" s="38">
        <f>(VLOOKUP($A725,'The List'!$B1:$AR730,39,FALSE)-AVERAGE('The List'!AN2:AN730))/STDEV('The List'!AN2:AN730)</f>
        <v>-1.2138350795566926</v>
      </c>
      <c r="AB725" s="38">
        <f>(VLOOKUP($A725,'The List'!$B1:$AR730,40,FALSE)-AVERAGE('The List'!AO2:AO730))/STDEV('The List'!AO2:AO730)</f>
        <v>-1.6734848487509393</v>
      </c>
      <c r="AC725" s="38">
        <f>(VLOOKUP($A725,'The List'!$B1:$AR730,42,FALSE)-AVERAGE('The List'!AQ2:AQ730))/STDEV('The List'!AQ2:AQ730)</f>
        <v>-1.3395218971154434</v>
      </c>
      <c r="AD725" s="38">
        <f>(VLOOKUP($A725,'The List'!$B1:$AR730,43,FALSE)-AVERAGE('The List'!AR2:AR730))/STDEV('The List'!AR2:AR730)*-1</f>
        <v>-0.98995706107291193</v>
      </c>
      <c r="AE725" s="38"/>
    </row>
    <row r="726" spans="1:31" ht="21.2" customHeight="1">
      <c r="A726" s="8" t="s">
        <v>249</v>
      </c>
      <c r="B726" s="34" t="str">
        <f>VLOOKUP(A726,'Player Data'!A1:B734,2,FALSE)</f>
        <v>VGK</v>
      </c>
      <c r="C726" s="36">
        <f>(W726*Settings!$C$29)+(X726*Settings!$C$21)+(Y726*Settings!$C$22)+(AA726*Settings!$C$24)+(AB726*Settings!$C$25)+(Z726*Settings!$C$23)+(AC726*Settings!$C$26)+(AD726*Settings!$C$28)</f>
        <v>2.2068464689607268</v>
      </c>
      <c r="D726" s="40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>
        <f>(VLOOKUP($A726,'The List'!$B1:$AR730,35,FALSE)-AVERAGE('The List'!AJ2:AJ730))/STDEV('The List'!AJ2:AJ730)</f>
        <v>0.86373378133007983</v>
      </c>
      <c r="X726" s="38">
        <f>(VLOOKUP($A726,'The List'!$B1:$AR730,36,FALSE)-AVERAGE('The List'!AK2:AK730))/STDEV('The List'!AK2:AK730)</f>
        <v>1.3182349628346828</v>
      </c>
      <c r="Y726" s="38">
        <f>(VLOOKUP($A726,'The List'!$B1:$AR730,37,FALSE)-AVERAGE('The List'!AL2:AL730))/STDEV('The List'!AL2:AL730)*-1</f>
        <v>2.7713121548704884E-2</v>
      </c>
      <c r="Z726" s="38">
        <f>(VLOOKUP($A726,'The List'!$B1:$AR730,38,FALSE)-AVERAGE('The List'!AM2:AM730))/STDEV('The List'!AM2:AM730)</f>
        <v>0.86373378133007983</v>
      </c>
      <c r="AA726" s="38">
        <f>(VLOOKUP($A726,'The List'!$B1:$AR730,39,FALSE)-AVERAGE('The List'!AN2:AN730))/STDEV('The List'!AN2:AN730)</f>
        <v>0.81722002403245808</v>
      </c>
      <c r="AB726" s="38">
        <f>(VLOOKUP($A726,'The List'!$B1:$AR730,40,FALSE)-AVERAGE('The List'!AO2:AO730))/STDEV('The List'!AO2:AO730)</f>
        <v>0.88861150612604378</v>
      </c>
      <c r="AC726" s="38">
        <f>(VLOOKUP($A726,'The List'!$B1:$AR730,42,FALSE)-AVERAGE('The List'!AQ2:AQ730))/STDEV('The List'!AQ2:AQ730)</f>
        <v>1.1495800565584497</v>
      </c>
      <c r="AD726" s="38">
        <f>(VLOOKUP($A726,'The List'!$B1:$AR730,43,FALSE)-AVERAGE('The List'!AR2:AR730))/STDEV('The List'!AR2:AR730)*-1</f>
        <v>0.90339739751205173</v>
      </c>
      <c r="AE726" s="38"/>
    </row>
    <row r="727" spans="1:31" ht="21.2" customHeight="1">
      <c r="A727" s="8" t="s">
        <v>551</v>
      </c>
      <c r="B727" s="34" t="str">
        <f>VLOOKUP(A727,'Player Data'!A1:B734,2,FALSE)</f>
        <v>VGK</v>
      </c>
      <c r="C727" s="36">
        <f>(W727*Settings!$C$29)+(X727*Settings!$C$21)+(Y727*Settings!$C$22)+(AA727*Settings!$C$24)+(AB727*Settings!$C$25)+(Z727*Settings!$C$23)+(AC727*Settings!$C$26)+(AD727*Settings!$C$28)</f>
        <v>-6.2093884206538552E-2</v>
      </c>
      <c r="D727" s="40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>
        <f>(VLOOKUP($A727,'The List'!$B1:$AR730,35,FALSE)-AVERAGE('The List'!AJ2:AJ730))/STDEV('The List'!AJ2:AJ730)</f>
        <v>-0.15426930302262792</v>
      </c>
      <c r="X727" s="38">
        <f>(VLOOKUP($A727,'The List'!$B1:$AR730,36,FALSE)-AVERAGE('The List'!AK2:AK730))/STDEV('The List'!AK2:AK730)</f>
        <v>9.4956677135201922E-2</v>
      </c>
      <c r="Y727" s="38">
        <f>(VLOOKUP($A727,'The List'!$B1:$AR730,37,FALSE)-AVERAGE('The List'!AL2:AL730))/STDEV('The List'!AL2:AL730)*-1</f>
        <v>0.49050852310018694</v>
      </c>
      <c r="Z727" s="38">
        <f>(VLOOKUP($A727,'The List'!$B1:$AR730,38,FALSE)-AVERAGE('The List'!AM2:AM730))/STDEV('The List'!AM2:AM730)</f>
        <v>-0.15426930302262792</v>
      </c>
      <c r="AA727" s="38">
        <f>(VLOOKUP($A727,'The List'!$B1:$AR730,39,FALSE)-AVERAGE('The List'!AN2:AN730))/STDEV('The List'!AN2:AN730)</f>
        <v>8.778083856202757E-3</v>
      </c>
      <c r="AB727" s="38">
        <f>(VLOOKUP($A727,'The List'!$B1:$AR730,40,FALSE)-AVERAGE('The List'!AO2:AO730))/STDEV('The List'!AO2:AO730)</f>
        <v>-0.15705056134174047</v>
      </c>
      <c r="AC727" s="38">
        <f>(VLOOKUP($A727,'The List'!$B1:$AR730,42,FALSE)-AVERAGE('The List'!AQ2:AQ730))/STDEV('The List'!AQ2:AQ730)</f>
        <v>0.60872790204372285</v>
      </c>
      <c r="AD727" s="38">
        <f>(VLOOKUP($A727,'The List'!$B1:$AR730,43,FALSE)-AVERAGE('The List'!AR2:AR730))/STDEV('The List'!AR2:AR730)*-1</f>
        <v>0.57287294028046853</v>
      </c>
      <c r="AE727" s="38"/>
    </row>
    <row r="728" spans="1:31" ht="21.2" customHeight="1">
      <c r="A728" s="8" t="s">
        <v>142</v>
      </c>
      <c r="B728" s="34" t="str">
        <f>VLOOKUP(A728,'Player Data'!A1:B734,2,FALSE)</f>
        <v>WPG</v>
      </c>
      <c r="C728" s="36">
        <f>(W728*Settings!$C$29)+(X728*Settings!$C$21)+(Y728*Settings!$C$22)+(AA728*Settings!$C$24)+(AB728*Settings!$C$25)+(Z728*Settings!$C$23)+(AC728*Settings!$C$26)+(AD728*Settings!$C$28)</f>
        <v>3.3844555754589498</v>
      </c>
      <c r="D728" s="40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>
        <f>(VLOOKUP($A728,'The List'!$B1:$AR730,35,FALSE)-AVERAGE('The List'!AJ2:AJ730))/STDEV('The List'!AJ2:AJ730)</f>
        <v>1.754486480138699</v>
      </c>
      <c r="X728" s="38">
        <f>(VLOOKUP($A728,'The List'!$B1:$AR730,36,FALSE)-AVERAGE('The List'!AK2:AK730))/STDEV('The List'!AK2:AK730)</f>
        <v>1.7742274468218322</v>
      </c>
      <c r="Y728" s="38">
        <f>(VLOOKUP($A728,'The List'!$B1:$AR730,37,FALSE)-AVERAGE('The List'!AL2:AL730))/STDEV('The List'!AL2:AL730)*-1</f>
        <v>-1.2985242168440694</v>
      </c>
      <c r="Z728" s="38">
        <f>(VLOOKUP($A728,'The List'!$B1:$AR730,38,FALSE)-AVERAGE('The List'!AM2:AM730))/STDEV('The List'!AM2:AM730)</f>
        <v>1.754486480138699</v>
      </c>
      <c r="AA728" s="38">
        <f>(VLOOKUP($A728,'The List'!$B1:$AR730,39,FALSE)-AVERAGE('The List'!AN2:AN730))/STDEV('The List'!AN2:AN730)</f>
        <v>2.4164621293388118</v>
      </c>
      <c r="AB728" s="38">
        <f>(VLOOKUP($A728,'The List'!$B1:$AR730,40,FALSE)-AVERAGE('The List'!AO2:AO730))/STDEV('The List'!AO2:AO730)</f>
        <v>1.6102281286371176</v>
      </c>
      <c r="AC728" s="38">
        <f>(VLOOKUP($A728,'The List'!$B1:$AR730,42,FALSE)-AVERAGE('The List'!AQ2:AQ730))/STDEV('The List'!AQ2:AQ730)</f>
        <v>1.7215275036730211</v>
      </c>
      <c r="AD728" s="38">
        <f>(VLOOKUP($A728,'The List'!$B1:$AR730,43,FALSE)-AVERAGE('The List'!AR2:AR730))/STDEV('The List'!AR2:AR730)*-1</f>
        <v>1.9934487323057737</v>
      </c>
      <c r="AE728" s="38"/>
    </row>
    <row r="729" spans="1:31" ht="21.2" customHeight="1">
      <c r="A729" s="8" t="s">
        <v>815</v>
      </c>
      <c r="B729" s="34" t="str">
        <f>VLOOKUP(A729,'Player Data'!A1:B734,2,FALSE)</f>
        <v>WPG</v>
      </c>
      <c r="C729" s="36">
        <f>(W729*Settings!$C$29)+(X729*Settings!$C$21)+(Y729*Settings!$C$22)+(AA729*Settings!$C$24)+(AB729*Settings!$C$25)+(Z729*Settings!$C$23)+(AC729*Settings!$C$26)+(AD729*Settings!$C$28)</f>
        <v>-2.032959178886641</v>
      </c>
      <c r="D729" s="40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>
        <f>(VLOOKUP($A729,'The List'!$B1:$AR730,35,FALSE)-AVERAGE('The List'!AJ2:AJ730))/STDEV('The List'!AJ2:AJ730)</f>
        <v>-1.0450220018312473</v>
      </c>
      <c r="X729" s="38">
        <f>(VLOOKUP($A729,'The List'!$B1:$AR730,36,FALSE)-AVERAGE('The List'!AK2:AK730))/STDEV('The List'!AK2:AK730)</f>
        <v>-0.94677584455753649</v>
      </c>
      <c r="Y729" s="38">
        <f>(VLOOKUP($A729,'The List'!$B1:$AR730,37,FALSE)-AVERAGE('The List'!AL2:AL730))/STDEV('The List'!AL2:AL730)*-1</f>
        <v>0.9383957581639949</v>
      </c>
      <c r="Z729" s="38">
        <f>(VLOOKUP($A729,'The List'!$B1:$AR730,38,FALSE)-AVERAGE('The List'!AM2:AM730))/STDEV('The List'!AM2:AM730)</f>
        <v>-1.0450220018312473</v>
      </c>
      <c r="AA729" s="38">
        <f>(VLOOKUP($A729,'The List'!$B1:$AR730,39,FALSE)-AVERAGE('The List'!AN2:AN730))/STDEV('The List'!AN2:AN730)</f>
        <v>-0.74658391331220308</v>
      </c>
      <c r="AB729" s="38">
        <f>(VLOOKUP($A729,'The List'!$B1:$AR730,40,FALSE)-AVERAGE('The List'!AO2:AO730))/STDEV('The List'!AO2:AO730)</f>
        <v>-1.0861833343291045</v>
      </c>
      <c r="AC729" s="38">
        <f>(VLOOKUP($A729,'The List'!$B1:$AR730,42,FALSE)-AVERAGE('The List'!AQ2:AQ730))/STDEV('The List'!AQ2:AQ730)</f>
        <v>-0.71224723892564101</v>
      </c>
      <c r="AD729" s="38">
        <f>(VLOOKUP($A729,'The List'!$B1:$AR730,43,FALSE)-AVERAGE('The List'!AR2:AR730))/STDEV('The List'!AR2:AR730)*-1</f>
        <v>-2.5310355651550469E-2</v>
      </c>
      <c r="AE729" s="38"/>
    </row>
    <row r="730" spans="1:31" ht="21.2" customHeight="1">
      <c r="A730" s="8" t="s">
        <v>252</v>
      </c>
      <c r="B730" s="34" t="str">
        <f>VLOOKUP(A730,'Player Data'!A1:B734,2,FALSE)</f>
        <v>WSH</v>
      </c>
      <c r="C730" s="36">
        <f>(W730*Settings!$C$29)+(X730*Settings!$C$21)+(Y730*Settings!$C$22)+(AA730*Settings!$C$24)+(AB730*Settings!$C$25)+(Z730*Settings!$C$23)+(AC730*Settings!$C$26)+(AD730*Settings!$C$28)</f>
        <v>1.7864887701213337</v>
      </c>
      <c r="D730" s="40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>
        <f>(VLOOKUP($A730,'The List'!$B1:$AR730,35,FALSE)-AVERAGE('The List'!AJ2:AJ730))/STDEV('The List'!AJ2:AJ730)</f>
        <v>1.1182345524182566</v>
      </c>
      <c r="X730" s="38">
        <f>(VLOOKUP($A730,'The List'!$B1:$AR730,36,FALSE)-AVERAGE('The List'!AK2:AK730))/STDEV('The List'!AK2:AK730)</f>
        <v>0.58105771345424562</v>
      </c>
      <c r="Y730" s="38">
        <f>(VLOOKUP($A730,'The List'!$B1:$AR730,37,FALSE)-AVERAGE('The List'!AL2:AL730))/STDEV('The List'!AL2:AL730)*-1</f>
        <v>-1.6520180748516704</v>
      </c>
      <c r="Z730" s="38">
        <f>(VLOOKUP($A730,'The List'!$B1:$AR730,38,FALSE)-AVERAGE('The List'!AM2:AM730))/STDEV('The List'!AM2:AM730)</f>
        <v>1.1182345524182566</v>
      </c>
      <c r="AA730" s="38">
        <f>(VLOOKUP($A730,'The List'!$B1:$AR730,39,FALSE)-AVERAGE('The List'!AN2:AN730))/STDEV('The List'!AN2:AN730)</f>
        <v>0.81431324691984175</v>
      </c>
      <c r="AB730" s="38">
        <f>(VLOOKUP($A730,'The List'!$B1:$AR730,40,FALSE)-AVERAGE('The List'!AO2:AO730))/STDEV('The List'!AO2:AO730)</f>
        <v>1.2054310566670881</v>
      </c>
      <c r="AC730" s="38">
        <f>(VLOOKUP($A730,'The List'!$B1:$AR730,42,FALSE)-AVERAGE('The List'!AQ2:AQ730))/STDEV('The List'!AQ2:AQ730)</f>
        <v>0.7489704400875149</v>
      </c>
      <c r="AD730" s="38">
        <f>(VLOOKUP($A730,'The List'!$B1:$AR730,43,FALSE)-AVERAGE('The List'!AR2:AR730))/STDEV('The List'!AR2:AR730)*-1</f>
        <v>0.26329077180663951</v>
      </c>
      <c r="AE730" s="38"/>
    </row>
    <row r="731" spans="1:31" ht="21.2" customHeight="1">
      <c r="A731" s="8" t="s">
        <v>754</v>
      </c>
      <c r="B731" s="34" t="str">
        <f>VLOOKUP(A731,'Player Data'!A1:B734,2,FALSE)</f>
        <v>WSH</v>
      </c>
      <c r="C731" s="36">
        <f>(W731*Settings!$C$29)+(X731*Settings!$C$21)+(Y731*Settings!$C$22)+(AA731*Settings!$C$24)+(AB731*Settings!$C$25)+(Z731*Settings!$C$23)+(AC731*Settings!$C$26)+(AD731*Settings!$C$28)</f>
        <v>-1.4301429385689137</v>
      </c>
      <c r="D731" s="40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>
        <f>(VLOOKUP($A731,'The List'!$B1:$AR730,35,FALSE)-AVERAGE('The List'!AJ2:AJ730))/STDEV('The List'!AJ2:AJ730)</f>
        <v>-0.66327084519898183</v>
      </c>
      <c r="X731" s="38">
        <f>(VLOOKUP($A731,'The List'!$B1:$AR730,36,FALSE)-AVERAGE('The List'!AK2:AK730))/STDEV('The List'!AK2:AK730)</f>
        <v>-0.82372503132431185</v>
      </c>
      <c r="Y731" s="38">
        <f>(VLOOKUP($A731,'The List'!$B1:$AR730,37,FALSE)-AVERAGE('The List'!AL2:AL730))/STDEV('The List'!AL2:AL730)*-1</f>
        <v>0.26147864189579634</v>
      </c>
      <c r="Z731" s="38">
        <f>(VLOOKUP($A731,'The List'!$B1:$AR730,38,FALSE)-AVERAGE('The List'!AM2:AM730))/STDEV('The List'!AM2:AM730)</f>
        <v>-0.66327084519898183</v>
      </c>
      <c r="AA731" s="38">
        <f>(VLOOKUP($A731,'The List'!$B1:$AR730,39,FALSE)-AVERAGE('The List'!AN2:AN730))/STDEV('The List'!AN2:AN730)</f>
        <v>-0.81930563908570908</v>
      </c>
      <c r="AB731" s="38">
        <f>(VLOOKUP($A731,'The List'!$B1:$AR730,40,FALSE)-AVERAGE('The List'!AO2:AO730))/STDEV('The List'!AO2:AO730)</f>
        <v>-0.60641790724460198</v>
      </c>
      <c r="AC731" s="38">
        <f>(VLOOKUP($A731,'The List'!$B1:$AR730,42,FALSE)-AVERAGE('The List'!AQ2:AQ730))/STDEV('The List'!AQ2:AQ730)</f>
        <v>-0.54606685034944624</v>
      </c>
      <c r="AD731" s="38">
        <f>(VLOOKUP($A731,'The List'!$B1:$AR730,43,FALSE)-AVERAGE('The List'!AR2:AR730))/STDEV('The List'!AR2:AR730)*-1</f>
        <v>-1.0443184744430127</v>
      </c>
      <c r="AE731" s="38"/>
    </row>
  </sheetData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Settings</vt:lpstr>
      <vt:lpstr>The List</vt:lpstr>
      <vt:lpstr>Team Comparison</vt:lpstr>
      <vt:lpstr>Projected Stats</vt:lpstr>
      <vt:lpstr>F</vt:lpstr>
      <vt:lpstr>C</vt:lpstr>
      <vt:lpstr>LW</vt:lpstr>
      <vt:lpstr>RW</vt:lpstr>
      <vt:lpstr>D</vt:lpstr>
      <vt:lpstr>G</vt:lpstr>
      <vt:lpstr>ADP</vt:lpstr>
      <vt:lpstr>Player Data</vt:lpstr>
      <vt:lpstr>Standard Deviations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Cowan</dc:creator>
  <cp:lastModifiedBy>Mike Cowan</cp:lastModifiedBy>
  <dcterms:created xsi:type="dcterms:W3CDTF">2023-10-03T01:38:09Z</dcterms:created>
  <dcterms:modified xsi:type="dcterms:W3CDTF">2023-12-20T19:39:40Z</dcterms:modified>
</cp:coreProperties>
</file>